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3CD9DF-7B11-4FA5-877A-F30539270317}" xr6:coauthVersionLast="47" xr6:coauthVersionMax="47" xr10:uidLastSave="{00000000-0000-0000-0000-000000000000}"/>
  <bookViews>
    <workbookView xWindow="-103" yWindow="-103" windowWidth="22149" windowHeight="13200" tabRatio="869" xr2:uid="{00000000-000D-0000-FFFF-FFFF00000000}"/>
  </bookViews>
  <sheets>
    <sheet name="0. 목차" sheetId="57" r:id="rId1"/>
    <sheet name="1.재무" sheetId="46" r:id="rId2"/>
    <sheet name="※ 재무_세부시트" sheetId="45" state="hidden" r:id="rId3"/>
    <sheet name="※ 수수료 기준_가입자" sheetId="25" state="hidden" r:id="rId4"/>
    <sheet name="2.무선가입자" sheetId="15" r:id="rId5"/>
    <sheet name="2-(1) 수수료 기준_가입자(무선)" sheetId="54" r:id="rId6"/>
    <sheet name="3.유선가입자" sheetId="16" r:id="rId7"/>
    <sheet name="3-(1) 수수료 기준_가입자 (유선)" sheetId="55" r:id="rId8"/>
    <sheet name="※ 영기팀 작성_가입자" sheetId="24" state="hidden" r:id="rId9"/>
    <sheet name="※ 디지털 세부데이터" sheetId="43" state="hidden" r:id="rId10"/>
    <sheet name="4. 디지털" sheetId="44" r:id="rId11"/>
    <sheet name="5. 소상공인" sheetId="17" r:id="rId12"/>
    <sheet name="6. B2B" sheetId="48" r:id="rId13"/>
    <sheet name="※ 소상공인 세부데이터" sheetId="32" state="hidden" r:id="rId14"/>
    <sheet name="※ 유통플랫폼 세부데이터" sheetId="33" state="hidden" r:id="rId15"/>
    <sheet name="※ B2B 세부데이터" sheetId="47" state="hidden" r:id="rId16"/>
    <sheet name="7.유통플랫폼사업" sheetId="13" r:id="rId17"/>
    <sheet name="8.인프라" sheetId="26" r:id="rId18"/>
    <sheet name="9.인력" sheetId="19" r:id="rId19"/>
    <sheet name="※ 인력 세부데이터" sheetId="34" state="hidden" r:id="rId20"/>
    <sheet name="10.영업품질" sheetId="20" r:id="rId21"/>
    <sheet name="※ 재고 세부데이터" sheetId="56" state="hidden" r:id="rId22"/>
    <sheet name="※ 영업품질 세부데이터" sheetId="53" state="hidden" r:id="rId23"/>
    <sheet name="※ 팀별 작성_인프라_인력" sheetId="22" state="hidden" r:id="rId24"/>
    <sheet name="11. 재고" sheetId="50" r:id="rId25"/>
    <sheet name="12.기타지표" sheetId="21" r:id="rId26"/>
    <sheet name="※ 기타지표 세부데이터" sheetId="36" state="hidden" r:id="rId27"/>
  </sheets>
  <definedNames>
    <definedName name="_xlnm.Print_Area" localSheetId="15">'※ B2B 세부데이터'!$A$3:$BA$47</definedName>
    <definedName name="_xlnm.Print_Area" localSheetId="2">'※ 재무_세부시트'!$A$1:$CK$158</definedName>
    <definedName name="_xlnm.Print_Area" localSheetId="0">'0. 목차'!$A$1:$AA$32</definedName>
    <definedName name="_xlnm.Print_Area" localSheetId="1">'1.재무'!$A$2:$AC$159</definedName>
    <definedName name="_xlnm.Print_Area" localSheetId="20">'10.영업품질'!$A$3:$V$118</definedName>
    <definedName name="_xlnm.Print_Area" localSheetId="24">'11. 재고'!$A$3:$W$42</definedName>
    <definedName name="_xlnm.Print_Area" localSheetId="25">'12.기타지표'!$A$3:$W$56</definedName>
    <definedName name="_xlnm.Print_Area" localSheetId="5">'2-(1) 수수료 기준_가입자(무선)'!$A$2:$BJ$110</definedName>
    <definedName name="_xlnm.Print_Area" localSheetId="4">'2.무선가입자'!$A$3:$AB$95</definedName>
    <definedName name="_xlnm.Print_Area" localSheetId="7">'3-(1) 수수료 기준_가입자 (유선)'!$A$3:$BJ$102</definedName>
    <definedName name="_xlnm.Print_Area" localSheetId="6">'3.유선가입자'!$A$3:$AB$109</definedName>
    <definedName name="_xlnm.Print_Area" localSheetId="10">'4. 디지털'!$A$3:$AA$40</definedName>
    <definedName name="_xlnm.Print_Area" localSheetId="11">'5. 소상공인'!$A$3:$Y$116</definedName>
    <definedName name="_xlnm.Print_Area" localSheetId="12">'6. B2B'!$A$3:$Z$48</definedName>
    <definedName name="_xlnm.Print_Area" localSheetId="16">'7.유통플랫폼사업'!$B$3:$W$70</definedName>
    <definedName name="_xlnm.Print_Area" localSheetId="17">'8.인프라'!$A$3:$AE$83</definedName>
    <definedName name="_xlnm.Print_Area" localSheetId="18">'9.인력'!$A$3:$V$145</definedName>
    <definedName name="_xlnm.Print_Titles" localSheetId="1">'1.재무'!$2:$5</definedName>
    <definedName name="_xlnm.Print_Titles" localSheetId="20">'10.영업품질'!$3:$6</definedName>
    <definedName name="_xlnm.Print_Titles" localSheetId="5">'2-(1) 수수료 기준_가입자(무선)'!$2:$6</definedName>
    <definedName name="_xlnm.Print_Titles" localSheetId="4">'2.무선가입자'!$3:$6</definedName>
    <definedName name="_xlnm.Print_Titles" localSheetId="7">'3-(1) 수수료 기준_가입자 (유선)'!$3:$8</definedName>
    <definedName name="_xlnm.Print_Titles" localSheetId="6">'3.유선가입자'!$3:$6</definedName>
    <definedName name="_xlnm.Print_Titles" localSheetId="11">'5. 소상공인'!$3:$6</definedName>
    <definedName name="_xlnm.Print_Titles" localSheetId="17">'8.인프라'!$3:$4</definedName>
    <definedName name="_xlnm.Print_Titles" localSheetId="18">'9.인력'!$3:$3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61" i="34" l="1"/>
  <c r="AI1" i="34"/>
  <c r="AH1" i="34"/>
  <c r="AN1" i="34" l="1"/>
  <c r="AJ61" i="34"/>
  <c r="AK61" i="34"/>
  <c r="AL61" i="34"/>
  <c r="AM61" i="34"/>
  <c r="AN61" i="34"/>
  <c r="AO61" i="34"/>
  <c r="AP61" i="34"/>
  <c r="AQ61" i="34"/>
  <c r="AR61" i="34"/>
  <c r="AS61" i="34"/>
  <c r="AH76" i="34" l="1"/>
  <c r="AI76" i="34"/>
  <c r="AJ76" i="34"/>
  <c r="AK76" i="34"/>
  <c r="AL76" i="34"/>
  <c r="AM76" i="34"/>
  <c r="AN76" i="34"/>
  <c r="AO76" i="34"/>
  <c r="AP76" i="34"/>
  <c r="AH77" i="34"/>
  <c r="AI77" i="34"/>
  <c r="AK77" i="34"/>
  <c r="AL77" i="34"/>
  <c r="AM77" i="34"/>
  <c r="AJ1" i="34" l="1"/>
  <c r="AK1" i="34" l="1"/>
  <c r="AL1" i="34"/>
  <c r="AM1" i="34"/>
  <c r="AO1" i="34"/>
  <c r="AP1" i="34"/>
  <c r="AQ1" i="34"/>
  <c r="AR1" i="34"/>
  <c r="AS1" i="34"/>
  <c r="AU86" i="34"/>
  <c r="AY86" i="34"/>
  <c r="AZ86" i="34"/>
  <c r="AU87" i="34"/>
  <c r="AY87" i="34"/>
  <c r="AZ87" i="34"/>
  <c r="AU88" i="34"/>
  <c r="AY88" i="34"/>
  <c r="AZ88" i="34"/>
  <c r="AU89" i="34"/>
  <c r="AY89" i="34" s="1"/>
  <c r="AU90" i="34"/>
  <c r="AY90" i="34"/>
  <c r="AZ90" i="34"/>
  <c r="AU91" i="34"/>
  <c r="AX91" i="34"/>
  <c r="AY91" i="34"/>
  <c r="AZ91" i="34"/>
  <c r="AU92" i="34"/>
  <c r="AY92" i="34" s="1"/>
  <c r="AU93" i="34"/>
  <c r="AY93" i="34"/>
  <c r="AZ93" i="34"/>
  <c r="AF94" i="34"/>
  <c r="AU94" i="34"/>
  <c r="AY94" i="34" s="1"/>
  <c r="AU95" i="34"/>
  <c r="AY95" i="34" s="1"/>
  <c r="AU96" i="34"/>
  <c r="AY96" i="34"/>
  <c r="AZ96" i="34"/>
  <c r="AU97" i="34"/>
  <c r="AY97" i="34" s="1"/>
  <c r="AZ94" i="34" l="1"/>
  <c r="AZ97" i="34"/>
  <c r="AZ89" i="34"/>
  <c r="AZ95" i="34"/>
  <c r="AZ92" i="34"/>
  <c r="BH34" i="45" l="1"/>
  <c r="BI34" i="45"/>
  <c r="BJ34" i="45"/>
  <c r="BK34" i="45"/>
  <c r="BL34" i="45"/>
  <c r="BH36" i="45" l="1"/>
  <c r="BF28" i="54" l="1"/>
  <c r="BG28" i="54"/>
  <c r="BH28" i="54"/>
  <c r="BF29" i="54"/>
  <c r="BG29" i="54"/>
  <c r="BH29" i="54"/>
  <c r="AU4" i="34" l="1"/>
  <c r="R32" i="50" a="1"/>
  <c r="Q20" i="50" a="1"/>
  <c r="R8" i="50" a="1"/>
  <c r="R37" i="50" a="1"/>
  <c r="R38" i="50" a="1"/>
  <c r="Q25" i="50" a="1"/>
  <c r="R20" i="50" a="1"/>
  <c r="R31" i="50" a="1"/>
  <c r="Q11" i="50" a="1"/>
  <c r="R34" i="50" a="1"/>
  <c r="R30" i="50" a="1"/>
  <c r="R27" i="50" a="1"/>
  <c r="R6" i="50" a="1"/>
  <c r="R41" i="50" a="1"/>
  <c r="R33" i="50" a="1"/>
  <c r="R10" i="50" a="1"/>
  <c r="R14" i="50" a="1"/>
  <c r="R16" i="50" a="1"/>
  <c r="Q10" i="50" a="1"/>
  <c r="R22" i="50" a="1"/>
  <c r="Q17" i="50" a="1"/>
  <c r="Q36" i="50" a="1"/>
  <c r="Q37" i="50" a="1"/>
  <c r="Q23" i="50" a="1"/>
  <c r="Q40" i="50" a="1"/>
  <c r="Q27" i="50" a="1"/>
  <c r="R13" i="50" a="1"/>
  <c r="Q38" i="50" a="1"/>
  <c r="R40" i="50" a="1"/>
  <c r="Q31" i="50" a="1"/>
  <c r="R9" i="50" a="1"/>
  <c r="Q24" i="50" a="1"/>
  <c r="R7" i="50" a="1"/>
  <c r="Q41" i="50" a="1"/>
  <c r="R23" i="50" a="1"/>
  <c r="Q8" i="50" a="1"/>
  <c r="R18" i="50" a="1"/>
  <c r="R11" i="50" a="1"/>
  <c r="Q12" i="50" a="1"/>
  <c r="R19" i="50" a="1"/>
  <c r="Q16" i="50" a="1"/>
  <c r="Q7" i="50" a="1"/>
  <c r="Q21" i="50" a="1"/>
  <c r="Q22" i="50" a="1"/>
  <c r="R25" i="50" a="1"/>
  <c r="R29" i="50" a="1"/>
  <c r="Q32" i="50" a="1"/>
  <c r="Q19" i="50" a="1"/>
  <c r="R12" i="50" a="1"/>
  <c r="R24" i="50" a="1"/>
  <c r="R28" i="50" a="1"/>
  <c r="R21" i="50" a="1"/>
  <c r="Q35" i="50" a="1"/>
  <c r="Q34" i="50" a="1"/>
  <c r="Q28" i="50" a="1"/>
  <c r="Q33" i="50" a="1"/>
  <c r="Q14" i="50" a="1"/>
  <c r="Q30" i="50" a="1"/>
  <c r="R35" i="50" a="1"/>
  <c r="Q13" i="50" a="1"/>
  <c r="Q29" i="50" a="1"/>
  <c r="Q6" i="50" a="1"/>
  <c r="Q9" i="50" a="1"/>
  <c r="R36" i="50" a="1"/>
  <c r="Q18" i="50" a="1"/>
  <c r="R17" i="50" a="1"/>
  <c r="R18" i="50" l="1"/>
  <c r="Q9" i="50"/>
  <c r="Q21" i="50"/>
  <c r="R35" i="50"/>
  <c r="R22" i="50"/>
  <c r="Q40" i="50"/>
  <c r="Q27" i="50"/>
  <c r="Q18" i="50"/>
  <c r="R34" i="50"/>
  <c r="R21" i="50"/>
  <c r="R17" i="50"/>
  <c r="Q34" i="50"/>
  <c r="Q17" i="50"/>
  <c r="R24" i="50"/>
  <c r="R41" i="50"/>
  <c r="R40" i="50"/>
  <c r="R27" i="50"/>
  <c r="R13" i="50"/>
  <c r="Q31" i="50"/>
  <c r="Q13" i="50"/>
  <c r="R30" i="50"/>
  <c r="R12" i="50"/>
  <c r="Q38" i="50"/>
  <c r="Q25" i="50"/>
  <c r="Q8" i="50"/>
  <c r="R33" i="50"/>
  <c r="R16" i="50"/>
  <c r="R7" i="50"/>
  <c r="Q33" i="50"/>
  <c r="Q24" i="50"/>
  <c r="Q16" i="50"/>
  <c r="Q7" i="50"/>
  <c r="R36" i="50"/>
  <c r="R32" i="50"/>
  <c r="R28" i="50"/>
  <c r="R23" i="50"/>
  <c r="R19" i="50"/>
  <c r="R14" i="50"/>
  <c r="R10" i="50"/>
  <c r="R6" i="50"/>
  <c r="R31" i="50"/>
  <c r="R9" i="50"/>
  <c r="Q35" i="50"/>
  <c r="Q22" i="50"/>
  <c r="R38" i="50"/>
  <c r="R25" i="50"/>
  <c r="R8" i="50"/>
  <c r="Q30" i="50"/>
  <c r="Q12" i="50"/>
  <c r="R37" i="50"/>
  <c r="R29" i="50"/>
  <c r="R20" i="50"/>
  <c r="R11" i="50"/>
  <c r="Q37" i="50"/>
  <c r="Q29" i="50"/>
  <c r="Q20" i="50"/>
  <c r="Q11" i="50"/>
  <c r="Q41" i="50"/>
  <c r="Q36" i="50"/>
  <c r="Q32" i="50"/>
  <c r="Q28" i="50"/>
  <c r="Q23" i="50"/>
  <c r="Q19" i="50"/>
  <c r="Q14" i="50"/>
  <c r="Q10" i="50"/>
  <c r="Q6" i="50"/>
  <c r="CE79" i="45"/>
  <c r="CE158" i="45"/>
  <c r="CE156" i="45"/>
  <c r="CE155" i="45"/>
  <c r="CE154" i="45"/>
  <c r="CE153" i="45"/>
  <c r="CE152" i="45"/>
  <c r="CE150" i="45"/>
  <c r="CE149" i="45"/>
  <c r="CE148" i="45"/>
  <c r="CE147" i="45"/>
  <c r="CE146" i="45"/>
  <c r="CE145" i="45"/>
  <c r="CE143" i="45"/>
  <c r="CE142" i="45"/>
  <c r="CE141" i="45"/>
  <c r="CE140" i="45"/>
  <c r="CE139" i="45"/>
  <c r="CE137" i="45"/>
  <c r="CE136" i="45"/>
  <c r="CE135" i="45"/>
  <c r="CE134" i="45"/>
  <c r="CE132" i="45"/>
  <c r="CE131" i="45"/>
  <c r="CE130" i="45"/>
  <c r="CE129" i="45"/>
  <c r="CE127" i="45"/>
  <c r="CE125" i="45"/>
  <c r="CE124" i="45"/>
  <c r="CE123" i="45"/>
  <c r="CE122" i="45"/>
  <c r="CE121" i="45"/>
  <c r="CE120" i="45"/>
  <c r="CE118" i="45"/>
  <c r="CE117" i="45"/>
  <c r="CE114" i="45"/>
  <c r="CE113" i="45"/>
  <c r="CE111" i="45"/>
  <c r="CE110" i="45"/>
  <c r="CE109" i="45"/>
  <c r="CE107" i="45"/>
  <c r="CE106" i="45"/>
  <c r="CE105" i="45"/>
  <c r="CE104" i="45"/>
  <c r="CE102" i="45"/>
  <c r="CE101" i="45"/>
  <c r="CE100" i="45"/>
  <c r="CE97" i="45"/>
  <c r="CE96" i="45"/>
  <c r="CE95" i="45"/>
  <c r="CE94" i="45"/>
  <c r="CE92" i="45"/>
  <c r="CE88" i="45"/>
  <c r="CE87" i="45"/>
  <c r="CE84" i="45"/>
  <c r="BY157" i="45"/>
  <c r="BX157" i="45"/>
  <c r="BW157" i="45"/>
  <c r="BV157" i="45"/>
  <c r="BR151" i="45"/>
  <c r="BR157" i="45" s="1"/>
  <c r="BS151" i="45"/>
  <c r="BT151" i="45"/>
  <c r="BU151" i="45"/>
  <c r="BV151" i="45"/>
  <c r="BW151" i="45"/>
  <c r="BX151" i="45"/>
  <c r="BY151" i="45"/>
  <c r="BZ151" i="45"/>
  <c r="BZ157" i="45" s="1"/>
  <c r="CA151" i="45"/>
  <c r="CB151" i="45"/>
  <c r="CE151" i="45" s="1"/>
  <c r="CC151" i="45"/>
  <c r="CD151" i="45"/>
  <c r="BR146" i="45"/>
  <c r="BS146" i="45"/>
  <c r="BS157" i="45" s="1"/>
  <c r="BT146" i="45"/>
  <c r="BT157" i="45" s="1"/>
  <c r="BU146" i="45"/>
  <c r="BU157" i="45" s="1"/>
  <c r="BV146" i="45"/>
  <c r="BW146" i="45"/>
  <c r="BX146" i="45"/>
  <c r="BY146" i="45"/>
  <c r="BZ146" i="45"/>
  <c r="CA146" i="45"/>
  <c r="CA157" i="45" s="1"/>
  <c r="CB146" i="45"/>
  <c r="CB157" i="45" s="1"/>
  <c r="CC146" i="45"/>
  <c r="CD146" i="45"/>
  <c r="CB138" i="45"/>
  <c r="CB144" i="45" s="1"/>
  <c r="CC138" i="45"/>
  <c r="CD138" i="45"/>
  <c r="CA133" i="45"/>
  <c r="CB133" i="45"/>
  <c r="CE133" i="45" s="1"/>
  <c r="CB119" i="45"/>
  <c r="CB115" i="45" s="1"/>
  <c r="CB116" i="45"/>
  <c r="CC116" i="45"/>
  <c r="CD116" i="45"/>
  <c r="CC115" i="45"/>
  <c r="CD115" i="45"/>
  <c r="CB112" i="45"/>
  <c r="CB126" i="45" s="1"/>
  <c r="CC112" i="45"/>
  <c r="CD112" i="45"/>
  <c r="CE157" i="45" l="1"/>
  <c r="CB103" i="45" l="1"/>
  <c r="CB99" i="45"/>
  <c r="CC98" i="45"/>
  <c r="CD98" i="45"/>
  <c r="BY91" i="45"/>
  <c r="BZ91" i="45"/>
  <c r="CA91" i="45"/>
  <c r="CB93" i="45"/>
  <c r="BQ93" i="45"/>
  <c r="BQ91" i="45" s="1"/>
  <c r="BR93" i="45"/>
  <c r="BR91" i="45" s="1"/>
  <c r="BS93" i="45"/>
  <c r="BS91" i="45" s="1"/>
  <c r="BT93" i="45"/>
  <c r="BT91" i="45" s="1"/>
  <c r="BU93" i="45"/>
  <c r="BU91" i="45" s="1"/>
  <c r="BV93" i="45"/>
  <c r="BV91" i="45" s="1"/>
  <c r="BW93" i="45"/>
  <c r="BW91" i="45" s="1"/>
  <c r="BX93" i="45"/>
  <c r="BX91" i="45" s="1"/>
  <c r="BY93" i="45"/>
  <c r="BZ93" i="45"/>
  <c r="CA93" i="45"/>
  <c r="CB91" i="45" l="1"/>
  <c r="CE91" i="45" s="1"/>
  <c r="CE93" i="45"/>
  <c r="CB98" i="45"/>
  <c r="CB83" i="45"/>
  <c r="CB82" i="45"/>
  <c r="CC82" i="45"/>
  <c r="CD82" i="45"/>
  <c r="CB81" i="45"/>
  <c r="CE76" i="45"/>
  <c r="CE75" i="45"/>
  <c r="CE74" i="45"/>
  <c r="CE73" i="45"/>
  <c r="CE72" i="45"/>
  <c r="CE71" i="45"/>
  <c r="CE70" i="45"/>
  <c r="CE69" i="45"/>
  <c r="CE68" i="45"/>
  <c r="CE67" i="45"/>
  <c r="CE65" i="45"/>
  <c r="CE64" i="45"/>
  <c r="CE63" i="45"/>
  <c r="CE61" i="45"/>
  <c r="CE60" i="45"/>
  <c r="CE59" i="45"/>
  <c r="CE58" i="45"/>
  <c r="CE57" i="45"/>
  <c r="CB77" i="45"/>
  <c r="CB55" i="45"/>
  <c r="CE53" i="45"/>
  <c r="CE52" i="45"/>
  <c r="CE51" i="45"/>
  <c r="CE48" i="45"/>
  <c r="CE47" i="45"/>
  <c r="CE46" i="45"/>
  <c r="CE45" i="45"/>
  <c r="CE43" i="45"/>
  <c r="CE42" i="45"/>
  <c r="CE41" i="45"/>
  <c r="CE40" i="45"/>
  <c r="CE38" i="45"/>
  <c r="CE36" i="45"/>
  <c r="CE35" i="45"/>
  <c r="CE34" i="45"/>
  <c r="CE33" i="45"/>
  <c r="CE32" i="45"/>
  <c r="CE31" i="45"/>
  <c r="CE30" i="45"/>
  <c r="CE29" i="45"/>
  <c r="CE28" i="45"/>
  <c r="CE27" i="45"/>
  <c r="CE26" i="45"/>
  <c r="CE25" i="45"/>
  <c r="CE24" i="45"/>
  <c r="CE23" i="45"/>
  <c r="CE22" i="45"/>
  <c r="CE21" i="45"/>
  <c r="CE19" i="45"/>
  <c r="CE18" i="45"/>
  <c r="CE17" i="45"/>
  <c r="CE16" i="45"/>
  <c r="CE15" i="45"/>
  <c r="CE11" i="45"/>
  <c r="CE9" i="45"/>
  <c r="CE8" i="45"/>
  <c r="CE7" i="45"/>
  <c r="CB50" i="45"/>
  <c r="CB49" i="45"/>
  <c r="CB108" i="45" l="1"/>
  <c r="CB80" i="45" l="1"/>
  <c r="CB39" i="45" l="1"/>
  <c r="CE39" i="45" s="1"/>
  <c r="CB37" i="45"/>
  <c r="CB14" i="45"/>
  <c r="CB44" i="45" l="1"/>
  <c r="CB13" i="45" l="1"/>
  <c r="CB10" i="45"/>
  <c r="CB6" i="45"/>
  <c r="CB5" i="45" l="1"/>
  <c r="CB20" i="45"/>
  <c r="CB79" i="45" l="1"/>
  <c r="CB89" i="45" l="1"/>
  <c r="CK86" i="45" l="1"/>
  <c r="CK85" i="45"/>
  <c r="BN7" i="25"/>
  <c r="Q34" i="16"/>
  <c r="BH56" i="55"/>
  <c r="BH55" i="55"/>
  <c r="BH17" i="55"/>
  <c r="BH63" i="55"/>
  <c r="BH62" i="55"/>
  <c r="BH61" i="55"/>
  <c r="BH60" i="55"/>
  <c r="BH59" i="55"/>
  <c r="BH58" i="55"/>
  <c r="BH64" i="55" s="1"/>
  <c r="BC97" i="55"/>
  <c r="BD97" i="55"/>
  <c r="BE97" i="55"/>
  <c r="BE98" i="55" s="1"/>
  <c r="BF97" i="55"/>
  <c r="BG97" i="55"/>
  <c r="BH97" i="55"/>
  <c r="BC98" i="55"/>
  <c r="BD98" i="55"/>
  <c r="BF98" i="55"/>
  <c r="BG98" i="55"/>
  <c r="BH98" i="55"/>
  <c r="BX128" i="45"/>
  <c r="BY128" i="45"/>
  <c r="BZ128" i="45"/>
  <c r="CA128" i="45"/>
  <c r="CE128" i="45" s="1"/>
  <c r="BV128" i="45"/>
  <c r="BW128" i="45"/>
  <c r="BR128" i="45"/>
  <c r="BS128" i="45"/>
  <c r="BT128" i="45"/>
  <c r="BU128" i="45"/>
  <c r="BQ128" i="45"/>
  <c r="BH9" i="55" l="1"/>
  <c r="BH10" i="55"/>
  <c r="BH11" i="55"/>
  <c r="BH12" i="55"/>
  <c r="BH13" i="55"/>
  <c r="BH14" i="55"/>
  <c r="BH15" i="55"/>
  <c r="BH11" i="54"/>
  <c r="BH16" i="54"/>
  <c r="BH18" i="54"/>
  <c r="BH19" i="54"/>
  <c r="BH10" i="54" s="1"/>
  <c r="BH20" i="54"/>
  <c r="BH21" i="54"/>
  <c r="BH12" i="54" s="1"/>
  <c r="BH23" i="54"/>
  <c r="BH14" i="54" s="1"/>
  <c r="BH24" i="54"/>
  <c r="BH26" i="54"/>
  <c r="BH30" i="54"/>
  <c r="BH31" i="54"/>
  <c r="BH33" i="54"/>
  <c r="BH34" i="54"/>
  <c r="BG96" i="54"/>
  <c r="BH96" i="54"/>
  <c r="BI98" i="54"/>
  <c r="BG86" i="54"/>
  <c r="BH86" i="54"/>
  <c r="P26" i="20" a="1"/>
  <c r="Q35" i="44" a="1"/>
  <c r="S12" i="46" a="1"/>
  <c r="Q57" i="16" a="1"/>
  <c r="N117" i="20" a="1"/>
  <c r="Q14" i="16" a="1"/>
  <c r="Q39" i="13" a="1"/>
  <c r="P28" i="20" a="1"/>
  <c r="Q25" i="21" a="1"/>
  <c r="P9" i="20" a="1"/>
  <c r="S5" i="46" a="1"/>
  <c r="Q80" i="16" a="1"/>
  <c r="S99" i="46" a="1"/>
  <c r="Q60" i="17" a="1"/>
  <c r="Q43" i="13" a="1"/>
  <c r="P45" i="20" a="1"/>
  <c r="Q54" i="15" a="1"/>
  <c r="Q64" i="13" a="1"/>
  <c r="Q66" i="13" a="1"/>
  <c r="Q33" i="44" a="1"/>
  <c r="Q54" i="16" a="1"/>
  <c r="S94" i="46" a="1"/>
  <c r="Q10" i="16" a="1"/>
  <c r="O79" i="20" a="1"/>
  <c r="Q59" i="16" a="1"/>
  <c r="R28" i="48" a="1"/>
  <c r="Q79" i="26" a="1"/>
  <c r="Q16" i="26" a="1"/>
  <c r="S108" i="46" a="1"/>
  <c r="Q41" i="13" a="1"/>
  <c r="O64" i="20" a="1"/>
  <c r="N91" i="20" a="1"/>
  <c r="S135" i="46" a="1"/>
  <c r="Q7" i="44" a="1"/>
  <c r="Q95" i="17" a="1"/>
  <c r="R39" i="48" a="1"/>
  <c r="S125" i="46" a="1"/>
  <c r="Q91" i="16" a="1"/>
  <c r="Q22" i="13" a="1"/>
  <c r="Q27" i="17" a="1"/>
  <c r="J9" i="13" a="1"/>
  <c r="Q63" i="16" a="1"/>
  <c r="S29" i="46" a="1"/>
  <c r="S106" i="46" a="1"/>
  <c r="Q7" i="17" a="1"/>
  <c r="P24" i="20" a="1"/>
  <c r="S104" i="46" a="1"/>
  <c r="R44" i="48" a="1"/>
  <c r="Q87" i="17" a="1"/>
  <c r="Q114" i="17" a="1"/>
  <c r="Q15" i="16" a="1"/>
  <c r="Q22" i="21" a="1"/>
  <c r="R16" i="48" a="1"/>
  <c r="S32" i="46" a="1"/>
  <c r="S102" i="46" a="1"/>
  <c r="Q7" i="21" a="1"/>
  <c r="N98" i="20" a="1"/>
  <c r="Q21" i="17" a="1"/>
  <c r="Q7" i="16" a="1"/>
  <c r="S126" i="46" a="1"/>
  <c r="Q23" i="26" a="1"/>
  <c r="Q59" i="13" a="1"/>
  <c r="P51" i="20" a="1"/>
  <c r="P16" i="20" a="1"/>
  <c r="Q18" i="44" a="1"/>
  <c r="N111" i="20" a="1"/>
  <c r="S101" i="46" a="1"/>
  <c r="N103" i="20" a="1"/>
  <c r="N109" i="20" a="1"/>
  <c r="O65" i="20" a="1"/>
  <c r="Q60" i="16" a="1"/>
  <c r="Q54" i="17" a="1"/>
  <c r="N118" i="20" a="1"/>
  <c r="Q39" i="16" a="1"/>
  <c r="Q13" i="16" a="1"/>
  <c r="P21" i="20" a="1"/>
  <c r="Q44" i="21" a="1"/>
  <c r="O34" i="20" a="1"/>
  <c r="Q15" i="21" a="1"/>
  <c r="S46" i="46" a="1"/>
  <c r="Q78" i="17" a="1"/>
  <c r="Q58" i="13" a="1"/>
  <c r="Q43" i="21" a="1"/>
  <c r="Q19" i="26" a="1"/>
  <c r="P10" i="20" a="1"/>
  <c r="S118" i="46" a="1"/>
  <c r="P9" i="13" a="1"/>
  <c r="Q49" i="16" a="1"/>
  <c r="Q36" i="16" a="1"/>
  <c r="S25" i="46" a="1"/>
  <c r="Q92" i="16" a="1"/>
  <c r="Q54" i="21" a="1"/>
  <c r="Q26" i="13" a="1"/>
  <c r="Q58" i="17" a="1"/>
  <c r="Q24" i="21" a="1"/>
  <c r="Q22" i="17" a="1"/>
  <c r="S115" i="46" a="1"/>
  <c r="R12" i="48" a="1"/>
  <c r="Q37" i="44" a="1"/>
  <c r="S113" i="46" a="1"/>
  <c r="Q41" i="17" a="1"/>
  <c r="P37" i="20" a="1"/>
  <c r="Q55" i="26" a="1"/>
  <c r="Q10" i="21" a="1"/>
  <c r="Q29" i="13" a="1"/>
  <c r="Q31" i="44" a="1"/>
  <c r="P41" i="20" a="1"/>
  <c r="Q99" i="16" a="1"/>
  <c r="Q112" i="17" a="1"/>
  <c r="P15" i="20" a="1"/>
  <c r="Q30" i="17" a="1"/>
  <c r="Q42" i="21" a="1"/>
  <c r="S73" i="46" a="1"/>
  <c r="Q71" i="17" a="1"/>
  <c r="Q115" i="17" a="1"/>
  <c r="Q102" i="16" a="1"/>
  <c r="Q86" i="16" a="1"/>
  <c r="Q78" i="26" a="1"/>
  <c r="Q69" i="17" a="1"/>
  <c r="R13" i="48" a="1"/>
  <c r="P55" i="20" a="1"/>
  <c r="Q100" i="17" a="1"/>
  <c r="Q58" i="16" a="1"/>
  <c r="O83" i="20" a="1"/>
  <c r="R30" i="48" a="1"/>
  <c r="Q17" i="21" a="1"/>
  <c r="Q35" i="13" a="1"/>
  <c r="Q45" i="13" a="1"/>
  <c r="S144" i="46" a="1"/>
  <c r="Q56" i="17" a="1"/>
  <c r="S142" i="46" a="1"/>
  <c r="Q36" i="17" a="1"/>
  <c r="Q45" i="17" a="1"/>
  <c r="Q24" i="44" a="1"/>
  <c r="Q76" i="17" a="1"/>
  <c r="S63" i="46" a="1"/>
  <c r="Q14" i="13" a="1"/>
  <c r="S81" i="46" a="1"/>
  <c r="O67" i="20" a="1"/>
  <c r="Q107" i="16" a="1"/>
  <c r="S54" i="46" a="1"/>
  <c r="S37" i="46" a="1"/>
  <c r="S141" i="46" a="1"/>
  <c r="K8" i="13" a="1"/>
  <c r="S11" i="46" a="1"/>
  <c r="O82" i="20" a="1"/>
  <c r="S111" i="46" a="1"/>
  <c r="Q96" i="16" a="1"/>
  <c r="Q31" i="17" a="1"/>
  <c r="Q85" i="16" a="1"/>
  <c r="S109" i="46" a="1"/>
  <c r="Q11" i="13" a="1"/>
  <c r="R33" i="48" a="1"/>
  <c r="Q30" i="21" a="1"/>
  <c r="Q39" i="21" a="1"/>
  <c r="Q25" i="17" a="1"/>
  <c r="Q10" i="26" a="1"/>
  <c r="Q61" i="26" a="1"/>
  <c r="O73" i="20" a="1"/>
  <c r="Q11" i="44" a="1"/>
  <c r="Q52" i="21" a="1"/>
  <c r="Q93" i="17" a="1"/>
  <c r="S22" i="46" a="1"/>
  <c r="Q69" i="13" a="1"/>
  <c r="Q37" i="21" a="1"/>
  <c r="Q48" i="16" a="1"/>
  <c r="Q8" i="16" a="1"/>
  <c r="O66" i="20" a="1"/>
  <c r="S119" i="46" a="1"/>
  <c r="Q98" i="16" a="1"/>
  <c r="N116" i="20" a="1"/>
  <c r="Q56" i="16" a="1"/>
  <c r="Q26" i="21" a="1"/>
  <c r="R42" i="48" a="1"/>
  <c r="Q79" i="17" a="1"/>
  <c r="L8" i="13" a="1"/>
  <c r="Q65" i="16" a="1"/>
  <c r="Q11" i="21" a="1"/>
  <c r="S76" i="46" a="1"/>
  <c r="S7" i="46" a="1"/>
  <c r="Q45" i="16" a="1"/>
  <c r="Q75" i="26" a="1"/>
  <c r="S18" i="46" a="1"/>
  <c r="Q23" i="17" a="1"/>
  <c r="Q88" i="17" a="1"/>
  <c r="Q16" i="17" a="1"/>
  <c r="S67" i="46" a="1"/>
  <c r="Q81" i="17" a="1"/>
  <c r="Q59" i="17" a="1"/>
  <c r="P14" i="20" a="1"/>
  <c r="Q39" i="44" a="1"/>
  <c r="Q81" i="26" a="1"/>
  <c r="Q89" i="17" a="1"/>
  <c r="Q11" i="16" a="1"/>
  <c r="Q20" i="17" a="1"/>
  <c r="Q51" i="21" a="1"/>
  <c r="Q64" i="26" a="1"/>
  <c r="S83" i="46" a="1"/>
  <c r="O86" i="20" a="1"/>
  <c r="Q95" i="16" a="1"/>
  <c r="S50" i="46" a="1"/>
  <c r="Q38" i="13" a="1"/>
  <c r="Q33" i="21" a="1"/>
  <c r="N106" i="20" a="1"/>
  <c r="Q34" i="21" a="1"/>
  <c r="Q74" i="17" a="1"/>
  <c r="P46" i="20" a="1"/>
  <c r="S39" i="46" a="1"/>
  <c r="Q101" i="16" a="1"/>
  <c r="S21" i="46" a="1"/>
  <c r="Q18" i="26" a="1"/>
  <c r="S6" i="46" a="1"/>
  <c r="Q42" i="13" a="1"/>
  <c r="Q82" i="26" a="1"/>
  <c r="S20" i="46" a="1"/>
  <c r="Q61" i="13" a="1"/>
  <c r="Q65" i="17" a="1"/>
  <c r="P22" i="20" a="1"/>
  <c r="K7" i="13" a="1"/>
  <c r="R36" i="48" a="1"/>
  <c r="P17" i="20" a="1"/>
  <c r="S16" i="46" a="1"/>
  <c r="Q19" i="21" a="1"/>
  <c r="R19" i="48" a="1"/>
  <c r="Q80" i="17" a="1"/>
  <c r="Q29" i="17" a="1"/>
  <c r="R32" i="48" a="1"/>
  <c r="S9" i="46" a="1"/>
  <c r="P6" i="20" a="1"/>
  <c r="S131" i="46" a="1"/>
  <c r="Q96" i="17" a="1"/>
  <c r="Q109" i="16" a="1"/>
  <c r="Q19" i="13" a="1"/>
  <c r="Q53" i="13" a="1"/>
  <c r="Q35" i="17" a="1"/>
  <c r="O85" i="20" a="1"/>
  <c r="O63" i="20" a="1"/>
  <c r="Q18" i="16" a="1"/>
  <c r="Q68" i="17" a="1"/>
  <c r="Q17" i="16" a="1"/>
  <c r="N107" i="20" a="1"/>
  <c r="S52" i="46" a="1"/>
  <c r="S137" i="46" a="1"/>
  <c r="N100" i="20" a="1"/>
  <c r="Q46" i="16" a="1"/>
  <c r="Q20" i="44" a="1"/>
  <c r="Q23" i="13" a="1"/>
  <c r="P33" i="20" a="1"/>
  <c r="S105" i="46" a="1"/>
  <c r="N96" i="20" a="1"/>
  <c r="S146" i="46" a="1"/>
  <c r="P8" i="20" a="1"/>
  <c r="Q24" i="26" a="1"/>
  <c r="Q16" i="21" a="1"/>
  <c r="Q63" i="13" a="1"/>
  <c r="Q67" i="17" a="1"/>
  <c r="Q32" i="44" a="1"/>
  <c r="Q22" i="16" a="1"/>
  <c r="O78" i="20" a="1"/>
  <c r="O61" i="20" a="1"/>
  <c r="J8" i="13" a="1"/>
  <c r="S153" i="46" a="1"/>
  <c r="Q27" i="13" a="1"/>
  <c r="P31" i="20" a="1"/>
  <c r="Q25" i="16" a="1"/>
  <c r="S147" i="46" a="1"/>
  <c r="P53" i="20" a="1"/>
  <c r="Q50" i="17" a="1"/>
  <c r="O60" i="20" a="1"/>
  <c r="S116" i="46" a="1"/>
  <c r="Q88" i="16" a="1"/>
  <c r="R35" i="48" a="1"/>
  <c r="Q11" i="17" a="1"/>
  <c r="S107" i="46" a="1"/>
  <c r="N101" i="20" a="1"/>
  <c r="S53" i="46" a="1"/>
  <c r="Q99" i="17" a="1"/>
  <c r="Q58" i="26" a="1"/>
  <c r="Q28" i="44" a="1"/>
  <c r="Q108" i="17" a="1"/>
  <c r="Q21" i="26" a="1"/>
  <c r="Q23" i="44" a="1"/>
  <c r="S40" i="46" a="1"/>
  <c r="Q100" i="16" a="1"/>
  <c r="O62" i="20" a="1"/>
  <c r="Q31" i="21" a="1"/>
  <c r="Q50" i="21" a="1"/>
  <c r="Q53" i="16" a="1"/>
  <c r="Q59" i="26" a="1"/>
  <c r="P11" i="20" a="1"/>
  <c r="S85" i="46" a="1"/>
  <c r="L9" i="13" a="1"/>
  <c r="S77" i="46" a="1"/>
  <c r="Q6" i="44" a="1"/>
  <c r="S61" i="46" a="1"/>
  <c r="Q13" i="21" a="1"/>
  <c r="S140" i="46" a="1"/>
  <c r="S38" i="46" a="1"/>
  <c r="Q116" i="17" a="1"/>
  <c r="S154" i="46" a="1"/>
  <c r="Q25" i="26" a="1"/>
  <c r="Q65" i="26" a="1"/>
  <c r="K9" i="13" a="1"/>
  <c r="N104" i="20" a="1"/>
  <c r="Q43" i="17" a="1"/>
  <c r="Q39" i="17" a="1"/>
  <c r="Q8" i="44" a="1"/>
  <c r="S60" i="46" a="1"/>
  <c r="Q48" i="13" a="1"/>
  <c r="Q19" i="17" a="1"/>
  <c r="S103" i="46" a="1"/>
  <c r="S114" i="46" a="1"/>
  <c r="Q49" i="13" a="1"/>
  <c r="Q15" i="44" a="1"/>
  <c r="S58" i="46" a="1"/>
  <c r="P13" i="20" a="1"/>
  <c r="S139" i="46" a="1"/>
  <c r="Q111" i="17" a="1"/>
  <c r="Q51" i="17" a="1"/>
  <c r="O90" i="20" a="1"/>
  <c r="S31" i="46" a="1"/>
  <c r="Q16" i="16" a="1"/>
  <c r="S33" i="46" a="1"/>
  <c r="S48" i="46" a="1"/>
  <c r="S136" i="46" a="1"/>
  <c r="Q72" i="26" a="1"/>
  <c r="Q67" i="16" a="1"/>
  <c r="Q9" i="17" a="1"/>
  <c r="Q51" i="13" a="1"/>
  <c r="S120" i="46" a="1"/>
  <c r="N92" i="20" a="1"/>
  <c r="S152" i="46" a="1"/>
  <c r="Q62" i="16" a="1"/>
  <c r="S82" i="46" a="1"/>
  <c r="Q44" i="13" a="1"/>
  <c r="S57" i="46" a="1"/>
  <c r="Q52" i="13" a="1"/>
  <c r="O77" i="20" a="1"/>
  <c r="O35" i="20" a="1"/>
  <c r="Q94" i="16" a="1"/>
  <c r="P7" i="13" a="1"/>
  <c r="P27" i="20" a="1"/>
  <c r="S127" i="46" a="1"/>
  <c r="Q22" i="44" a="1"/>
  <c r="S24" i="46" a="1"/>
  <c r="P39" i="20" a="1"/>
  <c r="Q74" i="26" a="1"/>
  <c r="O69" i="20" a="1"/>
  <c r="S128" i="46" a="1"/>
  <c r="Q28" i="17" a="1"/>
  <c r="Q75" i="17" a="1"/>
  <c r="P57" i="20" a="1"/>
  <c r="Q9" i="44" a="1"/>
  <c r="P29" i="20" a="1"/>
  <c r="S78" i="46" a="1"/>
  <c r="Q27" i="16" a="1"/>
  <c r="Q105" i="16" a="1"/>
  <c r="Q37" i="16" a="1"/>
  <c r="Q10" i="13" a="1"/>
  <c r="Q12" i="13" a="1"/>
  <c r="Q71" i="16" a="1"/>
  <c r="S41" i="46" a="1"/>
  <c r="Q18" i="13" a="1"/>
  <c r="S13" i="46" a="1"/>
  <c r="R17" i="48" a="1"/>
  <c r="Q16" i="13" a="1"/>
  <c r="S148" i="46" a="1"/>
  <c r="Q13" i="13" a="1"/>
  <c r="R45" i="48" a="1"/>
  <c r="N115" i="20" a="1"/>
  <c r="O89" i="20" a="1"/>
  <c r="Q29" i="21" a="1"/>
  <c r="P25" i="20" a="1"/>
  <c r="S149" i="46" a="1"/>
  <c r="S124" i="46" a="1"/>
  <c r="R9" i="48" a="1"/>
  <c r="Q64" i="16" a="1"/>
  <c r="Q46" i="13" a="1"/>
  <c r="Q10" i="17" a="1"/>
  <c r="Q6" i="16" a="1"/>
  <c r="Q97" i="17" a="1"/>
  <c r="S65" i="46" a="1"/>
  <c r="Q76" i="26" a="1"/>
  <c r="Q63" i="17" a="1"/>
  <c r="Q104" i="17" a="1"/>
  <c r="Q36" i="44" a="1"/>
  <c r="S23" i="46" a="1"/>
  <c r="Q107" i="17" a="1"/>
  <c r="Q8" i="26" a="1"/>
  <c r="Q70" i="17" a="1"/>
  <c r="Q24" i="13" a="1"/>
  <c r="Q6" i="13" a="1"/>
  <c r="Q17" i="17" a="1"/>
  <c r="Q113" i="17" a="1"/>
  <c r="Q49" i="21" a="1"/>
  <c r="P8" i="13" a="1"/>
  <c r="Q45" i="21" a="1"/>
  <c r="Q64" i="19" a="1"/>
  <c r="Q29" i="44" a="1"/>
  <c r="Q81" i="16" a="1"/>
  <c r="Q28" i="21" a="1"/>
  <c r="N94" i="20" a="1"/>
  <c r="Q42" i="17" a="1"/>
  <c r="Q62" i="26" a="1"/>
  <c r="Q12" i="21" a="1"/>
  <c r="Q20" i="13" a="1"/>
  <c r="R14" i="48" a="1"/>
  <c r="O80" i="20" a="1"/>
  <c r="R27" i="48" a="1"/>
  <c r="Q6" i="21" a="1"/>
  <c r="Q68" i="13" a="1"/>
  <c r="Q56" i="26" a="1"/>
  <c r="R24" i="48" a="1"/>
  <c r="Q20" i="26" a="1"/>
  <c r="Q34" i="13" a="1"/>
  <c r="Q12" i="16" a="1"/>
  <c r="Q24" i="17" a="1"/>
  <c r="Q49" i="17" a="1"/>
  <c r="R11" i="48" a="1"/>
  <c r="Q24" i="16" a="1"/>
  <c r="S97" i="46" a="1"/>
  <c r="S75" i="46" a="1"/>
  <c r="Q104" i="16" a="1"/>
  <c r="N99" i="20" a="1"/>
  <c r="P54" i="20" a="1"/>
  <c r="Q8" i="21" a="1"/>
  <c r="R20" i="48" a="1"/>
  <c r="Q9" i="21" a="1"/>
  <c r="Q69" i="16" a="1"/>
  <c r="S156" i="46" a="1"/>
  <c r="Q77" i="17" a="1"/>
  <c r="Q6" i="15" a="1"/>
  <c r="Q110" i="17" a="1"/>
  <c r="Q25" i="44" a="1"/>
  <c r="Q19" i="44" a="1"/>
  <c r="S123" i="46" a="1"/>
  <c r="N114" i="20" a="1"/>
  <c r="S96" i="46" a="1"/>
  <c r="R15" i="48" a="1"/>
  <c r="Q6" i="17" a="1"/>
  <c r="Q14" i="17" a="1"/>
  <c r="Q12" i="44" a="1"/>
  <c r="R26" i="48" a="1"/>
  <c r="Q52" i="17" a="1"/>
  <c r="Q42" i="16" a="1"/>
  <c r="Q101" i="17" a="1"/>
  <c r="Q14" i="21" a="1"/>
  <c r="Q31" i="13" a="1"/>
  <c r="S28" i="46" a="1"/>
  <c r="S71" i="46" a="1"/>
  <c r="Q66" i="17" a="1"/>
  <c r="P52" i="20" a="1"/>
  <c r="L7" i="13" a="1"/>
  <c r="N105" i="20" a="1"/>
  <c r="S93" i="46" a="1"/>
  <c r="Q41" i="21" a="1"/>
  <c r="S14" i="46" a="1"/>
  <c r="S89" i="46" a="1"/>
  <c r="S84" i="46" a="1"/>
  <c r="N112" i="20" a="1"/>
  <c r="Q78" i="16" a="1"/>
  <c r="S59" i="46" a="1"/>
  <c r="O88" i="20" a="1"/>
  <c r="Q53" i="17" a="1"/>
  <c r="S44" i="46" a="1"/>
  <c r="S36" i="46" a="1"/>
  <c r="Q16" i="44" a="1"/>
  <c r="P42" i="20" a="1"/>
  <c r="N108" i="20" a="1"/>
  <c r="Q57" i="26" a="1"/>
  <c r="S45" i="46" a="1"/>
  <c r="Q83" i="26" a="1"/>
  <c r="Q63" i="26" a="1"/>
  <c r="Q28" i="13" a="1"/>
  <c r="Q54" i="13" a="1"/>
  <c r="Q48" i="17" a="1"/>
  <c r="P58" i="20" a="1"/>
  <c r="Q17" i="26" a="1"/>
  <c r="S69" i="46" a="1"/>
  <c r="Q103" i="16" a="1"/>
  <c r="Q77" i="16" a="1"/>
  <c r="O87" i="20" a="1"/>
  <c r="Q82" i="17" a="1"/>
  <c r="Q106" i="17" a="1"/>
  <c r="S66" i="46" a="1"/>
  <c r="P12" i="20" a="1"/>
  <c r="R29" i="48" a="1"/>
  <c r="S90" i="46" a="1"/>
  <c r="Q9" i="26" a="1"/>
  <c r="Q8" i="17" a="1"/>
  <c r="Q40" i="21" a="1"/>
  <c r="Q61" i="16" a="1"/>
  <c r="P44" i="20" a="1"/>
  <c r="Q93" i="16" a="1"/>
  <c r="O70" i="20" a="1"/>
  <c r="Q13" i="44" a="1"/>
  <c r="Q89" i="16" a="1"/>
  <c r="Q109" i="17" a="1"/>
  <c r="Q73" i="16" a="1"/>
  <c r="S158" i="46" a="1"/>
  <c r="R38" i="48" a="1"/>
  <c r="R7" i="48" a="1"/>
  <c r="Q80" i="26" a="1"/>
  <c r="N110" i="20" a="1"/>
  <c r="S19" i="46" a="1"/>
  <c r="Q26" i="16" a="1"/>
  <c r="R40" i="48" a="1"/>
  <c r="Q105" i="17" a="1"/>
  <c r="P18" i="20" a="1"/>
  <c r="Q33" i="13" a="1"/>
  <c r="Q91" i="17" a="1"/>
  <c r="S70" i="46" a="1"/>
  <c r="Q90" i="16" a="1"/>
  <c r="Q26" i="44" a="1"/>
  <c r="Q46" i="21" a="1"/>
  <c r="Q40" i="13" a="1"/>
  <c r="Q13" i="17" a="1"/>
  <c r="Q38" i="17" a="1"/>
  <c r="Q22" i="26" a="1"/>
  <c r="N7" i="13" a="1"/>
  <c r="Q79" i="16" a="1"/>
  <c r="Q17" i="13" a="1"/>
  <c r="Q23" i="16" a="1"/>
  <c r="S112" i="46" a="1"/>
  <c r="O72" i="20" a="1"/>
  <c r="Q87" i="16" a="1"/>
  <c r="Q38" i="44" a="1"/>
  <c r="Q98" i="17" a="1"/>
  <c r="S129" i="46" a="1"/>
  <c r="S26" i="46" a="1"/>
  <c r="S8" i="46" a="1"/>
  <c r="P48" i="20" a="1"/>
  <c r="O71" i="20" a="1"/>
  <c r="S117" i="46" a="1"/>
  <c r="N9" i="13" a="1"/>
  <c r="S35" i="46" a="1"/>
  <c r="Q55" i="21" a="1"/>
  <c r="Q72" i="16" a="1"/>
  <c r="S138" i="46" a="1"/>
  <c r="Q97" i="16" a="1"/>
  <c r="N102" i="20" a="1"/>
  <c r="R37" i="48" a="1"/>
  <c r="Q21" i="13" a="1"/>
  <c r="S42" i="46" a="1"/>
  <c r="S62" i="46" a="1"/>
  <c r="O76" i="20" a="1"/>
  <c r="Q57" i="17" a="1"/>
  <c r="R25" i="48" a="1"/>
  <c r="Q103" i="17" a="1"/>
  <c r="S34" i="46" a="1"/>
  <c r="Q36" i="13" a="1"/>
  <c r="Q37" i="17" a="1"/>
  <c r="Q106" i="16" a="1"/>
  <c r="Q65" i="13" a="1"/>
  <c r="R6" i="48" a="1"/>
  <c r="S80" i="46" a="1"/>
  <c r="Q34" i="44" a="1"/>
  <c r="S145" i="46" a="1"/>
  <c r="N8" i="13" a="1"/>
  <c r="Q52" i="16" a="1"/>
  <c r="N97" i="20" a="1"/>
  <c r="Q71" i="26" a="1"/>
  <c r="Q62" i="13" a="1"/>
  <c r="Q48" i="21" a="1"/>
  <c r="Q35" i="21" a="1"/>
  <c r="Q55" i="17" a="1"/>
  <c r="S134" i="46" a="1"/>
  <c r="O84" i="20" a="1"/>
  <c r="P7" i="20" a="1"/>
  <c r="S157" i="46" a="1"/>
  <c r="Q18" i="21" a="1"/>
  <c r="S43" i="46" a="1"/>
  <c r="Q73" i="17" a="1"/>
  <c r="Q34" i="17" a="1"/>
  <c r="S72" i="46" a="1"/>
  <c r="Q47" i="17" a="1"/>
  <c r="Q46" i="17" a="1"/>
  <c r="Q40" i="17" a="1"/>
  <c r="R22" i="48" a="1"/>
  <c r="Q85" i="17" a="1"/>
  <c r="P56" i="20" a="1"/>
  <c r="Q94" i="15" a="1"/>
  <c r="Q49" i="26" a="1"/>
  <c r="S143" i="46" a="1"/>
  <c r="Q12" i="17" a="1"/>
  <c r="S17" i="46" a="1"/>
  <c r="Q47" i="21" a="1"/>
  <c r="P20" i="20" a="1"/>
  <c r="R8" i="48" a="1"/>
  <c r="S47" i="46" a="1"/>
  <c r="Q27" i="44" a="1"/>
  <c r="O81" i="20" a="1"/>
  <c r="Q55" i="16" a="1"/>
  <c r="Q20" i="16" a="1"/>
  <c r="P36" i="20" a="1"/>
  <c r="Q108" i="16" a="1"/>
  <c r="S130" i="46" a="1"/>
  <c r="N93" i="20" a="1"/>
  <c r="Q67" i="13" a="1"/>
  <c r="Q75" i="16" a="1"/>
  <c r="Q70" i="13" a="1"/>
  <c r="R10" i="48" a="1"/>
  <c r="Q36" i="21" a="1"/>
  <c r="S122" i="46" a="1"/>
  <c r="Q76" i="16" a="1"/>
  <c r="Q66" i="16" a="1"/>
  <c r="Q37" i="13" a="1"/>
  <c r="P38" i="20" a="1"/>
  <c r="S56" i="46" a="1"/>
  <c r="Q66" i="26" a="1"/>
  <c r="Q84" i="16" a="1"/>
  <c r="Q92" i="17" a="1"/>
  <c r="Q86" i="17" a="1"/>
  <c r="R21" i="48" a="1"/>
  <c r="O75" i="20" a="1"/>
  <c r="Q60" i="13" a="1"/>
  <c r="Q82" i="16" a="1"/>
  <c r="S110" i="46" a="1"/>
  <c r="Q50" i="13" a="1"/>
  <c r="Q43" i="16" a="1"/>
  <c r="Q25" i="13" a="1"/>
  <c r="N95" i="20" a="1"/>
  <c r="S27" i="46" a="1"/>
  <c r="Q38" i="16" a="1"/>
  <c r="Q44" i="16" a="1"/>
  <c r="Q53" i="21" a="1"/>
  <c r="Q64" i="17" a="1"/>
  <c r="S74" i="46" a="1"/>
  <c r="Q30" i="13" a="1"/>
  <c r="Q27" i="21" a="1"/>
  <c r="P40" i="20" a="1"/>
  <c r="S92" i="46" a="1"/>
  <c r="S132" i="46" a="1"/>
  <c r="P47" i="20" a="1"/>
  <c r="Q84" i="17" a="1"/>
  <c r="Q30" i="44" a="1"/>
  <c r="S15" i="46" a="1"/>
  <c r="P50" i="20" a="1"/>
  <c r="Q33" i="17" a="1"/>
  <c r="Q90" i="17" a="1"/>
  <c r="P19" i="20" a="1"/>
  <c r="Q32" i="21" a="1"/>
  <c r="Q32" i="17" a="1"/>
  <c r="S121" i="46" a="1"/>
  <c r="S98" i="46" a="1"/>
  <c r="O68" i="20" a="1"/>
  <c r="Q26" i="17" a="1"/>
  <c r="Q54" i="26" a="1"/>
  <c r="R23" i="48" a="1"/>
  <c r="Q15" i="17" a="1"/>
  <c r="Q47" i="13" a="1"/>
  <c r="Q70" i="16" a="1"/>
  <c r="S159" i="46" a="1"/>
  <c r="S68" i="46" a="1"/>
  <c r="S49" i="46" a="1"/>
  <c r="R31" i="48" a="1"/>
  <c r="S150" i="46" a="1"/>
  <c r="Q38" i="21" a="1"/>
  <c r="Q102" i="17" a="1"/>
  <c r="S100" i="46" a="1"/>
  <c r="R47" i="48" a="1"/>
  <c r="P30" i="20" a="1"/>
  <c r="R18" i="48" a="1"/>
  <c r="Q21" i="16" a="1"/>
  <c r="R41" i="48" a="1"/>
  <c r="S64" i="46" a="1"/>
  <c r="S51" i="46" a="1"/>
  <c r="Q9" i="16" a="1"/>
  <c r="Q74" i="16" a="1"/>
  <c r="O74" i="20" a="1"/>
  <c r="Q23" i="21" a="1"/>
  <c r="S155" i="46" a="1"/>
  <c r="J7" i="13" a="1"/>
  <c r="Q19" i="16" a="1"/>
  <c r="S151" i="46" a="1"/>
  <c r="S88" i="46" a="1"/>
  <c r="Q73" i="26" a="1"/>
  <c r="P43" i="20" a="1"/>
  <c r="Q72" i="17" a="1"/>
  <c r="Q83" i="17" a="1"/>
  <c r="S30" i="46" a="1"/>
  <c r="Q6" i="26" a="1"/>
  <c r="Q62" i="17" a="1"/>
  <c r="S10" i="46" a="1"/>
  <c r="Q47" i="16" a="1"/>
  <c r="R46" i="48" a="1"/>
  <c r="Q15" i="13" a="1"/>
  <c r="S133" i="46" a="1"/>
  <c r="Q94" i="17" a="1"/>
  <c r="S95" i="46" a="1"/>
  <c r="N113" i="20" a="1"/>
  <c r="R43" i="48" a="1"/>
  <c r="BH9" i="54" l="1"/>
  <c r="BH7" i="54"/>
  <c r="Q17" i="16"/>
  <c r="N104" i="20"/>
  <c r="P22" i="20"/>
  <c r="Q72" i="26"/>
  <c r="P10" i="20"/>
  <c r="N113" i="20"/>
  <c r="Q67" i="13"/>
  <c r="Q26" i="21"/>
  <c r="S111" i="46"/>
  <c r="P37" i="20"/>
  <c r="Q29" i="17"/>
  <c r="R30" i="48"/>
  <c r="S49" i="46"/>
  <c r="S20" i="46"/>
  <c r="P27" i="20"/>
  <c r="Q15" i="16"/>
  <c r="Q34" i="44"/>
  <c r="Q69" i="17"/>
  <c r="Q8" i="26"/>
  <c r="Q60" i="13"/>
  <c r="S41" i="46"/>
  <c r="Q36" i="21"/>
  <c r="R32" i="48"/>
  <c r="Q41" i="21"/>
  <c r="Q57" i="26"/>
  <c r="S73" i="46"/>
  <c r="Q14" i="21"/>
  <c r="Q9" i="26"/>
  <c r="O63" i="20"/>
  <c r="Q48" i="17"/>
  <c r="Q6" i="17"/>
  <c r="Q85" i="16"/>
  <c r="Q107" i="17"/>
  <c r="S5" i="46"/>
  <c r="R46" i="48"/>
  <c r="Q24" i="13"/>
  <c r="Q27" i="17"/>
  <c r="N99" i="20"/>
  <c r="Q70" i="17"/>
  <c r="Q9" i="17"/>
  <c r="Q49" i="17"/>
  <c r="Q13" i="21"/>
  <c r="Q54" i="16"/>
  <c r="S142" i="46"/>
  <c r="Q38" i="13"/>
  <c r="S31" i="46"/>
  <c r="Q58" i="26"/>
  <c r="Q11" i="16"/>
  <c r="S115" i="46"/>
  <c r="S99" i="46"/>
  <c r="Q55" i="16"/>
  <c r="Q37" i="17"/>
  <c r="Q44" i="16"/>
  <c r="S88" i="46"/>
  <c r="Q104" i="16"/>
  <c r="Q107" i="16"/>
  <c r="O64" i="20"/>
  <c r="S72" i="46"/>
  <c r="Q86" i="17"/>
  <c r="Q97" i="16"/>
  <c r="Q94" i="16"/>
  <c r="S141" i="46"/>
  <c r="S39" i="46"/>
  <c r="Q62" i="16"/>
  <c r="S158" i="46"/>
  <c r="S13" i="46"/>
  <c r="Q13" i="16"/>
  <c r="Q102" i="16"/>
  <c r="S33" i="46"/>
  <c r="Q69" i="13"/>
  <c r="Q24" i="17"/>
  <c r="R41" i="48"/>
  <c r="S138" i="46"/>
  <c r="S23" i="46"/>
  <c r="Q33" i="17"/>
  <c r="P8" i="20"/>
  <c r="S145" i="46"/>
  <c r="Q105" i="16"/>
  <c r="S135" i="46"/>
  <c r="S15" i="46"/>
  <c r="Q12" i="44"/>
  <c r="Q25" i="26"/>
  <c r="Q41" i="17"/>
  <c r="Q38" i="21"/>
  <c r="Q100" i="16"/>
  <c r="Q72" i="17"/>
  <c r="J8" i="13"/>
  <c r="S64" i="46"/>
  <c r="O85" i="20"/>
  <c r="Q113" i="17"/>
  <c r="O77" i="20"/>
  <c r="Q54" i="21"/>
  <c r="Q75" i="26"/>
  <c r="S81" i="46"/>
  <c r="Q114" i="17"/>
  <c r="P17" i="20"/>
  <c r="Q91" i="17"/>
  <c r="O82" i="20"/>
  <c r="Q23" i="13"/>
  <c r="Q27" i="44"/>
  <c r="Q78" i="16"/>
  <c r="Q7" i="16"/>
  <c r="R23" i="48"/>
  <c r="Q79" i="26"/>
  <c r="Q54" i="26"/>
  <c r="P44" i="20"/>
  <c r="S51" i="46"/>
  <c r="Q35" i="21"/>
  <c r="R25" i="48"/>
  <c r="S25" i="46"/>
  <c r="Q8" i="21"/>
  <c r="N116" i="20"/>
  <c r="Q43" i="21"/>
  <c r="Q16" i="13"/>
  <c r="R39" i="48"/>
  <c r="S18" i="46"/>
  <c r="O84" i="20"/>
  <c r="N108" i="20"/>
  <c r="Q26" i="16"/>
  <c r="S56" i="46"/>
  <c r="Q92" i="16"/>
  <c r="S80" i="46"/>
  <c r="S67" i="46"/>
  <c r="S151" i="46"/>
  <c r="Q11" i="17"/>
  <c r="P48" i="20"/>
  <c r="Q96" i="16"/>
  <c r="S77" i="46"/>
  <c r="S146" i="46"/>
  <c r="Q78" i="26"/>
  <c r="Q27" i="13"/>
  <c r="S76" i="46"/>
  <c r="O83" i="20"/>
  <c r="Q14" i="16"/>
  <c r="R33" i="48"/>
  <c r="Q31" i="44"/>
  <c r="S82" i="46"/>
  <c r="Q66" i="13"/>
  <c r="P7" i="20"/>
  <c r="Q112" i="17"/>
  <c r="P57" i="20"/>
  <c r="Q30" i="17"/>
  <c r="Q28" i="17"/>
  <c r="P54" i="20"/>
  <c r="K9" i="13"/>
  <c r="P30" i="20"/>
  <c r="Q20" i="16"/>
  <c r="S130" i="46"/>
  <c r="Q15" i="17"/>
  <c r="Q46" i="13"/>
  <c r="R6" i="48"/>
  <c r="P39" i="20"/>
  <c r="S123" i="46"/>
  <c r="Q11" i="21"/>
  <c r="Q82" i="26"/>
  <c r="S159" i="46"/>
  <c r="Q22" i="21"/>
  <c r="Q60" i="16"/>
  <c r="S61" i="46"/>
  <c r="Q25" i="16"/>
  <c r="N7" i="13"/>
  <c r="Q25" i="17"/>
  <c r="R47" i="48"/>
  <c r="S37" i="46"/>
  <c r="S74" i="46"/>
  <c r="N117" i="20"/>
  <c r="Q40" i="17"/>
  <c r="N9" i="13"/>
  <c r="N97" i="20"/>
  <c r="Q28" i="44"/>
  <c r="N106" i="20"/>
  <c r="Q19" i="17"/>
  <c r="Q34" i="21"/>
  <c r="Q8" i="17"/>
  <c r="Q6" i="13"/>
  <c r="Q64" i="26"/>
  <c r="S70" i="46"/>
  <c r="Q37" i="13"/>
  <c r="Q32" i="17"/>
  <c r="O71" i="20"/>
  <c r="Q15" i="13"/>
  <c r="P25" i="20"/>
  <c r="Q12" i="17"/>
  <c r="P19" i="20"/>
  <c r="Q42" i="21"/>
  <c r="R15" i="48"/>
  <c r="Q58" i="13"/>
  <c r="Q116" i="17"/>
  <c r="Q9" i="21"/>
  <c r="Q84" i="16"/>
  <c r="N94" i="20"/>
  <c r="Q89" i="17"/>
  <c r="S157" i="46"/>
  <c r="Q50" i="17"/>
  <c r="R19" i="48"/>
  <c r="Q51" i="17"/>
  <c r="Q61" i="13"/>
  <c r="Q64" i="13"/>
  <c r="Q34" i="13"/>
  <c r="S136" i="46"/>
  <c r="S95" i="46"/>
  <c r="R7" i="48"/>
  <c r="Q58" i="16"/>
  <c r="S43" i="46"/>
  <c r="Q35" i="44"/>
  <c r="Q98" i="16"/>
  <c r="P45" i="20"/>
  <c r="S113" i="46"/>
  <c r="S108" i="46"/>
  <c r="Q39" i="44"/>
  <c r="S48" i="46"/>
  <c r="Q24" i="16"/>
  <c r="S155" i="46"/>
  <c r="N109" i="20"/>
  <c r="Q87" i="17"/>
  <c r="Q63" i="26"/>
  <c r="Q81" i="16"/>
  <c r="Q49" i="21"/>
  <c r="Q99" i="17"/>
  <c r="S12" i="46"/>
  <c r="S53" i="46"/>
  <c r="Q98" i="17"/>
  <c r="Q8" i="44"/>
  <c r="S140" i="46"/>
  <c r="Q62" i="17"/>
  <c r="Q74" i="17"/>
  <c r="S40" i="46"/>
  <c r="O74" i="20"/>
  <c r="O79" i="20"/>
  <c r="O78" i="20"/>
  <c r="Q74" i="16"/>
  <c r="P8" i="13"/>
  <c r="Q65" i="26"/>
  <c r="Q40" i="13"/>
  <c r="S110" i="46"/>
  <c r="Q65" i="13"/>
  <c r="N107" i="20"/>
  <c r="S84" i="46"/>
  <c r="Q71" i="16"/>
  <c r="P6" i="20"/>
  <c r="Q11" i="44"/>
  <c r="N105" i="20"/>
  <c r="Q26" i="13"/>
  <c r="S147" i="46"/>
  <c r="Q74" i="26"/>
  <c r="Q86" i="16"/>
  <c r="R16" i="48"/>
  <c r="S19" i="46"/>
  <c r="P11" i="20"/>
  <c r="R36" i="48"/>
  <c r="Q93" i="16"/>
  <c r="Q14" i="13"/>
  <c r="Q10" i="17"/>
  <c r="Q16" i="44"/>
  <c r="S50" i="46"/>
  <c r="S52" i="46"/>
  <c r="Q106" i="16"/>
  <c r="O61" i="20"/>
  <c r="Q26" i="17"/>
  <c r="P31" i="20"/>
  <c r="S100" i="46"/>
  <c r="L9" i="13"/>
  <c r="Q13" i="44"/>
  <c r="Q13" i="17"/>
  <c r="S62" i="46"/>
  <c r="S125" i="46"/>
  <c r="Q47" i="16"/>
  <c r="Q109" i="17"/>
  <c r="R11" i="48"/>
  <c r="Q68" i="13"/>
  <c r="Q25" i="44"/>
  <c r="Q21" i="26"/>
  <c r="S150" i="46"/>
  <c r="Q10" i="13"/>
  <c r="R21" i="48"/>
  <c r="R42" i="48"/>
  <c r="S149" i="46"/>
  <c r="Q43" i="17"/>
  <c r="N118" i="20"/>
  <c r="Q24" i="26"/>
  <c r="Q76" i="16"/>
  <c r="Q56" i="26"/>
  <c r="Q83" i="26"/>
  <c r="O62" i="20"/>
  <c r="Q17" i="17"/>
  <c r="S22" i="46"/>
  <c r="Q64" i="19"/>
  <c r="O90" i="20"/>
  <c r="Q79" i="17"/>
  <c r="Q39" i="13"/>
  <c r="Q96" i="17"/>
  <c r="P7" i="13"/>
  <c r="Q21" i="13"/>
  <c r="Q22" i="16"/>
  <c r="P24" i="20"/>
  <c r="Q81" i="26"/>
  <c r="Q18" i="21"/>
  <c r="O80" i="20"/>
  <c r="K8" i="13"/>
  <c r="P12" i="20"/>
  <c r="Q14" i="17"/>
  <c r="P21" i="20"/>
  <c r="S127" i="46"/>
  <c r="Q22" i="17"/>
  <c r="Q38" i="16"/>
  <c r="S85" i="46"/>
  <c r="N103" i="20"/>
  <c r="Q36" i="17"/>
  <c r="Q77" i="17"/>
  <c r="Q101" i="17"/>
  <c r="Q88" i="16"/>
  <c r="Q90" i="16"/>
  <c r="Q62" i="26"/>
  <c r="Q6" i="21"/>
  <c r="S154" i="46"/>
  <c r="Q50" i="21"/>
  <c r="Q82" i="16"/>
  <c r="O81" i="20"/>
  <c r="Q56" i="16"/>
  <c r="Q23" i="44"/>
  <c r="S42" i="46"/>
  <c r="O86" i="20"/>
  <c r="Q50" i="13"/>
  <c r="S17" i="46"/>
  <c r="Q115" i="17"/>
  <c r="Q30" i="13"/>
  <c r="N112" i="20"/>
  <c r="P18" i="20"/>
  <c r="Q17" i="21"/>
  <c r="Q47" i="13"/>
  <c r="S44" i="46"/>
  <c r="Q36" i="13"/>
  <c r="S156" i="46"/>
  <c r="S38" i="46"/>
  <c r="Q8" i="16"/>
  <c r="S10" i="46"/>
  <c r="Q53" i="16"/>
  <c r="R28" i="48"/>
  <c r="O68" i="20"/>
  <c r="Q30" i="21"/>
  <c r="P50" i="20"/>
  <c r="Q45" i="21"/>
  <c r="Q110" i="17"/>
  <c r="Q92" i="17"/>
  <c r="Q76" i="26"/>
  <c r="Q57" i="17"/>
  <c r="P41" i="20"/>
  <c r="R12" i="48"/>
  <c r="Q99" i="16"/>
  <c r="R13" i="48"/>
  <c r="Q33" i="21"/>
  <c r="Q6" i="26"/>
  <c r="Q62" i="13"/>
  <c r="Q55" i="26"/>
  <c r="S97" i="46"/>
  <c r="Q31" i="13"/>
  <c r="Q15" i="44"/>
  <c r="Q46" i="16"/>
  <c r="O66" i="20"/>
  <c r="Q42" i="16"/>
  <c r="Q94" i="17"/>
  <c r="O75" i="20"/>
  <c r="S129" i="46"/>
  <c r="S57" i="46"/>
  <c r="S94" i="46"/>
  <c r="P26" i="20"/>
  <c r="S90" i="46"/>
  <c r="Q46" i="17"/>
  <c r="Q93" i="17"/>
  <c r="Q37" i="21"/>
  <c r="Q6" i="44"/>
  <c r="Q23" i="17"/>
  <c r="S128" i="46"/>
  <c r="Q53" i="21"/>
  <c r="R22" i="48"/>
  <c r="Q102" i="17"/>
  <c r="Q70" i="13"/>
  <c r="S63" i="46"/>
  <c r="Q91" i="16"/>
  <c r="O65" i="20"/>
  <c r="Q32" i="44"/>
  <c r="S118" i="46"/>
  <c r="Q59" i="16"/>
  <c r="S75" i="46"/>
  <c r="Q48" i="13"/>
  <c r="S105" i="46"/>
  <c r="S109" i="46"/>
  <c r="S16" i="46"/>
  <c r="S32" i="46"/>
  <c r="S34" i="46"/>
  <c r="J7" i="13"/>
  <c r="P13" i="20"/>
  <c r="Q104" i="17"/>
  <c r="S66" i="46"/>
  <c r="S112" i="46"/>
  <c r="S8" i="46"/>
  <c r="S30" i="46"/>
  <c r="Q19" i="13"/>
  <c r="S104" i="46"/>
  <c r="Q71" i="26"/>
  <c r="Q59" i="26"/>
  <c r="O35" i="20"/>
  <c r="Q18" i="44"/>
  <c r="Q61" i="26"/>
  <c r="Q52" i="13"/>
  <c r="Q79" i="16"/>
  <c r="Q49" i="16"/>
  <c r="Q95" i="17"/>
  <c r="R18" i="48"/>
  <c r="Q16" i="16"/>
  <c r="Q44" i="21"/>
  <c r="Q78" i="17"/>
  <c r="N98" i="20"/>
  <c r="P52" i="20"/>
  <c r="Q84" i="17"/>
  <c r="Q66" i="16"/>
  <c r="N102" i="20"/>
  <c r="Q36" i="16"/>
  <c r="S116" i="46"/>
  <c r="Q80" i="17"/>
  <c r="P40" i="20"/>
  <c r="O67" i="20"/>
  <c r="R10" i="48"/>
  <c r="S29" i="46"/>
  <c r="Q108" i="17"/>
  <c r="Q15" i="21"/>
  <c r="N93" i="20"/>
  <c r="P29" i="20"/>
  <c r="N111" i="20"/>
  <c r="R37" i="48"/>
  <c r="Q45" i="13"/>
  <c r="O69" i="20"/>
  <c r="R20" i="48"/>
  <c r="Q20" i="44"/>
  <c r="Q20" i="26"/>
  <c r="Q17" i="26"/>
  <c r="Q51" i="13"/>
  <c r="S78" i="46"/>
  <c r="Q33" i="44"/>
  <c r="S28" i="46"/>
  <c r="S27" i="46"/>
  <c r="Q27" i="21"/>
  <c r="Q10" i="21"/>
  <c r="R35" i="48"/>
  <c r="Q63" i="17"/>
  <c r="S47" i="46"/>
  <c r="R26" i="48"/>
  <c r="S9" i="46"/>
  <c r="S148" i="46"/>
  <c r="Q83" i="17"/>
  <c r="P33" i="20"/>
  <c r="Q89" i="16"/>
  <c r="Q67" i="17"/>
  <c r="S93" i="46"/>
  <c r="Q42" i="13"/>
  <c r="S117" i="46"/>
  <c r="Q17" i="13"/>
  <c r="Q10" i="16"/>
  <c r="Q12" i="21"/>
  <c r="P16" i="20"/>
  <c r="R45" i="48"/>
  <c r="S58" i="46"/>
  <c r="S134" i="46"/>
  <c r="N8" i="13"/>
  <c r="S54" i="46"/>
  <c r="Q55" i="17"/>
  <c r="S45" i="46"/>
  <c r="P56" i="20"/>
  <c r="Q60" i="17"/>
  <c r="Q28" i="13"/>
  <c r="Q37" i="44"/>
  <c r="R17" i="48"/>
  <c r="Q43" i="16"/>
  <c r="S106" i="46"/>
  <c r="Q25" i="13"/>
  <c r="P38" i="20"/>
  <c r="Q23" i="26"/>
  <c r="Q19" i="26"/>
  <c r="L8" i="13"/>
  <c r="Q59" i="13"/>
  <c r="S143" i="46"/>
  <c r="Q21" i="17"/>
  <c r="P47" i="20"/>
  <c r="Q27" i="16"/>
  <c r="Q32" i="21"/>
  <c r="Q20" i="17"/>
  <c r="S68" i="46"/>
  <c r="S24" i="46"/>
  <c r="Q52" i="17"/>
  <c r="Q70" i="16"/>
  <c r="P36" i="20"/>
  <c r="Q12" i="16"/>
  <c r="J9" i="13"/>
  <c r="Q71" i="17"/>
  <c r="Q24" i="44"/>
  <c r="P9" i="13"/>
  <c r="Q72" i="16"/>
  <c r="Q29" i="13"/>
  <c r="Q87" i="16"/>
  <c r="Q23" i="21"/>
  <c r="Q26" i="44"/>
  <c r="Q31" i="17"/>
  <c r="K7" i="13"/>
  <c r="Q111" i="17"/>
  <c r="S124" i="46"/>
  <c r="Q29" i="21"/>
  <c r="Q59" i="17"/>
  <c r="O34" i="20"/>
  <c r="P58" i="20"/>
  <c r="S11" i="46"/>
  <c r="Q53" i="13"/>
  <c r="N92" i="20"/>
  <c r="N91" i="20"/>
  <c r="S21" i="46"/>
  <c r="Q73" i="17"/>
  <c r="Q24" i="21"/>
  <c r="P15" i="20"/>
  <c r="Q90" i="17"/>
  <c r="Q19" i="21"/>
  <c r="Q56" i="17"/>
  <c r="Q18" i="26"/>
  <c r="S6" i="46"/>
  <c r="Q29" i="44"/>
  <c r="Q49" i="26"/>
  <c r="O72" i="20"/>
  <c r="Q68" i="17"/>
  <c r="Q69" i="16"/>
  <c r="Q101" i="16"/>
  <c r="Q19" i="16"/>
  <c r="R29" i="48"/>
  <c r="S89" i="46"/>
  <c r="S133" i="46"/>
  <c r="S114" i="46"/>
  <c r="S71" i="46"/>
  <c r="Q65" i="17"/>
  <c r="Q20" i="13"/>
  <c r="Q12" i="13"/>
  <c r="Q66" i="17"/>
  <c r="Q18" i="13"/>
  <c r="Q77" i="16"/>
  <c r="Q82" i="17"/>
  <c r="Q51" i="21"/>
  <c r="Q54" i="13"/>
  <c r="N100" i="20"/>
  <c r="Q103" i="17"/>
  <c r="R14" i="48"/>
  <c r="Q58" i="17"/>
  <c r="O89" i="20"/>
  <c r="Q109" i="16"/>
  <c r="O87" i="20"/>
  <c r="Q22" i="13"/>
  <c r="S83" i="46"/>
  <c r="Q47" i="17"/>
  <c r="S126" i="46"/>
  <c r="Q47" i="21"/>
  <c r="Q52" i="16"/>
  <c r="Q31" i="21"/>
  <c r="R43" i="48"/>
  <c r="Q45" i="17"/>
  <c r="Q53" i="17"/>
  <c r="O70" i="20"/>
  <c r="Q63" i="13"/>
  <c r="S121" i="46"/>
  <c r="P20" i="20"/>
  <c r="Q10" i="26"/>
  <c r="S101" i="46"/>
  <c r="Q39" i="21"/>
  <c r="O76" i="20"/>
  <c r="Q97" i="17"/>
  <c r="Q18" i="16"/>
  <c r="Q106" i="17"/>
  <c r="O73" i="20"/>
  <c r="S92" i="46"/>
  <c r="S153" i="46"/>
  <c r="Q80" i="16"/>
  <c r="S7" i="46"/>
  <c r="Q52" i="21"/>
  <c r="P42" i="20"/>
  <c r="P51" i="20"/>
  <c r="Q73" i="26"/>
  <c r="Q16" i="26"/>
  <c r="R38" i="48"/>
  <c r="Q33" i="13"/>
  <c r="S69" i="46"/>
  <c r="Q13" i="13"/>
  <c r="Q9" i="16"/>
  <c r="P14" i="20"/>
  <c r="R31" i="48"/>
  <c r="P46" i="20"/>
  <c r="S122" i="46"/>
  <c r="Q48" i="21"/>
  <c r="P55" i="20"/>
  <c r="S26" i="46"/>
  <c r="S144" i="46"/>
  <c r="S107" i="46"/>
  <c r="S59" i="46"/>
  <c r="Q100" i="17"/>
  <c r="R24" i="48"/>
  <c r="Q49" i="13"/>
  <c r="S46" i="46"/>
  <c r="Q80" i="26"/>
  <c r="Q25" i="21"/>
  <c r="Q35" i="13"/>
  <c r="N96" i="20"/>
  <c r="S119" i="46"/>
  <c r="S152" i="46"/>
  <c r="Q38" i="17"/>
  <c r="O88" i="20"/>
  <c r="Q43" i="13"/>
  <c r="Q11" i="13"/>
  <c r="Q16" i="17"/>
  <c r="Q7" i="21"/>
  <c r="S36" i="46"/>
  <c r="Q54" i="17"/>
  <c r="Q46" i="21"/>
  <c r="Q38" i="44"/>
  <c r="P9" i="20"/>
  <c r="Q39" i="16"/>
  <c r="Q30" i="44"/>
  <c r="Q55" i="21"/>
  <c r="R44" i="48"/>
  <c r="Q95" i="16"/>
  <c r="Q66" i="26"/>
  <c r="Q7" i="17"/>
  <c r="O60" i="20"/>
  <c r="S131" i="46"/>
  <c r="Q45" i="16"/>
  <c r="P28" i="20"/>
  <c r="S96" i="46"/>
  <c r="Q39" i="17"/>
  <c r="P43" i="20"/>
  <c r="S14" i="46"/>
  <c r="R27" i="48"/>
  <c r="Q7" i="44"/>
  <c r="N110" i="20"/>
  <c r="Q88" i="17"/>
  <c r="Q67" i="16"/>
  <c r="Q42" i="17"/>
  <c r="Q40" i="21"/>
  <c r="S102" i="46"/>
  <c r="Q44" i="13"/>
  <c r="S139" i="46"/>
  <c r="Q76" i="17"/>
  <c r="Q21" i="16"/>
  <c r="Q19" i="44"/>
  <c r="Q6" i="16"/>
  <c r="S103" i="46"/>
  <c r="N95" i="20"/>
  <c r="Q9" i="44"/>
  <c r="Q37" i="16"/>
  <c r="Q57" i="16"/>
  <c r="Q75" i="17"/>
  <c r="Q41" i="13"/>
  <c r="Q103" i="16"/>
  <c r="Q34" i="17"/>
  <c r="S98" i="46"/>
  <c r="L7" i="13"/>
  <c r="Q73" i="16"/>
  <c r="N114" i="20"/>
  <c r="Q61" i="16"/>
  <c r="S65" i="46"/>
  <c r="Q105" i="17"/>
  <c r="Q22" i="26"/>
  <c r="Q28" i="21"/>
  <c r="Q36" i="44"/>
  <c r="Q22" i="44"/>
  <c r="Q63" i="16"/>
  <c r="S60" i="46"/>
  <c r="R9" i="48"/>
  <c r="N115" i="20"/>
  <c r="Q85" i="17"/>
  <c r="S35" i="46"/>
  <c r="S120" i="46"/>
  <c r="Q23" i="16"/>
  <c r="Q48" i="16"/>
  <c r="Q81" i="17"/>
  <c r="Q108" i="16"/>
  <c r="Q35" i="17"/>
  <c r="R40" i="48"/>
  <c r="Q75" i="16"/>
  <c r="R8" i="48"/>
  <c r="Q65" i="16"/>
  <c r="S137" i="46"/>
  <c r="Q16" i="21"/>
  <c r="S132" i="46"/>
  <c r="N101" i="20"/>
  <c r="Q64" i="16"/>
  <c r="Q64" i="17"/>
  <c r="P53" i="20"/>
  <c r="Q6" i="15"/>
  <c r="Q94" i="15"/>
  <c r="Q54" i="15"/>
  <c r="BH56" i="54"/>
  <c r="BH27" i="54" s="1"/>
  <c r="BH47" i="54"/>
  <c r="BH45" i="54"/>
  <c r="BH37" i="54"/>
  <c r="BH17" i="54" s="1"/>
  <c r="BH8" i="54" s="1"/>
  <c r="Q13" i="26" l="1"/>
  <c r="Q32" i="16"/>
  <c r="Q31" i="16"/>
  <c r="Q50" i="26"/>
  <c r="Q14" i="26"/>
  <c r="Q35" i="16"/>
  <c r="Q30" i="16"/>
  <c r="Q11" i="26"/>
  <c r="Q33" i="16"/>
  <c r="Q41" i="16"/>
  <c r="Q67" i="26"/>
  <c r="Q7" i="26"/>
  <c r="Q12" i="26"/>
  <c r="Q15" i="26"/>
  <c r="BH42" i="54"/>
  <c r="Q29" i="16" l="1"/>
  <c r="AZ110" i="34"/>
  <c r="AS31" i="34"/>
  <c r="AY31" i="34" s="1"/>
  <c r="AY59" i="34"/>
  <c r="AY58" i="34"/>
  <c r="AY57" i="34"/>
  <c r="AY56" i="34"/>
  <c r="AY55" i="34"/>
  <c r="AY54" i="34"/>
  <c r="AY53" i="34"/>
  <c r="AY52" i="34"/>
  <c r="AY51" i="34"/>
  <c r="AY50" i="34"/>
  <c r="AY49" i="34"/>
  <c r="AY48" i="34"/>
  <c r="AY47" i="34"/>
  <c r="AY46" i="34"/>
  <c r="AY45" i="34"/>
  <c r="AY44" i="34"/>
  <c r="AY43" i="34"/>
  <c r="AY42" i="34"/>
  <c r="AY41" i="34"/>
  <c r="AY40" i="34"/>
  <c r="AY39" i="34"/>
  <c r="AY38" i="34"/>
  <c r="AY37" i="34"/>
  <c r="AY36" i="34"/>
  <c r="AY35" i="34"/>
  <c r="AY34" i="34"/>
  <c r="AY33" i="34"/>
  <c r="AY32" i="34"/>
  <c r="AY30" i="34"/>
  <c r="AY29" i="34"/>
  <c r="AY28" i="34"/>
  <c r="AY27" i="34"/>
  <c r="AY26" i="34"/>
  <c r="AY24" i="34"/>
  <c r="AY23" i="34"/>
  <c r="AY22" i="34"/>
  <c r="AY21" i="34"/>
  <c r="AY20" i="34"/>
  <c r="AY18" i="34"/>
  <c r="AY17" i="34"/>
  <c r="AY16" i="34"/>
  <c r="AY15" i="34"/>
  <c r="AY14" i="34"/>
  <c r="AY13" i="34"/>
  <c r="AY12" i="34"/>
  <c r="AY11" i="34"/>
  <c r="AY10" i="34"/>
  <c r="AY9" i="34"/>
  <c r="AY8" i="34"/>
  <c r="AY7" i="34"/>
  <c r="AY6" i="34"/>
  <c r="AY5" i="34"/>
  <c r="AY4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W47" i="34"/>
  <c r="AW46" i="34"/>
  <c r="AW45" i="34"/>
  <c r="AW44" i="34"/>
  <c r="AW43" i="34"/>
  <c r="AW42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W27" i="34"/>
  <c r="AW26" i="34"/>
  <c r="AW24" i="34"/>
  <c r="AW23" i="34"/>
  <c r="AW22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6" i="34"/>
  <c r="AW5" i="34"/>
  <c r="AW4" i="34"/>
  <c r="BP14" i="22" l="1"/>
  <c r="AY40" i="36" l="1"/>
  <c r="AY39" i="36"/>
  <c r="AY38" i="36"/>
  <c r="AY37" i="36"/>
  <c r="AY36" i="36"/>
  <c r="AY35" i="36"/>
  <c r="AY34" i="36"/>
  <c r="AY33" i="36"/>
  <c r="AY32" i="36"/>
  <c r="AY31" i="36"/>
  <c r="AY30" i="36"/>
  <c r="AY29" i="36"/>
  <c r="AY28" i="36"/>
  <c r="AY27" i="36"/>
  <c r="AY26" i="36"/>
  <c r="AY25" i="36"/>
  <c r="AY24" i="36"/>
  <c r="AY23" i="36"/>
  <c r="AY22" i="36"/>
  <c r="AY21" i="36"/>
  <c r="AY20" i="36"/>
  <c r="AY19" i="36"/>
  <c r="AY18" i="36"/>
  <c r="AY33" i="53"/>
  <c r="BP426" i="22"/>
  <c r="BP374" i="22"/>
  <c r="BP173" i="22"/>
  <c r="BP141" i="22"/>
  <c r="BP140" i="22"/>
  <c r="BP139" i="22"/>
  <c r="BP79" i="22"/>
  <c r="AY106" i="34"/>
  <c r="BA120" i="34"/>
  <c r="BA139" i="34"/>
  <c r="BA137" i="34"/>
  <c r="BA135" i="34"/>
  <c r="BA133" i="34"/>
  <c r="BA131" i="34"/>
  <c r="BA129" i="34"/>
  <c r="BA125" i="34"/>
  <c r="BA124" i="34"/>
  <c r="AY124" i="34"/>
  <c r="BA123" i="34"/>
  <c r="AY123" i="34"/>
  <c r="BA122" i="34"/>
  <c r="AY122" i="34"/>
  <c r="BA121" i="34"/>
  <c r="AY121" i="34"/>
  <c r="AY120" i="34"/>
  <c r="AY119" i="34"/>
  <c r="AY118" i="34"/>
  <c r="AY117" i="34"/>
  <c r="AY116" i="34"/>
  <c r="AY115" i="34"/>
  <c r="AY114" i="34"/>
  <c r="AY113" i="34"/>
  <c r="AY112" i="34"/>
  <c r="AY111" i="34"/>
  <c r="AY110" i="34"/>
  <c r="AY109" i="34"/>
  <c r="AY108" i="34"/>
  <c r="AY107" i="34"/>
  <c r="AY105" i="34"/>
  <c r="AY104" i="34"/>
  <c r="AY103" i="34"/>
  <c r="AZ118" i="34"/>
  <c r="BA118" i="34" s="1"/>
  <c r="AZ117" i="34"/>
  <c r="BA117" i="34" s="1"/>
  <c r="AZ116" i="34"/>
  <c r="BA116" i="34" s="1"/>
  <c r="AZ115" i="34"/>
  <c r="BA115" i="34" s="1"/>
  <c r="AZ114" i="34"/>
  <c r="BA114" i="34" s="1"/>
  <c r="AZ113" i="34"/>
  <c r="BA113" i="34" s="1"/>
  <c r="AZ112" i="34"/>
  <c r="BA112" i="34" s="1"/>
  <c r="AZ111" i="34"/>
  <c r="BA111" i="34" s="1"/>
  <c r="BA110" i="34"/>
  <c r="AZ109" i="34"/>
  <c r="BA109" i="34" s="1"/>
  <c r="AZ108" i="34"/>
  <c r="BA108" i="34" s="1"/>
  <c r="AZ107" i="34"/>
  <c r="BA107" i="34" s="1"/>
  <c r="AZ106" i="34"/>
  <c r="BA106" i="34" s="1"/>
  <c r="AZ105" i="34"/>
  <c r="BA105" i="34" s="1"/>
  <c r="AZ104" i="34"/>
  <c r="BA104" i="34" s="1"/>
  <c r="BO64" i="55"/>
  <c r="BO58" i="55"/>
  <c r="BO22" i="55"/>
  <c r="BO16" i="55"/>
  <c r="BO9" i="55"/>
  <c r="BH104" i="54"/>
  <c r="BH101" i="54" s="1"/>
  <c r="BH84" i="54"/>
  <c r="BH81" i="54" s="1"/>
  <c r="BH74" i="54"/>
  <c r="BH71" i="54" s="1"/>
  <c r="BH94" i="54"/>
  <c r="BH91" i="54" s="1"/>
  <c r="BH64" i="54"/>
  <c r="BH54" i="54"/>
  <c r="BH52" i="54" s="1"/>
  <c r="BH35" i="54" l="1"/>
  <c r="BH61" i="54"/>
  <c r="BH32" i="54" s="1"/>
  <c r="BH22" i="54"/>
  <c r="BH13" i="54" s="1"/>
  <c r="BQ7" i="54" l="1"/>
  <c r="CH21" i="43"/>
  <c r="CI21" i="43" s="1"/>
  <c r="CH20" i="43"/>
  <c r="CI20" i="43" s="1"/>
  <c r="CH18" i="43"/>
  <c r="CI18" i="43" s="1"/>
  <c r="CH17" i="43"/>
  <c r="CI17" i="43" s="1"/>
  <c r="CH16" i="43"/>
  <c r="CI16" i="43" s="1"/>
  <c r="CH14" i="43"/>
  <c r="CI14" i="43" s="1"/>
  <c r="CH13" i="43"/>
  <c r="CI13" i="43" s="1"/>
  <c r="CH11" i="43"/>
  <c r="CI11" i="43" s="1"/>
  <c r="CH10" i="43"/>
  <c r="CI10" i="43" s="1"/>
  <c r="CH9" i="43"/>
  <c r="CI9" i="43" s="1"/>
  <c r="CH7" i="43"/>
  <c r="CI7" i="43" s="1"/>
  <c r="CH6" i="43"/>
  <c r="CI6" i="43" s="1"/>
  <c r="CH5" i="43"/>
  <c r="CI5" i="43" s="1"/>
  <c r="BH5" i="43"/>
  <c r="BI5" i="43"/>
  <c r="BJ6" i="43"/>
  <c r="BM6" i="43"/>
  <c r="BN6" i="43"/>
  <c r="BI9" i="43"/>
  <c r="BJ10" i="43"/>
  <c r="BM10" i="43"/>
  <c r="BN10" i="43"/>
  <c r="BH13" i="43"/>
  <c r="BI13" i="43"/>
  <c r="BH20" i="43"/>
  <c r="BI20" i="43"/>
  <c r="BN20" i="43"/>
  <c r="AY66" i="33"/>
  <c r="AY54" i="33"/>
  <c r="AY53" i="33"/>
  <c r="AY52" i="33"/>
  <c r="AY36" i="33"/>
  <c r="AY35" i="33"/>
  <c r="AY29" i="33"/>
  <c r="AY113" i="32"/>
  <c r="AY112" i="32"/>
  <c r="AY111" i="32"/>
  <c r="AY110" i="32"/>
  <c r="AY109" i="32"/>
  <c r="AY108" i="32"/>
  <c r="AY107" i="32"/>
  <c r="AY106" i="32"/>
  <c r="AY105" i="32"/>
  <c r="AY104" i="32"/>
  <c r="AY103" i="32"/>
  <c r="AY102" i="32"/>
  <c r="AY101" i="32"/>
  <c r="AY100" i="32"/>
  <c r="AY99" i="32"/>
  <c r="AY98" i="32"/>
  <c r="AY97" i="32"/>
  <c r="AY96" i="32"/>
  <c r="AY95" i="32"/>
  <c r="AY94" i="32"/>
  <c r="AY93" i="32"/>
  <c r="AY92" i="32"/>
  <c r="AY91" i="32"/>
  <c r="AY90" i="32"/>
  <c r="AY89" i="32"/>
  <c r="AY87" i="32"/>
  <c r="AY86" i="32"/>
  <c r="AY85" i="32"/>
  <c r="AY84" i="32"/>
  <c r="AY83" i="32"/>
  <c r="AY82" i="32"/>
  <c r="AY81" i="32"/>
  <c r="AY80" i="32"/>
  <c r="AY79" i="32"/>
  <c r="AY78" i="32"/>
  <c r="AY77" i="32"/>
  <c r="AY75" i="32"/>
  <c r="AY74" i="32"/>
  <c r="AY73" i="32"/>
  <c r="AY72" i="32"/>
  <c r="AY71" i="32"/>
  <c r="AY70" i="32"/>
  <c r="AY69" i="32"/>
  <c r="AY68" i="32"/>
  <c r="AY67" i="32"/>
  <c r="AY66" i="32"/>
  <c r="AY65" i="32"/>
  <c r="AY64" i="32"/>
  <c r="AY63" i="32"/>
  <c r="AY62" i="32"/>
  <c r="AY61" i="32"/>
  <c r="AY60" i="32"/>
  <c r="AY59" i="32"/>
  <c r="AY58" i="32"/>
  <c r="AY57" i="32"/>
  <c r="AY56" i="32"/>
  <c r="AY55" i="32"/>
  <c r="AY54" i="32"/>
  <c r="AY53" i="32"/>
  <c r="AY52" i="32"/>
  <c r="AY51" i="32"/>
  <c r="AY50" i="32"/>
  <c r="AY49" i="32"/>
  <c r="AY48" i="32"/>
  <c r="AY47" i="32"/>
  <c r="AY46" i="32"/>
  <c r="AY45" i="32"/>
  <c r="AY44" i="32"/>
  <c r="AY43" i="32"/>
  <c r="AY42" i="32"/>
  <c r="AY41" i="32"/>
  <c r="AY40" i="32"/>
  <c r="AY39" i="32"/>
  <c r="AY38" i="32"/>
  <c r="AY37" i="32"/>
  <c r="AY36" i="32"/>
  <c r="AY35" i="32"/>
  <c r="AY34" i="32"/>
  <c r="AY33" i="32"/>
  <c r="AY32" i="32"/>
  <c r="AY31" i="32"/>
  <c r="AY30" i="32"/>
  <c r="AY29" i="32"/>
  <c r="AY28" i="32"/>
  <c r="AY27" i="32"/>
  <c r="AY26" i="32"/>
  <c r="AY25" i="32"/>
  <c r="AY24" i="32"/>
  <c r="AY23" i="32"/>
  <c r="AY22" i="32"/>
  <c r="AY21" i="32"/>
  <c r="AY19" i="32"/>
  <c r="AY18" i="32"/>
  <c r="AY17" i="32"/>
  <c r="AY16" i="32"/>
  <c r="AY15" i="32"/>
  <c r="AY14" i="32"/>
  <c r="AY13" i="32"/>
  <c r="AY12" i="32"/>
  <c r="AY11" i="32"/>
  <c r="AY10" i="32"/>
  <c r="AY9" i="32"/>
  <c r="AY8" i="32"/>
  <c r="AY7" i="32"/>
  <c r="AY6" i="32"/>
  <c r="AY5" i="32"/>
  <c r="AY4" i="32"/>
  <c r="BI352" i="24"/>
  <c r="BI353" i="24"/>
  <c r="BI354" i="24"/>
  <c r="BO354" i="24" s="1"/>
  <c r="BO352" i="24"/>
  <c r="BO353" i="24"/>
  <c r="BO203" i="24"/>
  <c r="BO128" i="24"/>
  <c r="BO127" i="24"/>
  <c r="BO126" i="24"/>
  <c r="BO120" i="24"/>
  <c r="BO112" i="24"/>
  <c r="BC50" i="55" l="1"/>
  <c r="BB50" i="55"/>
  <c r="AT42" i="36"/>
  <c r="AY42" i="36" s="1"/>
  <c r="BY49" i="45"/>
  <c r="BZ49" i="45"/>
  <c r="CA49" i="45"/>
  <c r="CE49" i="45" s="1"/>
  <c r="CA138" i="45"/>
  <c r="CA119" i="45"/>
  <c r="CE119" i="45" s="1"/>
  <c r="CA116" i="45"/>
  <c r="CE116" i="45" s="1"/>
  <c r="CA112" i="45"/>
  <c r="CE112" i="45" s="1"/>
  <c r="CA103" i="45"/>
  <c r="CE103" i="45" s="1"/>
  <c r="CA99" i="45"/>
  <c r="CE99" i="45" s="1"/>
  <c r="CA144" i="45" l="1"/>
  <c r="CE144" i="45" s="1"/>
  <c r="CE138" i="45"/>
  <c r="CA98" i="45"/>
  <c r="CE98" i="45" s="1"/>
  <c r="CA115" i="45"/>
  <c r="CA126" i="45" l="1"/>
  <c r="CE126" i="45" s="1"/>
  <c r="CE115" i="45"/>
  <c r="CA108" i="45"/>
  <c r="CE108" i="45" s="1"/>
  <c r="CA83" i="45" l="1"/>
  <c r="CE83" i="45" s="1"/>
  <c r="CA82" i="45"/>
  <c r="CE82" i="45" s="1"/>
  <c r="CA81" i="45"/>
  <c r="CE81" i="45" s="1"/>
  <c r="CA80" i="45"/>
  <c r="CE80" i="45" s="1"/>
  <c r="CA77" i="45"/>
  <c r="CE77" i="45" s="1"/>
  <c r="CA66" i="45"/>
  <c r="CE66" i="45" s="1"/>
  <c r="CA62" i="45"/>
  <c r="CE62" i="45" s="1"/>
  <c r="CA56" i="45"/>
  <c r="CA55" i="45" l="1"/>
  <c r="CE55" i="45" s="1"/>
  <c r="CE56" i="45"/>
  <c r="CA44" i="45"/>
  <c r="CE44" i="45" s="1"/>
  <c r="CA50" i="45"/>
  <c r="CE50" i="45" s="1"/>
  <c r="CA37" i="45"/>
  <c r="CE37" i="45" s="1"/>
  <c r="CA14" i="45" l="1"/>
  <c r="CE14" i="45" s="1"/>
  <c r="CA13" i="45" l="1"/>
  <c r="CE13" i="45" s="1"/>
  <c r="CA6" i="45"/>
  <c r="CE6" i="45" s="1"/>
  <c r="CA12" i="45" l="1"/>
  <c r="CE12" i="45" s="1"/>
  <c r="CA20" i="45"/>
  <c r="CE20" i="45" s="1"/>
  <c r="CA10" i="45"/>
  <c r="CE10" i="45" s="1"/>
  <c r="CA5" i="45"/>
  <c r="CE5" i="45" s="1"/>
  <c r="CA79" i="45" l="1"/>
  <c r="P64" i="19" a="1"/>
  <c r="CA89" i="45" l="1"/>
  <c r="CE89" i="45" s="1"/>
  <c r="P64" i="19"/>
  <c r="P34" i="16" l="1"/>
  <c r="X96" i="53" l="1"/>
  <c r="X57" i="53"/>
  <c r="X48" i="53"/>
  <c r="X37" i="53"/>
  <c r="R127" i="46" a="1"/>
  <c r="R154" i="46" a="1"/>
  <c r="R60" i="46" a="1"/>
  <c r="R153" i="46" a="1"/>
  <c r="R80" i="46" a="1"/>
  <c r="P49" i="26" a="1"/>
  <c r="R138" i="46" a="1"/>
  <c r="R117" i="46" a="1"/>
  <c r="R145" i="46" a="1"/>
  <c r="R29" i="46" a="1"/>
  <c r="R131" i="46" a="1"/>
  <c r="R54" i="46" a="1"/>
  <c r="R82" i="46" a="1"/>
  <c r="R9" i="46" a="1"/>
  <c r="R12" i="46" a="1"/>
  <c r="R105" i="46" a="1"/>
  <c r="R149" i="46" a="1"/>
  <c r="R27" i="46" a="1"/>
  <c r="R11" i="46" a="1"/>
  <c r="R114" i="46" a="1"/>
  <c r="R123" i="46" a="1"/>
  <c r="R152" i="46" a="1"/>
  <c r="R158" i="46" a="1"/>
  <c r="R64" i="46" a="1"/>
  <c r="R6" i="46" a="1"/>
  <c r="R36" i="46" a="1"/>
  <c r="R107" i="46" a="1"/>
  <c r="R124" i="46" a="1"/>
  <c r="R65" i="46" a="1"/>
  <c r="R128" i="46" a="1"/>
  <c r="R104" i="46" a="1"/>
  <c r="R83" i="46" a="1"/>
  <c r="R84" i="46" a="1"/>
  <c r="R142" i="46" a="1"/>
  <c r="R47" i="46" a="1"/>
  <c r="R51" i="46" a="1"/>
  <c r="R50" i="46" a="1"/>
  <c r="R62" i="46" a="1"/>
  <c r="R49" i="46" a="1"/>
  <c r="R71" i="46" a="1"/>
  <c r="R69" i="46" a="1"/>
  <c r="R119" i="46" a="1"/>
  <c r="R96" i="46" a="1"/>
  <c r="R88" i="46" a="1"/>
  <c r="R52" i="46" a="1"/>
  <c r="R67" i="46" a="1"/>
  <c r="R115" i="46" a="1"/>
  <c r="R98" i="46" a="1"/>
  <c r="R35" i="46" a="1"/>
  <c r="R146" i="46" a="1"/>
  <c r="R99" i="46" a="1"/>
  <c r="R63" i="46" a="1"/>
  <c r="R42" i="46" a="1"/>
  <c r="R118" i="46" a="1"/>
  <c r="R37" i="46" a="1"/>
  <c r="R53" i="46" a="1"/>
  <c r="R100" i="46" a="1"/>
  <c r="R148" i="46" a="1"/>
  <c r="R8" i="46" a="1"/>
  <c r="R125" i="46" a="1"/>
  <c r="R89" i="46" a="1"/>
  <c r="R147" i="46" a="1"/>
  <c r="R24" i="46" a="1"/>
  <c r="R17" i="46" a="1"/>
  <c r="R81" i="46" a="1"/>
  <c r="R120" i="46" a="1"/>
  <c r="R61" i="46" a="1"/>
  <c r="R57" i="46" a="1"/>
  <c r="R30" i="46" a="1"/>
  <c r="R23" i="46" a="1"/>
  <c r="R48" i="46" a="1"/>
  <c r="R102" i="46" a="1"/>
  <c r="P54" i="15" a="1"/>
  <c r="R5" i="46" a="1"/>
  <c r="R13" i="46" a="1"/>
  <c r="R66" i="46" a="1"/>
  <c r="R59" i="46" a="1"/>
  <c r="R33" i="46" a="1"/>
  <c r="R28" i="46" a="1"/>
  <c r="R122" i="46" a="1"/>
  <c r="R73" i="46" a="1"/>
  <c r="R45" i="46" a="1"/>
  <c r="P94" i="15" a="1"/>
  <c r="R106" i="46" a="1"/>
  <c r="R76" i="46" a="1"/>
  <c r="R74" i="46" a="1"/>
  <c r="R70" i="46" a="1"/>
  <c r="R40" i="46" a="1"/>
  <c r="R16" i="46" a="1"/>
  <c r="R32" i="46" a="1"/>
  <c r="R94" i="46" a="1"/>
  <c r="R77" i="46" a="1"/>
  <c r="R38" i="46" a="1"/>
  <c r="R92" i="46" a="1"/>
  <c r="R143" i="46" a="1"/>
  <c r="R112" i="46" a="1"/>
  <c r="R139" i="46" a="1"/>
  <c r="R22" i="46" a="1"/>
  <c r="R141" i="46" a="1"/>
  <c r="R133" i="46" a="1"/>
  <c r="R113" i="46" a="1"/>
  <c r="R78" i="46" a="1"/>
  <c r="R134" i="46" a="1"/>
  <c r="R44" i="46" a="1"/>
  <c r="R14" i="46" a="1"/>
  <c r="R109" i="46" a="1"/>
  <c r="R137" i="46" a="1"/>
  <c r="R121" i="46" a="1"/>
  <c r="R31" i="46" a="1"/>
  <c r="R150" i="46" a="1"/>
  <c r="R135" i="46" a="1"/>
  <c r="R46" i="46" a="1"/>
  <c r="R58" i="46" a="1"/>
  <c r="R126" i="46" a="1"/>
  <c r="R56" i="46" a="1"/>
  <c r="R132" i="46" a="1"/>
  <c r="R157" i="46" a="1"/>
  <c r="R72" i="46" a="1"/>
  <c r="R97" i="46" a="1"/>
  <c r="R85" i="46" a="1"/>
  <c r="R34" i="46" a="1"/>
  <c r="R111" i="46" a="1"/>
  <c r="R26" i="46" a="1"/>
  <c r="R151" i="46" a="1"/>
  <c r="R75" i="46" a="1"/>
  <c r="R116" i="46" a="1"/>
  <c r="R7" i="46" a="1"/>
  <c r="R159" i="46" a="1"/>
  <c r="R68" i="46" a="1"/>
  <c r="R20" i="46" a="1"/>
  <c r="R93" i="46" a="1"/>
  <c r="R19" i="46" a="1"/>
  <c r="R101" i="46" a="1"/>
  <c r="R43" i="46" a="1"/>
  <c r="R129" i="46" a="1"/>
  <c r="R110" i="46" a="1"/>
  <c r="R144" i="46" a="1"/>
  <c r="R140" i="46" a="1"/>
  <c r="R39" i="46" a="1"/>
  <c r="R10" i="46" a="1"/>
  <c r="R25" i="46" a="1"/>
  <c r="R21" i="46" a="1"/>
  <c r="R108" i="46" a="1"/>
  <c r="R103" i="46" a="1"/>
  <c r="R90" i="46" a="1"/>
  <c r="R18" i="46" a="1"/>
  <c r="R155" i="46" a="1"/>
  <c r="R130" i="46" a="1"/>
  <c r="R156" i="46" a="1"/>
  <c r="R41" i="46" a="1"/>
  <c r="R15" i="46" a="1"/>
  <c r="R136" i="46" a="1"/>
  <c r="R95" i="46" a="1"/>
  <c r="R38" i="46" l="1"/>
  <c r="R153" i="46"/>
  <c r="R144" i="46"/>
  <c r="R154" i="46"/>
  <c r="R44" i="46"/>
  <c r="R151" i="46"/>
  <c r="R88" i="46"/>
  <c r="R43" i="46"/>
  <c r="R136" i="46"/>
  <c r="R23" i="46"/>
  <c r="R51" i="46"/>
  <c r="R41" i="46"/>
  <c r="R45" i="46"/>
  <c r="R8" i="46"/>
  <c r="R98" i="46"/>
  <c r="R76" i="46"/>
  <c r="R53" i="46"/>
  <c r="R93" i="46"/>
  <c r="R106" i="46"/>
  <c r="R66" i="46"/>
  <c r="R11" i="46"/>
  <c r="R139" i="46"/>
  <c r="R32" i="46"/>
  <c r="R28" i="46"/>
  <c r="R35" i="46"/>
  <c r="R52" i="46"/>
  <c r="R40" i="46"/>
  <c r="R131" i="46"/>
  <c r="R15" i="46"/>
  <c r="R125" i="46"/>
  <c r="R149" i="46"/>
  <c r="R158" i="46"/>
  <c r="R13" i="46"/>
  <c r="R150" i="46"/>
  <c r="R75" i="46"/>
  <c r="R54" i="46"/>
  <c r="R17" i="46"/>
  <c r="R33" i="46"/>
  <c r="R36" i="46"/>
  <c r="R30" i="46"/>
  <c r="R62" i="46"/>
  <c r="R73" i="46"/>
  <c r="R120" i="46"/>
  <c r="R80" i="46"/>
  <c r="R121" i="46"/>
  <c r="R122" i="46"/>
  <c r="R112" i="46"/>
  <c r="R97" i="46"/>
  <c r="R24" i="46"/>
  <c r="R20" i="46"/>
  <c r="R12" i="46"/>
  <c r="R31" i="46"/>
  <c r="R100" i="46"/>
  <c r="R117" i="46"/>
  <c r="R159" i="46"/>
  <c r="R84" i="46"/>
  <c r="R18" i="46"/>
  <c r="R83" i="46"/>
  <c r="R21" i="46"/>
  <c r="R16" i="46"/>
  <c r="R96" i="46"/>
  <c r="R148" i="46"/>
  <c r="R85" i="46"/>
  <c r="R99" i="46"/>
  <c r="R110" i="46"/>
  <c r="R47" i="46"/>
  <c r="R130" i="46"/>
  <c r="R94" i="46"/>
  <c r="R19" i="46"/>
  <c r="R126" i="46"/>
  <c r="R111" i="46"/>
  <c r="R27" i="46"/>
  <c r="R63" i="46"/>
  <c r="R140" i="46"/>
  <c r="R9" i="46"/>
  <c r="R118" i="46"/>
  <c r="R74" i="46"/>
  <c r="R116" i="46"/>
  <c r="R108" i="46"/>
  <c r="R42" i="46"/>
  <c r="R90" i="46"/>
  <c r="R26" i="46"/>
  <c r="R58" i="46"/>
  <c r="R89" i="46"/>
  <c r="R77" i="46"/>
  <c r="R143" i="46"/>
  <c r="R156" i="46"/>
  <c r="R114" i="46"/>
  <c r="R68" i="46"/>
  <c r="R50" i="46"/>
  <c r="P54" i="15"/>
  <c r="R142" i="46"/>
  <c r="R56" i="46"/>
  <c r="R81" i="46"/>
  <c r="R92" i="46"/>
  <c r="R107" i="46"/>
  <c r="R71" i="46"/>
  <c r="R157" i="46"/>
  <c r="R113" i="46"/>
  <c r="R59" i="46"/>
  <c r="R123" i="46"/>
  <c r="R128" i="46"/>
  <c r="R49" i="46"/>
  <c r="R155" i="46"/>
  <c r="R127" i="46"/>
  <c r="R6" i="46"/>
  <c r="R115" i="46"/>
  <c r="R102" i="46"/>
  <c r="R152" i="46"/>
  <c r="R105" i="46"/>
  <c r="R141" i="46"/>
  <c r="R119" i="46"/>
  <c r="R65" i="46"/>
  <c r="R57" i="46"/>
  <c r="R104" i="46"/>
  <c r="R34" i="46"/>
  <c r="R137" i="46"/>
  <c r="R60" i="46"/>
  <c r="R69" i="46"/>
  <c r="R29" i="46"/>
  <c r="R134" i="46"/>
  <c r="R67" i="46"/>
  <c r="R5" i="46"/>
  <c r="R39" i="46"/>
  <c r="R138" i="46"/>
  <c r="R25" i="46"/>
  <c r="R101" i="46"/>
  <c r="R48" i="46"/>
  <c r="R64" i="46"/>
  <c r="R109" i="46"/>
  <c r="R135" i="46"/>
  <c r="R10" i="46"/>
  <c r="R61" i="46"/>
  <c r="R46" i="46"/>
  <c r="P94" i="15"/>
  <c r="R82" i="46"/>
  <c r="R129" i="46"/>
  <c r="R132" i="46"/>
  <c r="R133" i="46"/>
  <c r="R124" i="46"/>
  <c r="R37" i="46"/>
  <c r="P49" i="26"/>
  <c r="R145" i="46"/>
  <c r="R95" i="46"/>
  <c r="R72" i="46"/>
  <c r="R70" i="46"/>
  <c r="R146" i="46"/>
  <c r="R103" i="46"/>
  <c r="R147" i="46"/>
  <c r="R14" i="46"/>
  <c r="R78" i="46"/>
  <c r="R22" i="46"/>
  <c r="R7" i="46"/>
  <c r="AU57" i="56"/>
  <c r="AT57" i="56"/>
  <c r="AY57" i="56" s="1"/>
  <c r="AF57" i="56"/>
  <c r="AE57" i="56"/>
  <c r="Q57" i="56"/>
  <c r="P57" i="56"/>
  <c r="AU56" i="56"/>
  <c r="AT56" i="56"/>
  <c r="AY56" i="56" s="1"/>
  <c r="AF56" i="56"/>
  <c r="AE56" i="56"/>
  <c r="Q56" i="56"/>
  <c r="P56" i="56"/>
  <c r="AU55" i="56"/>
  <c r="AT55" i="56"/>
  <c r="AY55" i="56" s="1"/>
  <c r="AF55" i="56"/>
  <c r="AE55" i="56"/>
  <c r="Q55" i="56"/>
  <c r="P55" i="56"/>
  <c r="AU54" i="56"/>
  <c r="AT54" i="56"/>
  <c r="AY54" i="56" s="1"/>
  <c r="AF54" i="56"/>
  <c r="AE54" i="56"/>
  <c r="Q54" i="56"/>
  <c r="P54" i="56"/>
  <c r="AU53" i="56"/>
  <c r="AT53" i="56"/>
  <c r="AY53" i="56" s="1"/>
  <c r="AF53" i="56"/>
  <c r="AE53" i="56"/>
  <c r="Q53" i="56"/>
  <c r="P53" i="56"/>
  <c r="AU52" i="56"/>
  <c r="AT52" i="56"/>
  <c r="AY52" i="56" s="1"/>
  <c r="AF52" i="56"/>
  <c r="AX52" i="56" s="1"/>
  <c r="AE52" i="56"/>
  <c r="Q52" i="56"/>
  <c r="P52" i="56"/>
  <c r="AU51" i="56"/>
  <c r="AT51" i="56"/>
  <c r="AY51" i="56" s="1"/>
  <c r="AF51" i="56"/>
  <c r="AE51" i="56"/>
  <c r="Q51" i="56"/>
  <c r="P51" i="56"/>
  <c r="AU50" i="56"/>
  <c r="AT50" i="56"/>
  <c r="AY50" i="56" s="1"/>
  <c r="AF50" i="56"/>
  <c r="AX50" i="56" s="1"/>
  <c r="AE50" i="56"/>
  <c r="Q50" i="56"/>
  <c r="P50" i="56"/>
  <c r="AU49" i="56"/>
  <c r="AT49" i="56"/>
  <c r="AY49" i="56" s="1"/>
  <c r="AF49" i="56"/>
  <c r="AE49" i="56"/>
  <c r="Q49" i="56"/>
  <c r="P49" i="56"/>
  <c r="AU48" i="56"/>
  <c r="AT48" i="56"/>
  <c r="AY48" i="56" s="1"/>
  <c r="AF48" i="56"/>
  <c r="AE48" i="56"/>
  <c r="Q48" i="56"/>
  <c r="P48" i="56"/>
  <c r="AU47" i="56"/>
  <c r="AT47" i="56"/>
  <c r="AY47" i="56" s="1"/>
  <c r="AF47" i="56"/>
  <c r="AE47" i="56"/>
  <c r="Q47" i="56"/>
  <c r="P47" i="56"/>
  <c r="AU46" i="56"/>
  <c r="AT46" i="56"/>
  <c r="AY46" i="56" s="1"/>
  <c r="AF46" i="56"/>
  <c r="AE46" i="56"/>
  <c r="Q46" i="56"/>
  <c r="P46" i="56"/>
  <c r="AU45" i="56"/>
  <c r="AT45" i="56"/>
  <c r="AY45" i="56" s="1"/>
  <c r="AF45" i="56"/>
  <c r="AE45" i="56"/>
  <c r="Q45" i="56"/>
  <c r="P45" i="56"/>
  <c r="AU44" i="56"/>
  <c r="AT44" i="56"/>
  <c r="AY44" i="56" s="1"/>
  <c r="AF44" i="56"/>
  <c r="AE44" i="56"/>
  <c r="Q44" i="56"/>
  <c r="P44" i="56"/>
  <c r="AU43" i="56"/>
  <c r="AT43" i="56"/>
  <c r="AY43" i="56" s="1"/>
  <c r="AF43" i="56"/>
  <c r="AE43" i="56"/>
  <c r="Q43" i="56"/>
  <c r="P43" i="56"/>
  <c r="AU42" i="56"/>
  <c r="AT42" i="56"/>
  <c r="AY42" i="56" s="1"/>
  <c r="AF42" i="56"/>
  <c r="AE42" i="56"/>
  <c r="Q42" i="56"/>
  <c r="P42" i="56"/>
  <c r="AU41" i="56"/>
  <c r="AT41" i="56"/>
  <c r="AY41" i="56" s="1"/>
  <c r="AF41" i="56"/>
  <c r="AE41" i="56"/>
  <c r="Q41" i="56"/>
  <c r="P41" i="56"/>
  <c r="AU40" i="56"/>
  <c r="AT40" i="56"/>
  <c r="AY40" i="56" s="1"/>
  <c r="AF40" i="56"/>
  <c r="AE40" i="56"/>
  <c r="Q40" i="56"/>
  <c r="P40" i="56"/>
  <c r="AX42" i="56" l="1"/>
  <c r="AX44" i="56"/>
  <c r="AX43" i="56"/>
  <c r="AX51" i="56"/>
  <c r="AX48" i="56"/>
  <c r="AX54" i="56"/>
  <c r="AX47" i="56"/>
  <c r="AX41" i="56"/>
  <c r="AX56" i="56"/>
  <c r="AX49" i="56"/>
  <c r="AX40" i="56"/>
  <c r="AX53" i="56"/>
  <c r="AX55" i="56"/>
  <c r="AX57" i="56"/>
  <c r="AX45" i="56"/>
  <c r="AX46" i="56"/>
  <c r="BH60" i="22" l="1"/>
  <c r="BH61" i="22"/>
  <c r="BH62" i="22"/>
  <c r="BH63" i="22"/>
  <c r="BH64" i="22"/>
  <c r="BH65" i="22"/>
  <c r="BH66" i="22"/>
  <c r="BH67" i="22"/>
  <c r="BH68" i="22"/>
  <c r="BH69" i="22"/>
  <c r="BH70" i="22"/>
  <c r="BH71" i="22"/>
  <c r="BH72" i="22"/>
  <c r="BH73" i="22"/>
  <c r="BH74" i="22"/>
  <c r="BH75" i="22"/>
  <c r="BH76" i="22"/>
  <c r="BH77" i="22"/>
  <c r="BH78" i="22"/>
  <c r="BG11" i="55" l="1"/>
  <c r="BG10" i="55"/>
  <c r="BG15" i="55"/>
  <c r="BG9" i="55"/>
  <c r="BG12" i="55"/>
  <c r="BG13" i="55"/>
  <c r="BG16" i="54" l="1"/>
  <c r="BH25" i="54" s="1"/>
  <c r="BG18" i="54"/>
  <c r="BG19" i="54"/>
  <c r="BG10" i="54" s="1"/>
  <c r="BG20" i="54"/>
  <c r="BG21" i="54"/>
  <c r="BG23" i="54"/>
  <c r="BG24" i="54"/>
  <c r="BG26" i="54"/>
  <c r="BG7" i="54" s="1"/>
  <c r="BG9" i="54"/>
  <c r="BG30" i="54"/>
  <c r="BG11" i="54" s="1"/>
  <c r="BG31" i="54"/>
  <c r="BG12" i="54" s="1"/>
  <c r="BG33" i="54"/>
  <c r="BG14" i="54" s="1"/>
  <c r="BG34" i="54"/>
  <c r="BG104" i="54"/>
  <c r="BG101" i="54" s="1"/>
  <c r="BG94" i="54"/>
  <c r="BG91" i="54"/>
  <c r="BG84" i="54"/>
  <c r="BG81" i="54" s="1"/>
  <c r="BG74" i="54"/>
  <c r="BG71" i="54" s="1"/>
  <c r="BG64" i="54"/>
  <c r="BG54" i="54"/>
  <c r="BG45" i="54"/>
  <c r="BG37" i="54"/>
  <c r="BG47" i="54"/>
  <c r="BH15" i="54" l="1"/>
  <c r="BG35" i="54"/>
  <c r="BG17" i="54"/>
  <c r="BG42" i="54"/>
  <c r="AF10" i="56" l="1"/>
  <c r="B1" i="56" l="1"/>
  <c r="B1" i="36" s="1"/>
  <c r="B1" i="53"/>
  <c r="B1" i="22"/>
  <c r="B1" i="34"/>
  <c r="B1" i="47"/>
  <c r="B1" i="33"/>
  <c r="B1" i="32"/>
  <c r="B1" i="43"/>
  <c r="AZ103" i="34" l="1"/>
  <c r="BA103" i="34" s="1"/>
  <c r="BS138" i="45"/>
  <c r="BT138" i="45"/>
  <c r="BU138" i="45"/>
  <c r="BV138" i="45"/>
  <c r="BW138" i="45"/>
  <c r="BX138" i="45"/>
  <c r="BY138" i="45"/>
  <c r="BZ138" i="45"/>
  <c r="BV133" i="45"/>
  <c r="BW133" i="45"/>
  <c r="BX133" i="45"/>
  <c r="BY133" i="45"/>
  <c r="BY144" i="45" s="1"/>
  <c r="BZ133" i="45"/>
  <c r="BZ119" i="45"/>
  <c r="BZ116" i="45"/>
  <c r="BZ112" i="45"/>
  <c r="BX103" i="45"/>
  <c r="BY103" i="45"/>
  <c r="BZ103" i="45"/>
  <c r="BZ99" i="45"/>
  <c r="Q125" i="46" a="1"/>
  <c r="Q58" i="46" a="1"/>
  <c r="Q5" i="46" a="1"/>
  <c r="Q35" i="46" a="1"/>
  <c r="Q50" i="46" a="1"/>
  <c r="Q146" i="46" a="1"/>
  <c r="Q112" i="46" a="1"/>
  <c r="Q48" i="46" a="1"/>
  <c r="Q70" i="46" a="1"/>
  <c r="Q104" i="46" a="1"/>
  <c r="Q88" i="46" a="1"/>
  <c r="Q49" i="46" a="1"/>
  <c r="Q77" i="46" a="1"/>
  <c r="Q110" i="46" a="1"/>
  <c r="Q20" i="46" a="1"/>
  <c r="Q148" i="46" a="1"/>
  <c r="Q106" i="46" a="1"/>
  <c r="Q133" i="46" a="1"/>
  <c r="Q27" i="46" a="1"/>
  <c r="Q72" i="46" a="1"/>
  <c r="Q98" i="46" a="1"/>
  <c r="Q12" i="46" a="1"/>
  <c r="Q154" i="46" a="1"/>
  <c r="Q97" i="46" a="1"/>
  <c r="Q52" i="46" a="1"/>
  <c r="Q130" i="46" a="1"/>
  <c r="Q135" i="46" a="1"/>
  <c r="Q62" i="46" a="1"/>
  <c r="Q93" i="46" a="1"/>
  <c r="Q121" i="46" a="1"/>
  <c r="Q126" i="46" a="1"/>
  <c r="Q115" i="46" a="1"/>
  <c r="Q53" i="46" a="1"/>
  <c r="Q74" i="46" a="1"/>
  <c r="Q100" i="46" a="1"/>
  <c r="Q107" i="46" a="1"/>
  <c r="Q60" i="46" a="1"/>
  <c r="Q136" i="46" a="1"/>
  <c r="Q36" i="46" a="1"/>
  <c r="Q85" i="46" a="1"/>
  <c r="Q23" i="46" a="1"/>
  <c r="Q68" i="46" a="1"/>
  <c r="Q89" i="46" a="1"/>
  <c r="Q28" i="46" a="1"/>
  <c r="Q108" i="46" a="1"/>
  <c r="Q156" i="46" a="1"/>
  <c r="Q113" i="46" a="1"/>
  <c r="Q26" i="46" a="1"/>
  <c r="Q140" i="46" a="1"/>
  <c r="Q123" i="46" a="1"/>
  <c r="Q129" i="46" a="1"/>
  <c r="Q9" i="46" a="1"/>
  <c r="Q157" i="46" a="1"/>
  <c r="Q155" i="46" a="1"/>
  <c r="Q33" i="46" a="1"/>
  <c r="Q29" i="46" a="1"/>
  <c r="Q122" i="46" a="1"/>
  <c r="Q153" i="46" a="1"/>
  <c r="Q71" i="46" a="1"/>
  <c r="Q46" i="46" a="1"/>
  <c r="Q59" i="46" a="1"/>
  <c r="Q101" i="46" a="1"/>
  <c r="Q120" i="46" a="1"/>
  <c r="Q147" i="46" a="1"/>
  <c r="Q31" i="46" a="1"/>
  <c r="Q139" i="46" a="1"/>
  <c r="Q142" i="46" a="1"/>
  <c r="Q137" i="46" a="1"/>
  <c r="Q159" i="46" a="1"/>
  <c r="Q41" i="46" a="1"/>
  <c r="Q102" i="46" a="1"/>
  <c r="Q114" i="46" a="1"/>
  <c r="Q32" i="46" a="1"/>
  <c r="Q61" i="46" a="1"/>
  <c r="Q16" i="46" a="1"/>
  <c r="Q95" i="46" a="1"/>
  <c r="Q111" i="46" a="1"/>
  <c r="Q152" i="46" a="1"/>
  <c r="Q17" i="46" a="1"/>
  <c r="Q37" i="46" a="1"/>
  <c r="Q10" i="46" a="1"/>
  <c r="Q96" i="46" a="1"/>
  <c r="Q134" i="46" a="1"/>
  <c r="Q64" i="46" a="1"/>
  <c r="Q131" i="46" a="1"/>
  <c r="Q66" i="46" a="1"/>
  <c r="Q22" i="46" a="1"/>
  <c r="Q30" i="46" a="1"/>
  <c r="Q44" i="46" a="1"/>
  <c r="Q149" i="46" a="1"/>
  <c r="Q138" i="46" a="1"/>
  <c r="Q43" i="46" a="1"/>
  <c r="Q143" i="46" a="1"/>
  <c r="Q144" i="46" a="1"/>
  <c r="Q19" i="46" a="1"/>
  <c r="Q42" i="46" a="1"/>
  <c r="Q65" i="46" a="1"/>
  <c r="Q124" i="46" a="1"/>
  <c r="Q39" i="46" a="1"/>
  <c r="Q105" i="46" a="1"/>
  <c r="Q34" i="46" a="1"/>
  <c r="Q132" i="46" a="1"/>
  <c r="Q118" i="46" a="1"/>
  <c r="Q73" i="46" a="1"/>
  <c r="Q75" i="46" a="1"/>
  <c r="Q150" i="46" a="1"/>
  <c r="Q94" i="46" a="1"/>
  <c r="Q151" i="46" a="1"/>
  <c r="Q119" i="46" a="1"/>
  <c r="Q8" i="46" a="1"/>
  <c r="Q103" i="46" a="1"/>
  <c r="Q40" i="46" a="1"/>
  <c r="Q128" i="46" a="1"/>
  <c r="Q18" i="46" a="1"/>
  <c r="Q25" i="46" a="1"/>
  <c r="Q76" i="46" a="1"/>
  <c r="Q24" i="46" a="1"/>
  <c r="Q117" i="46" a="1"/>
  <c r="Q69" i="46" a="1"/>
  <c r="Q47" i="46" a="1"/>
  <c r="Q54" i="46" a="1"/>
  <c r="Q141" i="46" a="1"/>
  <c r="BZ144" i="45" l="1"/>
  <c r="BZ98" i="45"/>
  <c r="Q32" i="46"/>
  <c r="Q24" i="46"/>
  <c r="Q124" i="46"/>
  <c r="Q47" i="46"/>
  <c r="Q143" i="46"/>
  <c r="Q52" i="46"/>
  <c r="Q25" i="46"/>
  <c r="Q132" i="46"/>
  <c r="Q100" i="46"/>
  <c r="Q36" i="46"/>
  <c r="Q39" i="46"/>
  <c r="Q28" i="46"/>
  <c r="Q131" i="46"/>
  <c r="Q8" i="46"/>
  <c r="Q112" i="46"/>
  <c r="Q138" i="46"/>
  <c r="Q104" i="46"/>
  <c r="Q159" i="46"/>
  <c r="Q64" i="46"/>
  <c r="Q135" i="46"/>
  <c r="Q130" i="46"/>
  <c r="Q108" i="46"/>
  <c r="Q96" i="46"/>
  <c r="Q119" i="46"/>
  <c r="Q111" i="46"/>
  <c r="Q75" i="46"/>
  <c r="Q155" i="46"/>
  <c r="Q122" i="46"/>
  <c r="Q107" i="46"/>
  <c r="Q85" i="46"/>
  <c r="Q46" i="46"/>
  <c r="Q149" i="46"/>
  <c r="Q114" i="46"/>
  <c r="Q54" i="46"/>
  <c r="Q76" i="46"/>
  <c r="Q142" i="46"/>
  <c r="Q133" i="46"/>
  <c r="Q106" i="46"/>
  <c r="Q30" i="46"/>
  <c r="Q68" i="46"/>
  <c r="Q59" i="46"/>
  <c r="Q118" i="46"/>
  <c r="Q103" i="46"/>
  <c r="Q117" i="46"/>
  <c r="Q95" i="46"/>
  <c r="Q33" i="46"/>
  <c r="Q44" i="46"/>
  <c r="Q128" i="46"/>
  <c r="Q156" i="46"/>
  <c r="Q20" i="46"/>
  <c r="Q12" i="46"/>
  <c r="Q151" i="46"/>
  <c r="Q31" i="46"/>
  <c r="Q123" i="46"/>
  <c r="Q5" i="46"/>
  <c r="Q98" i="46"/>
  <c r="Q121" i="46"/>
  <c r="Q153" i="46"/>
  <c r="Q60" i="46"/>
  <c r="Q50" i="46"/>
  <c r="Q102" i="46"/>
  <c r="Q150" i="46"/>
  <c r="Q101" i="46"/>
  <c r="Q157" i="46"/>
  <c r="Q141" i="46"/>
  <c r="Q125" i="46"/>
  <c r="Q22" i="46"/>
  <c r="Q16" i="46"/>
  <c r="Q144" i="46"/>
  <c r="Q37" i="46"/>
  <c r="Q17" i="46"/>
  <c r="Q154" i="46"/>
  <c r="Q147" i="46"/>
  <c r="Q146" i="46"/>
  <c r="Q148" i="46"/>
  <c r="Q105" i="46"/>
  <c r="Q129" i="46"/>
  <c r="Q34" i="46"/>
  <c r="Q126" i="46"/>
  <c r="Q23" i="46"/>
  <c r="Q77" i="46"/>
  <c r="Q35" i="46"/>
  <c r="Q26" i="46"/>
  <c r="Q110" i="46"/>
  <c r="Q115" i="46"/>
  <c r="Q62" i="46"/>
  <c r="Q69" i="46"/>
  <c r="Q88" i="46"/>
  <c r="Q27" i="46"/>
  <c r="Q18" i="46"/>
  <c r="Q49" i="46"/>
  <c r="Q94" i="46"/>
  <c r="Q48" i="46"/>
  <c r="Q93" i="46"/>
  <c r="Q140" i="46"/>
  <c r="Q136" i="46"/>
  <c r="Q29" i="46"/>
  <c r="Q9" i="46"/>
  <c r="Q120" i="46"/>
  <c r="Q139" i="46"/>
  <c r="Q71" i="46"/>
  <c r="Q89" i="46"/>
  <c r="Q137" i="46"/>
  <c r="Q42" i="46"/>
  <c r="Q134" i="46"/>
  <c r="Q72" i="46"/>
  <c r="Q97" i="46"/>
  <c r="Q43" i="46"/>
  <c r="Q66" i="46"/>
  <c r="Q73" i="46"/>
  <c r="Q70" i="46"/>
  <c r="Q113" i="46"/>
  <c r="Q58" i="46"/>
  <c r="Q65" i="46"/>
  <c r="Q53" i="46"/>
  <c r="Q61" i="46"/>
  <c r="Q152" i="46"/>
  <c r="Q19" i="46"/>
  <c r="Q10" i="46"/>
  <c r="Q41" i="46"/>
  <c r="Q74" i="46"/>
  <c r="Q40" i="46"/>
  <c r="BZ115" i="45"/>
  <c r="Q99" i="46" a="1"/>
  <c r="Q92" i="46" a="1"/>
  <c r="Q158" i="46" a="1"/>
  <c r="Q145" i="46" a="1"/>
  <c r="Q116" i="46" a="1"/>
  <c r="Q116" i="46" l="1"/>
  <c r="Q145" i="46"/>
  <c r="BZ126" i="45"/>
  <c r="Q158" i="46"/>
  <c r="Q92" i="46"/>
  <c r="Q99" i="46"/>
  <c r="BZ108" i="45"/>
  <c r="BZ80" i="45" s="1"/>
  <c r="BZ83" i="45"/>
  <c r="BZ82" i="45"/>
  <c r="BZ81" i="45"/>
  <c r="BZ77" i="45"/>
  <c r="BZ66" i="45"/>
  <c r="BZ62" i="45"/>
  <c r="Q78" i="46" a="1"/>
  <c r="Q63" i="46" a="1"/>
  <c r="Q83" i="46" a="1"/>
  <c r="Q127" i="46" a="1"/>
  <c r="Q84" i="46" a="1"/>
  <c r="Q82" i="46" a="1"/>
  <c r="Q109" i="46" a="1"/>
  <c r="Q67" i="46" a="1"/>
  <c r="Q81" i="46" a="1"/>
  <c r="Q83" i="46" l="1"/>
  <c r="Q82" i="46"/>
  <c r="Q127" i="46"/>
  <c r="Q63" i="46"/>
  <c r="Q78" i="46"/>
  <c r="Q67" i="46"/>
  <c r="Q84" i="46"/>
  <c r="Q81" i="46"/>
  <c r="Q109" i="46"/>
  <c r="BZ56" i="45"/>
  <c r="BZ50" i="45"/>
  <c r="Q57" i="46" a="1"/>
  <c r="Q51" i="46" a="1"/>
  <c r="Q57" i="46" l="1"/>
  <c r="Q51" i="46"/>
  <c r="BZ55" i="45"/>
  <c r="Q56" i="46" a="1"/>
  <c r="Q56" i="46" l="1"/>
  <c r="BZ44" i="45"/>
  <c r="Q45" i="46" a="1"/>
  <c r="Q45" i="46" l="1"/>
  <c r="CE175" i="45"/>
  <c r="BZ37" i="45"/>
  <c r="Q38" i="46" a="1"/>
  <c r="Q38" i="46" l="1"/>
  <c r="BZ14" i="45"/>
  <c r="Q15" i="46" a="1"/>
  <c r="Q15" i="46" l="1"/>
  <c r="BZ13" i="45"/>
  <c r="BZ6" i="45"/>
  <c r="Q14" i="46" a="1"/>
  <c r="Q7" i="46" a="1"/>
  <c r="Q7" i="46" l="1"/>
  <c r="Q14" i="46"/>
  <c r="BZ12" i="45"/>
  <c r="BZ20" i="45"/>
  <c r="Q21" i="46" a="1"/>
  <c r="Q13" i="46" a="1"/>
  <c r="Q21" i="46" l="1"/>
  <c r="Q13" i="46"/>
  <c r="BZ5" i="45"/>
  <c r="BZ10" i="45"/>
  <c r="BZ79" i="45"/>
  <c r="O34" i="16"/>
  <c r="BD109" i="54"/>
  <c r="BE109" i="54"/>
  <c r="BF110" i="54"/>
  <c r="BF109" i="54" s="1"/>
  <c r="BF9" i="55"/>
  <c r="BF10" i="55"/>
  <c r="BF11" i="55"/>
  <c r="BF12" i="55"/>
  <c r="BF13" i="55"/>
  <c r="BF14" i="55"/>
  <c r="BF15" i="55"/>
  <c r="BC17" i="55"/>
  <c r="BD17" i="55"/>
  <c r="BE17" i="55"/>
  <c r="BF23" i="54"/>
  <c r="BE52" i="54"/>
  <c r="BF47" i="54"/>
  <c r="BF37" i="54"/>
  <c r="BF30" i="54"/>
  <c r="BF31" i="54"/>
  <c r="BF33" i="54"/>
  <c r="BD101" i="54"/>
  <c r="BE101" i="54"/>
  <c r="BF96" i="54"/>
  <c r="BF86" i="54"/>
  <c r="Q11" i="46" a="1"/>
  <c r="O64" i="19" a="1"/>
  <c r="Q80" i="46" a="1"/>
  <c r="Q6" i="46" a="1"/>
  <c r="O94" i="15" a="1"/>
  <c r="O49" i="26" a="1"/>
  <c r="O54" i="15" a="1"/>
  <c r="Q11" i="46" l="1"/>
  <c r="Q80" i="46"/>
  <c r="Q6" i="46"/>
  <c r="BF14" i="54"/>
  <c r="BZ89" i="45"/>
  <c r="O64" i="19"/>
  <c r="O49" i="26"/>
  <c r="O54" i="15"/>
  <c r="O94" i="15"/>
  <c r="BE91" i="54"/>
  <c r="BE81" i="54"/>
  <c r="BD71" i="54"/>
  <c r="BE71" i="54"/>
  <c r="BF56" i="54"/>
  <c r="BE61" i="54"/>
  <c r="Q90" i="46" a="1"/>
  <c r="Q90" i="46" l="1"/>
  <c r="BF27" i="54"/>
  <c r="BR248" i="22" l="1"/>
  <c r="BG60" i="22" l="1"/>
  <c r="BG61" i="22"/>
  <c r="BG62" i="22"/>
  <c r="BG63" i="22"/>
  <c r="BG64" i="22"/>
  <c r="BG65" i="22"/>
  <c r="BG66" i="22"/>
  <c r="BG67" i="22"/>
  <c r="BG68" i="22"/>
  <c r="BG69" i="22"/>
  <c r="BG70" i="22"/>
  <c r="BG71" i="22"/>
  <c r="BG72" i="22"/>
  <c r="BG73" i="22"/>
  <c r="BG74" i="22"/>
  <c r="BG75" i="22"/>
  <c r="BG76" i="22"/>
  <c r="BG77" i="22"/>
  <c r="BG78" i="22"/>
  <c r="BI49" i="54" l="1"/>
  <c r="BR298" i="22" l="1"/>
  <c r="AU77" i="32"/>
  <c r="BF45" i="54"/>
  <c r="BF42" i="54" s="1"/>
  <c r="BF54" i="54"/>
  <c r="BF52" i="54" s="1"/>
  <c r="BF104" i="54"/>
  <c r="BF101" i="54" s="1"/>
  <c r="BF94" i="54"/>
  <c r="BF91" i="54" s="1"/>
  <c r="BF84" i="54"/>
  <c r="BF81" i="54" s="1"/>
  <c r="BF74" i="54"/>
  <c r="BF71" i="54" s="1"/>
  <c r="BF64" i="54"/>
  <c r="BF61" i="54" s="1"/>
  <c r="BF32" i="54" s="1"/>
  <c r="BF16" i="54"/>
  <c r="BF26" i="54"/>
  <c r="BY83" i="45"/>
  <c r="BY82" i="45"/>
  <c r="BY119" i="45"/>
  <c r="BY116" i="45"/>
  <c r="BY112" i="45"/>
  <c r="BY99" i="45"/>
  <c r="BY77" i="45"/>
  <c r="BY66" i="45"/>
  <c r="BY62" i="45"/>
  <c r="BF7" i="54" l="1"/>
  <c r="BG15" i="54" s="1"/>
  <c r="BG25" i="54"/>
  <c r="BF35" i="54"/>
  <c r="BY98" i="45"/>
  <c r="BY115" i="45"/>
  <c r="BY56" i="45"/>
  <c r="BY108" i="45" l="1"/>
  <c r="BY55" i="45"/>
  <c r="BY126" i="45"/>
  <c r="BY50" i="45"/>
  <c r="BY44" i="45"/>
  <c r="BY37" i="45"/>
  <c r="BY81" i="45" l="1"/>
  <c r="BY80" i="45"/>
  <c r="BY14" i="45"/>
  <c r="BY13" i="45" l="1"/>
  <c r="BY6" i="45"/>
  <c r="BY12" i="45" l="1"/>
  <c r="BY20" i="45"/>
  <c r="BY5" i="45"/>
  <c r="BY79" i="45" l="1"/>
  <c r="BY10" i="45"/>
  <c r="AU4" i="33"/>
  <c r="P71" i="46" a="1"/>
  <c r="P8" i="46" a="1"/>
  <c r="P18" i="46" a="1"/>
  <c r="P29" i="46" a="1"/>
  <c r="P51" i="46" a="1"/>
  <c r="P103" i="46" a="1"/>
  <c r="P105" i="46" a="1"/>
  <c r="P132" i="46" a="1"/>
  <c r="P130" i="46" a="1"/>
  <c r="P133" i="46" a="1"/>
  <c r="P39" i="46" a="1"/>
  <c r="P42" i="46" a="1"/>
  <c r="P54" i="46" a="1"/>
  <c r="P24" i="46" a="1"/>
  <c r="P59" i="46" a="1"/>
  <c r="P148" i="46" a="1"/>
  <c r="P49" i="46" a="1"/>
  <c r="P112" i="46" a="1"/>
  <c r="P102" i="46" a="1"/>
  <c r="P129" i="46" a="1"/>
  <c r="P100" i="46" a="1"/>
  <c r="P126" i="46" a="1"/>
  <c r="P115" i="46" a="1"/>
  <c r="P20" i="46" a="1"/>
  <c r="P97" i="46" a="1"/>
  <c r="P94" i="46" a="1"/>
  <c r="P65" i="46" a="1"/>
  <c r="P69" i="46" a="1"/>
  <c r="P120" i="46" a="1"/>
  <c r="P52" i="46" a="1"/>
  <c r="P122" i="46" a="1"/>
  <c r="P127" i="46" a="1"/>
  <c r="P92" i="46" a="1"/>
  <c r="P31" i="46" a="1"/>
  <c r="P38" i="46" a="1"/>
  <c r="P101" i="46" a="1"/>
  <c r="N64" i="19" a="1"/>
  <c r="P106" i="46" a="1"/>
  <c r="P21" i="46" a="1"/>
  <c r="P159" i="46" a="1"/>
  <c r="P47" i="46" a="1"/>
  <c r="P16" i="46" a="1"/>
  <c r="P9" i="46" a="1"/>
  <c r="P15" i="46" a="1"/>
  <c r="P67" i="46" a="1"/>
  <c r="P25" i="46" a="1"/>
  <c r="P96" i="46" a="1"/>
  <c r="P108" i="46" a="1"/>
  <c r="P44" i="46" a="1"/>
  <c r="P151" i="46" a="1"/>
  <c r="P66" i="46" a="1"/>
  <c r="P33" i="46" a="1"/>
  <c r="P134" i="46" a="1"/>
  <c r="P45" i="46" a="1"/>
  <c r="P7" i="46" a="1"/>
  <c r="P32" i="46" a="1"/>
  <c r="P37" i="46" a="1"/>
  <c r="P78" i="46" a="1"/>
  <c r="P144" i="46" a="1"/>
  <c r="P147" i="46" a="1"/>
  <c r="P28" i="46" a="1"/>
  <c r="P104" i="46" a="1"/>
  <c r="P136" i="46" a="1"/>
  <c r="P95" i="46" a="1"/>
  <c r="P74" i="46" a="1"/>
  <c r="P140" i="46" a="1"/>
  <c r="P125" i="46" a="1"/>
  <c r="P40" i="46" a="1"/>
  <c r="P150" i="46" a="1"/>
  <c r="P41" i="46" a="1"/>
  <c r="P117" i="46" a="1"/>
  <c r="P85" i="46" a="1"/>
  <c r="P26" i="46" a="1"/>
  <c r="P48" i="46" a="1"/>
  <c r="N49" i="26" a="1"/>
  <c r="P63" i="46" a="1"/>
  <c r="P58" i="46" a="1"/>
  <c r="P61" i="46" a="1"/>
  <c r="P99" i="46" a="1"/>
  <c r="P111" i="46" a="1"/>
  <c r="P46" i="46" a="1"/>
  <c r="P158" i="46" a="1"/>
  <c r="P110" i="46" a="1"/>
  <c r="P107" i="46" a="1"/>
  <c r="P30" i="46" a="1"/>
  <c r="P12" i="46" a="1"/>
  <c r="P10" i="46" a="1"/>
  <c r="P11" i="46" a="1"/>
  <c r="P119" i="46" a="1"/>
  <c r="P81" i="46" a="1"/>
  <c r="P36" i="46" a="1"/>
  <c r="P19" i="46" a="1"/>
  <c r="P145" i="46" a="1"/>
  <c r="P84" i="46" a="1"/>
  <c r="P80" i="46" a="1"/>
  <c r="P135" i="46" a="1"/>
  <c r="P70" i="46" a="1"/>
  <c r="P88" i="46" a="1"/>
  <c r="P6" i="46" a="1"/>
  <c r="P68" i="46" a="1"/>
  <c r="P128" i="46" a="1"/>
  <c r="P23" i="46" a="1"/>
  <c r="P60" i="46" a="1"/>
  <c r="P5" i="46" a="1"/>
  <c r="P93" i="46" a="1"/>
  <c r="P50" i="46" a="1"/>
  <c r="P53" i="46" a="1"/>
  <c r="P14" i="46" a="1"/>
  <c r="P35" i="46" a="1"/>
  <c r="P143" i="46" a="1"/>
  <c r="P131" i="46" a="1"/>
  <c r="P123" i="46" a="1"/>
  <c r="P27" i="46" a="1"/>
  <c r="P124" i="46" a="1"/>
  <c r="P73" i="46" a="1"/>
  <c r="P152" i="46" a="1"/>
  <c r="P156" i="46" a="1"/>
  <c r="P141" i="46" a="1"/>
  <c r="P149" i="46" a="1"/>
  <c r="P139" i="46" a="1"/>
  <c r="P56" i="46" a="1"/>
  <c r="P98" i="46" a="1"/>
  <c r="P82" i="46" a="1"/>
  <c r="P64" i="46" a="1"/>
  <c r="P22" i="46" a="1"/>
  <c r="P138" i="46" a="1"/>
  <c r="P34" i="46" a="1"/>
  <c r="P109" i="46" a="1"/>
  <c r="P154" i="46" a="1"/>
  <c r="P62" i="46" a="1"/>
  <c r="P142" i="46" a="1"/>
  <c r="P146" i="46" a="1"/>
  <c r="P89" i="46" a="1"/>
  <c r="P121" i="46" a="1"/>
  <c r="P72" i="46" a="1"/>
  <c r="P75" i="46" a="1"/>
  <c r="P43" i="46" a="1"/>
  <c r="P114" i="46" a="1"/>
  <c r="P116" i="46" a="1"/>
  <c r="P137" i="46" a="1"/>
  <c r="P153" i="46" a="1"/>
  <c r="P17" i="46" a="1"/>
  <c r="P157" i="46" a="1"/>
  <c r="P77" i="46" a="1"/>
  <c r="P13" i="46" a="1"/>
  <c r="P57" i="46" a="1"/>
  <c r="P76" i="46" a="1"/>
  <c r="P83" i="46" a="1"/>
  <c r="P113" i="46" a="1"/>
  <c r="P118" i="46" a="1"/>
  <c r="P155" i="46" a="1"/>
  <c r="BY89" i="45" l="1"/>
  <c r="P146" i="46"/>
  <c r="P117" i="46"/>
  <c r="P17" i="46"/>
  <c r="P151" i="46"/>
  <c r="P89" i="46"/>
  <c r="P82" i="46"/>
  <c r="P25" i="46"/>
  <c r="P119" i="46"/>
  <c r="P115" i="46"/>
  <c r="P139" i="46"/>
  <c r="P74" i="46"/>
  <c r="P105" i="46"/>
  <c r="P60" i="46"/>
  <c r="P72" i="46"/>
  <c r="P39" i="46"/>
  <c r="P66" i="46"/>
  <c r="P131" i="46"/>
  <c r="P159" i="46"/>
  <c r="P93" i="46"/>
  <c r="P148" i="46"/>
  <c r="P120" i="46"/>
  <c r="P63" i="46"/>
  <c r="P80" i="46"/>
  <c r="P42" i="46"/>
  <c r="P70" i="46"/>
  <c r="P110" i="46"/>
  <c r="P69" i="46"/>
  <c r="P84" i="46"/>
  <c r="P35" i="46"/>
  <c r="P132" i="46"/>
  <c r="P107" i="46"/>
  <c r="P147" i="46"/>
  <c r="P51" i="46"/>
  <c r="P153" i="46"/>
  <c r="P34" i="46"/>
  <c r="P130" i="46"/>
  <c r="P85" i="46"/>
  <c r="P62" i="46"/>
  <c r="P49" i="46"/>
  <c r="P158" i="46"/>
  <c r="N64" i="19"/>
  <c r="P71" i="46"/>
  <c r="P133" i="46"/>
  <c r="P157" i="46"/>
  <c r="P9" i="46"/>
  <c r="P78" i="46"/>
  <c r="N49" i="26"/>
  <c r="P20" i="46"/>
  <c r="P18" i="46"/>
  <c r="P37" i="46"/>
  <c r="P155" i="46"/>
  <c r="P40" i="46"/>
  <c r="P65" i="46"/>
  <c r="P38" i="46"/>
  <c r="P100" i="46"/>
  <c r="P22" i="46"/>
  <c r="P33" i="46"/>
  <c r="P44" i="46"/>
  <c r="P88" i="46"/>
  <c r="P19" i="46"/>
  <c r="P30" i="46"/>
  <c r="P94" i="46"/>
  <c r="P136" i="46"/>
  <c r="P6" i="46"/>
  <c r="P127" i="46"/>
  <c r="P43" i="46"/>
  <c r="P7" i="46"/>
  <c r="P140" i="46"/>
  <c r="P27" i="46"/>
  <c r="P67" i="46"/>
  <c r="P52" i="46"/>
  <c r="P123" i="46"/>
  <c r="P54" i="46"/>
  <c r="P156" i="46"/>
  <c r="P111" i="46"/>
  <c r="P114" i="46"/>
  <c r="P75" i="46"/>
  <c r="P61" i="46"/>
  <c r="P53" i="46"/>
  <c r="P154" i="46"/>
  <c r="P12" i="46"/>
  <c r="P109" i="46"/>
  <c r="P24" i="46"/>
  <c r="P16" i="46"/>
  <c r="P81" i="46"/>
  <c r="P113" i="46"/>
  <c r="P77" i="46"/>
  <c r="P11" i="46"/>
  <c r="P137" i="46"/>
  <c r="P142" i="46"/>
  <c r="P126" i="46"/>
  <c r="P31" i="46"/>
  <c r="P152" i="46"/>
  <c r="P56" i="46"/>
  <c r="P149" i="46"/>
  <c r="P144" i="46"/>
  <c r="P36" i="46"/>
  <c r="P23" i="46"/>
  <c r="P15" i="46"/>
  <c r="P76" i="46"/>
  <c r="P58" i="46"/>
  <c r="P8" i="46"/>
  <c r="P5" i="46"/>
  <c r="P96" i="46"/>
  <c r="P64" i="46"/>
  <c r="P68" i="46"/>
  <c r="P13" i="46"/>
  <c r="P59" i="46"/>
  <c r="P122" i="46"/>
  <c r="P112" i="46"/>
  <c r="P41" i="46"/>
  <c r="P150" i="46"/>
  <c r="P97" i="46"/>
  <c r="P143" i="46"/>
  <c r="P45" i="46"/>
  <c r="P73" i="46"/>
  <c r="P118" i="46"/>
  <c r="P28" i="46"/>
  <c r="P121" i="46"/>
  <c r="P47" i="46"/>
  <c r="P145" i="46"/>
  <c r="P32" i="46"/>
  <c r="P124" i="46"/>
  <c r="P57" i="46"/>
  <c r="P14" i="46"/>
  <c r="P135" i="46"/>
  <c r="P104" i="46"/>
  <c r="P10" i="46"/>
  <c r="P46" i="46"/>
  <c r="P129" i="46"/>
  <c r="P141" i="46"/>
  <c r="P102" i="46"/>
  <c r="P26" i="46"/>
  <c r="P106" i="46"/>
  <c r="P98" i="46"/>
  <c r="P101" i="46"/>
  <c r="P103" i="46"/>
  <c r="P138" i="46"/>
  <c r="P48" i="46"/>
  <c r="P108" i="46"/>
  <c r="P134" i="46"/>
  <c r="P95" i="46"/>
  <c r="P50" i="46"/>
  <c r="P29" i="46"/>
  <c r="P92" i="46"/>
  <c r="P83" i="46"/>
  <c r="P125" i="46"/>
  <c r="P128" i="46"/>
  <c r="P116" i="46"/>
  <c r="P99" i="46"/>
  <c r="P21" i="46"/>
  <c r="N34" i="16"/>
  <c r="P90" i="46" a="1"/>
  <c r="N94" i="15" a="1"/>
  <c r="N54" i="15" a="1"/>
  <c r="P90" i="46" l="1"/>
  <c r="N94" i="15"/>
  <c r="N54" i="15"/>
  <c r="BE42" i="54" l="1"/>
  <c r="AV77" i="32" l="1"/>
  <c r="AU89" i="32"/>
  <c r="AU78" i="32"/>
  <c r="AU79" i="32"/>
  <c r="AV79" i="32" s="1"/>
  <c r="AU80" i="32"/>
  <c r="AU81" i="32"/>
  <c r="AU82" i="32"/>
  <c r="AU83" i="32"/>
  <c r="AU84" i="32"/>
  <c r="AU85" i="32"/>
  <c r="AV85" i="32" s="1"/>
  <c r="AU86" i="32"/>
  <c r="AU87" i="32"/>
  <c r="AU73" i="32"/>
  <c r="AU42" i="36"/>
  <c r="AG42" i="36" s="1"/>
  <c r="DC84" i="45" l="1"/>
  <c r="DC87" i="45"/>
  <c r="DB87" i="45"/>
  <c r="DB84" i="45"/>
  <c r="DB134" i="45"/>
  <c r="DC134" i="45"/>
  <c r="DB135" i="45"/>
  <c r="DC135" i="45"/>
  <c r="DB136" i="45"/>
  <c r="DC136" i="45"/>
  <c r="DB137" i="45"/>
  <c r="DC137" i="45"/>
  <c r="DD137" i="45" s="1"/>
  <c r="DB139" i="45"/>
  <c r="DC139" i="45"/>
  <c r="DD139" i="45" s="1"/>
  <c r="DB140" i="45"/>
  <c r="DC140" i="45"/>
  <c r="DD140" i="45" s="1"/>
  <c r="DB141" i="45"/>
  <c r="DC141" i="45"/>
  <c r="DD141" i="45" s="1"/>
  <c r="DB142" i="45"/>
  <c r="DC142" i="45"/>
  <c r="DB143" i="45"/>
  <c r="DC143" i="45"/>
  <c r="DD143" i="45" s="1"/>
  <c r="DB145" i="45"/>
  <c r="DC145" i="45"/>
  <c r="DD145" i="45" s="1"/>
  <c r="AE38" i="53"/>
  <c r="DD135" i="45" l="1"/>
  <c r="DB88" i="45"/>
  <c r="DD136" i="45"/>
  <c r="DD142" i="45"/>
  <c r="DC88" i="45"/>
  <c r="DD88" i="45" s="1"/>
  <c r="BF62" i="22"/>
  <c r="BF60" i="22"/>
  <c r="BF61" i="22"/>
  <c r="BF63" i="22"/>
  <c r="BF64" i="22"/>
  <c r="BF65" i="22"/>
  <c r="BF66" i="22"/>
  <c r="BF67" i="22"/>
  <c r="BF68" i="22"/>
  <c r="BF69" i="22"/>
  <c r="BF70" i="22"/>
  <c r="BF71" i="22"/>
  <c r="BF72" i="22"/>
  <c r="BF73" i="22"/>
  <c r="BF74" i="22"/>
  <c r="BF75" i="22"/>
  <c r="BF76" i="22"/>
  <c r="BF77" i="22"/>
  <c r="BF78" i="22"/>
  <c r="AZ119" i="34" l="1"/>
  <c r="BA119" i="34" s="1"/>
  <c r="BE9" i="55" l="1"/>
  <c r="BE10" i="55"/>
  <c r="BE11" i="55"/>
  <c r="BE12" i="55"/>
  <c r="BE13" i="55"/>
  <c r="BE14" i="55"/>
  <c r="BE15" i="55"/>
  <c r="BE27" i="54"/>
  <c r="BE17" i="54"/>
  <c r="BE18" i="54"/>
  <c r="BE19" i="54"/>
  <c r="BE21" i="54"/>
  <c r="BE23" i="54"/>
  <c r="BE24" i="54"/>
  <c r="BE26" i="54"/>
  <c r="BE28" i="54"/>
  <c r="BE29" i="54"/>
  <c r="BE30" i="54"/>
  <c r="BE31" i="54"/>
  <c r="BE33" i="54"/>
  <c r="BE34" i="54"/>
  <c r="BE20" i="54"/>
  <c r="BE11" i="54" s="1"/>
  <c r="BE8" i="54" l="1"/>
  <c r="BE22" i="54"/>
  <c r="BE35" i="54"/>
  <c r="BE32" i="54"/>
  <c r="BE12" i="54"/>
  <c r="BE10" i="54"/>
  <c r="BE9" i="54"/>
  <c r="BE16" i="54"/>
  <c r="BE7" i="54" s="1"/>
  <c r="BF15" i="54" s="1"/>
  <c r="BE14" i="54"/>
  <c r="BE13" i="54" l="1"/>
  <c r="AE11" i="25" l="1"/>
  <c r="AE40" i="25"/>
  <c r="AT30" i="25"/>
  <c r="M34" i="16" l="1"/>
  <c r="O22" i="46" a="1"/>
  <c r="O156" i="46" a="1"/>
  <c r="O32" i="46" a="1"/>
  <c r="O126" i="46" a="1"/>
  <c r="O103" i="46" a="1"/>
  <c r="O130" i="46" a="1"/>
  <c r="O132" i="46" a="1"/>
  <c r="O119" i="46" a="1"/>
  <c r="O93" i="46" a="1"/>
  <c r="O28" i="46" a="1"/>
  <c r="O65" i="46" a="1"/>
  <c r="O140" i="46" a="1"/>
  <c r="O18" i="46" a="1"/>
  <c r="O47" i="46" a="1"/>
  <c r="O76" i="46" a="1"/>
  <c r="O101" i="46" a="1"/>
  <c r="O9" i="46" a="1"/>
  <c r="O25" i="46" a="1"/>
  <c r="O60" i="46" a="1"/>
  <c r="O30" i="46" a="1"/>
  <c r="O53" i="46" a="1"/>
  <c r="O148" i="46" a="1"/>
  <c r="O153" i="46" a="1"/>
  <c r="O17" i="46" a="1"/>
  <c r="O64" i="46" a="1"/>
  <c r="O155" i="46" a="1"/>
  <c r="O107" i="46" a="1"/>
  <c r="O61" i="46" a="1"/>
  <c r="O10" i="46" a="1"/>
  <c r="O108" i="46" a="1"/>
  <c r="O24" i="46" a="1"/>
  <c r="O31" i="46" a="1"/>
  <c r="O141" i="46" a="1"/>
  <c r="O112" i="46" a="1"/>
  <c r="O75" i="46" a="1"/>
  <c r="O149" i="46" a="1"/>
  <c r="O102" i="46" a="1"/>
  <c r="O142" i="46" a="1"/>
  <c r="O40" i="46" a="1"/>
  <c r="O69" i="46" a="1"/>
  <c r="O96" i="46" a="1"/>
  <c r="O146" i="46" a="1"/>
  <c r="O44" i="46" a="1"/>
  <c r="O19" i="46" a="1"/>
  <c r="O88" i="46" a="1"/>
  <c r="O143" i="46" a="1"/>
  <c r="O144" i="46" a="1"/>
  <c r="O68" i="46" a="1"/>
  <c r="O20" i="46" a="1"/>
  <c r="O58" i="46" a="1"/>
  <c r="O157" i="46" a="1"/>
  <c r="O138" i="46" a="1"/>
  <c r="O135" i="46" a="1"/>
  <c r="O131" i="46" a="1"/>
  <c r="O5" i="46" a="1"/>
  <c r="O41" i="46" a="1"/>
  <c r="O129" i="46" a="1"/>
  <c r="O54" i="46" a="1"/>
  <c r="O8" i="46" a="1"/>
  <c r="O98" i="46" a="1"/>
  <c r="O154" i="46" a="1"/>
  <c r="O118" i="46" a="1"/>
  <c r="O23" i="46" a="1"/>
  <c r="O26" i="46" a="1"/>
  <c r="O73" i="46" a="1"/>
  <c r="M49" i="26" a="1"/>
  <c r="O133" i="46" a="1"/>
  <c r="O77" i="46" a="1"/>
  <c r="O33" i="46" a="1"/>
  <c r="O159" i="46" a="1"/>
  <c r="O49" i="46" a="1"/>
  <c r="O128" i="46" a="1"/>
  <c r="O43" i="46" a="1"/>
  <c r="O16" i="46" a="1"/>
  <c r="O122" i="46" a="1"/>
  <c r="O139" i="46" a="1"/>
  <c r="O125" i="46" a="1"/>
  <c r="O137" i="46" a="1"/>
  <c r="O72" i="46" a="1"/>
  <c r="O71" i="46" a="1"/>
  <c r="O29" i="46" a="1"/>
  <c r="O59" i="46" a="1"/>
  <c r="O89" i="46" a="1"/>
  <c r="O34" i="46" a="1"/>
  <c r="O121" i="46" a="1"/>
  <c r="O42" i="46" a="1"/>
  <c r="O39" i="46" a="1"/>
  <c r="O27" i="46" a="1"/>
  <c r="O70" i="46" a="1"/>
  <c r="O35" i="46" a="1"/>
  <c r="O85" i="46" a="1"/>
  <c r="O110" i="46" a="1"/>
  <c r="O12" i="46" a="1"/>
  <c r="O36" i="46" a="1"/>
  <c r="O114" i="46" a="1"/>
  <c r="O52" i="46" a="1"/>
  <c r="O97" i="46" a="1"/>
  <c r="O95" i="46" a="1"/>
  <c r="O124" i="46" a="1"/>
  <c r="O62" i="46" a="1"/>
  <c r="O111" i="46" a="1"/>
  <c r="O48" i="46" a="1"/>
  <c r="O37" i="46" a="1"/>
  <c r="O151" i="46" a="1"/>
  <c r="O150" i="46" a="1"/>
  <c r="O106" i="46" a="1"/>
  <c r="O66" i="46" a="1"/>
  <c r="O136" i="46" a="1"/>
  <c r="O74" i="46" a="1"/>
  <c r="O115" i="46" a="1"/>
  <c r="O123" i="46" a="1"/>
  <c r="O105" i="46" a="1"/>
  <c r="M49" i="26" l="1"/>
  <c r="O154" i="46"/>
  <c r="O130" i="46"/>
  <c r="O98" i="46"/>
  <c r="O70" i="46"/>
  <c r="O62" i="46"/>
  <c r="O53" i="46"/>
  <c r="O5" i="46"/>
  <c r="O121" i="46"/>
  <c r="O77" i="46"/>
  <c r="O69" i="46"/>
  <c r="O61" i="46"/>
  <c r="O12" i="46"/>
  <c r="O144" i="46"/>
  <c r="O136" i="46"/>
  <c r="O128" i="46"/>
  <c r="O112" i="46"/>
  <c r="O96" i="46"/>
  <c r="O85" i="46"/>
  <c r="O76" i="46"/>
  <c r="O68" i="46"/>
  <c r="O60" i="46"/>
  <c r="O43" i="46"/>
  <c r="O35" i="46"/>
  <c r="O27" i="46"/>
  <c r="O19" i="46"/>
  <c r="O159" i="46"/>
  <c r="O151" i="46"/>
  <c r="O143" i="46"/>
  <c r="O135" i="46"/>
  <c r="O119" i="46"/>
  <c r="O111" i="46"/>
  <c r="O103" i="46"/>
  <c r="O95" i="46"/>
  <c r="O75" i="46"/>
  <c r="O59" i="46"/>
  <c r="O42" i="46"/>
  <c r="O34" i="46"/>
  <c r="O26" i="46"/>
  <c r="O18" i="46"/>
  <c r="O10" i="46"/>
  <c r="O114" i="46"/>
  <c r="O28" i="46"/>
  <c r="O110" i="46"/>
  <c r="O74" i="46"/>
  <c r="O66" i="46"/>
  <c r="O49" i="46"/>
  <c r="O33" i="46"/>
  <c r="O25" i="46"/>
  <c r="O17" i="46"/>
  <c r="O9" i="46"/>
  <c r="O122" i="46"/>
  <c r="O29" i="46"/>
  <c r="O105" i="46"/>
  <c r="O36" i="46"/>
  <c r="O150" i="46"/>
  <c r="O126" i="46"/>
  <c r="O102" i="46"/>
  <c r="O58" i="46"/>
  <c r="O157" i="46"/>
  <c r="O141" i="46"/>
  <c r="O133" i="46"/>
  <c r="O125" i="46"/>
  <c r="O93" i="46"/>
  <c r="O73" i="46"/>
  <c r="O65" i="46"/>
  <c r="O48" i="46"/>
  <c r="O40" i="46"/>
  <c r="O32" i="46"/>
  <c r="O24" i="46"/>
  <c r="O16" i="46"/>
  <c r="O8" i="46"/>
  <c r="O138" i="46"/>
  <c r="O37" i="46"/>
  <c r="O153" i="46"/>
  <c r="O97" i="46"/>
  <c r="O20" i="46"/>
  <c r="O142" i="46"/>
  <c r="O118" i="46"/>
  <c r="O41" i="46"/>
  <c r="O149" i="46"/>
  <c r="O101" i="46"/>
  <c r="O106" i="46"/>
  <c r="O129" i="46"/>
  <c r="O52" i="46"/>
  <c r="O156" i="46"/>
  <c r="O148" i="46"/>
  <c r="O140" i="46"/>
  <c r="O132" i="46"/>
  <c r="O124" i="46"/>
  <c r="O108" i="46"/>
  <c r="O72" i="46"/>
  <c r="O64" i="46"/>
  <c r="O47" i="46"/>
  <c r="O39" i="46"/>
  <c r="O31" i="46"/>
  <c r="O23" i="46"/>
  <c r="O146" i="46"/>
  <c r="O89" i="46"/>
  <c r="O137" i="46"/>
  <c r="O88" i="46"/>
  <c r="O44" i="46"/>
  <c r="O155" i="46"/>
  <c r="O139" i="46"/>
  <c r="O131" i="46"/>
  <c r="O123" i="46"/>
  <c r="O115" i="46"/>
  <c r="O107" i="46"/>
  <c r="O71" i="46"/>
  <c r="O54" i="46"/>
  <c r="O30" i="46"/>
  <c r="O22" i="46"/>
  <c r="E2" i="45"/>
  <c r="CF5" i="45" l="1"/>
  <c r="CD5" i="45"/>
  <c r="BX144" i="45"/>
  <c r="BW144" i="45"/>
  <c r="BV144" i="45"/>
  <c r="BU133" i="45"/>
  <c r="BU144" i="45" s="1"/>
  <c r="BT133" i="45"/>
  <c r="BT144" i="45" s="1"/>
  <c r="BS133" i="45"/>
  <c r="BS144" i="45" s="1"/>
  <c r="BR133" i="45"/>
  <c r="BX119" i="45"/>
  <c r="BX116" i="45"/>
  <c r="BX112" i="45"/>
  <c r="BW103" i="45"/>
  <c r="BV103" i="45"/>
  <c r="BU103" i="45"/>
  <c r="BT103" i="45"/>
  <c r="BS103" i="45"/>
  <c r="BX99" i="45"/>
  <c r="BX77" i="45"/>
  <c r="BX66" i="45"/>
  <c r="BX62" i="45"/>
  <c r="BX56" i="45"/>
  <c r="O117" i="46" a="1"/>
  <c r="O147" i="46" a="1"/>
  <c r="O152" i="46" a="1"/>
  <c r="O113" i="46" a="1"/>
  <c r="O104" i="46" a="1"/>
  <c r="O78" i="46" a="1"/>
  <c r="O67" i="46" a="1"/>
  <c r="O94" i="46" a="1"/>
  <c r="O120" i="46" a="1"/>
  <c r="O145" i="46" a="1"/>
  <c r="O134" i="46" a="1"/>
  <c r="O63" i="46" a="1"/>
  <c r="O100" i="46" a="1"/>
  <c r="O57" i="46" a="1"/>
  <c r="O117" i="46" l="1"/>
  <c r="O120" i="46"/>
  <c r="O57" i="46"/>
  <c r="O63" i="46"/>
  <c r="O67" i="46"/>
  <c r="O78" i="46"/>
  <c r="BX115" i="45"/>
  <c r="BX126" i="45" s="1"/>
  <c r="O152" i="46"/>
  <c r="O147" i="46"/>
  <c r="O145" i="46"/>
  <c r="O134" i="46"/>
  <c r="BX82" i="45"/>
  <c r="O113" i="46"/>
  <c r="O104" i="46"/>
  <c r="O100" i="46"/>
  <c r="O94" i="46"/>
  <c r="BX98" i="45"/>
  <c r="BX55" i="45"/>
  <c r="O99" i="46" a="1"/>
  <c r="O92" i="46" a="1"/>
  <c r="O158" i="46" a="1"/>
  <c r="O83" i="46" a="1"/>
  <c r="O116" i="46" a="1"/>
  <c r="O127" i="46" a="1"/>
  <c r="O56" i="46" a="1"/>
  <c r="O116" i="46" l="1"/>
  <c r="O56" i="46"/>
  <c r="O158" i="46"/>
  <c r="BX83" i="45"/>
  <c r="O83" i="46"/>
  <c r="O127" i="46"/>
  <c r="BX81" i="45"/>
  <c r="O92" i="46"/>
  <c r="O99" i="46"/>
  <c r="BX108" i="45"/>
  <c r="BX44" i="45"/>
  <c r="O84" i="46" a="1"/>
  <c r="O82" i="46" a="1"/>
  <c r="O45" i="46" a="1"/>
  <c r="O109" i="46" a="1"/>
  <c r="O45" i="46" l="1"/>
  <c r="O84" i="46"/>
  <c r="O82" i="46"/>
  <c r="O109" i="46"/>
  <c r="BX80" i="45"/>
  <c r="BX37" i="45"/>
  <c r="O81" i="46" a="1"/>
  <c r="O38" i="46" a="1"/>
  <c r="O38" i="46" l="1"/>
  <c r="O81" i="46"/>
  <c r="BX14" i="45"/>
  <c r="BX50" i="45"/>
  <c r="O15" i="46" a="1"/>
  <c r="O51" i="46" a="1"/>
  <c r="O51" i="46" l="1"/>
  <c r="O15" i="46"/>
  <c r="BX45" i="45"/>
  <c r="BX49" i="45" s="1"/>
  <c r="BX13" i="45"/>
  <c r="BX6" i="45"/>
  <c r="O14" i="46" a="1"/>
  <c r="O46" i="46" a="1"/>
  <c r="O50" i="46" a="1"/>
  <c r="O7" i="46" a="1"/>
  <c r="O50" i="46" l="1"/>
  <c r="O14" i="46"/>
  <c r="O7" i="46"/>
  <c r="O46" i="46"/>
  <c r="CE176" i="45"/>
  <c r="BX12" i="45"/>
  <c r="BX20" i="45"/>
  <c r="BX5" i="45"/>
  <c r="O6" i="46" a="1"/>
  <c r="O13" i="46" a="1"/>
  <c r="O21" i="46" a="1"/>
  <c r="O21" i="46" l="1"/>
  <c r="O6" i="46"/>
  <c r="O13" i="46"/>
  <c r="BX10" i="45"/>
  <c r="BX79" i="45"/>
  <c r="BD15" i="55"/>
  <c r="M94" i="15" a="1"/>
  <c r="O11" i="46" a="1"/>
  <c r="M54" i="15" a="1"/>
  <c r="O80" i="46" a="1"/>
  <c r="O11" i="46" l="1"/>
  <c r="O80" i="46"/>
  <c r="BX89" i="45"/>
  <c r="M54" i="15"/>
  <c r="M94" i="15"/>
  <c r="O90" i="46" a="1"/>
  <c r="O90" i="46" l="1"/>
  <c r="BD27" i="54"/>
  <c r="BD28" i="54"/>
  <c r="BD29" i="54"/>
  <c r="BD30" i="54"/>
  <c r="BD31" i="54"/>
  <c r="BD33" i="54"/>
  <c r="BD34" i="54"/>
  <c r="BD35" i="54"/>
  <c r="BF17" i="54"/>
  <c r="BF8" i="54" s="1"/>
  <c r="BD18" i="54"/>
  <c r="BD9" i="54" s="1"/>
  <c r="BF18" i="54"/>
  <c r="BF9" i="54" s="1"/>
  <c r="BD19" i="54"/>
  <c r="BF19" i="54"/>
  <c r="BF10" i="54" s="1"/>
  <c r="BD20" i="54"/>
  <c r="BF20" i="54"/>
  <c r="BF11" i="54" s="1"/>
  <c r="BD21" i="54"/>
  <c r="BF21" i="54"/>
  <c r="BF12" i="54" s="1"/>
  <c r="BD23" i="54"/>
  <c r="BD24" i="54"/>
  <c r="BF24" i="54"/>
  <c r="BF25" i="54"/>
  <c r="BD91" i="54"/>
  <c r="BD81" i="54"/>
  <c r="BD61" i="54"/>
  <c r="BD32" i="54" s="1"/>
  <c r="BD47" i="54"/>
  <c r="BG52" i="54"/>
  <c r="BG22" i="54" s="1"/>
  <c r="BD37" i="54"/>
  <c r="BB45" i="54"/>
  <c r="BC45" i="54"/>
  <c r="BC42" i="54" s="1"/>
  <c r="BD45" i="54"/>
  <c r="BF22" i="54"/>
  <c r="BF13" i="54" s="1"/>
  <c r="BD14" i="54" l="1"/>
  <c r="BD12" i="54"/>
  <c r="BD42" i="54"/>
  <c r="BD17" i="54"/>
  <c r="BD8" i="54" s="1"/>
  <c r="BD10" i="54"/>
  <c r="BD11" i="54"/>
  <c r="BD4" i="54"/>
  <c r="BL479" i="24" l="1"/>
  <c r="BL480" i="24"/>
  <c r="BL481" i="24"/>
  <c r="BL482" i="24"/>
  <c r="BL483" i="24"/>
  <c r="BL484" i="24"/>
  <c r="BL485" i="24"/>
  <c r="BL486" i="24"/>
  <c r="BL487" i="24"/>
  <c r="BL488" i="24"/>
  <c r="BL489" i="24"/>
  <c r="BL490" i="24"/>
  <c r="BL491" i="24"/>
  <c r="BL492" i="24"/>
  <c r="BL493" i="24"/>
  <c r="BL494" i="24"/>
  <c r="BL495" i="24"/>
  <c r="BL496" i="24"/>
  <c r="BL497" i="24"/>
  <c r="BL498" i="24"/>
  <c r="BL499" i="24"/>
  <c r="BL500" i="24"/>
  <c r="BL501" i="24"/>
  <c r="BL502" i="24"/>
  <c r="BL503" i="24"/>
  <c r="BL504" i="24"/>
  <c r="BL505" i="24"/>
  <c r="BL506" i="24"/>
  <c r="BL507" i="24"/>
  <c r="BL508" i="24"/>
  <c r="BL509" i="24"/>
  <c r="BL510" i="24"/>
  <c r="BL465" i="24"/>
  <c r="BL466" i="24"/>
  <c r="BL467" i="24"/>
  <c r="BL468" i="24"/>
  <c r="BL469" i="24"/>
  <c r="BL478" i="24"/>
  <c r="BL464" i="24"/>
  <c r="BK359" i="24"/>
  <c r="BL360" i="24"/>
  <c r="BL361" i="24"/>
  <c r="BL362" i="24"/>
  <c r="BL363" i="24"/>
  <c r="BL364" i="24"/>
  <c r="BL365" i="24"/>
  <c r="BL366" i="24"/>
  <c r="BL367" i="24"/>
  <c r="BL368" i="24"/>
  <c r="BL369" i="24"/>
  <c r="BL370" i="24"/>
  <c r="BL371" i="24"/>
  <c r="BL372" i="24"/>
  <c r="BL373" i="24"/>
  <c r="BL374" i="24"/>
  <c r="BL375" i="24"/>
  <c r="BL376" i="24"/>
  <c r="BL377" i="24"/>
  <c r="BL378" i="24"/>
  <c r="BL379" i="24"/>
  <c r="BL380" i="24"/>
  <c r="BL381" i="24"/>
  <c r="BL382" i="24"/>
  <c r="BL383" i="24"/>
  <c r="BL384" i="24"/>
  <c r="BL385" i="24"/>
  <c r="BL386" i="24"/>
  <c r="BL387" i="24"/>
  <c r="BL388" i="24"/>
  <c r="BL389" i="24"/>
  <c r="BL390" i="24"/>
  <c r="BL391" i="24"/>
  <c r="BL392" i="24"/>
  <c r="BL393" i="24"/>
  <c r="BL394" i="24"/>
  <c r="BL395" i="24"/>
  <c r="BL396" i="24"/>
  <c r="BL397" i="24"/>
  <c r="BL398" i="24"/>
  <c r="BL399" i="24"/>
  <c r="BL400" i="24"/>
  <c r="BL401" i="24"/>
  <c r="BL402" i="24"/>
  <c r="BL403" i="24"/>
  <c r="BL404" i="24"/>
  <c r="BL405" i="24"/>
  <c r="BL406" i="24"/>
  <c r="BL407" i="24"/>
  <c r="BL408" i="24"/>
  <c r="BL409" i="24"/>
  <c r="BL410" i="24"/>
  <c r="BL359" i="24"/>
  <c r="BL209" i="24"/>
  <c r="BL210" i="24"/>
  <c r="BL211" i="24"/>
  <c r="BL212" i="24"/>
  <c r="BL213" i="24"/>
  <c r="BL214" i="24"/>
  <c r="BL215" i="24"/>
  <c r="BL216" i="24"/>
  <c r="BL217" i="24"/>
  <c r="BL218" i="24"/>
  <c r="BL219" i="24"/>
  <c r="BL220" i="24"/>
  <c r="BL221" i="24"/>
  <c r="BL222" i="24"/>
  <c r="BL223" i="24"/>
  <c r="BL224" i="24"/>
  <c r="BL225" i="24"/>
  <c r="BL226" i="24"/>
  <c r="BL227" i="24"/>
  <c r="BL228" i="24"/>
  <c r="BL229" i="24"/>
  <c r="BL230" i="24"/>
  <c r="BL231" i="24"/>
  <c r="BL232" i="24"/>
  <c r="BL233" i="24"/>
  <c r="BL234" i="24"/>
  <c r="BL235" i="24"/>
  <c r="BL236" i="24"/>
  <c r="BL237" i="24"/>
  <c r="BL238" i="24"/>
  <c r="BL239" i="24"/>
  <c r="BL240" i="24"/>
  <c r="BL241" i="24"/>
  <c r="BL242" i="24"/>
  <c r="BL243" i="24"/>
  <c r="BL244" i="24"/>
  <c r="BL245" i="24"/>
  <c r="BL246" i="24"/>
  <c r="BL247" i="24"/>
  <c r="BL248" i="24"/>
  <c r="BL249" i="24"/>
  <c r="BL250" i="24"/>
  <c r="BL251" i="24"/>
  <c r="BL252" i="24"/>
  <c r="BL253" i="24"/>
  <c r="BL254" i="24"/>
  <c r="BL255" i="24"/>
  <c r="BL256" i="24"/>
  <c r="BL257" i="24"/>
  <c r="BL258" i="24"/>
  <c r="BL259" i="24"/>
  <c r="BL260" i="24"/>
  <c r="BL261" i="24"/>
  <c r="BL262" i="24"/>
  <c r="BL263" i="24"/>
  <c r="BL264" i="24"/>
  <c r="BL265" i="24"/>
  <c r="BL266" i="24"/>
  <c r="BL267" i="24"/>
  <c r="BL268" i="24"/>
  <c r="BL269" i="24"/>
  <c r="BL270" i="24"/>
  <c r="BL271" i="24"/>
  <c r="BL272" i="24"/>
  <c r="BL273" i="24"/>
  <c r="BL274" i="24"/>
  <c r="BL275" i="24"/>
  <c r="BL276" i="24"/>
  <c r="BL277" i="24"/>
  <c r="BL278" i="24"/>
  <c r="BL279" i="24"/>
  <c r="BL280" i="24"/>
  <c r="BL281" i="24"/>
  <c r="BL282" i="24"/>
  <c r="BL283" i="24"/>
  <c r="BL284" i="24"/>
  <c r="BL285" i="24"/>
  <c r="BL286" i="24"/>
  <c r="BL287" i="24"/>
  <c r="BL288" i="24"/>
  <c r="BL289" i="24"/>
  <c r="BL290" i="24"/>
  <c r="BL291" i="24"/>
  <c r="BL292" i="24"/>
  <c r="BL293" i="24"/>
  <c r="BL294" i="24"/>
  <c r="BL295" i="24"/>
  <c r="BL296" i="24"/>
  <c r="BL297" i="24"/>
  <c r="BL298" i="24"/>
  <c r="BL299" i="24"/>
  <c r="BL300" i="24"/>
  <c r="BL301" i="24"/>
  <c r="BL302" i="24"/>
  <c r="BL303" i="24"/>
  <c r="BL304" i="24"/>
  <c r="BL305" i="24"/>
  <c r="BL306" i="24"/>
  <c r="BL307" i="24"/>
  <c r="BL308" i="24"/>
  <c r="BL309" i="24"/>
  <c r="BL310" i="24"/>
  <c r="BL311" i="24"/>
  <c r="BL312" i="24"/>
  <c r="BL313" i="24"/>
  <c r="BL314" i="24"/>
  <c r="BL315" i="24"/>
  <c r="BL316" i="24"/>
  <c r="BL317" i="24"/>
  <c r="BL318" i="24"/>
  <c r="BL319" i="24"/>
  <c r="BL320" i="24"/>
  <c r="BL321" i="24"/>
  <c r="BL322" i="24"/>
  <c r="BL323" i="24"/>
  <c r="BL324" i="24"/>
  <c r="BL325" i="24"/>
  <c r="BL326" i="24"/>
  <c r="BL327" i="24"/>
  <c r="BL328" i="24"/>
  <c r="BL329" i="24"/>
  <c r="BL330" i="24"/>
  <c r="BL331" i="24"/>
  <c r="BL332" i="24"/>
  <c r="BL333" i="24"/>
  <c r="BL334" i="24"/>
  <c r="BL335" i="24"/>
  <c r="BL336" i="24"/>
  <c r="BL337" i="24"/>
  <c r="BL338" i="24"/>
  <c r="BL339" i="24"/>
  <c r="BL340" i="24"/>
  <c r="BL341" i="24"/>
  <c r="BL342" i="24"/>
  <c r="BL343" i="24"/>
  <c r="BL344" i="24"/>
  <c r="BL345" i="24"/>
  <c r="BL346" i="24"/>
  <c r="BL347" i="24"/>
  <c r="BL348" i="24"/>
  <c r="BL349" i="24"/>
  <c r="BL350" i="24"/>
  <c r="BL351" i="24"/>
  <c r="BL352" i="24"/>
  <c r="BL353" i="24"/>
  <c r="BL354" i="24"/>
  <c r="BL192" i="24"/>
  <c r="BL193" i="24"/>
  <c r="BL194" i="24"/>
  <c r="BL195" i="24"/>
  <c r="BL196" i="24"/>
  <c r="BL197" i="24"/>
  <c r="BL198" i="24"/>
  <c r="BL199" i="24"/>
  <c r="BL200" i="24"/>
  <c r="BL201" i="24"/>
  <c r="BL202" i="24"/>
  <c r="BL203" i="24"/>
  <c r="BL204" i="24"/>
  <c r="BL205" i="24"/>
  <c r="BL206" i="24"/>
  <c r="BL207" i="24"/>
  <c r="BL208" i="24"/>
  <c r="BL142" i="24"/>
  <c r="BL143" i="24"/>
  <c r="BL144" i="24"/>
  <c r="BL145" i="24"/>
  <c r="BL146" i="24"/>
  <c r="BL147" i="24"/>
  <c r="BL148" i="24"/>
  <c r="BL149" i="24"/>
  <c r="BL150" i="24"/>
  <c r="BL151" i="24"/>
  <c r="BL152" i="24"/>
  <c r="BL153" i="24"/>
  <c r="BL154" i="24"/>
  <c r="BL155" i="24"/>
  <c r="BL156" i="24"/>
  <c r="BL157" i="24"/>
  <c r="BL158" i="24"/>
  <c r="BL159" i="24"/>
  <c r="BL160" i="24"/>
  <c r="BL161" i="24"/>
  <c r="BL162" i="24"/>
  <c r="BL163" i="24"/>
  <c r="BL164" i="24"/>
  <c r="BL165" i="24"/>
  <c r="BL166" i="24"/>
  <c r="BL167" i="24"/>
  <c r="BL168" i="24"/>
  <c r="BL169" i="24"/>
  <c r="BL170" i="24"/>
  <c r="BL171" i="24"/>
  <c r="BL172" i="24"/>
  <c r="BL173" i="24"/>
  <c r="BL174" i="24"/>
  <c r="BL175" i="24"/>
  <c r="BL176" i="24"/>
  <c r="BL177" i="24"/>
  <c r="BL178" i="24"/>
  <c r="BL179" i="24"/>
  <c r="BL180" i="24"/>
  <c r="BL181" i="24"/>
  <c r="BL182" i="24"/>
  <c r="BL183" i="24"/>
  <c r="BL184" i="24"/>
  <c r="BL185" i="24"/>
  <c r="BL186" i="24"/>
  <c r="BL187" i="24"/>
  <c r="BL188" i="24"/>
  <c r="BL189" i="24"/>
  <c r="BL190" i="24"/>
  <c r="BL191" i="24"/>
  <c r="BL141" i="24"/>
  <c r="BL5" i="24"/>
  <c r="BL6" i="24"/>
  <c r="BL7" i="24"/>
  <c r="BL8" i="24"/>
  <c r="BL9" i="24"/>
  <c r="BL10" i="24"/>
  <c r="BL11" i="24"/>
  <c r="BL12" i="24"/>
  <c r="BL13" i="24"/>
  <c r="BL14" i="24"/>
  <c r="BL15" i="24"/>
  <c r="BL16" i="24"/>
  <c r="BL17" i="24"/>
  <c r="BL18" i="24"/>
  <c r="BL19" i="24"/>
  <c r="BL20" i="24"/>
  <c r="BL21" i="24"/>
  <c r="BL22" i="24"/>
  <c r="BL23" i="24"/>
  <c r="BL24" i="24"/>
  <c r="BL25" i="24"/>
  <c r="BL26" i="24"/>
  <c r="BL27" i="24"/>
  <c r="BL28" i="24"/>
  <c r="BL29" i="24"/>
  <c r="BL30" i="24"/>
  <c r="BL31" i="24"/>
  <c r="BL32" i="24"/>
  <c r="BL33" i="24"/>
  <c r="BL34" i="24"/>
  <c r="BL35" i="24"/>
  <c r="BL36" i="24"/>
  <c r="BL37" i="24"/>
  <c r="BL38" i="24"/>
  <c r="BL39" i="24"/>
  <c r="BL40" i="24"/>
  <c r="BL41" i="24"/>
  <c r="BL42" i="24"/>
  <c r="BL43" i="24"/>
  <c r="BL44" i="24"/>
  <c r="BL45" i="24"/>
  <c r="BL46" i="24"/>
  <c r="BL47" i="24"/>
  <c r="BL48" i="24"/>
  <c r="BL49" i="24"/>
  <c r="BL50" i="24"/>
  <c r="BL51" i="24"/>
  <c r="BL52" i="24"/>
  <c r="BL53" i="24"/>
  <c r="BL54" i="24"/>
  <c r="BL55" i="24"/>
  <c r="BL56" i="24"/>
  <c r="BL57" i="24"/>
  <c r="BL58" i="24"/>
  <c r="BL59" i="24"/>
  <c r="BL60" i="24"/>
  <c r="BL61" i="24"/>
  <c r="BL62" i="24"/>
  <c r="BL63" i="24"/>
  <c r="BL64" i="24"/>
  <c r="BL65" i="24"/>
  <c r="BL66" i="24"/>
  <c r="BL67" i="24"/>
  <c r="BL68" i="24"/>
  <c r="BL69" i="24"/>
  <c r="BL70" i="24"/>
  <c r="BL71" i="24"/>
  <c r="BL72" i="24"/>
  <c r="BL73" i="24"/>
  <c r="BL74" i="24"/>
  <c r="BL75" i="24"/>
  <c r="BL76" i="24"/>
  <c r="BL77" i="24"/>
  <c r="BL78" i="24"/>
  <c r="BL79" i="24"/>
  <c r="BL80" i="24"/>
  <c r="BL81" i="24"/>
  <c r="BL82" i="24"/>
  <c r="BL83" i="24"/>
  <c r="BL84" i="24"/>
  <c r="BL85" i="24"/>
  <c r="BL86" i="24"/>
  <c r="BL87" i="24"/>
  <c r="BL88" i="24"/>
  <c r="BL89" i="24"/>
  <c r="BL90" i="24"/>
  <c r="BL91" i="24"/>
  <c r="BL92" i="24"/>
  <c r="BL93" i="24"/>
  <c r="BL94" i="24"/>
  <c r="BL95" i="24"/>
  <c r="BL96" i="24"/>
  <c r="BL97" i="24"/>
  <c r="BL98" i="24"/>
  <c r="BL99" i="24"/>
  <c r="BL100" i="24"/>
  <c r="BL101" i="24"/>
  <c r="BL102" i="24"/>
  <c r="BL103" i="24"/>
  <c r="BL104" i="24"/>
  <c r="BL105" i="24"/>
  <c r="BL106" i="24"/>
  <c r="BL107" i="24"/>
  <c r="BL108" i="24"/>
  <c r="BL109" i="24"/>
  <c r="BL110" i="24"/>
  <c r="BL111" i="24"/>
  <c r="BL112" i="24"/>
  <c r="BL113" i="24"/>
  <c r="BL114" i="24"/>
  <c r="BL115" i="24"/>
  <c r="BL116" i="24"/>
  <c r="BL117" i="24"/>
  <c r="BL118" i="24"/>
  <c r="BL119" i="24"/>
  <c r="BL120" i="24"/>
  <c r="BL121" i="24"/>
  <c r="BL122" i="24"/>
  <c r="BL123" i="24"/>
  <c r="BL124" i="24"/>
  <c r="BL125" i="24"/>
  <c r="BL126" i="24"/>
  <c r="BL127" i="24"/>
  <c r="BL128" i="24"/>
  <c r="BL129" i="24"/>
  <c r="BL130" i="24"/>
  <c r="BL131" i="24"/>
  <c r="BL132" i="24"/>
  <c r="BL133" i="24"/>
  <c r="BL134" i="24"/>
  <c r="BL135" i="24"/>
  <c r="BL136" i="24"/>
  <c r="BL137" i="24"/>
  <c r="BL4" i="24"/>
  <c r="M64" i="19" a="1"/>
  <c r="M64" i="19" l="1"/>
  <c r="BE60" i="22" l="1"/>
  <c r="BE61" i="22"/>
  <c r="BE62" i="22"/>
  <c r="BE63" i="22"/>
  <c r="BE64" i="22"/>
  <c r="BE65" i="22"/>
  <c r="BE66" i="22"/>
  <c r="BE67" i="22"/>
  <c r="BE68" i="22"/>
  <c r="BE69" i="22"/>
  <c r="BE70" i="22"/>
  <c r="BE71" i="22"/>
  <c r="BE72" i="22"/>
  <c r="BE73" i="22"/>
  <c r="BE74" i="22"/>
  <c r="BE75" i="22"/>
  <c r="BE76" i="22"/>
  <c r="BE77" i="22"/>
  <c r="BE78" i="22"/>
  <c r="AU59" i="34" l="1"/>
  <c r="AU60" i="34"/>
  <c r="AN36" i="53" l="1"/>
  <c r="AM36" i="53"/>
  <c r="AM119" i="53"/>
  <c r="AM108" i="53"/>
  <c r="AM96" i="53"/>
  <c r="AN61" i="53"/>
  <c r="AN63" i="53" s="1"/>
  <c r="AN32" i="53"/>
  <c r="AM32" i="53"/>
  <c r="AO14" i="56" l="1"/>
  <c r="AO13" i="56"/>
  <c r="AN25" i="47" l="1"/>
  <c r="AN16" i="47"/>
  <c r="AX34" i="43" l="1"/>
  <c r="BA34" i="43" s="1"/>
  <c r="AR34" i="43"/>
  <c r="AR35" i="43"/>
  <c r="AB32" i="44"/>
  <c r="V32" i="44" a="1"/>
  <c r="W32" i="44" a="1"/>
  <c r="O32" i="44" a="1"/>
  <c r="X32" i="44" a="1"/>
  <c r="N32" i="44" a="1"/>
  <c r="P32" i="44" a="1"/>
  <c r="M32" i="44" a="1"/>
  <c r="Y32" i="44" a="1"/>
  <c r="P32" i="44" l="1"/>
  <c r="O32" i="44"/>
  <c r="N32" i="44"/>
  <c r="Y32" i="44"/>
  <c r="X32" i="44"/>
  <c r="W32" i="44"/>
  <c r="V32" i="44"/>
  <c r="M32" i="44"/>
  <c r="BD9" i="55" l="1"/>
  <c r="BD10" i="55"/>
  <c r="BD11" i="55"/>
  <c r="BD12" i="55"/>
  <c r="BD13" i="55"/>
  <c r="BD14" i="55"/>
  <c r="BC54" i="54" l="1"/>
  <c r="BC52" i="54" s="1"/>
  <c r="BD54" i="54"/>
  <c r="BD52" i="54" s="1"/>
  <c r="BD22" i="54" s="1"/>
  <c r="BD13" i="54" s="1"/>
  <c r="BC64" i="54"/>
  <c r="BC61" i="54" s="1"/>
  <c r="BC74" i="54"/>
  <c r="BC71" i="54" s="1"/>
  <c r="BC84" i="54"/>
  <c r="BC81" i="54" s="1"/>
  <c r="BC94" i="54"/>
  <c r="BC91" i="54" s="1"/>
  <c r="BC104" i="54"/>
  <c r="BC101" i="54" s="1"/>
  <c r="BC110" i="54"/>
  <c r="BC109" i="54" s="1"/>
  <c r="BD16" i="54"/>
  <c r="BD26" i="54"/>
  <c r="BR4" i="22"/>
  <c r="BO374" i="22"/>
  <c r="BO426" i="22"/>
  <c r="BK444" i="22"/>
  <c r="BO444" i="22" s="1"/>
  <c r="BK477" i="22"/>
  <c r="BO477" i="22" s="1"/>
  <c r="BK476" i="22"/>
  <c r="BO476" i="22" s="1"/>
  <c r="BK475" i="22"/>
  <c r="BO475" i="22" s="1"/>
  <c r="BK474" i="22"/>
  <c r="BO474" i="22" s="1"/>
  <c r="BK473" i="22"/>
  <c r="BO473" i="22" s="1"/>
  <c r="BK472" i="22"/>
  <c r="BO472" i="22" s="1"/>
  <c r="BK471" i="22"/>
  <c r="BO471" i="22" s="1"/>
  <c r="BK470" i="22"/>
  <c r="BO470" i="22" s="1"/>
  <c r="BK469" i="22"/>
  <c r="BO469" i="22" s="1"/>
  <c r="BK468" i="22"/>
  <c r="BO468" i="22" s="1"/>
  <c r="BK467" i="22"/>
  <c r="BO467" i="22" s="1"/>
  <c r="BK466" i="22"/>
  <c r="BO466" i="22" s="1"/>
  <c r="BK465" i="22"/>
  <c r="BO465" i="22" s="1"/>
  <c r="BK464" i="22"/>
  <c r="BO464" i="22" s="1"/>
  <c r="BK463" i="22"/>
  <c r="BO463" i="22" s="1"/>
  <c r="BK462" i="22"/>
  <c r="BO462" i="22" s="1"/>
  <c r="BK461" i="22"/>
  <c r="BO461" i="22" s="1"/>
  <c r="BK460" i="22"/>
  <c r="BO460" i="22" s="1"/>
  <c r="BK459" i="22"/>
  <c r="BO459" i="22" s="1"/>
  <c r="BK458" i="22"/>
  <c r="BO458" i="22" s="1"/>
  <c r="BK457" i="22"/>
  <c r="BO457" i="22" s="1"/>
  <c r="BK456" i="22"/>
  <c r="BO456" i="22" s="1"/>
  <c r="BK455" i="22"/>
  <c r="BO455" i="22" s="1"/>
  <c r="BK454" i="22"/>
  <c r="BO454" i="22" s="1"/>
  <c r="BK453" i="22"/>
  <c r="BO453" i="22" s="1"/>
  <c r="BK452" i="22"/>
  <c r="BO452" i="22" s="1"/>
  <c r="BK451" i="22"/>
  <c r="BO451" i="22" s="1"/>
  <c r="BK450" i="22"/>
  <c r="BO450" i="22" s="1"/>
  <c r="BK449" i="22"/>
  <c r="BO449" i="22" s="1"/>
  <c r="BK448" i="22"/>
  <c r="BO448" i="22" s="1"/>
  <c r="BK447" i="22"/>
  <c r="BO447" i="22" s="1"/>
  <c r="BK446" i="22"/>
  <c r="BO446" i="22" s="1"/>
  <c r="BK445" i="22"/>
  <c r="BO445" i="22" s="1"/>
  <c r="BK443" i="22"/>
  <c r="BO443" i="22" s="1"/>
  <c r="BK442" i="22"/>
  <c r="BO442" i="22" s="1"/>
  <c r="BK441" i="22"/>
  <c r="BO441" i="22" s="1"/>
  <c r="BK440" i="22"/>
  <c r="BO440" i="22" s="1"/>
  <c r="BK439" i="22"/>
  <c r="BO439" i="22" s="1"/>
  <c r="BK438" i="22"/>
  <c r="BO438" i="22" s="1"/>
  <c r="BK437" i="22"/>
  <c r="BO437" i="22" s="1"/>
  <c r="BK436" i="22"/>
  <c r="BO436" i="22" s="1"/>
  <c r="BK435" i="22"/>
  <c r="BO435" i="22" s="1"/>
  <c r="BK434" i="22"/>
  <c r="BO434" i="22" s="1"/>
  <c r="BK433" i="22"/>
  <c r="BO433" i="22" s="1"/>
  <c r="BK432" i="22"/>
  <c r="BO432" i="22" s="1"/>
  <c r="BK431" i="22"/>
  <c r="BO431" i="22" s="1"/>
  <c r="BK430" i="22"/>
  <c r="BO430" i="22" s="1"/>
  <c r="BK429" i="22"/>
  <c r="BO429" i="22" s="1"/>
  <c r="BK428" i="22"/>
  <c r="BO428" i="22" s="1"/>
  <c r="BK427" i="22"/>
  <c r="BO427" i="22" s="1"/>
  <c r="BK425" i="22"/>
  <c r="BO425" i="22" s="1"/>
  <c r="BK424" i="22"/>
  <c r="BO424" i="22" s="1"/>
  <c r="BK423" i="22"/>
  <c r="BO423" i="22" s="1"/>
  <c r="BK422" i="22"/>
  <c r="BO422" i="22" s="1"/>
  <c r="BK421" i="22"/>
  <c r="BO421" i="22" s="1"/>
  <c r="BK420" i="22"/>
  <c r="BO420" i="22" s="1"/>
  <c r="BK419" i="22"/>
  <c r="BO419" i="22" s="1"/>
  <c r="BK418" i="22"/>
  <c r="BO418" i="22" s="1"/>
  <c r="BK417" i="22"/>
  <c r="BO417" i="22" s="1"/>
  <c r="BK416" i="22"/>
  <c r="BO416" i="22" s="1"/>
  <c r="BK415" i="22"/>
  <c r="BO415" i="22" s="1"/>
  <c r="BK414" i="22"/>
  <c r="BO414" i="22" s="1"/>
  <c r="BK413" i="22"/>
  <c r="BO413" i="22" s="1"/>
  <c r="BK412" i="22"/>
  <c r="BO412" i="22" s="1"/>
  <c r="BK411" i="22"/>
  <c r="BO411" i="22" s="1"/>
  <c r="BK410" i="22"/>
  <c r="BO410" i="22" s="1"/>
  <c r="BK409" i="22"/>
  <c r="BO409" i="22" s="1"/>
  <c r="BK408" i="22"/>
  <c r="BO408" i="22" s="1"/>
  <c r="BK407" i="22"/>
  <c r="BO407" i="22" s="1"/>
  <c r="BK406" i="22"/>
  <c r="BO406" i="22" s="1"/>
  <c r="BK405" i="22"/>
  <c r="BO405" i="22" s="1"/>
  <c r="BK404" i="22"/>
  <c r="BO404" i="22" s="1"/>
  <c r="BK403" i="22"/>
  <c r="BO403" i="22" s="1"/>
  <c r="BK402" i="22"/>
  <c r="BO402" i="22" s="1"/>
  <c r="BK401" i="22"/>
  <c r="BO401" i="22" s="1"/>
  <c r="BK400" i="22"/>
  <c r="BO400" i="22" s="1"/>
  <c r="BK399" i="22"/>
  <c r="BO399" i="22" s="1"/>
  <c r="BK398" i="22"/>
  <c r="BO398" i="22" s="1"/>
  <c r="BK397" i="22"/>
  <c r="BO397" i="22" s="1"/>
  <c r="BK396" i="22"/>
  <c r="BO396" i="22" s="1"/>
  <c r="BK395" i="22"/>
  <c r="BO395" i="22" s="1"/>
  <c r="BK394" i="22"/>
  <c r="BO394" i="22" s="1"/>
  <c r="BK393" i="22"/>
  <c r="BO393" i="22" s="1"/>
  <c r="BK392" i="22"/>
  <c r="BO392" i="22" s="1"/>
  <c r="BK391" i="22"/>
  <c r="BO391" i="22" s="1"/>
  <c r="BK390" i="22"/>
  <c r="BO390" i="22" s="1"/>
  <c r="BK389" i="22"/>
  <c r="BO389" i="22" s="1"/>
  <c r="BK388" i="22"/>
  <c r="BO388" i="22" s="1"/>
  <c r="BK387" i="22"/>
  <c r="BO387" i="22" s="1"/>
  <c r="BK386" i="22"/>
  <c r="BO386" i="22" s="1"/>
  <c r="BK385" i="22"/>
  <c r="BO385" i="22" s="1"/>
  <c r="BK384" i="22"/>
  <c r="BO384" i="22" s="1"/>
  <c r="BK383" i="22"/>
  <c r="BO383" i="22" s="1"/>
  <c r="BK382" i="22"/>
  <c r="BO382" i="22" s="1"/>
  <c r="BK381" i="22"/>
  <c r="BO381" i="22" s="1"/>
  <c r="BK380" i="22"/>
  <c r="BO380" i="22" s="1"/>
  <c r="BK379" i="22"/>
  <c r="BO379" i="22" s="1"/>
  <c r="BK378" i="22"/>
  <c r="BO378" i="22" s="1"/>
  <c r="BK377" i="22"/>
  <c r="BO377" i="22" s="1"/>
  <c r="BK376" i="22"/>
  <c r="BO376" i="22" s="1"/>
  <c r="BK375" i="22"/>
  <c r="BO375" i="22" s="1"/>
  <c r="BK239" i="22"/>
  <c r="BO239" i="22" s="1"/>
  <c r="BK240" i="22"/>
  <c r="BO240" i="22" s="1"/>
  <c r="BK241" i="22"/>
  <c r="BO241" i="22" s="1"/>
  <c r="BK242" i="22"/>
  <c r="BO242" i="22" s="1"/>
  <c r="BK243" i="22"/>
  <c r="BO243" i="22" s="1"/>
  <c r="BK244" i="22"/>
  <c r="BO244" i="22" s="1"/>
  <c r="BK245" i="22"/>
  <c r="BO245" i="22" s="1"/>
  <c r="BK246" i="22"/>
  <c r="BO246" i="22" s="1"/>
  <c r="BK247" i="22"/>
  <c r="BO247" i="22" s="1"/>
  <c r="BK248" i="22"/>
  <c r="BO248" i="22" s="1"/>
  <c r="BK249" i="22"/>
  <c r="BO249" i="22" s="1"/>
  <c r="BK250" i="22"/>
  <c r="BO250" i="22" s="1"/>
  <c r="BK251" i="22"/>
  <c r="BO251" i="22" s="1"/>
  <c r="BK252" i="22"/>
  <c r="BO252" i="22" s="1"/>
  <c r="BK253" i="22"/>
  <c r="BO253" i="22" s="1"/>
  <c r="BK254" i="22"/>
  <c r="BO254" i="22" s="1"/>
  <c r="BK255" i="22"/>
  <c r="BO255" i="22" s="1"/>
  <c r="BK256" i="22"/>
  <c r="BO256" i="22" s="1"/>
  <c r="BK257" i="22"/>
  <c r="BO257" i="22" s="1"/>
  <c r="BK258" i="22"/>
  <c r="BO258" i="22" s="1"/>
  <c r="BK259" i="22"/>
  <c r="BO259" i="22" s="1"/>
  <c r="BK260" i="22"/>
  <c r="BO260" i="22" s="1"/>
  <c r="BK261" i="22"/>
  <c r="BO261" i="22" s="1"/>
  <c r="BK262" i="22"/>
  <c r="BO262" i="22" s="1"/>
  <c r="BK263" i="22"/>
  <c r="BO263" i="22" s="1"/>
  <c r="BK264" i="22"/>
  <c r="BO264" i="22" s="1"/>
  <c r="BK265" i="22"/>
  <c r="BO265" i="22" s="1"/>
  <c r="BK266" i="22"/>
  <c r="BO266" i="22" s="1"/>
  <c r="BK267" i="22"/>
  <c r="BO267" i="22" s="1"/>
  <c r="BK268" i="22"/>
  <c r="BO268" i="22" s="1"/>
  <c r="BK269" i="22"/>
  <c r="BO269" i="22" s="1"/>
  <c r="BK270" i="22"/>
  <c r="BO270" i="22" s="1"/>
  <c r="BK271" i="22"/>
  <c r="BO271" i="22" s="1"/>
  <c r="BK272" i="22"/>
  <c r="BO272" i="22" s="1"/>
  <c r="BK273" i="22"/>
  <c r="BO273" i="22" s="1"/>
  <c r="BK274" i="22"/>
  <c r="BO274" i="22" s="1"/>
  <c r="BK275" i="22"/>
  <c r="BO275" i="22" s="1"/>
  <c r="BK276" i="22"/>
  <c r="BO276" i="22" s="1"/>
  <c r="BK277" i="22"/>
  <c r="BO277" i="22" s="1"/>
  <c r="BK278" i="22"/>
  <c r="BO278" i="22" s="1"/>
  <c r="BK279" i="22"/>
  <c r="BO279" i="22" s="1"/>
  <c r="BK280" i="22"/>
  <c r="BO280" i="22" s="1"/>
  <c r="BK281" i="22"/>
  <c r="BO281" i="22" s="1"/>
  <c r="BK282" i="22"/>
  <c r="BO282" i="22" s="1"/>
  <c r="BK283" i="22"/>
  <c r="BO283" i="22" s="1"/>
  <c r="BK284" i="22"/>
  <c r="BO284" i="22" s="1"/>
  <c r="BK285" i="22"/>
  <c r="BO285" i="22" s="1"/>
  <c r="BK286" i="22"/>
  <c r="BO286" i="22" s="1"/>
  <c r="BK287" i="22"/>
  <c r="BO287" i="22" s="1"/>
  <c r="BK288" i="22"/>
  <c r="BO288" i="22" s="1"/>
  <c r="BK289" i="22"/>
  <c r="BO289" i="22" s="1"/>
  <c r="BK290" i="22"/>
  <c r="BO290" i="22" s="1"/>
  <c r="BK291" i="22"/>
  <c r="BO291" i="22" s="1"/>
  <c r="BK292" i="22"/>
  <c r="BO292" i="22" s="1"/>
  <c r="BK293" i="22"/>
  <c r="BO293" i="22" s="1"/>
  <c r="BK294" i="22"/>
  <c r="BO294" i="22" s="1"/>
  <c r="BK295" i="22"/>
  <c r="BO295" i="22" s="1"/>
  <c r="BK296" i="22"/>
  <c r="BO296" i="22" s="1"/>
  <c r="BK297" i="22"/>
  <c r="BO297" i="22" s="1"/>
  <c r="BK298" i="22"/>
  <c r="BO298" i="22" s="1"/>
  <c r="BK299" i="22"/>
  <c r="BO299" i="22" s="1"/>
  <c r="BK300" i="22"/>
  <c r="BO300" i="22" s="1"/>
  <c r="BK301" i="22"/>
  <c r="BO301" i="22" s="1"/>
  <c r="BK302" i="22"/>
  <c r="BO302" i="22" s="1"/>
  <c r="BK303" i="22"/>
  <c r="BO303" i="22" s="1"/>
  <c r="BK304" i="22"/>
  <c r="BO304" i="22" s="1"/>
  <c r="BK305" i="22"/>
  <c r="BO305" i="22" s="1"/>
  <c r="BK306" i="22"/>
  <c r="BO306" i="22" s="1"/>
  <c r="BK307" i="22"/>
  <c r="BO307" i="22" s="1"/>
  <c r="BK308" i="22"/>
  <c r="BO308" i="22" s="1"/>
  <c r="BK309" i="22"/>
  <c r="BO309" i="22" s="1"/>
  <c r="BK310" i="22"/>
  <c r="BO310" i="22" s="1"/>
  <c r="BK311" i="22"/>
  <c r="BO311" i="22" s="1"/>
  <c r="BK312" i="22"/>
  <c r="BO312" i="22" s="1"/>
  <c r="BK313" i="22"/>
  <c r="BO313" i="22" s="1"/>
  <c r="BK314" i="22"/>
  <c r="BO314" i="22" s="1"/>
  <c r="BK315" i="22"/>
  <c r="BO315" i="22" s="1"/>
  <c r="BK316" i="22"/>
  <c r="BO316" i="22" s="1"/>
  <c r="BK317" i="22"/>
  <c r="BO317" i="22" s="1"/>
  <c r="BK318" i="22"/>
  <c r="BO318" i="22" s="1"/>
  <c r="BK319" i="22"/>
  <c r="BO319" i="22" s="1"/>
  <c r="BK320" i="22"/>
  <c r="BO320" i="22" s="1"/>
  <c r="BK321" i="22"/>
  <c r="BO321" i="22" s="1"/>
  <c r="BK322" i="22"/>
  <c r="BO322" i="22" s="1"/>
  <c r="BK323" i="22"/>
  <c r="BO323" i="22" s="1"/>
  <c r="BK324" i="22"/>
  <c r="BO324" i="22" s="1"/>
  <c r="BK325" i="22"/>
  <c r="BO325" i="22" s="1"/>
  <c r="BK326" i="22"/>
  <c r="BO326" i="22" s="1"/>
  <c r="BK327" i="22"/>
  <c r="BO327" i="22" s="1"/>
  <c r="BK328" i="22"/>
  <c r="BO328" i="22" s="1"/>
  <c r="BK329" i="22"/>
  <c r="BO329" i="22" s="1"/>
  <c r="BK330" i="22"/>
  <c r="BO330" i="22" s="1"/>
  <c r="BK331" i="22"/>
  <c r="BO331" i="22" s="1"/>
  <c r="BK332" i="22"/>
  <c r="BO332" i="22" s="1"/>
  <c r="BK333" i="22"/>
  <c r="BO333" i="22" s="1"/>
  <c r="BK334" i="22"/>
  <c r="BO334" i="22" s="1"/>
  <c r="BK335" i="22"/>
  <c r="BO335" i="22" s="1"/>
  <c r="BK336" i="22"/>
  <c r="BO336" i="22" s="1"/>
  <c r="BK337" i="22"/>
  <c r="BO337" i="22" s="1"/>
  <c r="BK338" i="22"/>
  <c r="BO338" i="22" s="1"/>
  <c r="BK339" i="22"/>
  <c r="BO339" i="22" s="1"/>
  <c r="BK340" i="22"/>
  <c r="BO340" i="22" s="1"/>
  <c r="BK341" i="22"/>
  <c r="BO341" i="22" s="1"/>
  <c r="BK342" i="22"/>
  <c r="BO342" i="22" s="1"/>
  <c r="BK343" i="22"/>
  <c r="BO343" i="22" s="1"/>
  <c r="BK344" i="22"/>
  <c r="BO344" i="22" s="1"/>
  <c r="BK345" i="22"/>
  <c r="BO345" i="22" s="1"/>
  <c r="BK346" i="22"/>
  <c r="BO346" i="22" s="1"/>
  <c r="BK347" i="22"/>
  <c r="BO347" i="22" s="1"/>
  <c r="BK348" i="22"/>
  <c r="BO348" i="22" s="1"/>
  <c r="BK349" i="22"/>
  <c r="BO349" i="22" s="1"/>
  <c r="BK350" i="22"/>
  <c r="BO350" i="22" s="1"/>
  <c r="BK351" i="22"/>
  <c r="BO351" i="22" s="1"/>
  <c r="BK352" i="22"/>
  <c r="BO352" i="22" s="1"/>
  <c r="BK353" i="22"/>
  <c r="BO353" i="22" s="1"/>
  <c r="BK354" i="22"/>
  <c r="BO354" i="22" s="1"/>
  <c r="BK355" i="22"/>
  <c r="BO355" i="22" s="1"/>
  <c r="BK356" i="22"/>
  <c r="BO356" i="22" s="1"/>
  <c r="BK357" i="22"/>
  <c r="BO357" i="22" s="1"/>
  <c r="BK358" i="22"/>
  <c r="BO358" i="22" s="1"/>
  <c r="BK359" i="22"/>
  <c r="BO359" i="22" s="1"/>
  <c r="BK360" i="22"/>
  <c r="BO360" i="22" s="1"/>
  <c r="BK361" i="22"/>
  <c r="BO361" i="22" s="1"/>
  <c r="BK362" i="22"/>
  <c r="BO362" i="22" s="1"/>
  <c r="BK363" i="22"/>
  <c r="BO363" i="22" s="1"/>
  <c r="BK364" i="22"/>
  <c r="BO364" i="22" s="1"/>
  <c r="BK365" i="22"/>
  <c r="BO365" i="22" s="1"/>
  <c r="BK366" i="22"/>
  <c r="BO366" i="22" s="1"/>
  <c r="BK367" i="22"/>
  <c r="BO367" i="22" s="1"/>
  <c r="BK368" i="22"/>
  <c r="BO368" i="22" s="1"/>
  <c r="BK369" i="22"/>
  <c r="BO369" i="22" s="1"/>
  <c r="BK370" i="22"/>
  <c r="BO370" i="22" s="1"/>
  <c r="BK371" i="22"/>
  <c r="BO371" i="22" s="1"/>
  <c r="BK372" i="22"/>
  <c r="BO372" i="22" s="1"/>
  <c r="BK373" i="22"/>
  <c r="BO373" i="22" s="1"/>
  <c r="BK238" i="22"/>
  <c r="BO238" i="22" s="1"/>
  <c r="BE25" i="54" l="1"/>
  <c r="BD7" i="54"/>
  <c r="W28" i="19"/>
  <c r="AX66" i="33"/>
  <c r="X69" i="13"/>
  <c r="L69" i="13" a="1"/>
  <c r="P27" i="19" a="1"/>
  <c r="N27" i="19" a="1"/>
  <c r="N69" i="13" a="1"/>
  <c r="Q27" i="19" a="1"/>
  <c r="V69" i="13" a="1"/>
  <c r="T69" i="13" a="1"/>
  <c r="M27" i="19" a="1"/>
  <c r="O27" i="19" a="1"/>
  <c r="M69" i="13" a="1"/>
  <c r="P69" i="13" a="1"/>
  <c r="O69" i="13" a="1"/>
  <c r="Q27" i="19" l="1"/>
  <c r="P27" i="19"/>
  <c r="P69" i="13"/>
  <c r="O27" i="19"/>
  <c r="O69" i="13"/>
  <c r="N27" i="19"/>
  <c r="N69" i="13"/>
  <c r="BE15" i="54"/>
  <c r="M27" i="19"/>
  <c r="M69" i="13"/>
  <c r="BO7" i="54"/>
  <c r="L69" i="13"/>
  <c r="V69" i="13"/>
  <c r="T69" i="13"/>
  <c r="BW83" i="45"/>
  <c r="BW82" i="45"/>
  <c r="BW119" i="45"/>
  <c r="BW116" i="45"/>
  <c r="BW112" i="45"/>
  <c r="BW115" i="45" l="1"/>
  <c r="BW126" i="45" l="1"/>
  <c r="BW81" i="45" s="1"/>
  <c r="BW99" i="45"/>
  <c r="BW98" i="45" l="1"/>
  <c r="BW108" i="45" s="1"/>
  <c r="BW80" i="45" s="1"/>
  <c r="BW77" i="45"/>
  <c r="BV77" i="45"/>
  <c r="BU77" i="45"/>
  <c r="BT77" i="45"/>
  <c r="BS77" i="45"/>
  <c r="BV66" i="45"/>
  <c r="BW66" i="45"/>
  <c r="BU66" i="45"/>
  <c r="BT66" i="45"/>
  <c r="BS66" i="45"/>
  <c r="BW62" i="45"/>
  <c r="BW55" i="45" s="1"/>
  <c r="BV62" i="45"/>
  <c r="BU62" i="45"/>
  <c r="BT62" i="45"/>
  <c r="BS62" i="45"/>
  <c r="BW56" i="45"/>
  <c r="BV56" i="45"/>
  <c r="BU56" i="45"/>
  <c r="BT56" i="45"/>
  <c r="BS56" i="45"/>
  <c r="BT50" i="45"/>
  <c r="BU50" i="45"/>
  <c r="BV50" i="45"/>
  <c r="BW50" i="45"/>
  <c r="BW45" i="45" s="1"/>
  <c r="BW49" i="45" s="1"/>
  <c r="BS50" i="45"/>
  <c r="BR50" i="45"/>
  <c r="BS55" i="45" l="1"/>
  <c r="BT55" i="45"/>
  <c r="BV55" i="45"/>
  <c r="BU55" i="45"/>
  <c r="BW44" i="45"/>
  <c r="BW34" i="45"/>
  <c r="BW37" i="45" s="1"/>
  <c r="BW14" i="45"/>
  <c r="BV14" i="45"/>
  <c r="BW13" i="45" l="1"/>
  <c r="BW6" i="45"/>
  <c r="BW12" i="45" l="1"/>
  <c r="BW10" i="45" s="1"/>
  <c r="BW20" i="45"/>
  <c r="BW5" i="45" l="1"/>
  <c r="BW79" i="45"/>
  <c r="BW89" i="45" s="1"/>
  <c r="BC9" i="55"/>
  <c r="BC10" i="55"/>
  <c r="BC11" i="55"/>
  <c r="BC12" i="55"/>
  <c r="BC13" i="55"/>
  <c r="BC14" i="55"/>
  <c r="BC15" i="55"/>
  <c r="BO15" i="55" s="1"/>
  <c r="K27" i="19" a="1"/>
  <c r="L64" i="19" a="1"/>
  <c r="L27" i="19" a="1"/>
  <c r="K64" i="19" a="1"/>
  <c r="K27" i="19" l="1"/>
  <c r="L27" i="19"/>
  <c r="L64" i="19"/>
  <c r="K64" i="19"/>
  <c r="BC16" i="54" l="1"/>
  <c r="BC17" i="54"/>
  <c r="BC18" i="54"/>
  <c r="BC19" i="54"/>
  <c r="BC20" i="54"/>
  <c r="BC21" i="54"/>
  <c r="BC22" i="54"/>
  <c r="BC23" i="54"/>
  <c r="BC14" i="54" s="1"/>
  <c r="BC24" i="54"/>
  <c r="BC26" i="54"/>
  <c r="BC27" i="54"/>
  <c r="BC28" i="54"/>
  <c r="BC29" i="54"/>
  <c r="BC30" i="54"/>
  <c r="BC31" i="54"/>
  <c r="BC32" i="54"/>
  <c r="BC33" i="54"/>
  <c r="BC34" i="54"/>
  <c r="BC35" i="54"/>
  <c r="BC12" i="54" l="1"/>
  <c r="BC8" i="54"/>
  <c r="BC7" i="54"/>
  <c r="BD15" i="54" s="1"/>
  <c r="BD25" i="54"/>
  <c r="BC11" i="54"/>
  <c r="BC13" i="54"/>
  <c r="BC10" i="54"/>
  <c r="BC9" i="54"/>
  <c r="BD60" i="22" l="1"/>
  <c r="BD61" i="22"/>
  <c r="BD62" i="22"/>
  <c r="BD63" i="22"/>
  <c r="BD64" i="22"/>
  <c r="BD65" i="22"/>
  <c r="BD66" i="22"/>
  <c r="BD67" i="22"/>
  <c r="BD68" i="22"/>
  <c r="BD69" i="22"/>
  <c r="BD70" i="22"/>
  <c r="BD71" i="22"/>
  <c r="BD72" i="22"/>
  <c r="BD73" i="22"/>
  <c r="BD74" i="22"/>
  <c r="BD75" i="22"/>
  <c r="BD76" i="22"/>
  <c r="BD77" i="22"/>
  <c r="BD78" i="22"/>
  <c r="L49" i="26" a="1"/>
  <c r="L49" i="26" l="1"/>
  <c r="AL108" i="53" l="1"/>
  <c r="AL96" i="53"/>
  <c r="AN14" i="56" l="1"/>
  <c r="AN13" i="56"/>
  <c r="L34" i="16" l="1"/>
  <c r="AI50" i="55"/>
  <c r="AI71" i="54"/>
  <c r="AI61" i="54"/>
  <c r="AI52" i="54"/>
  <c r="AI42" i="54"/>
  <c r="AJ42" i="54"/>
  <c r="AK42" i="54"/>
  <c r="AL42" i="54"/>
  <c r="AM42" i="54"/>
  <c r="AN42" i="54"/>
  <c r="AO42" i="54"/>
  <c r="AP42" i="54"/>
  <c r="AQ42" i="54"/>
  <c r="AR42" i="54"/>
  <c r="AS42" i="54"/>
  <c r="AT42" i="54"/>
  <c r="AI35" i="54"/>
  <c r="AT34" i="54"/>
  <c r="AS34" i="54"/>
  <c r="AR34" i="54"/>
  <c r="AQ34" i="54"/>
  <c r="AP34" i="54"/>
  <c r="AO34" i="54"/>
  <c r="AN34" i="54"/>
  <c r="AM34" i="54"/>
  <c r="AL34" i="54"/>
  <c r="AK34" i="54"/>
  <c r="AJ34" i="54"/>
  <c r="AI34" i="54"/>
  <c r="AT33" i="54"/>
  <c r="AS33" i="54"/>
  <c r="AR33" i="54"/>
  <c r="AQ33" i="54"/>
  <c r="AP33" i="54"/>
  <c r="AO33" i="54"/>
  <c r="AN33" i="54"/>
  <c r="AM33" i="54"/>
  <c r="AL33" i="54"/>
  <c r="AK33" i="54"/>
  <c r="AJ33" i="54"/>
  <c r="AI33" i="54"/>
  <c r="AT31" i="54"/>
  <c r="AS31" i="54"/>
  <c r="AR31" i="54"/>
  <c r="AQ31" i="54"/>
  <c r="AP31" i="54"/>
  <c r="AO31" i="54"/>
  <c r="AN31" i="54"/>
  <c r="AM31" i="54"/>
  <c r="AL31" i="54"/>
  <c r="AK31" i="54"/>
  <c r="AJ31" i="54"/>
  <c r="AI31" i="54"/>
  <c r="AT30" i="54"/>
  <c r="AS30" i="54"/>
  <c r="AR30" i="54"/>
  <c r="AQ30" i="54"/>
  <c r="AP30" i="54"/>
  <c r="AO30" i="54"/>
  <c r="AN30" i="54"/>
  <c r="AM30" i="54"/>
  <c r="AL30" i="54"/>
  <c r="AK30" i="54"/>
  <c r="AJ30" i="54"/>
  <c r="AI30" i="54"/>
  <c r="AT29" i="54"/>
  <c r="AS29" i="54"/>
  <c r="AR29" i="54"/>
  <c r="AQ29" i="54"/>
  <c r="AP29" i="54"/>
  <c r="AO29" i="54"/>
  <c r="AN29" i="54"/>
  <c r="AM29" i="54"/>
  <c r="AL29" i="54"/>
  <c r="AK29" i="54"/>
  <c r="AJ29" i="54"/>
  <c r="AI29" i="54"/>
  <c r="AT28" i="54"/>
  <c r="AS28" i="54"/>
  <c r="AR28" i="54"/>
  <c r="AQ28" i="54"/>
  <c r="AP28" i="54"/>
  <c r="AO28" i="54"/>
  <c r="AN28" i="54"/>
  <c r="AM28" i="54"/>
  <c r="AL28" i="54"/>
  <c r="AK28" i="54"/>
  <c r="AJ28" i="54"/>
  <c r="AI28" i="54"/>
  <c r="AT26" i="54"/>
  <c r="BQ26" i="54" s="1"/>
  <c r="AS26" i="54"/>
  <c r="AR26" i="54"/>
  <c r="AQ26" i="54"/>
  <c r="AP26" i="54"/>
  <c r="AO26" i="54"/>
  <c r="AN26" i="54"/>
  <c r="AM26" i="54"/>
  <c r="AL26" i="54"/>
  <c r="AK26" i="54"/>
  <c r="AJ26" i="54"/>
  <c r="AI26" i="54"/>
  <c r="AI17" i="54"/>
  <c r="AI24" i="54"/>
  <c r="AW101" i="54"/>
  <c r="AI81" i="54"/>
  <c r="AT71" i="54"/>
  <c r="AS71" i="54"/>
  <c r="AR71" i="54"/>
  <c r="AQ71" i="54"/>
  <c r="AP71" i="54"/>
  <c r="AO71" i="54"/>
  <c r="AN71" i="54"/>
  <c r="AM71" i="54"/>
  <c r="AL71" i="54"/>
  <c r="AK71" i="54"/>
  <c r="AJ71" i="54"/>
  <c r="AT61" i="54"/>
  <c r="AS61" i="54"/>
  <c r="AR61" i="54"/>
  <c r="AQ61" i="54"/>
  <c r="AP61" i="54"/>
  <c r="AO61" i="54"/>
  <c r="AN61" i="54"/>
  <c r="AM61" i="54"/>
  <c r="AL61" i="54"/>
  <c r="AK61" i="54"/>
  <c r="AJ61" i="54"/>
  <c r="AT25" i="54"/>
  <c r="AS25" i="54"/>
  <c r="AR25" i="54"/>
  <c r="AQ25" i="54"/>
  <c r="AP25" i="54"/>
  <c r="AO25" i="54"/>
  <c r="AN25" i="54"/>
  <c r="AM25" i="54"/>
  <c r="AL25" i="54"/>
  <c r="AK25" i="54"/>
  <c r="AJ25" i="54"/>
  <c r="AT23" i="54"/>
  <c r="AS23" i="54"/>
  <c r="AR23" i="54"/>
  <c r="AQ23" i="54"/>
  <c r="AP23" i="54"/>
  <c r="AO23" i="54"/>
  <c r="AN23" i="54"/>
  <c r="AM23" i="54"/>
  <c r="AL23" i="54"/>
  <c r="AK23" i="54"/>
  <c r="AJ23" i="54"/>
  <c r="AT21" i="54"/>
  <c r="AS21" i="54"/>
  <c r="AR21" i="54"/>
  <c r="AQ21" i="54"/>
  <c r="AP21" i="54"/>
  <c r="AO21" i="54"/>
  <c r="AN21" i="54"/>
  <c r="AM21" i="54"/>
  <c r="AL21" i="54"/>
  <c r="AK21" i="54"/>
  <c r="AJ21" i="54"/>
  <c r="AT20" i="54"/>
  <c r="AS20" i="54"/>
  <c r="AR20" i="54"/>
  <c r="AQ20" i="54"/>
  <c r="AP20" i="54"/>
  <c r="AO20" i="54"/>
  <c r="AN20" i="54"/>
  <c r="AM20" i="54"/>
  <c r="AL20" i="54"/>
  <c r="AK20" i="54"/>
  <c r="AJ20" i="54"/>
  <c r="AT19" i="54"/>
  <c r="AS19" i="54"/>
  <c r="AR19" i="54"/>
  <c r="AQ19" i="54"/>
  <c r="AP19" i="54"/>
  <c r="AO19" i="54"/>
  <c r="AN19" i="54"/>
  <c r="AM19" i="54"/>
  <c r="AL19" i="54"/>
  <c r="AK19" i="54"/>
  <c r="AJ19" i="54"/>
  <c r="AT18" i="54"/>
  <c r="AS18" i="54"/>
  <c r="AR18" i="54"/>
  <c r="AQ18" i="54"/>
  <c r="AP18" i="54"/>
  <c r="AO18" i="54"/>
  <c r="AN18" i="54"/>
  <c r="AM18" i="54"/>
  <c r="AL18" i="54"/>
  <c r="AK18" i="54"/>
  <c r="AJ18" i="54"/>
  <c r="AT17" i="54"/>
  <c r="AS17" i="54"/>
  <c r="AR17" i="54"/>
  <c r="AQ17" i="54"/>
  <c r="AP17" i="54"/>
  <c r="AO17" i="54"/>
  <c r="AN17" i="54"/>
  <c r="AM17" i="54"/>
  <c r="AL17" i="54"/>
  <c r="AK17" i="54"/>
  <c r="AJ17" i="54"/>
  <c r="AT16" i="54"/>
  <c r="BQ16" i="54" s="1"/>
  <c r="AS16" i="54"/>
  <c r="AR16" i="54"/>
  <c r="AQ16" i="54"/>
  <c r="AP16" i="54"/>
  <c r="AO16" i="54"/>
  <c r="AN16" i="54"/>
  <c r="AM16" i="54"/>
  <c r="AL16" i="54"/>
  <c r="AK16" i="54"/>
  <c r="AJ16" i="54"/>
  <c r="AI25" i="54"/>
  <c r="AI23" i="54"/>
  <c r="AI21" i="54"/>
  <c r="AI20" i="54"/>
  <c r="AI19" i="54"/>
  <c r="AI18" i="54"/>
  <c r="AI16" i="54"/>
  <c r="AW84" i="54"/>
  <c r="AY84" i="54"/>
  <c r="AZ84" i="54"/>
  <c r="BA84" i="54"/>
  <c r="AZ18" i="54"/>
  <c r="AZ19" i="54"/>
  <c r="AZ20" i="54"/>
  <c r="AZ21" i="54"/>
  <c r="AZ23" i="54"/>
  <c r="AX37" i="54"/>
  <c r="AY37" i="54"/>
  <c r="AZ37" i="54"/>
  <c r="AZ17" i="54" s="1"/>
  <c r="AI86" i="54"/>
  <c r="AI27" i="54" s="1"/>
  <c r="AJ86" i="54"/>
  <c r="AJ27" i="54" s="1"/>
  <c r="AK86" i="54"/>
  <c r="AK27" i="54" s="1"/>
  <c r="AL86" i="54"/>
  <c r="AL27" i="54" s="1"/>
  <c r="AM86" i="54"/>
  <c r="AM27" i="54" s="1"/>
  <c r="AN86" i="54"/>
  <c r="AN27" i="54" s="1"/>
  <c r="AO86" i="54"/>
  <c r="AO27" i="54" s="1"/>
  <c r="AP86" i="54"/>
  <c r="AP27" i="54" s="1"/>
  <c r="AQ86" i="54"/>
  <c r="AQ27" i="54" s="1"/>
  <c r="AR86" i="54"/>
  <c r="AR27" i="54" s="1"/>
  <c r="AS86" i="54"/>
  <c r="AS27" i="54" s="1"/>
  <c r="AT86" i="54"/>
  <c r="AT27" i="54" s="1"/>
  <c r="AK83" i="54"/>
  <c r="AK81" i="54" s="1"/>
  <c r="AL83" i="54"/>
  <c r="AL24" i="54" s="1"/>
  <c r="AM83" i="54"/>
  <c r="AM24" i="54" s="1"/>
  <c r="AN83" i="54"/>
  <c r="AN24" i="54" s="1"/>
  <c r="AO83" i="54"/>
  <c r="AO24" i="54" s="1"/>
  <c r="AP83" i="54"/>
  <c r="AP81" i="54" s="1"/>
  <c r="AQ83" i="54"/>
  <c r="AQ81" i="54" s="1"/>
  <c r="AR83" i="54"/>
  <c r="AR24" i="54" s="1"/>
  <c r="AS83" i="54"/>
  <c r="AS81" i="54" s="1"/>
  <c r="AT83" i="54"/>
  <c r="AT24" i="54" s="1"/>
  <c r="AJ83" i="54"/>
  <c r="AJ81" i="54" s="1"/>
  <c r="AK94" i="54"/>
  <c r="AK35" i="54" s="1"/>
  <c r="AL94" i="54"/>
  <c r="AM94" i="54"/>
  <c r="AN94" i="54"/>
  <c r="AO94" i="54"/>
  <c r="AP94" i="54"/>
  <c r="AQ94" i="54"/>
  <c r="AR94" i="54"/>
  <c r="AR91" i="54" s="1"/>
  <c r="AS94" i="54"/>
  <c r="AS35" i="54" s="1"/>
  <c r="AT94" i="54"/>
  <c r="AT35" i="54" s="1"/>
  <c r="AJ94" i="54"/>
  <c r="AJ35" i="54" s="1"/>
  <c r="AW70" i="55"/>
  <c r="BB56" i="55"/>
  <c r="BA56" i="55"/>
  <c r="AZ56" i="55"/>
  <c r="AY56" i="55"/>
  <c r="AX56" i="55"/>
  <c r="AW56" i="55"/>
  <c r="BB49" i="55"/>
  <c r="BA49" i="55"/>
  <c r="AZ49" i="55"/>
  <c r="AY49" i="55"/>
  <c r="AX49" i="55"/>
  <c r="AW49" i="55"/>
  <c r="BB42" i="55"/>
  <c r="BA42" i="55"/>
  <c r="AZ42" i="55"/>
  <c r="AY42" i="55"/>
  <c r="AX42" i="55"/>
  <c r="AW42" i="55"/>
  <c r="BB35" i="55"/>
  <c r="BA35" i="55"/>
  <c r="AZ35" i="55"/>
  <c r="AY35" i="55"/>
  <c r="AX35" i="55"/>
  <c r="AW35" i="55"/>
  <c r="AW48" i="55"/>
  <c r="AX27" i="55"/>
  <c r="AY27" i="55"/>
  <c r="AZ27" i="55"/>
  <c r="BA27" i="55"/>
  <c r="BB27" i="55"/>
  <c r="AW27" i="55"/>
  <c r="AX28" i="55"/>
  <c r="AY28" i="55"/>
  <c r="AZ28" i="55"/>
  <c r="BA28" i="55"/>
  <c r="BB28" i="55"/>
  <c r="AW28" i="55"/>
  <c r="N89" i="46" a="1"/>
  <c r="N43" i="46" a="1"/>
  <c r="N134" i="46" a="1"/>
  <c r="N94" i="46" a="1"/>
  <c r="N119" i="46" a="1"/>
  <c r="N135" i="46" a="1"/>
  <c r="N139" i="46" a="1"/>
  <c r="N16" i="46" a="1"/>
  <c r="N34" i="46" a="1"/>
  <c r="N116" i="46" a="1"/>
  <c r="N65" i="46" a="1"/>
  <c r="N73" i="46" a="1"/>
  <c r="N63" i="46" a="1"/>
  <c r="N27" i="46" a="1"/>
  <c r="N82" i="46" a="1"/>
  <c r="N40" i="46" a="1"/>
  <c r="N125" i="46" a="1"/>
  <c r="N12" i="46" a="1"/>
  <c r="N50" i="46" a="1"/>
  <c r="N28" i="46" a="1"/>
  <c r="N71" i="46" a="1"/>
  <c r="N155" i="46" a="1"/>
  <c r="N25" i="46" a="1"/>
  <c r="N107" i="46" a="1"/>
  <c r="N62" i="46" a="1"/>
  <c r="N35" i="46" a="1"/>
  <c r="N153" i="46" a="1"/>
  <c r="N64" i="46" a="1"/>
  <c r="N58" i="46" a="1"/>
  <c r="L54" i="15" a="1"/>
  <c r="N158" i="46" a="1"/>
  <c r="N130" i="46" a="1"/>
  <c r="N24" i="46" a="1"/>
  <c r="L94" i="15" a="1"/>
  <c r="N144" i="46" a="1"/>
  <c r="N57" i="46" a="1"/>
  <c r="N60" i="46" a="1"/>
  <c r="N15" i="46" a="1"/>
  <c r="N136" i="46" a="1"/>
  <c r="N29" i="46" a="1"/>
  <c r="N117" i="46" a="1"/>
  <c r="N99" i="46" a="1"/>
  <c r="N47" i="46" a="1"/>
  <c r="N85" i="46" a="1"/>
  <c r="N128" i="46" a="1"/>
  <c r="N49" i="46" a="1"/>
  <c r="N10" i="46" a="1"/>
  <c r="N115" i="46" a="1"/>
  <c r="N31" i="46" a="1"/>
  <c r="N98" i="46" a="1"/>
  <c r="N143" i="46" a="1"/>
  <c r="N19" i="46" a="1"/>
  <c r="N69" i="46" a="1"/>
  <c r="N148" i="46" a="1"/>
  <c r="N44" i="46" a="1"/>
  <c r="N157" i="46" a="1"/>
  <c r="N131" i="46" a="1"/>
  <c r="N61" i="46" a="1"/>
  <c r="N90" i="46" a="1"/>
  <c r="N5" i="46" a="1"/>
  <c r="N70" i="46" a="1"/>
  <c r="N124" i="46" a="1"/>
  <c r="N104" i="46" a="1"/>
  <c r="N46" i="46" a="1"/>
  <c r="N146" i="46" a="1"/>
  <c r="N103" i="46" a="1"/>
  <c r="N51" i="46" a="1"/>
  <c r="N145" i="46" a="1"/>
  <c r="N76" i="46" a="1"/>
  <c r="N9" i="46" a="1"/>
  <c r="N18" i="46" a="1"/>
  <c r="N110" i="46" a="1"/>
  <c r="N137" i="46" a="1"/>
  <c r="N83" i="46" a="1"/>
  <c r="N113" i="46" a="1"/>
  <c r="N123" i="46" a="1"/>
  <c r="N45" i="46" a="1"/>
  <c r="N96" i="46" a="1"/>
  <c r="N42" i="46" a="1"/>
  <c r="N88" i="46" a="1"/>
  <c r="N129" i="46" a="1"/>
  <c r="N7" i="46" a="1"/>
  <c r="N36" i="46" a="1"/>
  <c r="N78" i="46" a="1"/>
  <c r="N156" i="46" a="1"/>
  <c r="N120" i="46" a="1"/>
  <c r="N147" i="46" a="1"/>
  <c r="N159" i="46" a="1"/>
  <c r="N141" i="46" a="1"/>
  <c r="N100" i="46" a="1"/>
  <c r="N52" i="46" a="1"/>
  <c r="N138" i="46" a="1"/>
  <c r="N118" i="46" a="1"/>
  <c r="N17" i="46" a="1"/>
  <c r="N41" i="46" a="1"/>
  <c r="N95" i="46" a="1"/>
  <c r="N30" i="46" a="1"/>
  <c r="N101" i="46" a="1"/>
  <c r="N114" i="46" a="1"/>
  <c r="N97" i="46" a="1"/>
  <c r="N105" i="46" a="1"/>
  <c r="N67" i="46" a="1"/>
  <c r="N80" i="46" a="1"/>
  <c r="N11" i="46" a="1"/>
  <c r="N102" i="46" a="1"/>
  <c r="N154" i="46" a="1"/>
  <c r="N66" i="46" a="1"/>
  <c r="N59" i="46" a="1"/>
  <c r="N111" i="46" a="1"/>
  <c r="N122" i="46" a="1"/>
  <c r="N142" i="46" a="1"/>
  <c r="N132" i="46" a="1"/>
  <c r="N56" i="46" a="1"/>
  <c r="N109" i="46" a="1"/>
  <c r="N6" i="46" a="1"/>
  <c r="N140" i="46" a="1"/>
  <c r="N127" i="46" a="1"/>
  <c r="N33" i="46" a="1"/>
  <c r="N37" i="46" a="1"/>
  <c r="N8" i="46" a="1"/>
  <c r="N68" i="46" a="1"/>
  <c r="N152" i="46" a="1"/>
  <c r="N106" i="46" a="1"/>
  <c r="N20" i="46" a="1"/>
  <c r="N32" i="46" a="1"/>
  <c r="N112" i="46" a="1"/>
  <c r="N13" i="46" a="1"/>
  <c r="N81" i="46" a="1"/>
  <c r="N121" i="46" a="1"/>
  <c r="N108" i="46" a="1"/>
  <c r="N77" i="46" a="1"/>
  <c r="N133" i="46" a="1"/>
  <c r="N84" i="46" a="1"/>
  <c r="N92" i="46" a="1"/>
  <c r="N54" i="46" a="1"/>
  <c r="N48" i="46" a="1"/>
  <c r="N74" i="46" a="1"/>
  <c r="N75" i="46" a="1"/>
  <c r="N93" i="46" a="1"/>
  <c r="N126" i="46" a="1"/>
  <c r="N53" i="46" a="1"/>
  <c r="N72" i="46" a="1"/>
  <c r="N20" i="46" l="1"/>
  <c r="N35" i="46"/>
  <c r="N105" i="46"/>
  <c r="N154" i="46"/>
  <c r="N146" i="46"/>
  <c r="N138" i="46"/>
  <c r="N130" i="46"/>
  <c r="N122" i="46"/>
  <c r="N114" i="46"/>
  <c r="N106" i="46"/>
  <c r="N98" i="46"/>
  <c r="N89" i="46"/>
  <c r="N78" i="46"/>
  <c r="N70" i="46"/>
  <c r="N62" i="46"/>
  <c r="N53" i="46"/>
  <c r="N45" i="46"/>
  <c r="N37" i="46"/>
  <c r="N29" i="46"/>
  <c r="N13" i="46"/>
  <c r="N153" i="46"/>
  <c r="N36" i="46"/>
  <c r="N120" i="46"/>
  <c r="N96" i="46"/>
  <c r="N76" i="46"/>
  <c r="N11" i="46"/>
  <c r="N69" i="46"/>
  <c r="N152" i="46"/>
  <c r="N85" i="46"/>
  <c r="N143" i="46"/>
  <c r="N135" i="46"/>
  <c r="N119" i="46"/>
  <c r="N111" i="46"/>
  <c r="N103" i="46"/>
  <c r="N95" i="46"/>
  <c r="N84" i="46"/>
  <c r="N75" i="46"/>
  <c r="N67" i="46"/>
  <c r="N59" i="46"/>
  <c r="N50" i="46"/>
  <c r="N42" i="46"/>
  <c r="N34" i="46"/>
  <c r="N18" i="46"/>
  <c r="N10" i="46"/>
  <c r="N61" i="46"/>
  <c r="N127" i="46"/>
  <c r="N129" i="46"/>
  <c r="N44" i="46"/>
  <c r="N144" i="46"/>
  <c r="N104" i="46"/>
  <c r="N51" i="46"/>
  <c r="N158" i="46"/>
  <c r="N142" i="46"/>
  <c r="N134" i="46"/>
  <c r="N126" i="46"/>
  <c r="N118" i="46"/>
  <c r="N110" i="46"/>
  <c r="N102" i="46"/>
  <c r="N94" i="46"/>
  <c r="N83" i="46"/>
  <c r="N74" i="46"/>
  <c r="N66" i="46"/>
  <c r="N58" i="46"/>
  <c r="N49" i="46"/>
  <c r="N41" i="46"/>
  <c r="N33" i="46"/>
  <c r="N25" i="46"/>
  <c r="N17" i="46"/>
  <c r="N9" i="46"/>
  <c r="N12" i="46"/>
  <c r="N43" i="46"/>
  <c r="N121" i="46"/>
  <c r="N52" i="46"/>
  <c r="N19" i="46"/>
  <c r="N157" i="46"/>
  <c r="N141" i="46"/>
  <c r="N133" i="46"/>
  <c r="N125" i="46"/>
  <c r="N117" i="46"/>
  <c r="N109" i="46"/>
  <c r="N101" i="46"/>
  <c r="N93" i="46"/>
  <c r="N82" i="46"/>
  <c r="N73" i="46"/>
  <c r="N65" i="46"/>
  <c r="N57" i="46"/>
  <c r="N48" i="46"/>
  <c r="N40" i="46"/>
  <c r="N32" i="46"/>
  <c r="N24" i="46"/>
  <c r="N16" i="46"/>
  <c r="N8" i="46"/>
  <c r="N137" i="46"/>
  <c r="N77" i="46"/>
  <c r="N112" i="46"/>
  <c r="N159" i="46"/>
  <c r="N145" i="46"/>
  <c r="N88" i="46"/>
  <c r="N128" i="46"/>
  <c r="N68" i="46"/>
  <c r="N156" i="46"/>
  <c r="N148" i="46"/>
  <c r="N140" i="46"/>
  <c r="N132" i="46"/>
  <c r="N124" i="46"/>
  <c r="N116" i="46"/>
  <c r="N108" i="46"/>
  <c r="N100" i="46"/>
  <c r="N92" i="46"/>
  <c r="N81" i="46"/>
  <c r="N72" i="46"/>
  <c r="N64" i="46"/>
  <c r="N56" i="46"/>
  <c r="N47" i="46"/>
  <c r="N31" i="46"/>
  <c r="N15" i="46"/>
  <c r="N7" i="46"/>
  <c r="N28" i="46"/>
  <c r="N27" i="46"/>
  <c r="N113" i="46"/>
  <c r="N97" i="46"/>
  <c r="N136" i="46"/>
  <c r="N60" i="46"/>
  <c r="N155" i="46"/>
  <c r="N147" i="46"/>
  <c r="N139" i="46"/>
  <c r="N131" i="46"/>
  <c r="N123" i="46"/>
  <c r="N115" i="46"/>
  <c r="N107" i="46"/>
  <c r="N99" i="46"/>
  <c r="N90" i="46"/>
  <c r="N80" i="46"/>
  <c r="N71" i="46"/>
  <c r="N63" i="46"/>
  <c r="N54" i="46"/>
  <c r="N46" i="46"/>
  <c r="N30" i="46"/>
  <c r="N6" i="46"/>
  <c r="N5" i="46"/>
  <c r="L54" i="15"/>
  <c r="L94" i="15"/>
  <c r="AQ91" i="54"/>
  <c r="AQ32" i="54" s="1"/>
  <c r="AR81" i="54"/>
  <c r="AR22" i="54" s="1"/>
  <c r="AN91" i="54"/>
  <c r="AN32" i="54" s="1"/>
  <c r="AP91" i="54"/>
  <c r="AP32" i="54" s="1"/>
  <c r="AO91" i="54"/>
  <c r="AO32" i="54" s="1"/>
  <c r="AR32" i="54"/>
  <c r="AM91" i="54"/>
  <c r="AM32" i="54" s="1"/>
  <c r="AL91" i="54"/>
  <c r="AL32" i="54" s="1"/>
  <c r="AP35" i="54"/>
  <c r="AP24" i="54"/>
  <c r="AK91" i="54"/>
  <c r="AK32" i="54" s="1"/>
  <c r="AQ24" i="54"/>
  <c r="AJ91" i="54"/>
  <c r="AJ32" i="54" s="1"/>
  <c r="AL35" i="54"/>
  <c r="AI91" i="54"/>
  <c r="AI32" i="54" s="1"/>
  <c r="AM35" i="54"/>
  <c r="AS24" i="54"/>
  <c r="AT81" i="54"/>
  <c r="AT22" i="54" s="1"/>
  <c r="AN35" i="54"/>
  <c r="AO35" i="54"/>
  <c r="AQ35" i="54"/>
  <c r="AT91" i="54"/>
  <c r="AT32" i="54" s="1"/>
  <c r="AR35" i="54"/>
  <c r="AI22" i="54"/>
  <c r="AS91" i="54"/>
  <c r="AS32" i="54" s="1"/>
  <c r="AO81" i="54"/>
  <c r="AO22" i="54" s="1"/>
  <c r="AN81" i="54"/>
  <c r="AN22" i="54" s="1"/>
  <c r="AJ24" i="54"/>
  <c r="AM81" i="54"/>
  <c r="AM22" i="54" s="1"/>
  <c r="AK24" i="54"/>
  <c r="AJ22" i="54"/>
  <c r="AL81" i="54"/>
  <c r="AL22" i="54" s="1"/>
  <c r="AS22" i="54"/>
  <c r="AP22" i="54"/>
  <c r="AQ22" i="54"/>
  <c r="AK22" i="54"/>
  <c r="AZ16" i="54" l="1"/>
  <c r="BA23" i="54"/>
  <c r="BA18" i="54"/>
  <c r="BA24" i="54"/>
  <c r="BA81" i="54"/>
  <c r="AX101" i="54"/>
  <c r="AZ101" i="54"/>
  <c r="AW91" i="54"/>
  <c r="AW81" i="54"/>
  <c r="AX74" i="54"/>
  <c r="AZ61" i="54"/>
  <c r="AZ81" i="54" l="1"/>
  <c r="AZ71" i="54"/>
  <c r="AY54" i="54" l="1"/>
  <c r="AY52" i="54" s="1"/>
  <c r="AZ54" i="54"/>
  <c r="AZ52" i="54" s="1"/>
  <c r="BA54" i="54"/>
  <c r="BB54" i="54"/>
  <c r="AX54" i="54"/>
  <c r="AX52" i="54" s="1"/>
  <c r="AW54" i="54"/>
  <c r="AW52" i="54" s="1"/>
  <c r="AZ45" i="54"/>
  <c r="AZ42" i="54" s="1"/>
  <c r="AZ22" i="54" s="1"/>
  <c r="BA45" i="54"/>
  <c r="BV119" i="45" l="1"/>
  <c r="BV116" i="45"/>
  <c r="BV112" i="45"/>
  <c r="BV99" i="45"/>
  <c r="BV115" i="45" l="1"/>
  <c r="BV126" i="45" s="1"/>
  <c r="BV98" i="45" l="1"/>
  <c r="BV108" i="45" s="1"/>
  <c r="BV80" i="45" s="1"/>
  <c r="BV83" i="45"/>
  <c r="BV82" i="45"/>
  <c r="BV81" i="45"/>
  <c r="BU6" i="45"/>
  <c r="BV6" i="45"/>
  <c r="BV45" i="45"/>
  <c r="BV49" i="45" s="1"/>
  <c r="BV44" i="45" l="1"/>
  <c r="BV34" i="45"/>
  <c r="BU34" i="45"/>
  <c r="BT34" i="45"/>
  <c r="BT37" i="45" l="1"/>
  <c r="BU37" i="45"/>
  <c r="BV37" i="45"/>
  <c r="BV13" i="45" l="1"/>
  <c r="BV20" i="45" s="1"/>
  <c r="BV12" i="45" l="1"/>
  <c r="BV10" i="45" s="1"/>
  <c r="BV5" i="45" l="1"/>
  <c r="BV79" i="45" l="1"/>
  <c r="BV89" i="45" s="1"/>
  <c r="BR7" i="22"/>
  <c r="BR3" i="22"/>
  <c r="BJ199" i="22"/>
  <c r="BP199" i="22" s="1"/>
  <c r="AB39" i="44"/>
  <c r="AB38" i="44"/>
  <c r="O39" i="44" a="1"/>
  <c r="N39" i="44" a="1"/>
  <c r="M39" i="44" a="1"/>
  <c r="L39" i="44" a="1"/>
  <c r="M38" i="44" a="1"/>
  <c r="L38" i="44" a="1"/>
  <c r="W39" i="44" a="1"/>
  <c r="P38" i="44" a="1"/>
  <c r="N38" i="44" a="1"/>
  <c r="P39" i="44" a="1"/>
  <c r="X39" i="44" a="1"/>
  <c r="O38" i="44" a="1"/>
  <c r="P38" i="44" l="1"/>
  <c r="P39" i="44"/>
  <c r="O38" i="44"/>
  <c r="O39" i="44"/>
  <c r="N38" i="44"/>
  <c r="N39" i="44"/>
  <c r="M39" i="44"/>
  <c r="M38" i="44"/>
  <c r="L38" i="44"/>
  <c r="L39" i="44"/>
  <c r="W39" i="44"/>
  <c r="X39" i="44"/>
  <c r="BN284" i="24"/>
  <c r="BB361" i="24"/>
  <c r="BB196" i="24"/>
  <c r="BB62" i="24"/>
  <c r="BB61" i="24"/>
  <c r="BB58" i="24"/>
  <c r="BB6" i="24"/>
  <c r="AX40" i="43" l="1"/>
  <c r="BA40" i="43" s="1"/>
  <c r="AX41" i="43"/>
  <c r="BA41" i="43" s="1"/>
  <c r="AR40" i="43"/>
  <c r="AK29" i="43"/>
  <c r="AK20" i="43"/>
  <c r="AK14" i="43"/>
  <c r="AK10" i="43"/>
  <c r="AK6" i="43"/>
  <c r="Y39" i="44" a="1"/>
  <c r="Y39" i="44" l="1"/>
  <c r="A1" i="33" l="1"/>
  <c r="AW14" i="33" s="1"/>
  <c r="AZ61" i="33" l="1"/>
  <c r="AZ45" i="33"/>
  <c r="AZ29" i="33"/>
  <c r="AZ13" i="33"/>
  <c r="AZ60" i="33"/>
  <c r="AZ44" i="33"/>
  <c r="AZ28" i="33"/>
  <c r="AZ12" i="33"/>
  <c r="AZ59" i="33"/>
  <c r="AZ43" i="33"/>
  <c r="AZ27" i="33"/>
  <c r="AZ11" i="33"/>
  <c r="AZ58" i="33"/>
  <c r="AZ42" i="33"/>
  <c r="AZ26" i="33"/>
  <c r="AZ10" i="33"/>
  <c r="AZ57" i="33"/>
  <c r="AZ41" i="33"/>
  <c r="AZ25" i="33"/>
  <c r="AZ9" i="33"/>
  <c r="AZ56" i="33"/>
  <c r="AZ40" i="33"/>
  <c r="AZ24" i="33"/>
  <c r="AZ8" i="33"/>
  <c r="AZ55" i="33"/>
  <c r="AZ39" i="33"/>
  <c r="AZ23" i="33"/>
  <c r="AZ7" i="33"/>
  <c r="AZ54" i="33"/>
  <c r="AZ38" i="33"/>
  <c r="AZ22" i="33"/>
  <c r="AZ6" i="33"/>
  <c r="AZ53" i="33"/>
  <c r="AZ37" i="33"/>
  <c r="AZ21" i="33"/>
  <c r="AZ5" i="33"/>
  <c r="AZ52" i="33"/>
  <c r="AZ36" i="33"/>
  <c r="AZ20" i="33"/>
  <c r="AZ4" i="33"/>
  <c r="AZ67" i="33"/>
  <c r="AZ51" i="33"/>
  <c r="AZ35" i="33"/>
  <c r="AZ19" i="33"/>
  <c r="AZ66" i="33"/>
  <c r="AZ50" i="33"/>
  <c r="AZ34" i="33"/>
  <c r="AZ18" i="33"/>
  <c r="AZ65" i="33"/>
  <c r="AZ49" i="33"/>
  <c r="AZ33" i="33"/>
  <c r="AZ17" i="33"/>
  <c r="AZ64" i="33"/>
  <c r="AZ48" i="33"/>
  <c r="AZ32" i="33"/>
  <c r="AZ16" i="33"/>
  <c r="AZ63" i="33"/>
  <c r="AZ47" i="33"/>
  <c r="AZ31" i="33"/>
  <c r="AZ15" i="33"/>
  <c r="AZ62" i="33"/>
  <c r="AZ46" i="33"/>
  <c r="AZ30" i="33"/>
  <c r="AZ14" i="33"/>
  <c r="AW66" i="33"/>
  <c r="AM42" i="33"/>
  <c r="AM39" i="33"/>
  <c r="R69" i="13" a="1"/>
  <c r="R69" i="13" l="1"/>
  <c r="AM18" i="56"/>
  <c r="AM14" i="56" s="1"/>
  <c r="AM13" i="56"/>
  <c r="BB66" i="22" l="1"/>
  <c r="AZ60" i="22"/>
  <c r="BA60" i="22"/>
  <c r="BB60" i="22"/>
  <c r="BC60" i="22"/>
  <c r="AZ61" i="22"/>
  <c r="BA61" i="22"/>
  <c r="BB61" i="22"/>
  <c r="BC61" i="22"/>
  <c r="AZ62" i="22"/>
  <c r="BA62" i="22"/>
  <c r="BB62" i="22"/>
  <c r="BC62" i="22"/>
  <c r="AZ63" i="22"/>
  <c r="BA63" i="22"/>
  <c r="BB63" i="22"/>
  <c r="BC63" i="22"/>
  <c r="AZ64" i="22"/>
  <c r="BA64" i="22"/>
  <c r="BB64" i="22"/>
  <c r="BC64" i="22"/>
  <c r="AZ65" i="22"/>
  <c r="BA65" i="22"/>
  <c r="BB65" i="22"/>
  <c r="BC65" i="22"/>
  <c r="AZ66" i="22"/>
  <c r="BA66" i="22"/>
  <c r="BC66" i="22"/>
  <c r="AZ67" i="22"/>
  <c r="BA67" i="22"/>
  <c r="BB67" i="22"/>
  <c r="BC67" i="22"/>
  <c r="AZ68" i="22"/>
  <c r="BA68" i="22"/>
  <c r="BB68" i="22"/>
  <c r="BC68" i="22"/>
  <c r="AZ69" i="22"/>
  <c r="BA69" i="22"/>
  <c r="BB69" i="22"/>
  <c r="BC69" i="22"/>
  <c r="AZ70" i="22"/>
  <c r="BA70" i="22"/>
  <c r="BB70" i="22"/>
  <c r="BC70" i="22"/>
  <c r="AZ71" i="22"/>
  <c r="BA71" i="22"/>
  <c r="BB71" i="22"/>
  <c r="BC71" i="22"/>
  <c r="AZ72" i="22"/>
  <c r="BA72" i="22"/>
  <c r="BB72" i="22"/>
  <c r="BC72" i="22"/>
  <c r="AZ73" i="22"/>
  <c r="BA73" i="22"/>
  <c r="BB73" i="22"/>
  <c r="BC73" i="22"/>
  <c r="AZ74" i="22"/>
  <c r="BA74" i="22"/>
  <c r="BB74" i="22"/>
  <c r="BC74" i="22"/>
  <c r="AZ75" i="22"/>
  <c r="BA75" i="22"/>
  <c r="BB75" i="22"/>
  <c r="BC75" i="22"/>
  <c r="AZ76" i="22"/>
  <c r="BA76" i="22"/>
  <c r="BB76" i="22"/>
  <c r="BC76" i="22"/>
  <c r="AZ77" i="22"/>
  <c r="BA77" i="22"/>
  <c r="BB77" i="22"/>
  <c r="BC77" i="22"/>
  <c r="AZ78" i="22"/>
  <c r="BA78" i="22"/>
  <c r="BB78" i="22"/>
  <c r="BC78" i="22"/>
  <c r="BC373" i="22" l="1"/>
  <c r="BC372" i="22"/>
  <c r="BC371" i="22"/>
  <c r="BC370" i="22"/>
  <c r="BC369" i="22"/>
  <c r="BC368" i="22"/>
  <c r="BC367" i="22"/>
  <c r="BC366" i="22"/>
  <c r="BC365" i="22"/>
  <c r="BC364" i="22"/>
  <c r="BC363" i="22"/>
  <c r="BC362" i="22"/>
  <c r="BC361" i="22"/>
  <c r="BC360" i="22"/>
  <c r="BC359" i="22"/>
  <c r="BC358" i="22"/>
  <c r="BC356" i="22"/>
  <c r="BC355" i="22"/>
  <c r="BC354" i="22"/>
  <c r="BC353" i="22"/>
  <c r="BC352" i="22"/>
  <c r="BC351" i="22"/>
  <c r="BC350" i="22"/>
  <c r="BC349" i="22"/>
  <c r="BC348" i="22"/>
  <c r="BC347" i="22"/>
  <c r="BC346" i="22"/>
  <c r="BC345" i="22"/>
  <c r="BC343" i="22"/>
  <c r="BC342" i="22"/>
  <c r="BC341" i="22"/>
  <c r="BC331" i="22"/>
  <c r="BC330" i="22"/>
  <c r="BC329" i="22"/>
  <c r="BC328" i="22"/>
  <c r="BC327" i="22"/>
  <c r="BC323" i="22"/>
  <c r="BC314" i="22"/>
  <c r="BC313" i="22"/>
  <c r="BC312" i="22"/>
  <c r="BC311" i="22"/>
  <c r="BC310" i="22"/>
  <c r="BC306" i="22" s="1"/>
  <c r="BC297" i="22"/>
  <c r="BC296" i="22"/>
  <c r="BC295" i="22"/>
  <c r="BC294" i="22"/>
  <c r="BC293" i="22"/>
  <c r="BC289" i="22"/>
  <c r="BC357" i="22" s="1"/>
  <c r="BC280" i="22"/>
  <c r="BC279" i="22"/>
  <c r="BC278" i="22"/>
  <c r="BC277" i="22"/>
  <c r="BC276" i="22"/>
  <c r="BC344" i="22" s="1"/>
  <c r="BC272" i="22"/>
  <c r="BC263" i="22"/>
  <c r="BC262" i="22"/>
  <c r="BC261" i="22"/>
  <c r="BC260" i="22"/>
  <c r="BC259" i="22"/>
  <c r="BC255" i="22"/>
  <c r="BC246" i="22"/>
  <c r="BC245" i="22"/>
  <c r="BC244" i="22"/>
  <c r="BC243" i="22"/>
  <c r="BC242" i="22"/>
  <c r="BC238" i="22"/>
  <c r="BC340" i="22" l="1"/>
  <c r="AL25" i="47" l="1"/>
  <c r="AL16" i="47"/>
  <c r="AL63" i="53" l="1"/>
  <c r="AL36" i="53"/>
  <c r="AL32" i="53"/>
  <c r="AX105" i="55" l="1"/>
  <c r="AY105" i="55"/>
  <c r="BC105" i="55"/>
  <c r="BD105" i="55"/>
  <c r="BE105" i="55"/>
  <c r="BF105" i="55"/>
  <c r="BG105" i="55"/>
  <c r="BH105" i="55"/>
  <c r="AW105" i="55"/>
  <c r="AW23" i="55"/>
  <c r="AY69" i="55" l="1"/>
  <c r="AX55" i="55"/>
  <c r="AY55" i="55"/>
  <c r="AX57" i="55"/>
  <c r="AY57" i="55"/>
  <c r="AW50" i="55"/>
  <c r="AX48" i="55"/>
  <c r="AY48" i="55"/>
  <c r="AX50" i="55"/>
  <c r="AY50" i="55"/>
  <c r="AX41" i="55"/>
  <c r="AY41" i="55"/>
  <c r="AX43" i="55"/>
  <c r="AY43" i="55"/>
  <c r="AX34" i="55"/>
  <c r="AY34" i="55"/>
  <c r="AX36" i="55"/>
  <c r="AY36" i="55"/>
  <c r="AX29" i="55"/>
  <c r="AY29" i="55"/>
  <c r="AZ29" i="55"/>
  <c r="AZ36" i="55"/>
  <c r="C2" i="16" l="1"/>
  <c r="C2" i="15"/>
  <c r="L106" i="46" a="1"/>
  <c r="L103" i="46" a="1"/>
  <c r="L111" i="46" a="1"/>
  <c r="L121" i="46" a="1"/>
  <c r="L140" i="46" a="1"/>
  <c r="L142" i="46" a="1"/>
  <c r="L133" i="46" a="1"/>
  <c r="L107" i="46" a="1"/>
  <c r="L130" i="46" a="1"/>
  <c r="L138" i="46" a="1"/>
  <c r="L122" i="46" a="1"/>
  <c r="L129" i="46" a="1"/>
  <c r="L108" i="46" a="1"/>
  <c r="L105" i="46" a="1"/>
  <c r="L102" i="46" a="1"/>
  <c r="L131" i="46" a="1"/>
  <c r="L123" i="46" a="1"/>
  <c r="L125" i="46" a="1"/>
  <c r="L154" i="46" a="1"/>
  <c r="L101" i="46" a="1"/>
  <c r="L146" i="46" a="1"/>
  <c r="L114" i="46" a="1"/>
  <c r="L156" i="46" a="1"/>
  <c r="L159" i="46" a="1"/>
  <c r="L119" i="46" a="1"/>
  <c r="L151" i="46" a="1"/>
  <c r="L148" i="46" a="1"/>
  <c r="L141" i="46" a="1"/>
  <c r="L153" i="46" a="1"/>
  <c r="L143" i="46" a="1"/>
  <c r="L118" i="46" a="1"/>
  <c r="L128" i="46" a="1"/>
  <c r="L157" i="46" a="1"/>
  <c r="L124" i="46" a="1"/>
  <c r="L115" i="46" a="1"/>
  <c r="L135" i="46" a="1"/>
  <c r="L144" i="46" a="1"/>
  <c r="L110" i="46" a="1"/>
  <c r="L126" i="46" a="1"/>
  <c r="L132" i="46" a="1"/>
  <c r="L149" i="46" a="1"/>
  <c r="L136" i="46" a="1"/>
  <c r="L150" i="46" a="1"/>
  <c r="L155" i="46" a="1"/>
  <c r="L137" i="46" a="1"/>
  <c r="L154" i="46" l="1"/>
  <c r="L149" i="46"/>
  <c r="L133" i="46"/>
  <c r="L106" i="46"/>
  <c r="L103" i="46"/>
  <c r="L102" i="46"/>
  <c r="L136" i="46"/>
  <c r="L157" i="46"/>
  <c r="L141" i="46"/>
  <c r="L125" i="46"/>
  <c r="L130" i="46"/>
  <c r="L129" i="46"/>
  <c r="L128" i="46"/>
  <c r="L156" i="46"/>
  <c r="L148" i="46"/>
  <c r="L140" i="46"/>
  <c r="L132" i="46"/>
  <c r="L124" i="46"/>
  <c r="L105" i="46"/>
  <c r="L146" i="46"/>
  <c r="L137" i="46"/>
  <c r="L114" i="46"/>
  <c r="L153" i="46"/>
  <c r="L155" i="46"/>
  <c r="L131" i="46"/>
  <c r="L123" i="46"/>
  <c r="L115" i="46"/>
  <c r="L138" i="46"/>
  <c r="L101" i="46"/>
  <c r="L159" i="46"/>
  <c r="L135" i="46"/>
  <c r="L110" i="46"/>
  <c r="L122" i="46"/>
  <c r="L121" i="46"/>
  <c r="L144" i="46"/>
  <c r="L111" i="46"/>
  <c r="L151" i="46"/>
  <c r="L143" i="46"/>
  <c r="L119" i="46"/>
  <c r="L108" i="46"/>
  <c r="L150" i="46"/>
  <c r="L142" i="46"/>
  <c r="L126" i="46"/>
  <c r="L118" i="46"/>
  <c r="L107" i="46"/>
  <c r="BU119" i="45"/>
  <c r="L139" i="46" a="1"/>
  <c r="L147" i="46" a="1"/>
  <c r="L120" i="46" a="1"/>
  <c r="L152" i="46" a="1"/>
  <c r="L134" i="46" a="1"/>
  <c r="L120" i="46" l="1"/>
  <c r="L152" i="46"/>
  <c r="L147" i="46"/>
  <c r="L139" i="46"/>
  <c r="BU82" i="45"/>
  <c r="L134" i="46"/>
  <c r="BU44" i="45"/>
  <c r="L145" i="46" a="1"/>
  <c r="L158" i="46" a="1"/>
  <c r="L158" i="46" l="1"/>
  <c r="BU83" i="45"/>
  <c r="L145" i="46"/>
  <c r="BU45" i="45"/>
  <c r="BU49" i="45" s="1"/>
  <c r="BU14" i="45"/>
  <c r="BU13" i="45" l="1"/>
  <c r="BU12" i="45" l="1"/>
  <c r="BU10" i="45" s="1"/>
  <c r="BU20" i="45"/>
  <c r="BU5" i="45" l="1"/>
  <c r="BU79" i="45" s="1"/>
  <c r="R6" i="16"/>
  <c r="AZ97" i="55" l="1"/>
  <c r="AZ98" i="55" s="1"/>
  <c r="AZ99" i="55"/>
  <c r="AZ105" i="55" l="1"/>
  <c r="BB34" i="55" l="1"/>
  <c r="BA34" i="55"/>
  <c r="BA16" i="55"/>
  <c r="BB16" i="55"/>
  <c r="BB29" i="55"/>
  <c r="BA36" i="55"/>
  <c r="BB36" i="55"/>
  <c r="BA41" i="55"/>
  <c r="BB41" i="55"/>
  <c r="BA43" i="55"/>
  <c r="BB43" i="55"/>
  <c r="BA57" i="55"/>
  <c r="BB57" i="55"/>
  <c r="BA55" i="55"/>
  <c r="BB55" i="55"/>
  <c r="AW90" i="55"/>
  <c r="BG14" i="55"/>
  <c r="BA97" i="55"/>
  <c r="BA98" i="55" s="1"/>
  <c r="BB97" i="55"/>
  <c r="BB98" i="55" s="1"/>
  <c r="BB105" i="55" s="1"/>
  <c r="BA76" i="55"/>
  <c r="BB76" i="55"/>
  <c r="BA83" i="55"/>
  <c r="BB83" i="55"/>
  <c r="BB78" i="55"/>
  <c r="BA78" i="55"/>
  <c r="BB85" i="55"/>
  <c r="BA85" i="55"/>
  <c r="BB99" i="55"/>
  <c r="BA99" i="55"/>
  <c r="BA105" i="55" l="1"/>
  <c r="BI98" i="55"/>
  <c r="BB84" i="55"/>
  <c r="BA84" i="55"/>
  <c r="BB77" i="55"/>
  <c r="BA77" i="55"/>
  <c r="BA16" i="54" l="1"/>
  <c r="BA25" i="54" s="1"/>
  <c r="BJ44" i="54"/>
  <c r="BI44" i="54"/>
  <c r="AY93" i="54"/>
  <c r="AZ93" i="54"/>
  <c r="AZ91" i="54" s="1"/>
  <c r="BA93" i="54"/>
  <c r="BB93" i="54"/>
  <c r="AX93" i="54"/>
  <c r="BB21" i="54"/>
  <c r="BB64" i="54"/>
  <c r="BA64" i="54"/>
  <c r="BB37" i="54"/>
  <c r="BB42" i="54" s="1"/>
  <c r="BA37" i="54"/>
  <c r="BA42" i="54" s="1"/>
  <c r="BA19" i="54"/>
  <c r="BA10" i="54" s="1"/>
  <c r="AW23" i="54"/>
  <c r="AX24" i="54"/>
  <c r="AY24" i="54"/>
  <c r="AZ24" i="54"/>
  <c r="BB24" i="54"/>
  <c r="AW24" i="54"/>
  <c r="BB47" i="54"/>
  <c r="BB52" i="54" s="1"/>
  <c r="BA47" i="54"/>
  <c r="BA52" i="54" s="1"/>
  <c r="BB74" i="54"/>
  <c r="BB71" i="54" s="1"/>
  <c r="BA74" i="54"/>
  <c r="BA71" i="54" s="1"/>
  <c r="BB20" i="54"/>
  <c r="BB56" i="54"/>
  <c r="BB61" i="54" s="1"/>
  <c r="BG56" i="54"/>
  <c r="BA56" i="54"/>
  <c r="BA61" i="54" s="1"/>
  <c r="BB26" i="54"/>
  <c r="BB28" i="54"/>
  <c r="BB29" i="54"/>
  <c r="BA26" i="54"/>
  <c r="BA28" i="54"/>
  <c r="BA9" i="54" s="1"/>
  <c r="BA29" i="54"/>
  <c r="BB16" i="54"/>
  <c r="BC25" i="54" s="1"/>
  <c r="BB18" i="54"/>
  <c r="BB19" i="54"/>
  <c r="BG61" i="54" l="1"/>
  <c r="BG32" i="54" s="1"/>
  <c r="BG13" i="54" s="1"/>
  <c r="BG27" i="54"/>
  <c r="BG8" i="54" s="1"/>
  <c r="BB7" i="54"/>
  <c r="BC15" i="54" s="1"/>
  <c r="BB10" i="54"/>
  <c r="BB9" i="54"/>
  <c r="BB25" i="54"/>
  <c r="BA7" i="54"/>
  <c r="BA15" i="54" s="1"/>
  <c r="BB15" i="54" l="1"/>
  <c r="BB104" i="54"/>
  <c r="BA104" i="54"/>
  <c r="BB96" i="54"/>
  <c r="BA96" i="54"/>
  <c r="BB84" i="54"/>
  <c r="BB81" i="54" s="1"/>
  <c r="BB86" i="54"/>
  <c r="BA86" i="54"/>
  <c r="BB94" i="54"/>
  <c r="BA94" i="54"/>
  <c r="BB110" i="54"/>
  <c r="BB109" i="54" s="1"/>
  <c r="BA110" i="54"/>
  <c r="BA109" i="54" s="1"/>
  <c r="AZ109" i="54"/>
  <c r="BA90" i="55"/>
  <c r="BB90" i="55"/>
  <c r="BA92" i="55"/>
  <c r="BB92" i="55"/>
  <c r="BA48" i="55"/>
  <c r="BA50" i="55"/>
  <c r="BB22" i="55"/>
  <c r="BB48" i="55"/>
  <c r="BB91" i="54" l="1"/>
  <c r="BB27" i="54"/>
  <c r="BA101" i="54"/>
  <c r="BA22" i="54" s="1"/>
  <c r="BA17" i="54"/>
  <c r="BB101" i="54"/>
  <c r="BB17" i="54"/>
  <c r="BB8" i="54" s="1"/>
  <c r="BA91" i="54"/>
  <c r="BA27" i="54"/>
  <c r="BA91" i="55"/>
  <c r="BB91" i="55"/>
  <c r="BU116" i="45"/>
  <c r="BU112" i="45"/>
  <c r="BU99" i="45"/>
  <c r="L104" i="46" a="1"/>
  <c r="L113" i="46" a="1"/>
  <c r="L117" i="46" a="1"/>
  <c r="L117" i="46" l="1"/>
  <c r="BU115" i="45"/>
  <c r="BU126" i="45" s="1"/>
  <c r="BA8" i="54"/>
  <c r="L113" i="46"/>
  <c r="L104" i="46"/>
  <c r="BU98" i="45"/>
  <c r="BU108" i="45" s="1"/>
  <c r="L116" i="46" a="1"/>
  <c r="L127" i="46" a="1"/>
  <c r="L109" i="46" a="1"/>
  <c r="L116" i="46" l="1"/>
  <c r="L127" i="46"/>
  <c r="BU81" i="45"/>
  <c r="L109" i="46"/>
  <c r="BU80" i="45"/>
  <c r="BU89" i="45" s="1"/>
  <c r="AL18" i="56" l="1"/>
  <c r="AL14" i="56" s="1"/>
  <c r="AL13" i="56"/>
  <c r="AL42" i="33" l="1"/>
  <c r="AL39" i="33"/>
  <c r="BA361" i="24" l="1"/>
  <c r="BA284" i="24"/>
  <c r="BA196" i="24"/>
  <c r="BA192" i="24"/>
  <c r="BA141" i="24"/>
  <c r="BA6" i="24"/>
  <c r="AK38" i="47" l="1"/>
  <c r="AK37" i="47"/>
  <c r="AK36" i="47"/>
  <c r="AK35" i="47"/>
  <c r="AK25" i="47"/>
  <c r="AK16" i="47"/>
  <c r="AK14" i="47"/>
  <c r="AK13" i="47"/>
  <c r="AK12" i="47"/>
  <c r="AK11" i="47"/>
  <c r="AK10" i="47"/>
  <c r="AK9" i="47"/>
  <c r="AK8" i="47"/>
  <c r="AK7" i="47"/>
  <c r="AK6" i="47"/>
  <c r="AK36" i="53" l="1"/>
  <c r="AK63" i="53"/>
  <c r="AI119" i="53"/>
  <c r="AH119" i="53"/>
  <c r="BN476" i="24" l="1"/>
  <c r="BN475" i="24"/>
  <c r="BN474" i="24"/>
  <c r="BN473" i="24"/>
  <c r="BN472" i="24"/>
  <c r="BP471" i="24"/>
  <c r="BN471" i="24"/>
  <c r="BN128" i="24"/>
  <c r="BJ125" i="24"/>
  <c r="BJ124" i="24"/>
  <c r="BJ123" i="24"/>
  <c r="BJ122" i="24"/>
  <c r="BJ121" i="24"/>
  <c r="BN122" i="24" l="1"/>
  <c r="BI122" i="24"/>
  <c r="BO122" i="24" s="1"/>
  <c r="BN123" i="24"/>
  <c r="BI123" i="24"/>
  <c r="BO123" i="24" s="1"/>
  <c r="BN124" i="24"/>
  <c r="BI124" i="24"/>
  <c r="BO124" i="24" s="1"/>
  <c r="BP476" i="24"/>
  <c r="BI125" i="24"/>
  <c r="BO125" i="24" s="1"/>
  <c r="BN126" i="24"/>
  <c r="BN127" i="24"/>
  <c r="BP472" i="24"/>
  <c r="BI121" i="24"/>
  <c r="BO121" i="24" s="1"/>
  <c r="BP473" i="24"/>
  <c r="BP474" i="24"/>
  <c r="BP475" i="24"/>
  <c r="BN125" i="24"/>
  <c r="BN121" i="24"/>
  <c r="BN467" i="24" l="1"/>
  <c r="BN510" i="24"/>
  <c r="BN509" i="24"/>
  <c r="BN508" i="24"/>
  <c r="BN507" i="24"/>
  <c r="BN506" i="24"/>
  <c r="BN505" i="24"/>
  <c r="BN504" i="24"/>
  <c r="BN503" i="24"/>
  <c r="BN502" i="24"/>
  <c r="BN501" i="24"/>
  <c r="BN500" i="24"/>
  <c r="BN499" i="24"/>
  <c r="BN498" i="24"/>
  <c r="BN497" i="24"/>
  <c r="BN496" i="24"/>
  <c r="BN495" i="24"/>
  <c r="BN494" i="24"/>
  <c r="BN493" i="24"/>
  <c r="BN492" i="24"/>
  <c r="BN491" i="24"/>
  <c r="BN490" i="24"/>
  <c r="BN489" i="24"/>
  <c r="BN488" i="24"/>
  <c r="BN487" i="24"/>
  <c r="BN486" i="24"/>
  <c r="BN485" i="24"/>
  <c r="BN484" i="24"/>
  <c r="BN483" i="24"/>
  <c r="BN482" i="24"/>
  <c r="BN481" i="24"/>
  <c r="BN480" i="24"/>
  <c r="BN479" i="24"/>
  <c r="BN478" i="24"/>
  <c r="BN469" i="24"/>
  <c r="BN468" i="24"/>
  <c r="BN466" i="24"/>
  <c r="BN465" i="24"/>
  <c r="BN464" i="24"/>
  <c r="BN410" i="24"/>
  <c r="BN409" i="24"/>
  <c r="BN408" i="24"/>
  <c r="BN407" i="24"/>
  <c r="BN406" i="24"/>
  <c r="BN405" i="24"/>
  <c r="BN404" i="24"/>
  <c r="BN403" i="24"/>
  <c r="BN402" i="24"/>
  <c r="BN401" i="24"/>
  <c r="BN400" i="24"/>
  <c r="BN399" i="24"/>
  <c r="BN398" i="24"/>
  <c r="BN397" i="24"/>
  <c r="BN396" i="24"/>
  <c r="BN395" i="24"/>
  <c r="BN394" i="24"/>
  <c r="BN393" i="24"/>
  <c r="BN392" i="24"/>
  <c r="BN391" i="24"/>
  <c r="BN390" i="24"/>
  <c r="BN389" i="24"/>
  <c r="BN388" i="24"/>
  <c r="BN387" i="24"/>
  <c r="BN386" i="24"/>
  <c r="BN385" i="24"/>
  <c r="BN384" i="24"/>
  <c r="BN383" i="24"/>
  <c r="BN382" i="24"/>
  <c r="BN381" i="24"/>
  <c r="BN380" i="24"/>
  <c r="BN379" i="24"/>
  <c r="BN378" i="24"/>
  <c r="BN377" i="24"/>
  <c r="BN376" i="24"/>
  <c r="BN375" i="24"/>
  <c r="BN374" i="24"/>
  <c r="BN373" i="24"/>
  <c r="BN372" i="24"/>
  <c r="BN371" i="24"/>
  <c r="BN370" i="24"/>
  <c r="BN369" i="24"/>
  <c r="BN368" i="24"/>
  <c r="BN367" i="24"/>
  <c r="BN366" i="24"/>
  <c r="BN365" i="24"/>
  <c r="BN364" i="24"/>
  <c r="BN363" i="24"/>
  <c r="BN362" i="24"/>
  <c r="BN361" i="24"/>
  <c r="BN360" i="24"/>
  <c r="BN359" i="24"/>
  <c r="BI45" i="25" l="1"/>
  <c r="BN45" i="25" s="1"/>
  <c r="BI44" i="25"/>
  <c r="BN44" i="25" s="1"/>
  <c r="BI43" i="25"/>
  <c r="AC36" i="16"/>
  <c r="AC31" i="16"/>
  <c r="AC32" i="16"/>
  <c r="AC33" i="16"/>
  <c r="AD31" i="16"/>
  <c r="AC47" i="16"/>
  <c r="AC37" i="16"/>
  <c r="R31" i="16" a="1"/>
  <c r="N47" i="16" a="1"/>
  <c r="L47" i="16" a="1"/>
  <c r="O37" i="16" a="1"/>
  <c r="N37" i="16" a="1"/>
  <c r="M47" i="16" a="1"/>
  <c r="M37" i="16" a="1"/>
  <c r="O36" i="16" a="1"/>
  <c r="N36" i="16" a="1"/>
  <c r="L37" i="16" a="1"/>
  <c r="P47" i="16" a="1"/>
  <c r="P36" i="16" a="1"/>
  <c r="L36" i="16" a="1"/>
  <c r="M36" i="16" a="1"/>
  <c r="O47" i="16" a="1"/>
  <c r="P37" i="16" a="1"/>
  <c r="P47" i="16" l="1"/>
  <c r="P36" i="16"/>
  <c r="P37" i="16"/>
  <c r="O47" i="16"/>
  <c r="O37" i="16"/>
  <c r="O36" i="16"/>
  <c r="N37" i="16"/>
  <c r="N47" i="16"/>
  <c r="N36" i="16"/>
  <c r="M37" i="16"/>
  <c r="M47" i="16"/>
  <c r="M36" i="16"/>
  <c r="L47" i="16"/>
  <c r="L37" i="16"/>
  <c r="L36" i="16"/>
  <c r="R31" i="16"/>
  <c r="P31" i="16" l="1"/>
  <c r="O31" i="16"/>
  <c r="N31" i="16"/>
  <c r="M31" i="16"/>
  <c r="L31" i="16"/>
  <c r="BT83" i="45"/>
  <c r="BT82" i="45"/>
  <c r="BT119" i="45"/>
  <c r="BT116" i="45"/>
  <c r="BT112" i="45"/>
  <c r="BT99" i="45"/>
  <c r="BT115" i="45" l="1"/>
  <c r="BT98" i="45"/>
  <c r="BT108" i="45" s="1"/>
  <c r="BT126" i="45" l="1"/>
  <c r="BT81" i="45" s="1"/>
  <c r="BT80" i="45"/>
  <c r="BT44" i="45"/>
  <c r="BT45" i="45"/>
  <c r="BT49" i="45" s="1"/>
  <c r="BT14" i="45" l="1"/>
  <c r="BT13" i="45" l="1"/>
  <c r="BT6" i="45"/>
  <c r="BT12" i="45" l="1"/>
  <c r="BT10" i="45" s="1"/>
  <c r="BT20" i="45"/>
  <c r="BT5" i="45"/>
  <c r="W60" i="19"/>
  <c r="W61" i="19"/>
  <c r="W62" i="19"/>
  <c r="W63" i="19"/>
  <c r="BR239" i="22"/>
  <c r="BR240" i="22"/>
  <c r="BR241" i="22"/>
  <c r="BR242" i="22"/>
  <c r="BR243" i="22"/>
  <c r="BR244" i="22"/>
  <c r="BR245" i="22"/>
  <c r="BR246" i="22"/>
  <c r="BR247" i="22"/>
  <c r="BR249" i="22"/>
  <c r="BR250" i="22"/>
  <c r="BR251" i="22"/>
  <c r="BR252" i="22"/>
  <c r="BR253" i="22"/>
  <c r="BR254" i="22"/>
  <c r="BR255" i="22"/>
  <c r="BR256" i="22"/>
  <c r="BR257" i="22"/>
  <c r="BR258" i="22"/>
  <c r="BR259" i="22"/>
  <c r="BR260" i="22"/>
  <c r="BR261" i="22"/>
  <c r="BR262" i="22"/>
  <c r="BR263" i="22"/>
  <c r="BR264" i="22"/>
  <c r="BR265" i="22"/>
  <c r="BR266" i="22"/>
  <c r="BR267" i="22"/>
  <c r="BR268" i="22"/>
  <c r="BR269" i="22"/>
  <c r="BR270" i="22"/>
  <c r="BR271" i="22"/>
  <c r="BR272" i="22"/>
  <c r="BR273" i="22"/>
  <c r="BR274" i="22"/>
  <c r="BR275" i="22"/>
  <c r="BR276" i="22"/>
  <c r="BR277" i="22"/>
  <c r="BR278" i="22"/>
  <c r="BR279" i="22"/>
  <c r="BR280" i="22"/>
  <c r="BR281" i="22"/>
  <c r="BR282" i="22"/>
  <c r="BR283" i="22"/>
  <c r="BR284" i="22"/>
  <c r="BR285" i="22"/>
  <c r="BR286" i="22"/>
  <c r="BR287" i="22"/>
  <c r="BR288" i="22"/>
  <c r="BR289" i="22"/>
  <c r="BR290" i="22"/>
  <c r="BR291" i="22"/>
  <c r="BR292" i="22"/>
  <c r="BR293" i="22"/>
  <c r="BR294" i="22"/>
  <c r="BR295" i="22"/>
  <c r="BR296" i="22"/>
  <c r="BR297" i="22"/>
  <c r="BR299" i="22"/>
  <c r="BR300" i="22"/>
  <c r="BR301" i="22"/>
  <c r="BR302" i="22"/>
  <c r="BR303" i="22"/>
  <c r="BR304" i="22"/>
  <c r="BR305" i="22"/>
  <c r="BR306" i="22"/>
  <c r="BR307" i="22"/>
  <c r="BR308" i="22"/>
  <c r="BR309" i="22"/>
  <c r="BR310" i="22"/>
  <c r="BR311" i="22"/>
  <c r="BR312" i="22"/>
  <c r="BR313" i="22"/>
  <c r="BR314" i="22"/>
  <c r="BR315" i="22"/>
  <c r="BR316" i="22"/>
  <c r="BR317" i="22"/>
  <c r="BR318" i="22"/>
  <c r="BR319" i="22"/>
  <c r="BR320" i="22"/>
  <c r="BR321" i="22"/>
  <c r="BR322" i="22"/>
  <c r="BR323" i="22"/>
  <c r="BR324" i="22"/>
  <c r="BR325" i="22"/>
  <c r="BR326" i="22"/>
  <c r="BR327" i="22"/>
  <c r="BR328" i="22"/>
  <c r="BR329" i="22"/>
  <c r="BR330" i="22"/>
  <c r="BR331" i="22"/>
  <c r="BR332" i="22"/>
  <c r="BR333" i="22"/>
  <c r="BR334" i="22"/>
  <c r="BR335" i="22"/>
  <c r="BR336" i="22"/>
  <c r="BR337" i="22"/>
  <c r="BR338" i="22"/>
  <c r="BR339" i="22"/>
  <c r="BR340" i="22"/>
  <c r="BR341" i="22"/>
  <c r="BR342" i="22"/>
  <c r="BR343" i="22"/>
  <c r="BR344" i="22"/>
  <c r="BR345" i="22"/>
  <c r="BR346" i="22"/>
  <c r="BR347" i="22"/>
  <c r="BR348" i="22"/>
  <c r="BR349" i="22"/>
  <c r="BR350" i="22"/>
  <c r="BR351" i="22"/>
  <c r="BR352" i="22"/>
  <c r="BR353" i="22"/>
  <c r="BR354" i="22"/>
  <c r="BR355" i="22"/>
  <c r="BR356" i="22"/>
  <c r="BR357" i="22"/>
  <c r="BR358" i="22"/>
  <c r="BR359" i="22"/>
  <c r="BR360" i="22"/>
  <c r="BR361" i="22"/>
  <c r="BR362" i="22"/>
  <c r="BR363" i="22"/>
  <c r="BR364" i="22"/>
  <c r="BR365" i="22"/>
  <c r="BR366" i="22"/>
  <c r="BR367" i="22"/>
  <c r="BR368" i="22"/>
  <c r="BR369" i="22"/>
  <c r="BR370" i="22"/>
  <c r="BR371" i="22"/>
  <c r="BR372" i="22"/>
  <c r="BR373" i="22"/>
  <c r="BR374" i="22"/>
  <c r="BR375" i="22"/>
  <c r="BR376" i="22"/>
  <c r="BR377" i="22"/>
  <c r="BR378" i="22"/>
  <c r="BR379" i="22"/>
  <c r="BR380" i="22"/>
  <c r="BR381" i="22"/>
  <c r="BR382" i="22"/>
  <c r="BR383" i="22"/>
  <c r="BR384" i="22"/>
  <c r="BR385" i="22"/>
  <c r="BR386" i="22"/>
  <c r="BR387" i="22"/>
  <c r="BR388" i="22"/>
  <c r="BR389" i="22"/>
  <c r="BR390" i="22"/>
  <c r="BR391" i="22"/>
  <c r="BR392" i="22"/>
  <c r="BR393" i="22"/>
  <c r="BR394" i="22"/>
  <c r="BR395" i="22"/>
  <c r="BR396" i="22"/>
  <c r="BR397" i="22"/>
  <c r="BR398" i="22"/>
  <c r="BR399" i="22"/>
  <c r="BR400" i="22"/>
  <c r="BR401" i="22"/>
  <c r="BR402" i="22"/>
  <c r="BR403" i="22"/>
  <c r="BR404" i="22"/>
  <c r="BR405" i="22"/>
  <c r="BR406" i="22"/>
  <c r="BR407" i="22"/>
  <c r="BR408" i="22"/>
  <c r="BR409" i="22"/>
  <c r="BR410" i="22"/>
  <c r="BR411" i="22"/>
  <c r="BR412" i="22"/>
  <c r="BR413" i="22"/>
  <c r="BR414" i="22"/>
  <c r="BR415" i="22"/>
  <c r="BR416" i="22"/>
  <c r="BR417" i="22"/>
  <c r="BR418" i="22"/>
  <c r="BR419" i="22"/>
  <c r="BR420" i="22"/>
  <c r="BR421" i="22"/>
  <c r="BR422" i="22"/>
  <c r="BR423" i="22"/>
  <c r="BR424" i="22"/>
  <c r="BR425" i="22"/>
  <c r="BR426" i="22"/>
  <c r="BR427" i="22"/>
  <c r="BR428" i="22"/>
  <c r="BR429" i="22"/>
  <c r="BR430" i="22"/>
  <c r="BR431" i="22"/>
  <c r="BR432" i="22"/>
  <c r="BR433" i="22"/>
  <c r="BR434" i="22"/>
  <c r="BR435" i="22"/>
  <c r="BR436" i="22"/>
  <c r="BR437" i="22"/>
  <c r="BR438" i="22"/>
  <c r="BR439" i="22"/>
  <c r="BR440" i="22"/>
  <c r="BR441" i="22"/>
  <c r="BR442" i="22"/>
  <c r="BR443" i="22"/>
  <c r="BR444" i="22"/>
  <c r="BR445" i="22"/>
  <c r="BR446" i="22"/>
  <c r="BR447" i="22"/>
  <c r="BR448" i="22"/>
  <c r="BR449" i="22"/>
  <c r="BR450" i="22"/>
  <c r="BR451" i="22"/>
  <c r="BR452" i="22"/>
  <c r="BR453" i="22"/>
  <c r="BR454" i="22"/>
  <c r="BR455" i="22"/>
  <c r="BR456" i="22"/>
  <c r="BR457" i="22"/>
  <c r="BR458" i="22"/>
  <c r="BR459" i="22"/>
  <c r="BR460" i="22"/>
  <c r="BR461" i="22"/>
  <c r="BR462" i="22"/>
  <c r="BR463" i="22"/>
  <c r="BR464" i="22"/>
  <c r="BR465" i="22"/>
  <c r="BR466" i="22"/>
  <c r="BR467" i="22"/>
  <c r="BR468" i="22"/>
  <c r="BR469" i="22"/>
  <c r="BR470" i="22"/>
  <c r="BR471" i="22"/>
  <c r="BR472" i="22"/>
  <c r="BR473" i="22"/>
  <c r="BR474" i="22"/>
  <c r="BR475" i="22"/>
  <c r="BR476" i="22"/>
  <c r="BR477" i="22"/>
  <c r="BR238" i="22"/>
  <c r="BR5" i="22"/>
  <c r="BR6" i="22"/>
  <c r="BR8" i="22"/>
  <c r="BR9" i="22"/>
  <c r="BR10" i="22"/>
  <c r="BR11" i="22"/>
  <c r="BR12" i="22"/>
  <c r="BR13" i="22"/>
  <c r="BR14" i="22"/>
  <c r="BR15" i="22"/>
  <c r="BR16" i="22"/>
  <c r="BR17" i="22"/>
  <c r="BR18" i="22"/>
  <c r="BR19" i="22"/>
  <c r="BR20" i="22"/>
  <c r="BR21" i="22"/>
  <c r="BR22" i="22"/>
  <c r="BR23" i="22"/>
  <c r="BR24" i="22"/>
  <c r="BR25" i="22"/>
  <c r="BR26" i="22"/>
  <c r="BR27" i="22"/>
  <c r="BR28" i="22"/>
  <c r="BR29" i="22"/>
  <c r="BR30" i="22"/>
  <c r="BR31" i="22"/>
  <c r="BR32" i="22"/>
  <c r="BR33" i="22"/>
  <c r="BR34" i="22"/>
  <c r="BR35" i="22"/>
  <c r="BR36" i="22"/>
  <c r="BR37" i="22"/>
  <c r="BR38" i="22"/>
  <c r="BR39" i="22"/>
  <c r="BR40" i="22"/>
  <c r="BR41" i="22"/>
  <c r="BR42" i="22"/>
  <c r="BR43" i="22"/>
  <c r="BR44" i="22"/>
  <c r="BR45" i="22"/>
  <c r="BR46" i="22"/>
  <c r="BR47" i="22"/>
  <c r="BR48" i="22"/>
  <c r="BR49" i="22"/>
  <c r="BR50" i="22"/>
  <c r="BR51" i="22"/>
  <c r="BR52" i="22"/>
  <c r="BR53" i="22"/>
  <c r="BR54" i="22"/>
  <c r="BR55" i="22"/>
  <c r="BR56" i="22"/>
  <c r="BR57" i="22"/>
  <c r="BR58" i="22"/>
  <c r="BR59" i="22"/>
  <c r="BR60" i="22"/>
  <c r="BR61" i="22"/>
  <c r="BR62" i="22"/>
  <c r="BR63" i="22"/>
  <c r="BR64" i="22"/>
  <c r="BR65" i="22"/>
  <c r="BR66" i="22"/>
  <c r="BR67" i="22"/>
  <c r="BR68" i="22"/>
  <c r="BR69" i="22"/>
  <c r="BR70" i="22"/>
  <c r="BR71" i="22"/>
  <c r="BR72" i="22"/>
  <c r="BR73" i="22"/>
  <c r="BR74" i="22"/>
  <c r="BR75" i="22"/>
  <c r="BR76" i="22"/>
  <c r="BR77" i="22"/>
  <c r="BR78" i="22"/>
  <c r="BR79" i="22"/>
  <c r="BR80" i="22"/>
  <c r="BR81" i="22"/>
  <c r="BR82" i="22"/>
  <c r="BR83" i="22"/>
  <c r="BR84" i="22"/>
  <c r="BR85" i="22"/>
  <c r="BR86" i="22"/>
  <c r="BR87" i="22"/>
  <c r="BR88" i="22"/>
  <c r="BR89" i="22"/>
  <c r="BR90" i="22"/>
  <c r="BR91" i="22"/>
  <c r="BR92" i="22"/>
  <c r="BR93" i="22"/>
  <c r="BR94" i="22"/>
  <c r="BR95" i="22"/>
  <c r="BR96" i="22"/>
  <c r="BR97" i="22"/>
  <c r="BR98" i="22"/>
  <c r="BR99" i="22"/>
  <c r="BR100" i="22"/>
  <c r="BR101" i="22"/>
  <c r="BR102" i="22"/>
  <c r="BR103" i="22"/>
  <c r="BR104" i="22"/>
  <c r="BR105" i="22"/>
  <c r="BR106" i="22"/>
  <c r="BR107" i="22"/>
  <c r="BR108" i="22"/>
  <c r="BR109" i="22"/>
  <c r="BR110" i="22"/>
  <c r="BR111" i="22"/>
  <c r="BR112" i="22"/>
  <c r="BR113" i="22"/>
  <c r="BR114" i="22"/>
  <c r="BR115" i="22"/>
  <c r="BR116" i="22"/>
  <c r="BR117" i="22"/>
  <c r="BR118" i="22"/>
  <c r="BR119" i="22"/>
  <c r="BR120" i="22"/>
  <c r="BR121" i="22"/>
  <c r="BR122" i="22"/>
  <c r="BR123" i="22"/>
  <c r="BR124" i="22"/>
  <c r="BR125" i="22"/>
  <c r="BR126" i="22"/>
  <c r="BR127" i="22"/>
  <c r="BR128" i="22"/>
  <c r="BR129" i="22"/>
  <c r="BR130" i="22"/>
  <c r="BR131" i="22"/>
  <c r="BR132" i="22"/>
  <c r="BR133" i="22"/>
  <c r="BR134" i="22"/>
  <c r="BR135" i="22"/>
  <c r="BR136" i="22"/>
  <c r="BR137" i="22"/>
  <c r="BR138" i="22"/>
  <c r="BR139" i="22"/>
  <c r="BR140" i="22"/>
  <c r="BR141" i="22"/>
  <c r="BR142" i="22"/>
  <c r="BR143" i="22"/>
  <c r="BR144" i="22"/>
  <c r="BR145" i="22"/>
  <c r="BR146" i="22"/>
  <c r="BR147" i="22"/>
  <c r="BR148" i="22"/>
  <c r="BR149" i="22"/>
  <c r="BR150" i="22"/>
  <c r="BR151" i="22"/>
  <c r="BR152" i="22"/>
  <c r="BR153" i="22"/>
  <c r="BR154" i="22"/>
  <c r="BR155" i="22"/>
  <c r="BR156" i="22"/>
  <c r="BR157" i="22"/>
  <c r="BR158" i="22"/>
  <c r="BR159" i="22"/>
  <c r="BR160" i="22"/>
  <c r="BR161" i="22"/>
  <c r="BR162" i="22"/>
  <c r="BR163" i="22"/>
  <c r="BR164" i="22"/>
  <c r="BR165" i="22"/>
  <c r="BR166" i="22"/>
  <c r="BR167" i="22"/>
  <c r="BR168" i="22"/>
  <c r="BR169" i="22"/>
  <c r="BR170" i="22"/>
  <c r="BR171" i="22"/>
  <c r="BR172" i="22"/>
  <c r="BR173" i="22"/>
  <c r="BR174" i="22"/>
  <c r="BR175" i="22"/>
  <c r="BR176" i="22"/>
  <c r="BR177" i="22"/>
  <c r="BR178" i="22"/>
  <c r="BR179" i="22"/>
  <c r="BR180" i="22"/>
  <c r="BR181" i="22"/>
  <c r="BR182" i="22"/>
  <c r="BR183" i="22"/>
  <c r="BR184" i="22"/>
  <c r="BR185" i="22"/>
  <c r="BR186" i="22"/>
  <c r="BR187" i="22"/>
  <c r="BR188" i="22"/>
  <c r="BR189" i="22"/>
  <c r="BR190" i="22"/>
  <c r="BR191" i="22"/>
  <c r="BR192" i="22"/>
  <c r="BR193" i="22"/>
  <c r="BR194" i="22"/>
  <c r="BR195" i="22"/>
  <c r="BR196" i="22"/>
  <c r="BR197" i="22"/>
  <c r="BR198" i="22"/>
  <c r="BR199" i="22"/>
  <c r="BR200" i="22"/>
  <c r="BR201" i="22"/>
  <c r="BR202" i="22"/>
  <c r="BR203" i="22"/>
  <c r="BR204" i="22"/>
  <c r="BR205" i="22"/>
  <c r="BR206" i="22"/>
  <c r="BR207" i="22"/>
  <c r="BR208" i="22"/>
  <c r="BR209" i="22"/>
  <c r="BR210" i="22"/>
  <c r="BR211" i="22"/>
  <c r="BJ114" i="24"/>
  <c r="BJ115" i="24"/>
  <c r="BO466" i="24" s="1"/>
  <c r="BJ116" i="24"/>
  <c r="BJ117" i="24"/>
  <c r="BJ118" i="24"/>
  <c r="BI118" i="24" s="1"/>
  <c r="BO118" i="24" s="1"/>
  <c r="BJ119" i="24"/>
  <c r="BI119" i="24" s="1"/>
  <c r="BO119" i="24" s="1"/>
  <c r="BJ113" i="24"/>
  <c r="BI113" i="24" s="1"/>
  <c r="BO113" i="24" s="1"/>
  <c r="BT175" i="45"/>
  <c r="BT176" i="45"/>
  <c r="BU176" i="45"/>
  <c r="BV176" i="45"/>
  <c r="BW176" i="45"/>
  <c r="BZ176" i="45"/>
  <c r="CA176" i="45"/>
  <c r="CB176" i="45"/>
  <c r="H62" i="19" a="1"/>
  <c r="U61" i="19" a="1"/>
  <c r="I62" i="19" a="1"/>
  <c r="P61" i="19" a="1"/>
  <c r="R61" i="19" a="1"/>
  <c r="U62" i="19" a="1"/>
  <c r="D62" i="19" a="1"/>
  <c r="E62" i="19" a="1"/>
  <c r="V61" i="19" a="1"/>
  <c r="L62" i="19" a="1"/>
  <c r="G60" i="19" a="1"/>
  <c r="V62" i="19" a="1"/>
  <c r="I60" i="19" a="1"/>
  <c r="N60" i="19" a="1"/>
  <c r="F61" i="19" a="1"/>
  <c r="L59" i="19" a="1"/>
  <c r="J61" i="19" a="1"/>
  <c r="P62" i="19" a="1"/>
  <c r="O61" i="19" a="1"/>
  <c r="S60" i="19" a="1"/>
  <c r="H61" i="19" a="1"/>
  <c r="J60" i="19" a="1"/>
  <c r="J62" i="19" a="1"/>
  <c r="K59" i="19" a="1"/>
  <c r="K60" i="19" a="1"/>
  <c r="O59" i="19" a="1"/>
  <c r="M59" i="19" a="1"/>
  <c r="S62" i="19" a="1"/>
  <c r="Q61" i="19" a="1"/>
  <c r="M62" i="19" a="1"/>
  <c r="T61" i="19" a="1"/>
  <c r="N59" i="19" a="1"/>
  <c r="G62" i="19" a="1"/>
  <c r="R60" i="19" a="1"/>
  <c r="H60" i="19" a="1"/>
  <c r="R62" i="19" a="1"/>
  <c r="P60" i="19" a="1"/>
  <c r="L60" i="19" a="1"/>
  <c r="M60" i="19" a="1"/>
  <c r="O62" i="19" a="1"/>
  <c r="V60" i="19" a="1"/>
  <c r="Q59" i="19" a="1"/>
  <c r="Q60" i="19" a="1"/>
  <c r="F62" i="19" a="1"/>
  <c r="G61" i="19" a="1"/>
  <c r="S61" i="19" a="1"/>
  <c r="N62" i="19" a="1"/>
  <c r="I61" i="19" a="1"/>
  <c r="L61" i="19" a="1"/>
  <c r="K62" i="19" a="1"/>
  <c r="P59" i="19" a="1"/>
  <c r="U60" i="19" a="1"/>
  <c r="K61" i="19" a="1"/>
  <c r="M61" i="19" a="1"/>
  <c r="F60" i="19" a="1"/>
  <c r="O60" i="19" a="1"/>
  <c r="T60" i="19" a="1"/>
  <c r="Q62" i="19" a="1"/>
  <c r="N61" i="19" a="1"/>
  <c r="Q61" i="19" l="1"/>
  <c r="Q60" i="19"/>
  <c r="Q62" i="19"/>
  <c r="Q59" i="19"/>
  <c r="P62" i="19"/>
  <c r="P61" i="19"/>
  <c r="P60" i="19"/>
  <c r="P59" i="19"/>
  <c r="O62" i="19"/>
  <c r="O61" i="19"/>
  <c r="O60" i="19"/>
  <c r="O59" i="19"/>
  <c r="N62" i="19"/>
  <c r="N61" i="19"/>
  <c r="N60" i="19"/>
  <c r="N59" i="19"/>
  <c r="M62" i="19"/>
  <c r="M61" i="19"/>
  <c r="M60" i="19"/>
  <c r="M59" i="19"/>
  <c r="K62" i="19"/>
  <c r="L62" i="19"/>
  <c r="L61" i="19"/>
  <c r="K61" i="19"/>
  <c r="K60" i="19"/>
  <c r="L60" i="19"/>
  <c r="K59" i="19"/>
  <c r="L59" i="19"/>
  <c r="BO464" i="24"/>
  <c r="BI117" i="24"/>
  <c r="BO117" i="24" s="1"/>
  <c r="BO468" i="24"/>
  <c r="BI116" i="24"/>
  <c r="BO116" i="24" s="1"/>
  <c r="BO467" i="24"/>
  <c r="BI115" i="24"/>
  <c r="BO115" i="24" s="1"/>
  <c r="BO465" i="24"/>
  <c r="BI114" i="24"/>
  <c r="BO114" i="24" s="1"/>
  <c r="BT79" i="45"/>
  <c r="BT89" i="45" s="1"/>
  <c r="J62" i="19"/>
  <c r="S61" i="19"/>
  <c r="I62" i="19"/>
  <c r="R61" i="19"/>
  <c r="V62" i="19"/>
  <c r="H62" i="19"/>
  <c r="U62" i="19"/>
  <c r="G62" i="19"/>
  <c r="E62" i="19"/>
  <c r="J61" i="19"/>
  <c r="D62" i="19"/>
  <c r="I61" i="19"/>
  <c r="S62" i="19"/>
  <c r="V61" i="19"/>
  <c r="H61" i="19"/>
  <c r="F62" i="19"/>
  <c r="R62" i="19"/>
  <c r="U61" i="19"/>
  <c r="G61" i="19"/>
  <c r="T61" i="19"/>
  <c r="F61" i="19"/>
  <c r="R60" i="19"/>
  <c r="S60" i="19"/>
  <c r="J60" i="19"/>
  <c r="I60" i="19"/>
  <c r="V60" i="19"/>
  <c r="H60" i="19"/>
  <c r="U60" i="19"/>
  <c r="G60" i="19"/>
  <c r="T60" i="19"/>
  <c r="F60" i="19"/>
  <c r="BT172" i="45"/>
  <c r="AZ92" i="55" l="1"/>
  <c r="AZ90" i="55"/>
  <c r="AZ85" i="55"/>
  <c r="AZ83" i="55"/>
  <c r="AZ78" i="55"/>
  <c r="AZ76" i="55"/>
  <c r="AZ57" i="55"/>
  <c r="AZ55" i="55"/>
  <c r="AZ50" i="55"/>
  <c r="AZ48" i="55"/>
  <c r="AZ43" i="55"/>
  <c r="AZ41" i="55"/>
  <c r="AZ34" i="55"/>
  <c r="AZ23" i="55"/>
  <c r="AZ91" i="55" l="1"/>
  <c r="BA29" i="55"/>
  <c r="AZ77" i="55"/>
  <c r="AZ84" i="55"/>
  <c r="AZ22" i="55"/>
  <c r="AZ16" i="55"/>
  <c r="BI8" i="24"/>
  <c r="BO8" i="24" s="1"/>
  <c r="BA22" i="55" l="1"/>
  <c r="A2" i="24"/>
  <c r="N14" i="46" a="1"/>
  <c r="N22" i="46" a="1"/>
  <c r="N39" i="46" a="1"/>
  <c r="BI331" i="24" l="1"/>
  <c r="BO331" i="24" s="1"/>
  <c r="BI347" i="24"/>
  <c r="BO347" i="24" s="1"/>
  <c r="BI332" i="24"/>
  <c r="BO332" i="24" s="1"/>
  <c r="BI348" i="24"/>
  <c r="BO348" i="24" s="1"/>
  <c r="BI339" i="24"/>
  <c r="BO339" i="24" s="1"/>
  <c r="BI341" i="24"/>
  <c r="BO341" i="24" s="1"/>
  <c r="BI329" i="24"/>
  <c r="BO329" i="24" s="1"/>
  <c r="BI333" i="24"/>
  <c r="BO333" i="24" s="1"/>
  <c r="BI349" i="24"/>
  <c r="BO349" i="24" s="1"/>
  <c r="BI338" i="24"/>
  <c r="BO338" i="24" s="1"/>
  <c r="BI340" i="24"/>
  <c r="BO340" i="24" s="1"/>
  <c r="BI343" i="24"/>
  <c r="BO343" i="24" s="1"/>
  <c r="BM329" i="24"/>
  <c r="BI334" i="24"/>
  <c r="BO334" i="24" s="1"/>
  <c r="BI350" i="24"/>
  <c r="BO350" i="24" s="1"/>
  <c r="BI345" i="24"/>
  <c r="BO345" i="24" s="1"/>
  <c r="BI335" i="24"/>
  <c r="BO335" i="24" s="1"/>
  <c r="BI351" i="24"/>
  <c r="BO351" i="24" s="1"/>
  <c r="BI346" i="24"/>
  <c r="BO346" i="24" s="1"/>
  <c r="BI336" i="24"/>
  <c r="BO336" i="24" s="1"/>
  <c r="BI337" i="24"/>
  <c r="BO337" i="24" s="1"/>
  <c r="BI342" i="24"/>
  <c r="BO342" i="24" s="1"/>
  <c r="BI344" i="24"/>
  <c r="BO344" i="24" s="1"/>
  <c r="BI330" i="24"/>
  <c r="BO330" i="24" s="1"/>
  <c r="BM24" i="24"/>
  <c r="BM488" i="24"/>
  <c r="BM482" i="24"/>
  <c r="BM360" i="24"/>
  <c r="BM376" i="24"/>
  <c r="BM392" i="24"/>
  <c r="BM408" i="24"/>
  <c r="BM487" i="24"/>
  <c r="BM479" i="24"/>
  <c r="BM361" i="24"/>
  <c r="BM377" i="24"/>
  <c r="BM393" i="24"/>
  <c r="BM409" i="24"/>
  <c r="BM499" i="24"/>
  <c r="BM483" i="24"/>
  <c r="BM478" i="24"/>
  <c r="BM362" i="24"/>
  <c r="BM378" i="24"/>
  <c r="BM394" i="24"/>
  <c r="BM410" i="24"/>
  <c r="BM500" i="24"/>
  <c r="BM484" i="24"/>
  <c r="BM465" i="24"/>
  <c r="BM363" i="24"/>
  <c r="BM379" i="24"/>
  <c r="BM395" i="24"/>
  <c r="BM501" i="24"/>
  <c r="BM485" i="24"/>
  <c r="BM466" i="24"/>
  <c r="BM364" i="24"/>
  <c r="BM380" i="24"/>
  <c r="BM396" i="24"/>
  <c r="BM359" i="24"/>
  <c r="BM502" i="24"/>
  <c r="BM486" i="24"/>
  <c r="BM467" i="24"/>
  <c r="BM365" i="24"/>
  <c r="BM381" i="24"/>
  <c r="BM397" i="24"/>
  <c r="BM503" i="24"/>
  <c r="BM489" i="24"/>
  <c r="BM468" i="24"/>
  <c r="BM366" i="24"/>
  <c r="BM382" i="24"/>
  <c r="BM398" i="24"/>
  <c r="BM504" i="24"/>
  <c r="BM490" i="24"/>
  <c r="BM469" i="24"/>
  <c r="BM367" i="24"/>
  <c r="BM383" i="24"/>
  <c r="BM399" i="24"/>
  <c r="BM505" i="24"/>
  <c r="BM491" i="24"/>
  <c r="BM464" i="24"/>
  <c r="BM368" i="24"/>
  <c r="BM384" i="24"/>
  <c r="BM400" i="24"/>
  <c r="BM506" i="24"/>
  <c r="BM492" i="24"/>
  <c r="BM369" i="24"/>
  <c r="BM385" i="24"/>
  <c r="BM401" i="24"/>
  <c r="BM507" i="24"/>
  <c r="BM493" i="24"/>
  <c r="BM370" i="24"/>
  <c r="BM386" i="24"/>
  <c r="BM402" i="24"/>
  <c r="BM508" i="24"/>
  <c r="BM494" i="24"/>
  <c r="BM371" i="24"/>
  <c r="BM387" i="24"/>
  <c r="BM403" i="24"/>
  <c r="BM509" i="24"/>
  <c r="BM495" i="24"/>
  <c r="BM372" i="24"/>
  <c r="BM388" i="24"/>
  <c r="BM404" i="24"/>
  <c r="BM510" i="24"/>
  <c r="BM496" i="24"/>
  <c r="BM373" i="24"/>
  <c r="BM389" i="24"/>
  <c r="BM405" i="24"/>
  <c r="BM498" i="24"/>
  <c r="BM480" i="24"/>
  <c r="BM374" i="24"/>
  <c r="BM390" i="24"/>
  <c r="BM406" i="24"/>
  <c r="BM497" i="24"/>
  <c r="BM481" i="24"/>
  <c r="BM375" i="24"/>
  <c r="BM391" i="24"/>
  <c r="BM407" i="24"/>
  <c r="BP5" i="24"/>
  <c r="N39" i="46"/>
  <c r="N14" i="46"/>
  <c r="N22" i="46"/>
  <c r="BM56" i="24"/>
  <c r="BM40" i="24"/>
  <c r="BM164" i="24"/>
  <c r="BM284" i="24"/>
  <c r="BO284" i="24"/>
  <c r="BO283" i="24"/>
  <c r="BM104" i="24"/>
  <c r="BM72" i="24"/>
  <c r="BM88" i="24"/>
  <c r="BM196" i="24"/>
  <c r="BM180" i="24"/>
  <c r="BM18" i="24"/>
  <c r="BP128" i="24"/>
  <c r="BP124" i="24"/>
  <c r="BP126" i="24"/>
  <c r="BM128" i="24"/>
  <c r="BP125" i="24"/>
  <c r="BP123" i="24"/>
  <c r="BP121" i="24"/>
  <c r="BM123" i="24"/>
  <c r="BP127" i="24"/>
  <c r="BM125" i="24"/>
  <c r="BM121" i="24"/>
  <c r="BM127" i="24"/>
  <c r="BP122" i="24"/>
  <c r="BM126" i="24"/>
  <c r="BM124" i="24"/>
  <c r="BM122" i="24"/>
  <c r="BP4" i="24"/>
  <c r="BM148" i="24"/>
  <c r="BM120" i="24"/>
  <c r="BM179" i="24"/>
  <c r="BM119" i="24"/>
  <c r="BM103" i="24"/>
  <c r="BM71" i="24"/>
  <c r="BM55" i="24"/>
  <c r="BM39" i="24"/>
  <c r="BM23" i="24"/>
  <c r="BM7" i="24"/>
  <c r="BM147" i="24"/>
  <c r="BM178" i="24"/>
  <c r="BM162" i="24"/>
  <c r="BM146" i="24"/>
  <c r="BM118" i="24"/>
  <c r="BM102" i="24"/>
  <c r="BM86" i="24"/>
  <c r="BM70" i="24"/>
  <c r="BM54" i="24"/>
  <c r="BM38" i="24"/>
  <c r="BM22" i="24"/>
  <c r="BM6" i="24"/>
  <c r="BM195" i="24"/>
  <c r="BM69" i="24"/>
  <c r="BM87" i="24"/>
  <c r="BM194" i="24"/>
  <c r="BM193" i="24"/>
  <c r="BM177" i="24"/>
  <c r="BM161" i="24"/>
  <c r="BM145" i="24"/>
  <c r="BM117" i="24"/>
  <c r="BM101" i="24"/>
  <c r="BM85" i="24"/>
  <c r="BM53" i="24"/>
  <c r="BM37" i="24"/>
  <c r="BM21" i="24"/>
  <c r="BM5" i="24"/>
  <c r="BM192" i="24"/>
  <c r="BM176" i="24"/>
  <c r="BM160" i="24"/>
  <c r="BM144" i="24"/>
  <c r="BM116" i="24"/>
  <c r="BM100" i="24"/>
  <c r="BM84" i="24"/>
  <c r="BM68" i="24"/>
  <c r="BM52" i="24"/>
  <c r="BM36" i="24"/>
  <c r="BM20" i="24"/>
  <c r="BM141" i="24"/>
  <c r="BM191" i="24"/>
  <c r="BM175" i="24"/>
  <c r="BM159" i="24"/>
  <c r="BM143" i="24"/>
  <c r="BM115" i="24"/>
  <c r="BM99" i="24"/>
  <c r="BM83" i="24"/>
  <c r="BM67" i="24"/>
  <c r="BM51" i="24"/>
  <c r="BM35" i="24"/>
  <c r="BM19" i="24"/>
  <c r="BM4" i="24"/>
  <c r="BM163" i="24"/>
  <c r="BM190" i="24"/>
  <c r="BM174" i="24"/>
  <c r="BM158" i="24"/>
  <c r="BM142" i="24"/>
  <c r="BM114" i="24"/>
  <c r="BM98" i="24"/>
  <c r="BM82" i="24"/>
  <c r="BM66" i="24"/>
  <c r="BM50" i="24"/>
  <c r="BM34" i="24"/>
  <c r="BP342" i="24"/>
  <c r="BP326" i="24"/>
  <c r="BP310" i="24"/>
  <c r="BP294" i="24"/>
  <c r="BP278" i="24"/>
  <c r="BP262" i="24"/>
  <c r="BP246" i="24"/>
  <c r="BP230" i="24"/>
  <c r="BP214" i="24"/>
  <c r="BP198" i="24"/>
  <c r="BP182" i="24"/>
  <c r="BP166" i="24"/>
  <c r="BP150" i="24"/>
  <c r="BP11" i="24"/>
  <c r="BP27" i="24"/>
  <c r="BP43" i="24"/>
  <c r="BP59" i="24"/>
  <c r="BP75" i="24"/>
  <c r="BP91" i="24"/>
  <c r="BP107" i="24"/>
  <c r="BP131" i="24"/>
  <c r="BP89" i="24"/>
  <c r="BP215" i="24"/>
  <c r="BP26" i="24"/>
  <c r="BP341" i="24"/>
  <c r="BP325" i="24"/>
  <c r="BP309" i="24"/>
  <c r="BP293" i="24"/>
  <c r="BP277" i="24"/>
  <c r="BP261" i="24"/>
  <c r="BP245" i="24"/>
  <c r="BP229" i="24"/>
  <c r="BP213" i="24"/>
  <c r="BP197" i="24"/>
  <c r="BP181" i="24"/>
  <c r="BP165" i="24"/>
  <c r="BP149" i="24"/>
  <c r="BP12" i="24"/>
  <c r="BP28" i="24"/>
  <c r="BP44" i="24"/>
  <c r="BP60" i="24"/>
  <c r="BP76" i="24"/>
  <c r="BP92" i="24"/>
  <c r="BP108" i="24"/>
  <c r="BP132" i="24"/>
  <c r="BP344" i="24"/>
  <c r="BP184" i="24"/>
  <c r="BP311" i="24"/>
  <c r="BP340" i="24"/>
  <c r="BP324" i="24"/>
  <c r="BP308" i="24"/>
  <c r="BP292" i="24"/>
  <c r="BP276" i="24"/>
  <c r="BP260" i="24"/>
  <c r="BP244" i="24"/>
  <c r="BP228" i="24"/>
  <c r="BP212" i="24"/>
  <c r="BP196" i="24"/>
  <c r="BP180" i="24"/>
  <c r="BP164" i="24"/>
  <c r="BP148" i="24"/>
  <c r="BP13" i="24"/>
  <c r="BP29" i="24"/>
  <c r="BP45" i="24"/>
  <c r="BP61" i="24"/>
  <c r="BP77" i="24"/>
  <c r="BP93" i="24"/>
  <c r="BP109" i="24"/>
  <c r="BP133" i="24"/>
  <c r="BP280" i="24"/>
  <c r="BP57" i="24"/>
  <c r="BP339" i="24"/>
  <c r="BP323" i="24"/>
  <c r="BP307" i="24"/>
  <c r="BP291" i="24"/>
  <c r="BP275" i="24"/>
  <c r="BP259" i="24"/>
  <c r="BP243" i="24"/>
  <c r="BP227" i="24"/>
  <c r="BP211" i="24"/>
  <c r="BP195" i="24"/>
  <c r="BP179" i="24"/>
  <c r="BP163" i="24"/>
  <c r="BP147" i="24"/>
  <c r="BP14" i="24"/>
  <c r="BP30" i="24"/>
  <c r="BP46" i="24"/>
  <c r="BP62" i="24"/>
  <c r="BP78" i="24"/>
  <c r="BP94" i="24"/>
  <c r="BP110" i="24"/>
  <c r="BP134" i="24"/>
  <c r="BP264" i="24"/>
  <c r="BP168" i="24"/>
  <c r="BP129" i="24"/>
  <c r="BP327" i="24"/>
  <c r="BP354" i="24"/>
  <c r="BP338" i="24"/>
  <c r="BP322" i="24"/>
  <c r="BP306" i="24"/>
  <c r="BP290" i="24"/>
  <c r="BP274" i="24"/>
  <c r="BP258" i="24"/>
  <c r="BP242" i="24"/>
  <c r="BP226" i="24"/>
  <c r="BP210" i="24"/>
  <c r="BP194" i="24"/>
  <c r="BP178" i="24"/>
  <c r="BP162" i="24"/>
  <c r="BP146" i="24"/>
  <c r="BP15" i="24"/>
  <c r="BP31" i="24"/>
  <c r="BP47" i="24"/>
  <c r="BP63" i="24"/>
  <c r="BP79" i="24"/>
  <c r="BP95" i="24"/>
  <c r="BP111" i="24"/>
  <c r="BP135" i="24"/>
  <c r="BP296" i="24"/>
  <c r="BP105" i="24"/>
  <c r="BP199" i="24"/>
  <c r="BP353" i="24"/>
  <c r="BP337" i="24"/>
  <c r="BP321" i="24"/>
  <c r="BP305" i="24"/>
  <c r="BP289" i="24"/>
  <c r="BP273" i="24"/>
  <c r="BP257" i="24"/>
  <c r="BP241" i="24"/>
  <c r="BP225" i="24"/>
  <c r="BP209" i="24"/>
  <c r="BP193" i="24"/>
  <c r="BP177" i="24"/>
  <c r="BP161" i="24"/>
  <c r="BP145" i="24"/>
  <c r="BP16" i="24"/>
  <c r="BP32" i="24"/>
  <c r="BP48" i="24"/>
  <c r="BP64" i="24"/>
  <c r="BP80" i="24"/>
  <c r="BP96" i="24"/>
  <c r="BP112" i="24"/>
  <c r="BP136" i="24"/>
  <c r="BP328" i="24"/>
  <c r="BP152" i="24"/>
  <c r="BP343" i="24"/>
  <c r="BP352" i="24"/>
  <c r="BP336" i="24"/>
  <c r="BP320" i="24"/>
  <c r="BP304" i="24"/>
  <c r="BP288" i="24"/>
  <c r="BP272" i="24"/>
  <c r="BP256" i="24"/>
  <c r="BP240" i="24"/>
  <c r="BP224" i="24"/>
  <c r="BP208" i="24"/>
  <c r="BP192" i="24"/>
  <c r="BP176" i="24"/>
  <c r="BP160" i="24"/>
  <c r="BP144" i="24"/>
  <c r="BP17" i="24"/>
  <c r="BP33" i="24"/>
  <c r="BP49" i="24"/>
  <c r="BP65" i="24"/>
  <c r="BP81" i="24"/>
  <c r="BP97" i="24"/>
  <c r="BP113" i="24"/>
  <c r="BP137" i="24"/>
  <c r="BP232" i="24"/>
  <c r="BP351" i="24"/>
  <c r="BP335" i="24"/>
  <c r="BP319" i="24"/>
  <c r="BP303" i="24"/>
  <c r="BP287" i="24"/>
  <c r="BP271" i="24"/>
  <c r="BP255" i="24"/>
  <c r="BP239" i="24"/>
  <c r="BP223" i="24"/>
  <c r="BP207" i="24"/>
  <c r="BP191" i="24"/>
  <c r="BP175" i="24"/>
  <c r="BP159" i="24"/>
  <c r="BP143" i="24"/>
  <c r="BP18" i="24"/>
  <c r="BP34" i="24"/>
  <c r="BP50" i="24"/>
  <c r="BP66" i="24"/>
  <c r="BP82" i="24"/>
  <c r="BP98" i="24"/>
  <c r="BP114" i="24"/>
  <c r="BP216" i="24"/>
  <c r="BP90" i="24"/>
  <c r="BP350" i="24"/>
  <c r="BP334" i="24"/>
  <c r="BP318" i="24"/>
  <c r="BP302" i="24"/>
  <c r="BP286" i="24"/>
  <c r="BP270" i="24"/>
  <c r="BP254" i="24"/>
  <c r="BP238" i="24"/>
  <c r="BP222" i="24"/>
  <c r="BP206" i="24"/>
  <c r="BP190" i="24"/>
  <c r="BP174" i="24"/>
  <c r="BP158" i="24"/>
  <c r="BP142" i="24"/>
  <c r="BP19" i="24"/>
  <c r="BP35" i="24"/>
  <c r="BP51" i="24"/>
  <c r="BP67" i="24"/>
  <c r="BP83" i="24"/>
  <c r="BP99" i="24"/>
  <c r="BP115" i="24"/>
  <c r="BP248" i="24"/>
  <c r="BP73" i="24"/>
  <c r="BP279" i="24"/>
  <c r="BP74" i="24"/>
  <c r="BP349" i="24"/>
  <c r="BP333" i="24"/>
  <c r="BP317" i="24"/>
  <c r="BP301" i="24"/>
  <c r="BP285" i="24"/>
  <c r="BP269" i="24"/>
  <c r="BP253" i="24"/>
  <c r="BP237" i="24"/>
  <c r="BP221" i="24"/>
  <c r="BP205" i="24"/>
  <c r="BP189" i="24"/>
  <c r="BP173" i="24"/>
  <c r="BP157" i="24"/>
  <c r="BP141" i="24"/>
  <c r="BP20" i="24"/>
  <c r="BP36" i="24"/>
  <c r="BP52" i="24"/>
  <c r="BP68" i="24"/>
  <c r="BP84" i="24"/>
  <c r="BP100" i="24"/>
  <c r="BP116" i="24"/>
  <c r="BP295" i="24"/>
  <c r="BP167" i="24"/>
  <c r="BP106" i="24"/>
  <c r="BP348" i="24"/>
  <c r="BP332" i="24"/>
  <c r="BP316" i="24"/>
  <c r="BP300" i="24"/>
  <c r="BP284" i="24"/>
  <c r="BP268" i="24"/>
  <c r="BP252" i="24"/>
  <c r="BP236" i="24"/>
  <c r="BP220" i="24"/>
  <c r="BP204" i="24"/>
  <c r="BP188" i="24"/>
  <c r="BP172" i="24"/>
  <c r="BP156" i="24"/>
  <c r="BP21" i="24"/>
  <c r="BP37" i="24"/>
  <c r="BP53" i="24"/>
  <c r="BP69" i="24"/>
  <c r="BP85" i="24"/>
  <c r="BP101" i="24"/>
  <c r="BP117" i="24"/>
  <c r="BP41" i="24"/>
  <c r="BP247" i="24"/>
  <c r="BP151" i="24"/>
  <c r="BP58" i="24"/>
  <c r="BP347" i="24"/>
  <c r="BP331" i="24"/>
  <c r="BP315" i="24"/>
  <c r="BP299" i="24"/>
  <c r="BP283" i="24"/>
  <c r="BP267" i="24"/>
  <c r="BP251" i="24"/>
  <c r="BP235" i="24"/>
  <c r="BP219" i="24"/>
  <c r="BP203" i="24"/>
  <c r="BP187" i="24"/>
  <c r="BP171" i="24"/>
  <c r="BP155" i="24"/>
  <c r="BP6" i="24"/>
  <c r="BP22" i="24"/>
  <c r="BP38" i="24"/>
  <c r="BP54" i="24"/>
  <c r="BP70" i="24"/>
  <c r="BP86" i="24"/>
  <c r="BP102" i="24"/>
  <c r="BP118" i="24"/>
  <c r="BP312" i="24"/>
  <c r="BP9" i="24"/>
  <c r="BP10" i="24"/>
  <c r="BP346" i="24"/>
  <c r="BP330" i="24"/>
  <c r="BP314" i="24"/>
  <c r="BP298" i="24"/>
  <c r="BP282" i="24"/>
  <c r="BP266" i="24"/>
  <c r="BP250" i="24"/>
  <c r="BP234" i="24"/>
  <c r="BP218" i="24"/>
  <c r="BP202" i="24"/>
  <c r="BP186" i="24"/>
  <c r="BP170" i="24"/>
  <c r="BP154" i="24"/>
  <c r="BP7" i="24"/>
  <c r="BP23" i="24"/>
  <c r="BP39" i="24"/>
  <c r="BP55" i="24"/>
  <c r="BP71" i="24"/>
  <c r="BP87" i="24"/>
  <c r="BP103" i="24"/>
  <c r="BP119" i="24"/>
  <c r="BP25" i="24"/>
  <c r="BP263" i="24"/>
  <c r="BP183" i="24"/>
  <c r="BP42" i="24"/>
  <c r="BP130" i="24"/>
  <c r="BP345" i="24"/>
  <c r="BP329" i="24"/>
  <c r="BP313" i="24"/>
  <c r="BP297" i="24"/>
  <c r="BP281" i="24"/>
  <c r="BP265" i="24"/>
  <c r="BP249" i="24"/>
  <c r="BP233" i="24"/>
  <c r="BP217" i="24"/>
  <c r="BP201" i="24"/>
  <c r="BP185" i="24"/>
  <c r="BP169" i="24"/>
  <c r="BP153" i="24"/>
  <c r="BP8" i="24"/>
  <c r="BP24" i="24"/>
  <c r="BP40" i="24"/>
  <c r="BP56" i="24"/>
  <c r="BP72" i="24"/>
  <c r="BP88" i="24"/>
  <c r="BP104" i="24"/>
  <c r="BP120" i="24"/>
  <c r="BP200" i="24"/>
  <c r="BP231" i="24"/>
  <c r="BM189" i="24"/>
  <c r="BM173" i="24"/>
  <c r="BM157" i="24"/>
  <c r="BM137" i="24"/>
  <c r="BM113" i="24"/>
  <c r="BM97" i="24"/>
  <c r="BM81" i="24"/>
  <c r="BM65" i="24"/>
  <c r="BM49" i="24"/>
  <c r="BM33" i="24"/>
  <c r="BM17" i="24"/>
  <c r="BM334" i="24"/>
  <c r="BM188" i="24"/>
  <c r="BM172" i="24"/>
  <c r="BM156" i="24"/>
  <c r="BM136" i="24"/>
  <c r="BM112" i="24"/>
  <c r="BM96" i="24"/>
  <c r="BM80" i="24"/>
  <c r="BM64" i="24"/>
  <c r="BM48" i="24"/>
  <c r="BM32" i="24"/>
  <c r="BM16" i="24"/>
  <c r="BM333" i="24"/>
  <c r="BM187" i="24"/>
  <c r="BM171" i="24"/>
  <c r="BM155" i="24"/>
  <c r="BM135" i="24"/>
  <c r="BM111" i="24"/>
  <c r="BM95" i="24"/>
  <c r="BM79" i="24"/>
  <c r="BM63" i="24"/>
  <c r="BM47" i="24"/>
  <c r="BM31" i="24"/>
  <c r="BM15" i="24"/>
  <c r="BM202" i="24"/>
  <c r="BM170" i="24"/>
  <c r="BM154" i="24"/>
  <c r="BM134" i="24"/>
  <c r="BM110" i="24"/>
  <c r="BM94" i="24"/>
  <c r="BM78" i="24"/>
  <c r="BM62" i="24"/>
  <c r="BM46" i="24"/>
  <c r="BM30" i="24"/>
  <c r="BM14" i="24"/>
  <c r="BM186" i="24"/>
  <c r="BM201" i="24"/>
  <c r="BM185" i="24"/>
  <c r="BM169" i="24"/>
  <c r="BM153" i="24"/>
  <c r="BM133" i="24"/>
  <c r="BM109" i="24"/>
  <c r="BM93" i="24"/>
  <c r="BM77" i="24"/>
  <c r="BM61" i="24"/>
  <c r="BM45" i="24"/>
  <c r="BM29" i="24"/>
  <c r="BM13" i="24"/>
  <c r="BM184" i="24"/>
  <c r="BM168" i="24"/>
  <c r="BM152" i="24"/>
  <c r="BM132" i="24"/>
  <c r="BM108" i="24"/>
  <c r="BM92" i="24"/>
  <c r="BM76" i="24"/>
  <c r="BM60" i="24"/>
  <c r="BM44" i="24"/>
  <c r="BM28" i="24"/>
  <c r="BM12" i="24"/>
  <c r="BM8" i="24"/>
  <c r="BM199" i="24"/>
  <c r="BM151" i="24"/>
  <c r="BM107" i="24"/>
  <c r="BM91" i="24"/>
  <c r="BM75" i="24"/>
  <c r="BM59" i="24"/>
  <c r="BM27" i="24"/>
  <c r="BM11" i="24"/>
  <c r="BM183" i="24"/>
  <c r="BM90" i="24"/>
  <c r="BM200" i="24"/>
  <c r="BM167" i="24"/>
  <c r="BM131" i="24"/>
  <c r="BM43" i="24"/>
  <c r="BM198" i="24"/>
  <c r="BM182" i="24"/>
  <c r="BM166" i="24"/>
  <c r="BM150" i="24"/>
  <c r="BM130" i="24"/>
  <c r="BM106" i="24"/>
  <c r="BM74" i="24"/>
  <c r="BM58" i="24"/>
  <c r="BM42" i="24"/>
  <c r="BM26" i="24"/>
  <c r="BM10" i="24"/>
  <c r="BM197" i="24"/>
  <c r="BM181" i="24"/>
  <c r="BM165" i="24"/>
  <c r="BM149" i="24"/>
  <c r="BM129" i="24"/>
  <c r="BM105" i="24"/>
  <c r="BM89" i="24"/>
  <c r="BM73" i="24"/>
  <c r="BM57" i="24"/>
  <c r="BM41" i="24"/>
  <c r="BM25" i="24"/>
  <c r="BM9" i="24"/>
  <c r="N21" i="46" a="1"/>
  <c r="N38" i="46" a="1"/>
  <c r="N26" i="46" a="1"/>
  <c r="BX176" i="45" l="1"/>
  <c r="N38" i="46"/>
  <c r="N26" i="46"/>
  <c r="N21" i="46"/>
  <c r="A1" i="22"/>
  <c r="AU58" i="34"/>
  <c r="AF58" i="34"/>
  <c r="Q58" i="34"/>
  <c r="N23" i="46" a="1"/>
  <c r="D61" i="19" a="1"/>
  <c r="E61" i="19" a="1"/>
  <c r="T62" i="19" a="1"/>
  <c r="BS5" i="22" l="1"/>
  <c r="BS300" i="22"/>
  <c r="E61" i="19"/>
  <c r="D61" i="19"/>
  <c r="BS6" i="22"/>
  <c r="BS248" i="22"/>
  <c r="BQ248" i="22" s="1"/>
  <c r="BN247" i="22"/>
  <c r="BK138" i="22"/>
  <c r="BK13" i="22"/>
  <c r="N23" i="46"/>
  <c r="T62" i="19"/>
  <c r="BS240" i="22"/>
  <c r="BQ240" i="22" s="1"/>
  <c r="BS261" i="22"/>
  <c r="BQ261" i="22" s="1"/>
  <c r="BS325" i="22"/>
  <c r="BQ325" i="22" s="1"/>
  <c r="BS389" i="22"/>
  <c r="BQ389" i="22" s="1"/>
  <c r="BS453" i="22"/>
  <c r="BQ453" i="22" s="1"/>
  <c r="BS8" i="22"/>
  <c r="BQ8" i="22" s="1"/>
  <c r="BS23" i="22"/>
  <c r="BQ23" i="22" s="1"/>
  <c r="BS38" i="22"/>
  <c r="BQ38" i="22" s="1"/>
  <c r="BS67" i="22"/>
  <c r="BQ67" i="22" s="1"/>
  <c r="BS81" i="22"/>
  <c r="BQ81" i="22" s="1"/>
  <c r="BS96" i="22"/>
  <c r="BQ96" i="22" s="1"/>
  <c r="BS111" i="22"/>
  <c r="BQ111" i="22" s="1"/>
  <c r="BS125" i="22"/>
  <c r="BQ125" i="22" s="1"/>
  <c r="BS139" i="22"/>
  <c r="BQ139" i="22" s="1"/>
  <c r="BS154" i="22"/>
  <c r="BQ154" i="22" s="1"/>
  <c r="BS168" i="22"/>
  <c r="BQ168" i="22" s="1"/>
  <c r="BS183" i="22"/>
  <c r="BQ183" i="22" s="1"/>
  <c r="BS197" i="22"/>
  <c r="BQ197" i="22" s="1"/>
  <c r="BS247" i="22"/>
  <c r="BQ247" i="22" s="1"/>
  <c r="BS255" i="22"/>
  <c r="BQ255" i="22" s="1"/>
  <c r="BS269" i="22"/>
  <c r="BQ269" i="22" s="1"/>
  <c r="BS276" i="22"/>
  <c r="BQ276" i="22" s="1"/>
  <c r="BS283" i="22"/>
  <c r="BQ283" i="22" s="1"/>
  <c r="BS297" i="22"/>
  <c r="BQ297" i="22" s="1"/>
  <c r="BS305" i="22"/>
  <c r="BQ305" i="22" s="1"/>
  <c r="BS311" i="22"/>
  <c r="BQ311" i="22" s="1"/>
  <c r="BS319" i="22"/>
  <c r="BQ319" i="22" s="1"/>
  <c r="BS333" i="22"/>
  <c r="BQ333" i="22" s="1"/>
  <c r="BS340" i="22"/>
  <c r="BQ340" i="22" s="1"/>
  <c r="BS347" i="22"/>
  <c r="BQ347" i="22" s="1"/>
  <c r="BS361" i="22"/>
  <c r="BQ361" i="22" s="1"/>
  <c r="BS369" i="22"/>
  <c r="BQ369" i="22" s="1"/>
  <c r="BS375" i="22"/>
  <c r="BQ375" i="22" s="1"/>
  <c r="BS383" i="22"/>
  <c r="BQ383" i="22" s="1"/>
  <c r="BS397" i="22"/>
  <c r="BQ397" i="22" s="1"/>
  <c r="BS404" i="22"/>
  <c r="BQ404" i="22" s="1"/>
  <c r="BS411" i="22"/>
  <c r="BQ411" i="22" s="1"/>
  <c r="BS425" i="22"/>
  <c r="BQ425" i="22" s="1"/>
  <c r="BS433" i="22"/>
  <c r="BQ433" i="22" s="1"/>
  <c r="BS439" i="22"/>
  <c r="BQ439" i="22" s="1"/>
  <c r="BS447" i="22"/>
  <c r="BQ447" i="22" s="1"/>
  <c r="BS461" i="22"/>
  <c r="BQ461" i="22" s="1"/>
  <c r="BS468" i="22"/>
  <c r="BQ468" i="22" s="1"/>
  <c r="BS475" i="22"/>
  <c r="BQ475" i="22" s="1"/>
  <c r="BS9" i="22"/>
  <c r="BQ9" i="22" s="1"/>
  <c r="BS24" i="22"/>
  <c r="BQ24" i="22" s="1"/>
  <c r="BS39" i="22"/>
  <c r="BQ39" i="22" s="1"/>
  <c r="BS53" i="22"/>
  <c r="BQ53" i="22" s="1"/>
  <c r="BS68" i="22"/>
  <c r="BQ68" i="22" s="1"/>
  <c r="BS82" i="22"/>
  <c r="BQ82" i="22" s="1"/>
  <c r="BS97" i="22"/>
  <c r="BQ97" i="22" s="1"/>
  <c r="BS112" i="22"/>
  <c r="BQ112" i="22" s="1"/>
  <c r="BS126" i="22"/>
  <c r="BQ126" i="22" s="1"/>
  <c r="BS140" i="22"/>
  <c r="BQ140" i="22" s="1"/>
  <c r="BS155" i="22"/>
  <c r="BQ155" i="22" s="1"/>
  <c r="BS169" i="22"/>
  <c r="BQ169" i="22" s="1"/>
  <c r="BS198" i="22"/>
  <c r="BQ198" i="22" s="1"/>
  <c r="BS241" i="22"/>
  <c r="BQ241" i="22" s="1"/>
  <c r="BS291" i="22"/>
  <c r="BQ291" i="22" s="1"/>
  <c r="BS355" i="22"/>
  <c r="BQ355" i="22" s="1"/>
  <c r="BS419" i="22"/>
  <c r="BQ419" i="22" s="1"/>
  <c r="BS10" i="22"/>
  <c r="BQ10" i="22" s="1"/>
  <c r="BS25" i="22"/>
  <c r="BQ25" i="22" s="1"/>
  <c r="BS54" i="22"/>
  <c r="BQ54" i="22" s="1"/>
  <c r="BS83" i="22"/>
  <c r="BQ83" i="22" s="1"/>
  <c r="BS98" i="22"/>
  <c r="BQ98" i="22" s="1"/>
  <c r="BS113" i="22"/>
  <c r="BQ113" i="22" s="1"/>
  <c r="BS127" i="22"/>
  <c r="BQ127" i="22" s="1"/>
  <c r="BS141" i="22"/>
  <c r="BQ141" i="22" s="1"/>
  <c r="BS156" i="22"/>
  <c r="BQ156" i="22" s="1"/>
  <c r="BS170" i="22"/>
  <c r="BQ170" i="22" s="1"/>
  <c r="BS184" i="22"/>
  <c r="BQ184" i="22" s="1"/>
  <c r="BS199" i="22"/>
  <c r="BQ199" i="22" s="1"/>
  <c r="BS256" i="22"/>
  <c r="BQ256" i="22" s="1"/>
  <c r="BS262" i="22"/>
  <c r="BQ262" i="22" s="1"/>
  <c r="BS270" i="22"/>
  <c r="BQ270" i="22" s="1"/>
  <c r="BS284" i="22"/>
  <c r="BQ284" i="22" s="1"/>
  <c r="BS298" i="22"/>
  <c r="BQ298" i="22" s="1"/>
  <c r="BS306" i="22"/>
  <c r="BQ306" i="22" s="1"/>
  <c r="BS312" i="22"/>
  <c r="BQ312" i="22" s="1"/>
  <c r="BS320" i="22"/>
  <c r="BQ320" i="22" s="1"/>
  <c r="BS326" i="22"/>
  <c r="BQ326" i="22" s="1"/>
  <c r="BS334" i="22"/>
  <c r="BQ334" i="22" s="1"/>
  <c r="BS348" i="22"/>
  <c r="BQ348" i="22" s="1"/>
  <c r="BS362" i="22"/>
  <c r="BQ362" i="22" s="1"/>
  <c r="BS370" i="22"/>
  <c r="BQ370" i="22" s="1"/>
  <c r="BS376" i="22"/>
  <c r="BQ376" i="22" s="1"/>
  <c r="BS384" i="22"/>
  <c r="BQ384" i="22" s="1"/>
  <c r="BS390" i="22"/>
  <c r="BQ390" i="22" s="1"/>
  <c r="BS398" i="22"/>
  <c r="BQ398" i="22" s="1"/>
  <c r="BS412" i="22"/>
  <c r="BQ412" i="22" s="1"/>
  <c r="BS426" i="22"/>
  <c r="BQ426" i="22" s="1"/>
  <c r="BS434" i="22"/>
  <c r="BQ434" i="22" s="1"/>
  <c r="BS440" i="22"/>
  <c r="BQ440" i="22" s="1"/>
  <c r="BS448" i="22"/>
  <c r="BQ448" i="22" s="1"/>
  <c r="BS454" i="22"/>
  <c r="BQ454" i="22" s="1"/>
  <c r="BS462" i="22"/>
  <c r="BQ462" i="22" s="1"/>
  <c r="BS476" i="22"/>
  <c r="BQ476" i="22" s="1"/>
  <c r="BS11" i="22"/>
  <c r="BQ11" i="22" s="1"/>
  <c r="BS26" i="22"/>
  <c r="BQ26" i="22" s="1"/>
  <c r="BS40" i="22"/>
  <c r="BQ40" i="22" s="1"/>
  <c r="BS55" i="22"/>
  <c r="BQ55" i="22" s="1"/>
  <c r="BS69" i="22"/>
  <c r="BQ69" i="22" s="1"/>
  <c r="BS84" i="22"/>
  <c r="BQ84" i="22" s="1"/>
  <c r="BS99" i="22"/>
  <c r="BQ99" i="22" s="1"/>
  <c r="BS114" i="22"/>
  <c r="BQ114" i="22" s="1"/>
  <c r="BS128" i="22"/>
  <c r="BQ128" i="22" s="1"/>
  <c r="BS142" i="22"/>
  <c r="BQ142" i="22" s="1"/>
  <c r="BS157" i="22"/>
  <c r="BQ157" i="22" s="1"/>
  <c r="BS171" i="22"/>
  <c r="BQ171" i="22" s="1"/>
  <c r="BS185" i="22"/>
  <c r="BQ185" i="22" s="1"/>
  <c r="BS3" i="22"/>
  <c r="BQ3" i="22" s="1"/>
  <c r="BS242" i="22"/>
  <c r="BQ242" i="22" s="1"/>
  <c r="BS277" i="22"/>
  <c r="BQ277" i="22" s="1"/>
  <c r="BS341" i="22"/>
  <c r="BQ341" i="22" s="1"/>
  <c r="BS405" i="22"/>
  <c r="BQ405" i="22" s="1"/>
  <c r="BS469" i="22"/>
  <c r="BQ469" i="22" s="1"/>
  <c r="BS12" i="22"/>
  <c r="BQ12" i="22" s="1"/>
  <c r="BS27" i="22"/>
  <c r="BQ27" i="22" s="1"/>
  <c r="BS41" i="22"/>
  <c r="BQ41" i="22" s="1"/>
  <c r="BS70" i="22"/>
  <c r="BQ70" i="22" s="1"/>
  <c r="BS100" i="22"/>
  <c r="BQ100" i="22" s="1"/>
  <c r="BS115" i="22"/>
  <c r="BQ115" i="22" s="1"/>
  <c r="BS129" i="22"/>
  <c r="BQ129" i="22" s="1"/>
  <c r="BS143" i="22"/>
  <c r="BQ143" i="22" s="1"/>
  <c r="BS158" i="22"/>
  <c r="BQ158" i="22" s="1"/>
  <c r="BS172" i="22"/>
  <c r="BQ172" i="22" s="1"/>
  <c r="BS186" i="22"/>
  <c r="BQ186" i="22" s="1"/>
  <c r="BS200" i="22"/>
  <c r="BQ200" i="22" s="1"/>
  <c r="BS249" i="22"/>
  <c r="BQ249" i="22" s="1"/>
  <c r="BS257" i="22"/>
  <c r="BQ257" i="22" s="1"/>
  <c r="BS263" i="22"/>
  <c r="BQ263" i="22" s="1"/>
  <c r="BS271" i="22"/>
  <c r="BQ271" i="22" s="1"/>
  <c r="BS285" i="22"/>
  <c r="BQ285" i="22" s="1"/>
  <c r="BS292" i="22"/>
  <c r="BQ292" i="22" s="1"/>
  <c r="BS299" i="22"/>
  <c r="BQ299" i="22" s="1"/>
  <c r="BS313" i="22"/>
  <c r="BQ313" i="22" s="1"/>
  <c r="BS321" i="22"/>
  <c r="BQ321" i="22" s="1"/>
  <c r="BS327" i="22"/>
  <c r="BQ327" i="22" s="1"/>
  <c r="BS335" i="22"/>
  <c r="BQ335" i="22" s="1"/>
  <c r="BS349" i="22"/>
  <c r="BQ349" i="22" s="1"/>
  <c r="BS356" i="22"/>
  <c r="BQ356" i="22" s="1"/>
  <c r="BS363" i="22"/>
  <c r="BQ363" i="22" s="1"/>
  <c r="BS377" i="22"/>
  <c r="BQ377" i="22" s="1"/>
  <c r="BS385" i="22"/>
  <c r="BQ385" i="22" s="1"/>
  <c r="BS391" i="22"/>
  <c r="BQ391" i="22" s="1"/>
  <c r="BS399" i="22"/>
  <c r="BQ399" i="22" s="1"/>
  <c r="BS413" i="22"/>
  <c r="BQ413" i="22" s="1"/>
  <c r="BS420" i="22"/>
  <c r="BQ420" i="22" s="1"/>
  <c r="BS427" i="22"/>
  <c r="BQ427" i="22" s="1"/>
  <c r="BS441" i="22"/>
  <c r="BQ441" i="22" s="1"/>
  <c r="BS449" i="22"/>
  <c r="BQ449" i="22" s="1"/>
  <c r="BS455" i="22"/>
  <c r="BQ455" i="22" s="1"/>
  <c r="BS463" i="22"/>
  <c r="BQ463" i="22" s="1"/>
  <c r="BS477" i="22"/>
  <c r="BQ477" i="22" s="1"/>
  <c r="BS13" i="22"/>
  <c r="BQ13" i="22" s="1"/>
  <c r="BS28" i="22"/>
  <c r="BQ28" i="22" s="1"/>
  <c r="BS42" i="22"/>
  <c r="BQ42" i="22" s="1"/>
  <c r="BS56" i="22"/>
  <c r="BQ56" i="22" s="1"/>
  <c r="BS71" i="22"/>
  <c r="BQ71" i="22" s="1"/>
  <c r="BS85" i="22"/>
  <c r="BQ85" i="22" s="1"/>
  <c r="BS116" i="22"/>
  <c r="BQ116" i="22" s="1"/>
  <c r="BS130" i="22"/>
  <c r="BQ130" i="22" s="1"/>
  <c r="BS144" i="22"/>
  <c r="BQ144" i="22" s="1"/>
  <c r="BS159" i="22"/>
  <c r="BQ159" i="22" s="1"/>
  <c r="BS173" i="22"/>
  <c r="BQ173" i="22" s="1"/>
  <c r="BS187" i="22"/>
  <c r="BQ187" i="22" s="1"/>
  <c r="BS201" i="22"/>
  <c r="BQ201" i="22" s="1"/>
  <c r="BS307" i="22"/>
  <c r="BQ307" i="22" s="1"/>
  <c r="BS371" i="22"/>
  <c r="BQ371" i="22" s="1"/>
  <c r="BS435" i="22"/>
  <c r="BQ435" i="22" s="1"/>
  <c r="BS238" i="22"/>
  <c r="BQ238" i="22" s="1"/>
  <c r="BS14" i="22"/>
  <c r="BQ14" i="22" s="1"/>
  <c r="BS29" i="22"/>
  <c r="BQ29" i="22" s="1"/>
  <c r="BS43" i="22"/>
  <c r="BQ43" i="22" s="1"/>
  <c r="BS57" i="22"/>
  <c r="BQ57" i="22" s="1"/>
  <c r="BS86" i="22"/>
  <c r="BQ86" i="22" s="1"/>
  <c r="BS101" i="22"/>
  <c r="BQ101" i="22" s="1"/>
  <c r="BS131" i="22"/>
  <c r="BQ131" i="22" s="1"/>
  <c r="BS145" i="22"/>
  <c r="BQ145" i="22" s="1"/>
  <c r="BS160" i="22"/>
  <c r="BQ160" i="22" s="1"/>
  <c r="BS174" i="22"/>
  <c r="BQ174" i="22" s="1"/>
  <c r="BS188" i="22"/>
  <c r="BQ188" i="22" s="1"/>
  <c r="BS202" i="22"/>
  <c r="BQ202" i="22" s="1"/>
  <c r="BS243" i="22"/>
  <c r="BQ243" i="22" s="1"/>
  <c r="BS250" i="22"/>
  <c r="BQ250" i="22" s="1"/>
  <c r="BS258" i="22"/>
  <c r="BQ258" i="22" s="1"/>
  <c r="BS264" i="22"/>
  <c r="BQ264" i="22" s="1"/>
  <c r="BS272" i="22"/>
  <c r="BQ272" i="22" s="1"/>
  <c r="BS278" i="22"/>
  <c r="BQ278" i="22" s="1"/>
  <c r="BS286" i="22"/>
  <c r="BQ286" i="22" s="1"/>
  <c r="BQ300" i="22"/>
  <c r="BS314" i="22"/>
  <c r="BQ314" i="22" s="1"/>
  <c r="BS322" i="22"/>
  <c r="BQ322" i="22" s="1"/>
  <c r="BS328" i="22"/>
  <c r="BQ328" i="22" s="1"/>
  <c r="BS336" i="22"/>
  <c r="BQ336" i="22" s="1"/>
  <c r="BS342" i="22"/>
  <c r="BQ342" i="22" s="1"/>
  <c r="BS350" i="22"/>
  <c r="BQ350" i="22" s="1"/>
  <c r="BS364" i="22"/>
  <c r="BQ364" i="22" s="1"/>
  <c r="BS378" i="22"/>
  <c r="BQ378" i="22" s="1"/>
  <c r="BS386" i="22"/>
  <c r="BQ386" i="22" s="1"/>
  <c r="BS392" i="22"/>
  <c r="BQ392" i="22" s="1"/>
  <c r="BS400" i="22"/>
  <c r="BQ400" i="22" s="1"/>
  <c r="BS406" i="22"/>
  <c r="BQ406" i="22" s="1"/>
  <c r="BS414" i="22"/>
  <c r="BQ414" i="22" s="1"/>
  <c r="BS428" i="22"/>
  <c r="BQ428" i="22" s="1"/>
  <c r="BS442" i="22"/>
  <c r="BQ442" i="22" s="1"/>
  <c r="BS450" i="22"/>
  <c r="BQ450" i="22" s="1"/>
  <c r="BS456" i="22"/>
  <c r="BQ456" i="22" s="1"/>
  <c r="BS464" i="22"/>
  <c r="BQ464" i="22" s="1"/>
  <c r="BS470" i="22"/>
  <c r="BQ470" i="22" s="1"/>
  <c r="BS15" i="22"/>
  <c r="BQ15" i="22" s="1"/>
  <c r="BS30" i="22"/>
  <c r="BQ30" i="22" s="1"/>
  <c r="BS44" i="22"/>
  <c r="BQ44" i="22" s="1"/>
  <c r="BS58" i="22"/>
  <c r="BQ58" i="22" s="1"/>
  <c r="BS72" i="22"/>
  <c r="BQ72" i="22" s="1"/>
  <c r="BS87" i="22"/>
  <c r="BQ87" i="22" s="1"/>
  <c r="BS102" i="22"/>
  <c r="BQ102" i="22" s="1"/>
  <c r="BS117" i="22"/>
  <c r="BQ117" i="22" s="1"/>
  <c r="BS132" i="22"/>
  <c r="BQ132" i="22" s="1"/>
  <c r="BS146" i="22"/>
  <c r="BQ146" i="22" s="1"/>
  <c r="BS161" i="22"/>
  <c r="BQ161" i="22" s="1"/>
  <c r="BS175" i="22"/>
  <c r="BQ175" i="22" s="1"/>
  <c r="BS189" i="22"/>
  <c r="BQ189" i="22" s="1"/>
  <c r="BS203" i="22"/>
  <c r="BQ203" i="22" s="1"/>
  <c r="BS293" i="22"/>
  <c r="BQ293" i="22" s="1"/>
  <c r="BS357" i="22"/>
  <c r="BQ357" i="22" s="1"/>
  <c r="BS421" i="22"/>
  <c r="BQ421" i="22" s="1"/>
  <c r="BS16" i="22"/>
  <c r="BQ16" i="22" s="1"/>
  <c r="BS31" i="22"/>
  <c r="BQ31" i="22" s="1"/>
  <c r="BS45" i="22"/>
  <c r="BQ45" i="22" s="1"/>
  <c r="BS59" i="22"/>
  <c r="BQ59" i="22" s="1"/>
  <c r="BS73" i="22"/>
  <c r="BQ73" i="22" s="1"/>
  <c r="BS88" i="22"/>
  <c r="BQ88" i="22" s="1"/>
  <c r="BS103" i="22"/>
  <c r="BQ103" i="22" s="1"/>
  <c r="BS118" i="22"/>
  <c r="BQ118" i="22" s="1"/>
  <c r="BS147" i="22"/>
  <c r="BQ147" i="22" s="1"/>
  <c r="BS162" i="22"/>
  <c r="BQ162" i="22" s="1"/>
  <c r="BS176" i="22"/>
  <c r="BQ176" i="22" s="1"/>
  <c r="BS190" i="22"/>
  <c r="BQ190" i="22" s="1"/>
  <c r="BS204" i="22"/>
  <c r="BQ204" i="22" s="1"/>
  <c r="BS251" i="22"/>
  <c r="BQ251" i="22" s="1"/>
  <c r="BS265" i="22"/>
  <c r="BQ265" i="22" s="1"/>
  <c r="BS273" i="22"/>
  <c r="BQ273" i="22" s="1"/>
  <c r="BS279" i="22"/>
  <c r="BQ279" i="22" s="1"/>
  <c r="BS287" i="22"/>
  <c r="BQ287" i="22" s="1"/>
  <c r="BS301" i="22"/>
  <c r="BQ301" i="22" s="1"/>
  <c r="BS308" i="22"/>
  <c r="BQ308" i="22" s="1"/>
  <c r="BS315" i="22"/>
  <c r="BQ315" i="22" s="1"/>
  <c r="BS329" i="22"/>
  <c r="BQ329" i="22" s="1"/>
  <c r="BS337" i="22"/>
  <c r="BQ337" i="22" s="1"/>
  <c r="BS343" i="22"/>
  <c r="BQ343" i="22" s="1"/>
  <c r="BS351" i="22"/>
  <c r="BQ351" i="22" s="1"/>
  <c r="BS365" i="22"/>
  <c r="BQ365" i="22" s="1"/>
  <c r="BS372" i="22"/>
  <c r="BQ372" i="22" s="1"/>
  <c r="BS379" i="22"/>
  <c r="BQ379" i="22" s="1"/>
  <c r="BS393" i="22"/>
  <c r="BQ393" i="22" s="1"/>
  <c r="BS401" i="22"/>
  <c r="BQ401" i="22" s="1"/>
  <c r="BS407" i="22"/>
  <c r="BQ407" i="22" s="1"/>
  <c r="BS415" i="22"/>
  <c r="BQ415" i="22" s="1"/>
  <c r="BS429" i="22"/>
  <c r="BQ429" i="22" s="1"/>
  <c r="BS436" i="22"/>
  <c r="BQ436" i="22" s="1"/>
  <c r="BS443" i="22"/>
  <c r="BQ443" i="22" s="1"/>
  <c r="BS457" i="22"/>
  <c r="BQ457" i="22" s="1"/>
  <c r="BS465" i="22"/>
  <c r="BQ465" i="22" s="1"/>
  <c r="BS471" i="22"/>
  <c r="BQ471" i="22" s="1"/>
  <c r="BS17" i="22"/>
  <c r="BQ17" i="22" s="1"/>
  <c r="BS32" i="22"/>
  <c r="BQ32" i="22" s="1"/>
  <c r="BS46" i="22"/>
  <c r="BQ46" i="22" s="1"/>
  <c r="BS60" i="22"/>
  <c r="BQ60" i="22" s="1"/>
  <c r="BS74" i="22"/>
  <c r="BQ74" i="22" s="1"/>
  <c r="BS89" i="22"/>
  <c r="BQ89" i="22" s="1"/>
  <c r="BS104" i="22"/>
  <c r="BQ104" i="22" s="1"/>
  <c r="BS119" i="22"/>
  <c r="BQ119" i="22" s="1"/>
  <c r="BS133" i="22"/>
  <c r="BQ133" i="22" s="1"/>
  <c r="BS148" i="22"/>
  <c r="BQ148" i="22" s="1"/>
  <c r="BS163" i="22"/>
  <c r="BQ163" i="22" s="1"/>
  <c r="BS177" i="22"/>
  <c r="BQ177" i="22" s="1"/>
  <c r="BS191" i="22"/>
  <c r="BQ191" i="22" s="1"/>
  <c r="BS205" i="22"/>
  <c r="BQ205" i="22" s="1"/>
  <c r="BS244" i="22"/>
  <c r="BQ244" i="22" s="1"/>
  <c r="BS259" i="22"/>
  <c r="BQ259" i="22" s="1"/>
  <c r="BS323" i="22"/>
  <c r="BQ323" i="22" s="1"/>
  <c r="BS387" i="22"/>
  <c r="BQ387" i="22" s="1"/>
  <c r="BS451" i="22"/>
  <c r="BQ451" i="22" s="1"/>
  <c r="BS4" i="22"/>
  <c r="BQ4" i="22" s="1"/>
  <c r="BS18" i="22"/>
  <c r="BQ18" i="22" s="1"/>
  <c r="BS33" i="22"/>
  <c r="BQ33" i="22" s="1"/>
  <c r="BS47" i="22"/>
  <c r="BQ47" i="22" s="1"/>
  <c r="BS61" i="22"/>
  <c r="BQ61" i="22" s="1"/>
  <c r="BS75" i="22"/>
  <c r="BQ75" i="22" s="1"/>
  <c r="BS90" i="22"/>
  <c r="BQ90" i="22" s="1"/>
  <c r="BS105" i="22"/>
  <c r="BQ105" i="22" s="1"/>
  <c r="BS134" i="22"/>
  <c r="BQ134" i="22" s="1"/>
  <c r="BS164" i="22"/>
  <c r="BQ164" i="22" s="1"/>
  <c r="BS178" i="22"/>
  <c r="BQ178" i="22" s="1"/>
  <c r="BS192" i="22"/>
  <c r="BQ192" i="22" s="1"/>
  <c r="BS206" i="22"/>
  <c r="BQ206" i="22" s="1"/>
  <c r="BS252" i="22"/>
  <c r="BQ252" i="22" s="1"/>
  <c r="BS266" i="22"/>
  <c r="BQ266" i="22" s="1"/>
  <c r="BS274" i="22"/>
  <c r="BQ274" i="22" s="1"/>
  <c r="BS280" i="22"/>
  <c r="BQ280" i="22" s="1"/>
  <c r="BS288" i="22"/>
  <c r="BQ288" i="22" s="1"/>
  <c r="BS294" i="22"/>
  <c r="BQ294" i="22" s="1"/>
  <c r="BS302" i="22"/>
  <c r="BQ302" i="22" s="1"/>
  <c r="BS316" i="22"/>
  <c r="BQ316" i="22" s="1"/>
  <c r="BS330" i="22"/>
  <c r="BQ330" i="22" s="1"/>
  <c r="BS338" i="22"/>
  <c r="BQ338" i="22" s="1"/>
  <c r="BS344" i="22"/>
  <c r="BQ344" i="22" s="1"/>
  <c r="BS352" i="22"/>
  <c r="BQ352" i="22" s="1"/>
  <c r="BS358" i="22"/>
  <c r="BQ358" i="22" s="1"/>
  <c r="BS366" i="22"/>
  <c r="BQ366" i="22" s="1"/>
  <c r="BS380" i="22"/>
  <c r="BQ380" i="22" s="1"/>
  <c r="BS394" i="22"/>
  <c r="BQ394" i="22" s="1"/>
  <c r="BS402" i="22"/>
  <c r="BQ402" i="22" s="1"/>
  <c r="BS408" i="22"/>
  <c r="BQ408" i="22" s="1"/>
  <c r="BS416" i="22"/>
  <c r="BQ416" i="22" s="1"/>
  <c r="BS422" i="22"/>
  <c r="BQ422" i="22" s="1"/>
  <c r="BS430" i="22"/>
  <c r="BQ430" i="22" s="1"/>
  <c r="BS444" i="22"/>
  <c r="BQ444" i="22" s="1"/>
  <c r="BS458" i="22"/>
  <c r="BQ458" i="22" s="1"/>
  <c r="BS466" i="22"/>
  <c r="BQ466" i="22" s="1"/>
  <c r="BS472" i="22"/>
  <c r="BQ472" i="22" s="1"/>
  <c r="BS19" i="22"/>
  <c r="BQ19" i="22" s="1"/>
  <c r="BS34" i="22"/>
  <c r="BQ34" i="22" s="1"/>
  <c r="BS48" i="22"/>
  <c r="BQ48" i="22" s="1"/>
  <c r="BS62" i="22"/>
  <c r="BQ62" i="22" s="1"/>
  <c r="BS76" i="22"/>
  <c r="BQ76" i="22" s="1"/>
  <c r="BS91" i="22"/>
  <c r="BQ91" i="22" s="1"/>
  <c r="BS106" i="22"/>
  <c r="BQ106" i="22" s="1"/>
  <c r="BS120" i="22"/>
  <c r="BQ120" i="22" s="1"/>
  <c r="BS135" i="22"/>
  <c r="BQ135" i="22" s="1"/>
  <c r="BS149" i="22"/>
  <c r="BQ149" i="22" s="1"/>
  <c r="BS179" i="22"/>
  <c r="BQ179" i="22" s="1"/>
  <c r="BS193" i="22"/>
  <c r="BQ193" i="22" s="1"/>
  <c r="BS207" i="22"/>
  <c r="BQ207" i="22" s="1"/>
  <c r="BS245" i="22"/>
  <c r="BQ245" i="22" s="1"/>
  <c r="BS253" i="22"/>
  <c r="BQ253" i="22" s="1"/>
  <c r="BS260" i="22"/>
  <c r="BQ260" i="22" s="1"/>
  <c r="BS267" i="22"/>
  <c r="BQ267" i="22" s="1"/>
  <c r="BS281" i="22"/>
  <c r="BQ281" i="22" s="1"/>
  <c r="BS289" i="22"/>
  <c r="BQ289" i="22" s="1"/>
  <c r="BS295" i="22"/>
  <c r="BQ295" i="22" s="1"/>
  <c r="BS303" i="22"/>
  <c r="BQ303" i="22" s="1"/>
  <c r="BS317" i="22"/>
  <c r="BQ317" i="22" s="1"/>
  <c r="BS324" i="22"/>
  <c r="BQ324" i="22" s="1"/>
  <c r="BS331" i="22"/>
  <c r="BQ331" i="22" s="1"/>
  <c r="BS345" i="22"/>
  <c r="BQ345" i="22" s="1"/>
  <c r="BS353" i="22"/>
  <c r="BQ353" i="22" s="1"/>
  <c r="BS359" i="22"/>
  <c r="BQ359" i="22" s="1"/>
  <c r="BS367" i="22"/>
  <c r="BQ367" i="22" s="1"/>
  <c r="BS381" i="22"/>
  <c r="BQ381" i="22" s="1"/>
  <c r="BS388" i="22"/>
  <c r="BQ388" i="22" s="1"/>
  <c r="BS395" i="22"/>
  <c r="BQ395" i="22" s="1"/>
  <c r="BS409" i="22"/>
  <c r="BQ409" i="22" s="1"/>
  <c r="BS417" i="22"/>
  <c r="BQ417" i="22" s="1"/>
  <c r="BS423" i="22"/>
  <c r="BQ423" i="22" s="1"/>
  <c r="BS431" i="22"/>
  <c r="BQ431" i="22" s="1"/>
  <c r="BS445" i="22"/>
  <c r="BQ445" i="22" s="1"/>
  <c r="BS452" i="22"/>
  <c r="BQ452" i="22" s="1"/>
  <c r="BS459" i="22"/>
  <c r="BQ459" i="22" s="1"/>
  <c r="BS473" i="22"/>
  <c r="BQ473" i="22" s="1"/>
  <c r="BQ6" i="22"/>
  <c r="BS36" i="22"/>
  <c r="BQ36" i="22" s="1"/>
  <c r="BS50" i="22"/>
  <c r="BQ50" i="22" s="1"/>
  <c r="BS64" i="22"/>
  <c r="BQ64" i="22" s="1"/>
  <c r="BS78" i="22"/>
  <c r="BQ78" i="22" s="1"/>
  <c r="BS93" i="22"/>
  <c r="BQ93" i="22" s="1"/>
  <c r="BS108" i="22"/>
  <c r="BQ108" i="22" s="1"/>
  <c r="BS122" i="22"/>
  <c r="BQ122" i="22" s="1"/>
  <c r="BS136" i="22"/>
  <c r="BQ136" i="22" s="1"/>
  <c r="BS151" i="22"/>
  <c r="BQ151" i="22" s="1"/>
  <c r="BS166" i="22"/>
  <c r="BQ166" i="22" s="1"/>
  <c r="BS195" i="22"/>
  <c r="BQ195" i="22" s="1"/>
  <c r="BS209" i="22"/>
  <c r="BQ209" i="22" s="1"/>
  <c r="BS239" i="22"/>
  <c r="BQ239" i="22" s="1"/>
  <c r="BS275" i="22"/>
  <c r="BQ275" i="22" s="1"/>
  <c r="BS339" i="22"/>
  <c r="BQ339" i="22" s="1"/>
  <c r="BS403" i="22"/>
  <c r="BQ403" i="22" s="1"/>
  <c r="BS467" i="22"/>
  <c r="BQ467" i="22" s="1"/>
  <c r="BS7" i="22"/>
  <c r="BQ7" i="22" s="1"/>
  <c r="BS21" i="22"/>
  <c r="BQ21" i="22" s="1"/>
  <c r="BS51" i="22"/>
  <c r="BQ51" i="22" s="1"/>
  <c r="BS65" i="22"/>
  <c r="BQ65" i="22" s="1"/>
  <c r="BS79" i="22"/>
  <c r="BQ79" i="22" s="1"/>
  <c r="BS94" i="22"/>
  <c r="BQ94" i="22" s="1"/>
  <c r="BS109" i="22"/>
  <c r="BQ109" i="22" s="1"/>
  <c r="BS123" i="22"/>
  <c r="BQ123" i="22" s="1"/>
  <c r="BS137" i="22"/>
  <c r="BQ137" i="22" s="1"/>
  <c r="BS152" i="22"/>
  <c r="BQ152" i="22" s="1"/>
  <c r="BS167" i="22"/>
  <c r="BQ167" i="22" s="1"/>
  <c r="BS181" i="22"/>
  <c r="BQ181" i="22" s="1"/>
  <c r="BS196" i="22"/>
  <c r="BQ196" i="22" s="1"/>
  <c r="BS210" i="22"/>
  <c r="BQ210" i="22" s="1"/>
  <c r="BS374" i="22"/>
  <c r="BQ374" i="22" s="1"/>
  <c r="BS52" i="22"/>
  <c r="BQ52" i="22" s="1"/>
  <c r="BS63" i="22"/>
  <c r="BQ63" i="22" s="1"/>
  <c r="BS180" i="22"/>
  <c r="BQ180" i="22" s="1"/>
  <c r="BS373" i="22"/>
  <c r="BQ373" i="22" s="1"/>
  <c r="BS418" i="22"/>
  <c r="BQ418" i="22" s="1"/>
  <c r="BS432" i="22"/>
  <c r="BQ432" i="22" s="1"/>
  <c r="BS460" i="22"/>
  <c r="BQ460" i="22" s="1"/>
  <c r="BS66" i="22"/>
  <c r="BQ66" i="22" s="1"/>
  <c r="BS182" i="22"/>
  <c r="BQ182" i="22" s="1"/>
  <c r="BS332" i="22"/>
  <c r="BQ332" i="22" s="1"/>
  <c r="BS446" i="22"/>
  <c r="BQ446" i="22" s="1"/>
  <c r="BS474" i="22"/>
  <c r="BQ474" i="22" s="1"/>
  <c r="BS77" i="22"/>
  <c r="BQ77" i="22" s="1"/>
  <c r="BS194" i="22"/>
  <c r="BQ194" i="22" s="1"/>
  <c r="BS268" i="22"/>
  <c r="BQ268" i="22" s="1"/>
  <c r="BS309" i="22"/>
  <c r="BQ309" i="22" s="1"/>
  <c r="BS80" i="22"/>
  <c r="BQ80" i="22" s="1"/>
  <c r="BS290" i="22"/>
  <c r="BQ290" i="22" s="1"/>
  <c r="BS318" i="22"/>
  <c r="BQ318" i="22" s="1"/>
  <c r="BS254" i="22"/>
  <c r="BQ254" i="22" s="1"/>
  <c r="BS282" i="22"/>
  <c r="BQ282" i="22" s="1"/>
  <c r="BS296" i="22"/>
  <c r="BQ296" i="22" s="1"/>
  <c r="BS92" i="22"/>
  <c r="BQ92" i="22" s="1"/>
  <c r="BS208" i="22"/>
  <c r="BQ208" i="22" s="1"/>
  <c r="BS304" i="22"/>
  <c r="BQ304" i="22" s="1"/>
  <c r="BS310" i="22"/>
  <c r="BQ310" i="22" s="1"/>
  <c r="BS95" i="22"/>
  <c r="BQ95" i="22" s="1"/>
  <c r="BS211" i="22"/>
  <c r="BQ211" i="22" s="1"/>
  <c r="BS107" i="22"/>
  <c r="BQ107" i="22" s="1"/>
  <c r="BS354" i="22"/>
  <c r="BQ354" i="22" s="1"/>
  <c r="BS368" i="22"/>
  <c r="BQ368" i="22" s="1"/>
  <c r="BS396" i="22"/>
  <c r="BQ396" i="22" s="1"/>
  <c r="BS437" i="22"/>
  <c r="BQ437" i="22" s="1"/>
  <c r="BS110" i="22"/>
  <c r="BQ110" i="22" s="1"/>
  <c r="BS360" i="22"/>
  <c r="BQ360" i="22" s="1"/>
  <c r="BS382" i="22"/>
  <c r="BQ382" i="22" s="1"/>
  <c r="BS410" i="22"/>
  <c r="BQ410" i="22" s="1"/>
  <c r="BS424" i="22"/>
  <c r="BQ424" i="22" s="1"/>
  <c r="BQ5" i="22"/>
  <c r="BS121" i="22"/>
  <c r="BQ121" i="22" s="1"/>
  <c r="BS49" i="22"/>
  <c r="BQ49" i="22" s="1"/>
  <c r="BS438" i="22"/>
  <c r="BQ438" i="22" s="1"/>
  <c r="BS124" i="22"/>
  <c r="BQ124" i="22" s="1"/>
  <c r="BS153" i="22"/>
  <c r="BQ153" i="22" s="1"/>
  <c r="BS165" i="22"/>
  <c r="BQ165" i="22" s="1"/>
  <c r="BS20" i="22"/>
  <c r="BQ20" i="22" s="1"/>
  <c r="BS246" i="22"/>
  <c r="BQ246" i="22" s="1"/>
  <c r="BS22" i="22"/>
  <c r="BQ22" i="22" s="1"/>
  <c r="BS138" i="22"/>
  <c r="BQ138" i="22" s="1"/>
  <c r="BS35" i="22"/>
  <c r="BQ35" i="22" s="1"/>
  <c r="BS150" i="22"/>
  <c r="BQ150" i="22" s="1"/>
  <c r="BS37" i="22"/>
  <c r="BQ37" i="22" s="1"/>
  <c r="BS346" i="22"/>
  <c r="BQ346" i="22" s="1"/>
  <c r="AE43" i="43" l="1"/>
  <c r="AD43" i="43"/>
  <c r="AE42" i="43"/>
  <c r="AD42" i="43"/>
  <c r="BI327" i="24"/>
  <c r="BO327" i="24" s="1"/>
  <c r="BI326" i="24"/>
  <c r="BO326" i="24" s="1"/>
  <c r="BI325" i="24"/>
  <c r="BO325" i="24" s="1"/>
  <c r="BI324" i="24"/>
  <c r="BO324" i="24" s="1"/>
  <c r="BI323" i="24"/>
  <c r="BO323" i="24" s="1"/>
  <c r="BI322" i="24"/>
  <c r="BO322" i="24" s="1"/>
  <c r="BI321" i="24"/>
  <c r="BO321" i="24" s="1"/>
  <c r="BI320" i="24"/>
  <c r="BO320" i="24" s="1"/>
  <c r="BI319" i="24"/>
  <c r="BO319" i="24" s="1"/>
  <c r="BI318" i="24"/>
  <c r="BO318" i="24" s="1"/>
  <c r="BI317" i="24"/>
  <c r="BO317" i="24" s="1"/>
  <c r="BI316" i="24"/>
  <c r="BO316" i="24" s="1"/>
  <c r="BI315" i="24"/>
  <c r="BO315" i="24" s="1"/>
  <c r="BI314" i="24"/>
  <c r="BO314" i="24" s="1"/>
  <c r="BI313" i="24"/>
  <c r="BO313" i="24" s="1"/>
  <c r="BI312" i="24"/>
  <c r="BO312" i="24" s="1"/>
  <c r="BI311" i="24"/>
  <c r="BO311" i="24" s="1"/>
  <c r="BI310" i="24"/>
  <c r="BO310" i="24" s="1"/>
  <c r="BI309" i="24"/>
  <c r="BO309" i="24" s="1"/>
  <c r="BI308" i="24"/>
  <c r="BO308" i="24" s="1"/>
  <c r="BI307" i="24"/>
  <c r="BO307" i="24" s="1"/>
  <c r="BI306" i="24"/>
  <c r="BO306" i="24" s="1"/>
  <c r="BI305" i="24"/>
  <c r="BO305" i="24" s="1"/>
  <c r="BI304" i="24"/>
  <c r="BO304" i="24" s="1"/>
  <c r="BI303" i="24"/>
  <c r="BO303" i="24" s="1"/>
  <c r="BI302" i="24"/>
  <c r="BO302" i="24" s="1"/>
  <c r="BI301" i="24"/>
  <c r="BO301" i="24" s="1"/>
  <c r="BI300" i="24"/>
  <c r="BO300" i="24" s="1"/>
  <c r="BI299" i="24"/>
  <c r="BO299" i="24" s="1"/>
  <c r="BI298" i="24"/>
  <c r="BO298" i="24" s="1"/>
  <c r="BI297" i="24"/>
  <c r="BO297" i="24" s="1"/>
  <c r="BI296" i="24"/>
  <c r="BO296" i="24" s="1"/>
  <c r="BI295" i="24"/>
  <c r="BO295" i="24" s="1"/>
  <c r="BI294" i="24"/>
  <c r="BO294" i="24" s="1"/>
  <c r="BI293" i="24"/>
  <c r="BO293" i="24" s="1"/>
  <c r="BI292" i="24"/>
  <c r="BO292" i="24" s="1"/>
  <c r="BI291" i="24"/>
  <c r="BO291" i="24" s="1"/>
  <c r="BI290" i="24"/>
  <c r="BO290" i="24" s="1"/>
  <c r="BI289" i="24"/>
  <c r="BO289" i="24" s="1"/>
  <c r="BI288" i="24"/>
  <c r="BO288" i="24" s="1"/>
  <c r="BI287" i="24"/>
  <c r="BO287" i="24" s="1"/>
  <c r="BI286" i="24"/>
  <c r="BO286" i="24" s="1"/>
  <c r="BI285" i="24"/>
  <c r="BO285" i="24" s="1"/>
  <c r="BI283" i="24"/>
  <c r="BI282" i="24"/>
  <c r="BO282" i="24" s="1"/>
  <c r="BI281" i="24"/>
  <c r="BO281" i="24" s="1"/>
  <c r="BI280" i="24"/>
  <c r="BO280" i="24" s="1"/>
  <c r="BI279" i="24"/>
  <c r="BO279" i="24" s="1"/>
  <c r="BI278" i="24"/>
  <c r="BO278" i="24" s="1"/>
  <c r="BI277" i="24"/>
  <c r="BO277" i="24" s="1"/>
  <c r="BI276" i="24"/>
  <c r="BO276" i="24" s="1"/>
  <c r="BI275" i="24"/>
  <c r="BO275" i="24" s="1"/>
  <c r="BI274" i="24"/>
  <c r="BO274" i="24" s="1"/>
  <c r="BI273" i="24"/>
  <c r="BO273" i="24" s="1"/>
  <c r="BI272" i="24"/>
  <c r="BO272" i="24" s="1"/>
  <c r="BI271" i="24"/>
  <c r="BO271" i="24" s="1"/>
  <c r="BI270" i="24"/>
  <c r="BO270" i="24" s="1"/>
  <c r="BI269" i="24"/>
  <c r="BO269" i="24" s="1"/>
  <c r="BI268" i="24"/>
  <c r="BO268" i="24" s="1"/>
  <c r="BI267" i="24"/>
  <c r="BO267" i="24" s="1"/>
  <c r="BI266" i="24"/>
  <c r="BO266" i="24" s="1"/>
  <c r="BI265" i="24"/>
  <c r="BO265" i="24" s="1"/>
  <c r="BI264" i="24"/>
  <c r="BO264" i="24" s="1"/>
  <c r="BI263" i="24"/>
  <c r="BO263" i="24" s="1"/>
  <c r="BI262" i="24"/>
  <c r="BO262" i="24" s="1"/>
  <c r="BI261" i="24"/>
  <c r="BO261" i="24" s="1"/>
  <c r="BI260" i="24"/>
  <c r="BO260" i="24" s="1"/>
  <c r="BI259" i="24"/>
  <c r="BO259" i="24" s="1"/>
  <c r="BI258" i="24"/>
  <c r="BO258" i="24" s="1"/>
  <c r="BI257" i="24"/>
  <c r="BO257" i="24" s="1"/>
  <c r="BI256" i="24"/>
  <c r="BO256" i="24" s="1"/>
  <c r="BI255" i="24"/>
  <c r="BO255" i="24" s="1"/>
  <c r="BI254" i="24"/>
  <c r="BO254" i="24" s="1"/>
  <c r="BI253" i="24"/>
  <c r="BO253" i="24" s="1"/>
  <c r="BI252" i="24"/>
  <c r="BO252" i="24" s="1"/>
  <c r="BI251" i="24"/>
  <c r="BO251" i="24" s="1"/>
  <c r="BI250" i="24"/>
  <c r="BO250" i="24" s="1"/>
  <c r="BI249" i="24"/>
  <c r="BO249" i="24" s="1"/>
  <c r="BI248" i="24"/>
  <c r="BO248" i="24" s="1"/>
  <c r="BI247" i="24"/>
  <c r="BO247" i="24" s="1"/>
  <c r="BI246" i="24"/>
  <c r="BO246" i="24" s="1"/>
  <c r="BI245" i="24"/>
  <c r="BO245" i="24" s="1"/>
  <c r="BI244" i="24"/>
  <c r="BO244" i="24" s="1"/>
  <c r="BI243" i="24"/>
  <c r="BO243" i="24" s="1"/>
  <c r="BI242" i="24"/>
  <c r="BO242" i="24" s="1"/>
  <c r="BI241" i="24"/>
  <c r="BO241" i="24" s="1"/>
  <c r="BI240" i="24"/>
  <c r="BO240" i="24" s="1"/>
  <c r="BI239" i="24"/>
  <c r="BO239" i="24" s="1"/>
  <c r="BI238" i="24"/>
  <c r="BO238" i="24" s="1"/>
  <c r="BI237" i="24"/>
  <c r="BO237" i="24" s="1"/>
  <c r="BI235" i="24"/>
  <c r="BO235" i="24" s="1"/>
  <c r="BI234" i="24"/>
  <c r="BO234" i="24" s="1"/>
  <c r="BI233" i="24"/>
  <c r="BO233" i="24" s="1"/>
  <c r="BI232" i="24"/>
  <c r="BO232" i="24" s="1"/>
  <c r="BI231" i="24"/>
  <c r="BO231" i="24" s="1"/>
  <c r="BI230" i="24"/>
  <c r="BO230" i="24" s="1"/>
  <c r="BI229" i="24"/>
  <c r="BO229" i="24" s="1"/>
  <c r="BI228" i="24"/>
  <c r="BO228" i="24" s="1"/>
  <c r="BI227" i="24"/>
  <c r="BO227" i="24" s="1"/>
  <c r="BI226" i="24"/>
  <c r="BO226" i="24" s="1"/>
  <c r="BI225" i="24"/>
  <c r="BO225" i="24" s="1"/>
  <c r="BI224" i="24"/>
  <c r="BO224" i="24" s="1"/>
  <c r="BI223" i="24"/>
  <c r="BO223" i="24" s="1"/>
  <c r="BI222" i="24"/>
  <c r="BO222" i="24" s="1"/>
  <c r="BI221" i="24"/>
  <c r="BO221" i="24" s="1"/>
  <c r="BI220" i="24"/>
  <c r="BO220" i="24" s="1"/>
  <c r="BI219" i="24"/>
  <c r="BO219" i="24" s="1"/>
  <c r="BI218" i="24"/>
  <c r="BO218" i="24" s="1"/>
  <c r="BI217" i="24"/>
  <c r="BO217" i="24" s="1"/>
  <c r="BI216" i="24"/>
  <c r="BO216" i="24" s="1"/>
  <c r="BI215" i="24"/>
  <c r="BO215" i="24" s="1"/>
  <c r="BI214" i="24"/>
  <c r="BO214" i="24" s="1"/>
  <c r="BI213" i="24"/>
  <c r="BO213" i="24" s="1"/>
  <c r="BI212" i="24"/>
  <c r="BO212" i="24" s="1"/>
  <c r="BI211" i="24"/>
  <c r="BO211" i="24" s="1"/>
  <c r="BI210" i="24"/>
  <c r="BO210" i="24" s="1"/>
  <c r="BI209" i="24"/>
  <c r="BO209" i="24" s="1"/>
  <c r="BI208" i="24"/>
  <c r="BO208" i="24" s="1"/>
  <c r="BI207" i="24"/>
  <c r="BO207" i="24" s="1"/>
  <c r="BI206" i="24"/>
  <c r="BO206" i="24" s="1"/>
  <c r="BI205" i="24"/>
  <c r="BO205" i="24" s="1"/>
  <c r="BI204" i="24"/>
  <c r="BO204" i="24" s="1"/>
  <c r="BI202" i="24"/>
  <c r="BI201" i="24"/>
  <c r="BO201" i="24" s="1"/>
  <c r="BI200" i="24"/>
  <c r="BO200" i="24" s="1"/>
  <c r="BI199" i="24"/>
  <c r="BO199" i="24" s="1"/>
  <c r="BI198" i="24"/>
  <c r="BO198" i="24" s="1"/>
  <c r="BI197" i="24"/>
  <c r="BO197" i="24" s="1"/>
  <c r="BI195" i="24"/>
  <c r="BO195" i="24" s="1"/>
  <c r="BI194" i="24"/>
  <c r="BO194" i="24" s="1"/>
  <c r="BI193" i="24"/>
  <c r="BO193" i="24" s="1"/>
  <c r="BI192" i="24"/>
  <c r="BO192" i="24" s="1"/>
  <c r="BI191" i="24"/>
  <c r="BO191" i="24" s="1"/>
  <c r="BI190" i="24"/>
  <c r="BO190" i="24" s="1"/>
  <c r="BI189" i="24"/>
  <c r="BO189" i="24" s="1"/>
  <c r="BI188" i="24"/>
  <c r="BO188" i="24" s="1"/>
  <c r="BI187" i="24"/>
  <c r="BO187" i="24" s="1"/>
  <c r="BI186" i="24"/>
  <c r="BO186" i="24" s="1"/>
  <c r="BI185" i="24"/>
  <c r="BO185" i="24" s="1"/>
  <c r="BI184" i="24"/>
  <c r="BO184" i="24" s="1"/>
  <c r="BI183" i="24"/>
  <c r="BO183" i="24" s="1"/>
  <c r="BI182" i="24"/>
  <c r="BO182" i="24" s="1"/>
  <c r="BI181" i="24"/>
  <c r="BO181" i="24" s="1"/>
  <c r="BI180" i="24"/>
  <c r="BO180" i="24" s="1"/>
  <c r="BI179" i="24"/>
  <c r="BO179" i="24" s="1"/>
  <c r="BI178" i="24"/>
  <c r="BO178" i="24" s="1"/>
  <c r="BI177" i="24"/>
  <c r="BO177" i="24" s="1"/>
  <c r="BI176" i="24"/>
  <c r="BO176" i="24" s="1"/>
  <c r="BI175" i="24"/>
  <c r="BO175" i="24" s="1"/>
  <c r="BI174" i="24"/>
  <c r="BO174" i="24" s="1"/>
  <c r="BI173" i="24"/>
  <c r="BO173" i="24" s="1"/>
  <c r="BI172" i="24"/>
  <c r="BO172" i="24" s="1"/>
  <c r="BI171" i="24"/>
  <c r="BO171" i="24" s="1"/>
  <c r="BI170" i="24"/>
  <c r="BO170" i="24" s="1"/>
  <c r="BI169" i="24"/>
  <c r="BO169" i="24" s="1"/>
  <c r="BI168" i="24"/>
  <c r="BO168" i="24" s="1"/>
  <c r="BI167" i="24"/>
  <c r="BO167" i="24" s="1"/>
  <c r="BI166" i="24"/>
  <c r="BO166" i="24" s="1"/>
  <c r="BI165" i="24"/>
  <c r="BO165" i="24" s="1"/>
  <c r="BI164" i="24"/>
  <c r="BO164" i="24" s="1"/>
  <c r="BI163" i="24"/>
  <c r="BO163" i="24" s="1"/>
  <c r="BI162" i="24"/>
  <c r="BO162" i="24" s="1"/>
  <c r="BI161" i="24"/>
  <c r="BO161" i="24" s="1"/>
  <c r="BI160" i="24"/>
  <c r="BO160" i="24" s="1"/>
  <c r="BI159" i="24"/>
  <c r="BO159" i="24" s="1"/>
  <c r="BI158" i="24"/>
  <c r="BO158" i="24" s="1"/>
  <c r="BI157" i="24"/>
  <c r="BO157" i="24" s="1"/>
  <c r="BI156" i="24"/>
  <c r="BO156" i="24" s="1"/>
  <c r="BI155" i="24"/>
  <c r="BO155" i="24" s="1"/>
  <c r="BI154" i="24"/>
  <c r="BO154" i="24" s="1"/>
  <c r="BI153" i="24"/>
  <c r="BO153" i="24" s="1"/>
  <c r="BI152" i="24"/>
  <c r="BO152" i="24" s="1"/>
  <c r="BI151" i="24"/>
  <c r="BO151" i="24" s="1"/>
  <c r="BI150" i="24"/>
  <c r="BO150" i="24" s="1"/>
  <c r="BI149" i="24"/>
  <c r="BO149" i="24" s="1"/>
  <c r="BI148" i="24"/>
  <c r="BO148" i="24" s="1"/>
  <c r="BI147" i="24"/>
  <c r="BO147" i="24" s="1"/>
  <c r="BI146" i="24"/>
  <c r="BO146" i="24" s="1"/>
  <c r="BI145" i="24"/>
  <c r="BO145" i="24" s="1"/>
  <c r="BI144" i="24"/>
  <c r="BO144" i="24" s="1"/>
  <c r="BI143" i="24"/>
  <c r="BO143" i="24" s="1"/>
  <c r="BI142" i="24"/>
  <c r="BO142" i="24" s="1"/>
  <c r="BI480" i="24"/>
  <c r="AT480" i="24"/>
  <c r="AU480" i="24" s="1"/>
  <c r="AE480" i="24"/>
  <c r="AF480" i="24" s="1"/>
  <c r="P480" i="24"/>
  <c r="Q480" i="24" s="1"/>
  <c r="AU466" i="24"/>
  <c r="AF466" i="24"/>
  <c r="BI415" i="24"/>
  <c r="AT415" i="24"/>
  <c r="AU415" i="24" s="1"/>
  <c r="AE415" i="24"/>
  <c r="AF415" i="24" s="1"/>
  <c r="P415" i="24"/>
  <c r="Q415" i="24" s="1"/>
  <c r="BI363" i="24"/>
  <c r="BO363" i="24" s="1"/>
  <c r="AT363" i="24"/>
  <c r="AU363" i="24" s="1"/>
  <c r="AE363" i="24"/>
  <c r="AF363" i="24" s="1"/>
  <c r="P363" i="24"/>
  <c r="Q363" i="24" s="1"/>
  <c r="AT281" i="24"/>
  <c r="AU281" i="24" s="1"/>
  <c r="AE281" i="24"/>
  <c r="AF281" i="24" s="1"/>
  <c r="P281" i="24"/>
  <c r="Q281" i="24" s="1"/>
  <c r="AT233" i="24"/>
  <c r="AU233" i="24" s="1"/>
  <c r="AE233" i="24"/>
  <c r="AF233" i="24" s="1"/>
  <c r="P233" i="24"/>
  <c r="Q233" i="24" s="1"/>
  <c r="AD200" i="24"/>
  <c r="AC200" i="24"/>
  <c r="AB200" i="24"/>
  <c r="AA200" i="24"/>
  <c r="Z200" i="24"/>
  <c r="Y200" i="24"/>
  <c r="X200" i="24"/>
  <c r="W200" i="24"/>
  <c r="V200" i="24"/>
  <c r="U200" i="24"/>
  <c r="T200" i="24"/>
  <c r="S200" i="24"/>
  <c r="O200" i="24"/>
  <c r="N200" i="24"/>
  <c r="M200" i="24"/>
  <c r="L200" i="24"/>
  <c r="K200" i="24"/>
  <c r="J200" i="24"/>
  <c r="I200" i="24"/>
  <c r="H200" i="24"/>
  <c r="G200" i="24"/>
  <c r="F200" i="24"/>
  <c r="E200" i="24"/>
  <c r="D200" i="24"/>
  <c r="AT145" i="24"/>
  <c r="AU145" i="24" s="1"/>
  <c r="AE145" i="24"/>
  <c r="AF145" i="24" s="1"/>
  <c r="P145" i="24"/>
  <c r="Q145" i="24" s="1"/>
  <c r="BP466" i="24"/>
  <c r="AT115" i="24"/>
  <c r="AU115" i="24" s="1"/>
  <c r="BI64" i="24"/>
  <c r="BO64" i="24" s="1"/>
  <c r="AT64" i="24"/>
  <c r="AU64" i="24" s="1"/>
  <c r="AE64" i="24"/>
  <c r="AF64" i="24" s="1"/>
  <c r="P64" i="24"/>
  <c r="Q64" i="24" s="1"/>
  <c r="AT8" i="24"/>
  <c r="AU8" i="24" s="1"/>
  <c r="AE8" i="24"/>
  <c r="AF8" i="24" s="1"/>
  <c r="P8" i="24"/>
  <c r="Q8" i="24" s="1"/>
  <c r="BS34" i="45"/>
  <c r="BO202" i="24" l="1"/>
  <c r="BO480" i="24"/>
  <c r="BJ197" i="24"/>
  <c r="BP480" i="24"/>
  <c r="BS37" i="45"/>
  <c r="AE200" i="24"/>
  <c r="AF200" i="24" s="1"/>
  <c r="BK200" i="24" s="1"/>
  <c r="P200" i="24"/>
  <c r="Q200" i="24" s="1"/>
  <c r="BN115" i="24"/>
  <c r="BS119" i="45" l="1"/>
  <c r="BS116" i="45"/>
  <c r="BS112" i="45"/>
  <c r="BS99" i="45"/>
  <c r="BS44" i="45"/>
  <c r="BS83" i="45" l="1"/>
  <c r="BS82" i="45"/>
  <c r="BS115" i="45"/>
  <c r="BS126" i="45" s="1"/>
  <c r="BS98" i="45" l="1"/>
  <c r="BS108" i="45" s="1"/>
  <c r="BS81" i="45"/>
  <c r="BS6" i="45"/>
  <c r="BS14" i="45"/>
  <c r="BS80" i="45" l="1"/>
  <c r="BS45" i="45"/>
  <c r="BS49" i="45" l="1"/>
  <c r="BS176" i="45" s="1"/>
  <c r="BS13" i="45"/>
  <c r="BS12" i="45" l="1"/>
  <c r="BS20" i="45"/>
  <c r="AI38" i="47"/>
  <c r="AI37" i="47"/>
  <c r="AI36" i="47"/>
  <c r="AI35" i="47"/>
  <c r="AI25" i="47"/>
  <c r="AI16" i="47"/>
  <c r="BS10" i="45" l="1"/>
  <c r="BS5" i="45"/>
  <c r="BS79" i="45" s="1"/>
  <c r="BS89" i="45" s="1"/>
  <c r="AJ18" i="56"/>
  <c r="AJ14" i="56" s="1"/>
  <c r="AJ13" i="56"/>
  <c r="AJ4" i="56"/>
  <c r="AJ5" i="56" s="1"/>
  <c r="AU74" i="36" l="1"/>
  <c r="AX74" i="36" s="1"/>
  <c r="AT74" i="36"/>
  <c r="AY74" i="36" s="1"/>
  <c r="AF74" i="36"/>
  <c r="AE74" i="36"/>
  <c r="Q74" i="36"/>
  <c r="P74" i="36"/>
  <c r="AU73" i="36"/>
  <c r="AX73" i="36" s="1"/>
  <c r="AT73" i="36"/>
  <c r="AY73" i="36" s="1"/>
  <c r="AF73" i="36"/>
  <c r="AE73" i="36"/>
  <c r="Q73" i="36"/>
  <c r="P73" i="36"/>
  <c r="AU72" i="36"/>
  <c r="AX72" i="36" s="1"/>
  <c r="AT72" i="36"/>
  <c r="AY72" i="36" s="1"/>
  <c r="AF72" i="36"/>
  <c r="AE72" i="36"/>
  <c r="Q72" i="36"/>
  <c r="P72" i="36"/>
  <c r="AY16" i="54" l="1"/>
  <c r="AZ25" i="54" s="1"/>
  <c r="AY17" i="54"/>
  <c r="BA20" i="54"/>
  <c r="BA21" i="54"/>
  <c r="BB22" i="54"/>
  <c r="AY23" i="54"/>
  <c r="BB23" i="54"/>
  <c r="AY26" i="54"/>
  <c r="AY27" i="54"/>
  <c r="AY28" i="54"/>
  <c r="AY30" i="54"/>
  <c r="BA30" i="54"/>
  <c r="BB30" i="54"/>
  <c r="BB11" i="54" s="1"/>
  <c r="AY31" i="54"/>
  <c r="BA31" i="54"/>
  <c r="BB31" i="54"/>
  <c r="BB12" i="54" s="1"/>
  <c r="BA32" i="54"/>
  <c r="BB32" i="54"/>
  <c r="BE4" i="54"/>
  <c r="AY33" i="54"/>
  <c r="BA33" i="54"/>
  <c r="BA14" i="54" s="1"/>
  <c r="BB33" i="54"/>
  <c r="AY34" i="54"/>
  <c r="BA34" i="54"/>
  <c r="BB34" i="54"/>
  <c r="BF34" i="54"/>
  <c r="BA35" i="54"/>
  <c r="BB35" i="54"/>
  <c r="AY21" i="54"/>
  <c r="AY29" i="54"/>
  <c r="AY64" i="54"/>
  <c r="AY61" i="54" s="1"/>
  <c r="AY74" i="54"/>
  <c r="AY71" i="54" s="1"/>
  <c r="AY81" i="54"/>
  <c r="AY94" i="54"/>
  <c r="AY91" i="54" s="1"/>
  <c r="AY104" i="54"/>
  <c r="AY101" i="54" s="1"/>
  <c r="AY110" i="54"/>
  <c r="AY109" i="54" s="1"/>
  <c r="BA12" i="54" l="1"/>
  <c r="BB14" i="54"/>
  <c r="BB13" i="54"/>
  <c r="BH4" i="54"/>
  <c r="BA11" i="54"/>
  <c r="BG4" i="54"/>
  <c r="BF4" i="54"/>
  <c r="BA13" i="54"/>
  <c r="AY7" i="54"/>
  <c r="AY20" i="54"/>
  <c r="BJ40" i="54"/>
  <c r="AY35" i="54"/>
  <c r="AY19" i="54"/>
  <c r="AY18" i="54"/>
  <c r="AY32" i="54"/>
  <c r="AB37" i="44" l="1"/>
  <c r="AB22" i="44"/>
  <c r="AB21" i="44"/>
  <c r="AB17" i="44"/>
  <c r="AB14" i="44"/>
  <c r="AB10" i="44"/>
  <c r="AR41" i="43"/>
  <c r="AR36" i="43"/>
  <c r="AR37" i="43"/>
  <c r="AR38" i="43"/>
  <c r="AR39" i="43"/>
  <c r="X37" i="44" a="1"/>
  <c r="L22" i="44" a="1"/>
  <c r="V37" i="44" a="1"/>
  <c r="D17" i="44" a="1"/>
  <c r="V39" i="44" a="1"/>
  <c r="O37" i="44" a="1"/>
  <c r="O22" i="44" a="1"/>
  <c r="W37" i="44" a="1"/>
  <c r="N22" i="44" a="1"/>
  <c r="H37" i="44" a="1"/>
  <c r="J37" i="44" a="1"/>
  <c r="D21" i="44" a="1"/>
  <c r="F37" i="44" a="1"/>
  <c r="P22" i="44" a="1"/>
  <c r="D37" i="44" a="1"/>
  <c r="M37" i="44" a="1"/>
  <c r="D14" i="44" a="1"/>
  <c r="L37" i="44" a="1"/>
  <c r="M22" i="44" a="1"/>
  <c r="P37" i="44" a="1"/>
  <c r="I37" i="44" a="1"/>
  <c r="K37" i="44" a="1"/>
  <c r="G37" i="44" a="1"/>
  <c r="N37" i="44" a="1"/>
  <c r="P22" i="44" l="1"/>
  <c r="P37" i="44"/>
  <c r="O22" i="44"/>
  <c r="O37" i="44"/>
  <c r="N22" i="44"/>
  <c r="N37" i="44"/>
  <c r="M22" i="44"/>
  <c r="M37" i="44"/>
  <c r="L22" i="44"/>
  <c r="V39" i="44"/>
  <c r="L37" i="44"/>
  <c r="K37" i="44"/>
  <c r="I37" i="44"/>
  <c r="V37" i="44"/>
  <c r="H37" i="44"/>
  <c r="G37" i="44"/>
  <c r="X37" i="44"/>
  <c r="F37" i="44"/>
  <c r="D37" i="44"/>
  <c r="J37" i="44"/>
  <c r="W37" i="44"/>
  <c r="D21" i="44"/>
  <c r="D17" i="44"/>
  <c r="D14" i="44"/>
  <c r="AX110" i="54" l="1"/>
  <c r="AW110" i="54"/>
  <c r="AW109" i="54" s="1"/>
  <c r="AW111" i="54" s="1"/>
  <c r="AX94" i="54"/>
  <c r="AX91" i="54" s="1"/>
  <c r="AX84" i="54"/>
  <c r="AX81" i="54" s="1"/>
  <c r="AX71" i="54"/>
  <c r="AW66" i="54"/>
  <c r="AW17" i="54" s="1"/>
  <c r="AX64" i="54"/>
  <c r="AX61" i="54" s="1"/>
  <c r="AX29" i="54"/>
  <c r="AW29" i="54"/>
  <c r="AX18" i="54"/>
  <c r="AX21" i="54"/>
  <c r="AW21" i="54"/>
  <c r="AY11" i="54"/>
  <c r="AX20" i="54"/>
  <c r="AW20" i="54"/>
  <c r="AW19" i="54"/>
  <c r="AW37" i="54"/>
  <c r="AX36" i="54"/>
  <c r="AW36" i="54"/>
  <c r="AX34" i="54"/>
  <c r="AW34" i="54"/>
  <c r="AY14" i="54"/>
  <c r="AX33" i="54"/>
  <c r="AW33" i="54"/>
  <c r="AX31" i="54"/>
  <c r="AW31" i="54"/>
  <c r="AX30" i="54"/>
  <c r="AW30" i="54"/>
  <c r="AX28" i="54"/>
  <c r="AW28" i="54"/>
  <c r="AX27" i="54"/>
  <c r="AW27" i="54"/>
  <c r="AX26" i="54"/>
  <c r="AW26" i="54"/>
  <c r="AX23" i="54"/>
  <c r="AX19" i="54"/>
  <c r="AY8" i="54"/>
  <c r="AX17" i="54"/>
  <c r="AY12" i="54"/>
  <c r="AW16" i="54" l="1"/>
  <c r="AW45" i="54"/>
  <c r="AW42" i="54" s="1"/>
  <c r="AX45" i="54"/>
  <c r="AX42" i="54" s="1"/>
  <c r="AY45" i="54"/>
  <c r="AY42" i="54" s="1"/>
  <c r="AX109" i="54"/>
  <c r="AX111" i="54" s="1"/>
  <c r="AW11" i="54"/>
  <c r="AX10" i="54"/>
  <c r="AW14" i="54"/>
  <c r="AX14" i="54"/>
  <c r="AX12" i="54"/>
  <c r="AX11" i="54"/>
  <c r="AX32" i="54"/>
  <c r="AW7" i="54"/>
  <c r="AY22" i="54"/>
  <c r="AY25" i="54"/>
  <c r="AY15" i="54" s="1"/>
  <c r="AW8" i="54"/>
  <c r="AX16" i="54"/>
  <c r="AX7" i="54" s="1"/>
  <c r="AW12" i="54"/>
  <c r="AX8" i="54"/>
  <c r="AW10" i="54"/>
  <c r="AY10" i="54"/>
  <c r="AW18" i="54"/>
  <c r="AW9" i="54" s="1"/>
  <c r="AX9" i="54"/>
  <c r="AY9" i="54"/>
  <c r="AX35" i="54"/>
  <c r="AY13" i="54" l="1"/>
  <c r="BI7" i="54"/>
  <c r="AX25" i="54"/>
  <c r="AX15" i="54" s="1"/>
  <c r="AX22" i="54"/>
  <c r="AX13" i="54" l="1"/>
  <c r="AZ99" i="22"/>
  <c r="CH7" i="45" l="1"/>
  <c r="CK7" i="45" s="1"/>
  <c r="AU203" i="24" l="1"/>
  <c r="AT203" i="24"/>
  <c r="AU236" i="24"/>
  <c r="AT236" i="24"/>
  <c r="AU284" i="24"/>
  <c r="AT284" i="24"/>
  <c r="AY361" i="24"/>
  <c r="AY196" i="24"/>
  <c r="BI196" i="24" s="1"/>
  <c r="BO196" i="24" s="1"/>
  <c r="AY141" i="24"/>
  <c r="BI141" i="24" s="1"/>
  <c r="BO141" i="24" s="1"/>
  <c r="AY62" i="24"/>
  <c r="AY61" i="24"/>
  <c r="AY58" i="24"/>
  <c r="AY6" i="24"/>
  <c r="AZ357" i="22" l="1"/>
  <c r="AZ373" i="22"/>
  <c r="AZ372" i="22"/>
  <c r="AZ371" i="22"/>
  <c r="AZ370" i="22"/>
  <c r="AZ369" i="22"/>
  <c r="AZ368" i="22"/>
  <c r="AZ367" i="22"/>
  <c r="AZ366" i="22"/>
  <c r="AZ365" i="22"/>
  <c r="AZ364" i="22"/>
  <c r="AZ363" i="22"/>
  <c r="AZ362" i="22"/>
  <c r="AZ361" i="22"/>
  <c r="AZ356" i="22"/>
  <c r="AZ355" i="22"/>
  <c r="AZ354" i="22"/>
  <c r="AZ353" i="22"/>
  <c r="AZ352" i="22"/>
  <c r="AZ351" i="22"/>
  <c r="AZ350" i="22"/>
  <c r="AZ349" i="22"/>
  <c r="AZ348" i="22"/>
  <c r="AZ347" i="22"/>
  <c r="AZ346" i="22"/>
  <c r="AZ345" i="22"/>
  <c r="AZ344" i="22"/>
  <c r="AZ340" i="22"/>
  <c r="AZ331" i="22"/>
  <c r="AZ330" i="22"/>
  <c r="AZ329" i="22"/>
  <c r="AZ323" i="22" s="1"/>
  <c r="AZ328" i="22"/>
  <c r="AZ327" i="22"/>
  <c r="AZ306" i="22"/>
  <c r="AZ314" i="22"/>
  <c r="AZ313" i="22"/>
  <c r="AZ312" i="22"/>
  <c r="AZ311" i="22"/>
  <c r="AZ310" i="22"/>
  <c r="AZ297" i="22"/>
  <c r="AZ296" i="22"/>
  <c r="AZ295" i="22"/>
  <c r="AZ294" i="22"/>
  <c r="AZ293" i="22"/>
  <c r="AZ289" i="22"/>
  <c r="AZ280" i="22"/>
  <c r="AZ279" i="22"/>
  <c r="AZ278" i="22"/>
  <c r="AZ277" i="22"/>
  <c r="AZ276" i="22"/>
  <c r="AZ272" i="22"/>
  <c r="AZ263" i="22"/>
  <c r="AZ262" i="22"/>
  <c r="AZ261" i="22"/>
  <c r="AZ260" i="22"/>
  <c r="AZ259" i="22"/>
  <c r="AZ255" i="22"/>
  <c r="AZ238" i="22"/>
  <c r="AZ246" i="22"/>
  <c r="AZ245" i="22"/>
  <c r="AZ244" i="22"/>
  <c r="AZ243" i="22"/>
  <c r="AZ242" i="22"/>
  <c r="A2" i="25" l="1"/>
  <c r="BN4" i="25" s="1"/>
  <c r="BN33" i="25"/>
  <c r="AS7" i="43"/>
  <c r="AR6" i="43"/>
  <c r="BN50" i="25" l="1"/>
  <c r="BN13" i="25"/>
  <c r="BN57" i="25"/>
  <c r="BO4" i="25"/>
  <c r="BO44" i="25"/>
  <c r="BO60" i="25"/>
  <c r="BO16" i="25"/>
  <c r="BO32" i="25"/>
  <c r="BO45" i="25"/>
  <c r="BO61" i="25"/>
  <c r="BO17" i="25"/>
  <c r="BO33" i="25"/>
  <c r="BO46" i="25"/>
  <c r="BO62" i="25"/>
  <c r="BO18" i="25"/>
  <c r="BO34" i="25"/>
  <c r="BO47" i="25"/>
  <c r="BO63" i="25"/>
  <c r="BO19" i="25"/>
  <c r="BO35" i="25"/>
  <c r="BO48" i="25"/>
  <c r="BO43" i="25"/>
  <c r="BO20" i="25"/>
  <c r="BO36" i="25"/>
  <c r="BO49" i="25"/>
  <c r="BO5" i="25"/>
  <c r="BO21" i="25"/>
  <c r="BO37" i="25"/>
  <c r="BO50" i="25"/>
  <c r="BO6" i="25"/>
  <c r="BO22" i="25"/>
  <c r="BO38" i="25"/>
  <c r="BO51" i="25"/>
  <c r="BO7" i="25"/>
  <c r="BO23" i="25"/>
  <c r="BO52" i="25"/>
  <c r="BO8" i="25"/>
  <c r="BO24" i="25"/>
  <c r="BO53" i="25"/>
  <c r="BO9" i="25"/>
  <c r="BO25" i="25"/>
  <c r="BO54" i="25"/>
  <c r="BO10" i="25"/>
  <c r="BO26" i="25"/>
  <c r="BO55" i="25"/>
  <c r="BO11" i="25"/>
  <c r="BO27" i="25"/>
  <c r="BO56" i="25"/>
  <c r="BO12" i="25"/>
  <c r="BO28" i="25"/>
  <c r="BO57" i="25"/>
  <c r="BO13" i="25"/>
  <c r="BO29" i="25"/>
  <c r="BO58" i="25"/>
  <c r="BO14" i="25"/>
  <c r="BO30" i="25"/>
  <c r="BO59" i="25"/>
  <c r="BO15" i="25"/>
  <c r="BO31" i="25"/>
  <c r="BN23" i="25"/>
  <c r="BN34" i="25"/>
  <c r="BN43" i="25"/>
  <c r="BL48" i="25"/>
  <c r="BL43" i="25"/>
  <c r="X55" i="21" l="1"/>
  <c r="X54" i="21"/>
  <c r="X53" i="21"/>
  <c r="F54" i="21" a="1"/>
  <c r="L54" i="21" a="1"/>
  <c r="D53" i="21" a="1"/>
  <c r="D54" i="21" a="1"/>
  <c r="O53" i="21" a="1"/>
  <c r="N53" i="21" a="1"/>
  <c r="G55" i="21" a="1"/>
  <c r="F53" i="21" a="1"/>
  <c r="J54" i="21" a="1"/>
  <c r="N55" i="21" a="1"/>
  <c r="G53" i="21" a="1"/>
  <c r="W55" i="21" a="1"/>
  <c r="E53" i="21" a="1"/>
  <c r="O55" i="21" a="1"/>
  <c r="I55" i="21" a="1"/>
  <c r="N54" i="21" a="1"/>
  <c r="T54" i="21" a="1"/>
  <c r="L53" i="21" a="1"/>
  <c r="V54" i="21" a="1"/>
  <c r="L55" i="21" a="1"/>
  <c r="V55" i="21" a="1"/>
  <c r="P55" i="21" a="1"/>
  <c r="M53" i="21" a="1"/>
  <c r="O54" i="21" a="1"/>
  <c r="J55" i="21" a="1"/>
  <c r="H54" i="21" a="1"/>
  <c r="M54" i="21" a="1"/>
  <c r="E55" i="21" a="1"/>
  <c r="H55" i="21" a="1"/>
  <c r="P53" i="21" a="1"/>
  <c r="T53" i="21" a="1"/>
  <c r="M55" i="21" a="1"/>
  <c r="P54" i="21" a="1"/>
  <c r="K54" i="21" a="1"/>
  <c r="K55" i="21" a="1"/>
  <c r="P53" i="21" l="1"/>
  <c r="P54" i="21"/>
  <c r="P55" i="21"/>
  <c r="O53" i="21"/>
  <c r="O54" i="21"/>
  <c r="O55" i="21"/>
  <c r="N53" i="21"/>
  <c r="N54" i="21"/>
  <c r="N55" i="21"/>
  <c r="M53" i="21"/>
  <c r="M54" i="21"/>
  <c r="M55" i="21"/>
  <c r="L53" i="21"/>
  <c r="L54" i="21"/>
  <c r="L55" i="21"/>
  <c r="T53" i="21"/>
  <c r="V55" i="21"/>
  <c r="J54" i="21"/>
  <c r="D53" i="21"/>
  <c r="F53" i="21"/>
  <c r="I55" i="21"/>
  <c r="K54" i="21"/>
  <c r="E53" i="21"/>
  <c r="T54" i="21"/>
  <c r="K55" i="21"/>
  <c r="G53" i="21"/>
  <c r="J55" i="21"/>
  <c r="V54" i="21"/>
  <c r="H54" i="21"/>
  <c r="D54" i="21"/>
  <c r="F54" i="21"/>
  <c r="E55" i="21"/>
  <c r="G55" i="21"/>
  <c r="W55" i="21"/>
  <c r="H55" i="21"/>
  <c r="I54" i="21" a="1"/>
  <c r="J53" i="21" a="1"/>
  <c r="E54" i="21" a="1"/>
  <c r="I53" i="21" a="1"/>
  <c r="F55" i="21" a="1"/>
  <c r="W53" i="21" a="1"/>
  <c r="D55" i="21" a="1"/>
  <c r="V53" i="21" a="1"/>
  <c r="G54" i="21" a="1"/>
  <c r="T55" i="21" a="1"/>
  <c r="K53" i="21" a="1"/>
  <c r="W54" i="21" a="1"/>
  <c r="H53" i="21" a="1"/>
  <c r="V53" i="21" l="1"/>
  <c r="I53" i="21"/>
  <c r="W53" i="21"/>
  <c r="F55" i="21"/>
  <c r="K53" i="21"/>
  <c r="T55" i="21"/>
  <c r="D55" i="21"/>
  <c r="J53" i="21"/>
  <c r="W54" i="21"/>
  <c r="G54" i="21"/>
  <c r="I54" i="21"/>
  <c r="H53" i="21"/>
  <c r="E54" i="21"/>
  <c r="AC30" i="16" l="1"/>
  <c r="A1" i="36"/>
  <c r="AW42" i="36" s="1"/>
  <c r="A1" i="56"/>
  <c r="A1" i="53"/>
  <c r="A1" i="34"/>
  <c r="A1" i="47"/>
  <c r="A1" i="32"/>
  <c r="AZ4" i="32" s="1"/>
  <c r="C2" i="43"/>
  <c r="A1" i="55"/>
  <c r="AO24" i="45"/>
  <c r="F85" i="46" a="1"/>
  <c r="L85" i="46" a="1"/>
  <c r="Y85" i="46" a="1"/>
  <c r="J85" i="46" a="1"/>
  <c r="H85" i="46" a="1"/>
  <c r="I85" i="46" a="1"/>
  <c r="M85" i="46" a="1"/>
  <c r="G85" i="46" a="1"/>
  <c r="K85" i="46" a="1"/>
  <c r="AX89" i="34" l="1"/>
  <c r="BA86" i="34"/>
  <c r="AX96" i="34"/>
  <c r="AX87" i="34"/>
  <c r="BA93" i="34"/>
  <c r="BA96" i="34"/>
  <c r="BA90" i="34"/>
  <c r="AX97" i="34"/>
  <c r="AX94" i="34"/>
  <c r="AX88" i="34"/>
  <c r="BA91" i="34"/>
  <c r="BA94" i="34"/>
  <c r="BA88" i="34"/>
  <c r="AX86" i="34"/>
  <c r="BA92" i="34"/>
  <c r="BA95" i="34"/>
  <c r="BA89" i="34"/>
  <c r="AX93" i="34"/>
  <c r="AX90" i="34"/>
  <c r="BA87" i="34"/>
  <c r="BA97" i="34"/>
  <c r="AX92" i="34"/>
  <c r="AX95" i="34"/>
  <c r="AX104" i="34"/>
  <c r="AX103" i="34"/>
  <c r="AZ57" i="56"/>
  <c r="AZ55" i="56"/>
  <c r="AZ53" i="56"/>
  <c r="AZ51" i="56"/>
  <c r="AZ49" i="56"/>
  <c r="AZ47" i="56"/>
  <c r="AZ45" i="56"/>
  <c r="AZ43" i="56"/>
  <c r="AZ41" i="56"/>
  <c r="AW57" i="56"/>
  <c r="AW53" i="56"/>
  <c r="AW51" i="56"/>
  <c r="AW49" i="56"/>
  <c r="AW47" i="56"/>
  <c r="AW45" i="56"/>
  <c r="AW43" i="56"/>
  <c r="AW41" i="56"/>
  <c r="AW55" i="56"/>
  <c r="AZ56" i="56"/>
  <c r="AZ54" i="56"/>
  <c r="AZ52" i="56"/>
  <c r="AZ50" i="56"/>
  <c r="AZ48" i="56"/>
  <c r="AZ46" i="56"/>
  <c r="AZ44" i="56"/>
  <c r="AZ42" i="56"/>
  <c r="AZ40" i="56"/>
  <c r="AW56" i="56"/>
  <c r="AW54" i="56"/>
  <c r="AW52" i="56"/>
  <c r="AW50" i="56"/>
  <c r="AW48" i="56"/>
  <c r="AW46" i="56"/>
  <c r="AW44" i="56"/>
  <c r="AW42" i="56"/>
  <c r="AW40" i="56"/>
  <c r="AV6" i="43"/>
  <c r="BB34" i="43"/>
  <c r="AT7" i="47"/>
  <c r="AZ7" i="36"/>
  <c r="AZ24" i="36"/>
  <c r="AZ40" i="36"/>
  <c r="AZ56" i="36"/>
  <c r="AZ72" i="36"/>
  <c r="AZ8" i="36"/>
  <c r="AZ25" i="36"/>
  <c r="AZ41" i="36"/>
  <c r="AZ57" i="36"/>
  <c r="AZ73" i="36"/>
  <c r="AZ9" i="36"/>
  <c r="AZ26" i="36"/>
  <c r="AZ42" i="36"/>
  <c r="AZ58" i="36"/>
  <c r="AZ74" i="36"/>
  <c r="AZ10" i="36"/>
  <c r="AZ27" i="36"/>
  <c r="AZ43" i="36"/>
  <c r="AZ59" i="36"/>
  <c r="AZ4" i="36"/>
  <c r="AZ11" i="36"/>
  <c r="AZ28" i="36"/>
  <c r="AZ44" i="36"/>
  <c r="AZ60" i="36"/>
  <c r="AZ12" i="36"/>
  <c r="AZ29" i="36"/>
  <c r="AZ45" i="36"/>
  <c r="AZ61" i="36"/>
  <c r="AZ13" i="36"/>
  <c r="AZ30" i="36"/>
  <c r="AZ46" i="36"/>
  <c r="AZ62" i="36"/>
  <c r="AZ14" i="36"/>
  <c r="AZ31" i="36"/>
  <c r="AZ47" i="36"/>
  <c r="AZ63" i="36"/>
  <c r="AZ15" i="36"/>
  <c r="AZ32" i="36"/>
  <c r="AZ48" i="36"/>
  <c r="AZ64" i="36"/>
  <c r="AZ16" i="36"/>
  <c r="AZ33" i="36"/>
  <c r="AZ49" i="36"/>
  <c r="AZ65" i="36"/>
  <c r="AZ18" i="36"/>
  <c r="AZ34" i="36"/>
  <c r="AZ50" i="36"/>
  <c r="AZ66" i="36"/>
  <c r="AZ19" i="36"/>
  <c r="AZ35" i="36"/>
  <c r="AZ51" i="36"/>
  <c r="AZ67" i="36"/>
  <c r="AZ20" i="36"/>
  <c r="AZ36" i="36"/>
  <c r="AZ52" i="36"/>
  <c r="AZ68" i="36"/>
  <c r="AZ21" i="36"/>
  <c r="AZ37" i="36"/>
  <c r="AZ53" i="36"/>
  <c r="AZ69" i="36"/>
  <c r="AZ5" i="36"/>
  <c r="AZ22" i="36"/>
  <c r="AZ38" i="36"/>
  <c r="AZ54" i="36"/>
  <c r="AZ70" i="36"/>
  <c r="AZ6" i="36"/>
  <c r="AZ23" i="36"/>
  <c r="AZ39" i="36"/>
  <c r="AZ55" i="36"/>
  <c r="AZ71" i="36"/>
  <c r="AW35" i="53"/>
  <c r="AZ4" i="53"/>
  <c r="BA68" i="34"/>
  <c r="BA84" i="34"/>
  <c r="BA100" i="34"/>
  <c r="BA69" i="34"/>
  <c r="BA85" i="34"/>
  <c r="BA101" i="34"/>
  <c r="BA70" i="34"/>
  <c r="BA71" i="34"/>
  <c r="BA72" i="34"/>
  <c r="BA73" i="34"/>
  <c r="BA74" i="34"/>
  <c r="BA75" i="34"/>
  <c r="BA76" i="34"/>
  <c r="BA77" i="34"/>
  <c r="BA62" i="34"/>
  <c r="BA78" i="34"/>
  <c r="BA63" i="34"/>
  <c r="BA79" i="34"/>
  <c r="BA64" i="34"/>
  <c r="BA80" i="34"/>
  <c r="BA65" i="34"/>
  <c r="BA81" i="34"/>
  <c r="BA66" i="34"/>
  <c r="BA82" i="34"/>
  <c r="BA98" i="34"/>
  <c r="BA67" i="34"/>
  <c r="BA83" i="34"/>
  <c r="BA99" i="34"/>
  <c r="AX125" i="34"/>
  <c r="AX122" i="34"/>
  <c r="AT9" i="47"/>
  <c r="BB40" i="43"/>
  <c r="BC40" i="43" s="1"/>
  <c r="BB41" i="43"/>
  <c r="AX100" i="34"/>
  <c r="AX117" i="34"/>
  <c r="AX106" i="34"/>
  <c r="AX66" i="34"/>
  <c r="AX65" i="34"/>
  <c r="AX134" i="34"/>
  <c r="AX111" i="34"/>
  <c r="AX78" i="34"/>
  <c r="AX77" i="34"/>
  <c r="AX140" i="34"/>
  <c r="AX105" i="34"/>
  <c r="AX99" i="34"/>
  <c r="AX83" i="34"/>
  <c r="AX79" i="34"/>
  <c r="AX75" i="34"/>
  <c r="AX71" i="34"/>
  <c r="AX67" i="34"/>
  <c r="AX63" i="34"/>
  <c r="AX74" i="34"/>
  <c r="AX73" i="34"/>
  <c r="AX121" i="34"/>
  <c r="AX116" i="34"/>
  <c r="AX133" i="34"/>
  <c r="AX126" i="34"/>
  <c r="AX110" i="34"/>
  <c r="AW1" i="34"/>
  <c r="AX62" i="34"/>
  <c r="AX69" i="34"/>
  <c r="AX139" i="34"/>
  <c r="AX115" i="34"/>
  <c r="AX82" i="34"/>
  <c r="AX132" i="34"/>
  <c r="AX120" i="34"/>
  <c r="AX98" i="34"/>
  <c r="AX70" i="34"/>
  <c r="AX138" i="34"/>
  <c r="AX109" i="34"/>
  <c r="AX114" i="34"/>
  <c r="AX131" i="34"/>
  <c r="AX137" i="34"/>
  <c r="AX124" i="34"/>
  <c r="AX119" i="34"/>
  <c r="AX108" i="34"/>
  <c r="AX85" i="34"/>
  <c r="AX81" i="34"/>
  <c r="AX130" i="34"/>
  <c r="AX113" i="34"/>
  <c r="AX101" i="34"/>
  <c r="AX76" i="34"/>
  <c r="AX136" i="34"/>
  <c r="AX80" i="34"/>
  <c r="AX68" i="34"/>
  <c r="AX123" i="34"/>
  <c r="AX118" i="34"/>
  <c r="AX107" i="34"/>
  <c r="AX129" i="34"/>
  <c r="AX112" i="34"/>
  <c r="AX84" i="34"/>
  <c r="AX72" i="34"/>
  <c r="AX64" i="34"/>
  <c r="AX135" i="34"/>
  <c r="AZ6" i="32"/>
  <c r="AU6" i="43"/>
  <c r="AT6" i="43"/>
  <c r="AV5" i="43"/>
  <c r="AZ9" i="32"/>
  <c r="AZ25" i="32"/>
  <c r="AZ41" i="32"/>
  <c r="AZ57" i="32"/>
  <c r="AZ10" i="32"/>
  <c r="AZ26" i="32"/>
  <c r="AZ42" i="32"/>
  <c r="AZ58" i="32"/>
  <c r="AZ11" i="32"/>
  <c r="AZ27" i="32"/>
  <c r="AZ43" i="32"/>
  <c r="AZ59" i="32"/>
  <c r="AZ12" i="32"/>
  <c r="AZ28" i="32"/>
  <c r="AZ44" i="32"/>
  <c r="AZ60" i="32"/>
  <c r="AZ13" i="32"/>
  <c r="AZ29" i="32"/>
  <c r="AZ45" i="32"/>
  <c r="AZ61" i="32"/>
  <c r="AZ14" i="32"/>
  <c r="AZ30" i="32"/>
  <c r="AZ46" i="32"/>
  <c r="AZ15" i="32"/>
  <c r="AZ31" i="32"/>
  <c r="AZ47" i="32"/>
  <c r="AZ16" i="32"/>
  <c r="AZ32" i="32"/>
  <c r="AZ48" i="32"/>
  <c r="AZ64" i="32"/>
  <c r="AZ17" i="32"/>
  <c r="AZ33" i="32"/>
  <c r="AZ49" i="32"/>
  <c r="AZ18" i="32"/>
  <c r="AZ34" i="32"/>
  <c r="AZ50" i="32"/>
  <c r="AZ19" i="32"/>
  <c r="AZ35" i="32"/>
  <c r="AZ51" i="32"/>
  <c r="AZ20" i="32"/>
  <c r="AZ36" i="32"/>
  <c r="AZ52" i="32"/>
  <c r="AZ22" i="32"/>
  <c r="AZ38" i="32"/>
  <c r="AZ54" i="32"/>
  <c r="AZ7" i="32"/>
  <c r="AZ23" i="32"/>
  <c r="AZ39" i="32"/>
  <c r="AZ55" i="32"/>
  <c r="AZ70" i="32"/>
  <c r="AZ86" i="32"/>
  <c r="AZ102" i="32"/>
  <c r="AZ84" i="32"/>
  <c r="AZ5" i="32"/>
  <c r="AZ71" i="32"/>
  <c r="AZ87" i="32"/>
  <c r="AZ103" i="32"/>
  <c r="AZ8" i="32"/>
  <c r="AZ72" i="32"/>
  <c r="AZ88" i="32"/>
  <c r="AZ104" i="32"/>
  <c r="AZ101" i="32"/>
  <c r="AZ21" i="32"/>
  <c r="AZ73" i="32"/>
  <c r="AZ89" i="32"/>
  <c r="AZ105" i="32"/>
  <c r="AZ24" i="32"/>
  <c r="AZ74" i="32"/>
  <c r="AZ90" i="32"/>
  <c r="AZ106" i="32"/>
  <c r="AZ37" i="32"/>
  <c r="AZ75" i="32"/>
  <c r="AZ91" i="32"/>
  <c r="AZ107" i="32"/>
  <c r="AZ40" i="32"/>
  <c r="AZ76" i="32"/>
  <c r="AZ92" i="32"/>
  <c r="AZ108" i="32"/>
  <c r="AZ68" i="32"/>
  <c r="AZ85" i="32"/>
  <c r="AZ53" i="32"/>
  <c r="AZ77" i="32"/>
  <c r="AZ93" i="32"/>
  <c r="AZ109" i="32"/>
  <c r="AZ100" i="32"/>
  <c r="AZ56" i="32"/>
  <c r="AZ78" i="32"/>
  <c r="AZ94" i="32"/>
  <c r="AZ110" i="32"/>
  <c r="AZ62" i="32"/>
  <c r="AZ79" i="32"/>
  <c r="AZ95" i="32"/>
  <c r="AZ111" i="32"/>
  <c r="AZ63" i="32"/>
  <c r="AZ80" i="32"/>
  <c r="AZ96" i="32"/>
  <c r="AZ112" i="32"/>
  <c r="AZ65" i="32"/>
  <c r="AZ81" i="32"/>
  <c r="AZ97" i="32"/>
  <c r="AZ113" i="32"/>
  <c r="AZ69" i="32"/>
  <c r="AZ66" i="32"/>
  <c r="AZ82" i="32"/>
  <c r="AZ98" i="32"/>
  <c r="AZ67" i="32"/>
  <c r="AZ83" i="32"/>
  <c r="AZ99" i="32"/>
  <c r="AT23" i="47"/>
  <c r="AT8" i="47"/>
  <c r="AT24" i="47"/>
  <c r="AT25" i="47"/>
  <c r="AT10" i="47"/>
  <c r="AT26" i="47"/>
  <c r="AT46" i="47"/>
  <c r="AT11" i="47"/>
  <c r="AT27" i="47"/>
  <c r="AT45" i="47"/>
  <c r="AT12" i="47"/>
  <c r="AT28" i="47"/>
  <c r="AT44" i="47"/>
  <c r="AT13" i="47"/>
  <c r="AT29" i="47"/>
  <c r="AT43" i="47"/>
  <c r="AT14" i="47"/>
  <c r="AT30" i="47"/>
  <c r="AT42" i="47"/>
  <c r="AT15" i="47"/>
  <c r="AT31" i="47"/>
  <c r="AT41" i="47"/>
  <c r="AT16" i="47"/>
  <c r="AT32" i="47"/>
  <c r="AT40" i="47"/>
  <c r="AT17" i="47"/>
  <c r="AT6" i="47"/>
  <c r="AT39" i="47"/>
  <c r="AT18" i="47"/>
  <c r="AT37" i="47"/>
  <c r="AT20" i="47"/>
  <c r="AT36" i="47"/>
  <c r="AT21" i="47"/>
  <c r="AT22" i="47"/>
  <c r="AT19" i="47"/>
  <c r="AT35" i="47"/>
  <c r="AT38" i="47"/>
  <c r="AV7" i="43"/>
  <c r="AV9" i="43"/>
  <c r="AV26" i="43"/>
  <c r="AV10" i="43"/>
  <c r="AV27" i="43"/>
  <c r="AV11" i="43"/>
  <c r="AV18" i="43"/>
  <c r="AV13" i="43"/>
  <c r="AV20" i="43"/>
  <c r="AV28" i="43"/>
  <c r="AV14" i="43"/>
  <c r="AV16" i="43"/>
  <c r="AV17" i="43"/>
  <c r="AW74" i="36"/>
  <c r="AW72" i="36"/>
  <c r="AW73" i="36"/>
  <c r="AZ14" i="53"/>
  <c r="AZ30" i="53"/>
  <c r="AZ46" i="53"/>
  <c r="AZ62" i="53"/>
  <c r="AZ78" i="53"/>
  <c r="AZ94" i="53"/>
  <c r="AZ110" i="53"/>
  <c r="AZ11" i="53"/>
  <c r="AZ15" i="53"/>
  <c r="AZ31" i="53"/>
  <c r="AZ47" i="53"/>
  <c r="AZ63" i="53"/>
  <c r="AZ79" i="53"/>
  <c r="AZ95" i="53"/>
  <c r="AZ111" i="53"/>
  <c r="AZ16" i="53"/>
  <c r="AZ32" i="53"/>
  <c r="AZ48" i="53"/>
  <c r="AZ64" i="53"/>
  <c r="AZ80" i="53"/>
  <c r="AZ96" i="53"/>
  <c r="AZ112" i="53"/>
  <c r="AZ17" i="53"/>
  <c r="AZ33" i="53"/>
  <c r="AZ49" i="53"/>
  <c r="AZ65" i="53"/>
  <c r="AZ81" i="53"/>
  <c r="AZ97" i="53"/>
  <c r="AZ113" i="53"/>
  <c r="AZ18" i="53"/>
  <c r="AZ34" i="53"/>
  <c r="AZ50" i="53"/>
  <c r="AZ66" i="53"/>
  <c r="AZ82" i="53"/>
  <c r="AZ98" i="53"/>
  <c r="AZ114" i="53"/>
  <c r="AZ19" i="53"/>
  <c r="AZ35" i="53"/>
  <c r="AZ51" i="53"/>
  <c r="AZ67" i="53"/>
  <c r="AZ83" i="53"/>
  <c r="AZ99" i="53"/>
  <c r="AZ115" i="53"/>
  <c r="AZ20" i="53"/>
  <c r="AZ36" i="53"/>
  <c r="AZ52" i="53"/>
  <c r="AZ68" i="53"/>
  <c r="AZ84" i="53"/>
  <c r="AZ100" i="53"/>
  <c r="AZ116" i="53"/>
  <c r="AZ21" i="53"/>
  <c r="AZ37" i="53"/>
  <c r="AZ53" i="53"/>
  <c r="AZ69" i="53"/>
  <c r="AZ85" i="53"/>
  <c r="AZ101" i="53"/>
  <c r="AZ117" i="53"/>
  <c r="AZ22" i="53"/>
  <c r="AZ38" i="53"/>
  <c r="AZ54" i="53"/>
  <c r="AZ70" i="53"/>
  <c r="AZ86" i="53"/>
  <c r="AZ102" i="53"/>
  <c r="AZ118" i="53"/>
  <c r="AZ23" i="53"/>
  <c r="AZ39" i="53"/>
  <c r="AZ55" i="53"/>
  <c r="AZ71" i="53"/>
  <c r="AZ87" i="53"/>
  <c r="AZ103" i="53"/>
  <c r="AZ119" i="53"/>
  <c r="AZ24" i="53"/>
  <c r="AZ40" i="53"/>
  <c r="AZ56" i="53"/>
  <c r="AZ72" i="53"/>
  <c r="AZ88" i="53"/>
  <c r="AZ104" i="53"/>
  <c r="AZ5" i="53"/>
  <c r="AZ25" i="53"/>
  <c r="AZ41" i="53"/>
  <c r="AZ57" i="53"/>
  <c r="AZ73" i="53"/>
  <c r="AZ89" i="53"/>
  <c r="AZ105" i="53"/>
  <c r="AZ6" i="53"/>
  <c r="AZ26" i="53"/>
  <c r="AZ42" i="53"/>
  <c r="AZ58" i="53"/>
  <c r="AZ74" i="53"/>
  <c r="AZ90" i="53"/>
  <c r="AZ106" i="53"/>
  <c r="AZ7" i="53"/>
  <c r="AZ27" i="53"/>
  <c r="AZ43" i="53"/>
  <c r="AZ59" i="53"/>
  <c r="AZ75" i="53"/>
  <c r="AZ91" i="53"/>
  <c r="AZ107" i="53"/>
  <c r="AZ8" i="53"/>
  <c r="AZ12" i="53"/>
  <c r="AZ28" i="53"/>
  <c r="AZ44" i="53"/>
  <c r="AZ60" i="53"/>
  <c r="AZ76" i="53"/>
  <c r="AZ92" i="53"/>
  <c r="AZ108" i="53"/>
  <c r="AZ9" i="53"/>
  <c r="AZ13" i="53"/>
  <c r="AZ29" i="53"/>
  <c r="AZ45" i="53"/>
  <c r="AZ61" i="53"/>
  <c r="AZ77" i="53"/>
  <c r="AZ93" i="53"/>
  <c r="AZ109" i="53"/>
  <c r="AZ10" i="53"/>
  <c r="AZ19" i="56"/>
  <c r="AZ35" i="56"/>
  <c r="AZ20" i="56"/>
  <c r="AZ36" i="56"/>
  <c r="AZ5" i="56"/>
  <c r="AZ21" i="56"/>
  <c r="AZ37" i="56"/>
  <c r="AZ6" i="56"/>
  <c r="AZ22" i="56"/>
  <c r="AZ38" i="56"/>
  <c r="AZ7" i="56"/>
  <c r="AZ23" i="56"/>
  <c r="AZ4" i="56"/>
  <c r="AZ8" i="56"/>
  <c r="AZ24" i="56"/>
  <c r="AZ9" i="56"/>
  <c r="AZ25" i="56"/>
  <c r="AZ10" i="56"/>
  <c r="AZ26" i="56"/>
  <c r="AZ11" i="56"/>
  <c r="AZ27" i="56"/>
  <c r="AZ12" i="56"/>
  <c r="AZ28" i="56"/>
  <c r="AZ13" i="56"/>
  <c r="AZ29" i="56"/>
  <c r="AZ14" i="56"/>
  <c r="AZ30" i="56"/>
  <c r="AZ15" i="56"/>
  <c r="AZ31" i="56"/>
  <c r="AZ16" i="56"/>
  <c r="AZ32" i="56"/>
  <c r="AZ17" i="56"/>
  <c r="AZ33" i="56"/>
  <c r="AZ18" i="56"/>
  <c r="AZ34" i="56"/>
  <c r="AU36" i="47"/>
  <c r="AU7" i="43"/>
  <c r="AT7" i="43"/>
  <c r="AW67" i="53"/>
  <c r="AT5" i="43"/>
  <c r="AU14" i="43"/>
  <c r="AU13" i="43"/>
  <c r="AT13" i="43"/>
  <c r="AT14" i="43"/>
  <c r="Y85" i="46"/>
  <c r="M85" i="46"/>
  <c r="F85" i="46"/>
  <c r="H85" i="46"/>
  <c r="L85" i="46"/>
  <c r="K85" i="46"/>
  <c r="J85" i="46"/>
  <c r="I85" i="46"/>
  <c r="G85" i="46"/>
  <c r="R55" i="21" a="1"/>
  <c r="Z32" i="44" a="1"/>
  <c r="Z39" i="44" a="1"/>
  <c r="R54" i="21" a="1"/>
  <c r="R53" i="21" a="1"/>
  <c r="Z32" i="44" l="1"/>
  <c r="BC34" i="43"/>
  <c r="Z39" i="44"/>
  <c r="BC41" i="43"/>
  <c r="R54" i="21"/>
  <c r="R53" i="21"/>
  <c r="R55" i="21"/>
  <c r="BR138" i="45"/>
  <c r="BR119" i="45"/>
  <c r="BR116" i="45"/>
  <c r="BR112" i="45"/>
  <c r="AA39" i="44" a="1"/>
  <c r="AA32" i="44" a="1"/>
  <c r="BR83" i="45" l="1"/>
  <c r="AA32" i="44"/>
  <c r="BR144" i="45"/>
  <c r="BR82" i="45" s="1"/>
  <c r="AA39" i="44"/>
  <c r="BR115" i="45"/>
  <c r="BR126" i="45" s="1"/>
  <c r="BR81" i="45" s="1"/>
  <c r="BR103" i="45" l="1"/>
  <c r="BR99" i="45"/>
  <c r="BQ99" i="45"/>
  <c r="BR77" i="45"/>
  <c r="BR66" i="45"/>
  <c r="BR62" i="45"/>
  <c r="BR98" i="45" l="1"/>
  <c r="BR108" i="45" s="1"/>
  <c r="BR80" i="45" s="1"/>
  <c r="BR56" i="45"/>
  <c r="BR55" i="45" s="1"/>
  <c r="BQ56" i="45"/>
  <c r="BR44" i="45"/>
  <c r="BR37" i="45" l="1"/>
  <c r="BQ14" i="45" l="1"/>
  <c r="BR14" i="45" l="1"/>
  <c r="BR45" i="45" l="1"/>
  <c r="BR49" i="45" s="1"/>
  <c r="BR13" i="45"/>
  <c r="BR20" i="45" l="1"/>
  <c r="BR12" i="45"/>
  <c r="BR10" i="45" s="1"/>
  <c r="BR6" i="45"/>
  <c r="BR8" i="45" s="1"/>
  <c r="BR5" i="45" l="1"/>
  <c r="BR79" i="45" l="1"/>
  <c r="BR89" i="45" s="1"/>
  <c r="BQ77" i="45" l="1"/>
  <c r="BQ66" i="45"/>
  <c r="BQ62" i="45"/>
  <c r="BQ38" i="45" l="1"/>
  <c r="BQ13" i="45" l="1"/>
  <c r="BQ20" i="45" s="1"/>
  <c r="CH88" i="45" l="1"/>
  <c r="CK88" i="45" s="1"/>
  <c r="BQ55" i="45"/>
  <c r="CH55" i="45" s="1"/>
  <c r="BQ44" i="45"/>
  <c r="CH158" i="45"/>
  <c r="CK158" i="45" s="1"/>
  <c r="CH156" i="45"/>
  <c r="CK156" i="45" s="1"/>
  <c r="CH155" i="45"/>
  <c r="CK155" i="45" s="1"/>
  <c r="CH154" i="45"/>
  <c r="CK154" i="45" s="1"/>
  <c r="CH147" i="45"/>
  <c r="CK147" i="45" s="1"/>
  <c r="CH145" i="45"/>
  <c r="CK145" i="45" s="1"/>
  <c r="CH143" i="45"/>
  <c r="CK143" i="45" s="1"/>
  <c r="CH142" i="45"/>
  <c r="CK142" i="45" s="1"/>
  <c r="CH141" i="45"/>
  <c r="CK141" i="45" s="1"/>
  <c r="CH140" i="45"/>
  <c r="CK140" i="45" s="1"/>
  <c r="CH139" i="45"/>
  <c r="CK139" i="45" s="1"/>
  <c r="CH134" i="45"/>
  <c r="CK134" i="45" s="1"/>
  <c r="CH132" i="45"/>
  <c r="CK132" i="45" s="1"/>
  <c r="CH131" i="45"/>
  <c r="CK131" i="45" s="1"/>
  <c r="CH130" i="45"/>
  <c r="CH129" i="45"/>
  <c r="CK129" i="45" s="1"/>
  <c r="CH125" i="45"/>
  <c r="CK125" i="45" s="1"/>
  <c r="CH124" i="45"/>
  <c r="CK124" i="45" s="1"/>
  <c r="CH123" i="45"/>
  <c r="CK123" i="45" s="1"/>
  <c r="CH122" i="45"/>
  <c r="CK122" i="45" s="1"/>
  <c r="CH121" i="45"/>
  <c r="CK121" i="45" s="1"/>
  <c r="CH120" i="45"/>
  <c r="CK120" i="45" s="1"/>
  <c r="CH118" i="45"/>
  <c r="CK118" i="45" s="1"/>
  <c r="CH117" i="45"/>
  <c r="CK117" i="45" s="1"/>
  <c r="CH114" i="45"/>
  <c r="CK114" i="45" s="1"/>
  <c r="CH113" i="45"/>
  <c r="CK113" i="45" s="1"/>
  <c r="CH110" i="45"/>
  <c r="CK110" i="45" s="1"/>
  <c r="CH109" i="45"/>
  <c r="CK109" i="45" s="1"/>
  <c r="CH107" i="45"/>
  <c r="CK107" i="45" s="1"/>
  <c r="CH106" i="45"/>
  <c r="CK106" i="45" s="1"/>
  <c r="CH105" i="45"/>
  <c r="CK105" i="45" s="1"/>
  <c r="CH104" i="45"/>
  <c r="CK104" i="45" s="1"/>
  <c r="CH102" i="45"/>
  <c r="CK102" i="45" s="1"/>
  <c r="CH101" i="45"/>
  <c r="CK101" i="45" s="1"/>
  <c r="CH100" i="45"/>
  <c r="CK100" i="45" s="1"/>
  <c r="CH99" i="45"/>
  <c r="CH97" i="45"/>
  <c r="CK97" i="45" s="1"/>
  <c r="CH96" i="45"/>
  <c r="CK96" i="45" s="1"/>
  <c r="CH95" i="45"/>
  <c r="CK95" i="45" s="1"/>
  <c r="CH94" i="45"/>
  <c r="CK94" i="45" s="1"/>
  <c r="CH93" i="45"/>
  <c r="CH92" i="45"/>
  <c r="CK92" i="45" s="1"/>
  <c r="CH87" i="45"/>
  <c r="CK87" i="45" s="1"/>
  <c r="CH84" i="45"/>
  <c r="CK84" i="45" s="1"/>
  <c r="CH77" i="45"/>
  <c r="CH76" i="45"/>
  <c r="CK76" i="45" s="1"/>
  <c r="CH75" i="45"/>
  <c r="CK75" i="45" s="1"/>
  <c r="CH74" i="45"/>
  <c r="CK74" i="45" s="1"/>
  <c r="CH73" i="45"/>
  <c r="CK73" i="45" s="1"/>
  <c r="CH72" i="45"/>
  <c r="CK72" i="45" s="1"/>
  <c r="CH71" i="45"/>
  <c r="CK71" i="45" s="1"/>
  <c r="CH70" i="45"/>
  <c r="CK70" i="45" s="1"/>
  <c r="CH69" i="45"/>
  <c r="CK69" i="45" s="1"/>
  <c r="CH68" i="45"/>
  <c r="CK68" i="45" s="1"/>
  <c r="CH67" i="45"/>
  <c r="CK67" i="45" s="1"/>
  <c r="CH66" i="45"/>
  <c r="CH65" i="45"/>
  <c r="CK65" i="45" s="1"/>
  <c r="CH64" i="45"/>
  <c r="CK64" i="45" s="1"/>
  <c r="CH63" i="45"/>
  <c r="CK63" i="45" s="1"/>
  <c r="CH62" i="45"/>
  <c r="CH61" i="45"/>
  <c r="CK61" i="45" s="1"/>
  <c r="CH60" i="45"/>
  <c r="CK60" i="45" s="1"/>
  <c r="CH59" i="45"/>
  <c r="CK59" i="45" s="1"/>
  <c r="CH58" i="45"/>
  <c r="CK58" i="45" s="1"/>
  <c r="CH57" i="45"/>
  <c r="CK57" i="45" s="1"/>
  <c r="CH56" i="45"/>
  <c r="CK56" i="45" s="1"/>
  <c r="CH48" i="45"/>
  <c r="CK48" i="45" s="1"/>
  <c r="CH47" i="45"/>
  <c r="CK47" i="45" s="1"/>
  <c r="CH46" i="45"/>
  <c r="CK46" i="45" s="1"/>
  <c r="CH43" i="45"/>
  <c r="CK43" i="45" s="1"/>
  <c r="CH42" i="45"/>
  <c r="CK42" i="45" s="1"/>
  <c r="CH41" i="45"/>
  <c r="CK41" i="45" s="1"/>
  <c r="CH40" i="45"/>
  <c r="CK40" i="45" s="1"/>
  <c r="CH39" i="45"/>
  <c r="CK39" i="45" s="1"/>
  <c r="CH36" i="45"/>
  <c r="CH35" i="45"/>
  <c r="CH34" i="45"/>
  <c r="CH33" i="45"/>
  <c r="CK33" i="45" s="1"/>
  <c r="CH32" i="45"/>
  <c r="CK32" i="45" s="1"/>
  <c r="CH31" i="45"/>
  <c r="CK31" i="45" s="1"/>
  <c r="CH30" i="45"/>
  <c r="CK30" i="45" s="1"/>
  <c r="CH29" i="45"/>
  <c r="CK29" i="45" s="1"/>
  <c r="CH28" i="45"/>
  <c r="CK28" i="45" s="1"/>
  <c r="CH27" i="45"/>
  <c r="CK27" i="45" s="1"/>
  <c r="CH26" i="45"/>
  <c r="CK26" i="45" s="1"/>
  <c r="CH24" i="45"/>
  <c r="CH23" i="45"/>
  <c r="CH18" i="45"/>
  <c r="CH9" i="45"/>
  <c r="CK9" i="45" s="1"/>
  <c r="Z85" i="46" a="1"/>
  <c r="CI67" i="45" l="1"/>
  <c r="CI61" i="45"/>
  <c r="CI68" i="45"/>
  <c r="CI69" i="45"/>
  <c r="CJ70" i="45"/>
  <c r="CI56" i="45"/>
  <c r="CJ73" i="45"/>
  <c r="CI58" i="45"/>
  <c r="CI66" i="45"/>
  <c r="CI59" i="45"/>
  <c r="CJ75" i="45"/>
  <c r="CJ77" i="45"/>
  <c r="CI62" i="45"/>
  <c r="CJ65" i="45"/>
  <c r="CI60" i="45"/>
  <c r="CI76" i="45"/>
  <c r="CJ74" i="45"/>
  <c r="CJ72" i="45"/>
  <c r="CI71" i="45"/>
  <c r="CI43" i="45"/>
  <c r="CI42" i="45"/>
  <c r="CJ40" i="45"/>
  <c r="CI46" i="45"/>
  <c r="CI47" i="45"/>
  <c r="Z85" i="46"/>
  <c r="CI48" i="45"/>
  <c r="CJ48" i="45"/>
  <c r="CJ46" i="45"/>
  <c r="CJ47" i="45"/>
  <c r="CJ56" i="45"/>
  <c r="CJ59" i="45"/>
  <c r="CJ60" i="45"/>
  <c r="CJ67" i="45"/>
  <c r="CJ68" i="45"/>
  <c r="CJ69" i="45"/>
  <c r="CI7" i="45"/>
  <c r="CJ7" i="45"/>
  <c r="CI57" i="45"/>
  <c r="CJ58" i="45"/>
  <c r="CJ57" i="45"/>
  <c r="CI77" i="45"/>
  <c r="CJ76" i="45"/>
  <c r="CI72" i="45"/>
  <c r="CI73" i="45"/>
  <c r="CI74" i="45"/>
  <c r="CI75" i="45"/>
  <c r="CJ71" i="45"/>
  <c r="CI70" i="45"/>
  <c r="CJ61" i="45"/>
  <c r="CJ66" i="45"/>
  <c r="CI63" i="45"/>
  <c r="CI64" i="45"/>
  <c r="CJ63" i="45"/>
  <c r="CI65" i="45"/>
  <c r="CI40" i="45"/>
  <c r="CI41" i="45"/>
  <c r="CJ39" i="45"/>
  <c r="CJ41" i="45"/>
  <c r="CI9" i="45"/>
  <c r="CJ9" i="45"/>
  <c r="CI55" i="45"/>
  <c r="CJ55" i="45"/>
  <c r="CJ64" i="45"/>
  <c r="CJ62" i="45"/>
  <c r="CJ42" i="45"/>
  <c r="CJ43" i="45"/>
  <c r="CI39" i="45"/>
  <c r="CH16" i="45"/>
  <c r="CH17" i="45"/>
  <c r="D34" i="16"/>
  <c r="E34" i="16"/>
  <c r="F34" i="16"/>
  <c r="G34" i="16"/>
  <c r="H34" i="16"/>
  <c r="I34" i="16"/>
  <c r="J34" i="16"/>
  <c r="K34" i="16"/>
  <c r="W34" i="16"/>
  <c r="Z34" i="16"/>
  <c r="AA34" i="16"/>
  <c r="AB34" i="16"/>
  <c r="AC34" i="16"/>
  <c r="AD34" i="16"/>
  <c r="AC49" i="16"/>
  <c r="P49" i="16" a="1"/>
  <c r="G49" i="16" a="1"/>
  <c r="H49" i="16" a="1"/>
  <c r="M49" i="16" a="1"/>
  <c r="L49" i="16" a="1"/>
  <c r="J49" i="16" a="1"/>
  <c r="O49" i="16" a="1"/>
  <c r="K49" i="16" a="1"/>
  <c r="N49" i="16" a="1"/>
  <c r="F49" i="16" a="1"/>
  <c r="AC85" i="46" a="1"/>
  <c r="I49" i="16" a="1"/>
  <c r="P49" i="16" l="1"/>
  <c r="O49" i="16"/>
  <c r="N49" i="16"/>
  <c r="M49" i="16"/>
  <c r="L49" i="16"/>
  <c r="AC85" i="46"/>
  <c r="K49" i="16"/>
  <c r="I49" i="16"/>
  <c r="H49" i="16"/>
  <c r="G49" i="16"/>
  <c r="J49" i="16"/>
  <c r="F49" i="16"/>
  <c r="R34" i="16" a="1"/>
  <c r="R34" i="16" l="1"/>
  <c r="X33" i="21" l="1"/>
  <c r="X32" i="21"/>
  <c r="X31" i="21"/>
  <c r="X30" i="21"/>
  <c r="D33" i="21" a="1"/>
  <c r="N33" i="21" a="1"/>
  <c r="J31" i="21" a="1"/>
  <c r="O31" i="21" a="1"/>
  <c r="N30" i="21" a="1"/>
  <c r="L31" i="21" a="1"/>
  <c r="G31" i="21" a="1"/>
  <c r="M33" i="21" a="1"/>
  <c r="N31" i="21" a="1"/>
  <c r="F33" i="21" a="1"/>
  <c r="H32" i="21" a="1"/>
  <c r="L32" i="21" a="1"/>
  <c r="E30" i="21" a="1"/>
  <c r="P32" i="21" a="1"/>
  <c r="E31" i="21" a="1"/>
  <c r="P30" i="21" a="1"/>
  <c r="M32" i="21" a="1"/>
  <c r="L30" i="21" a="1"/>
  <c r="M31" i="21" a="1"/>
  <c r="L33" i="21" a="1"/>
  <c r="M30" i="21" a="1"/>
  <c r="O33" i="21" a="1"/>
  <c r="D31" i="21" a="1"/>
  <c r="J30" i="21" a="1"/>
  <c r="O32" i="21" a="1"/>
  <c r="P31" i="21" a="1"/>
  <c r="N32" i="21" a="1"/>
  <c r="O30" i="21" a="1"/>
  <c r="K33" i="21" a="1"/>
  <c r="P33" i="21" a="1"/>
  <c r="K30" i="21" a="1"/>
  <c r="H30" i="21" a="1"/>
  <c r="J33" i="21" a="1"/>
  <c r="E33" i="21" a="1"/>
  <c r="F31" i="21" a="1"/>
  <c r="I30" i="21" a="1"/>
  <c r="G30" i="21" a="1"/>
  <c r="K31" i="21" a="1"/>
  <c r="P30" i="21" l="1"/>
  <c r="P32" i="21"/>
  <c r="P31" i="21"/>
  <c r="P33" i="21"/>
  <c r="O32" i="21"/>
  <c r="O30" i="21"/>
  <c r="O31" i="21"/>
  <c r="O33" i="21"/>
  <c r="N30" i="21"/>
  <c r="N31" i="21"/>
  <c r="N32" i="21"/>
  <c r="N33" i="21"/>
  <c r="M31" i="21"/>
  <c r="M32" i="21"/>
  <c r="M30" i="21"/>
  <c r="M33" i="21"/>
  <c r="L30" i="21"/>
  <c r="L31" i="21"/>
  <c r="L32" i="21"/>
  <c r="L33" i="21"/>
  <c r="H30" i="21"/>
  <c r="K33" i="21"/>
  <c r="I30" i="21"/>
  <c r="J30" i="21"/>
  <c r="D31" i="21"/>
  <c r="F31" i="21"/>
  <c r="H32" i="21"/>
  <c r="K30" i="21"/>
  <c r="E31" i="21"/>
  <c r="F33" i="21"/>
  <c r="E33" i="21"/>
  <c r="D33" i="21"/>
  <c r="G31" i="21"/>
  <c r="J31" i="21"/>
  <c r="E30" i="21"/>
  <c r="G30" i="21"/>
  <c r="K31" i="21"/>
  <c r="J33" i="21"/>
  <c r="J32" i="21" a="1"/>
  <c r="F32" i="21" a="1"/>
  <c r="I32" i="21" a="1"/>
  <c r="G32" i="21" a="1"/>
  <c r="D32" i="21" a="1"/>
  <c r="E32" i="21" a="1"/>
  <c r="H33" i="21" a="1"/>
  <c r="I31" i="21" a="1"/>
  <c r="D30" i="21" a="1"/>
  <c r="I33" i="21" a="1"/>
  <c r="F30" i="21" a="1"/>
  <c r="G33" i="21" a="1"/>
  <c r="H31" i="21" a="1"/>
  <c r="K32" i="21" a="1"/>
  <c r="F30" i="21" l="1"/>
  <c r="J32" i="21"/>
  <c r="F32" i="21"/>
  <c r="G32" i="21"/>
  <c r="D32" i="21"/>
  <c r="E32" i="21"/>
  <c r="D30" i="21"/>
  <c r="K32" i="21"/>
  <c r="H33" i="21"/>
  <c r="I31" i="21"/>
  <c r="G33" i="21"/>
  <c r="I33" i="21"/>
  <c r="H31" i="21"/>
  <c r="I32" i="21"/>
  <c r="W5" i="16" l="1"/>
  <c r="BI80" i="54" l="1"/>
  <c r="AT99" i="55"/>
  <c r="AS99" i="55"/>
  <c r="AR99" i="55"/>
  <c r="AQ99" i="55"/>
  <c r="AP99" i="55"/>
  <c r="AO99" i="55"/>
  <c r="AN99" i="55"/>
  <c r="AM99" i="55"/>
  <c r="AL99" i="55"/>
  <c r="AK99" i="55"/>
  <c r="AJ99" i="55"/>
  <c r="AT97" i="55"/>
  <c r="AT98" i="55" s="1"/>
  <c r="AT63" i="55" s="1"/>
  <c r="AS97" i="55"/>
  <c r="AS98" i="55" s="1"/>
  <c r="AR94" i="55"/>
  <c r="AR97" i="55" s="1"/>
  <c r="AR98" i="55" s="1"/>
  <c r="AQ94" i="55"/>
  <c r="AQ97" i="55" s="1"/>
  <c r="AP94" i="55"/>
  <c r="AP97" i="55" s="1"/>
  <c r="AO94" i="55"/>
  <c r="AO97" i="55" s="1"/>
  <c r="AN94" i="55"/>
  <c r="AN59" i="55" s="1"/>
  <c r="AM94" i="55"/>
  <c r="AM59" i="55" s="1"/>
  <c r="AL94" i="55"/>
  <c r="AL97" i="55" s="1"/>
  <c r="AK94" i="55"/>
  <c r="AK97" i="55" s="1"/>
  <c r="AJ94" i="55"/>
  <c r="AJ97" i="55" s="1"/>
  <c r="AI94" i="55"/>
  <c r="AS92" i="55"/>
  <c r="AR92" i="55"/>
  <c r="AQ92" i="55"/>
  <c r="AP92" i="55"/>
  <c r="AO92" i="55"/>
  <c r="AN92" i="55"/>
  <c r="AM92" i="55"/>
  <c r="AL92" i="55"/>
  <c r="AK92" i="55"/>
  <c r="AJ92" i="55"/>
  <c r="AS90" i="55"/>
  <c r="AR90" i="55"/>
  <c r="AQ90" i="55"/>
  <c r="AQ91" i="55" s="1"/>
  <c r="AP90" i="55"/>
  <c r="AO90" i="55"/>
  <c r="AN90" i="55"/>
  <c r="AM90" i="55"/>
  <c r="AL90" i="55"/>
  <c r="AK90" i="55"/>
  <c r="AK91" i="55" s="1"/>
  <c r="AJ90" i="55"/>
  <c r="AJ91" i="55" s="1"/>
  <c r="BN91" i="55" s="1"/>
  <c r="AI90" i="55"/>
  <c r="BN90" i="55" s="1"/>
  <c r="AS85" i="55"/>
  <c r="AR85" i="55"/>
  <c r="AQ85" i="55"/>
  <c r="AP85" i="55"/>
  <c r="AO85" i="55"/>
  <c r="AN85" i="55"/>
  <c r="AM85" i="55"/>
  <c r="AL85" i="55"/>
  <c r="AK85" i="55"/>
  <c r="AJ85" i="55"/>
  <c r="AM84" i="55"/>
  <c r="AS83" i="55"/>
  <c r="AR83" i="55"/>
  <c r="AQ83" i="55"/>
  <c r="AP83" i="55"/>
  <c r="AO83" i="55"/>
  <c r="AO84" i="55" s="1"/>
  <c r="AN83" i="55"/>
  <c r="AN84" i="55" s="1"/>
  <c r="AM83" i="55"/>
  <c r="AL83" i="55"/>
  <c r="AK83" i="55"/>
  <c r="AJ83" i="55"/>
  <c r="AI83" i="55"/>
  <c r="BN83" i="55" s="1"/>
  <c r="AS78" i="55"/>
  <c r="AR78" i="55"/>
  <c r="AQ78" i="55"/>
  <c r="AP78" i="55"/>
  <c r="AO78" i="55"/>
  <c r="AN78" i="55"/>
  <c r="AM78" i="55"/>
  <c r="AL78" i="55"/>
  <c r="AK78" i="55"/>
  <c r="AJ78" i="55"/>
  <c r="AS76" i="55"/>
  <c r="AS77" i="55" s="1"/>
  <c r="AR76" i="55"/>
  <c r="AQ76" i="55"/>
  <c r="AP76" i="55"/>
  <c r="AO76" i="55"/>
  <c r="AN76" i="55"/>
  <c r="AN77" i="55" s="1"/>
  <c r="AM76" i="55"/>
  <c r="AL76" i="55"/>
  <c r="AK76" i="55"/>
  <c r="AK77" i="55" s="1"/>
  <c r="AJ76" i="55"/>
  <c r="BN76" i="55" s="1"/>
  <c r="AI76" i="55"/>
  <c r="AS71" i="55"/>
  <c r="AR71" i="55"/>
  <c r="AQ71" i="55"/>
  <c r="AQ70" i="55" s="1"/>
  <c r="AP71" i="55"/>
  <c r="AO71" i="55"/>
  <c r="AN71" i="55"/>
  <c r="AN64" i="55" s="1"/>
  <c r="AM71" i="55"/>
  <c r="AL71" i="55"/>
  <c r="AK71" i="55"/>
  <c r="AK64" i="55" s="1"/>
  <c r="AJ71" i="55"/>
  <c r="AJ64" i="55" s="1"/>
  <c r="AS69" i="55"/>
  <c r="AS70" i="55" s="1"/>
  <c r="AR69" i="55"/>
  <c r="AQ69" i="55"/>
  <c r="AP69" i="55"/>
  <c r="AP70" i="55" s="1"/>
  <c r="AO69" i="55"/>
  <c r="AO70" i="55" s="1"/>
  <c r="AN69" i="55"/>
  <c r="AM69" i="55"/>
  <c r="AL69" i="55"/>
  <c r="AK69" i="55"/>
  <c r="AJ69" i="55"/>
  <c r="AJ62" i="55" s="1"/>
  <c r="AI69" i="55"/>
  <c r="AT64" i="55"/>
  <c r="AT62" i="55"/>
  <c r="AT61" i="55"/>
  <c r="AS61" i="55"/>
  <c r="AR61" i="55"/>
  <c r="AQ61" i="55"/>
  <c r="AP61" i="55"/>
  <c r="AO61" i="55"/>
  <c r="AN61" i="55"/>
  <c r="AM61" i="55"/>
  <c r="AL61" i="55"/>
  <c r="AK61" i="55"/>
  <c r="AJ61" i="55"/>
  <c r="AI61" i="55"/>
  <c r="AT60" i="55"/>
  <c r="AS60" i="55"/>
  <c r="AR60" i="55"/>
  <c r="AQ60" i="55"/>
  <c r="AP60" i="55"/>
  <c r="AO60" i="55"/>
  <c r="AN60" i="55"/>
  <c r="AM60" i="55"/>
  <c r="AL60" i="55"/>
  <c r="AK60" i="55"/>
  <c r="AJ60" i="55"/>
  <c r="AI60" i="55"/>
  <c r="AT59" i="55"/>
  <c r="AS59" i="55"/>
  <c r="AR59" i="55"/>
  <c r="AP59" i="55"/>
  <c r="AO59" i="55"/>
  <c r="AT58" i="55"/>
  <c r="AS58" i="55"/>
  <c r="AR58" i="55"/>
  <c r="AQ58" i="55"/>
  <c r="AP58" i="55"/>
  <c r="AO58" i="55"/>
  <c r="AN58" i="55"/>
  <c r="AM58" i="55"/>
  <c r="AL58" i="55"/>
  <c r="AK58" i="55"/>
  <c r="AJ58" i="55"/>
  <c r="AI58" i="55"/>
  <c r="AS57" i="55"/>
  <c r="AR57" i="55"/>
  <c r="AQ57" i="55"/>
  <c r="AP57" i="55"/>
  <c r="AO57" i="55"/>
  <c r="AN57" i="55"/>
  <c r="AM57" i="55"/>
  <c r="AL57" i="55"/>
  <c r="AK57" i="55"/>
  <c r="AJ57" i="55"/>
  <c r="AI57" i="55"/>
  <c r="BN57" i="55" s="1"/>
  <c r="AS55" i="55"/>
  <c r="AR55" i="55"/>
  <c r="AQ55" i="55"/>
  <c r="AP55" i="55"/>
  <c r="AO55" i="55"/>
  <c r="AO56" i="55" s="1"/>
  <c r="AN55" i="55"/>
  <c r="AM55" i="55"/>
  <c r="AM56" i="55" s="1"/>
  <c r="AL55" i="55"/>
  <c r="AK55" i="55"/>
  <c r="AJ55" i="55"/>
  <c r="AI55" i="55"/>
  <c r="AS50" i="55"/>
  <c r="AR50" i="55"/>
  <c r="AQ50" i="55"/>
  <c r="AP50" i="55"/>
  <c r="AO50" i="55"/>
  <c r="AN50" i="55"/>
  <c r="AM50" i="55"/>
  <c r="AL50" i="55"/>
  <c r="AK50" i="55"/>
  <c r="AJ50" i="55"/>
  <c r="BN50" i="55" s="1"/>
  <c r="AT48" i="55"/>
  <c r="AT20" i="55" s="1"/>
  <c r="AS48" i="55"/>
  <c r="AS49" i="55" s="1"/>
  <c r="AR48" i="55"/>
  <c r="AQ48" i="55"/>
  <c r="AP48" i="55"/>
  <c r="AO48" i="55"/>
  <c r="AN48" i="55"/>
  <c r="AM48" i="55"/>
  <c r="AL48" i="55"/>
  <c r="AK48" i="55"/>
  <c r="AJ48" i="55"/>
  <c r="AJ49" i="55" s="1"/>
  <c r="AI48" i="55"/>
  <c r="AS43" i="55"/>
  <c r="AR43" i="55"/>
  <c r="AQ43" i="55"/>
  <c r="AP43" i="55"/>
  <c r="AO43" i="55"/>
  <c r="AN43" i="55"/>
  <c r="AM43" i="55"/>
  <c r="AL43" i="55"/>
  <c r="AK43" i="55"/>
  <c r="AJ43" i="55"/>
  <c r="AI43" i="55"/>
  <c r="AS41" i="55"/>
  <c r="AR41" i="55"/>
  <c r="AQ41" i="55"/>
  <c r="AP41" i="55"/>
  <c r="AO41" i="55"/>
  <c r="AN41" i="55"/>
  <c r="AM41" i="55"/>
  <c r="AL41" i="55"/>
  <c r="AK41" i="55"/>
  <c r="AK42" i="55" s="1"/>
  <c r="AJ41" i="55"/>
  <c r="AI41" i="55"/>
  <c r="AS36" i="55"/>
  <c r="AR36" i="55"/>
  <c r="AQ36" i="55"/>
  <c r="AP36" i="55"/>
  <c r="AO36" i="55"/>
  <c r="AN36" i="55"/>
  <c r="AM36" i="55"/>
  <c r="AL36" i="55"/>
  <c r="AK36" i="55"/>
  <c r="AJ36" i="55"/>
  <c r="AI36" i="55"/>
  <c r="AS34" i="55"/>
  <c r="AS35" i="55" s="1"/>
  <c r="AR34" i="55"/>
  <c r="AQ34" i="55"/>
  <c r="AP34" i="55"/>
  <c r="AP35" i="55" s="1"/>
  <c r="AO34" i="55"/>
  <c r="AN34" i="55"/>
  <c r="AM34" i="55"/>
  <c r="BL34" i="55" s="1"/>
  <c r="AL34" i="55"/>
  <c r="AK34" i="55"/>
  <c r="AJ34" i="55"/>
  <c r="AI34" i="55"/>
  <c r="AT26" i="55"/>
  <c r="AT19" i="55" s="1"/>
  <c r="AS26" i="55"/>
  <c r="AS19" i="55" s="1"/>
  <c r="AS12" i="55" s="1"/>
  <c r="AR26" i="55"/>
  <c r="AR19" i="55" s="1"/>
  <c r="AQ26" i="55"/>
  <c r="AQ19" i="55" s="1"/>
  <c r="AQ12" i="55" s="1"/>
  <c r="AP26" i="55"/>
  <c r="AP19" i="55" s="1"/>
  <c r="AP12" i="55" s="1"/>
  <c r="AO26" i="55"/>
  <c r="AO19" i="55" s="1"/>
  <c r="AN26" i="55"/>
  <c r="AN19" i="55" s="1"/>
  <c r="AM26" i="55"/>
  <c r="AM19" i="55" s="1"/>
  <c r="AL26" i="55"/>
  <c r="AL19" i="55" s="1"/>
  <c r="AL12" i="55" s="1"/>
  <c r="AK26" i="55"/>
  <c r="AK19" i="55" s="1"/>
  <c r="AJ26" i="55"/>
  <c r="AI26" i="55"/>
  <c r="AI19" i="55" s="1"/>
  <c r="AI12" i="55" s="1"/>
  <c r="AT25" i="55"/>
  <c r="AS25" i="55"/>
  <c r="AS27" i="55" s="1"/>
  <c r="AR25" i="55"/>
  <c r="AR27" i="55" s="1"/>
  <c r="AQ25" i="55"/>
  <c r="AQ18" i="55" s="1"/>
  <c r="AQ11" i="55" s="1"/>
  <c r="AP25" i="55"/>
  <c r="AP27" i="55" s="1"/>
  <c r="AO25" i="55"/>
  <c r="AO27" i="55" s="1"/>
  <c r="AN25" i="55"/>
  <c r="AN27" i="55" s="1"/>
  <c r="AM25" i="55"/>
  <c r="AM27" i="55" s="1"/>
  <c r="AL25" i="55"/>
  <c r="AL27" i="55" s="1"/>
  <c r="AK25" i="55"/>
  <c r="AK27" i="55" s="1"/>
  <c r="AJ25" i="55"/>
  <c r="AJ27" i="55" s="1"/>
  <c r="AI25" i="55"/>
  <c r="AT23" i="55"/>
  <c r="AT29" i="55" s="1"/>
  <c r="AT22" i="55" s="1"/>
  <c r="AS23" i="55"/>
  <c r="AS16" i="55" s="1"/>
  <c r="AR23" i="55"/>
  <c r="AR16" i="55" s="1"/>
  <c r="AR9" i="55" s="1"/>
  <c r="AQ23" i="55"/>
  <c r="AQ29" i="55" s="1"/>
  <c r="AQ22" i="55" s="1"/>
  <c r="AP23" i="55"/>
  <c r="AO23" i="55"/>
  <c r="AN23" i="55"/>
  <c r="AM23" i="55"/>
  <c r="AM16" i="55" s="1"/>
  <c r="AM9" i="55" s="1"/>
  <c r="AL23" i="55"/>
  <c r="AL29" i="55" s="1"/>
  <c r="AK23" i="55"/>
  <c r="AJ23" i="55"/>
  <c r="AJ16" i="55" s="1"/>
  <c r="AI23" i="55"/>
  <c r="AI16" i="55" s="1"/>
  <c r="AJ19" i="55"/>
  <c r="AJ12" i="55" s="1"/>
  <c r="AT18" i="55"/>
  <c r="AS18" i="55"/>
  <c r="AR18" i="55"/>
  <c r="AR11" i="55" s="1"/>
  <c r="AT17" i="55"/>
  <c r="AT10" i="55" s="1"/>
  <c r="AS17" i="55"/>
  <c r="AS10" i="55" s="1"/>
  <c r="AR17" i="55"/>
  <c r="AQ17" i="55"/>
  <c r="AP17" i="55"/>
  <c r="AO17" i="55"/>
  <c r="AN17" i="55"/>
  <c r="AM17" i="55"/>
  <c r="AL17" i="55"/>
  <c r="AK17" i="55"/>
  <c r="AJ17" i="55"/>
  <c r="AI17" i="55"/>
  <c r="AT16" i="55"/>
  <c r="AT9" i="55" s="1"/>
  <c r="AP16" i="55"/>
  <c r="AO16" i="55"/>
  <c r="AO9" i="55" s="1"/>
  <c r="AN16" i="55"/>
  <c r="AN9" i="55" s="1"/>
  <c r="AP10" i="55"/>
  <c r="AX97" i="55"/>
  <c r="AW92" i="55"/>
  <c r="AX90" i="55"/>
  <c r="AX23" i="55"/>
  <c r="AX16" i="55" s="1"/>
  <c r="AW16" i="55"/>
  <c r="BN111" i="55"/>
  <c r="BN110" i="55"/>
  <c r="BN109" i="55"/>
  <c r="BN108" i="55"/>
  <c r="BN107" i="55"/>
  <c r="BL107" i="55"/>
  <c r="BN106" i="55"/>
  <c r="BM106" i="55"/>
  <c r="BL106" i="55"/>
  <c r="BN105" i="55"/>
  <c r="BM105" i="55"/>
  <c r="BL105" i="55"/>
  <c r="BN104" i="55"/>
  <c r="BM104" i="55"/>
  <c r="BL104" i="55"/>
  <c r="BN103" i="55"/>
  <c r="BM103" i="55"/>
  <c r="BL103" i="55"/>
  <c r="BN102" i="55"/>
  <c r="BM102" i="55"/>
  <c r="BL102" i="55"/>
  <c r="BN101" i="55"/>
  <c r="BM101" i="55"/>
  <c r="BL101" i="55"/>
  <c r="BN100" i="55"/>
  <c r="BM100" i="55"/>
  <c r="BL100" i="55"/>
  <c r="BN96" i="55"/>
  <c r="BL96" i="55"/>
  <c r="BN95" i="55"/>
  <c r="BL95" i="55"/>
  <c r="BN93" i="55"/>
  <c r="BL93" i="55"/>
  <c r="BL92" i="55"/>
  <c r="BN89" i="55"/>
  <c r="BL89" i="55"/>
  <c r="BN88" i="55"/>
  <c r="BL88" i="55"/>
  <c r="BN87" i="55"/>
  <c r="BL87" i="55"/>
  <c r="BN86" i="55"/>
  <c r="BL86" i="55"/>
  <c r="BL85" i="55"/>
  <c r="BN82" i="55"/>
  <c r="BL82" i="55"/>
  <c r="BN81" i="55"/>
  <c r="BL81" i="55"/>
  <c r="BN80" i="55"/>
  <c r="BL80" i="55"/>
  <c r="BN79" i="55"/>
  <c r="BL79" i="55"/>
  <c r="BL78" i="55"/>
  <c r="BL76" i="55"/>
  <c r="BN75" i="55"/>
  <c r="BL75" i="55"/>
  <c r="BN74" i="55"/>
  <c r="BL74" i="55"/>
  <c r="BN73" i="55"/>
  <c r="BL73" i="55"/>
  <c r="BN72" i="55"/>
  <c r="BL72" i="55"/>
  <c r="BN55" i="55"/>
  <c r="BL55" i="55"/>
  <c r="BL54" i="55"/>
  <c r="BN53" i="55"/>
  <c r="BL53" i="55"/>
  <c r="BN52" i="55"/>
  <c r="BL52" i="55"/>
  <c r="BN51" i="55"/>
  <c r="BL51" i="55"/>
  <c r="BL50" i="55"/>
  <c r="BN48" i="55"/>
  <c r="BL48" i="55"/>
  <c r="BN47" i="55"/>
  <c r="BL47" i="55"/>
  <c r="BN46" i="55"/>
  <c r="BL46" i="55"/>
  <c r="BL45" i="55"/>
  <c r="BN44" i="55"/>
  <c r="BL44" i="55"/>
  <c r="BN41" i="55"/>
  <c r="BL41" i="55"/>
  <c r="BN40" i="55"/>
  <c r="BL40" i="55"/>
  <c r="BN39" i="55"/>
  <c r="BL39" i="55"/>
  <c r="BN38" i="55"/>
  <c r="BL38" i="55"/>
  <c r="BN37" i="55"/>
  <c r="BL37" i="55"/>
  <c r="BN34" i="55"/>
  <c r="BN33" i="55"/>
  <c r="BL33" i="55"/>
  <c r="BN32" i="55"/>
  <c r="BL32" i="55"/>
  <c r="BN31" i="55"/>
  <c r="BL31" i="55"/>
  <c r="BN30" i="55"/>
  <c r="BL30" i="55"/>
  <c r="BN23" i="55"/>
  <c r="BI106" i="54"/>
  <c r="BI95" i="54"/>
  <c r="BI85" i="54"/>
  <c r="BI75" i="54"/>
  <c r="BI65" i="54"/>
  <c r="BI55" i="54"/>
  <c r="BI46" i="54"/>
  <c r="BI4" i="25"/>
  <c r="BN106" i="54"/>
  <c r="BN95" i="54"/>
  <c r="BN115" i="54"/>
  <c r="BN114" i="54"/>
  <c r="BN113" i="54"/>
  <c r="BN112" i="54"/>
  <c r="BN111" i="54"/>
  <c r="BN110" i="54"/>
  <c r="BN109" i="54"/>
  <c r="BN108" i="54"/>
  <c r="BN107" i="54"/>
  <c r="BN104" i="54"/>
  <c r="BN103" i="54"/>
  <c r="BN102" i="54"/>
  <c r="BN101" i="54"/>
  <c r="BN100" i="54"/>
  <c r="BN99" i="54"/>
  <c r="BN98" i="54"/>
  <c r="BN97" i="54"/>
  <c r="BN96" i="54"/>
  <c r="BN87" i="54"/>
  <c r="BN88" i="54"/>
  <c r="BN89" i="54"/>
  <c r="BN90" i="54"/>
  <c r="BN91" i="54"/>
  <c r="BN92" i="54"/>
  <c r="BN93" i="54"/>
  <c r="BN94" i="54"/>
  <c r="BN86" i="54"/>
  <c r="BN85" i="54"/>
  <c r="BN80" i="54"/>
  <c r="BN84" i="54"/>
  <c r="BN77" i="54"/>
  <c r="BN78" i="54"/>
  <c r="BN79" i="54"/>
  <c r="BN81" i="54"/>
  <c r="BN82" i="54"/>
  <c r="BN83" i="54"/>
  <c r="BN75" i="54"/>
  <c r="BN76" i="54"/>
  <c r="BN74" i="54"/>
  <c r="BN73" i="54"/>
  <c r="BN72" i="54"/>
  <c r="BN71" i="54"/>
  <c r="BN70" i="54"/>
  <c r="BN69" i="54"/>
  <c r="BN68" i="54"/>
  <c r="BN67" i="54"/>
  <c r="BN66" i="54"/>
  <c r="BN65" i="54"/>
  <c r="BN57" i="54"/>
  <c r="BN58" i="54"/>
  <c r="BN59" i="54"/>
  <c r="BN60" i="54"/>
  <c r="BN61" i="54"/>
  <c r="BN62" i="54"/>
  <c r="BN63" i="54"/>
  <c r="BN64" i="54"/>
  <c r="BN48" i="54"/>
  <c r="BN49" i="54"/>
  <c r="BN50" i="54"/>
  <c r="BN51" i="54"/>
  <c r="BN52" i="54"/>
  <c r="BN53" i="54"/>
  <c r="BN54" i="54"/>
  <c r="BN38" i="54"/>
  <c r="BN39" i="54"/>
  <c r="BN40" i="54"/>
  <c r="BN41" i="54"/>
  <c r="BN42" i="54"/>
  <c r="BN43" i="54"/>
  <c r="BN44" i="54"/>
  <c r="BN45" i="54"/>
  <c r="BN28" i="54"/>
  <c r="BN29" i="54"/>
  <c r="BN30" i="54"/>
  <c r="BN31" i="54"/>
  <c r="BN32" i="54"/>
  <c r="BN33" i="54"/>
  <c r="BN34" i="54"/>
  <c r="BN35" i="54"/>
  <c r="BN56" i="54"/>
  <c r="BN55" i="54"/>
  <c r="BN47" i="54"/>
  <c r="BN46" i="54"/>
  <c r="BN37" i="54"/>
  <c r="BN27" i="54"/>
  <c r="BN26" i="54"/>
  <c r="BN25" i="54"/>
  <c r="BN24" i="54"/>
  <c r="BN23" i="54"/>
  <c r="BN22" i="54"/>
  <c r="BN21" i="54"/>
  <c r="BN20" i="54"/>
  <c r="BN19" i="54"/>
  <c r="BN18" i="54"/>
  <c r="BN17" i="54"/>
  <c r="BN9" i="54"/>
  <c r="BN10" i="54"/>
  <c r="BN11" i="54"/>
  <c r="BN12" i="54"/>
  <c r="BN13" i="54"/>
  <c r="BN14" i="54"/>
  <c r="BN15" i="54"/>
  <c r="BN8" i="54"/>
  <c r="BL8" i="54"/>
  <c r="BL9" i="54"/>
  <c r="BL10" i="54"/>
  <c r="BL11" i="54"/>
  <c r="BL12" i="54"/>
  <c r="BL13" i="54"/>
  <c r="BL14" i="54"/>
  <c r="BL15" i="54"/>
  <c r="BL16" i="54"/>
  <c r="BL17" i="54"/>
  <c r="BL18" i="54"/>
  <c r="BL19" i="54"/>
  <c r="BL20" i="54"/>
  <c r="BL21" i="54"/>
  <c r="BL22" i="54"/>
  <c r="BL23" i="54"/>
  <c r="BL24" i="54"/>
  <c r="BL25" i="54"/>
  <c r="BL26" i="54"/>
  <c r="BL27" i="54"/>
  <c r="BL28" i="54"/>
  <c r="BL29" i="54"/>
  <c r="BL30" i="54"/>
  <c r="BL31" i="54"/>
  <c r="BL32" i="54"/>
  <c r="BL33" i="54"/>
  <c r="BL34" i="54"/>
  <c r="BL35" i="54"/>
  <c r="BL36" i="54"/>
  <c r="BL37" i="54"/>
  <c r="BL38" i="54"/>
  <c r="BL39" i="54"/>
  <c r="BL40" i="54"/>
  <c r="BL41" i="54"/>
  <c r="BL42" i="54"/>
  <c r="BL43" i="54"/>
  <c r="BL44" i="54"/>
  <c r="BL45" i="54"/>
  <c r="BL46" i="54"/>
  <c r="BL47" i="54"/>
  <c r="BL48" i="54"/>
  <c r="BL49" i="54"/>
  <c r="BL50" i="54"/>
  <c r="BL51" i="54"/>
  <c r="BL52" i="54"/>
  <c r="BL53" i="54"/>
  <c r="BL54" i="54"/>
  <c r="BL55" i="54"/>
  <c r="BL56" i="54"/>
  <c r="BL57" i="54"/>
  <c r="BL58" i="54"/>
  <c r="BL59" i="54"/>
  <c r="BL60" i="54"/>
  <c r="BL61" i="54"/>
  <c r="BL62" i="54"/>
  <c r="BL63" i="54"/>
  <c r="BL64" i="54"/>
  <c r="BL65" i="54"/>
  <c r="BL66" i="54"/>
  <c r="BL67" i="54"/>
  <c r="BL68" i="54"/>
  <c r="BL69" i="54"/>
  <c r="BL70" i="54"/>
  <c r="BL71" i="54"/>
  <c r="BL72" i="54"/>
  <c r="BL73" i="54"/>
  <c r="BL74" i="54"/>
  <c r="BL75" i="54"/>
  <c r="BL76" i="54"/>
  <c r="BL77" i="54"/>
  <c r="BL78" i="54"/>
  <c r="BL79" i="54"/>
  <c r="BL80" i="54"/>
  <c r="BL81" i="54"/>
  <c r="BL82" i="54"/>
  <c r="BL83" i="54"/>
  <c r="BL84" i="54"/>
  <c r="BL85" i="54"/>
  <c r="BL86" i="54"/>
  <c r="BL87" i="54"/>
  <c r="BL88" i="54"/>
  <c r="BL89" i="54"/>
  <c r="BL90" i="54"/>
  <c r="BL91" i="54"/>
  <c r="BL92" i="54"/>
  <c r="BL93" i="54"/>
  <c r="BL94" i="54"/>
  <c r="BL95" i="54"/>
  <c r="BL96" i="54"/>
  <c r="BL97" i="54"/>
  <c r="BL98" i="54"/>
  <c r="BL99" i="54"/>
  <c r="BL100" i="54"/>
  <c r="BL101" i="54"/>
  <c r="BL102" i="54"/>
  <c r="BL103" i="54"/>
  <c r="BL104" i="54"/>
  <c r="BL105" i="54"/>
  <c r="BL106" i="54"/>
  <c r="BL107" i="54"/>
  <c r="BL108" i="54"/>
  <c r="BL109" i="54"/>
  <c r="BL110" i="54"/>
  <c r="BL111" i="54"/>
  <c r="BN36" i="54"/>
  <c r="BI26" i="54"/>
  <c r="AV110" i="54"/>
  <c r="AU110" i="54"/>
  <c r="AV109" i="54"/>
  <c r="AU109" i="54"/>
  <c r="AV108" i="54"/>
  <c r="AU108" i="54"/>
  <c r="AV107" i="54"/>
  <c r="AU107" i="54"/>
  <c r="AV106" i="54"/>
  <c r="AU106" i="54"/>
  <c r="AV104" i="54"/>
  <c r="AU104" i="54"/>
  <c r="AV103" i="54"/>
  <c r="AU103" i="54"/>
  <c r="AV102" i="54"/>
  <c r="AU102" i="54"/>
  <c r="AV101" i="54"/>
  <c r="AU101" i="54"/>
  <c r="AV100" i="54"/>
  <c r="AU100" i="54"/>
  <c r="AV99" i="54"/>
  <c r="AU99" i="54"/>
  <c r="AV98" i="54"/>
  <c r="AU98" i="54"/>
  <c r="AV97" i="54"/>
  <c r="AU97" i="54"/>
  <c r="AV96" i="54"/>
  <c r="AU96" i="54"/>
  <c r="AV95" i="54"/>
  <c r="AU95" i="54"/>
  <c r="AV94" i="54"/>
  <c r="AU94" i="54"/>
  <c r="AV93" i="54"/>
  <c r="AV34" i="54" s="1"/>
  <c r="AU93" i="54"/>
  <c r="AU34" i="54" s="1"/>
  <c r="AV92" i="54"/>
  <c r="AU92" i="54"/>
  <c r="AV91" i="54"/>
  <c r="AU91" i="54"/>
  <c r="AV90" i="54"/>
  <c r="AU90" i="54"/>
  <c r="AV89" i="54"/>
  <c r="AU89" i="54"/>
  <c r="AV88" i="54"/>
  <c r="AU88" i="54"/>
  <c r="AV87" i="54"/>
  <c r="AU87" i="54"/>
  <c r="AV86" i="54"/>
  <c r="AU86" i="54"/>
  <c r="AV85" i="54"/>
  <c r="AU85" i="54"/>
  <c r="AV84" i="54"/>
  <c r="AU84" i="54"/>
  <c r="AV83" i="54"/>
  <c r="AU83" i="54"/>
  <c r="AV82" i="54"/>
  <c r="AU82" i="54"/>
  <c r="AV81" i="54"/>
  <c r="AU81" i="54"/>
  <c r="AV80" i="54"/>
  <c r="AU80" i="54"/>
  <c r="AV79" i="54"/>
  <c r="AU79" i="54"/>
  <c r="AV78" i="54"/>
  <c r="AU78" i="54"/>
  <c r="AV77" i="54"/>
  <c r="AU77" i="54"/>
  <c r="AV76" i="54"/>
  <c r="AU76" i="54"/>
  <c r="AV75" i="54"/>
  <c r="AU75" i="54"/>
  <c r="AV74" i="54"/>
  <c r="AU74" i="54"/>
  <c r="AV72" i="54"/>
  <c r="AU72" i="54"/>
  <c r="AV71" i="54"/>
  <c r="AU71" i="54"/>
  <c r="AV70" i="54"/>
  <c r="AU70" i="54"/>
  <c r="AV69" i="54"/>
  <c r="AU69" i="54"/>
  <c r="AU68" i="54"/>
  <c r="AU67" i="54"/>
  <c r="AU66" i="54"/>
  <c r="AV65" i="54"/>
  <c r="AU65" i="54"/>
  <c r="AW74" i="54" s="1"/>
  <c r="AV64" i="54"/>
  <c r="AU64" i="54"/>
  <c r="AV62" i="54"/>
  <c r="AU62" i="54"/>
  <c r="AV61" i="54"/>
  <c r="AU61" i="54"/>
  <c r="AV60" i="54"/>
  <c r="AU60" i="54"/>
  <c r="AV59" i="54"/>
  <c r="AU59" i="54"/>
  <c r="AV58" i="54"/>
  <c r="AU58" i="54"/>
  <c r="AV57" i="54"/>
  <c r="AU57" i="54"/>
  <c r="AV56" i="54"/>
  <c r="AU56" i="54"/>
  <c r="AV55" i="54"/>
  <c r="AU55" i="54"/>
  <c r="AW64" i="54" s="1"/>
  <c r="AV54" i="54"/>
  <c r="AU54" i="54"/>
  <c r="AV53" i="54"/>
  <c r="AU53" i="54"/>
  <c r="AV52" i="54"/>
  <c r="AU52" i="54"/>
  <c r="AV51" i="54"/>
  <c r="AU51" i="54"/>
  <c r="AV50" i="54"/>
  <c r="AU50" i="54"/>
  <c r="AV47" i="54"/>
  <c r="AU47" i="54"/>
  <c r="AV46" i="54"/>
  <c r="AU46" i="54"/>
  <c r="AV45" i="54"/>
  <c r="AU45" i="54"/>
  <c r="AV43" i="54"/>
  <c r="AU43" i="54"/>
  <c r="AV42" i="54"/>
  <c r="AU42" i="54"/>
  <c r="AV41" i="54"/>
  <c r="AU41" i="54"/>
  <c r="AV40" i="54"/>
  <c r="AU40" i="54"/>
  <c r="AV39" i="54"/>
  <c r="AU39" i="54"/>
  <c r="AV38" i="54"/>
  <c r="AU38" i="54"/>
  <c r="AV37" i="54"/>
  <c r="AU37" i="54"/>
  <c r="AV36" i="54"/>
  <c r="AU36" i="54"/>
  <c r="AV27" i="54"/>
  <c r="AU26" i="54"/>
  <c r="AV8" i="54"/>
  <c r="R32" i="21" a="1"/>
  <c r="R33" i="21" a="1"/>
  <c r="R31" i="21" a="1"/>
  <c r="R30" i="21" a="1"/>
  <c r="AV35" i="54" l="1"/>
  <c r="AW61" i="54"/>
  <c r="AW32" i="54" s="1"/>
  <c r="AW35" i="54"/>
  <c r="BQ35" i="54" s="1"/>
  <c r="AW71" i="54"/>
  <c r="AW22" i="54" s="1"/>
  <c r="AW13" i="54" s="1"/>
  <c r="AW25" i="54"/>
  <c r="BQ25" i="54" s="1"/>
  <c r="AV18" i="54"/>
  <c r="AV19" i="54"/>
  <c r="AR10" i="55"/>
  <c r="AN35" i="55"/>
  <c r="AQ59" i="55"/>
  <c r="AQ84" i="55"/>
  <c r="AQ10" i="55"/>
  <c r="AR70" i="55"/>
  <c r="AP9" i="55"/>
  <c r="AS11" i="55"/>
  <c r="AN12" i="55"/>
  <c r="AK49" i="55"/>
  <c r="AQ16" i="55"/>
  <c r="AQ9" i="55" s="1"/>
  <c r="AL91" i="55"/>
  <c r="AM91" i="55"/>
  <c r="BL91" i="55" s="1"/>
  <c r="AO42" i="55"/>
  <c r="AS56" i="55"/>
  <c r="AN91" i="55"/>
  <c r="AO91" i="55"/>
  <c r="AK29" i="55"/>
  <c r="AK22" i="55" s="1"/>
  <c r="AK15" i="55" s="1"/>
  <c r="AM77" i="55"/>
  <c r="AP91" i="55"/>
  <c r="AM35" i="55"/>
  <c r="AI35" i="55"/>
  <c r="BL35" i="55" s="1"/>
  <c r="AM49" i="55"/>
  <c r="AO77" i="55"/>
  <c r="AJ84" i="55"/>
  <c r="AP77" i="55"/>
  <c r="AK84" i="55"/>
  <c r="AO29" i="55"/>
  <c r="AO22" i="55" s="1"/>
  <c r="AI56" i="55"/>
  <c r="AL84" i="55"/>
  <c r="AL35" i="55"/>
  <c r="AR77" i="55"/>
  <c r="AP29" i="55"/>
  <c r="AP22" i="55" s="1"/>
  <c r="AJ35" i="55"/>
  <c r="BN35" i="55" s="1"/>
  <c r="AK35" i="55"/>
  <c r="AI42" i="55"/>
  <c r="AN49" i="55"/>
  <c r="AL77" i="55"/>
  <c r="AJ42" i="55"/>
  <c r="AO49" i="55"/>
  <c r="AO35" i="55"/>
  <c r="AQ77" i="55"/>
  <c r="AQ63" i="55" s="1"/>
  <c r="AO12" i="55"/>
  <c r="AJ98" i="55"/>
  <c r="AK98" i="55"/>
  <c r="AP56" i="55"/>
  <c r="AM70" i="55"/>
  <c r="AM63" i="55" s="1"/>
  <c r="AL98" i="55"/>
  <c r="AR12" i="55"/>
  <c r="AM42" i="55"/>
  <c r="AQ56" i="55"/>
  <c r="AP84" i="55"/>
  <c r="AP63" i="55" s="1"/>
  <c r="AP4" i="55" s="1"/>
  <c r="AM64" i="55"/>
  <c r="AR84" i="55"/>
  <c r="AP98" i="55"/>
  <c r="AN29" i="55"/>
  <c r="AN22" i="55" s="1"/>
  <c r="AJ56" i="55"/>
  <c r="AQ98" i="55"/>
  <c r="AO98" i="55"/>
  <c r="AO63" i="55" s="1"/>
  <c r="AO62" i="55"/>
  <c r="AR29" i="55"/>
  <c r="AR22" i="55" s="1"/>
  <c r="BL36" i="55"/>
  <c r="AN42" i="55"/>
  <c r="AM12" i="55"/>
  <c r="AP42" i="55"/>
  <c r="AR56" i="55"/>
  <c r="AQ42" i="55"/>
  <c r="AS84" i="55"/>
  <c r="AM10" i="55"/>
  <c r="AR42" i="55"/>
  <c r="AN10" i="55"/>
  <c r="AS42" i="55"/>
  <c r="AK62" i="55"/>
  <c r="AP64" i="55"/>
  <c r="AL49" i="55"/>
  <c r="AL62" i="55"/>
  <c r="AL22" i="55"/>
  <c r="BN43" i="55"/>
  <c r="AQ27" i="55"/>
  <c r="AQ28" i="55" s="1"/>
  <c r="AS9" i="55"/>
  <c r="AM97" i="55"/>
  <c r="AM98" i="55" s="1"/>
  <c r="AW29" i="55"/>
  <c r="AW22" i="55" s="1"/>
  <c r="AQ35" i="55"/>
  <c r="AP49" i="55"/>
  <c r="AP62" i="55"/>
  <c r="AN97" i="55"/>
  <c r="AN98" i="55" s="1"/>
  <c r="AX22" i="55"/>
  <c r="AR35" i="55"/>
  <c r="AL42" i="55"/>
  <c r="AQ49" i="55"/>
  <c r="AK56" i="55"/>
  <c r="AQ62" i="55"/>
  <c r="AQ64" i="55"/>
  <c r="AR49" i="55"/>
  <c r="AL56" i="55"/>
  <c r="AR62" i="55"/>
  <c r="AR64" i="55"/>
  <c r="AL64" i="55"/>
  <c r="AS64" i="55"/>
  <c r="AR91" i="55"/>
  <c r="AR63" i="55" s="1"/>
  <c r="AR4" i="55" s="1"/>
  <c r="AN56" i="55"/>
  <c r="AS91" i="55"/>
  <c r="AK12" i="55"/>
  <c r="AO64" i="55"/>
  <c r="AO15" i="55" s="1"/>
  <c r="AI97" i="55"/>
  <c r="AI62" i="55" s="1"/>
  <c r="AI59" i="55"/>
  <c r="BJ415" i="24"/>
  <c r="BJ480" i="24"/>
  <c r="BJ363" i="24"/>
  <c r="BM281" i="24"/>
  <c r="BJ281" i="24"/>
  <c r="BN281" i="24" s="1"/>
  <c r="BM233" i="24"/>
  <c r="BJ233" i="24"/>
  <c r="BN233" i="24" s="1"/>
  <c r="BJ200" i="24"/>
  <c r="BN200" i="24" s="1"/>
  <c r="BJ145" i="24"/>
  <c r="BN145" i="24" s="1"/>
  <c r="BJ64" i="24"/>
  <c r="BN64" i="24" s="1"/>
  <c r="BJ8" i="24"/>
  <c r="BN8" i="24" s="1"/>
  <c r="AV32" i="54"/>
  <c r="AV33" i="54"/>
  <c r="AU32" i="54"/>
  <c r="AU33" i="54"/>
  <c r="AU35" i="54"/>
  <c r="AU27" i="54"/>
  <c r="AV31" i="54"/>
  <c r="AU18" i="54"/>
  <c r="AU16" i="54"/>
  <c r="AU7" i="54" s="1"/>
  <c r="AV16" i="54"/>
  <c r="AV28" i="54"/>
  <c r="AV25" i="54"/>
  <c r="AV15" i="54" s="1"/>
  <c r="AV111" i="54"/>
  <c r="AU19" i="54"/>
  <c r="AU17" i="54"/>
  <c r="AV29" i="54"/>
  <c r="AV17" i="54"/>
  <c r="BN7" i="54"/>
  <c r="AV21" i="54"/>
  <c r="CC7" i="45"/>
  <c r="AU22" i="54"/>
  <c r="BI36" i="54"/>
  <c r="AU30" i="54"/>
  <c r="AV23" i="54"/>
  <c r="AV24" i="54"/>
  <c r="AU23" i="54"/>
  <c r="AU31" i="54"/>
  <c r="AU111" i="54"/>
  <c r="AU25" i="54"/>
  <c r="AV22" i="54"/>
  <c r="AU29" i="54"/>
  <c r="AV26" i="54"/>
  <c r="AV20" i="54"/>
  <c r="AV30" i="54"/>
  <c r="AU21" i="54"/>
  <c r="AU20" i="54"/>
  <c r="AU28" i="54"/>
  <c r="AU24" i="54"/>
  <c r="R30" i="21"/>
  <c r="R32" i="21"/>
  <c r="R33" i="21"/>
  <c r="R31" i="21"/>
  <c r="BL7" i="54"/>
  <c r="AQ15" i="55"/>
  <c r="BN97" i="55"/>
  <c r="BL97" i="55"/>
  <c r="AP15" i="55"/>
  <c r="BL77" i="55"/>
  <c r="AR15" i="55"/>
  <c r="AJ20" i="55"/>
  <c r="AJ13" i="55" s="1"/>
  <c r="AL28" i="55"/>
  <c r="AL20" i="55"/>
  <c r="AL13" i="55" s="1"/>
  <c r="BN56" i="55"/>
  <c r="BL56" i="55"/>
  <c r="AK28" i="55"/>
  <c r="AK21" i="55" s="1"/>
  <c r="AK20" i="55"/>
  <c r="AI9" i="55"/>
  <c r="BL16" i="55"/>
  <c r="AM20" i="55"/>
  <c r="BN16" i="55"/>
  <c r="AJ9" i="55"/>
  <c r="AN20" i="55"/>
  <c r="AN28" i="55"/>
  <c r="AO28" i="55"/>
  <c r="AO21" i="55" s="1"/>
  <c r="AO20" i="55"/>
  <c r="AO13" i="55" s="1"/>
  <c r="AN15" i="55"/>
  <c r="AP20" i="55"/>
  <c r="AP28" i="55"/>
  <c r="AK16" i="55"/>
  <c r="AK9" i="55" s="1"/>
  <c r="AM29" i="55"/>
  <c r="AM22" i="55" s="1"/>
  <c r="AM15" i="55" s="1"/>
  <c r="AT49" i="55"/>
  <c r="AT21" i="55" s="1"/>
  <c r="AN70" i="55"/>
  <c r="AN63" i="55" s="1"/>
  <c r="BL23" i="55"/>
  <c r="AO10" i="55"/>
  <c r="AL16" i="55"/>
  <c r="AL9" i="55" s="1"/>
  <c r="BL57" i="55"/>
  <c r="AI18" i="55"/>
  <c r="AQ20" i="55"/>
  <c r="AQ13" i="55" s="1"/>
  <c r="AI27" i="55"/>
  <c r="AS29" i="55"/>
  <c r="AS22" i="55" s="1"/>
  <c r="AS15" i="55" s="1"/>
  <c r="AS62" i="55"/>
  <c r="BL42" i="55"/>
  <c r="BL94" i="55"/>
  <c r="AJ18" i="55"/>
  <c r="AJ11" i="55" s="1"/>
  <c r="AR20" i="55"/>
  <c r="AR13" i="55" s="1"/>
  <c r="BN94" i="55"/>
  <c r="AK18" i="55"/>
  <c r="AS20" i="55"/>
  <c r="BL43" i="55"/>
  <c r="AL18" i="55"/>
  <c r="AJ59" i="55"/>
  <c r="AJ10" i="55" s="1"/>
  <c r="AM18" i="55"/>
  <c r="AM11" i="55" s="1"/>
  <c r="AK59" i="55"/>
  <c r="AK10" i="55" s="1"/>
  <c r="AN18" i="55"/>
  <c r="AL59" i="55"/>
  <c r="AL10" i="55" s="1"/>
  <c r="AO18" i="55"/>
  <c r="AO11" i="55" s="1"/>
  <c r="AI29" i="55"/>
  <c r="AI22" i="55" s="1"/>
  <c r="AJ70" i="55"/>
  <c r="AJ63" i="55" s="1"/>
  <c r="AP18" i="55"/>
  <c r="AJ29" i="55"/>
  <c r="AJ22" i="55" s="1"/>
  <c r="AJ15" i="55" s="1"/>
  <c r="AK70" i="55"/>
  <c r="AK63" i="55" s="1"/>
  <c r="AK4" i="55" s="1"/>
  <c r="AJ77" i="55"/>
  <c r="BL83" i="55"/>
  <c r="BL90" i="55"/>
  <c r="AL70" i="55"/>
  <c r="AL63" i="55" s="1"/>
  <c r="AL4" i="55" s="1"/>
  <c r="BN49" i="55"/>
  <c r="BL49" i="55"/>
  <c r="W85" i="46" a="1"/>
  <c r="AV9" i="54" l="1"/>
  <c r="AW15" i="54"/>
  <c r="BQ15" i="54" s="1"/>
  <c r="AV12" i="54"/>
  <c r="AU14" i="54"/>
  <c r="AV14" i="54"/>
  <c r="AU13" i="54"/>
  <c r="AU15" i="54"/>
  <c r="AV13" i="54"/>
  <c r="AW20" i="55"/>
  <c r="AL21" i="55"/>
  <c r="AN21" i="55"/>
  <c r="BN42" i="55"/>
  <c r="BL29" i="55"/>
  <c r="AS13" i="55"/>
  <c r="AM62" i="55"/>
  <c r="AQ4" i="55"/>
  <c r="AK13" i="55"/>
  <c r="AS63" i="55"/>
  <c r="AS4" i="55" s="1"/>
  <c r="AN62" i="55"/>
  <c r="AN13" i="55" s="1"/>
  <c r="AL15" i="55"/>
  <c r="AQ21" i="55"/>
  <c r="AO14" i="55"/>
  <c r="AO6" i="55" s="1"/>
  <c r="AL14" i="55"/>
  <c r="AN14" i="55"/>
  <c r="AK14" i="55"/>
  <c r="AR28" i="55"/>
  <c r="AR21" i="55" s="1"/>
  <c r="AR5" i="55" s="1"/>
  <c r="AP21" i="55"/>
  <c r="AP5" i="55" s="1"/>
  <c r="AO4" i="55"/>
  <c r="AP13" i="55"/>
  <c r="AU11" i="54"/>
  <c r="AV7" i="54"/>
  <c r="AU8" i="54"/>
  <c r="AU9" i="54"/>
  <c r="AU10" i="54"/>
  <c r="BI16" i="54"/>
  <c r="AU12" i="54"/>
  <c r="AV10" i="54"/>
  <c r="BN16" i="54"/>
  <c r="AV11" i="54"/>
  <c r="W85" i="46"/>
  <c r="AK5" i="55"/>
  <c r="AK11" i="55"/>
  <c r="AM4" i="55"/>
  <c r="AN5" i="55"/>
  <c r="AN11" i="55"/>
  <c r="AJ28" i="55"/>
  <c r="AJ21" i="55" s="1"/>
  <c r="AJ14" i="55" s="1"/>
  <c r="AJ6" i="55" s="1"/>
  <c r="BN22" i="55"/>
  <c r="BN29" i="55"/>
  <c r="AI10" i="55"/>
  <c r="AO5" i="55"/>
  <c r="AS28" i="55"/>
  <c r="AS21" i="55" s="1"/>
  <c r="BL84" i="55"/>
  <c r="AP14" i="55"/>
  <c r="AM28" i="55"/>
  <c r="AM21" i="55" s="1"/>
  <c r="AJ4" i="55"/>
  <c r="AI20" i="55"/>
  <c r="AI28" i="55"/>
  <c r="AI21" i="55" s="1"/>
  <c r="AI5" i="55" s="1"/>
  <c r="AL5" i="55"/>
  <c r="AL11" i="55"/>
  <c r="AI11" i="55"/>
  <c r="AP11" i="55"/>
  <c r="BL98" i="55"/>
  <c r="BL22" i="55"/>
  <c r="AL6" i="55"/>
  <c r="AU4" i="54" l="1"/>
  <c r="AV4" i="54"/>
  <c r="AN6" i="55"/>
  <c r="AP6" i="55"/>
  <c r="AK6" i="55"/>
  <c r="AM13" i="55"/>
  <c r="AN4" i="55"/>
  <c r="AQ14" i="55"/>
  <c r="AQ6" i="55" s="1"/>
  <c r="AQ5" i="55"/>
  <c r="AR14" i="55"/>
  <c r="AR6" i="55" s="1"/>
  <c r="AM14" i="55"/>
  <c r="AM5" i="55"/>
  <c r="AM6" i="55"/>
  <c r="AS5" i="55"/>
  <c r="AS14" i="55"/>
  <c r="AS6" i="55" s="1"/>
  <c r="AI13" i="55"/>
  <c r="AJ5" i="55"/>
  <c r="AU101" i="34" l="1"/>
  <c r="AZ101" i="34" s="1"/>
  <c r="AU100" i="34"/>
  <c r="AZ100" i="34" s="1"/>
  <c r="AU99" i="34"/>
  <c r="AZ99" i="34" s="1"/>
  <c r="AU98" i="34"/>
  <c r="AZ98" i="34" s="1"/>
  <c r="P98" i="34"/>
  <c r="AU85" i="34"/>
  <c r="AZ85" i="34" s="1"/>
  <c r="AU84" i="34"/>
  <c r="AZ84" i="34" s="1"/>
  <c r="AU83" i="34"/>
  <c r="AZ83" i="34" s="1"/>
  <c r="AU82" i="34"/>
  <c r="AZ82" i="34" s="1"/>
  <c r="P82" i="34"/>
  <c r="AU81" i="34"/>
  <c r="AZ81" i="34" s="1"/>
  <c r="AU80" i="34"/>
  <c r="AU79" i="34"/>
  <c r="AZ79" i="34" s="1"/>
  <c r="AU78" i="34"/>
  <c r="AZ78" i="34" s="1"/>
  <c r="P78" i="34"/>
  <c r="AU75" i="34"/>
  <c r="AZ75" i="34" s="1"/>
  <c r="AU74" i="34"/>
  <c r="AZ74" i="34" s="1"/>
  <c r="P74" i="34"/>
  <c r="AU73" i="34"/>
  <c r="AZ73" i="34" s="1"/>
  <c r="AU72" i="34"/>
  <c r="AZ72" i="34" s="1"/>
  <c r="P72" i="34"/>
  <c r="AU71" i="34"/>
  <c r="AZ71" i="34" s="1"/>
  <c r="AU70" i="34"/>
  <c r="AZ70" i="34" s="1"/>
  <c r="P70" i="34"/>
  <c r="AU69" i="34"/>
  <c r="AZ69" i="34" s="1"/>
  <c r="AU68" i="34"/>
  <c r="AZ68" i="34" s="1"/>
  <c r="P68" i="34"/>
  <c r="AU67" i="34"/>
  <c r="AZ67" i="34" s="1"/>
  <c r="AU66" i="34"/>
  <c r="AZ66" i="34" s="1"/>
  <c r="P66" i="34"/>
  <c r="AU65" i="34"/>
  <c r="AZ65" i="34" s="1"/>
  <c r="Q65" i="34"/>
  <c r="AU64" i="34"/>
  <c r="AZ64" i="34" s="1"/>
  <c r="Q64" i="34"/>
  <c r="AU63" i="34"/>
  <c r="AZ63" i="34" s="1"/>
  <c r="Q63" i="34"/>
  <c r="AU62" i="34"/>
  <c r="AZ62" i="34" s="1"/>
  <c r="Q62" i="34"/>
  <c r="AY74" i="34" l="1"/>
  <c r="AY65" i="34"/>
  <c r="AY80" i="34"/>
  <c r="AY67" i="34"/>
  <c r="AY83" i="34"/>
  <c r="AY64" i="34"/>
  <c r="AY66" i="34"/>
  <c r="AY81" i="34"/>
  <c r="AY98" i="34"/>
  <c r="AY75" i="34"/>
  <c r="AY68" i="34"/>
  <c r="AY99" i="34"/>
  <c r="AY79" i="34"/>
  <c r="AY82" i="34"/>
  <c r="AY84" i="34"/>
  <c r="AY72" i="34"/>
  <c r="AY100" i="34"/>
  <c r="AY78" i="34"/>
  <c r="AY69" i="34"/>
  <c r="AY70" i="34"/>
  <c r="AY71" i="34"/>
  <c r="AY62" i="34"/>
  <c r="AY85" i="34"/>
  <c r="AY63" i="34"/>
  <c r="AY73" i="34"/>
  <c r="AY101" i="34"/>
  <c r="AU77" i="34"/>
  <c r="AZ77" i="34" s="1"/>
  <c r="AU76" i="34"/>
  <c r="AZ76" i="34" s="1"/>
  <c r="AY77" i="34" l="1"/>
  <c r="AY76" i="34"/>
  <c r="AI18" i="56"/>
  <c r="AI14" i="56" s="1"/>
  <c r="AI13" i="56"/>
  <c r="AI9" i="56"/>
  <c r="AI4" i="56"/>
  <c r="AI5" i="56" s="1"/>
  <c r="AW9" i="32" l="1"/>
  <c r="AF52" i="36"/>
  <c r="AE52" i="36"/>
  <c r="AF51" i="36"/>
  <c r="AE51" i="36"/>
  <c r="AF50" i="36"/>
  <c r="AE50" i="36"/>
  <c r="AF49" i="36"/>
  <c r="AE49" i="36"/>
  <c r="AF48" i="36"/>
  <c r="AE48" i="36"/>
  <c r="AF47" i="36"/>
  <c r="AE47" i="36"/>
  <c r="AF46" i="36"/>
  <c r="AE46" i="36"/>
  <c r="AF45" i="36"/>
  <c r="AE45" i="36"/>
  <c r="AF44" i="36"/>
  <c r="AE44" i="36"/>
  <c r="AF43" i="36"/>
  <c r="AE43" i="36"/>
  <c r="AF42" i="36"/>
  <c r="AE42" i="36"/>
  <c r="AF41" i="36"/>
  <c r="AE41" i="36"/>
  <c r="AW28" i="43" l="1"/>
  <c r="AU5" i="43"/>
  <c r="AG29" i="43"/>
  <c r="AG16" i="43"/>
  <c r="AG20" i="43" s="1"/>
  <c r="AG10" i="43"/>
  <c r="AG5" i="43"/>
  <c r="AW61" i="53" l="1"/>
  <c r="AW9" i="53"/>
  <c r="AY61" i="22" l="1"/>
  <c r="AY62" i="22"/>
  <c r="AY63" i="22"/>
  <c r="AY64" i="22"/>
  <c r="AY65" i="22"/>
  <c r="AY66" i="22"/>
  <c r="AY67" i="22"/>
  <c r="AY68" i="22"/>
  <c r="AY69" i="22"/>
  <c r="AY70" i="22"/>
  <c r="AY71" i="22"/>
  <c r="AY72" i="22"/>
  <c r="AY73" i="22"/>
  <c r="AY74" i="22"/>
  <c r="AY75" i="22"/>
  <c r="AY76" i="22"/>
  <c r="AY77" i="22"/>
  <c r="AY78" i="22"/>
  <c r="AY60" i="22"/>
  <c r="BN13" i="22" l="1"/>
  <c r="AT49" i="36"/>
  <c r="AY49" i="36" s="1"/>
  <c r="AU49" i="36"/>
  <c r="AT50" i="36"/>
  <c r="AY50" i="36" s="1"/>
  <c r="AU50" i="36"/>
  <c r="AX50" i="36" s="1"/>
  <c r="AT51" i="36"/>
  <c r="AY51" i="36" s="1"/>
  <c r="AU51" i="36"/>
  <c r="AT52" i="36"/>
  <c r="AY52" i="36" s="1"/>
  <c r="AU52" i="36"/>
  <c r="AW52" i="36"/>
  <c r="AW51" i="36"/>
  <c r="AW50" i="36"/>
  <c r="AW49" i="36"/>
  <c r="AW4" i="36"/>
  <c r="V32" i="21" a="1"/>
  <c r="V30" i="21" a="1"/>
  <c r="T33" i="21" a="1"/>
  <c r="W31" i="21" a="1"/>
  <c r="S32" i="21" a="1"/>
  <c r="T31" i="21" a="1"/>
  <c r="V31" i="21" a="1"/>
  <c r="T30" i="21" a="1"/>
  <c r="S31" i="21" a="1"/>
  <c r="S33" i="21" a="1"/>
  <c r="S30" i="21" a="1"/>
  <c r="V33" i="21" a="1"/>
  <c r="T32" i="21" a="1"/>
  <c r="W31" i="21" l="1"/>
  <c r="V32" i="21"/>
  <c r="T32" i="21"/>
  <c r="V31" i="21"/>
  <c r="T33" i="21"/>
  <c r="V33" i="21"/>
  <c r="V30" i="21"/>
  <c r="T30" i="21"/>
  <c r="T31" i="21"/>
  <c r="AX52" i="36"/>
  <c r="AX49" i="36"/>
  <c r="AX51" i="36"/>
  <c r="S31" i="21"/>
  <c r="S33" i="21"/>
  <c r="S30" i="21"/>
  <c r="S32" i="21"/>
  <c r="AR30" i="43"/>
  <c r="AR31" i="43"/>
  <c r="AR32" i="43"/>
  <c r="AR33" i="43"/>
  <c r="BI13" i="25"/>
  <c r="BL6" i="25"/>
  <c r="AT50" i="25"/>
  <c r="U32" i="21" a="1"/>
  <c r="U31" i="16" a="1"/>
  <c r="W30" i="21" a="1"/>
  <c r="W32" i="21" a="1"/>
  <c r="W33" i="21" a="1"/>
  <c r="U49" i="16" a="1"/>
  <c r="U30" i="21" a="1"/>
  <c r="Z49" i="16" a="1"/>
  <c r="U34" i="16" a="1"/>
  <c r="U31" i="21" a="1"/>
  <c r="U33" i="21" a="1"/>
  <c r="U30" i="21" l="1"/>
  <c r="U31" i="21"/>
  <c r="W32" i="21"/>
  <c r="W30" i="21"/>
  <c r="W33" i="21"/>
  <c r="U33" i="21"/>
  <c r="U32" i="21"/>
  <c r="U31" i="16"/>
  <c r="Z49" i="16"/>
  <c r="U49" i="16"/>
  <c r="U34" i="16"/>
  <c r="AD77" i="15" l="1"/>
  <c r="AD78" i="15"/>
  <c r="AD79" i="15"/>
  <c r="AD80" i="15"/>
  <c r="AD81" i="15"/>
  <c r="AD82" i="15"/>
  <c r="AD83" i="15"/>
  <c r="AD84" i="15"/>
  <c r="AD85" i="15"/>
  <c r="AD86" i="15"/>
  <c r="AD87" i="15"/>
  <c r="AD88" i="15"/>
  <c r="AD76" i="15"/>
  <c r="AD52" i="15"/>
  <c r="AD53" i="15"/>
  <c r="AD55" i="15"/>
  <c r="AD56" i="15"/>
  <c r="AD51" i="15"/>
  <c r="AD50" i="15"/>
  <c r="AD60" i="15"/>
  <c r="AD61" i="15"/>
  <c r="AD62" i="15"/>
  <c r="AD63" i="15"/>
  <c r="AD64" i="15"/>
  <c r="AD65" i="15"/>
  <c r="AD66" i="15"/>
  <c r="AD67" i="15"/>
  <c r="AD68" i="15"/>
  <c r="AD69" i="15"/>
  <c r="AD70" i="15"/>
  <c r="AD71" i="15"/>
  <c r="AD72" i="15"/>
  <c r="AD73" i="15"/>
  <c r="AD74" i="15"/>
  <c r="AD75" i="15"/>
  <c r="AD59" i="15"/>
  <c r="AD58" i="15"/>
  <c r="R76" i="15" a="1"/>
  <c r="R65" i="15" a="1"/>
  <c r="R50" i="15" a="1"/>
  <c r="R50" i="15" l="1"/>
  <c r="R65" i="15"/>
  <c r="R76" i="15"/>
  <c r="AU5" i="25" l="1"/>
  <c r="AU6" i="25"/>
  <c r="AU7" i="25"/>
  <c r="AU8" i="25"/>
  <c r="AU9" i="25"/>
  <c r="AU10" i="25"/>
  <c r="AU11" i="25"/>
  <c r="AU12" i="25"/>
  <c r="AU13" i="25"/>
  <c r="AU14" i="25"/>
  <c r="AU15" i="25"/>
  <c r="AU16" i="25"/>
  <c r="AU17" i="25"/>
  <c r="AU18" i="25"/>
  <c r="AU19" i="25"/>
  <c r="AU20" i="25"/>
  <c r="AU21" i="25"/>
  <c r="AU22" i="25"/>
  <c r="AU23" i="25"/>
  <c r="AU24" i="25"/>
  <c r="AU27" i="25"/>
  <c r="AU28" i="25"/>
  <c r="AU29" i="25"/>
  <c r="AU30" i="25"/>
  <c r="AU31" i="25"/>
  <c r="AU32" i="25"/>
  <c r="AU33" i="25"/>
  <c r="AU34" i="25"/>
  <c r="AU35" i="25"/>
  <c r="AU36" i="25"/>
  <c r="AU37" i="25"/>
  <c r="AU38" i="25"/>
  <c r="AC7" i="15"/>
  <c r="AC6" i="15"/>
  <c r="AU67" i="55"/>
  <c r="AU68" i="55"/>
  <c r="M7" i="15" a="1"/>
  <c r="O6" i="15" a="1"/>
  <c r="P7" i="15" a="1"/>
  <c r="N6" i="15" a="1"/>
  <c r="P6" i="15" a="1"/>
  <c r="L6" i="15" a="1"/>
  <c r="I7" i="15" a="1"/>
  <c r="H7" i="15" a="1"/>
  <c r="R52" i="15" a="1"/>
  <c r="M6" i="15" a="1"/>
  <c r="O7" i="15" a="1"/>
  <c r="N7" i="15" a="1"/>
  <c r="L7" i="15" a="1"/>
  <c r="P6" i="15" l="1"/>
  <c r="P7" i="15"/>
  <c r="O7" i="15"/>
  <c r="O6" i="15"/>
  <c r="N7" i="15"/>
  <c r="N6" i="15"/>
  <c r="M6" i="15"/>
  <c r="M7" i="15"/>
  <c r="L6" i="15"/>
  <c r="L7" i="15"/>
  <c r="I7" i="15"/>
  <c r="H7" i="15"/>
  <c r="BJ24" i="54"/>
  <c r="R52" i="15"/>
  <c r="Q7" i="15" a="1"/>
  <c r="Q7" i="15" l="1"/>
  <c r="BJ34" i="54"/>
  <c r="AG40" i="54"/>
  <c r="AV87" i="55" l="1"/>
  <c r="AV88" i="55"/>
  <c r="AV89" i="55"/>
  <c r="AV92" i="55"/>
  <c r="AU87" i="55"/>
  <c r="AU88" i="55"/>
  <c r="AU89" i="55"/>
  <c r="AU92" i="55"/>
  <c r="AV86" i="55"/>
  <c r="AU86" i="55"/>
  <c r="AX92" i="55" s="1"/>
  <c r="AC76" i="15"/>
  <c r="M76" i="15" a="1"/>
  <c r="N76" i="15" a="1"/>
  <c r="Z75" i="15" a="1"/>
  <c r="O76" i="15" a="1"/>
  <c r="L76" i="15" a="1"/>
  <c r="P76" i="15" a="1"/>
  <c r="P76" i="15" l="1"/>
  <c r="O76" i="15"/>
  <c r="N76" i="15"/>
  <c r="M76" i="15"/>
  <c r="L76" i="15"/>
  <c r="AV90" i="55"/>
  <c r="AU90" i="55"/>
  <c r="AU91" i="55"/>
  <c r="Z75" i="15"/>
  <c r="BJ5" i="25"/>
  <c r="BM5" i="25" s="1"/>
  <c r="BJ6" i="25"/>
  <c r="BJ7" i="25"/>
  <c r="BJ8" i="25"/>
  <c r="BJ9" i="25"/>
  <c r="BM9" i="25" s="1"/>
  <c r="BJ10" i="25"/>
  <c r="BJ11" i="25"/>
  <c r="BJ12" i="25"/>
  <c r="BJ13" i="25"/>
  <c r="BJ14" i="25"/>
  <c r="BJ15" i="25"/>
  <c r="BJ16" i="25"/>
  <c r="BJ17" i="25"/>
  <c r="BJ18" i="25"/>
  <c r="BJ19" i="25"/>
  <c r="BJ20" i="25"/>
  <c r="BJ21" i="25"/>
  <c r="BJ22" i="25"/>
  <c r="BJ23" i="25"/>
  <c r="BJ24" i="25"/>
  <c r="BJ25" i="25"/>
  <c r="BJ26" i="25"/>
  <c r="BJ27" i="25"/>
  <c r="BJ28" i="25"/>
  <c r="BJ29" i="25"/>
  <c r="BJ30" i="25"/>
  <c r="BJ31" i="25"/>
  <c r="BJ32" i="25"/>
  <c r="BJ34" i="25"/>
  <c r="BJ35" i="25"/>
  <c r="BJ36" i="25"/>
  <c r="BJ37" i="25"/>
  <c r="BJ38" i="25"/>
  <c r="BI5" i="25"/>
  <c r="BN5" i="25" s="1"/>
  <c r="Q76" i="15" a="1"/>
  <c r="Q76" i="15" l="1"/>
  <c r="AV91" i="55"/>
  <c r="AV46" i="55"/>
  <c r="AV47" i="55"/>
  <c r="AU47" i="55"/>
  <c r="AU46" i="55"/>
  <c r="AV45" i="55"/>
  <c r="AU45" i="55"/>
  <c r="AV44" i="55"/>
  <c r="AU44" i="55"/>
  <c r="BA34" i="45"/>
  <c r="AZ34" i="45"/>
  <c r="AY34" i="45"/>
  <c r="AX34" i="45"/>
  <c r="AW34" i="45"/>
  <c r="AV34" i="45"/>
  <c r="AU34" i="45"/>
  <c r="AT34" i="45"/>
  <c r="AS34" i="45"/>
  <c r="AR34" i="45"/>
  <c r="AQ34" i="45"/>
  <c r="BD34" i="45"/>
  <c r="BE34" i="45"/>
  <c r="BF34" i="45"/>
  <c r="BG34" i="45"/>
  <c r="BM34" i="45"/>
  <c r="BN34" i="45"/>
  <c r="BO34" i="45"/>
  <c r="BJ54" i="54"/>
  <c r="CK34" i="45" l="1"/>
  <c r="AU49" i="55"/>
  <c r="AV49" i="55"/>
  <c r="AV48" i="55"/>
  <c r="AU48" i="55"/>
  <c r="AV50" i="55"/>
  <c r="AU50" i="55"/>
  <c r="AU157" i="22" l="1"/>
  <c r="AQ159" i="46" l="1"/>
  <c r="AQ157" i="46"/>
  <c r="AQ156" i="46"/>
  <c r="AQ155" i="46"/>
  <c r="AQ154" i="46"/>
  <c r="AQ153" i="46"/>
  <c r="AP152" i="46"/>
  <c r="AO152" i="46"/>
  <c r="AN152" i="46"/>
  <c r="AM152" i="46"/>
  <c r="AL152" i="46"/>
  <c r="AK152" i="46"/>
  <c r="AJ152" i="46"/>
  <c r="AI152" i="46"/>
  <c r="AH152" i="46"/>
  <c r="AG152" i="46"/>
  <c r="AF152" i="46"/>
  <c r="AE152" i="46"/>
  <c r="AQ151" i="46"/>
  <c r="AQ150" i="46"/>
  <c r="AQ149" i="46"/>
  <c r="AQ148" i="46"/>
  <c r="AP147" i="46"/>
  <c r="AO147" i="46"/>
  <c r="AN147" i="46"/>
  <c r="AM147" i="46"/>
  <c r="AL147" i="46"/>
  <c r="AK147" i="46"/>
  <c r="AJ147" i="46"/>
  <c r="AI147" i="46"/>
  <c r="AH147" i="46"/>
  <c r="AG147" i="46"/>
  <c r="AF147" i="46"/>
  <c r="AF158" i="46" s="1"/>
  <c r="AE147" i="46"/>
  <c r="H153" i="46" a="1"/>
  <c r="Y149" i="46" a="1"/>
  <c r="Z157" i="46" a="1"/>
  <c r="Y157" i="46" a="1"/>
  <c r="Z148" i="46" a="1"/>
  <c r="BI151" i="46" a="1"/>
  <c r="BG159" i="46" a="1"/>
  <c r="BI147" i="46" a="1"/>
  <c r="BG157" i="46" a="1"/>
  <c r="BK156" i="46" a="1"/>
  <c r="K152" i="46" a="1"/>
  <c r="BJ151" i="46" a="1"/>
  <c r="BH159" i="46" a="1"/>
  <c r="Y154" i="46" a="1"/>
  <c r="BJ150" i="46" a="1"/>
  <c r="BK151" i="46" a="1"/>
  <c r="BJ157" i="46" a="1"/>
  <c r="M152" i="46" a="1"/>
  <c r="BH149" i="46" a="1"/>
  <c r="M147" i="46" a="1"/>
  <c r="K159" i="46" a="1"/>
  <c r="BJ148" i="46" a="1"/>
  <c r="BH154" i="46" a="1"/>
  <c r="BJ149" i="46" a="1"/>
  <c r="I147" i="46" a="1"/>
  <c r="BJ155" i="46" a="1"/>
  <c r="K153" i="46" a="1"/>
  <c r="Y147" i="46" a="1"/>
  <c r="H156" i="46" a="1"/>
  <c r="H157" i="46" a="1"/>
  <c r="BG151" i="46" a="1"/>
  <c r="BH148" i="46" a="1"/>
  <c r="I159" i="46" a="1"/>
  <c r="I148" i="46" a="1"/>
  <c r="I157" i="46" a="1"/>
  <c r="J152" i="46" a="1"/>
  <c r="K158" i="46" a="1"/>
  <c r="J158" i="46" a="1"/>
  <c r="H150" i="46" a="1"/>
  <c r="BI154" i="46" a="1"/>
  <c r="BH152" i="46" a="1"/>
  <c r="K147" i="46" a="1"/>
  <c r="K155" i="46" a="1"/>
  <c r="BH158" i="46" a="1"/>
  <c r="Y152" i="46" a="1"/>
  <c r="M156" i="46" a="1"/>
  <c r="BH157" i="46" a="1"/>
  <c r="H151" i="46" a="1"/>
  <c r="J157" i="46" a="1"/>
  <c r="BI156" i="46" a="1"/>
  <c r="Y156" i="46" a="1"/>
  <c r="BK152" i="46" a="1"/>
  <c r="Y148" i="46" a="1"/>
  <c r="Z156" i="46" a="1"/>
  <c r="BK150" i="46" a="1"/>
  <c r="BK155" i="46" a="1"/>
  <c r="J150" i="46" a="1"/>
  <c r="BK153" i="46" a="1"/>
  <c r="BJ159" i="46" a="1"/>
  <c r="K156" i="46" a="1"/>
  <c r="H155" i="46" a="1"/>
  <c r="BJ154" i="46" a="1"/>
  <c r="H148" i="46" a="1"/>
  <c r="J153" i="46" a="1"/>
  <c r="Z159" i="46" a="1"/>
  <c r="BI159" i="46" a="1"/>
  <c r="BI157" i="46" a="1"/>
  <c r="BI155" i="46" a="1"/>
  <c r="Y150" i="46" a="1"/>
  <c r="BG149" i="46" a="1"/>
  <c r="I150" i="46" a="1"/>
  <c r="J147" i="46" a="1"/>
  <c r="K151" i="46" a="1"/>
  <c r="BG150" i="46" a="1"/>
  <c r="M148" i="46" a="1"/>
  <c r="J159" i="46" a="1"/>
  <c r="BI152" i="46" a="1"/>
  <c r="BK148" i="46" a="1"/>
  <c r="Y159" i="46" a="1"/>
  <c r="J155" i="46" a="1"/>
  <c r="BJ147" i="46" a="1"/>
  <c r="M158" i="46" a="1"/>
  <c r="I149" i="46" a="1"/>
  <c r="K154" i="46" a="1"/>
  <c r="BK147" i="46" a="1"/>
  <c r="BG148" i="46" a="1"/>
  <c r="M159" i="46" a="1"/>
  <c r="M155" i="46" a="1"/>
  <c r="H154" i="46" a="1"/>
  <c r="Y155" i="46" a="1"/>
  <c r="H159" i="46" a="1"/>
  <c r="BG147" i="46" a="1"/>
  <c r="M153" i="46" a="1"/>
  <c r="BJ152" i="46" a="1"/>
  <c r="BH147" i="46" a="1"/>
  <c r="BH153" i="46" a="1"/>
  <c r="BK158" i="46" a="1"/>
  <c r="Y158" i="46" a="1"/>
  <c r="BI148" i="46" a="1"/>
  <c r="K149" i="46" a="1"/>
  <c r="I156" i="46" a="1"/>
  <c r="BH156" i="46" a="1"/>
  <c r="I151" i="46" a="1"/>
  <c r="BJ153" i="46" a="1"/>
  <c r="I155" i="46" a="1"/>
  <c r="BG154" i="46" a="1"/>
  <c r="I154" i="46" a="1"/>
  <c r="BG153" i="46" a="1"/>
  <c r="BI153" i="46" a="1"/>
  <c r="J149" i="46" a="1"/>
  <c r="J151" i="46" a="1"/>
  <c r="I153" i="46" a="1"/>
  <c r="BI158" i="46" a="1"/>
  <c r="J156" i="46" a="1"/>
  <c r="BI150" i="46" a="1"/>
  <c r="M150" i="46" a="1"/>
  <c r="I152" i="46" a="1"/>
  <c r="K150" i="46" a="1"/>
  <c r="BG152" i="46" a="1"/>
  <c r="H149" i="46" a="1"/>
  <c r="M151" i="46" a="1"/>
  <c r="BH150" i="46" a="1"/>
  <c r="BG158" i="46" a="1"/>
  <c r="Y153" i="46" a="1"/>
  <c r="BK159" i="46" a="1"/>
  <c r="BH155" i="46" a="1"/>
  <c r="J148" i="46" a="1"/>
  <c r="BG155" i="46" a="1"/>
  <c r="Z155" i="46" a="1"/>
  <c r="BK149" i="46" a="1"/>
  <c r="M154" i="46" a="1"/>
  <c r="K157" i="46" a="1"/>
  <c r="K148" i="46" a="1"/>
  <c r="M149" i="46" a="1"/>
  <c r="BG156" i="46" a="1"/>
  <c r="BK157" i="46" a="1"/>
  <c r="BK154" i="46" a="1"/>
  <c r="BH151" i="46" a="1"/>
  <c r="BI149" i="46" a="1"/>
  <c r="I158" i="46" a="1"/>
  <c r="BJ156" i="46" a="1"/>
  <c r="J154" i="46" a="1"/>
  <c r="M157" i="46" a="1"/>
  <c r="Y151" i="46" a="1"/>
  <c r="BJ158" i="46" a="1"/>
  <c r="AO158" i="46" l="1"/>
  <c r="AJ158" i="46"/>
  <c r="AK158" i="46"/>
  <c r="AI158" i="46"/>
  <c r="AL158" i="46"/>
  <c r="AH158" i="46"/>
  <c r="AP158" i="46"/>
  <c r="AG158" i="46"/>
  <c r="AM158" i="46"/>
  <c r="AN158" i="46"/>
  <c r="AQ152" i="46"/>
  <c r="AQ147" i="46"/>
  <c r="AE158" i="46"/>
  <c r="J148" i="46"/>
  <c r="I150" i="46"/>
  <c r="Y152" i="46"/>
  <c r="I154" i="46"/>
  <c r="H156" i="46"/>
  <c r="Y156" i="46"/>
  <c r="BK157" i="46"/>
  <c r="I147" i="46"/>
  <c r="J149" i="46"/>
  <c r="I151" i="46"/>
  <c r="J153" i="46"/>
  <c r="I155" i="46"/>
  <c r="Z155" i="46"/>
  <c r="H157" i="46"/>
  <c r="Y157" i="46"/>
  <c r="I159" i="46"/>
  <c r="Z159" i="46"/>
  <c r="BG147" i="46"/>
  <c r="K148" i="46"/>
  <c r="J150" i="46"/>
  <c r="I152" i="46"/>
  <c r="J154" i="46"/>
  <c r="I156" i="46"/>
  <c r="Z156" i="46"/>
  <c r="Y158" i="46"/>
  <c r="J147" i="46"/>
  <c r="BG148" i="46"/>
  <c r="K149" i="46"/>
  <c r="J151" i="46"/>
  <c r="BG152" i="46"/>
  <c r="K153" i="46"/>
  <c r="J155" i="46"/>
  <c r="I157" i="46"/>
  <c r="Z157" i="46"/>
  <c r="BH147" i="46"/>
  <c r="BG149" i="46"/>
  <c r="K150" i="46"/>
  <c r="J152" i="46"/>
  <c r="BG153" i="46"/>
  <c r="K154" i="46"/>
  <c r="J156" i="46"/>
  <c r="I158" i="46"/>
  <c r="J159" i="46"/>
  <c r="K147" i="46"/>
  <c r="BH148" i="46"/>
  <c r="BG150" i="46"/>
  <c r="K151" i="46"/>
  <c r="BH152" i="46"/>
  <c r="BG154" i="46"/>
  <c r="K155" i="46"/>
  <c r="J157" i="46"/>
  <c r="BG158" i="46"/>
  <c r="K159" i="46"/>
  <c r="BI147" i="46"/>
  <c r="M148" i="46"/>
  <c r="BH149" i="46"/>
  <c r="BG151" i="46"/>
  <c r="K152" i="46"/>
  <c r="BH153" i="46"/>
  <c r="BG155" i="46"/>
  <c r="K156" i="46"/>
  <c r="J158" i="46"/>
  <c r="BI148" i="46"/>
  <c r="M149" i="46"/>
  <c r="BH150" i="46"/>
  <c r="BI152" i="46"/>
  <c r="M153" i="46"/>
  <c r="BH154" i="46"/>
  <c r="BG156" i="46"/>
  <c r="K157" i="46"/>
  <c r="BH158" i="46"/>
  <c r="BJ147" i="46"/>
  <c r="BI149" i="46"/>
  <c r="M150" i="46"/>
  <c r="BH151" i="46"/>
  <c r="BI153" i="46"/>
  <c r="M154" i="46"/>
  <c r="BH155" i="46"/>
  <c r="BG157" i="46"/>
  <c r="K158" i="46"/>
  <c r="BH159" i="46"/>
  <c r="BG159" i="46"/>
  <c r="M147" i="46"/>
  <c r="BJ148" i="46"/>
  <c r="BI150" i="46"/>
  <c r="M151" i="46"/>
  <c r="BJ152" i="46"/>
  <c r="BI154" i="46"/>
  <c r="M155" i="46"/>
  <c r="BH156" i="46"/>
  <c r="BK147" i="46"/>
  <c r="BJ149" i="46"/>
  <c r="BI151" i="46"/>
  <c r="M152" i="46"/>
  <c r="BJ153" i="46"/>
  <c r="BI155" i="46"/>
  <c r="M156" i="46"/>
  <c r="BH157" i="46"/>
  <c r="BI159" i="46"/>
  <c r="BK148" i="46"/>
  <c r="BJ150" i="46"/>
  <c r="BK152" i="46"/>
  <c r="BJ154" i="46"/>
  <c r="BI156" i="46"/>
  <c r="M157" i="46"/>
  <c r="BJ158" i="46"/>
  <c r="H148" i="46"/>
  <c r="Y148" i="46"/>
  <c r="BK149" i="46"/>
  <c r="BJ151" i="46"/>
  <c r="BK153" i="46"/>
  <c r="BJ155" i="46"/>
  <c r="BI157" i="46"/>
  <c r="M158" i="46"/>
  <c r="BJ159" i="46"/>
  <c r="BI158" i="46"/>
  <c r="H149" i="46"/>
  <c r="Y149" i="46"/>
  <c r="BK150" i="46"/>
  <c r="H153" i="46"/>
  <c r="Y153" i="46"/>
  <c r="BK154" i="46"/>
  <c r="BJ156" i="46"/>
  <c r="BK158" i="46"/>
  <c r="I148" i="46"/>
  <c r="Z148" i="46"/>
  <c r="H150" i="46"/>
  <c r="Y150" i="46"/>
  <c r="BK151" i="46"/>
  <c r="H154" i="46"/>
  <c r="Y154" i="46"/>
  <c r="BK155" i="46"/>
  <c r="BJ157" i="46"/>
  <c r="BK159" i="46"/>
  <c r="M159" i="46"/>
  <c r="Y147" i="46"/>
  <c r="I149" i="46"/>
  <c r="H151" i="46"/>
  <c r="Y151" i="46"/>
  <c r="I153" i="46"/>
  <c r="H155" i="46"/>
  <c r="Y155" i="46"/>
  <c r="BK156" i="46"/>
  <c r="H159" i="46"/>
  <c r="Y159" i="46"/>
  <c r="AQ158" i="46" l="1"/>
  <c r="CC5" i="45"/>
  <c r="CF83" i="45" l="1"/>
  <c r="I5" i="46" a="1"/>
  <c r="K5" i="46" a="1"/>
  <c r="J5" i="46" a="1"/>
  <c r="L5" i="46" a="1"/>
  <c r="M5" i="46" a="1"/>
  <c r="H5" i="46" a="1"/>
  <c r="H5" i="46" l="1"/>
  <c r="M5" i="46"/>
  <c r="K5" i="46"/>
  <c r="J5" i="46"/>
  <c r="I5" i="46"/>
  <c r="L5" i="46"/>
  <c r="BQ37" i="45" l="1"/>
  <c r="BQ6" i="45" l="1"/>
  <c r="CH6" i="45" s="1"/>
  <c r="Z7" i="46" a="1"/>
  <c r="Z7" i="46" l="1"/>
  <c r="CI6" i="45"/>
  <c r="CJ6" i="45"/>
  <c r="BQ8" i="45"/>
  <c r="CH8" i="45" s="1"/>
  <c r="BQ12" i="45"/>
  <c r="BQ151" i="45"/>
  <c r="BQ146" i="45"/>
  <c r="BQ138" i="45"/>
  <c r="DC138" i="45" s="1"/>
  <c r="BQ133" i="45"/>
  <c r="DC133" i="45" s="1"/>
  <c r="BQ119" i="45"/>
  <c r="CH119" i="45" s="1"/>
  <c r="BQ116" i="45"/>
  <c r="CH116" i="45" s="1"/>
  <c r="BQ112" i="45"/>
  <c r="CH112" i="45" s="1"/>
  <c r="BQ103" i="45"/>
  <c r="H147" i="46" a="1"/>
  <c r="H152" i="46" a="1"/>
  <c r="CI8" i="45" l="1"/>
  <c r="H152" i="46"/>
  <c r="CH138" i="45"/>
  <c r="CH133" i="45"/>
  <c r="BQ144" i="45"/>
  <c r="CH103" i="45"/>
  <c r="CH91" i="45"/>
  <c r="H147" i="46"/>
  <c r="CH146" i="45"/>
  <c r="CK146" i="45" s="1"/>
  <c r="BQ157" i="45"/>
  <c r="BQ83" i="45" s="1"/>
  <c r="CH83" i="45" s="1"/>
  <c r="CK83" i="45" s="1"/>
  <c r="BQ172" i="45"/>
  <c r="BQ10" i="45"/>
  <c r="BQ115" i="45"/>
  <c r="CH115" i="45" s="1"/>
  <c r="BQ98" i="45"/>
  <c r="BQ108" i="45" s="1"/>
  <c r="BQ80" i="45" s="1"/>
  <c r="H158" i="46" a="1"/>
  <c r="Z147" i="46" a="1"/>
  <c r="BQ82" i="45" l="1"/>
  <c r="CH82" i="45" s="1"/>
  <c r="DC144" i="45"/>
  <c r="BQ126" i="45"/>
  <c r="CH80" i="45"/>
  <c r="CH144" i="45"/>
  <c r="CH98" i="45"/>
  <c r="H158" i="46"/>
  <c r="Z147" i="46"/>
  <c r="CH157" i="45"/>
  <c r="CK157" i="45" s="1"/>
  <c r="Z158" i="46" a="1"/>
  <c r="BQ81" i="45" l="1"/>
  <c r="CH126" i="45"/>
  <c r="Z158" i="46"/>
  <c r="CH44" i="45"/>
  <c r="BQ50" i="45"/>
  <c r="BQ45" i="45" l="1"/>
  <c r="BQ49" i="45" s="1"/>
  <c r="CH49" i="45" s="1"/>
  <c r="BQ5" i="45"/>
  <c r="CH5" i="45" s="1"/>
  <c r="CH81" i="45"/>
  <c r="CI44" i="45"/>
  <c r="CJ44" i="45"/>
  <c r="AC41" i="16"/>
  <c r="AC35" i="16"/>
  <c r="CK49" i="45" l="1"/>
  <c r="CI49" i="45"/>
  <c r="CJ49" i="45"/>
  <c r="BQ79" i="45"/>
  <c r="AC29" i="16"/>
  <c r="U35" i="16" a="1"/>
  <c r="U29" i="16" a="1"/>
  <c r="U30" i="16" a="1"/>
  <c r="U32" i="16" a="1"/>
  <c r="U33" i="16" a="1"/>
  <c r="U41" i="16" a="1"/>
  <c r="CH79" i="45" l="1"/>
  <c r="CK79" i="45" s="1"/>
  <c r="BQ89" i="45"/>
  <c r="CH89" i="45" s="1"/>
  <c r="CI5" i="45"/>
  <c r="CJ5" i="45"/>
  <c r="U30" i="16"/>
  <c r="U32" i="16"/>
  <c r="U33" i="16"/>
  <c r="U35" i="16"/>
  <c r="U41" i="16"/>
  <c r="U29" i="16"/>
  <c r="CJ79" i="45" l="1"/>
  <c r="CI79" i="45"/>
  <c r="AC77" i="15"/>
  <c r="AC78" i="15"/>
  <c r="AC79" i="15"/>
  <c r="AC80" i="15"/>
  <c r="AC81" i="15"/>
  <c r="AC82" i="15"/>
  <c r="AC83" i="15"/>
  <c r="AC84" i="15"/>
  <c r="AC85" i="15"/>
  <c r="AC86" i="15"/>
  <c r="AC87" i="15"/>
  <c r="AC88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59" i="15"/>
  <c r="AC52" i="15"/>
  <c r="AC53" i="15"/>
  <c r="AC55" i="15"/>
  <c r="AC56" i="15"/>
  <c r="AC51" i="15"/>
  <c r="AC50" i="15"/>
  <c r="M62" i="15" a="1"/>
  <c r="N78" i="15" a="1"/>
  <c r="L60" i="15" a="1"/>
  <c r="L84" i="15" a="1"/>
  <c r="N79" i="15" a="1"/>
  <c r="M87" i="15" a="1"/>
  <c r="O60" i="15" a="1"/>
  <c r="N83" i="15" a="1"/>
  <c r="P51" i="15" a="1"/>
  <c r="L53" i="15" a="1"/>
  <c r="N64" i="15" a="1"/>
  <c r="M53" i="15" a="1"/>
  <c r="P70" i="15" a="1"/>
  <c r="O81" i="15" a="1"/>
  <c r="P53" i="15" a="1"/>
  <c r="M77" i="15" a="1"/>
  <c r="O66" i="15" a="1"/>
  <c r="L61" i="15" a="1"/>
  <c r="O68" i="15" a="1"/>
  <c r="L72" i="15" a="1"/>
  <c r="M73" i="15" a="1"/>
  <c r="O70" i="15" a="1"/>
  <c r="P77" i="15" a="1"/>
  <c r="L63" i="15" a="1"/>
  <c r="N59" i="15" a="1"/>
  <c r="O59" i="15" a="1"/>
  <c r="O86" i="15" a="1"/>
  <c r="P84" i="15" a="1"/>
  <c r="P73" i="15" a="1"/>
  <c r="N88" i="15" a="1"/>
  <c r="M86" i="15" a="1"/>
  <c r="O62" i="15" a="1"/>
  <c r="L70" i="15" a="1"/>
  <c r="L67" i="15" a="1"/>
  <c r="N84" i="15" a="1"/>
  <c r="P55" i="15" a="1"/>
  <c r="M84" i="15" a="1"/>
  <c r="L66" i="15" a="1"/>
  <c r="P65" i="15" a="1"/>
  <c r="N51" i="15" a="1"/>
  <c r="N60" i="15" a="1"/>
  <c r="O56" i="15" a="1"/>
  <c r="N61" i="15" a="1"/>
  <c r="L69" i="15" a="1"/>
  <c r="O63" i="15" a="1"/>
  <c r="N72" i="15" a="1"/>
  <c r="M81" i="15" a="1"/>
  <c r="O64" i="15" a="1"/>
  <c r="M67" i="15" a="1"/>
  <c r="N69" i="15" a="1"/>
  <c r="N81" i="15" a="1"/>
  <c r="P67" i="15" a="1"/>
  <c r="P62" i="15" a="1"/>
  <c r="N53" i="15" a="1"/>
  <c r="P68" i="15" a="1"/>
  <c r="M85" i="15" a="1"/>
  <c r="L51" i="15" a="1"/>
  <c r="M56" i="15" a="1"/>
  <c r="Z54" i="15" a="1"/>
  <c r="P78" i="15" a="1"/>
  <c r="N52" i="15" a="1"/>
  <c r="L85" i="15" a="1"/>
  <c r="L80" i="15" a="1"/>
  <c r="M55" i="15" a="1"/>
  <c r="O53" i="15" a="1"/>
  <c r="M64" i="15" a="1"/>
  <c r="P86" i="15" a="1"/>
  <c r="L62" i="15" a="1"/>
  <c r="O88" i="15" a="1"/>
  <c r="N70" i="15" a="1"/>
  <c r="O67" i="15" a="1"/>
  <c r="N86" i="15" a="1"/>
  <c r="O50" i="15" a="1"/>
  <c r="P61" i="15" a="1"/>
  <c r="M51" i="15" a="1"/>
  <c r="M65" i="15" a="1"/>
  <c r="L55" i="15" a="1"/>
  <c r="L83" i="15" a="1"/>
  <c r="O80" i="15" a="1"/>
  <c r="M68" i="15" a="1"/>
  <c r="M59" i="15" a="1"/>
  <c r="L81" i="15" a="1"/>
  <c r="M88" i="15" a="1"/>
  <c r="O85" i="15" a="1"/>
  <c r="P52" i="15" a="1"/>
  <c r="P88" i="15" a="1"/>
  <c r="O55" i="15" a="1"/>
  <c r="M71" i="15" a="1"/>
  <c r="P50" i="15" a="1"/>
  <c r="M50" i="15" a="1"/>
  <c r="L65" i="15" a="1"/>
  <c r="N67" i="15" a="1"/>
  <c r="N65" i="15" a="1"/>
  <c r="P56" i="15" a="1"/>
  <c r="P63" i="15" a="1"/>
  <c r="M70" i="15" a="1"/>
  <c r="O77" i="15" a="1"/>
  <c r="O71" i="15" a="1"/>
  <c r="P64" i="15" a="1"/>
  <c r="M72" i="15" a="1"/>
  <c r="L79" i="15" a="1"/>
  <c r="L73" i="15" a="1"/>
  <c r="P81" i="15" a="1"/>
  <c r="O87" i="15" a="1"/>
  <c r="P66" i="15" a="1"/>
  <c r="L64" i="15" a="1"/>
  <c r="F60" i="15" a="1"/>
  <c r="P59" i="15" a="1"/>
  <c r="N73" i="15" a="1"/>
  <c r="L77" i="15" a="1"/>
  <c r="M66" i="15" a="1"/>
  <c r="N71" i="15" a="1"/>
  <c r="L52" i="15" a="1"/>
  <c r="O84" i="15" a="1"/>
  <c r="P87" i="15" a="1"/>
  <c r="P83" i="15" a="1"/>
  <c r="M69" i="15" a="1"/>
  <c r="O78" i="15" a="1"/>
  <c r="N62" i="15" a="1"/>
  <c r="P69" i="15" a="1"/>
  <c r="M78" i="15" a="1"/>
  <c r="L50" i="15" a="1"/>
  <c r="L87" i="15" a="1"/>
  <c r="O52" i="15" a="1"/>
  <c r="N55" i="15" a="1"/>
  <c r="L88" i="15" a="1"/>
  <c r="M61" i="15" a="1"/>
  <c r="L86" i="15" a="1"/>
  <c r="M52" i="15" a="1"/>
  <c r="O83" i="15" a="1"/>
  <c r="P72" i="15" a="1"/>
  <c r="N63" i="15" a="1"/>
  <c r="P79" i="15" a="1"/>
  <c r="L71" i="15" a="1"/>
  <c r="O79" i="15" a="1"/>
  <c r="M79" i="15" a="1"/>
  <c r="N56" i="15" a="1"/>
  <c r="O51" i="15" a="1"/>
  <c r="N68" i="15" a="1"/>
  <c r="P71" i="15" a="1"/>
  <c r="N66" i="15" a="1"/>
  <c r="O61" i="15" a="1"/>
  <c r="N85" i="15" a="1"/>
  <c r="P60" i="15" a="1"/>
  <c r="L78" i="15" a="1"/>
  <c r="O72" i="15" a="1"/>
  <c r="L68" i="15" a="1"/>
  <c r="N77" i="15" a="1"/>
  <c r="M60" i="15" a="1"/>
  <c r="N87" i="15" a="1"/>
  <c r="M63" i="15" a="1"/>
  <c r="M80" i="15" a="1"/>
  <c r="L56" i="15" a="1"/>
  <c r="N50" i="15" a="1"/>
  <c r="O73" i="15" a="1"/>
  <c r="M83" i="15" a="1"/>
  <c r="N80" i="15" a="1"/>
  <c r="O69" i="15" a="1"/>
  <c r="L59" i="15" a="1"/>
  <c r="P85" i="15" a="1"/>
  <c r="P80" i="15" a="1"/>
  <c r="O65" i="15" a="1"/>
  <c r="P53" i="15" l="1"/>
  <c r="P88" i="15"/>
  <c r="P87" i="15"/>
  <c r="P86" i="15"/>
  <c r="P85" i="15"/>
  <c r="P83" i="15"/>
  <c r="P81" i="15"/>
  <c r="P66" i="15"/>
  <c r="P65" i="15"/>
  <c r="P64" i="15"/>
  <c r="P77" i="15"/>
  <c r="P61" i="15"/>
  <c r="P59" i="15"/>
  <c r="P72" i="15"/>
  <c r="P84" i="15"/>
  <c r="P69" i="15"/>
  <c r="P67" i="15"/>
  <c r="P79" i="15"/>
  <c r="P63" i="15"/>
  <c r="P55" i="15"/>
  <c r="P60" i="15"/>
  <c r="P52" i="15"/>
  <c r="P73" i="15"/>
  <c r="P71" i="15"/>
  <c r="P70" i="15"/>
  <c r="P68" i="15"/>
  <c r="P80" i="15"/>
  <c r="P78" i="15"/>
  <c r="P50" i="15"/>
  <c r="P51" i="15"/>
  <c r="P56" i="15"/>
  <c r="P62" i="15"/>
  <c r="O55" i="15"/>
  <c r="O72" i="15"/>
  <c r="O87" i="15"/>
  <c r="O53" i="15"/>
  <c r="O83" i="15"/>
  <c r="O61" i="15"/>
  <c r="O88" i="15"/>
  <c r="O73" i="15"/>
  <c r="O71" i="15"/>
  <c r="O78" i="15"/>
  <c r="O60" i="15"/>
  <c r="O52" i="15"/>
  <c r="O59" i="15"/>
  <c r="O86" i="15"/>
  <c r="O85" i="15"/>
  <c r="O84" i="15"/>
  <c r="O70" i="15"/>
  <c r="O69" i="15"/>
  <c r="O68" i="15"/>
  <c r="O81" i="15"/>
  <c r="O67" i="15"/>
  <c r="O80" i="15"/>
  <c r="O66" i="15"/>
  <c r="O79" i="15"/>
  <c r="O65" i="15"/>
  <c r="O50" i="15"/>
  <c r="O64" i="15"/>
  <c r="O77" i="15"/>
  <c r="O51" i="15"/>
  <c r="O63" i="15"/>
  <c r="O56" i="15"/>
  <c r="O62" i="15"/>
  <c r="N86" i="15"/>
  <c r="N59" i="15"/>
  <c r="N70" i="15"/>
  <c r="N60" i="15"/>
  <c r="N81" i="15"/>
  <c r="N52" i="15"/>
  <c r="N71" i="15"/>
  <c r="N80" i="15"/>
  <c r="N79" i="15"/>
  <c r="N61" i="15"/>
  <c r="N72" i="15"/>
  <c r="N78" i="15"/>
  <c r="N55" i="15"/>
  <c r="N87" i="15"/>
  <c r="N84" i="15"/>
  <c r="N68" i="15"/>
  <c r="N66" i="15"/>
  <c r="N50" i="15"/>
  <c r="N64" i="15"/>
  <c r="N77" i="15"/>
  <c r="N53" i="15"/>
  <c r="N85" i="15"/>
  <c r="N69" i="15"/>
  <c r="N51" i="15"/>
  <c r="N63" i="15"/>
  <c r="N88" i="15"/>
  <c r="N73" i="15"/>
  <c r="N83" i="15"/>
  <c r="N67" i="15"/>
  <c r="N65" i="15"/>
  <c r="N56" i="15"/>
  <c r="N62" i="15"/>
  <c r="M55" i="15"/>
  <c r="M59" i="15"/>
  <c r="M86" i="15"/>
  <c r="M60" i="15"/>
  <c r="M80" i="15"/>
  <c r="M69" i="15"/>
  <c r="M88" i="15"/>
  <c r="M65" i="15"/>
  <c r="M53" i="15"/>
  <c r="M73" i="15"/>
  <c r="M71" i="15"/>
  <c r="M70" i="15"/>
  <c r="M81" i="15"/>
  <c r="M66" i="15"/>
  <c r="M64" i="15"/>
  <c r="M77" i="15"/>
  <c r="M52" i="15"/>
  <c r="M85" i="15"/>
  <c r="M83" i="15"/>
  <c r="M68" i="15"/>
  <c r="M79" i="15"/>
  <c r="M50" i="15"/>
  <c r="M51" i="15"/>
  <c r="M63" i="15"/>
  <c r="M61" i="15"/>
  <c r="M87" i="15"/>
  <c r="M72" i="15"/>
  <c r="M84" i="15"/>
  <c r="M67" i="15"/>
  <c r="M78" i="15"/>
  <c r="M56" i="15"/>
  <c r="M62" i="15"/>
  <c r="L83" i="15"/>
  <c r="L70" i="15"/>
  <c r="L60" i="15"/>
  <c r="L81" i="15"/>
  <c r="L88" i="15"/>
  <c r="L72" i="15"/>
  <c r="L69" i="15"/>
  <c r="L51" i="15"/>
  <c r="L53" i="15"/>
  <c r="L59" i="15"/>
  <c r="L73" i="15"/>
  <c r="L71" i="15"/>
  <c r="L68" i="15"/>
  <c r="L80" i="15"/>
  <c r="L78" i="15"/>
  <c r="L64" i="15"/>
  <c r="L62" i="15"/>
  <c r="L52" i="15"/>
  <c r="L87" i="15"/>
  <c r="L86" i="15"/>
  <c r="L85" i="15"/>
  <c r="L84" i="15"/>
  <c r="L67" i="15"/>
  <c r="L66" i="15"/>
  <c r="L79" i="15"/>
  <c r="L65" i="15"/>
  <c r="L50" i="15"/>
  <c r="L77" i="15"/>
  <c r="L63" i="15"/>
  <c r="L56" i="15"/>
  <c r="L55" i="15"/>
  <c r="L61" i="15"/>
  <c r="F60" i="15"/>
  <c r="Z54" i="15"/>
  <c r="AC45" i="15"/>
  <c r="AD44" i="15"/>
  <c r="AC44" i="15"/>
  <c r="M44" i="15" a="1"/>
  <c r="Q81" i="15" a="1"/>
  <c r="Q87" i="15" a="1"/>
  <c r="Q72" i="15" a="1"/>
  <c r="Q83" i="15" a="1"/>
  <c r="M45" i="15" a="1"/>
  <c r="P45" i="15" a="1"/>
  <c r="Q73" i="15" a="1"/>
  <c r="Q85" i="15" a="1"/>
  <c r="Q62" i="15" a="1"/>
  <c r="Q50" i="15" a="1"/>
  <c r="Q79" i="15" a="1"/>
  <c r="Q59" i="15" a="1"/>
  <c r="Q61" i="15" a="1"/>
  <c r="Q51" i="15" a="1"/>
  <c r="Q88" i="15" a="1"/>
  <c r="Q52" i="15" a="1"/>
  <c r="O44" i="15" a="1"/>
  <c r="Q55" i="15" a="1"/>
  <c r="L44" i="15" a="1"/>
  <c r="Q56" i="15" a="1"/>
  <c r="Q53" i="15" a="1"/>
  <c r="L45" i="15" a="1"/>
  <c r="O45" i="15" a="1"/>
  <c r="R44" i="15" a="1"/>
  <c r="Q63" i="15" a="1"/>
  <c r="Q78" i="15" a="1"/>
  <c r="Q71" i="15" a="1"/>
  <c r="Q70" i="15" a="1"/>
  <c r="Q64" i="15" a="1"/>
  <c r="Q60" i="15" a="1"/>
  <c r="Q86" i="15" a="1"/>
  <c r="Q66" i="15" a="1"/>
  <c r="N44" i="15" a="1"/>
  <c r="Q65" i="15" a="1"/>
  <c r="Q68" i="15" a="1"/>
  <c r="Q80" i="15" a="1"/>
  <c r="Q77" i="15" a="1"/>
  <c r="Q84" i="15" a="1"/>
  <c r="N45" i="15" a="1"/>
  <c r="Q67" i="15" a="1"/>
  <c r="P44" i="15" a="1"/>
  <c r="Q69" i="15" a="1"/>
  <c r="Q51" i="15" l="1"/>
  <c r="Q78" i="15"/>
  <c r="Q61" i="15"/>
  <c r="Q56" i="15"/>
  <c r="Q72" i="15"/>
  <c r="Q59" i="15"/>
  <c r="Q77" i="15"/>
  <c r="Q50" i="15"/>
  <c r="Q68" i="15"/>
  <c r="Q84" i="15"/>
  <c r="Q80" i="15"/>
  <c r="Q64" i="15"/>
  <c r="Q70" i="15"/>
  <c r="Q65" i="15"/>
  <c r="Q71" i="15"/>
  <c r="Q66" i="15"/>
  <c r="Q62" i="15"/>
  <c r="Q85" i="15"/>
  <c r="Q69" i="15"/>
  <c r="Q86" i="15"/>
  <c r="Q73" i="15"/>
  <c r="Q52" i="15"/>
  <c r="P44" i="15"/>
  <c r="Q55" i="15"/>
  <c r="Q63" i="15"/>
  <c r="Q87" i="15"/>
  <c r="Q79" i="15"/>
  <c r="Q88" i="15"/>
  <c r="Q81" i="15"/>
  <c r="Q83" i="15"/>
  <c r="Q60" i="15"/>
  <c r="P45" i="15"/>
  <c r="Q67" i="15"/>
  <c r="Q53" i="15"/>
  <c r="P58" i="15"/>
  <c r="P75" i="15"/>
  <c r="O44" i="15"/>
  <c r="O45" i="15"/>
  <c r="O58" i="15"/>
  <c r="O75" i="15"/>
  <c r="N45" i="15"/>
  <c r="N44" i="15"/>
  <c r="N75" i="15"/>
  <c r="N58" i="15"/>
  <c r="M75" i="15"/>
  <c r="M45" i="15"/>
  <c r="M44" i="15"/>
  <c r="M58" i="15"/>
  <c r="L75" i="15"/>
  <c r="L45" i="15"/>
  <c r="L44" i="15"/>
  <c r="L58" i="15"/>
  <c r="R44" i="15"/>
  <c r="Q44" i="15" a="1"/>
  <c r="Q45" i="15" a="1"/>
  <c r="P46" i="15" l="1"/>
  <c r="Q75" i="15"/>
  <c r="Q58" i="15"/>
  <c r="Q45" i="15"/>
  <c r="Q44" i="15"/>
  <c r="O46" i="15"/>
  <c r="N46" i="15"/>
  <c r="M46" i="15"/>
  <c r="L46" i="15"/>
  <c r="BJ48" i="55"/>
  <c r="BM48" i="55" s="1"/>
  <c r="BJ49" i="55"/>
  <c r="BM49" i="55" s="1"/>
  <c r="BJ47" i="55"/>
  <c r="BM47" i="55" s="1"/>
  <c r="BJ46" i="55"/>
  <c r="BM46" i="55" s="1"/>
  <c r="BJ45" i="55"/>
  <c r="F59" i="15" a="1"/>
  <c r="Q46" i="15" l="1"/>
  <c r="F59" i="15"/>
  <c r="BI49" i="55"/>
  <c r="BI47" i="55"/>
  <c r="BI46" i="55"/>
  <c r="BI45" i="55"/>
  <c r="BI44" i="55"/>
  <c r="BI93" i="55"/>
  <c r="BI86" i="55"/>
  <c r="BI79" i="55"/>
  <c r="BI72" i="55"/>
  <c r="BI51" i="55"/>
  <c r="BI37" i="55"/>
  <c r="BI30" i="55"/>
  <c r="BI23" i="55" l="1"/>
  <c r="AD45" i="15"/>
  <c r="AD46" i="15"/>
  <c r="AD47" i="15"/>
  <c r="AD48" i="15"/>
  <c r="AD49" i="15"/>
  <c r="BJ354" i="24"/>
  <c r="BJ353" i="24"/>
  <c r="BJ352" i="24"/>
  <c r="BJ351" i="24"/>
  <c r="BJ350" i="24"/>
  <c r="BJ349" i="24"/>
  <c r="BJ348" i="24"/>
  <c r="BJ347" i="24"/>
  <c r="BJ346" i="24"/>
  <c r="BJ345" i="24"/>
  <c r="BJ344" i="24"/>
  <c r="BJ343" i="24"/>
  <c r="BJ342" i="24"/>
  <c r="BJ341" i="24"/>
  <c r="BJ340" i="24"/>
  <c r="BJ339" i="24"/>
  <c r="BJ338" i="24"/>
  <c r="BJ337" i="24"/>
  <c r="BJ336" i="24"/>
  <c r="BJ335" i="24"/>
  <c r="BJ334" i="24"/>
  <c r="BJ333" i="24"/>
  <c r="BJ332" i="24"/>
  <c r="BJ331" i="24"/>
  <c r="BJ330" i="24"/>
  <c r="BJ329" i="24"/>
  <c r="X34" i="16" a="1"/>
  <c r="S34" i="16" a="1"/>
  <c r="W49" i="16" a="1"/>
  <c r="R45" i="15" a="1"/>
  <c r="S44" i="15" a="1"/>
  <c r="V29" i="16" a="1"/>
  <c r="W49" i="16" l="1"/>
  <c r="S34" i="16"/>
  <c r="X34" i="16"/>
  <c r="V29" i="16"/>
  <c r="S44" i="15"/>
  <c r="R45" i="15"/>
  <c r="BJ92" i="55" l="1"/>
  <c r="BI92" i="55"/>
  <c r="AE92" i="55"/>
  <c r="AD92" i="55"/>
  <c r="AC92" i="55"/>
  <c r="AB92" i="55"/>
  <c r="AA92" i="55"/>
  <c r="Z92" i="55"/>
  <c r="Y92" i="55"/>
  <c r="X92" i="55"/>
  <c r="W92" i="55"/>
  <c r="V92" i="55"/>
  <c r="U92" i="55"/>
  <c r="T92" i="55"/>
  <c r="BJ91" i="55"/>
  <c r="BM91" i="55" s="1"/>
  <c r="BI91" i="55"/>
  <c r="BJ90" i="55"/>
  <c r="BM90" i="55" s="1"/>
  <c r="BI90" i="55"/>
  <c r="AE90" i="55"/>
  <c r="AC90" i="55"/>
  <c r="U90" i="55"/>
  <c r="T90" i="55"/>
  <c r="BJ89" i="55"/>
  <c r="BM89" i="55" s="1"/>
  <c r="BI89" i="55"/>
  <c r="R89" i="55"/>
  <c r="BJ88" i="55"/>
  <c r="BM88" i="55" s="1"/>
  <c r="BI88" i="55"/>
  <c r="R88" i="55"/>
  <c r="BJ87" i="55"/>
  <c r="BM87" i="55" s="1"/>
  <c r="BI87" i="55"/>
  <c r="AD90" i="55"/>
  <c r="AB90" i="55"/>
  <c r="AA90" i="55"/>
  <c r="Z90" i="55"/>
  <c r="Y90" i="55"/>
  <c r="X90" i="55"/>
  <c r="W90" i="55"/>
  <c r="V90" i="55"/>
  <c r="BJ86" i="55"/>
  <c r="BM86" i="55" s="1"/>
  <c r="S86" i="55"/>
  <c r="R86" i="55"/>
  <c r="BJ50" i="55"/>
  <c r="BM50" i="55" s="1"/>
  <c r="BI50" i="55"/>
  <c r="BI48" i="55"/>
  <c r="BJ44" i="55"/>
  <c r="BM44" i="55" s="1"/>
  <c r="AU24" i="55"/>
  <c r="BI107" i="54"/>
  <c r="CD9" i="45"/>
  <c r="AC155" i="46" a="1"/>
  <c r="AC157" i="46" a="1"/>
  <c r="AC156" i="46" a="1"/>
  <c r="AC158" i="46" a="1"/>
  <c r="AC148" i="46" a="1"/>
  <c r="AC159" i="46" a="1"/>
  <c r="AC147" i="46" a="1"/>
  <c r="AC155" i="46" l="1"/>
  <c r="AC156" i="46"/>
  <c r="AC157" i="46"/>
  <c r="AC158" i="46"/>
  <c r="AC159" i="46"/>
  <c r="AC147" i="46"/>
  <c r="AC148" i="46"/>
  <c r="W108" i="19"/>
  <c r="W109" i="19"/>
  <c r="W10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P68" i="19" a="1"/>
  <c r="P81" i="19" a="1"/>
  <c r="Q80" i="19" a="1"/>
  <c r="H76" i="19" a="1"/>
  <c r="I97" i="19" a="1"/>
  <c r="U77" i="19" a="1"/>
  <c r="J94" i="19" a="1"/>
  <c r="F98" i="19" a="1"/>
  <c r="V90" i="19" a="1"/>
  <c r="N97" i="19" a="1"/>
  <c r="N83" i="19" a="1"/>
  <c r="L101" i="19" a="1"/>
  <c r="U100" i="19" a="1"/>
  <c r="R80" i="19" a="1"/>
  <c r="N108" i="19" a="1"/>
  <c r="K72" i="19" a="1"/>
  <c r="P104" i="19" a="1"/>
  <c r="P75" i="19" a="1"/>
  <c r="R90" i="19" a="1"/>
  <c r="H94" i="19" a="1"/>
  <c r="E76" i="19" a="1"/>
  <c r="V100" i="19" a="1"/>
  <c r="G96" i="19" a="1"/>
  <c r="V83" i="19" a="1"/>
  <c r="V103" i="19" a="1"/>
  <c r="I87" i="19" a="1"/>
  <c r="V86" i="19" a="1"/>
  <c r="F100" i="19" a="1"/>
  <c r="F74" i="19" a="1"/>
  <c r="V69" i="19" a="1"/>
  <c r="M71" i="19" a="1"/>
  <c r="M74" i="19" a="1"/>
  <c r="O66" i="19" a="1"/>
  <c r="V92" i="19" a="1"/>
  <c r="Q74" i="19" a="1"/>
  <c r="D98" i="19" a="1"/>
  <c r="U66" i="19" a="1"/>
  <c r="Q85" i="19" a="1"/>
  <c r="S87" i="19" a="1"/>
  <c r="L93" i="19" a="1"/>
  <c r="V73" i="19" a="1"/>
  <c r="Q83" i="19" a="1"/>
  <c r="V94" i="19" a="1"/>
  <c r="U68" i="19" a="1"/>
  <c r="H100" i="19" a="1"/>
  <c r="L81" i="19" a="1"/>
  <c r="U98" i="19" a="1"/>
  <c r="Q70" i="19" a="1"/>
  <c r="U82" i="19" a="1"/>
  <c r="V78" i="19" a="1"/>
  <c r="R98" i="19" a="1"/>
  <c r="V102" i="19" a="1"/>
  <c r="P94" i="19" a="1"/>
  <c r="E68" i="19" a="1"/>
  <c r="L85" i="19" a="1"/>
  <c r="H78" i="19" a="1"/>
  <c r="J89" i="19" a="1"/>
  <c r="F95" i="19" a="1"/>
  <c r="Q81" i="19" a="1"/>
  <c r="O90" i="19" a="1"/>
  <c r="L87" i="19" a="1"/>
  <c r="V75" i="19" a="1"/>
  <c r="V80" i="19" a="1"/>
  <c r="M70" i="19" a="1"/>
  <c r="H74" i="19" a="1"/>
  <c r="I79" i="19" a="1"/>
  <c r="G93" i="19" a="1"/>
  <c r="N82" i="19" a="1"/>
  <c r="R96" i="19" a="1"/>
  <c r="M85" i="19" a="1"/>
  <c r="D71" i="19" a="1"/>
  <c r="H90" i="19" a="1"/>
  <c r="E86" i="19" a="1"/>
  <c r="F92" i="19" a="1"/>
  <c r="G72" i="19" a="1"/>
  <c r="I69" i="19" a="1"/>
  <c r="M99" i="19" a="1"/>
  <c r="G92" i="19" a="1"/>
  <c r="G64" i="19" a="1"/>
  <c r="V96" i="19" a="1"/>
  <c r="L102" i="19" a="1"/>
  <c r="K84" i="19" a="1"/>
  <c r="P99" i="19" a="1"/>
  <c r="Q99" i="19" a="1"/>
  <c r="U78" i="19" a="1"/>
  <c r="N107" i="19" a="1"/>
  <c r="K88" i="19" a="1"/>
  <c r="M87" i="19" a="1"/>
  <c r="E65" i="19" a="1"/>
  <c r="U80" i="19" a="1"/>
  <c r="P71" i="19" a="1"/>
  <c r="E89" i="19" a="1"/>
  <c r="D89" i="19" a="1"/>
  <c r="D86" i="19" a="1"/>
  <c r="P88" i="19" a="1"/>
  <c r="F103" i="19" a="1"/>
  <c r="R102" i="19" a="1"/>
  <c r="S72" i="19" a="1"/>
  <c r="U103" i="19" a="1"/>
  <c r="M78" i="19" a="1"/>
  <c r="I64" i="19" a="1"/>
  <c r="R104" i="19" a="1"/>
  <c r="P101" i="19" a="1"/>
  <c r="S80" i="19" a="1"/>
  <c r="R77" i="19" a="1"/>
  <c r="J90" i="19" a="1"/>
  <c r="S89" i="19" a="1"/>
  <c r="N74" i="19" a="1"/>
  <c r="D95" i="19" a="1"/>
  <c r="L76" i="19" a="1"/>
  <c r="K104" i="19" a="1"/>
  <c r="U97" i="19" a="1"/>
  <c r="H81" i="19" a="1"/>
  <c r="K69" i="19" a="1"/>
  <c r="D102" i="19" a="1"/>
  <c r="M75" i="19" a="1"/>
  <c r="J76" i="19" a="1"/>
  <c r="F81" i="19" a="1"/>
  <c r="V82" i="19" a="1"/>
  <c r="P95" i="19" a="1"/>
  <c r="H92" i="19" a="1"/>
  <c r="I65" i="19" a="1"/>
  <c r="G88" i="19" a="1"/>
  <c r="J79" i="19" a="1"/>
  <c r="M91" i="19" a="1"/>
  <c r="K100" i="19" a="1"/>
  <c r="H66" i="19" a="1"/>
  <c r="R89" i="19" a="1"/>
  <c r="U94" i="19" a="1"/>
  <c r="F67" i="19" a="1"/>
  <c r="M65" i="19" a="1"/>
  <c r="L100" i="19" a="1"/>
  <c r="G84" i="19" a="1"/>
  <c r="V65" i="19" a="1"/>
  <c r="K101" i="19" a="1"/>
  <c r="G75" i="19" a="1"/>
  <c r="U87" i="19" a="1"/>
  <c r="G97" i="19" a="1"/>
  <c r="V76" i="19" a="1"/>
  <c r="K98" i="19" a="1"/>
  <c r="F77" i="19" a="1"/>
  <c r="H82" i="19" a="1"/>
  <c r="R87" i="19" a="1"/>
  <c r="D78" i="19" a="1"/>
  <c r="N85" i="19" a="1"/>
  <c r="V67" i="19" a="1"/>
  <c r="K80" i="19" a="1"/>
  <c r="G85" i="19" a="1"/>
  <c r="H71" i="19" a="1"/>
  <c r="M107" i="19" a="1"/>
  <c r="I84" i="19" a="1"/>
  <c r="Q96" i="19" a="1"/>
  <c r="N104" i="19" a="1"/>
  <c r="G73" i="19" a="1"/>
  <c r="L90" i="19" a="1"/>
  <c r="O97" i="19" a="1"/>
  <c r="O104" i="19" a="1"/>
  <c r="O107" i="19" a="1"/>
  <c r="O87" i="19" a="1"/>
  <c r="G99" i="19" a="1"/>
  <c r="L80" i="19" a="1"/>
  <c r="K87" i="19" a="1"/>
  <c r="O72" i="19" a="1"/>
  <c r="K66" i="19" a="1"/>
  <c r="O92" i="19" a="1"/>
  <c r="P108" i="19" a="1"/>
  <c r="Q79" i="19" a="1"/>
  <c r="D75" i="19" a="1"/>
  <c r="M77" i="19" a="1"/>
  <c r="K94" i="19" a="1"/>
  <c r="N101" i="19" a="1"/>
  <c r="Q84" i="19" a="1"/>
  <c r="H75" i="19" a="1"/>
  <c r="Q98" i="19" a="1"/>
  <c r="O96" i="19" a="1"/>
  <c r="P96" i="19" a="1"/>
  <c r="U92" i="19" a="1"/>
  <c r="N102" i="19" a="1"/>
  <c r="J78" i="19" a="1"/>
  <c r="E75" i="19" a="1"/>
  <c r="I89" i="19" a="1"/>
  <c r="K82" i="19" a="1"/>
  <c r="Q65" i="19" a="1"/>
  <c r="E69" i="19" a="1"/>
  <c r="Q100" i="19" a="1"/>
  <c r="K78" i="19" a="1"/>
  <c r="I71" i="19" a="1"/>
  <c r="E96" i="19" a="1"/>
  <c r="S91" i="19" a="1"/>
  <c r="O68" i="19" a="1"/>
  <c r="L89" i="19" a="1"/>
  <c r="J72" i="19" a="1"/>
  <c r="Q92" i="19" a="1"/>
  <c r="U86" i="19" a="1"/>
  <c r="T94" i="19" a="1"/>
  <c r="K75" i="19" a="1"/>
  <c r="K103" i="19" a="1"/>
  <c r="O76" i="19" a="1"/>
  <c r="D85" i="19" a="1"/>
  <c r="Q66" i="19" a="1"/>
  <c r="V99" i="19" a="1"/>
  <c r="J77" i="19" a="1"/>
  <c r="Q71" i="19" a="1"/>
  <c r="S93" i="19" a="1"/>
  <c r="E85" i="19" a="1"/>
  <c r="U84" i="19" a="1"/>
  <c r="I98" i="19" a="1"/>
  <c r="F84" i="19" a="1"/>
  <c r="L88" i="19" a="1"/>
  <c r="S68" i="19" a="1"/>
  <c r="J103" i="19" a="1"/>
  <c r="S71" i="19" a="1"/>
  <c r="O86" i="19" a="1"/>
  <c r="N81" i="19" a="1"/>
  <c r="O78" i="19" a="1"/>
  <c r="U76" i="19" a="1"/>
  <c r="N79" i="19" a="1"/>
  <c r="I102" i="19" a="1"/>
  <c r="G94" i="19" a="1"/>
  <c r="E98" i="19" a="1"/>
  <c r="F94" i="19" a="1"/>
  <c r="H83" i="19" a="1"/>
  <c r="K107" i="19" a="1"/>
  <c r="N93" i="19" a="1"/>
  <c r="S97" i="19" a="1"/>
  <c r="H95" i="19" a="1"/>
  <c r="P92" i="19" a="1"/>
  <c r="H87" i="19" a="1"/>
  <c r="V74" i="19" a="1"/>
  <c r="Q75" i="19" a="1"/>
  <c r="P93" i="19" a="1"/>
  <c r="N92" i="19" a="1"/>
  <c r="R71" i="19" a="1"/>
  <c r="I67" i="19" a="1"/>
  <c r="I66" i="19" a="1"/>
  <c r="S98" i="19" a="1"/>
  <c r="S99" i="19" a="1"/>
  <c r="M80" i="19" a="1"/>
  <c r="V97" i="19" a="1"/>
  <c r="H98" i="19" a="1"/>
  <c r="G66" i="19" a="1"/>
  <c r="K96" i="19" a="1"/>
  <c r="K70" i="19" a="1"/>
  <c r="D81" i="19" a="1"/>
  <c r="E73" i="19" a="1"/>
  <c r="O101" i="19" a="1"/>
  <c r="J86" i="19" a="1"/>
  <c r="J88" i="19" a="1"/>
  <c r="O100" i="19" a="1"/>
  <c r="M90" i="19" a="1"/>
  <c r="D76" i="19" a="1"/>
  <c r="V72" i="19" a="1"/>
  <c r="Q77" i="19" a="1"/>
  <c r="N66" i="19" a="1"/>
  <c r="N75" i="19" a="1"/>
  <c r="O82" i="19" a="1"/>
  <c r="L99" i="19" a="1"/>
  <c r="J81" i="19" a="1"/>
  <c r="P91" i="19" a="1"/>
  <c r="F71" i="19" a="1"/>
  <c r="M88" i="19" a="1"/>
  <c r="S79" i="19" a="1"/>
  <c r="F102" i="19" a="1"/>
  <c r="M76" i="19" a="1"/>
  <c r="U95" i="19" a="1"/>
  <c r="Q90" i="19" a="1"/>
  <c r="O98" i="19" a="1"/>
  <c r="K108" i="19" a="1"/>
  <c r="V79" i="19" a="1"/>
  <c r="Q76" i="19" a="1"/>
  <c r="Q102" i="19" a="1"/>
  <c r="L108" i="19" a="1"/>
  <c r="I70" i="19" a="1"/>
  <c r="J91" i="19" a="1"/>
  <c r="L98" i="19" a="1"/>
  <c r="S75" i="19" a="1"/>
  <c r="R67" i="19" a="1"/>
  <c r="I91" i="19" a="1"/>
  <c r="P67" i="19" a="1"/>
  <c r="M100" i="19" a="1"/>
  <c r="M102" i="19" a="1"/>
  <c r="U67" i="19" a="1"/>
  <c r="N94" i="19" a="1"/>
  <c r="R70" i="19" a="1"/>
  <c r="I95" i="19" a="1"/>
  <c r="G77" i="19" a="1"/>
  <c r="L77" i="19" a="1"/>
  <c r="J66" i="19" a="1"/>
  <c r="S96" i="19" a="1"/>
  <c r="M89" i="19" a="1"/>
  <c r="I78" i="19" a="1"/>
  <c r="F68" i="19" a="1"/>
  <c r="F80" i="19" a="1"/>
  <c r="S100" i="19" a="1"/>
  <c r="I83" i="19" a="1"/>
  <c r="U74" i="19" a="1"/>
  <c r="F76" i="19" a="1"/>
  <c r="E72" i="19" a="1"/>
  <c r="S69" i="19" a="1"/>
  <c r="Q103" i="19" a="1"/>
  <c r="I101" i="19" a="1"/>
  <c r="N67" i="19" a="1"/>
  <c r="M83" i="19" a="1"/>
  <c r="I82" i="19" a="1"/>
  <c r="Q95" i="19" a="1"/>
  <c r="G79" i="19" a="1"/>
  <c r="L94" i="19" a="1"/>
  <c r="I90" i="19" a="1"/>
  <c r="O74" i="19" a="1"/>
  <c r="F82" i="19" a="1"/>
  <c r="H88" i="19" a="1"/>
  <c r="H67" i="19" a="1"/>
  <c r="Q73" i="19" a="1"/>
  <c r="I77" i="19" a="1"/>
  <c r="U70" i="19" a="1"/>
  <c r="U90" i="19" a="1"/>
  <c r="I68" i="19" a="1"/>
  <c r="L91" i="19" a="1"/>
  <c r="K92" i="19" a="1"/>
  <c r="S103" i="19" a="1"/>
  <c r="M104" i="19" a="1"/>
  <c r="G71" i="19" a="1"/>
  <c r="P86" i="19" a="1"/>
  <c r="I93" i="19" a="1"/>
  <c r="L70" i="19" a="1"/>
  <c r="M79" i="19" a="1"/>
  <c r="N71" i="19" a="1"/>
  <c r="V85" i="19" a="1"/>
  <c r="G76" i="19" a="1"/>
  <c r="J99" i="19" a="1"/>
  <c r="S73" i="19" a="1"/>
  <c r="O83" i="19" a="1"/>
  <c r="R76" i="19" a="1"/>
  <c r="M68" i="19" a="1"/>
  <c r="M72" i="19" a="1"/>
  <c r="M82" i="19" a="1"/>
  <c r="E67" i="19" a="1"/>
  <c r="F69" i="19" a="1"/>
  <c r="L71" i="19" a="1"/>
  <c r="Q97" i="19" a="1"/>
  <c r="M96" i="19" a="1"/>
  <c r="H91" i="19" a="1"/>
  <c r="D101" i="19" a="1"/>
  <c r="M101" i="19" a="1"/>
  <c r="N72" i="19" a="1"/>
  <c r="E101" i="19" a="1"/>
  <c r="T91" i="19" a="1"/>
  <c r="R88" i="19" a="1"/>
  <c r="F89" i="19" a="1"/>
  <c r="V101" i="19" a="1"/>
  <c r="L96" i="19" a="1"/>
  <c r="R85" i="19" a="1"/>
  <c r="R81" i="19" a="1"/>
  <c r="Q107" i="19" a="1"/>
  <c r="G101" i="19" a="1"/>
  <c r="J101" i="19" a="1"/>
  <c r="E66" i="19" a="1"/>
  <c r="R84" i="19" a="1"/>
  <c r="P79" i="19" a="1"/>
  <c r="R83" i="19" a="1"/>
  <c r="R73" i="19" a="1"/>
  <c r="O69" i="19" a="1"/>
  <c r="G86" i="19" a="1"/>
  <c r="H70" i="19" a="1"/>
  <c r="O73" i="19" a="1"/>
  <c r="O71" i="19" a="1"/>
  <c r="P78" i="19" a="1"/>
  <c r="I75" i="19" a="1"/>
  <c r="H72" i="19" a="1"/>
  <c r="S70" i="19" a="1"/>
  <c r="M94" i="19" a="1"/>
  <c r="L97" i="19" a="1"/>
  <c r="I96" i="19" a="1"/>
  <c r="O94" i="19" a="1"/>
  <c r="J74" i="19" a="1"/>
  <c r="O77" i="19" a="1"/>
  <c r="S74" i="19" a="1"/>
  <c r="V68" i="19" a="1"/>
  <c r="H102" i="19" a="1"/>
  <c r="J104" i="19" a="1"/>
  <c r="F83" i="19" a="1"/>
  <c r="E92" i="19" a="1"/>
  <c r="R66" i="19" a="1"/>
  <c r="L75" i="19" a="1"/>
  <c r="Q91" i="19" a="1"/>
  <c r="J65" i="19" a="1"/>
  <c r="J98" i="19" a="1"/>
  <c r="D67" i="19" a="1"/>
  <c r="V77" i="19" a="1"/>
  <c r="O91" i="19" a="1"/>
  <c r="J80" i="19" a="1"/>
  <c r="H89" i="19" a="1"/>
  <c r="G89" i="19" a="1"/>
  <c r="G74" i="19" a="1"/>
  <c r="P82" i="19" a="1"/>
  <c r="S104" i="19" a="1"/>
  <c r="K89" i="19" a="1"/>
  <c r="J96" i="19" a="1"/>
  <c r="R100" i="19" a="1"/>
  <c r="J73" i="19" a="1"/>
  <c r="I80" i="19" a="1"/>
  <c r="N80" i="19" a="1"/>
  <c r="U96" i="19" a="1"/>
  <c r="P90" i="19" a="1"/>
  <c r="P87" i="19" a="1"/>
  <c r="J64" i="19" a="1"/>
  <c r="Q108" i="19" a="1"/>
  <c r="U81" i="19" a="1"/>
  <c r="R79" i="19" a="1"/>
  <c r="Q67" i="19" a="1"/>
  <c r="J70" i="19" a="1"/>
  <c r="K95" i="19" a="1"/>
  <c r="J97" i="19" a="1"/>
  <c r="P107" i="19" a="1"/>
  <c r="M81" i="19" a="1"/>
  <c r="Q69" i="19" a="1"/>
  <c r="P77" i="19" a="1"/>
  <c r="I81" i="19" a="1"/>
  <c r="L74" i="19" a="1"/>
  <c r="S83" i="19" a="1"/>
  <c r="H68" i="19" a="1"/>
  <c r="O79" i="19" a="1"/>
  <c r="D77" i="19" a="1"/>
  <c r="O70" i="19" a="1"/>
  <c r="R72" i="19" a="1"/>
  <c r="N98" i="19" a="1"/>
  <c r="U99" i="19" a="1"/>
  <c r="K74" i="19" a="1"/>
  <c r="N88" i="19" a="1"/>
  <c r="P70" i="19" a="1"/>
  <c r="H73" i="19" a="1"/>
  <c r="F73" i="19" a="1"/>
  <c r="D73" i="19" a="1"/>
  <c r="K91" i="19" a="1"/>
  <c r="N103" i="19" a="1"/>
  <c r="J84" i="19" a="1"/>
  <c r="G91" i="19" a="1"/>
  <c r="V91" i="19" a="1"/>
  <c r="O89" i="19" a="1"/>
  <c r="S81" i="19" a="1"/>
  <c r="P89" i="19" a="1"/>
  <c r="G82" i="19" a="1"/>
  <c r="F78" i="19" a="1"/>
  <c r="H80" i="19" a="1"/>
  <c r="G83" i="19" a="1"/>
  <c r="N65" i="19" a="1"/>
  <c r="F99" i="19" a="1"/>
  <c r="I103" i="19" a="1"/>
  <c r="O75" i="19" a="1"/>
  <c r="H69" i="19" a="1"/>
  <c r="J87" i="19" a="1"/>
  <c r="K81" i="19" a="1"/>
  <c r="O95" i="19" a="1"/>
  <c r="F79" i="19" a="1"/>
  <c r="H65" i="19" a="1"/>
  <c r="G104" i="19" a="1"/>
  <c r="J83" i="19" a="1"/>
  <c r="O84" i="19" a="1"/>
  <c r="G67" i="19" a="1"/>
  <c r="P65" i="19" a="1"/>
  <c r="N84" i="19" a="1"/>
  <c r="R101" i="19" a="1"/>
  <c r="I104" i="19" a="1"/>
  <c r="K77" i="19" a="1"/>
  <c r="K85" i="19" a="1"/>
  <c r="V66" i="19" a="1"/>
  <c r="L69" i="19" a="1"/>
  <c r="O67" i="19" a="1"/>
  <c r="S92" i="19" a="1"/>
  <c r="E100" i="19" a="1"/>
  <c r="N99" i="19" a="1"/>
  <c r="G68" i="19" a="1"/>
  <c r="R82" i="19" a="1"/>
  <c r="I73" i="19" a="1"/>
  <c r="R65" i="19" a="1"/>
  <c r="S65" i="19" a="1"/>
  <c r="U85" i="19" a="1"/>
  <c r="R103" i="19" a="1"/>
  <c r="O88" i="19" a="1"/>
  <c r="H86" i="19" a="1"/>
  <c r="L86" i="19" a="1"/>
  <c r="H99" i="19" a="1"/>
  <c r="K102" i="19" a="1"/>
  <c r="O65" i="19" a="1"/>
  <c r="V87" i="19" a="1"/>
  <c r="F70" i="19" a="1"/>
  <c r="S66" i="19" a="1"/>
  <c r="D66" i="19" a="1"/>
  <c r="G65" i="19" a="1"/>
  <c r="U88" i="19" a="1"/>
  <c r="Q94" i="19" a="1"/>
  <c r="K71" i="19" a="1"/>
  <c r="R97" i="19" a="1"/>
  <c r="Q78" i="19" a="1"/>
  <c r="L68" i="19" a="1"/>
  <c r="H101" i="19" a="1"/>
  <c r="E93" i="19" a="1"/>
  <c r="N77" i="19" a="1"/>
  <c r="H84" i="19" a="1"/>
  <c r="E81" i="19" a="1"/>
  <c r="S82" i="19" a="1"/>
  <c r="N76" i="19" a="1"/>
  <c r="S88" i="19" a="1"/>
  <c r="I74" i="19" a="1"/>
  <c r="M66" i="19" a="1"/>
  <c r="P83" i="19" a="1"/>
  <c r="K90" i="19" a="1"/>
  <c r="J75" i="19" a="1"/>
  <c r="M73" i="19" a="1"/>
  <c r="K79" i="19" a="1"/>
  <c r="N89" i="19" a="1"/>
  <c r="R68" i="19" a="1"/>
  <c r="K65" i="19" a="1"/>
  <c r="U69" i="19" a="1"/>
  <c r="M92" i="19" a="1"/>
  <c r="R94" i="19" a="1"/>
  <c r="L79" i="19" a="1"/>
  <c r="G81" i="19" a="1"/>
  <c r="J67" i="19" a="1"/>
  <c r="E70" i="19" a="1"/>
  <c r="E102" i="19" a="1"/>
  <c r="N78" i="19" a="1"/>
  <c r="S84" i="19" a="1"/>
  <c r="I94" i="19" a="1"/>
  <c r="S90" i="19" a="1"/>
  <c r="I92" i="19" a="1"/>
  <c r="T97" i="19" a="1"/>
  <c r="F87" i="19" a="1"/>
  <c r="R78" i="19" a="1"/>
  <c r="N100" i="19" a="1"/>
  <c r="G78" i="19" a="1"/>
  <c r="P97" i="19" a="1"/>
  <c r="E99" i="19" a="1"/>
  <c r="O93" i="19" a="1"/>
  <c r="G80" i="19" a="1"/>
  <c r="F88" i="19" a="1"/>
  <c r="I100" i="19" a="1"/>
  <c r="S76" i="19" a="1"/>
  <c r="L104" i="19" a="1"/>
  <c r="S102" i="19" a="1"/>
  <c r="G70" i="19" a="1"/>
  <c r="K86" i="19" a="1"/>
  <c r="H79" i="19" a="1"/>
  <c r="L78" i="19" a="1"/>
  <c r="V95" i="19" a="1"/>
  <c r="O99" i="19" a="1"/>
  <c r="L83" i="19" a="1"/>
  <c r="S67" i="19" a="1"/>
  <c r="P100" i="19" a="1"/>
  <c r="G90" i="19" a="1"/>
  <c r="N70" i="19" a="1"/>
  <c r="J69" i="19" a="1"/>
  <c r="H96" i="19" a="1"/>
  <c r="P80" i="19" a="1"/>
  <c r="D70" i="19" a="1"/>
  <c r="M67" i="19" a="1"/>
  <c r="Q87" i="19" a="1"/>
  <c r="N87" i="19" a="1"/>
  <c r="P102" i="19" a="1"/>
  <c r="E94" i="19" a="1"/>
  <c r="P72" i="19" a="1"/>
  <c r="P76" i="19" a="1"/>
  <c r="E95" i="19" a="1"/>
  <c r="L72" i="19" a="1"/>
  <c r="S85" i="19" a="1"/>
  <c r="S86" i="19" a="1"/>
  <c r="N73" i="19" a="1"/>
  <c r="V88" i="19" a="1"/>
  <c r="J95" i="19" a="1"/>
  <c r="P84" i="19" a="1"/>
  <c r="Q72" i="19" a="1"/>
  <c r="P69" i="19" a="1"/>
  <c r="F97" i="19" a="1"/>
  <c r="D72" i="19" a="1"/>
  <c r="U71" i="19" a="1"/>
  <c r="R95" i="19" a="1"/>
  <c r="V70" i="19" a="1"/>
  <c r="G69" i="19" a="1"/>
  <c r="R91" i="19" a="1"/>
  <c r="L82" i="19" a="1"/>
  <c r="O103" i="19" a="1"/>
  <c r="P98" i="19" a="1"/>
  <c r="I72" i="19" a="1"/>
  <c r="V81" i="19" a="1"/>
  <c r="P85" i="19" a="1"/>
  <c r="K67" i="19" a="1"/>
  <c r="G100" i="19" a="1"/>
  <c r="H104" i="19" a="1"/>
  <c r="Q89" i="19" a="1"/>
  <c r="H93" i="19" a="1"/>
  <c r="I88" i="19" a="1"/>
  <c r="V71" i="19" a="1"/>
  <c r="J82" i="19" a="1"/>
  <c r="S95" i="19" a="1"/>
  <c r="F90" i="19" a="1"/>
  <c r="F93" i="19" a="1"/>
  <c r="R69" i="19" a="1"/>
  <c r="I85" i="19" a="1"/>
  <c r="J100" i="19" a="1"/>
  <c r="E97" i="19" a="1"/>
  <c r="L95" i="19" a="1"/>
  <c r="L107" i="19" a="1"/>
  <c r="M93" i="19" a="1"/>
  <c r="R93" i="19" a="1"/>
  <c r="J102" i="19" a="1"/>
  <c r="H97" i="19" a="1"/>
  <c r="P66" i="19" a="1"/>
  <c r="D69" i="19" a="1"/>
  <c r="K73" i="19" a="1"/>
  <c r="F72" i="19" a="1"/>
  <c r="M84" i="19" a="1"/>
  <c r="U79" i="19" a="1"/>
  <c r="D65" i="19" a="1"/>
  <c r="Q88" i="19" a="1"/>
  <c r="F101" i="19" a="1"/>
  <c r="J93" i="19" a="1"/>
  <c r="N86" i="19" a="1"/>
  <c r="Q86" i="19" a="1"/>
  <c r="L92" i="19" a="1"/>
  <c r="F65" i="19" a="1"/>
  <c r="R92" i="19" a="1"/>
  <c r="M86" i="19" a="1"/>
  <c r="M98" i="19" a="1"/>
  <c r="H85" i="19" a="1"/>
  <c r="K99" i="19" a="1"/>
  <c r="Q68" i="19" a="1"/>
  <c r="D74" i="19" a="1"/>
  <c r="Q82" i="19" a="1"/>
  <c r="U102" i="19" a="1"/>
  <c r="D68" i="19" a="1"/>
  <c r="R86" i="19" a="1"/>
  <c r="U73" i="19" a="1"/>
  <c r="F91" i="19" a="1"/>
  <c r="F86" i="19" a="1"/>
  <c r="L84" i="19" a="1"/>
  <c r="S78" i="19" a="1"/>
  <c r="R74" i="19" a="1"/>
  <c r="N91" i="19" a="1"/>
  <c r="U91" i="19" a="1"/>
  <c r="I86" i="19" a="1"/>
  <c r="F66" i="19" a="1"/>
  <c r="O85" i="19" a="1"/>
  <c r="O108" i="19" a="1"/>
  <c r="I99" i="19" a="1"/>
  <c r="K76" i="19" a="1"/>
  <c r="P103" i="19" a="1"/>
  <c r="K68" i="19" a="1"/>
  <c r="U83" i="19" a="1"/>
  <c r="F96" i="19" a="1"/>
  <c r="N96" i="19" a="1"/>
  <c r="U89" i="19" a="1"/>
  <c r="E78" i="19" a="1"/>
  <c r="Q101" i="19" a="1"/>
  <c r="L103" i="19" a="1"/>
  <c r="M69" i="19" a="1"/>
  <c r="F104" i="19" a="1"/>
  <c r="P74" i="19" a="1"/>
  <c r="N90" i="19" a="1"/>
  <c r="G87" i="19" a="1"/>
  <c r="R99" i="19" a="1"/>
  <c r="N69" i="19" a="1"/>
  <c r="G95" i="19" a="1"/>
  <c r="J92" i="19" a="1"/>
  <c r="H77" i="19" a="1"/>
  <c r="J85" i="19" a="1"/>
  <c r="M97" i="19" a="1"/>
  <c r="L67" i="19" a="1"/>
  <c r="E74" i="19" a="1"/>
  <c r="G103" i="19" a="1"/>
  <c r="J68" i="19" a="1"/>
  <c r="V84" i="19" a="1"/>
  <c r="V104" i="19" a="1"/>
  <c r="E77" i="19" a="1"/>
  <c r="O81" i="19" a="1"/>
  <c r="U93" i="19" a="1"/>
  <c r="U72" i="19" a="1"/>
  <c r="V93" i="19" a="1"/>
  <c r="D82" i="19" a="1"/>
  <c r="U75" i="19" a="1"/>
  <c r="I76" i="19" a="1"/>
  <c r="H103" i="19" a="1"/>
  <c r="K93" i="19" a="1"/>
  <c r="M108" i="19" a="1"/>
  <c r="E90" i="19" a="1"/>
  <c r="M103" i="19" a="1"/>
  <c r="N95" i="19" a="1"/>
  <c r="E82" i="19" a="1"/>
  <c r="U101" i="19" a="1"/>
  <c r="M95" i="19" a="1"/>
  <c r="S94" i="19" a="1"/>
  <c r="P73" i="19" a="1"/>
  <c r="G102" i="19" a="1"/>
  <c r="E71" i="19" a="1"/>
  <c r="V98" i="19" a="1"/>
  <c r="O102" i="19" a="1"/>
  <c r="Q93" i="19" a="1"/>
  <c r="F75" i="19" a="1"/>
  <c r="E91" i="19" a="1"/>
  <c r="K83" i="19" a="1"/>
  <c r="D92" i="19" a="1"/>
  <c r="T100" i="19" a="1"/>
  <c r="L73" i="19" a="1"/>
  <c r="S101" i="19" a="1"/>
  <c r="F85" i="19" a="1"/>
  <c r="S77" i="19" a="1"/>
  <c r="N68" i="19" a="1"/>
  <c r="O80" i="19" a="1"/>
  <c r="U65" i="19" a="1"/>
  <c r="U104" i="19" a="1"/>
  <c r="J71" i="19" a="1"/>
  <c r="K97" i="19" a="1"/>
  <c r="L66" i="19" a="1"/>
  <c r="R75" i="19" a="1"/>
  <c r="G98" i="19" a="1"/>
  <c r="V89" i="19" a="1"/>
  <c r="Q104" i="19" a="1"/>
  <c r="L65" i="19" a="1"/>
  <c r="Q102" i="19" l="1"/>
  <c r="Q86" i="19"/>
  <c r="Q70" i="19"/>
  <c r="Q84" i="19"/>
  <c r="Q67" i="19"/>
  <c r="Q65" i="19"/>
  <c r="Q78" i="19"/>
  <c r="Q74" i="19"/>
  <c r="Q85" i="19"/>
  <c r="Q68" i="19"/>
  <c r="Q98" i="19"/>
  <c r="Q97" i="19"/>
  <c r="Q80" i="19"/>
  <c r="Q95" i="19"/>
  <c r="Q94" i="19"/>
  <c r="Q77" i="19"/>
  <c r="Q92" i="19"/>
  <c r="Q90" i="19"/>
  <c r="Q89" i="19"/>
  <c r="Q73" i="19"/>
  <c r="Q101" i="19"/>
  <c r="Q69" i="19"/>
  <c r="Q99" i="19"/>
  <c r="Q82" i="19"/>
  <c r="Q96" i="19"/>
  <c r="Q108" i="19"/>
  <c r="Q93" i="19"/>
  <c r="Q91" i="19"/>
  <c r="Q88" i="19"/>
  <c r="Q72" i="19"/>
  <c r="Q100" i="19"/>
  <c r="Q83" i="19"/>
  <c r="Q66" i="19"/>
  <c r="Q81" i="19"/>
  <c r="Q104" i="19"/>
  <c r="Q79" i="19"/>
  <c r="Q107" i="19"/>
  <c r="Q76" i="19"/>
  <c r="Q75" i="19"/>
  <c r="Q103" i="19"/>
  <c r="Q87" i="19"/>
  <c r="Q71" i="19"/>
  <c r="P102" i="19"/>
  <c r="P98" i="19"/>
  <c r="P70" i="19"/>
  <c r="P65" i="19"/>
  <c r="P104" i="19"/>
  <c r="P85" i="19"/>
  <c r="P99" i="19"/>
  <c r="P77" i="19"/>
  <c r="P101" i="19"/>
  <c r="P66" i="19"/>
  <c r="P76" i="19"/>
  <c r="P75" i="19"/>
  <c r="P68" i="19"/>
  <c r="P97" i="19"/>
  <c r="P74" i="19"/>
  <c r="P86" i="19"/>
  <c r="P100" i="19"/>
  <c r="P67" i="19"/>
  <c r="P96" i="19"/>
  <c r="P79" i="19"/>
  <c r="P94" i="19"/>
  <c r="P93" i="19"/>
  <c r="P90" i="19"/>
  <c r="P89" i="19"/>
  <c r="P73" i="19"/>
  <c r="P84" i="19"/>
  <c r="P82" i="19"/>
  <c r="P80" i="19"/>
  <c r="P107" i="19"/>
  <c r="P91" i="19"/>
  <c r="P88" i="19"/>
  <c r="P72" i="19"/>
  <c r="P69" i="19"/>
  <c r="P83" i="19"/>
  <c r="P81" i="19"/>
  <c r="P95" i="19"/>
  <c r="P108" i="19"/>
  <c r="P78" i="19"/>
  <c r="P92" i="19"/>
  <c r="P103" i="19"/>
  <c r="P87" i="19"/>
  <c r="P71" i="19"/>
  <c r="O70" i="19"/>
  <c r="O101" i="19"/>
  <c r="O96" i="19"/>
  <c r="O108" i="19"/>
  <c r="O94" i="19"/>
  <c r="O95" i="19"/>
  <c r="O85" i="19"/>
  <c r="O83" i="19"/>
  <c r="O76" i="19"/>
  <c r="O68" i="19"/>
  <c r="O65" i="19"/>
  <c r="O75" i="19"/>
  <c r="O84" i="19"/>
  <c r="O82" i="19"/>
  <c r="O81" i="19"/>
  <c r="O78" i="19"/>
  <c r="O74" i="19"/>
  <c r="O86" i="19"/>
  <c r="O100" i="19"/>
  <c r="O98" i="19"/>
  <c r="O80" i="19"/>
  <c r="O93" i="19"/>
  <c r="O73" i="19"/>
  <c r="O102" i="19"/>
  <c r="O67" i="19"/>
  <c r="O97" i="19"/>
  <c r="O79" i="19"/>
  <c r="O88" i="19"/>
  <c r="O72" i="19"/>
  <c r="O69" i="19"/>
  <c r="O99" i="19"/>
  <c r="O66" i="19"/>
  <c r="O104" i="19"/>
  <c r="O107" i="19"/>
  <c r="O77" i="19"/>
  <c r="O92" i="19"/>
  <c r="O91" i="19"/>
  <c r="O90" i="19"/>
  <c r="O89" i="19"/>
  <c r="O103" i="19"/>
  <c r="O87" i="19"/>
  <c r="O71" i="19"/>
  <c r="N69" i="19"/>
  <c r="N68" i="19"/>
  <c r="N67" i="19"/>
  <c r="N66" i="19"/>
  <c r="N101" i="19"/>
  <c r="N99" i="19"/>
  <c r="N65" i="19"/>
  <c r="N104" i="19"/>
  <c r="N108" i="19"/>
  <c r="N107" i="19"/>
  <c r="N86" i="19"/>
  <c r="N77" i="19"/>
  <c r="N70" i="19"/>
  <c r="N82" i="19"/>
  <c r="N95" i="19"/>
  <c r="N92" i="19"/>
  <c r="N76" i="19"/>
  <c r="N98" i="19"/>
  <c r="N80" i="19"/>
  <c r="N91" i="19"/>
  <c r="N75" i="19"/>
  <c r="N83" i="19"/>
  <c r="N96" i="19"/>
  <c r="N90" i="19"/>
  <c r="N74" i="19"/>
  <c r="N84" i="19"/>
  <c r="N79" i="19"/>
  <c r="N73" i="19"/>
  <c r="N102" i="19"/>
  <c r="N100" i="19"/>
  <c r="N97" i="19"/>
  <c r="N78" i="19"/>
  <c r="N89" i="19"/>
  <c r="N88" i="19"/>
  <c r="N72" i="19"/>
  <c r="N85" i="19"/>
  <c r="N81" i="19"/>
  <c r="N94" i="19"/>
  <c r="N93" i="19"/>
  <c r="N103" i="19"/>
  <c r="N87" i="19"/>
  <c r="N71" i="19"/>
  <c r="M65" i="19"/>
  <c r="M104" i="19"/>
  <c r="M108" i="19"/>
  <c r="M83" i="19"/>
  <c r="M97" i="19"/>
  <c r="M107" i="19"/>
  <c r="M98" i="19"/>
  <c r="M80" i="19"/>
  <c r="M77" i="19"/>
  <c r="M76" i="19"/>
  <c r="M75" i="19"/>
  <c r="M74" i="19"/>
  <c r="M73" i="19"/>
  <c r="M81" i="19"/>
  <c r="M93" i="19"/>
  <c r="M72" i="19"/>
  <c r="M99" i="19"/>
  <c r="M96" i="19"/>
  <c r="M78" i="19"/>
  <c r="M87" i="19"/>
  <c r="M71" i="19"/>
  <c r="M67" i="19"/>
  <c r="M94" i="19"/>
  <c r="M70" i="19"/>
  <c r="M66" i="19"/>
  <c r="M95" i="19"/>
  <c r="M92" i="19"/>
  <c r="M89" i="19"/>
  <c r="M103" i="19"/>
  <c r="M101" i="19"/>
  <c r="M85" i="19"/>
  <c r="M69" i="19"/>
  <c r="M82" i="19"/>
  <c r="M79" i="19"/>
  <c r="M91" i="19"/>
  <c r="M90" i="19"/>
  <c r="M88" i="19"/>
  <c r="M102" i="19"/>
  <c r="M86" i="19"/>
  <c r="M100" i="19"/>
  <c r="M84" i="19"/>
  <c r="M68" i="19"/>
  <c r="L66" i="19"/>
  <c r="K66" i="19"/>
  <c r="L82" i="19"/>
  <c r="K82" i="19"/>
  <c r="K108" i="19"/>
  <c r="L108" i="19"/>
  <c r="K98" i="19"/>
  <c r="L98" i="19"/>
  <c r="K78" i="19"/>
  <c r="L78" i="19"/>
  <c r="L107" i="19"/>
  <c r="K107" i="19"/>
  <c r="L83" i="19"/>
  <c r="K83" i="19"/>
  <c r="L104" i="19"/>
  <c r="K104" i="19"/>
  <c r="K92" i="19"/>
  <c r="L92" i="19"/>
  <c r="K76" i="19"/>
  <c r="L76" i="19"/>
  <c r="K81" i="19"/>
  <c r="L81" i="19"/>
  <c r="L95" i="19"/>
  <c r="K95" i="19"/>
  <c r="K90" i="19"/>
  <c r="L90" i="19"/>
  <c r="L74" i="19"/>
  <c r="K74" i="19"/>
  <c r="K99" i="19"/>
  <c r="L99" i="19"/>
  <c r="K96" i="19"/>
  <c r="L96" i="19"/>
  <c r="K75" i="19"/>
  <c r="L75" i="19"/>
  <c r="K89" i="19"/>
  <c r="L89" i="19"/>
  <c r="L73" i="19"/>
  <c r="K73" i="19"/>
  <c r="L97" i="19"/>
  <c r="K97" i="19"/>
  <c r="L91" i="19"/>
  <c r="K91" i="19"/>
  <c r="L88" i="19"/>
  <c r="K88" i="19"/>
  <c r="L72" i="19"/>
  <c r="K72" i="19"/>
  <c r="L79" i="19"/>
  <c r="K79" i="19"/>
  <c r="L103" i="19"/>
  <c r="K103" i="19"/>
  <c r="K87" i="19"/>
  <c r="L87" i="19"/>
  <c r="K71" i="19"/>
  <c r="L71" i="19"/>
  <c r="L67" i="19"/>
  <c r="K67" i="19"/>
  <c r="K94" i="19"/>
  <c r="L94" i="19"/>
  <c r="K102" i="19"/>
  <c r="L102" i="19"/>
  <c r="K86" i="19"/>
  <c r="L86" i="19"/>
  <c r="K70" i="19"/>
  <c r="L70" i="19"/>
  <c r="L65" i="19"/>
  <c r="K65" i="19"/>
  <c r="L93" i="19"/>
  <c r="K93" i="19"/>
  <c r="L101" i="19"/>
  <c r="K101" i="19"/>
  <c r="K85" i="19"/>
  <c r="L85" i="19"/>
  <c r="K69" i="19"/>
  <c r="L69" i="19"/>
  <c r="L80" i="19"/>
  <c r="K80" i="19"/>
  <c r="L77" i="19"/>
  <c r="K77" i="19"/>
  <c r="K100" i="19"/>
  <c r="L100" i="19"/>
  <c r="L84" i="19"/>
  <c r="K84" i="19"/>
  <c r="L68" i="19"/>
  <c r="K68" i="19"/>
  <c r="V65" i="19"/>
  <c r="H91" i="19"/>
  <c r="J91" i="19"/>
  <c r="E91" i="19"/>
  <c r="R91" i="19"/>
  <c r="I91" i="19"/>
  <c r="F91" i="19"/>
  <c r="G91" i="19"/>
  <c r="V91" i="19"/>
  <c r="S91" i="19"/>
  <c r="U91" i="19"/>
  <c r="T91" i="19"/>
  <c r="S94" i="19"/>
  <c r="E94" i="19"/>
  <c r="R94" i="19"/>
  <c r="H94" i="19"/>
  <c r="J94" i="19"/>
  <c r="I94" i="19"/>
  <c r="G94" i="19"/>
  <c r="F94" i="19"/>
  <c r="V94" i="19"/>
  <c r="U94" i="19"/>
  <c r="T94" i="19"/>
  <c r="E100" i="19"/>
  <c r="F100" i="19"/>
  <c r="R100" i="19"/>
  <c r="G100" i="19"/>
  <c r="V100" i="19"/>
  <c r="S100" i="19"/>
  <c r="U100" i="19"/>
  <c r="T100" i="19"/>
  <c r="R97" i="19"/>
  <c r="F97" i="19"/>
  <c r="I97" i="19"/>
  <c r="J97" i="19"/>
  <c r="H97" i="19"/>
  <c r="G97" i="19"/>
  <c r="E97" i="19"/>
  <c r="S97" i="19"/>
  <c r="V97" i="19"/>
  <c r="U97" i="19"/>
  <c r="T97" i="19"/>
  <c r="R81" i="19"/>
  <c r="R98" i="19"/>
  <c r="R67" i="19"/>
  <c r="R99" i="19"/>
  <c r="R68" i="19"/>
  <c r="R84" i="19"/>
  <c r="R77" i="19"/>
  <c r="R93" i="19"/>
  <c r="R70" i="19"/>
  <c r="R86" i="19"/>
  <c r="R71" i="19"/>
  <c r="R103" i="19"/>
  <c r="R74" i="19"/>
  <c r="R90" i="19"/>
  <c r="R83" i="19"/>
  <c r="R76" i="19"/>
  <c r="R69" i="19"/>
  <c r="R85" i="19"/>
  <c r="R78" i="19"/>
  <c r="R102" i="19"/>
  <c r="R79" i="19"/>
  <c r="R87" i="19"/>
  <c r="R95" i="19"/>
  <c r="R80" i="19"/>
  <c r="R88" i="19"/>
  <c r="R96" i="19"/>
  <c r="R104" i="19"/>
  <c r="R73" i="19"/>
  <c r="R89" i="19"/>
  <c r="R66" i="19"/>
  <c r="R82" i="19"/>
  <c r="R75" i="19"/>
  <c r="R92" i="19"/>
  <c r="R101" i="19"/>
  <c r="R72" i="19"/>
  <c r="R65" i="19"/>
  <c r="J101" i="19"/>
  <c r="J81" i="19"/>
  <c r="U67" i="19"/>
  <c r="V89" i="19"/>
  <c r="I98" i="19"/>
  <c r="V86" i="19"/>
  <c r="J92" i="19"/>
  <c r="G88" i="19"/>
  <c r="I85" i="19"/>
  <c r="S80" i="19"/>
  <c r="G79" i="19"/>
  <c r="U75" i="19"/>
  <c r="I74" i="19"/>
  <c r="S72" i="19"/>
  <c r="J69" i="19"/>
  <c r="G67" i="19"/>
  <c r="H65" i="19"/>
  <c r="S103" i="19"/>
  <c r="H102" i="19"/>
  <c r="S93" i="19"/>
  <c r="U90" i="19"/>
  <c r="J89" i="19"/>
  <c r="U87" i="19"/>
  <c r="H85" i="19"/>
  <c r="H82" i="19"/>
  <c r="I99" i="19"/>
  <c r="S83" i="19"/>
  <c r="V78" i="19"/>
  <c r="J77" i="19"/>
  <c r="H74" i="19"/>
  <c r="V70" i="19"/>
  <c r="H69" i="19"/>
  <c r="V66" i="19"/>
  <c r="G90" i="19"/>
  <c r="J84" i="19"/>
  <c r="H78" i="19"/>
  <c r="U82" i="19"/>
  <c r="G104" i="19"/>
  <c r="G95" i="19"/>
  <c r="G102" i="19"/>
  <c r="G99" i="19"/>
  <c r="G92" i="19"/>
  <c r="I89" i="19"/>
  <c r="I86" i="19"/>
  <c r="G82" i="19"/>
  <c r="S104" i="19"/>
  <c r="U84" i="19"/>
  <c r="U78" i="19"/>
  <c r="S75" i="19"/>
  <c r="G74" i="19"/>
  <c r="I103" i="19"/>
  <c r="V98" i="19"/>
  <c r="S87" i="19"/>
  <c r="H86" i="19"/>
  <c r="S84" i="19"/>
  <c r="J80" i="19"/>
  <c r="H77" i="19"/>
  <c r="V73" i="19"/>
  <c r="J72" i="19"/>
  <c r="S85" i="19"/>
  <c r="G98" i="19"/>
  <c r="U104" i="19"/>
  <c r="J96" i="19"/>
  <c r="V101" i="19"/>
  <c r="J93" i="19"/>
  <c r="H89" i="19"/>
  <c r="V81" i="19"/>
  <c r="I77" i="19"/>
  <c r="S68" i="19"/>
  <c r="G103" i="19"/>
  <c r="J100" i="19"/>
  <c r="G96" i="19"/>
  <c r="I93" i="19"/>
  <c r="I90" i="19"/>
  <c r="I83" i="19"/>
  <c r="I66" i="19"/>
  <c r="U99" i="19"/>
  <c r="S101" i="19"/>
  <c r="U98" i="19"/>
  <c r="U95" i="19"/>
  <c r="H93" i="19"/>
  <c r="U88" i="19"/>
  <c r="G86" i="19"/>
  <c r="G83" i="19"/>
  <c r="S81" i="19"/>
  <c r="I70" i="19"/>
  <c r="V102" i="19"/>
  <c r="H90" i="19"/>
  <c r="S88" i="19"/>
  <c r="V85" i="19"/>
  <c r="U79" i="19"/>
  <c r="I78" i="19"/>
  <c r="S76" i="19"/>
  <c r="G75" i="19"/>
  <c r="U71" i="19"/>
  <c r="J68" i="19"/>
  <c r="H66" i="19"/>
  <c r="J104" i="19"/>
  <c r="I87" i="19"/>
  <c r="V82" i="19"/>
  <c r="H70" i="19"/>
  <c r="G87" i="19"/>
  <c r="I81" i="19"/>
  <c r="G78" i="19"/>
  <c r="U74" i="19"/>
  <c r="S71" i="19"/>
  <c r="H101" i="19"/>
  <c r="J88" i="19"/>
  <c r="J76" i="19"/>
  <c r="H73" i="19"/>
  <c r="S99" i="19"/>
  <c r="H98" i="19"/>
  <c r="S96" i="19"/>
  <c r="V93" i="19"/>
  <c r="S89" i="19"/>
  <c r="U86" i="19"/>
  <c r="J85" i="19"/>
  <c r="U83" i="19"/>
  <c r="J65" i="19"/>
  <c r="U102" i="19"/>
  <c r="J73" i="19"/>
  <c r="S95" i="19"/>
  <c r="I101" i="19"/>
  <c r="S79" i="19"/>
  <c r="I73" i="19"/>
  <c r="U103" i="19"/>
  <c r="U96" i="19"/>
  <c r="G84" i="19"/>
  <c r="H81" i="19"/>
  <c r="V77" i="19"/>
  <c r="I102" i="19"/>
  <c r="I95" i="19"/>
  <c r="V90" i="19"/>
  <c r="I82" i="19"/>
  <c r="U92" i="19"/>
  <c r="V74" i="19"/>
  <c r="S92" i="19"/>
  <c r="V69" i="19"/>
  <c r="G71" i="19"/>
  <c r="V104" i="19"/>
  <c r="H104" i="19"/>
  <c r="J103" i="19"/>
  <c r="H100" i="19"/>
  <c r="J99" i="19"/>
  <c r="V96" i="19"/>
  <c r="H96" i="19"/>
  <c r="J95" i="19"/>
  <c r="V92" i="19"/>
  <c r="H92" i="19"/>
  <c r="V88" i="19"/>
  <c r="H88" i="19"/>
  <c r="J87" i="19"/>
  <c r="V84" i="19"/>
  <c r="H84" i="19"/>
  <c r="J83" i="19"/>
  <c r="V80" i="19"/>
  <c r="H80" i="19"/>
  <c r="J79" i="19"/>
  <c r="V76" i="19"/>
  <c r="H76" i="19"/>
  <c r="J75" i="19"/>
  <c r="V72" i="19"/>
  <c r="H72" i="19"/>
  <c r="J71" i="19"/>
  <c r="V68" i="19"/>
  <c r="H68" i="19"/>
  <c r="J67" i="19"/>
  <c r="U80" i="19"/>
  <c r="I79" i="19"/>
  <c r="S77" i="19"/>
  <c r="G76" i="19"/>
  <c r="S73" i="19"/>
  <c r="U72" i="19"/>
  <c r="G72" i="19"/>
  <c r="I71" i="19"/>
  <c r="S69" i="19"/>
  <c r="U68" i="19"/>
  <c r="G68" i="19"/>
  <c r="S65" i="19"/>
  <c r="G80" i="19"/>
  <c r="U76" i="19"/>
  <c r="I75" i="19"/>
  <c r="I67" i="19"/>
  <c r="H103" i="19"/>
  <c r="J102" i="19"/>
  <c r="H99" i="19"/>
  <c r="J98" i="19"/>
  <c r="V95" i="19"/>
  <c r="H95" i="19"/>
  <c r="J90" i="19"/>
  <c r="V87" i="19"/>
  <c r="H87" i="19"/>
  <c r="J86" i="19"/>
  <c r="V83" i="19"/>
  <c r="H83" i="19"/>
  <c r="J82" i="19"/>
  <c r="V79" i="19"/>
  <c r="H79" i="19"/>
  <c r="J78" i="19"/>
  <c r="V75" i="19"/>
  <c r="H75" i="19"/>
  <c r="J74" i="19"/>
  <c r="V71" i="19"/>
  <c r="H71" i="19"/>
  <c r="J70" i="19"/>
  <c r="V67" i="19"/>
  <c r="H67" i="19"/>
  <c r="J66" i="19"/>
  <c r="V103" i="19"/>
  <c r="V99" i="19"/>
  <c r="U70" i="19"/>
  <c r="G70" i="19"/>
  <c r="I69" i="19"/>
  <c r="S67" i="19"/>
  <c r="U66" i="19"/>
  <c r="G66" i="19"/>
  <c r="I65" i="19"/>
  <c r="I104" i="19"/>
  <c r="S102" i="19"/>
  <c r="U101" i="19"/>
  <c r="G101" i="19"/>
  <c r="I100" i="19"/>
  <c r="S98" i="19"/>
  <c r="I96" i="19"/>
  <c r="U93" i="19"/>
  <c r="G93" i="19"/>
  <c r="I92" i="19"/>
  <c r="S90" i="19"/>
  <c r="U89" i="19"/>
  <c r="G89" i="19"/>
  <c r="I88" i="19"/>
  <c r="S86" i="19"/>
  <c r="U85" i="19"/>
  <c r="G85" i="19"/>
  <c r="I84" i="19"/>
  <c r="S82" i="19"/>
  <c r="U81" i="19"/>
  <c r="G81" i="19"/>
  <c r="I80" i="19"/>
  <c r="S78" i="19"/>
  <c r="U77" i="19"/>
  <c r="G77" i="19"/>
  <c r="I76" i="19"/>
  <c r="S74" i="19"/>
  <c r="U73" i="19"/>
  <c r="G73" i="19"/>
  <c r="I72" i="19"/>
  <c r="S70" i="19"/>
  <c r="U69" i="19"/>
  <c r="G69" i="19"/>
  <c r="I68" i="19"/>
  <c r="S66" i="19"/>
  <c r="U65" i="19"/>
  <c r="G65" i="19"/>
  <c r="J64" i="19"/>
  <c r="G64" i="19"/>
  <c r="I64" i="19"/>
  <c r="F88" i="19"/>
  <c r="F74" i="19"/>
  <c r="F87" i="19"/>
  <c r="D69" i="19"/>
  <c r="E82" i="19"/>
  <c r="E96" i="19"/>
  <c r="F66" i="19"/>
  <c r="E72" i="19"/>
  <c r="D75" i="19"/>
  <c r="F73" i="19"/>
  <c r="D74" i="19"/>
  <c r="D102" i="19"/>
  <c r="F82" i="19"/>
  <c r="F65" i="19"/>
  <c r="D67" i="19"/>
  <c r="D71" i="19"/>
  <c r="E90" i="19"/>
  <c r="F90" i="19"/>
  <c r="F75" i="19"/>
  <c r="D85" i="19"/>
  <c r="F103" i="19"/>
  <c r="D70" i="19"/>
  <c r="F77" i="19"/>
  <c r="F79" i="19"/>
  <c r="E70" i="19"/>
  <c r="F71" i="19"/>
  <c r="D98" i="19"/>
  <c r="E78" i="19"/>
  <c r="F85" i="19"/>
  <c r="F93" i="19"/>
  <c r="D101" i="19"/>
  <c r="D73" i="19"/>
  <c r="D77" i="19"/>
  <c r="D82" i="19"/>
  <c r="F89" i="19"/>
  <c r="D95" i="19"/>
  <c r="E67" i="19"/>
  <c r="D78" i="19"/>
  <c r="E74" i="19"/>
  <c r="E98" i="19"/>
  <c r="E102" i="19"/>
  <c r="E68" i="19"/>
  <c r="E71" i="19"/>
  <c r="D89" i="19"/>
  <c r="D65" i="19"/>
  <c r="F69" i="19"/>
  <c r="F81" i="19"/>
  <c r="F86" i="19"/>
  <c r="F95" i="19"/>
  <c r="F102" i="19"/>
  <c r="D66" i="19"/>
  <c r="F67" i="19"/>
  <c r="F70" i="19"/>
  <c r="E76" i="19"/>
  <c r="D81" i="19"/>
  <c r="D86" i="19"/>
  <c r="F101" i="19"/>
  <c r="E66" i="19"/>
  <c r="F78" i="19"/>
  <c r="F83" i="19"/>
  <c r="E86" i="19"/>
  <c r="E92" i="19"/>
  <c r="F98" i="19"/>
  <c r="F99" i="19"/>
  <c r="E65" i="19"/>
  <c r="E69" i="19"/>
  <c r="E73" i="19"/>
  <c r="E77" i="19"/>
  <c r="E81" i="19"/>
  <c r="E85" i="19"/>
  <c r="E89" i="19"/>
  <c r="E93" i="19"/>
  <c r="E101" i="19"/>
  <c r="D68" i="19"/>
  <c r="D72" i="19"/>
  <c r="D76" i="19"/>
  <c r="F80" i="19"/>
  <c r="F84" i="19"/>
  <c r="F92" i="19"/>
  <c r="F96" i="19"/>
  <c r="F104" i="19"/>
  <c r="F68" i="19"/>
  <c r="F72" i="19"/>
  <c r="F76" i="19"/>
  <c r="D92" i="19"/>
  <c r="E75" i="19"/>
  <c r="E95" i="19"/>
  <c r="E99" i="19"/>
  <c r="F64" i="19" a="1"/>
  <c r="H64" i="19" a="1"/>
  <c r="H64" i="19" l="1"/>
  <c r="F64" i="19"/>
  <c r="AW5" i="36"/>
  <c r="AW6" i="36"/>
  <c r="AW7" i="36"/>
  <c r="AW8" i="36"/>
  <c r="AW9" i="36"/>
  <c r="AW10" i="36"/>
  <c r="AW11" i="36"/>
  <c r="AW12" i="36"/>
  <c r="AW13" i="36"/>
  <c r="AW14" i="36"/>
  <c r="AW15" i="36"/>
  <c r="AW16" i="36"/>
  <c r="AW18" i="36"/>
  <c r="AW19" i="36"/>
  <c r="AW20" i="36"/>
  <c r="AW21" i="36"/>
  <c r="AW22" i="36"/>
  <c r="AW23" i="36"/>
  <c r="AW24" i="36"/>
  <c r="AW25" i="36"/>
  <c r="AW26" i="36"/>
  <c r="AW27" i="36"/>
  <c r="AW28" i="36"/>
  <c r="AW29" i="36"/>
  <c r="AW30" i="36"/>
  <c r="AW31" i="36"/>
  <c r="AW32" i="36"/>
  <c r="AW33" i="36"/>
  <c r="AW34" i="36"/>
  <c r="AW35" i="36"/>
  <c r="AW36" i="36"/>
  <c r="AW37" i="36"/>
  <c r="AW38" i="36"/>
  <c r="AW39" i="36"/>
  <c r="AW40" i="36"/>
  <c r="AW41" i="36"/>
  <c r="AW43" i="36"/>
  <c r="AW44" i="36"/>
  <c r="AW45" i="36"/>
  <c r="AW46" i="36"/>
  <c r="AW47" i="36"/>
  <c r="AW48" i="36"/>
  <c r="AW53" i="36"/>
  <c r="AW54" i="36"/>
  <c r="AW55" i="36"/>
  <c r="AW56" i="36"/>
  <c r="AW57" i="36"/>
  <c r="AW58" i="36"/>
  <c r="AW59" i="36"/>
  <c r="AW60" i="36"/>
  <c r="AW61" i="36"/>
  <c r="AW62" i="36"/>
  <c r="AW63" i="36"/>
  <c r="AW64" i="36"/>
  <c r="AW65" i="36"/>
  <c r="AW66" i="36"/>
  <c r="AW67" i="36"/>
  <c r="AW68" i="36"/>
  <c r="AW69" i="36"/>
  <c r="AW70" i="36"/>
  <c r="AW71" i="36"/>
  <c r="AU35" i="53" l="1"/>
  <c r="AX33" i="53"/>
  <c r="AW5" i="53"/>
  <c r="AW6" i="53"/>
  <c r="AW7" i="53"/>
  <c r="AW8" i="53"/>
  <c r="AW10" i="53"/>
  <c r="AW11" i="53"/>
  <c r="AW12" i="53"/>
  <c r="AW13" i="53"/>
  <c r="AW14" i="53"/>
  <c r="AW15" i="53"/>
  <c r="AW16" i="53"/>
  <c r="AW17" i="53"/>
  <c r="AW18" i="53"/>
  <c r="AW19" i="53"/>
  <c r="AW20" i="53"/>
  <c r="AW21" i="53"/>
  <c r="AW22" i="53"/>
  <c r="AW23" i="53"/>
  <c r="AW24" i="53"/>
  <c r="AW25" i="53"/>
  <c r="AW26" i="53"/>
  <c r="AW27" i="53"/>
  <c r="AW28" i="53"/>
  <c r="AW29" i="53"/>
  <c r="AW30" i="53"/>
  <c r="AW31" i="53"/>
  <c r="AW32" i="53"/>
  <c r="AW33" i="53"/>
  <c r="AW34" i="53"/>
  <c r="AW36" i="53"/>
  <c r="AW37" i="53"/>
  <c r="AW38" i="53"/>
  <c r="AW39" i="53"/>
  <c r="AW40" i="53"/>
  <c r="AW41" i="53"/>
  <c r="AW42" i="53"/>
  <c r="AW43" i="53"/>
  <c r="AW44" i="53"/>
  <c r="AW45" i="53"/>
  <c r="AW46" i="53"/>
  <c r="AW47" i="53"/>
  <c r="AW48" i="53"/>
  <c r="AW49" i="53"/>
  <c r="AW50" i="53"/>
  <c r="AW51" i="53"/>
  <c r="AW52" i="53"/>
  <c r="AW53" i="53"/>
  <c r="AW54" i="53"/>
  <c r="AW55" i="53"/>
  <c r="AW56" i="53"/>
  <c r="AW57" i="53"/>
  <c r="AW58" i="53"/>
  <c r="AW59" i="53"/>
  <c r="AW62" i="53"/>
  <c r="AW63" i="53"/>
  <c r="AW64" i="53"/>
  <c r="AW65" i="53"/>
  <c r="AW66" i="53"/>
  <c r="AW68" i="53"/>
  <c r="AW69" i="53"/>
  <c r="AW70" i="53"/>
  <c r="AW71" i="53"/>
  <c r="AW72" i="53"/>
  <c r="AW73" i="53"/>
  <c r="AW74" i="53"/>
  <c r="AW75" i="53"/>
  <c r="AW76" i="53"/>
  <c r="AW77" i="53"/>
  <c r="AW78" i="53"/>
  <c r="AW79" i="53"/>
  <c r="AW80" i="53"/>
  <c r="AW81" i="53"/>
  <c r="AW82" i="53"/>
  <c r="AW83" i="53"/>
  <c r="AW84" i="53"/>
  <c r="AW85" i="53"/>
  <c r="AW86" i="53"/>
  <c r="AW87" i="53"/>
  <c r="AW88" i="53"/>
  <c r="AW89" i="53"/>
  <c r="AW90" i="53"/>
  <c r="AW91" i="53"/>
  <c r="AW92" i="53"/>
  <c r="AW93" i="53"/>
  <c r="AW94" i="53"/>
  <c r="AW95" i="53"/>
  <c r="AW96" i="53"/>
  <c r="AW97" i="53"/>
  <c r="AW98" i="53"/>
  <c r="AW99" i="53"/>
  <c r="AW100" i="53"/>
  <c r="AW101" i="53"/>
  <c r="AW102" i="53"/>
  <c r="AW103" i="53"/>
  <c r="AW104" i="53"/>
  <c r="AW105" i="53"/>
  <c r="AW106" i="53"/>
  <c r="AW107" i="53"/>
  <c r="AW108" i="53"/>
  <c r="AW109" i="53"/>
  <c r="AW110" i="53"/>
  <c r="AW111" i="53"/>
  <c r="AW112" i="53"/>
  <c r="AW113" i="53"/>
  <c r="AW114" i="53"/>
  <c r="AW115" i="53"/>
  <c r="AW116" i="53"/>
  <c r="AW117" i="53"/>
  <c r="AW118" i="53"/>
  <c r="AW119" i="53"/>
  <c r="AW4" i="53"/>
  <c r="AM99" i="22"/>
  <c r="BI34" i="25" l="1"/>
  <c r="BL4" i="25"/>
  <c r="BQ176" i="45"/>
  <c r="BQ173" i="45"/>
  <c r="V7" i="15" a="1"/>
  <c r="K7" i="15" a="1"/>
  <c r="J7" i="15" a="1"/>
  <c r="G7" i="15" a="1"/>
  <c r="V7" i="15" l="1"/>
  <c r="K7" i="15"/>
  <c r="J7" i="15"/>
  <c r="G7" i="15"/>
  <c r="AW25" i="33" l="1"/>
  <c r="AT78" i="32"/>
  <c r="AT79" i="32"/>
  <c r="AT80" i="32"/>
  <c r="AT81" i="32"/>
  <c r="AT82" i="32"/>
  <c r="AT83" i="32"/>
  <c r="AT84" i="32"/>
  <c r="AT85" i="32"/>
  <c r="AT86" i="32"/>
  <c r="AT87" i="32"/>
  <c r="BM342" i="24"/>
  <c r="F6" i="15" a="1"/>
  <c r="F6" i="15" l="1"/>
  <c r="Z5" i="26" l="1"/>
  <c r="Z48" i="26"/>
  <c r="T5" i="13"/>
  <c r="AE32" i="43"/>
  <c r="AE33" i="43"/>
  <c r="AE35" i="43"/>
  <c r="AE36" i="43"/>
  <c r="AE38" i="43"/>
  <c r="AE39" i="43"/>
  <c r="E37" i="44" a="1"/>
  <c r="E37" i="44" l="1"/>
  <c r="AW27" i="43"/>
  <c r="AW26" i="43"/>
  <c r="AU28" i="43"/>
  <c r="AU27" i="43"/>
  <c r="AU26" i="43"/>
  <c r="AT28" i="43"/>
  <c r="AT27" i="43"/>
  <c r="AT26" i="43"/>
  <c r="O8" i="43"/>
  <c r="N8" i="43"/>
  <c r="M8" i="43"/>
  <c r="L8" i="43"/>
  <c r="K8" i="43"/>
  <c r="J8" i="43"/>
  <c r="I8" i="43"/>
  <c r="H8" i="43"/>
  <c r="G8" i="43"/>
  <c r="F8" i="43"/>
  <c r="E8" i="43"/>
  <c r="D8" i="43"/>
  <c r="O7" i="43"/>
  <c r="N7" i="43"/>
  <c r="M7" i="43"/>
  <c r="L7" i="43"/>
  <c r="K7" i="43"/>
  <c r="J7" i="43"/>
  <c r="I7" i="43"/>
  <c r="H7" i="43"/>
  <c r="G7" i="43"/>
  <c r="F7" i="43"/>
  <c r="E7" i="43"/>
  <c r="D7" i="43"/>
  <c r="O6" i="43"/>
  <c r="N6" i="43"/>
  <c r="M6" i="43"/>
  <c r="L6" i="43"/>
  <c r="K6" i="43"/>
  <c r="J6" i="43"/>
  <c r="I6" i="43"/>
  <c r="H6" i="43"/>
  <c r="G6" i="43"/>
  <c r="F6" i="43"/>
  <c r="E6" i="43"/>
  <c r="D6" i="43"/>
  <c r="O5" i="43"/>
  <c r="N5" i="43"/>
  <c r="M5" i="43"/>
  <c r="L5" i="43"/>
  <c r="K5" i="43"/>
  <c r="J5" i="43"/>
  <c r="I5" i="43"/>
  <c r="H5" i="43"/>
  <c r="G5" i="43"/>
  <c r="F5" i="43"/>
  <c r="E5" i="43"/>
  <c r="D5" i="43"/>
  <c r="S8" i="43"/>
  <c r="AC8" i="43"/>
  <c r="AB8" i="43"/>
  <c r="AA8" i="43"/>
  <c r="Z8" i="43"/>
  <c r="Y8" i="43"/>
  <c r="X8" i="43"/>
  <c r="W8" i="43"/>
  <c r="V8" i="43"/>
  <c r="U8" i="43"/>
  <c r="T8" i="43"/>
  <c r="R8" i="43"/>
  <c r="AC7" i="43"/>
  <c r="AB7" i="43"/>
  <c r="AA7" i="43"/>
  <c r="Z7" i="43"/>
  <c r="Y7" i="43"/>
  <c r="X7" i="43"/>
  <c r="W7" i="43"/>
  <c r="V7" i="43"/>
  <c r="U7" i="43"/>
  <c r="T7" i="43"/>
  <c r="AW7" i="43" s="1"/>
  <c r="S7" i="43"/>
  <c r="R7" i="43"/>
  <c r="AC6" i="43"/>
  <c r="AB6" i="43"/>
  <c r="AA6" i="43"/>
  <c r="Z6" i="43"/>
  <c r="Y6" i="43"/>
  <c r="X6" i="43"/>
  <c r="W6" i="43"/>
  <c r="V6" i="43"/>
  <c r="U6" i="43"/>
  <c r="T6" i="43"/>
  <c r="S6" i="43"/>
  <c r="R6" i="43"/>
  <c r="AC5" i="43"/>
  <c r="AB5" i="43"/>
  <c r="AA5" i="43"/>
  <c r="Z5" i="43"/>
  <c r="Y5" i="43"/>
  <c r="X5" i="43"/>
  <c r="W5" i="43"/>
  <c r="AW5" i="43" s="1"/>
  <c r="V5" i="43"/>
  <c r="U5" i="43"/>
  <c r="T5" i="43"/>
  <c r="S5" i="43"/>
  <c r="R5" i="43"/>
  <c r="AE19" i="43"/>
  <c r="AD19" i="43"/>
  <c r="AE18" i="43"/>
  <c r="AD18" i="43"/>
  <c r="AE17" i="43"/>
  <c r="AD17" i="43"/>
  <c r="AE8" i="43" l="1"/>
  <c r="Q7" i="43"/>
  <c r="P8" i="43"/>
  <c r="AD7" i="43"/>
  <c r="AE6" i="43"/>
  <c r="Q6" i="43"/>
  <c r="AD5" i="43"/>
  <c r="AE5" i="43"/>
  <c r="AD8" i="43"/>
  <c r="Q5" i="43"/>
  <c r="Q8" i="43"/>
  <c r="P7" i="43"/>
  <c r="P6" i="43"/>
  <c r="P5" i="43"/>
  <c r="AE7" i="43"/>
  <c r="AD6" i="43"/>
  <c r="D10" i="44" a="1"/>
  <c r="E10" i="44" a="1"/>
  <c r="E10" i="44" l="1"/>
  <c r="D10" i="44"/>
  <c r="BM54" i="54"/>
  <c r="BI54" i="54"/>
  <c r="Q54" i="54"/>
  <c r="P54" i="54"/>
  <c r="O54" i="54"/>
  <c r="N54" i="54"/>
  <c r="M54" i="54"/>
  <c r="L54" i="54"/>
  <c r="K54" i="54"/>
  <c r="J54" i="54"/>
  <c r="I54" i="54"/>
  <c r="H54" i="54"/>
  <c r="G54" i="54"/>
  <c r="F54" i="54"/>
  <c r="BJ53" i="54"/>
  <c r="BM53" i="54" s="1"/>
  <c r="BI53" i="54"/>
  <c r="S53" i="54"/>
  <c r="R53" i="54"/>
  <c r="BJ52" i="54"/>
  <c r="BI52" i="54"/>
  <c r="S52" i="54"/>
  <c r="R52" i="54"/>
  <c r="BJ51" i="54"/>
  <c r="BM51" i="54" s="1"/>
  <c r="BI51" i="54"/>
  <c r="S51" i="54"/>
  <c r="R51" i="54"/>
  <c r="BJ50" i="54"/>
  <c r="BM50" i="54" s="1"/>
  <c r="BI50" i="54"/>
  <c r="S50" i="54"/>
  <c r="R50" i="54"/>
  <c r="BJ49" i="54"/>
  <c r="BM49" i="54" s="1"/>
  <c r="S49" i="54"/>
  <c r="R49" i="54"/>
  <c r="BJ48" i="54"/>
  <c r="BM48" i="54" s="1"/>
  <c r="BI48" i="54"/>
  <c r="S48" i="54"/>
  <c r="R48" i="54"/>
  <c r="BJ47" i="54"/>
  <c r="BM47" i="54" s="1"/>
  <c r="BI47" i="54"/>
  <c r="Q47" i="54"/>
  <c r="P47" i="54"/>
  <c r="O47" i="54"/>
  <c r="N47" i="54"/>
  <c r="M47" i="54"/>
  <c r="L47" i="54"/>
  <c r="K47" i="54"/>
  <c r="J47" i="54"/>
  <c r="I47" i="54"/>
  <c r="H47" i="54"/>
  <c r="G47" i="54"/>
  <c r="F47" i="54"/>
  <c r="E47" i="54"/>
  <c r="BJ46" i="54"/>
  <c r="BM46" i="54" s="1"/>
  <c r="S46" i="54"/>
  <c r="S47" i="54" l="1"/>
  <c r="R54" i="54"/>
  <c r="R47" i="54"/>
  <c r="S54" i="54"/>
  <c r="BM52" i="54"/>
  <c r="W30" i="19" l="1"/>
  <c r="W29" i="19"/>
  <c r="CF158" i="45"/>
  <c r="CF156" i="45"/>
  <c r="CF155" i="45"/>
  <c r="CF154" i="45"/>
  <c r="CF147" i="45"/>
  <c r="R28" i="19" a="1"/>
  <c r="I29" i="19" a="1"/>
  <c r="F28" i="19" a="1"/>
  <c r="V28" i="19" a="1"/>
  <c r="J28" i="19" a="1"/>
  <c r="V29" i="19" a="1"/>
  <c r="P29" i="19" a="1"/>
  <c r="P28" i="19" a="1"/>
  <c r="W148" i="46" a="1"/>
  <c r="S28" i="19" a="1"/>
  <c r="U28" i="19" a="1"/>
  <c r="I28" i="19" a="1"/>
  <c r="N29" i="19" a="1"/>
  <c r="L29" i="19" a="1"/>
  <c r="X155" i="46" a="1"/>
  <c r="T28" i="19" a="1"/>
  <c r="X159" i="46" a="1"/>
  <c r="M29" i="19" a="1"/>
  <c r="X157" i="46" a="1"/>
  <c r="X148" i="46" a="1"/>
  <c r="U29" i="19" a="1"/>
  <c r="S29" i="19" a="1"/>
  <c r="L28" i="19" a="1"/>
  <c r="X156" i="46" a="1"/>
  <c r="K29" i="19" a="1"/>
  <c r="Q28" i="19" a="1"/>
  <c r="H28" i="19" a="1"/>
  <c r="W153" i="46" a="1"/>
  <c r="D29" i="19" a="1"/>
  <c r="Q29" i="19" a="1"/>
  <c r="O28" i="19" a="1"/>
  <c r="G29" i="19" a="1"/>
  <c r="K28" i="19" a="1"/>
  <c r="T29" i="19" a="1"/>
  <c r="M28" i="19" a="1"/>
  <c r="W157" i="46" a="1"/>
  <c r="W155" i="46" a="1"/>
  <c r="R29" i="19" a="1"/>
  <c r="G28" i="19" a="1"/>
  <c r="W156" i="46" a="1"/>
  <c r="F29" i="19" a="1"/>
  <c r="W154" i="46" a="1"/>
  <c r="N28" i="19" a="1"/>
  <c r="W159" i="46" a="1"/>
  <c r="H29" i="19" a="1"/>
  <c r="O29" i="19" a="1"/>
  <c r="J29" i="19" a="1"/>
  <c r="Q28" i="19" l="1"/>
  <c r="Q29" i="19"/>
  <c r="P28" i="19"/>
  <c r="P29" i="19"/>
  <c r="O28" i="19"/>
  <c r="O29" i="19"/>
  <c r="N28" i="19"/>
  <c r="N29" i="19"/>
  <c r="M28" i="19"/>
  <c r="M29" i="19"/>
  <c r="F28" i="19"/>
  <c r="G28" i="19"/>
  <c r="H28" i="19"/>
  <c r="I28" i="19"/>
  <c r="J28" i="19"/>
  <c r="K28" i="19"/>
  <c r="L28" i="19"/>
  <c r="R28" i="19"/>
  <c r="S28" i="19"/>
  <c r="T28" i="19"/>
  <c r="U28" i="19"/>
  <c r="V28" i="19"/>
  <c r="K29" i="19"/>
  <c r="L29" i="19"/>
  <c r="W154" i="46"/>
  <c r="W155" i="46"/>
  <c r="W156" i="46"/>
  <c r="X155" i="46"/>
  <c r="X156" i="46"/>
  <c r="W148" i="46"/>
  <c r="W157" i="46"/>
  <c r="X148" i="46"/>
  <c r="X157" i="46"/>
  <c r="W159" i="46"/>
  <c r="W153" i="46"/>
  <c r="X159" i="46"/>
  <c r="V29" i="19"/>
  <c r="S29" i="19"/>
  <c r="F29" i="19"/>
  <c r="G29" i="19"/>
  <c r="U29" i="19"/>
  <c r="D29" i="19"/>
  <c r="R29" i="19"/>
  <c r="J29" i="19"/>
  <c r="I29" i="19"/>
  <c r="T29" i="19"/>
  <c r="H29" i="19"/>
  <c r="CF157" i="45"/>
  <c r="CF146" i="45"/>
  <c r="CH52" i="45" s="1"/>
  <c r="CK52" i="45" s="1"/>
  <c r="W152" i="46" a="1"/>
  <c r="W147" i="46" a="1"/>
  <c r="W158" i="46" a="1"/>
  <c r="X158" i="46" a="1"/>
  <c r="X147" i="46" a="1"/>
  <c r="CJ52" i="45" l="1"/>
  <c r="CI52" i="45"/>
  <c r="CH38" i="45"/>
  <c r="W152" i="46"/>
  <c r="W147" i="46"/>
  <c r="W158" i="46"/>
  <c r="X147" i="46"/>
  <c r="X158" i="46"/>
  <c r="BN138" i="45"/>
  <c r="CI38" i="45" l="1"/>
  <c r="CJ38" i="45"/>
  <c r="CF145" i="45"/>
  <c r="CF143" i="45"/>
  <c r="CF142" i="45"/>
  <c r="CF141" i="45"/>
  <c r="CF140" i="45"/>
  <c r="CF139" i="45"/>
  <c r="CF134" i="45"/>
  <c r="CF132" i="45"/>
  <c r="CF131" i="45"/>
  <c r="CF129" i="45"/>
  <c r="CF125" i="45"/>
  <c r="CF124" i="45"/>
  <c r="CF123" i="45"/>
  <c r="CF122" i="45"/>
  <c r="CF121" i="45"/>
  <c r="CF120" i="45"/>
  <c r="CF118" i="45"/>
  <c r="CF117" i="45"/>
  <c r="CF114" i="45"/>
  <c r="CF113" i="45"/>
  <c r="CF110" i="45"/>
  <c r="CF109" i="45"/>
  <c r="CF107" i="45"/>
  <c r="CF106" i="45"/>
  <c r="CF105" i="45"/>
  <c r="CF104" i="45"/>
  <c r="CF102" i="45"/>
  <c r="CF101" i="45"/>
  <c r="CF100" i="45"/>
  <c r="CF97" i="45"/>
  <c r="CF96" i="45"/>
  <c r="CF95" i="45"/>
  <c r="CF94" i="45"/>
  <c r="CF92" i="45"/>
  <c r="CF88" i="45"/>
  <c r="CF87" i="45"/>
  <c r="CF84" i="45"/>
  <c r="CF79" i="45"/>
  <c r="CF76" i="45"/>
  <c r="CF75" i="45"/>
  <c r="CF74" i="45"/>
  <c r="CF73" i="45"/>
  <c r="CF72" i="45"/>
  <c r="CF71" i="45"/>
  <c r="CF70" i="45"/>
  <c r="CF69" i="45"/>
  <c r="CF68" i="45"/>
  <c r="CF67" i="45"/>
  <c r="CF65" i="45"/>
  <c r="CF64" i="45"/>
  <c r="CF63" i="45"/>
  <c r="CF61" i="45"/>
  <c r="CF60" i="45"/>
  <c r="CF59" i="45"/>
  <c r="CF58" i="45"/>
  <c r="CF57" i="45"/>
  <c r="CF56" i="45"/>
  <c r="CF52" i="45"/>
  <c r="CF49" i="45"/>
  <c r="CF48" i="45"/>
  <c r="CF47" i="45"/>
  <c r="CF46" i="45"/>
  <c r="CF43" i="45"/>
  <c r="CF42" i="45"/>
  <c r="CF41" i="45"/>
  <c r="CF40" i="45"/>
  <c r="CF39" i="45"/>
  <c r="CF33" i="45"/>
  <c r="CF32" i="45"/>
  <c r="CF31" i="45"/>
  <c r="CF30" i="45"/>
  <c r="CF29" i="45"/>
  <c r="CF28" i="45"/>
  <c r="CF27" i="45"/>
  <c r="CF26" i="45"/>
  <c r="CF11" i="45"/>
  <c r="CF9" i="45"/>
  <c r="CF7" i="45"/>
  <c r="CC79" i="45"/>
  <c r="CD77" i="45"/>
  <c r="CC77" i="45"/>
  <c r="CD76" i="45"/>
  <c r="CC76" i="45"/>
  <c r="CD75" i="45"/>
  <c r="CC75" i="45"/>
  <c r="CD74" i="45"/>
  <c r="CC74" i="45"/>
  <c r="CD73" i="45"/>
  <c r="CC73" i="45"/>
  <c r="CD72" i="45"/>
  <c r="CC72" i="45"/>
  <c r="CD71" i="45"/>
  <c r="CC71" i="45"/>
  <c r="CD70" i="45"/>
  <c r="CC70" i="45"/>
  <c r="CD69" i="45"/>
  <c r="CC69" i="45"/>
  <c r="CD68" i="45"/>
  <c r="CC68" i="45"/>
  <c r="CD67" i="45"/>
  <c r="CC67" i="45"/>
  <c r="CD66" i="45"/>
  <c r="CC66" i="45"/>
  <c r="CD65" i="45"/>
  <c r="CC65" i="45"/>
  <c r="CD64" i="45"/>
  <c r="CC64" i="45"/>
  <c r="CD63" i="45"/>
  <c r="CC63" i="45"/>
  <c r="CD62" i="45"/>
  <c r="CC62" i="45"/>
  <c r="CD61" i="45"/>
  <c r="CC61" i="45"/>
  <c r="CD60" i="45"/>
  <c r="CC60" i="45"/>
  <c r="CD59" i="45"/>
  <c r="CC59" i="45"/>
  <c r="CD58" i="45"/>
  <c r="CC58" i="45"/>
  <c r="CD57" i="45"/>
  <c r="CC57" i="45"/>
  <c r="CD56" i="45"/>
  <c r="CC56" i="45"/>
  <c r="CC55" i="45" s="1"/>
  <c r="CD52" i="45"/>
  <c r="CC52" i="45"/>
  <c r="CD49" i="45"/>
  <c r="CC49" i="45"/>
  <c r="CD48" i="45"/>
  <c r="CC48" i="45"/>
  <c r="CD47" i="45"/>
  <c r="CC47" i="45"/>
  <c r="CD46" i="45"/>
  <c r="CC46" i="45"/>
  <c r="CD44" i="45"/>
  <c r="CC44" i="45"/>
  <c r="CD43" i="45"/>
  <c r="CC43" i="45"/>
  <c r="CD42" i="45"/>
  <c r="CC42" i="45"/>
  <c r="CD41" i="45"/>
  <c r="CC41" i="45"/>
  <c r="CD40" i="45"/>
  <c r="CC40" i="45"/>
  <c r="CD39" i="45"/>
  <c r="CC39" i="45"/>
  <c r="CD38" i="45"/>
  <c r="CC38" i="45"/>
  <c r="CD11" i="45"/>
  <c r="CC11" i="45"/>
  <c r="CC9" i="45"/>
  <c r="CC8" i="45"/>
  <c r="CD7" i="45"/>
  <c r="CD6" i="45"/>
  <c r="CC6" i="45"/>
  <c r="BO8" i="45"/>
  <c r="X85" i="46" a="1"/>
  <c r="CD55" i="45" l="1"/>
  <c r="BY176" i="45"/>
  <c r="CH45" i="45"/>
  <c r="CH11" i="45"/>
  <c r="CC45" i="45"/>
  <c r="CD45" i="45"/>
  <c r="CH10" i="45"/>
  <c r="CD10" i="45"/>
  <c r="CC10" i="45"/>
  <c r="CI11" i="45"/>
  <c r="CJ11" i="45"/>
  <c r="X85" i="46"/>
  <c r="BO234" i="22"/>
  <c r="BO173" i="22"/>
  <c r="BO212" i="22"/>
  <c r="BO137" i="22"/>
  <c r="BO79" i="22"/>
  <c r="AU376" i="22"/>
  <c r="AU377" i="22"/>
  <c r="AU378" i="22"/>
  <c r="AU379" i="22"/>
  <c r="AU380" i="22"/>
  <c r="AU381" i="22"/>
  <c r="AU382" i="22"/>
  <c r="AU383" i="22"/>
  <c r="AU384" i="22"/>
  <c r="AU385" i="22"/>
  <c r="AU386" i="22"/>
  <c r="AU387" i="22"/>
  <c r="AU388" i="22"/>
  <c r="AU389" i="22"/>
  <c r="AU390" i="22"/>
  <c r="AU391" i="22"/>
  <c r="AU392" i="22"/>
  <c r="AU393" i="22"/>
  <c r="AU394" i="22"/>
  <c r="AU395" i="22"/>
  <c r="AU396" i="22"/>
  <c r="AU397" i="22"/>
  <c r="AU398" i="22"/>
  <c r="AU399" i="22"/>
  <c r="AU400" i="22"/>
  <c r="AU401" i="22"/>
  <c r="AU402" i="22"/>
  <c r="AU403" i="22"/>
  <c r="AU404" i="22"/>
  <c r="AU405" i="22"/>
  <c r="AU406" i="22"/>
  <c r="AU407" i="22"/>
  <c r="AU408" i="22"/>
  <c r="AU409" i="22"/>
  <c r="AU410" i="22"/>
  <c r="AU411" i="22"/>
  <c r="AU412" i="22"/>
  <c r="AU413" i="22"/>
  <c r="AU414" i="22"/>
  <c r="AU415" i="22"/>
  <c r="AU416" i="22"/>
  <c r="AU417" i="22"/>
  <c r="AU418" i="22"/>
  <c r="AU419" i="22"/>
  <c r="AU420" i="22"/>
  <c r="AU421" i="22"/>
  <c r="AU422" i="22"/>
  <c r="AU423" i="22"/>
  <c r="AU424" i="22"/>
  <c r="AU425" i="22"/>
  <c r="AU426" i="22"/>
  <c r="AU427" i="22"/>
  <c r="AU428" i="22"/>
  <c r="AU429" i="22"/>
  <c r="AU430" i="22"/>
  <c r="AU431" i="22"/>
  <c r="AU432" i="22"/>
  <c r="AU433" i="22"/>
  <c r="AU434" i="22"/>
  <c r="AU435" i="22"/>
  <c r="AU436" i="22"/>
  <c r="AU437" i="22"/>
  <c r="AU438" i="22"/>
  <c r="AU439" i="22"/>
  <c r="AU440" i="22"/>
  <c r="AU441" i="22"/>
  <c r="AU442" i="22"/>
  <c r="AU443" i="22"/>
  <c r="AU444" i="22"/>
  <c r="AU445" i="22"/>
  <c r="AU446" i="22"/>
  <c r="AU447" i="22"/>
  <c r="AU448" i="22"/>
  <c r="AU449" i="22"/>
  <c r="AU450" i="22"/>
  <c r="AU451" i="22"/>
  <c r="AU452" i="22"/>
  <c r="AU453" i="22"/>
  <c r="AU454" i="22"/>
  <c r="AU455" i="22"/>
  <c r="AU456" i="22"/>
  <c r="AU457" i="22"/>
  <c r="AU458" i="22"/>
  <c r="AU459" i="22"/>
  <c r="AU460" i="22"/>
  <c r="AU461" i="22"/>
  <c r="AU462" i="22"/>
  <c r="AU463" i="22"/>
  <c r="AU464" i="22"/>
  <c r="AU465" i="22"/>
  <c r="AU466" i="22"/>
  <c r="AU467" i="22"/>
  <c r="AU468" i="22"/>
  <c r="AU469" i="22"/>
  <c r="AU470" i="22"/>
  <c r="AU471" i="22"/>
  <c r="AU472" i="22"/>
  <c r="AU473" i="22"/>
  <c r="AU474" i="22"/>
  <c r="AU475" i="22"/>
  <c r="AU476" i="22"/>
  <c r="AU477" i="22"/>
  <c r="AU375" i="22"/>
  <c r="AU239" i="22"/>
  <c r="AU240" i="22"/>
  <c r="AU241" i="22"/>
  <c r="AU242" i="22"/>
  <c r="AU243" i="22"/>
  <c r="AU244" i="22"/>
  <c r="AU245" i="22"/>
  <c r="AU246" i="22"/>
  <c r="AU247" i="22"/>
  <c r="AU248" i="22"/>
  <c r="AU249" i="22"/>
  <c r="AU250" i="22"/>
  <c r="AU251" i="22"/>
  <c r="AU252" i="22"/>
  <c r="AU253" i="22"/>
  <c r="AU254" i="22"/>
  <c r="AU255" i="22"/>
  <c r="AU256" i="22"/>
  <c r="AU257" i="22"/>
  <c r="AU258" i="22"/>
  <c r="AU259" i="22"/>
  <c r="AU260" i="22"/>
  <c r="AU261" i="22"/>
  <c r="AU262" i="22"/>
  <c r="AU263" i="22"/>
  <c r="AU264" i="22"/>
  <c r="AU265" i="22"/>
  <c r="AU266" i="22"/>
  <c r="AU267" i="22"/>
  <c r="AU268" i="22"/>
  <c r="AU269" i="22"/>
  <c r="AU270" i="22"/>
  <c r="AU271" i="22"/>
  <c r="AU272" i="22"/>
  <c r="AU273" i="22"/>
  <c r="AU274" i="22"/>
  <c r="AU275" i="22"/>
  <c r="AU276" i="22"/>
  <c r="AU277" i="22"/>
  <c r="AU278" i="22"/>
  <c r="AU279" i="22"/>
  <c r="AU280" i="22"/>
  <c r="AU281" i="22"/>
  <c r="AU282" i="22"/>
  <c r="AU283" i="22"/>
  <c r="AU284" i="22"/>
  <c r="AU285" i="22"/>
  <c r="AU286" i="22"/>
  <c r="AU287" i="22"/>
  <c r="AU288" i="22"/>
  <c r="AU289" i="22"/>
  <c r="AU290" i="22"/>
  <c r="AU291" i="22"/>
  <c r="AU292" i="22"/>
  <c r="AU293" i="22"/>
  <c r="AU294" i="22"/>
  <c r="AU295" i="22"/>
  <c r="AU296" i="22"/>
  <c r="AU297" i="22"/>
  <c r="AU298" i="22"/>
  <c r="AU299" i="22"/>
  <c r="AU300" i="22"/>
  <c r="AU301" i="22"/>
  <c r="AU302" i="22"/>
  <c r="AU303" i="22"/>
  <c r="AU304" i="22"/>
  <c r="AU305" i="22"/>
  <c r="AU306" i="22"/>
  <c r="AU307" i="22"/>
  <c r="AU308" i="22"/>
  <c r="AU309" i="22"/>
  <c r="AU310" i="22"/>
  <c r="AU311" i="22"/>
  <c r="AU312" i="22"/>
  <c r="AU313" i="22"/>
  <c r="AU314" i="22"/>
  <c r="AU315" i="22"/>
  <c r="AU316" i="22"/>
  <c r="AU317" i="22"/>
  <c r="AU318" i="22"/>
  <c r="AU319" i="22"/>
  <c r="AU320" i="22"/>
  <c r="AU321" i="22"/>
  <c r="AU322" i="22"/>
  <c r="AU323" i="22"/>
  <c r="AU324" i="22"/>
  <c r="AU325" i="22"/>
  <c r="AU326" i="22"/>
  <c r="AU327" i="22"/>
  <c r="AU328" i="22"/>
  <c r="AU329" i="22"/>
  <c r="AU330" i="22"/>
  <c r="AU331" i="22"/>
  <c r="AU332" i="22"/>
  <c r="AU333" i="22"/>
  <c r="AU334" i="22"/>
  <c r="AU335" i="22"/>
  <c r="AU336" i="22"/>
  <c r="AU337" i="22"/>
  <c r="AU338" i="22"/>
  <c r="AU339" i="22"/>
  <c r="AU340" i="22"/>
  <c r="AU341" i="22"/>
  <c r="AU342" i="22"/>
  <c r="AU343" i="22"/>
  <c r="AU344" i="22"/>
  <c r="AU345" i="22"/>
  <c r="AU346" i="22"/>
  <c r="AU347" i="22"/>
  <c r="AU348" i="22"/>
  <c r="AU349" i="22"/>
  <c r="AU350" i="22"/>
  <c r="AU351" i="22"/>
  <c r="AU352" i="22"/>
  <c r="AU353" i="22"/>
  <c r="AU354" i="22"/>
  <c r="AU355" i="22"/>
  <c r="AU356" i="22"/>
  <c r="AU357" i="22"/>
  <c r="AU358" i="22"/>
  <c r="AU359" i="22"/>
  <c r="AU360" i="22"/>
  <c r="AU361" i="22"/>
  <c r="AU362" i="22"/>
  <c r="AU363" i="22"/>
  <c r="AU364" i="22"/>
  <c r="AU365" i="22"/>
  <c r="AU366" i="22"/>
  <c r="AU367" i="22"/>
  <c r="AU368" i="22"/>
  <c r="AU369" i="22"/>
  <c r="AU370" i="22"/>
  <c r="AU371" i="22"/>
  <c r="AU372" i="22"/>
  <c r="AU373" i="22"/>
  <c r="AU238" i="22"/>
  <c r="AU175" i="22"/>
  <c r="AU176" i="22"/>
  <c r="AU177" i="22"/>
  <c r="AU194" i="22"/>
  <c r="AU195" i="22"/>
  <c r="AU196" i="22"/>
  <c r="AU139" i="22"/>
  <c r="AU140" i="22"/>
  <c r="AU141" i="22"/>
  <c r="AU142" i="22"/>
  <c r="AU143" i="22"/>
  <c r="AU144" i="22"/>
  <c r="AU145" i="22"/>
  <c r="AU146" i="22"/>
  <c r="AU147" i="22"/>
  <c r="AU148" i="22"/>
  <c r="AU149" i="22"/>
  <c r="AU150" i="22"/>
  <c r="AU151" i="22"/>
  <c r="AU152" i="22"/>
  <c r="AU153" i="22"/>
  <c r="AU154" i="22"/>
  <c r="AU155" i="22"/>
  <c r="AU158" i="22"/>
  <c r="AU159" i="22"/>
  <c r="AU160" i="22"/>
  <c r="AU161" i="22"/>
  <c r="AU162" i="22"/>
  <c r="AU163" i="22"/>
  <c r="AU164" i="22"/>
  <c r="AU165" i="22"/>
  <c r="AU166" i="22"/>
  <c r="AU167" i="22"/>
  <c r="AU168" i="22"/>
  <c r="AU169" i="22"/>
  <c r="AU170" i="22"/>
  <c r="AU171" i="22"/>
  <c r="AU172" i="22"/>
  <c r="AU81" i="22"/>
  <c r="AU83" i="22"/>
  <c r="AU89" i="22"/>
  <c r="AU90" i="22"/>
  <c r="AU91" i="22"/>
  <c r="AU92" i="22"/>
  <c r="AU93" i="22"/>
  <c r="AU94" i="22"/>
  <c r="AU95" i="22"/>
  <c r="AU96" i="22"/>
  <c r="AU97" i="22"/>
  <c r="AU98" i="22"/>
  <c r="AU100" i="22"/>
  <c r="AU101" i="22"/>
  <c r="AU102" i="22"/>
  <c r="AU108" i="22"/>
  <c r="AU109" i="22"/>
  <c r="AU110" i="22"/>
  <c r="AU111" i="22"/>
  <c r="AU112" i="22"/>
  <c r="AU113" i="22"/>
  <c r="AU114" i="22"/>
  <c r="AU115" i="22"/>
  <c r="AU116" i="22"/>
  <c r="AU117" i="22"/>
  <c r="AU119" i="22"/>
  <c r="AU120" i="22"/>
  <c r="AU121" i="22"/>
  <c r="AU127" i="22"/>
  <c r="AU128" i="22"/>
  <c r="AU129" i="22"/>
  <c r="AU130" i="22"/>
  <c r="AU131" i="22"/>
  <c r="AU132" i="22"/>
  <c r="AU133" i="22"/>
  <c r="AU134" i="22"/>
  <c r="AU135" i="22"/>
  <c r="AU136" i="22"/>
  <c r="AU4" i="22"/>
  <c r="AU5" i="22"/>
  <c r="AU6" i="22"/>
  <c r="AU7" i="22"/>
  <c r="AU8" i="22"/>
  <c r="AU9" i="22"/>
  <c r="AU10" i="22"/>
  <c r="AU12" i="22"/>
  <c r="AU13" i="22"/>
  <c r="AU14" i="22"/>
  <c r="AU15" i="22"/>
  <c r="AU16" i="22"/>
  <c r="AU17" i="22"/>
  <c r="AU18" i="22"/>
  <c r="AU19" i="22"/>
  <c r="AU20" i="22"/>
  <c r="AU21" i="22"/>
  <c r="AU23" i="22"/>
  <c r="AU24" i="22"/>
  <c r="AU25" i="22"/>
  <c r="AU31" i="22"/>
  <c r="AU32" i="22"/>
  <c r="AU33" i="22"/>
  <c r="AU34" i="22"/>
  <c r="AU35" i="22"/>
  <c r="AU36" i="22"/>
  <c r="AU37" i="22"/>
  <c r="AU38" i="22"/>
  <c r="AU39" i="22"/>
  <c r="AU40" i="22"/>
  <c r="AU42" i="22"/>
  <c r="AU43" i="22"/>
  <c r="AU44" i="22"/>
  <c r="AU50" i="22"/>
  <c r="AU51" i="22"/>
  <c r="AU52" i="22"/>
  <c r="AU53" i="22"/>
  <c r="AU54" i="22"/>
  <c r="AU55" i="22"/>
  <c r="AU56" i="22"/>
  <c r="AU57" i="22"/>
  <c r="AU58" i="22"/>
  <c r="AU59" i="22"/>
  <c r="AU3" i="22"/>
  <c r="BN238" i="22"/>
  <c r="J49" i="26" a="1"/>
  <c r="F49" i="26" a="1"/>
  <c r="I49" i="26" a="1"/>
  <c r="G49" i="26" a="1"/>
  <c r="K49" i="26" a="1"/>
  <c r="H49" i="26" a="1"/>
  <c r="CH53" i="45" l="1"/>
  <c r="CK53" i="45" s="1"/>
  <c r="CF53" i="45"/>
  <c r="CD53" i="45"/>
  <c r="CC53" i="45"/>
  <c r="CJ45" i="45"/>
  <c r="CI45" i="45"/>
  <c r="CJ10" i="45"/>
  <c r="CI10" i="45"/>
  <c r="H49" i="26"/>
  <c r="G49" i="26"/>
  <c r="F49" i="26"/>
  <c r="I49" i="26"/>
  <c r="K49" i="26"/>
  <c r="J49" i="26"/>
  <c r="CJ53" i="45" l="1"/>
  <c r="CI53" i="45"/>
  <c r="T5" i="17"/>
  <c r="AX29" i="33"/>
  <c r="AX35" i="33"/>
  <c r="AX36" i="33"/>
  <c r="AX52" i="33"/>
  <c r="AX53" i="33"/>
  <c r="AX54" i="33"/>
  <c r="AF4" i="33"/>
  <c r="AW67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W42" i="33"/>
  <c r="AW41" i="33"/>
  <c r="AW40" i="33"/>
  <c r="AW39" i="33"/>
  <c r="AW38" i="33"/>
  <c r="AW37" i="33"/>
  <c r="AW36" i="33"/>
  <c r="AW35" i="33"/>
  <c r="AW34" i="33"/>
  <c r="AW33" i="33"/>
  <c r="AW32" i="33"/>
  <c r="AW31" i="33"/>
  <c r="AW30" i="33"/>
  <c r="AW29" i="33"/>
  <c r="AW28" i="33"/>
  <c r="AW27" i="33"/>
  <c r="AW26" i="33"/>
  <c r="AW24" i="33"/>
  <c r="AW23" i="33"/>
  <c r="AW22" i="33"/>
  <c r="AW21" i="33"/>
  <c r="AW19" i="33"/>
  <c r="AW18" i="33"/>
  <c r="AW17" i="33"/>
  <c r="AW16" i="33"/>
  <c r="AW15" i="33"/>
  <c r="AW13" i="33"/>
  <c r="AW12" i="33"/>
  <c r="AW11" i="33"/>
  <c r="AW10" i="33"/>
  <c r="AW9" i="33"/>
  <c r="AW8" i="33"/>
  <c r="AW7" i="33"/>
  <c r="AW6" i="33"/>
  <c r="AW5" i="33"/>
  <c r="AW4" i="33"/>
  <c r="AX4" i="33" l="1"/>
  <c r="AB12" i="44"/>
  <c r="AB13" i="44"/>
  <c r="AB11" i="44"/>
  <c r="AB19" i="44"/>
  <c r="AB20" i="44"/>
  <c r="G13" i="44" a="1"/>
  <c r="W13" i="44" a="1"/>
  <c r="P13" i="44" a="1"/>
  <c r="M11" i="44" a="1"/>
  <c r="H11" i="44" a="1"/>
  <c r="M13" i="44" a="1"/>
  <c r="I13" i="44" a="1"/>
  <c r="F13" i="44" a="1"/>
  <c r="P11" i="44" a="1"/>
  <c r="N12" i="44" a="1"/>
  <c r="N20" i="44" a="1"/>
  <c r="P20" i="44" a="1"/>
  <c r="G20" i="44" a="1"/>
  <c r="L20" i="44" a="1"/>
  <c r="J20" i="44" a="1"/>
  <c r="L11" i="44" a="1"/>
  <c r="X13" i="44" a="1"/>
  <c r="G11" i="44" a="1"/>
  <c r="X12" i="44" a="1"/>
  <c r="J11" i="44" a="1"/>
  <c r="L19" i="44" a="1"/>
  <c r="O19" i="44" a="1"/>
  <c r="L12" i="44" a="1"/>
  <c r="I12" i="44" a="1"/>
  <c r="J12" i="44" a="1"/>
  <c r="L13" i="44" a="1"/>
  <c r="N11" i="44" a="1"/>
  <c r="J13" i="44" a="1"/>
  <c r="X11" i="44" a="1"/>
  <c r="W12" i="44" a="1"/>
  <c r="I11" i="44" a="1"/>
  <c r="H20" i="44" a="1"/>
  <c r="G12" i="44" a="1"/>
  <c r="H12" i="44" a="1"/>
  <c r="E20" i="44" a="1"/>
  <c r="M19" i="44" a="1"/>
  <c r="D13" i="44" a="1"/>
  <c r="O11" i="44" a="1"/>
  <c r="D11" i="44" a="1"/>
  <c r="K12" i="44" a="1"/>
  <c r="H13" i="44" a="1"/>
  <c r="N13" i="44" a="1"/>
  <c r="W11" i="44" a="1"/>
  <c r="P19" i="44" a="1"/>
  <c r="F12" i="44" a="1"/>
  <c r="M20" i="44" a="1"/>
  <c r="O13" i="44" a="1"/>
  <c r="O20" i="44" a="1"/>
  <c r="F20" i="44" a="1"/>
  <c r="N19" i="44" a="1"/>
  <c r="O12" i="44" a="1"/>
  <c r="D12" i="44" a="1"/>
  <c r="K20" i="44" a="1"/>
  <c r="M12" i="44" a="1"/>
  <c r="P12" i="44" a="1"/>
  <c r="K13" i="44" a="1"/>
  <c r="I20" i="44" a="1"/>
  <c r="K11" i="44" a="1"/>
  <c r="P19" i="44" l="1"/>
  <c r="P11" i="44"/>
  <c r="P12" i="44"/>
  <c r="P20" i="44"/>
  <c r="P13" i="44"/>
  <c r="O20" i="44"/>
  <c r="O11" i="44"/>
  <c r="O19" i="44"/>
  <c r="O12" i="44"/>
  <c r="O13" i="44"/>
  <c r="N20" i="44"/>
  <c r="N11" i="44"/>
  <c r="N13" i="44"/>
  <c r="N19" i="44"/>
  <c r="N12" i="44"/>
  <c r="M19" i="44"/>
  <c r="M11" i="44"/>
  <c r="M12" i="44"/>
  <c r="M20" i="44"/>
  <c r="M13" i="44"/>
  <c r="L11" i="44"/>
  <c r="L13" i="44"/>
  <c r="L20" i="44"/>
  <c r="L19" i="44"/>
  <c r="L12" i="44"/>
  <c r="D12" i="44"/>
  <c r="F12" i="44"/>
  <c r="D13" i="44"/>
  <c r="F13" i="44"/>
  <c r="G12" i="44"/>
  <c r="G13" i="44"/>
  <c r="H12" i="44"/>
  <c r="H13" i="44"/>
  <c r="W12" i="44"/>
  <c r="I13" i="44"/>
  <c r="J12" i="44"/>
  <c r="X12" i="44"/>
  <c r="X13" i="44"/>
  <c r="W13" i="44"/>
  <c r="J13" i="44"/>
  <c r="I12" i="44"/>
  <c r="K12" i="44"/>
  <c r="K13" i="44"/>
  <c r="D11" i="44"/>
  <c r="H11" i="44"/>
  <c r="G11" i="44"/>
  <c r="I11" i="44"/>
  <c r="W11" i="44"/>
  <c r="J11" i="44"/>
  <c r="X11" i="44"/>
  <c r="K11" i="44"/>
  <c r="J20" i="44"/>
  <c r="I20" i="44"/>
  <c r="H20" i="44"/>
  <c r="G20" i="44"/>
  <c r="E20" i="44"/>
  <c r="K20" i="44"/>
  <c r="F20" i="44"/>
  <c r="AH42" i="33" l="1"/>
  <c r="AH39" i="33"/>
  <c r="BI16" i="55" l="1"/>
  <c r="BI8" i="54" l="1"/>
  <c r="AG109" i="34" l="1"/>
  <c r="T104" i="19" a="1"/>
  <c r="T90" i="19" a="1"/>
  <c r="T103" i="19" a="1"/>
  <c r="T87" i="19" a="1"/>
  <c r="T70" i="19" a="1"/>
  <c r="T69" i="19" a="1"/>
  <c r="T74" i="19" a="1"/>
  <c r="T85" i="19" a="1"/>
  <c r="T98" i="19" a="1"/>
  <c r="T78" i="19" a="1"/>
  <c r="T92" i="19" a="1"/>
  <c r="T86" i="19" a="1"/>
  <c r="T68" i="19" a="1"/>
  <c r="T82" i="19" a="1"/>
  <c r="T89" i="19" a="1"/>
  <c r="T88" i="19" a="1"/>
  <c r="T102" i="19" a="1"/>
  <c r="T72" i="19" a="1"/>
  <c r="T77" i="19" a="1"/>
  <c r="T79" i="19" a="1"/>
  <c r="T65" i="19" a="1"/>
  <c r="T75" i="19" a="1"/>
  <c r="T73" i="19" a="1"/>
  <c r="T93" i="19" a="1"/>
  <c r="T80" i="19" a="1"/>
  <c r="T81" i="19" a="1"/>
  <c r="T76" i="19" a="1"/>
  <c r="T96" i="19" a="1"/>
  <c r="T99" i="19" a="1"/>
  <c r="T66" i="19" a="1"/>
  <c r="T71" i="19" a="1"/>
  <c r="T83" i="19" a="1"/>
  <c r="T101" i="19" a="1"/>
  <c r="T67" i="19" a="1"/>
  <c r="T84" i="19" a="1"/>
  <c r="T95" i="19" a="1"/>
  <c r="T67" i="19" l="1"/>
  <c r="T66" i="19"/>
  <c r="T83" i="19"/>
  <c r="T104" i="19"/>
  <c r="T79" i="19"/>
  <c r="T81" i="19"/>
  <c r="T86" i="19"/>
  <c r="T80" i="19"/>
  <c r="T65" i="19"/>
  <c r="T103" i="19"/>
  <c r="T77" i="19"/>
  <c r="T92" i="19"/>
  <c r="T85" i="19"/>
  <c r="T75" i="19"/>
  <c r="T95" i="19"/>
  <c r="T68" i="19"/>
  <c r="T96" i="19"/>
  <c r="T74" i="19"/>
  <c r="T93" i="19"/>
  <c r="T73" i="19"/>
  <c r="T98" i="19"/>
  <c r="T76" i="19"/>
  <c r="T90" i="19"/>
  <c r="T72" i="19"/>
  <c r="T101" i="19"/>
  <c r="T84" i="19"/>
  <c r="T89" i="19"/>
  <c r="T71" i="19"/>
  <c r="T82" i="19"/>
  <c r="T88" i="19"/>
  <c r="T70" i="19"/>
  <c r="T78" i="19"/>
  <c r="T102" i="19"/>
  <c r="T99" i="19"/>
  <c r="T87" i="19"/>
  <c r="T69" i="19"/>
  <c r="AN60" i="22"/>
  <c r="AS60" i="22"/>
  <c r="BA22" i="47" l="1"/>
  <c r="BA23" i="47"/>
  <c r="AV14" i="47"/>
  <c r="AY14" i="47" s="1"/>
  <c r="AB23" i="44"/>
  <c r="AB24" i="44"/>
  <c r="AB29" i="44"/>
  <c r="AB30" i="44"/>
  <c r="AB31" i="44"/>
  <c r="AB33" i="44"/>
  <c r="AB34" i="44"/>
  <c r="AB35" i="44"/>
  <c r="AB36" i="44"/>
  <c r="AB26" i="44"/>
  <c r="AB27" i="44"/>
  <c r="AB28" i="44"/>
  <c r="AB25" i="44"/>
  <c r="V5" i="44"/>
  <c r="AB16" i="44"/>
  <c r="AB18" i="44"/>
  <c r="AB15" i="44"/>
  <c r="AB7" i="44"/>
  <c r="AB8" i="44"/>
  <c r="AB9" i="44"/>
  <c r="AB6" i="44"/>
  <c r="BT10" i="43"/>
  <c r="BU10" i="43" s="1"/>
  <c r="BT11" i="43"/>
  <c r="BU11" i="43" s="1"/>
  <c r="BT14" i="43"/>
  <c r="BU14" i="43" s="1"/>
  <c r="BT16" i="43"/>
  <c r="BU16" i="43" s="1"/>
  <c r="BT17" i="43"/>
  <c r="BU17" i="43" s="1"/>
  <c r="BT18" i="43"/>
  <c r="BU18" i="43" s="1"/>
  <c r="BT21" i="43"/>
  <c r="BU21" i="43" s="1"/>
  <c r="BT13" i="43"/>
  <c r="BU13" i="43" s="1"/>
  <c r="BT9" i="43"/>
  <c r="BU9" i="43" s="1"/>
  <c r="AF29" i="43"/>
  <c r="AR29" i="43" s="1"/>
  <c r="AF20" i="43"/>
  <c r="AF16" i="43"/>
  <c r="AF13" i="43"/>
  <c r="AF9" i="43"/>
  <c r="AF5" i="43"/>
  <c r="AR5" i="43" s="1"/>
  <c r="L25" i="44" a="1"/>
  <c r="O34" i="44" a="1"/>
  <c r="R23" i="44" a="1"/>
  <c r="N8" i="44" a="1"/>
  <c r="U23" i="44" a="1"/>
  <c r="H33" i="44" a="1"/>
  <c r="R24" i="44" a="1"/>
  <c r="X35" i="44" a="1"/>
  <c r="W26" i="44" a="1"/>
  <c r="L7" i="44" a="1"/>
  <c r="M6" i="44" a="1"/>
  <c r="P9" i="44" a="1"/>
  <c r="O33" i="44" a="1"/>
  <c r="O8" i="44" a="1"/>
  <c r="V29" i="44" a="1"/>
  <c r="G35" i="44" a="1"/>
  <c r="N35" i="44" a="1"/>
  <c r="V31" i="44" a="1"/>
  <c r="X33" i="44" a="1"/>
  <c r="O25" i="44" a="1"/>
  <c r="F31" i="44" a="1"/>
  <c r="X23" i="44" a="1"/>
  <c r="U24" i="44" a="1"/>
  <c r="X30" i="44" a="1"/>
  <c r="P23" i="44" a="1"/>
  <c r="O24" i="44" a="1"/>
  <c r="L18" i="44" a="1"/>
  <c r="P15" i="44" a="1"/>
  <c r="H38" i="44" a="1"/>
  <c r="M7" i="44" a="1"/>
  <c r="N16" i="44" a="1"/>
  <c r="P26" i="44" a="1"/>
  <c r="N25" i="44" a="1"/>
  <c r="O30" i="44" a="1"/>
  <c r="P24" i="44" a="1"/>
  <c r="G30" i="44" a="1"/>
  <c r="N7" i="44" a="1"/>
  <c r="O6" i="44" a="1"/>
  <c r="W29" i="44" a="1"/>
  <c r="D35" i="44" a="1"/>
  <c r="X27" i="44" a="1"/>
  <c r="V26" i="44" a="1"/>
  <c r="W31" i="44" a="1"/>
  <c r="L6" i="44" a="1"/>
  <c r="M23" i="44" a="1"/>
  <c r="L29" i="44" a="1"/>
  <c r="N9" i="44" a="1"/>
  <c r="M15" i="44" a="1"/>
  <c r="O36" i="44" a="1"/>
  <c r="K30" i="44" a="1"/>
  <c r="P8" i="44" a="1"/>
  <c r="I33" i="44" a="1"/>
  <c r="F36" i="44" a="1"/>
  <c r="U22" i="44" a="1"/>
  <c r="J6" i="44" a="1"/>
  <c r="D36" i="44" a="1"/>
  <c r="S24" i="44" a="1"/>
  <c r="O31" i="44" a="1"/>
  <c r="N30" i="44" a="1"/>
  <c r="E35" i="44" a="1"/>
  <c r="X26" i="44" a="1"/>
  <c r="L30" i="44" a="1"/>
  <c r="N36" i="44" a="1"/>
  <c r="L31" i="44" a="1"/>
  <c r="L27" i="44" a="1"/>
  <c r="O15" i="44" a="1"/>
  <c r="L23" i="44" a="1"/>
  <c r="I35" i="44" a="1"/>
  <c r="D33" i="44" a="1"/>
  <c r="M16" i="44" a="1"/>
  <c r="W38" i="44" a="1"/>
  <c r="N33" i="44" a="1"/>
  <c r="M35" i="44" a="1"/>
  <c r="L33" i="44" a="1"/>
  <c r="L35" i="44" a="1"/>
  <c r="M33" i="44" a="1"/>
  <c r="J33" i="44" a="1"/>
  <c r="H34" i="44" a="1"/>
  <c r="X28" i="44" a="1"/>
  <c r="F34" i="44" a="1"/>
  <c r="K36" i="44" a="1"/>
  <c r="N6" i="44" a="1"/>
  <c r="T13" i="44" a="1"/>
  <c r="L9" i="44" a="1"/>
  <c r="F30" i="44" a="1"/>
  <c r="D31" i="44" a="1"/>
  <c r="N31" i="44" a="1"/>
  <c r="S22" i="44" a="1"/>
  <c r="I30" i="44" a="1"/>
  <c r="J31" i="44" a="1"/>
  <c r="W28" i="44" a="1"/>
  <c r="P18" i="44" a="1"/>
  <c r="V27" i="44" a="1"/>
  <c r="M31" i="44" a="1"/>
  <c r="W33" i="44" a="1"/>
  <c r="P36" i="44" a="1"/>
  <c r="H35" i="44" a="1"/>
  <c r="O16" i="44" a="1"/>
  <c r="P29" i="44" a="1"/>
  <c r="K31" i="44" a="1"/>
  <c r="X24" i="44" a="1"/>
  <c r="N24" i="44" a="1"/>
  <c r="M36" i="44" a="1"/>
  <c r="M24" i="44" a="1"/>
  <c r="M30" i="44" a="1"/>
  <c r="M27" i="44" a="1"/>
  <c r="N34" i="44" a="1"/>
  <c r="O26" i="44" a="1"/>
  <c r="X34" i="44" a="1"/>
  <c r="F35" i="44" a="1"/>
  <c r="J35" i="44" a="1"/>
  <c r="V28" i="44" a="1"/>
  <c r="W22" i="44" a="1"/>
  <c r="H6" i="44" a="1"/>
  <c r="O23" i="44" a="1"/>
  <c r="V35" i="44" a="1"/>
  <c r="R22" i="44" a="1"/>
  <c r="X38" i="44" a="1"/>
  <c r="M29" i="44" a="1"/>
  <c r="D8" i="44" a="1"/>
  <c r="F6" i="44" a="1"/>
  <c r="O29" i="44" a="1"/>
  <c r="O28" i="44" a="1"/>
  <c r="P6" i="44" a="1"/>
  <c r="T12" i="44" a="1"/>
  <c r="L34" i="44" a="1"/>
  <c r="W36" i="44" a="1"/>
  <c r="H36" i="44" a="1"/>
  <c r="N27" i="44" a="1"/>
  <c r="X22" i="44" a="1"/>
  <c r="O18" i="44" a="1"/>
  <c r="W27" i="44" a="1"/>
  <c r="P34" i="44" a="1"/>
  <c r="M18" i="44" a="1"/>
  <c r="M25" i="44" a="1"/>
  <c r="H31" i="44" a="1"/>
  <c r="W30" i="44" a="1"/>
  <c r="M26" i="44" a="1"/>
  <c r="L15" i="44" a="1"/>
  <c r="V38" i="44" a="1"/>
  <c r="O7" i="44" a="1"/>
  <c r="N18" i="44" a="1"/>
  <c r="V30" i="44" a="1"/>
  <c r="L16" i="44" a="1"/>
  <c r="G6" i="44" a="1"/>
  <c r="P16" i="44" a="1"/>
  <c r="L36" i="44" a="1"/>
  <c r="M9" i="44" a="1"/>
  <c r="J38" i="44" a="1"/>
  <c r="P7" i="44" a="1"/>
  <c r="V34" i="44" a="1"/>
  <c r="D34" i="44" a="1"/>
  <c r="V36" i="44" a="1"/>
  <c r="N26" i="44" a="1"/>
  <c r="M8" i="44" a="1"/>
  <c r="F33" i="44" a="1"/>
  <c r="W25" i="44" a="1"/>
  <c r="P27" i="44" a="1"/>
  <c r="G36" i="44" a="1"/>
  <c r="D9" i="44" a="1"/>
  <c r="K33" i="44" a="1"/>
  <c r="L24" i="44" a="1"/>
  <c r="G31" i="44" a="1"/>
  <c r="X36" i="44" a="1"/>
  <c r="M34" i="44" a="1"/>
  <c r="H30" i="44" a="1"/>
  <c r="I38" i="44" a="1"/>
  <c r="P31" i="44" a="1"/>
  <c r="K6" i="44" a="1"/>
  <c r="K34" i="44" a="1"/>
  <c r="L28" i="44" a="1"/>
  <c r="I6" i="44" a="1"/>
  <c r="W34" i="44" a="1"/>
  <c r="T20" i="44" a="1"/>
  <c r="O35" i="44" a="1"/>
  <c r="N28" i="44" a="1"/>
  <c r="X29" i="44" a="1"/>
  <c r="P28" i="44" a="1"/>
  <c r="D30" i="44" a="1"/>
  <c r="L26" i="44" a="1"/>
  <c r="W23" i="44" a="1"/>
  <c r="N23" i="44" a="1"/>
  <c r="V25" i="44" a="1"/>
  <c r="I31" i="44" a="1"/>
  <c r="M28" i="44" a="1"/>
  <c r="J30" i="44" a="1"/>
  <c r="J34" i="44" a="1"/>
  <c r="P33" i="44" a="1"/>
  <c r="W24" i="44" a="1"/>
  <c r="W35" i="44" a="1"/>
  <c r="V33" i="44" a="1"/>
  <c r="N29" i="44" a="1"/>
  <c r="N15" i="44" a="1"/>
  <c r="X31" i="44" a="1"/>
  <c r="O27" i="44" a="1"/>
  <c r="D7" i="44" a="1"/>
  <c r="P35" i="44" a="1"/>
  <c r="O9" i="44" a="1"/>
  <c r="F11" i="44" a="1"/>
  <c r="G33" i="44" a="1"/>
  <c r="P30" i="44" a="1"/>
  <c r="X25" i="44" a="1"/>
  <c r="S23" i="44" a="1"/>
  <c r="L8" i="44" a="1"/>
  <c r="T11" i="44" a="1"/>
  <c r="G34" i="44" a="1"/>
  <c r="P25" i="44" a="1"/>
  <c r="P28" i="44" l="1"/>
  <c r="P6" i="44"/>
  <c r="P25" i="44"/>
  <c r="P24" i="44"/>
  <c r="P23" i="44"/>
  <c r="P27" i="44"/>
  <c r="P36" i="44"/>
  <c r="P34" i="44"/>
  <c r="P33" i="44"/>
  <c r="P31" i="44"/>
  <c r="P9" i="44"/>
  <c r="P29" i="44"/>
  <c r="P18" i="44"/>
  <c r="P26" i="44"/>
  <c r="P30" i="44"/>
  <c r="P8" i="44"/>
  <c r="P7" i="44"/>
  <c r="P15" i="44"/>
  <c r="P16" i="44"/>
  <c r="P35" i="44"/>
  <c r="O24" i="44"/>
  <c r="O35" i="44"/>
  <c r="O6" i="44"/>
  <c r="O9" i="44"/>
  <c r="O7" i="44"/>
  <c r="O18" i="44"/>
  <c r="O25" i="44"/>
  <c r="O36" i="44"/>
  <c r="O31" i="44"/>
  <c r="O8" i="44"/>
  <c r="O23" i="44"/>
  <c r="O16" i="44"/>
  <c r="O28" i="44"/>
  <c r="O33" i="44"/>
  <c r="O34" i="44"/>
  <c r="O30" i="44"/>
  <c r="O29" i="44"/>
  <c r="O15" i="44"/>
  <c r="O27" i="44"/>
  <c r="O26" i="44"/>
  <c r="N35" i="44"/>
  <c r="N33" i="44"/>
  <c r="N31" i="44"/>
  <c r="N30" i="44"/>
  <c r="N36" i="44"/>
  <c r="N24" i="44"/>
  <c r="N18" i="44"/>
  <c r="N29" i="44"/>
  <c r="N16" i="44"/>
  <c r="N6" i="44"/>
  <c r="N8" i="44"/>
  <c r="N15" i="44"/>
  <c r="N25" i="44"/>
  <c r="N34" i="44"/>
  <c r="N9" i="44"/>
  <c r="N7" i="44"/>
  <c r="N28" i="44"/>
  <c r="N23" i="44"/>
  <c r="N27" i="44"/>
  <c r="N26" i="44"/>
  <c r="M34" i="44"/>
  <c r="M35" i="44"/>
  <c r="M36" i="44"/>
  <c r="M31" i="44"/>
  <c r="M7" i="44"/>
  <c r="M33" i="44"/>
  <c r="M15" i="44"/>
  <c r="M6" i="44"/>
  <c r="M9" i="44"/>
  <c r="M8" i="44"/>
  <c r="M25" i="44"/>
  <c r="M28" i="44"/>
  <c r="M27" i="44"/>
  <c r="M30" i="44"/>
  <c r="M29" i="44"/>
  <c r="M24" i="44"/>
  <c r="M23" i="44"/>
  <c r="M18" i="44"/>
  <c r="M16" i="44"/>
  <c r="M26" i="44"/>
  <c r="L33" i="44"/>
  <c r="L31" i="44"/>
  <c r="L36" i="44"/>
  <c r="L35" i="44"/>
  <c r="L34" i="44"/>
  <c r="L7" i="44"/>
  <c r="L8" i="44"/>
  <c r="L9" i="44"/>
  <c r="L30" i="44"/>
  <c r="L25" i="44"/>
  <c r="L15" i="44"/>
  <c r="L16" i="44"/>
  <c r="L28" i="44"/>
  <c r="L6" i="44"/>
  <c r="L24" i="44"/>
  <c r="L27" i="44"/>
  <c r="L29" i="44"/>
  <c r="L23" i="44"/>
  <c r="L18" i="44"/>
  <c r="L26" i="44"/>
  <c r="BT20" i="43"/>
  <c r="BU20" i="43" s="1"/>
  <c r="F11" i="44"/>
  <c r="W30" i="44"/>
  <c r="V30" i="44"/>
  <c r="X30" i="44"/>
  <c r="W25" i="44"/>
  <c r="X25" i="44"/>
  <c r="V25" i="44"/>
  <c r="X31" i="44"/>
  <c r="W31" i="44"/>
  <c r="V31" i="44"/>
  <c r="W28" i="44"/>
  <c r="V28" i="44"/>
  <c r="X28" i="44"/>
  <c r="W27" i="44"/>
  <c r="V27" i="44"/>
  <c r="X27" i="44"/>
  <c r="X29" i="44"/>
  <c r="V29" i="44"/>
  <c r="W29" i="44"/>
  <c r="V26" i="44"/>
  <c r="W26" i="44"/>
  <c r="X26" i="44"/>
  <c r="V34" i="44"/>
  <c r="X34" i="44"/>
  <c r="W34" i="44"/>
  <c r="W38" i="44"/>
  <c r="V38" i="44"/>
  <c r="X38" i="44"/>
  <c r="V36" i="44"/>
  <c r="W36" i="44"/>
  <c r="X36" i="44"/>
  <c r="V33" i="44"/>
  <c r="X33" i="44"/>
  <c r="W33" i="44"/>
  <c r="X35" i="44"/>
  <c r="W35" i="44"/>
  <c r="V35" i="44"/>
  <c r="X24" i="44"/>
  <c r="W24" i="44"/>
  <c r="U24" i="44"/>
  <c r="S24" i="44"/>
  <c r="R24" i="44"/>
  <c r="W23" i="44"/>
  <c r="X23" i="44"/>
  <c r="U23" i="44"/>
  <c r="R23" i="44"/>
  <c r="S23" i="44"/>
  <c r="X22" i="44"/>
  <c r="W22" i="44"/>
  <c r="R22" i="44"/>
  <c r="S22" i="44"/>
  <c r="U22" i="44"/>
  <c r="D8" i="44"/>
  <c r="D9" i="44"/>
  <c r="D7" i="44"/>
  <c r="T12" i="44"/>
  <c r="T11" i="44"/>
  <c r="T13" i="44"/>
  <c r="T20" i="44"/>
  <c r="K36" i="44"/>
  <c r="I35" i="44"/>
  <c r="I30" i="44"/>
  <c r="K33" i="44"/>
  <c r="G30" i="44"/>
  <c r="G36" i="44"/>
  <c r="F35" i="44"/>
  <c r="J33" i="44"/>
  <c r="D30" i="44"/>
  <c r="I33" i="44"/>
  <c r="H33" i="44"/>
  <c r="H35" i="44"/>
  <c r="D36" i="44"/>
  <c r="G35" i="44"/>
  <c r="I31" i="44"/>
  <c r="I38" i="44"/>
  <c r="D35" i="44"/>
  <c r="J38" i="44"/>
  <c r="K34" i="44"/>
  <c r="D31" i="44"/>
  <c r="G33" i="44"/>
  <c r="K30" i="44"/>
  <c r="G34" i="44"/>
  <c r="D34" i="44"/>
  <c r="H30" i="44"/>
  <c r="F36" i="44"/>
  <c r="H31" i="44"/>
  <c r="F30" i="44"/>
  <c r="H36" i="44"/>
  <c r="G31" i="44"/>
  <c r="J34" i="44"/>
  <c r="F31" i="44"/>
  <c r="K31" i="44"/>
  <c r="F34" i="44"/>
  <c r="J31" i="44"/>
  <c r="H38" i="44"/>
  <c r="E35" i="44"/>
  <c r="J35" i="44"/>
  <c r="H34" i="44"/>
  <c r="F33" i="44"/>
  <c r="D33" i="44"/>
  <c r="J30" i="44"/>
  <c r="K6" i="44"/>
  <c r="J6" i="44"/>
  <c r="I6" i="44"/>
  <c r="H6" i="44"/>
  <c r="G6" i="44"/>
  <c r="F6" i="44"/>
  <c r="BR191" i="45"/>
  <c r="BQ191" i="45"/>
  <c r="CB190" i="45"/>
  <c r="CA190" i="45"/>
  <c r="BY190" i="45"/>
  <c r="CB189" i="45"/>
  <c r="CA189" i="45"/>
  <c r="BZ189" i="45"/>
  <c r="BY189" i="45"/>
  <c r="BX189" i="45"/>
  <c r="BW189" i="45"/>
  <c r="CB188" i="45"/>
  <c r="BZ188" i="45"/>
  <c r="BY188" i="45"/>
  <c r="BX188" i="45"/>
  <c r="BW188" i="45"/>
  <c r="BV188" i="45"/>
  <c r="BU188" i="45"/>
  <c r="BT188" i="45"/>
  <c r="BS188" i="45"/>
  <c r="BQ188" i="45"/>
  <c r="CB187" i="45"/>
  <c r="CB186" i="45"/>
  <c r="CA186" i="45"/>
  <c r="BR186" i="45"/>
  <c r="BQ186" i="45"/>
  <c r="CB185" i="45"/>
  <c r="BX185" i="45"/>
  <c r="BW185" i="45"/>
  <c r="BU185" i="45"/>
  <c r="BR185" i="45"/>
  <c r="CB184" i="45"/>
  <c r="BS184" i="45"/>
  <c r="BQ184" i="45"/>
  <c r="CB182" i="45"/>
  <c r="BV182" i="45"/>
  <c r="BU182" i="45"/>
  <c r="BT182" i="45"/>
  <c r="BS182" i="45"/>
  <c r="BR182" i="45"/>
  <c r="BQ182" i="45"/>
  <c r="CB181" i="45"/>
  <c r="CB179" i="45"/>
  <c r="BZ179" i="45"/>
  <c r="BY179" i="45"/>
  <c r="BX179" i="45"/>
  <c r="BW179" i="45"/>
  <c r="BV179" i="45"/>
  <c r="BU179" i="45"/>
  <c r="BT179" i="45"/>
  <c r="BS179" i="45"/>
  <c r="CB177" i="45"/>
  <c r="CA177" i="45"/>
  <c r="CB175" i="45"/>
  <c r="BU175" i="45"/>
  <c r="BS175" i="45"/>
  <c r="BQ175" i="45"/>
  <c r="BR174" i="45"/>
  <c r="BQ174" i="45"/>
  <c r="CB173" i="45"/>
  <c r="BY173" i="45"/>
  <c r="CB172" i="45"/>
  <c r="BZ172" i="45"/>
  <c r="BV171" i="45"/>
  <c r="BT171" i="45"/>
  <c r="BS171" i="45"/>
  <c r="CB170" i="45"/>
  <c r="BV170" i="45"/>
  <c r="BU170" i="45"/>
  <c r="BT170" i="45"/>
  <c r="BS170" i="45"/>
  <c r="BR170" i="45"/>
  <c r="BQ170" i="45"/>
  <c r="CB169" i="45"/>
  <c r="CA169" i="45"/>
  <c r="CB191" i="45"/>
  <c r="CA191" i="45"/>
  <c r="BZ191" i="45"/>
  <c r="BY191" i="45"/>
  <c r="BX191" i="45"/>
  <c r="BW191" i="45"/>
  <c r="BV191" i="45"/>
  <c r="BU191" i="45"/>
  <c r="BT191" i="45"/>
  <c r="BS191" i="45"/>
  <c r="BX190" i="45"/>
  <c r="BW190" i="45"/>
  <c r="BV190" i="45"/>
  <c r="BU190" i="45"/>
  <c r="BQ190" i="45"/>
  <c r="CA188" i="45"/>
  <c r="BT189" i="45"/>
  <c r="BS189" i="45"/>
  <c r="BR189" i="45"/>
  <c r="BQ189" i="45"/>
  <c r="CA187" i="45"/>
  <c r="BZ187" i="45"/>
  <c r="BY187" i="45"/>
  <c r="BX187" i="45"/>
  <c r="BQ187" i="45"/>
  <c r="BZ186" i="45"/>
  <c r="BY186" i="45"/>
  <c r="BX186" i="45"/>
  <c r="BW186" i="45"/>
  <c r="BV186" i="45"/>
  <c r="BU186" i="45"/>
  <c r="CA185" i="45"/>
  <c r="BZ185" i="45"/>
  <c r="BY185" i="45"/>
  <c r="BV185" i="45"/>
  <c r="BT185" i="45"/>
  <c r="BS185" i="45"/>
  <c r="BQ185" i="45"/>
  <c r="CA184" i="45"/>
  <c r="BZ184" i="45"/>
  <c r="BY184" i="45"/>
  <c r="BX184" i="45"/>
  <c r="BW184" i="45"/>
  <c r="BV184" i="45"/>
  <c r="BU184" i="45"/>
  <c r="BT184" i="45"/>
  <c r="BR184" i="45"/>
  <c r="CA182" i="45"/>
  <c r="BZ182" i="45"/>
  <c r="BY182" i="45"/>
  <c r="BX182" i="45"/>
  <c r="BW182" i="45"/>
  <c r="BX181" i="45"/>
  <c r="BW181" i="45"/>
  <c r="BV181" i="45"/>
  <c r="BS181" i="45"/>
  <c r="CA179" i="45"/>
  <c r="BR179" i="45"/>
  <c r="BQ179" i="45"/>
  <c r="BQ178" i="45"/>
  <c r="CB178" i="45"/>
  <c r="CA178" i="45"/>
  <c r="BZ178" i="45"/>
  <c r="BY178" i="45"/>
  <c r="BX178" i="45"/>
  <c r="BW178" i="45"/>
  <c r="BR178" i="45"/>
  <c r="BV178" i="45"/>
  <c r="BU178" i="45"/>
  <c r="BT178" i="45"/>
  <c r="BS178" i="45"/>
  <c r="BZ177" i="45"/>
  <c r="BW177" i="45"/>
  <c r="BV177" i="45"/>
  <c r="BU177" i="45"/>
  <c r="BT177" i="45"/>
  <c r="BS177" i="45"/>
  <c r="BR176" i="45"/>
  <c r="CA175" i="45"/>
  <c r="BZ175" i="45"/>
  <c r="BY175" i="45"/>
  <c r="BX175" i="45"/>
  <c r="BW175" i="45"/>
  <c r="BV175" i="45"/>
  <c r="BR175" i="45"/>
  <c r="CB174" i="45"/>
  <c r="CA174" i="45"/>
  <c r="BZ174" i="45"/>
  <c r="BY174" i="45"/>
  <c r="BW174" i="45"/>
  <c r="BV174" i="45"/>
  <c r="BU174" i="45"/>
  <c r="CB171" i="45"/>
  <c r="BR171" i="45"/>
  <c r="BQ171" i="45"/>
  <c r="CA170" i="45"/>
  <c r="BZ170" i="45"/>
  <c r="BY171" i="45"/>
  <c r="BX171" i="45"/>
  <c r="BW171" i="45"/>
  <c r="X7" i="50"/>
  <c r="X8" i="50"/>
  <c r="X9" i="50"/>
  <c r="X10" i="50"/>
  <c r="X11" i="50"/>
  <c r="X12" i="50"/>
  <c r="X13" i="50"/>
  <c r="X14" i="50"/>
  <c r="X15" i="50"/>
  <c r="X16" i="50"/>
  <c r="X17" i="50"/>
  <c r="X18" i="50"/>
  <c r="X19" i="50"/>
  <c r="X20" i="50"/>
  <c r="X21" i="50"/>
  <c r="X22" i="50"/>
  <c r="X23" i="50"/>
  <c r="X24" i="50"/>
  <c r="X25" i="50"/>
  <c r="X26" i="50"/>
  <c r="X27" i="50"/>
  <c r="X28" i="50"/>
  <c r="X29" i="50"/>
  <c r="X30" i="50"/>
  <c r="X31" i="50"/>
  <c r="X32" i="50"/>
  <c r="X33" i="50"/>
  <c r="X34" i="50"/>
  <c r="X35" i="50"/>
  <c r="X36" i="50"/>
  <c r="X37" i="50"/>
  <c r="X38" i="50"/>
  <c r="X39" i="50"/>
  <c r="X40" i="50"/>
  <c r="X41" i="50"/>
  <c r="X6" i="50"/>
  <c r="AA6" i="48"/>
  <c r="T5" i="50"/>
  <c r="U5" i="48"/>
  <c r="AD14" i="56"/>
  <c r="AC14" i="56"/>
  <c r="AB14" i="56"/>
  <c r="AA14" i="56"/>
  <c r="Z14" i="56"/>
  <c r="Y14" i="56"/>
  <c r="X14" i="56"/>
  <c r="W14" i="56"/>
  <c r="V14" i="56"/>
  <c r="U14" i="56"/>
  <c r="T14" i="56"/>
  <c r="S14" i="56"/>
  <c r="AW4" i="56"/>
  <c r="AW38" i="56"/>
  <c r="AW5" i="56"/>
  <c r="AW6" i="56"/>
  <c r="AW7" i="56"/>
  <c r="AW8" i="56"/>
  <c r="AW9" i="56"/>
  <c r="AW10" i="56"/>
  <c r="AW11" i="56"/>
  <c r="AW15" i="56"/>
  <c r="AW16" i="56"/>
  <c r="AW17" i="56"/>
  <c r="AW18" i="56"/>
  <c r="AW19" i="56"/>
  <c r="AW20" i="56"/>
  <c r="AW21" i="56"/>
  <c r="AW22" i="56"/>
  <c r="AW25" i="56"/>
  <c r="AW26" i="56"/>
  <c r="AW27" i="56"/>
  <c r="AW29" i="56"/>
  <c r="AW30" i="56"/>
  <c r="AW31" i="56"/>
  <c r="AW33" i="56"/>
  <c r="AW34" i="56"/>
  <c r="AW35" i="56"/>
  <c r="AW37" i="56"/>
  <c r="O11" i="50" a="1"/>
  <c r="M35" i="48" a="1"/>
  <c r="O7" i="50" a="1"/>
  <c r="O18" i="50" a="1"/>
  <c r="P10" i="50" a="1"/>
  <c r="O40" i="50" a="1"/>
  <c r="M6" i="50" a="1"/>
  <c r="O33" i="50" a="1"/>
  <c r="G6" i="50" a="1"/>
  <c r="M12" i="50" a="1"/>
  <c r="G41" i="50" a="1"/>
  <c r="L34" i="50" a="1"/>
  <c r="J36" i="44" a="1"/>
  <c r="O6" i="50" a="1"/>
  <c r="N18" i="50" a="1"/>
  <c r="M10" i="50" a="1"/>
  <c r="P25" i="50" a="1"/>
  <c r="M14" i="50" a="1"/>
  <c r="M28" i="50" a="1"/>
  <c r="L33" i="50" a="1"/>
  <c r="P36" i="50" a="1"/>
  <c r="M38" i="50" a="1"/>
  <c r="M32" i="50" a="1"/>
  <c r="M11" i="50" a="1"/>
  <c r="I34" i="44" a="1"/>
  <c r="L14" i="50" a="1"/>
  <c r="L17" i="50" a="1"/>
  <c r="L19" i="50" a="1"/>
  <c r="L16" i="50" a="1"/>
  <c r="F6" i="50" a="1"/>
  <c r="P24" i="50" a="1"/>
  <c r="O24" i="50" a="1"/>
  <c r="O31" i="50" a="1"/>
  <c r="P22" i="50" a="1"/>
  <c r="O14" i="50" a="1"/>
  <c r="L20" i="50" a="1"/>
  <c r="M27" i="50" a="1"/>
  <c r="M22" i="50" a="1"/>
  <c r="N7" i="50" a="1"/>
  <c r="L7" i="50" a="1"/>
  <c r="O32" i="50" a="1"/>
  <c r="P32" i="50" a="1"/>
  <c r="M33" i="50" a="1"/>
  <c r="M16" i="50" a="1"/>
  <c r="L18" i="50" a="1"/>
  <c r="P41" i="50" a="1"/>
  <c r="L11" i="50" a="1"/>
  <c r="O13" i="50" a="1"/>
  <c r="N41" i="50" a="1"/>
  <c r="M23" i="50" a="1"/>
  <c r="P27" i="50" a="1"/>
  <c r="L30" i="50" a="1"/>
  <c r="M24" i="50" a="1"/>
  <c r="P11" i="50" a="1"/>
  <c r="P40" i="50" a="1"/>
  <c r="O23" i="50" a="1"/>
  <c r="P31" i="50" a="1"/>
  <c r="M8" i="50" a="1"/>
  <c r="L12" i="50" a="1"/>
  <c r="O35" i="48" a="1"/>
  <c r="N20" i="50" a="1"/>
  <c r="N37" i="50" a="1"/>
  <c r="M13" i="50" a="1"/>
  <c r="I6" i="50" a="1"/>
  <c r="N11" i="50" a="1"/>
  <c r="L40" i="50" a="1"/>
  <c r="L13" i="50" a="1"/>
  <c r="L36" i="50" a="1"/>
  <c r="N38" i="50" a="1"/>
  <c r="N6" i="48" a="1"/>
  <c r="P28" i="50" a="1"/>
  <c r="M18" i="50" a="1"/>
  <c r="K6" i="50" a="1"/>
  <c r="P21" i="50" a="1"/>
  <c r="O8" i="50" a="1"/>
  <c r="K38" i="44" a="1"/>
  <c r="L38" i="50" a="1"/>
  <c r="O12" i="50" a="1"/>
  <c r="P37" i="50" a="1"/>
  <c r="O35" i="50" a="1"/>
  <c r="P34" i="50" a="1"/>
  <c r="L8" i="50" a="1"/>
  <c r="M9" i="50" a="1"/>
  <c r="M34" i="50" a="1"/>
  <c r="M37" i="50" a="1"/>
  <c r="O10" i="50" a="1"/>
  <c r="N13" i="50" a="1"/>
  <c r="N28" i="50" a="1"/>
  <c r="L32" i="50" a="1"/>
  <c r="L41" i="50" a="1"/>
  <c r="O17" i="50" a="1"/>
  <c r="Q35" i="48" a="1"/>
  <c r="N36" i="50" a="1"/>
  <c r="N6" i="50" a="1"/>
  <c r="P19" i="50" a="1"/>
  <c r="M7" i="50" a="1"/>
  <c r="P7" i="50" a="1"/>
  <c r="N17" i="50" a="1"/>
  <c r="Q6" i="48" a="1"/>
  <c r="O6" i="48" a="1"/>
  <c r="M35" i="50" a="1"/>
  <c r="M29" i="50" a="1"/>
  <c r="N25" i="50" a="1"/>
  <c r="M30" i="50" a="1"/>
  <c r="N30" i="50" a="1"/>
  <c r="N35" i="48" a="1"/>
  <c r="L6" i="50" a="1"/>
  <c r="O22" i="50" a="1"/>
  <c r="N19" i="50" a="1"/>
  <c r="P18" i="50" a="1"/>
  <c r="P33" i="50" a="1"/>
  <c r="L23" i="50" a="1"/>
  <c r="J6" i="50" a="1"/>
  <c r="I36" i="44" a="1"/>
  <c r="L29" i="50" a="1"/>
  <c r="P14" i="50" a="1"/>
  <c r="P30" i="50" a="1"/>
  <c r="O36" i="50" a="1"/>
  <c r="N34" i="50" a="1"/>
  <c r="N24" i="50" a="1"/>
  <c r="N40" i="50" a="1"/>
  <c r="P20" i="50" a="1"/>
  <c r="L25" i="50" a="1"/>
  <c r="N22" i="50" a="1"/>
  <c r="N9" i="50" a="1"/>
  <c r="O34" i="50" a="1"/>
  <c r="P23" i="50" a="1"/>
  <c r="P12" i="50" a="1"/>
  <c r="O28" i="50" a="1"/>
  <c r="M25" i="50" a="1"/>
  <c r="P38" i="50" a="1"/>
  <c r="N14" i="50" a="1"/>
  <c r="P29" i="50" a="1"/>
  <c r="L9" i="50" a="1"/>
  <c r="O9" i="50" a="1"/>
  <c r="O25" i="50" a="1"/>
  <c r="M21" i="50" a="1"/>
  <c r="O30" i="50" a="1"/>
  <c r="M36" i="50" a="1"/>
  <c r="O21" i="50" a="1"/>
  <c r="L31" i="50" a="1"/>
  <c r="N16" i="50" a="1"/>
  <c r="L22" i="50" a="1"/>
  <c r="M17" i="50" a="1"/>
  <c r="F41" i="50" a="1"/>
  <c r="O27" i="50" a="1"/>
  <c r="P8" i="50" a="1"/>
  <c r="P35" i="50" a="1"/>
  <c r="N27" i="50" a="1"/>
  <c r="O29" i="50" a="1"/>
  <c r="P9" i="50" a="1"/>
  <c r="O37" i="50" a="1"/>
  <c r="N33" i="50" a="1"/>
  <c r="L35" i="50" a="1"/>
  <c r="N32" i="50" a="1"/>
  <c r="O19" i="50" a="1"/>
  <c r="P16" i="50" a="1"/>
  <c r="N8" i="50" a="1"/>
  <c r="M31" i="50" a="1"/>
  <c r="P13" i="50" a="1"/>
  <c r="H6" i="50" a="1"/>
  <c r="P17" i="50" a="1"/>
  <c r="L10" i="50" a="1"/>
  <c r="M40" i="50" a="1"/>
  <c r="O16" i="50" a="1"/>
  <c r="M6" i="48" a="1"/>
  <c r="N23" i="50" a="1"/>
  <c r="L21" i="50" a="1"/>
  <c r="M20" i="50" a="1"/>
  <c r="N10" i="50" a="1"/>
  <c r="P6" i="48" a="1"/>
  <c r="M41" i="50" a="1"/>
  <c r="L28" i="50" a="1"/>
  <c r="N31" i="50" a="1"/>
  <c r="N12" i="50" a="1"/>
  <c r="M19" i="50" a="1"/>
  <c r="L27" i="50" a="1"/>
  <c r="O41" i="50" a="1"/>
  <c r="K35" i="44" a="1"/>
  <c r="N35" i="50" a="1"/>
  <c r="P35" i="48" a="1"/>
  <c r="N29" i="50" a="1"/>
  <c r="O20" i="50" a="1"/>
  <c r="N21" i="50" a="1"/>
  <c r="L24" i="50" a="1"/>
  <c r="O38" i="50" a="1"/>
  <c r="P6" i="50" a="1"/>
  <c r="L37" i="50" a="1"/>
  <c r="Q6" i="48" l="1"/>
  <c r="Q35" i="48"/>
  <c r="P27" i="50"/>
  <c r="P11" i="50"/>
  <c r="P6" i="50"/>
  <c r="P10" i="50"/>
  <c r="P25" i="50"/>
  <c r="P40" i="50"/>
  <c r="P24" i="50"/>
  <c r="P8" i="50"/>
  <c r="P9" i="50"/>
  <c r="P23" i="50"/>
  <c r="P7" i="50"/>
  <c r="P41" i="50"/>
  <c r="P38" i="50"/>
  <c r="P22" i="50"/>
  <c r="P36" i="50"/>
  <c r="P20" i="50"/>
  <c r="P35" i="50"/>
  <c r="P19" i="50"/>
  <c r="P34" i="50"/>
  <c r="P18" i="50"/>
  <c r="P33" i="50"/>
  <c r="P17" i="50"/>
  <c r="P37" i="50"/>
  <c r="P32" i="50"/>
  <c r="P16" i="50"/>
  <c r="P31" i="50"/>
  <c r="P30" i="50"/>
  <c r="P14" i="50"/>
  <c r="P21" i="50"/>
  <c r="P29" i="50"/>
  <c r="P13" i="50"/>
  <c r="P28" i="50"/>
  <c r="P12" i="50"/>
  <c r="P35" i="48"/>
  <c r="P6" i="48"/>
  <c r="O6" i="50"/>
  <c r="O25" i="50"/>
  <c r="O36" i="50"/>
  <c r="O32" i="50"/>
  <c r="O31" i="50"/>
  <c r="O30" i="50"/>
  <c r="O14" i="50"/>
  <c r="O29" i="50"/>
  <c r="O13" i="50"/>
  <c r="O41" i="50"/>
  <c r="O40" i="50"/>
  <c r="O23" i="50"/>
  <c r="O37" i="50"/>
  <c r="O35" i="50"/>
  <c r="O28" i="50"/>
  <c r="O12" i="50"/>
  <c r="O27" i="50"/>
  <c r="O11" i="50"/>
  <c r="O10" i="50"/>
  <c r="O9" i="50"/>
  <c r="O8" i="50"/>
  <c r="O7" i="50"/>
  <c r="O22" i="50"/>
  <c r="O21" i="50"/>
  <c r="O20" i="50"/>
  <c r="O19" i="50"/>
  <c r="O34" i="50"/>
  <c r="O24" i="50"/>
  <c r="O38" i="50"/>
  <c r="O18" i="50"/>
  <c r="O33" i="50"/>
  <c r="O17" i="50"/>
  <c r="O16" i="50"/>
  <c r="N6" i="50"/>
  <c r="N9" i="50"/>
  <c r="N8" i="50"/>
  <c r="N31" i="50"/>
  <c r="N38" i="50"/>
  <c r="N14" i="50"/>
  <c r="N21" i="50"/>
  <c r="N30" i="50"/>
  <c r="N29" i="50"/>
  <c r="N13" i="50"/>
  <c r="N22" i="50"/>
  <c r="N28" i="50"/>
  <c r="N12" i="50"/>
  <c r="N25" i="50"/>
  <c r="N40" i="50"/>
  <c r="N27" i="50"/>
  <c r="N11" i="50"/>
  <c r="N7" i="50"/>
  <c r="N37" i="50"/>
  <c r="N19" i="50"/>
  <c r="N34" i="50"/>
  <c r="N18" i="50"/>
  <c r="N24" i="50"/>
  <c r="N36" i="50"/>
  <c r="N33" i="50"/>
  <c r="N17" i="50"/>
  <c r="N10" i="50"/>
  <c r="N41" i="50"/>
  <c r="N23" i="50"/>
  <c r="N20" i="50"/>
  <c r="N35" i="50"/>
  <c r="N32" i="50"/>
  <c r="N16" i="50"/>
  <c r="O6" i="48"/>
  <c r="O35" i="48"/>
  <c r="M13" i="50"/>
  <c r="M27" i="50"/>
  <c r="M18" i="50"/>
  <c r="M17" i="50"/>
  <c r="M29" i="50"/>
  <c r="M25" i="50"/>
  <c r="M19" i="50"/>
  <c r="M32" i="50"/>
  <c r="M31" i="50"/>
  <c r="M10" i="50"/>
  <c r="M9" i="50"/>
  <c r="M35" i="50"/>
  <c r="M34" i="50"/>
  <c r="M33" i="50"/>
  <c r="M16" i="50"/>
  <c r="M30" i="50"/>
  <c r="M14" i="50"/>
  <c r="M28" i="50"/>
  <c r="M24" i="50"/>
  <c r="M23" i="50"/>
  <c r="M38" i="50"/>
  <c r="M22" i="50"/>
  <c r="M37" i="50"/>
  <c r="M21" i="50"/>
  <c r="M12" i="50"/>
  <c r="M11" i="50"/>
  <c r="M6" i="50"/>
  <c r="M41" i="50"/>
  <c r="M40" i="50"/>
  <c r="M8" i="50"/>
  <c r="M7" i="50"/>
  <c r="M36" i="50"/>
  <c r="M20" i="50"/>
  <c r="N6" i="48"/>
  <c r="N35" i="48"/>
  <c r="M6" i="48"/>
  <c r="M35" i="48"/>
  <c r="L14" i="50"/>
  <c r="L29" i="50"/>
  <c r="L12" i="50"/>
  <c r="L11" i="50"/>
  <c r="L41" i="50"/>
  <c r="L9" i="50"/>
  <c r="L24" i="50"/>
  <c r="L35" i="50"/>
  <c r="L19" i="50"/>
  <c r="L34" i="50"/>
  <c r="L18" i="50"/>
  <c r="L6" i="50"/>
  <c r="L33" i="50"/>
  <c r="L17" i="50"/>
  <c r="L32" i="50"/>
  <c r="L16" i="50"/>
  <c r="L31" i="50"/>
  <c r="L10" i="50"/>
  <c r="L30" i="50"/>
  <c r="L13" i="50"/>
  <c r="L28" i="50"/>
  <c r="L27" i="50"/>
  <c r="L25" i="50"/>
  <c r="L40" i="50"/>
  <c r="L8" i="50"/>
  <c r="L23" i="50"/>
  <c r="L7" i="50"/>
  <c r="L38" i="50"/>
  <c r="L22" i="50"/>
  <c r="L37" i="50"/>
  <c r="L21" i="50"/>
  <c r="L36" i="50"/>
  <c r="L20" i="50"/>
  <c r="G41" i="50"/>
  <c r="F41" i="50"/>
  <c r="J36" i="44"/>
  <c r="I34" i="44"/>
  <c r="K38" i="44"/>
  <c r="K35" i="44"/>
  <c r="I36" i="44"/>
  <c r="BT173" i="45"/>
  <c r="CB180" i="45"/>
  <c r="BU173" i="45"/>
  <c r="BU172" i="45"/>
  <c r="BU180" i="45"/>
  <c r="BW173" i="45"/>
  <c r="BW172" i="45"/>
  <c r="BR173" i="45"/>
  <c r="BS172" i="45"/>
  <c r="BS173" i="45"/>
  <c r="BY180" i="45"/>
  <c r="BT181" i="45"/>
  <c r="CA172" i="45"/>
  <c r="BU169" i="45"/>
  <c r="BQ181" i="45"/>
  <c r="BU187" i="45"/>
  <c r="BR181" i="45"/>
  <c r="BQ177" i="45"/>
  <c r="BZ171" i="45"/>
  <c r="BV187" i="45"/>
  <c r="BY181" i="45"/>
  <c r="BU189" i="45"/>
  <c r="CA171" i="45"/>
  <c r="BZ169" i="45"/>
  <c r="BZ173" i="45"/>
  <c r="BR188" i="45"/>
  <c r="BV189" i="45"/>
  <c r="BR187" i="45"/>
  <c r="BR177" i="45"/>
  <c r="BW170" i="45"/>
  <c r="BS186" i="45"/>
  <c r="BS190" i="45"/>
  <c r="BR190" i="45"/>
  <c r="BW169" i="45"/>
  <c r="BU171" i="45"/>
  <c r="BX170" i="45"/>
  <c r="BT186" i="45"/>
  <c r="BT190" i="45"/>
  <c r="BY170" i="45"/>
  <c r="BU181" i="45"/>
  <c r="BS187" i="45"/>
  <c r="BT187" i="45"/>
  <c r="BS174" i="45"/>
  <c r="BT174" i="45"/>
  <c r="BX169" i="45"/>
  <c r="K6" i="50"/>
  <c r="J6" i="50"/>
  <c r="I6" i="50"/>
  <c r="H6" i="50"/>
  <c r="G6" i="50"/>
  <c r="F6" i="50"/>
  <c r="AW14" i="56"/>
  <c r="BV169" i="45" l="1"/>
  <c r="BR169" i="45"/>
  <c r="BZ181" i="45"/>
  <c r="BT180" i="45"/>
  <c r="BT169" i="45"/>
  <c r="BV180" i="45"/>
  <c r="BR180" i="45"/>
  <c r="BQ180" i="45"/>
  <c r="BW180" i="45"/>
  <c r="BR172" i="45"/>
  <c r="BX180" i="45"/>
  <c r="BW187" i="45"/>
  <c r="BS169" i="45"/>
  <c r="BS180" i="45"/>
  <c r="BQ169" i="45"/>
  <c r="BV172" i="45"/>
  <c r="CA181" i="45"/>
  <c r="AW15" i="47"/>
  <c r="AW16" i="47"/>
  <c r="AW17" i="47"/>
  <c r="AW18" i="47"/>
  <c r="AW19" i="47"/>
  <c r="AW24" i="47"/>
  <c r="AW25" i="47"/>
  <c r="AW26" i="47"/>
  <c r="AW27" i="47"/>
  <c r="AA34" i="48"/>
  <c r="AA35" i="48"/>
  <c r="AA36" i="48"/>
  <c r="AA37" i="48"/>
  <c r="AA38" i="48"/>
  <c r="AA39" i="48"/>
  <c r="AA40" i="48"/>
  <c r="AA41" i="48"/>
  <c r="AA42" i="48"/>
  <c r="AA43" i="48"/>
  <c r="AA44" i="48"/>
  <c r="AA45" i="48"/>
  <c r="AA46" i="48"/>
  <c r="AA47" i="48"/>
  <c r="AA48" i="48"/>
  <c r="AA32" i="48"/>
  <c r="AA33" i="48"/>
  <c r="AA24" i="48"/>
  <c r="AA25" i="48"/>
  <c r="AA26" i="48"/>
  <c r="AA27" i="48"/>
  <c r="AA28" i="48"/>
  <c r="AA29" i="48"/>
  <c r="AA30" i="48"/>
  <c r="AA31" i="48"/>
  <c r="AA23" i="48"/>
  <c r="AA8" i="48"/>
  <c r="AA9" i="48"/>
  <c r="AA10" i="48"/>
  <c r="AA11" i="48"/>
  <c r="AA12" i="48"/>
  <c r="AA13" i="48"/>
  <c r="AA14" i="48"/>
  <c r="AA15" i="48"/>
  <c r="AA16" i="48"/>
  <c r="AA17" i="48"/>
  <c r="AA18" i="48"/>
  <c r="AA19" i="48"/>
  <c r="AA20" i="48"/>
  <c r="AA21" i="48"/>
  <c r="AA22" i="48"/>
  <c r="AA7" i="48"/>
  <c r="F5" i="48"/>
  <c r="E5" i="17"/>
  <c r="Z6" i="17"/>
  <c r="AZ14" i="47"/>
  <c r="AV7" i="47"/>
  <c r="AY7" i="47" s="1"/>
  <c r="AV8" i="47"/>
  <c r="AY8" i="47" s="1"/>
  <c r="AV9" i="47"/>
  <c r="AY9" i="47" s="1"/>
  <c r="AV10" i="47"/>
  <c r="AY10" i="47" s="1"/>
  <c r="AV11" i="47"/>
  <c r="AY11" i="47" s="1"/>
  <c r="AV12" i="47"/>
  <c r="AY12" i="47" s="1"/>
  <c r="AV13" i="47"/>
  <c r="AY13" i="47" s="1"/>
  <c r="AV15" i="47"/>
  <c r="AY15" i="47" s="1"/>
  <c r="AV16" i="47"/>
  <c r="AY16" i="47" s="1"/>
  <c r="AV17" i="47"/>
  <c r="AY17" i="47" s="1"/>
  <c r="AV18" i="47"/>
  <c r="AY18" i="47" s="1"/>
  <c r="AV19" i="47"/>
  <c r="AY19" i="47" s="1"/>
  <c r="AV20" i="47"/>
  <c r="AY20" i="47" s="1"/>
  <c r="AV21" i="47"/>
  <c r="AY21" i="47" s="1"/>
  <c r="AV22" i="47"/>
  <c r="AV23" i="47"/>
  <c r="AV24" i="47"/>
  <c r="AY24" i="47" s="1"/>
  <c r="AV25" i="47"/>
  <c r="AY25" i="47" s="1"/>
  <c r="AV26" i="47"/>
  <c r="AY26" i="47" s="1"/>
  <c r="AV27" i="47"/>
  <c r="AY27" i="47" s="1"/>
  <c r="AV28" i="47"/>
  <c r="AY28" i="47" s="1"/>
  <c r="AV29" i="47"/>
  <c r="AY29" i="47" s="1"/>
  <c r="AV30" i="47"/>
  <c r="AY30" i="47" s="1"/>
  <c r="AV31" i="47"/>
  <c r="AY31" i="47" s="1"/>
  <c r="AV32" i="47"/>
  <c r="AY32" i="47" s="1"/>
  <c r="AV6" i="47"/>
  <c r="AY6" i="47" s="1"/>
  <c r="AX27" i="47"/>
  <c r="AX26" i="47"/>
  <c r="AX25" i="47"/>
  <c r="AX24" i="47"/>
  <c r="AX19" i="47"/>
  <c r="AX18" i="47"/>
  <c r="AX17" i="47"/>
  <c r="AX16" i="47"/>
  <c r="AX15" i="47"/>
  <c r="AU37" i="47"/>
  <c r="AU38" i="47"/>
  <c r="AU39" i="47"/>
  <c r="AU40" i="47"/>
  <c r="AU41" i="47"/>
  <c r="AU42" i="47"/>
  <c r="AU43" i="47"/>
  <c r="AU44" i="47"/>
  <c r="AU45" i="47"/>
  <c r="AU46" i="47"/>
  <c r="AU35" i="47"/>
  <c r="AU7" i="47"/>
  <c r="AU8" i="47"/>
  <c r="AU9" i="47"/>
  <c r="AU10" i="47"/>
  <c r="AU11" i="47"/>
  <c r="AU12" i="47"/>
  <c r="AU13" i="47"/>
  <c r="AU14" i="47"/>
  <c r="AU15" i="47"/>
  <c r="AU16" i="47"/>
  <c r="AU17" i="47"/>
  <c r="AU18" i="47"/>
  <c r="AU19" i="47"/>
  <c r="AU20" i="47"/>
  <c r="AU21" i="47"/>
  <c r="AU22" i="47"/>
  <c r="AU23" i="47"/>
  <c r="AU24" i="47"/>
  <c r="AU25" i="47"/>
  <c r="AU26" i="47"/>
  <c r="AU27" i="47"/>
  <c r="AU28" i="47"/>
  <c r="AU29" i="47"/>
  <c r="AU30" i="47"/>
  <c r="AU31" i="47"/>
  <c r="AU32" i="47"/>
  <c r="AU6" i="47"/>
  <c r="AF32" i="47"/>
  <c r="AF31" i="47"/>
  <c r="AF30" i="47"/>
  <c r="AF29" i="47"/>
  <c r="AF28" i="47"/>
  <c r="AF27" i="47"/>
  <c r="AF26" i="47"/>
  <c r="AF25" i="47"/>
  <c r="AF24" i="47"/>
  <c r="AF21" i="47"/>
  <c r="AF20" i="47"/>
  <c r="AF19" i="47"/>
  <c r="AF18" i="47"/>
  <c r="AF17" i="47"/>
  <c r="AF16" i="47"/>
  <c r="AF15" i="47"/>
  <c r="AF14" i="47"/>
  <c r="AF13" i="47"/>
  <c r="AF12" i="47"/>
  <c r="AF11" i="47"/>
  <c r="AF10" i="47"/>
  <c r="AF9" i="47"/>
  <c r="AF8" i="47"/>
  <c r="AF7" i="47"/>
  <c r="AF6" i="47"/>
  <c r="R7" i="47"/>
  <c r="R8" i="47"/>
  <c r="R9" i="47"/>
  <c r="R10" i="47"/>
  <c r="R11" i="47"/>
  <c r="R12" i="47"/>
  <c r="R13" i="47"/>
  <c r="R14" i="47"/>
  <c r="R15" i="47"/>
  <c r="R16" i="47"/>
  <c r="R17" i="47"/>
  <c r="R18" i="47"/>
  <c r="R19" i="47"/>
  <c r="R20" i="47"/>
  <c r="R21" i="47"/>
  <c r="R24" i="47"/>
  <c r="R25" i="47"/>
  <c r="R26" i="47"/>
  <c r="R27" i="47"/>
  <c r="R28" i="47"/>
  <c r="R29" i="47"/>
  <c r="R30" i="47"/>
  <c r="R31" i="47"/>
  <c r="R32" i="47"/>
  <c r="R6" i="47"/>
  <c r="AF46" i="47"/>
  <c r="AF45" i="47"/>
  <c r="AF44" i="47"/>
  <c r="AF43" i="47"/>
  <c r="AF42" i="47"/>
  <c r="AF41" i="47"/>
  <c r="AF40" i="47"/>
  <c r="AF39" i="47"/>
  <c r="AF38" i="47"/>
  <c r="AF37" i="47"/>
  <c r="AF36" i="47"/>
  <c r="AF35" i="47"/>
  <c r="R36" i="47"/>
  <c r="R37" i="47"/>
  <c r="R38" i="47"/>
  <c r="R39" i="47"/>
  <c r="R40" i="47"/>
  <c r="R41" i="47"/>
  <c r="R42" i="47"/>
  <c r="R43" i="47"/>
  <c r="R44" i="47"/>
  <c r="R45" i="47"/>
  <c r="R46" i="47"/>
  <c r="R35" i="47"/>
  <c r="AE6" i="47"/>
  <c r="AE32" i="47"/>
  <c r="AE31" i="47"/>
  <c r="AE30" i="47"/>
  <c r="AE29" i="47"/>
  <c r="AE28" i="47"/>
  <c r="AE27" i="47"/>
  <c r="AE26" i="47"/>
  <c r="AE25" i="47"/>
  <c r="AE24" i="47"/>
  <c r="AE23" i="47"/>
  <c r="AE22" i="47"/>
  <c r="AE21" i="47"/>
  <c r="AE20" i="47"/>
  <c r="AE19" i="47"/>
  <c r="AE18" i="47"/>
  <c r="AE17" i="47"/>
  <c r="AE16" i="47"/>
  <c r="AE15" i="47"/>
  <c r="AE14" i="47"/>
  <c r="AE13" i="47"/>
  <c r="AE12" i="47"/>
  <c r="AE11" i="47"/>
  <c r="AE10" i="47"/>
  <c r="AE9" i="47"/>
  <c r="AE8" i="47"/>
  <c r="AE7" i="47"/>
  <c r="O12" i="48" a="1"/>
  <c r="V14" i="48" a="1"/>
  <c r="N9" i="48" a="1"/>
  <c r="C27" i="48" a="1"/>
  <c r="N36" i="48" a="1"/>
  <c r="M13" i="48" a="1"/>
  <c r="C19" i="48" a="1"/>
  <c r="M12" i="48" a="1"/>
  <c r="Q20" i="48" a="1"/>
  <c r="O8" i="48" a="1"/>
  <c r="M9" i="48" a="1"/>
  <c r="C11" i="48" a="1"/>
  <c r="W12" i="48" a="1"/>
  <c r="V31" i="48" a="1"/>
  <c r="H47" i="48" a="1"/>
  <c r="O16" i="48" a="1"/>
  <c r="O14" i="48" a="1"/>
  <c r="P24" i="48" a="1"/>
  <c r="S32" i="48" a="1"/>
  <c r="P32" i="48" a="1"/>
  <c r="K8" i="48" a="1"/>
  <c r="Q31" i="48" a="1"/>
  <c r="Z6" i="48" a="1"/>
  <c r="Q27" i="48" a="1"/>
  <c r="P47" i="48" a="1"/>
  <c r="M22" i="48" a="1"/>
  <c r="P28" i="48" a="1"/>
  <c r="Q46" i="48" a="1"/>
  <c r="N27" i="48" a="1"/>
  <c r="Q40" i="48" a="1"/>
  <c r="F8" i="48" a="1"/>
  <c r="X6" i="48" a="1"/>
  <c r="N26" i="48" a="1"/>
  <c r="C12" i="48" a="1"/>
  <c r="J35" i="48" a="1"/>
  <c r="N31" i="48" a="1"/>
  <c r="O11" i="48" a="1"/>
  <c r="N37" i="48" a="1"/>
  <c r="N6" i="17" a="1"/>
  <c r="N30" i="48" a="1"/>
  <c r="N13" i="48" a="1"/>
  <c r="H35" i="48" a="1"/>
  <c r="M18" i="48" a="1"/>
  <c r="N43" i="48" a="1"/>
  <c r="P43" i="48" a="1"/>
  <c r="O31" i="48" a="1"/>
  <c r="S8" i="48" a="1"/>
  <c r="O24" i="48" a="1"/>
  <c r="N8" i="48" a="1"/>
  <c r="C25" i="48" a="1"/>
  <c r="V25" i="48" a="1"/>
  <c r="V24" i="48" a="1"/>
  <c r="Q18" i="48" a="1"/>
  <c r="V12" i="48" a="1"/>
  <c r="V30" i="48" a="1"/>
  <c r="P13" i="48" a="1"/>
  <c r="P12" i="48" a="1"/>
  <c r="N47" i="48" a="1"/>
  <c r="P25" i="48" a="1"/>
  <c r="O22" i="48" a="1"/>
  <c r="O33" i="48" a="1"/>
  <c r="C29" i="48" a="1"/>
  <c r="O45" i="48" a="1"/>
  <c r="U8" i="48" a="1"/>
  <c r="M45" i="48" a="1"/>
  <c r="V33" i="48" a="1"/>
  <c r="W32" i="48" a="1"/>
  <c r="P46" i="48" a="1"/>
  <c r="N11" i="48" a="1"/>
  <c r="O29" i="48" a="1"/>
  <c r="G35" i="48" a="1"/>
  <c r="V26" i="48" a="1"/>
  <c r="O38" i="48" a="1"/>
  <c r="K35" i="48" a="1"/>
  <c r="V18" i="48" a="1"/>
  <c r="N21" i="48" a="1"/>
  <c r="J32" i="48" a="1"/>
  <c r="P40" i="48" a="1"/>
  <c r="C8" i="48" a="1"/>
  <c r="Z32" i="48" a="1"/>
  <c r="O37" i="48" a="1"/>
  <c r="H32" i="48" a="1"/>
  <c r="P10" i="48" a="1"/>
  <c r="Q47" i="48" a="1"/>
  <c r="N10" i="48" a="1"/>
  <c r="N29" i="48" a="1"/>
  <c r="C32" i="48" a="1"/>
  <c r="M8" i="48" a="1"/>
  <c r="V13" i="48" a="1"/>
  <c r="V23" i="48" a="1"/>
  <c r="M26" i="48" a="1"/>
  <c r="M36" i="48" a="1"/>
  <c r="P38" i="48" a="1"/>
  <c r="N42" i="48" a="1"/>
  <c r="P41" i="48" a="1"/>
  <c r="M17" i="48" a="1"/>
  <c r="Q7" i="48" a="1"/>
  <c r="C23" i="48" a="1"/>
  <c r="P30" i="48" a="1"/>
  <c r="I8" i="48" a="1"/>
  <c r="M23" i="48" a="1"/>
  <c r="Z8" i="48" a="1"/>
  <c r="O9" i="48" a="1"/>
  <c r="T32" i="48" a="1"/>
  <c r="Q9" i="48" a="1"/>
  <c r="P42" i="48" a="1"/>
  <c r="C28" i="48" a="1"/>
  <c r="Q17" i="48" a="1"/>
  <c r="H8" i="48" a="1"/>
  <c r="P6" i="17" a="1"/>
  <c r="N39" i="48" a="1"/>
  <c r="C14" i="48" a="1"/>
  <c r="M21" i="48" a="1"/>
  <c r="P7" i="48" a="1"/>
  <c r="N46" i="48" a="1"/>
  <c r="P14" i="48" a="1"/>
  <c r="G8" i="48" a="1"/>
  <c r="M47" i="48" a="1"/>
  <c r="C20" i="48" a="1"/>
  <c r="P44" i="48" a="1"/>
  <c r="V17" i="48" a="1"/>
  <c r="Q30" i="48" a="1"/>
  <c r="M42" i="48" a="1"/>
  <c r="T8" i="48" a="1"/>
  <c r="Q22" i="48" a="1"/>
  <c r="Q33" i="48" a="1"/>
  <c r="O39" i="48" a="1"/>
  <c r="O13" i="48" a="1"/>
  <c r="Q19" i="48" a="1"/>
  <c r="Q14" i="48" a="1"/>
  <c r="O44" i="48" a="1"/>
  <c r="Q32" i="48" a="1"/>
  <c r="H6" i="48" a="1"/>
  <c r="I32" i="48" a="1"/>
  <c r="Q11" i="48" a="1"/>
  <c r="M25" i="48" a="1"/>
  <c r="O36" i="48" a="1"/>
  <c r="U6" i="48" a="1"/>
  <c r="M6" i="17" a="1"/>
  <c r="U32" i="48" a="1"/>
  <c r="M27" i="48" a="1"/>
  <c r="W6" i="48" a="1"/>
  <c r="Q45" i="48" a="1"/>
  <c r="O46" i="48" a="1"/>
  <c r="O21" i="48" a="1"/>
  <c r="V21" i="48" a="1"/>
  <c r="Q38" i="48" a="1"/>
  <c r="P9" i="48" a="1"/>
  <c r="P20" i="48" a="1"/>
  <c r="P37" i="48" a="1"/>
  <c r="P11" i="48" a="1"/>
  <c r="P39" i="48" a="1"/>
  <c r="N33" i="48" a="1"/>
  <c r="V20" i="48" a="1"/>
  <c r="Q12" i="48" a="1"/>
  <c r="M32" i="48" a="1"/>
  <c r="V15" i="48" a="1"/>
  <c r="N45" i="48" a="1"/>
  <c r="P22" i="48" a="1"/>
  <c r="P8" i="48" a="1"/>
  <c r="Q21" i="48" a="1"/>
  <c r="V27" i="48" a="1"/>
  <c r="M7" i="48" a="1"/>
  <c r="V32" i="48" a="1"/>
  <c r="I35" i="48" a="1"/>
  <c r="M28" i="48" a="1"/>
  <c r="C7" i="48" a="1"/>
  <c r="Q25" i="48" a="1"/>
  <c r="N25" i="48" a="1"/>
  <c r="O41" i="48" a="1"/>
  <c r="P33" i="48" a="1"/>
  <c r="C26" i="48" a="1"/>
  <c r="P16" i="48" a="1"/>
  <c r="N24" i="48" a="1"/>
  <c r="W14" i="48" a="1"/>
  <c r="O26" i="48" a="1"/>
  <c r="O30" i="48" a="1"/>
  <c r="Q36" i="48" a="1"/>
  <c r="Q42" i="48" a="1"/>
  <c r="M10" i="48" a="1"/>
  <c r="N22" i="48" a="1"/>
  <c r="N28" i="48" a="1"/>
  <c r="N17" i="48" a="1"/>
  <c r="W15" i="48" a="1"/>
  <c r="N7" i="48" a="1"/>
  <c r="J8" i="48" a="1"/>
  <c r="L35" i="48" a="1"/>
  <c r="Q10" i="48" a="1"/>
  <c r="O6" i="17" a="1"/>
  <c r="Q29" i="48" a="1"/>
  <c r="V22" i="48" a="1"/>
  <c r="O25" i="48" a="1"/>
  <c r="M24" i="48" a="1"/>
  <c r="P18" i="48" a="1"/>
  <c r="J6" i="48" a="1"/>
  <c r="M29" i="48" a="1"/>
  <c r="Q37" i="48" a="1"/>
  <c r="N15" i="48" a="1"/>
  <c r="C16" i="48" a="1"/>
  <c r="Q16" i="48" a="1"/>
  <c r="P17" i="48" a="1"/>
  <c r="L32" i="48" a="1"/>
  <c r="O40" i="48" a="1"/>
  <c r="O32" i="48" a="1"/>
  <c r="Y6" i="48" a="1"/>
  <c r="Q13" i="48" a="1"/>
  <c r="E8" i="48" a="1"/>
  <c r="K32" i="48" a="1"/>
  <c r="M15" i="48" a="1"/>
  <c r="N32" i="48" a="1"/>
  <c r="Q39" i="48" a="1"/>
  <c r="V16" i="48" a="1"/>
  <c r="M20" i="48" a="1"/>
  <c r="W13" i="48" a="1"/>
  <c r="O23" i="48" a="1"/>
  <c r="O17" i="48" a="1"/>
  <c r="P23" i="48" a="1"/>
  <c r="G6" i="48" a="1"/>
  <c r="V19" i="48" a="1"/>
  <c r="O27" i="48" a="1"/>
  <c r="M14" i="48" a="1"/>
  <c r="N14" i="48" a="1"/>
  <c r="O7" i="48" a="1"/>
  <c r="M37" i="48" a="1"/>
  <c r="C9" i="48" a="1"/>
  <c r="Q24" i="48" a="1"/>
  <c r="M19" i="48" a="1"/>
  <c r="O18" i="48" a="1"/>
  <c r="P19" i="48" a="1"/>
  <c r="V28" i="48" a="1"/>
  <c r="M33" i="48" a="1"/>
  <c r="I6" i="48" a="1"/>
  <c r="Q15" i="48" a="1"/>
  <c r="C22" i="48" a="1"/>
  <c r="F6" i="17" a="1"/>
  <c r="G32" i="48" a="1"/>
  <c r="P15" i="48" a="1"/>
  <c r="T6" i="48" a="1"/>
  <c r="L6" i="17" a="1"/>
  <c r="Q43" i="48" a="1"/>
  <c r="O43" i="48" a="1"/>
  <c r="M31" i="48" a="1"/>
  <c r="C15" i="48" a="1"/>
  <c r="P26" i="48" a="1"/>
  <c r="V29" i="48" a="1"/>
  <c r="M43" i="48" a="1"/>
  <c r="O19" i="48" a="1"/>
  <c r="M44" i="48" a="1"/>
  <c r="M41" i="48" a="1"/>
  <c r="O15" i="48" a="1"/>
  <c r="P45" i="48" a="1"/>
  <c r="O47" i="48" a="1"/>
  <c r="Q44" i="48" a="1"/>
  <c r="G6" i="17" a="1"/>
  <c r="M30" i="48" a="1"/>
  <c r="M11" i="48" a="1"/>
  <c r="C17" i="48" a="1"/>
  <c r="L8" i="48" a="1"/>
  <c r="O42" i="48" a="1"/>
  <c r="O28" i="48" a="1"/>
  <c r="C10" i="48" a="1"/>
  <c r="E32" i="48" a="1"/>
  <c r="N38" i="48" a="1"/>
  <c r="M40" i="48" a="1"/>
  <c r="S6" i="48" a="1"/>
  <c r="C24" i="48" a="1"/>
  <c r="Q8" i="48" a="1"/>
  <c r="O10" i="48" a="1"/>
  <c r="H6" i="17" a="1"/>
  <c r="M46" i="48" a="1"/>
  <c r="O20" i="48" a="1"/>
  <c r="C13" i="48" a="1"/>
  <c r="N18" i="48" a="1"/>
  <c r="Q28" i="48" a="1"/>
  <c r="N41" i="48" a="1"/>
  <c r="P29" i="48" a="1"/>
  <c r="M16" i="48" a="1"/>
  <c r="N40" i="48" a="1"/>
  <c r="G47" i="48" a="1"/>
  <c r="N20" i="48" a="1"/>
  <c r="M38" i="48" a="1"/>
  <c r="C31" i="48" a="1"/>
  <c r="N44" i="48" a="1"/>
  <c r="P36" i="48" a="1"/>
  <c r="N16" i="48" a="1"/>
  <c r="C18" i="48" a="1"/>
  <c r="C33" i="48" a="1"/>
  <c r="P21" i="48" a="1"/>
  <c r="V6" i="48" a="1"/>
  <c r="F32" i="48" a="1"/>
  <c r="N23" i="48" a="1"/>
  <c r="K6" i="48" a="1"/>
  <c r="C21" i="48" a="1"/>
  <c r="X8" i="48" a="1"/>
  <c r="N19" i="48" a="1"/>
  <c r="C30" i="48" a="1"/>
  <c r="L6" i="48" a="1"/>
  <c r="Q26" i="48" a="1"/>
  <c r="P27" i="48" a="1"/>
  <c r="X32" i="48" a="1"/>
  <c r="M39" i="48" a="1"/>
  <c r="N12" i="48" a="1"/>
  <c r="P31" i="48" a="1"/>
  <c r="Q23" i="48" a="1"/>
  <c r="Q41" i="48" a="1"/>
  <c r="P6" i="17" l="1"/>
  <c r="Q16" i="48"/>
  <c r="Q25" i="48"/>
  <c r="Q36" i="48"/>
  <c r="Q15" i="48"/>
  <c r="Q24" i="48"/>
  <c r="Q14" i="48"/>
  <c r="Q33" i="48"/>
  <c r="Q13" i="48"/>
  <c r="Q32" i="48"/>
  <c r="Q12" i="48"/>
  <c r="Q11" i="48"/>
  <c r="Q47" i="48"/>
  <c r="Q10" i="48"/>
  <c r="Q46" i="48"/>
  <c r="Q9" i="48"/>
  <c r="Q45" i="48"/>
  <c r="Q8" i="48"/>
  <c r="Q44" i="48"/>
  <c r="Q7" i="48"/>
  <c r="Q23" i="48"/>
  <c r="Q43" i="48"/>
  <c r="Q22" i="48"/>
  <c r="Q31" i="48"/>
  <c r="Q42" i="48"/>
  <c r="Q21" i="48"/>
  <c r="Q30" i="48"/>
  <c r="Q41" i="48"/>
  <c r="Q20" i="48"/>
  <c r="Q29" i="48"/>
  <c r="Q40" i="48"/>
  <c r="Q19" i="48"/>
  <c r="Q28" i="48"/>
  <c r="Q39" i="48"/>
  <c r="Q18" i="48"/>
  <c r="Q27" i="48"/>
  <c r="Q38" i="48"/>
  <c r="Q17" i="48"/>
  <c r="Q26" i="48"/>
  <c r="Q37" i="48"/>
  <c r="BA14" i="47"/>
  <c r="P36" i="48"/>
  <c r="P15" i="48"/>
  <c r="P24" i="48"/>
  <c r="P14" i="48"/>
  <c r="P33" i="48"/>
  <c r="P25" i="48"/>
  <c r="P13" i="48"/>
  <c r="P32" i="48"/>
  <c r="P16" i="48"/>
  <c r="P12" i="48"/>
  <c r="P11" i="48"/>
  <c r="P47" i="48"/>
  <c r="P10" i="48"/>
  <c r="P46" i="48"/>
  <c r="P9" i="48"/>
  <c r="P45" i="48"/>
  <c r="P8" i="48"/>
  <c r="P44" i="48"/>
  <c r="P7" i="48"/>
  <c r="P23" i="48"/>
  <c r="P43" i="48"/>
  <c r="P22" i="48"/>
  <c r="P31" i="48"/>
  <c r="P42" i="48"/>
  <c r="P21" i="48"/>
  <c r="P30" i="48"/>
  <c r="P41" i="48"/>
  <c r="P20" i="48"/>
  <c r="P29" i="48"/>
  <c r="P40" i="48"/>
  <c r="P19" i="48"/>
  <c r="P28" i="48"/>
  <c r="P39" i="48"/>
  <c r="P18" i="48"/>
  <c r="P27" i="48"/>
  <c r="P38" i="48"/>
  <c r="P17" i="48"/>
  <c r="P26" i="48"/>
  <c r="P37" i="48"/>
  <c r="O6" i="17"/>
  <c r="O16" i="48"/>
  <c r="O25" i="48"/>
  <c r="O36" i="48"/>
  <c r="O24" i="48"/>
  <c r="O14" i="48"/>
  <c r="O33" i="48"/>
  <c r="O15" i="48"/>
  <c r="O13" i="48"/>
  <c r="O32" i="48"/>
  <c r="O12" i="48"/>
  <c r="O11" i="48"/>
  <c r="O47" i="48"/>
  <c r="O10" i="48"/>
  <c r="O46" i="48"/>
  <c r="O9" i="48"/>
  <c r="O45" i="48"/>
  <c r="O8" i="48"/>
  <c r="O44" i="48"/>
  <c r="O23" i="48"/>
  <c r="O43" i="48"/>
  <c r="O22" i="48"/>
  <c r="O31" i="48"/>
  <c r="O42" i="48"/>
  <c r="O30" i="48"/>
  <c r="O41" i="48"/>
  <c r="O40" i="48"/>
  <c r="O7" i="48"/>
  <c r="O29" i="48"/>
  <c r="O19" i="48"/>
  <c r="O28" i="48"/>
  <c r="O39" i="48"/>
  <c r="O21" i="48"/>
  <c r="O18" i="48"/>
  <c r="O27" i="48"/>
  <c r="O38" i="48"/>
  <c r="O20" i="48"/>
  <c r="O17" i="48"/>
  <c r="O26" i="48"/>
  <c r="O37" i="48"/>
  <c r="N6" i="17"/>
  <c r="N24" i="48"/>
  <c r="N33" i="48"/>
  <c r="N13" i="48"/>
  <c r="N32" i="48"/>
  <c r="N25" i="48"/>
  <c r="N12" i="48"/>
  <c r="N14" i="48"/>
  <c r="N11" i="48"/>
  <c r="N47" i="48"/>
  <c r="N36" i="48"/>
  <c r="N10" i="48"/>
  <c r="N46" i="48"/>
  <c r="N16" i="48"/>
  <c r="N9" i="48"/>
  <c r="N45" i="48"/>
  <c r="N8" i="48"/>
  <c r="N44" i="48"/>
  <c r="N7" i="48"/>
  <c r="N23" i="48"/>
  <c r="N43" i="48"/>
  <c r="N22" i="48"/>
  <c r="N31" i="48"/>
  <c r="N42" i="48"/>
  <c r="N21" i="48"/>
  <c r="N30" i="48"/>
  <c r="N41" i="48"/>
  <c r="N20" i="48"/>
  <c r="N29" i="48"/>
  <c r="N40" i="48"/>
  <c r="N19" i="48"/>
  <c r="N28" i="48"/>
  <c r="N39" i="48"/>
  <c r="N18" i="48"/>
  <c r="N27" i="48"/>
  <c r="N38" i="48"/>
  <c r="N15" i="48"/>
  <c r="N17" i="48"/>
  <c r="N26" i="48"/>
  <c r="N37" i="48"/>
  <c r="M6" i="17"/>
  <c r="L6" i="17"/>
  <c r="M24" i="48"/>
  <c r="M12" i="48"/>
  <c r="M11" i="48"/>
  <c r="M47" i="48"/>
  <c r="M9" i="48"/>
  <c r="M45" i="48"/>
  <c r="M16" i="48"/>
  <c r="M14" i="48"/>
  <c r="M8" i="48"/>
  <c r="M44" i="48"/>
  <c r="M46" i="48"/>
  <c r="M7" i="48"/>
  <c r="M23" i="48"/>
  <c r="M43" i="48"/>
  <c r="M25" i="48"/>
  <c r="M32" i="48"/>
  <c r="M22" i="48"/>
  <c r="M31" i="48"/>
  <c r="M42" i="48"/>
  <c r="M21" i="48"/>
  <c r="M30" i="48"/>
  <c r="M41" i="48"/>
  <c r="M13" i="48"/>
  <c r="M20" i="48"/>
  <c r="M29" i="48"/>
  <c r="M40" i="48"/>
  <c r="M19" i="48"/>
  <c r="M28" i="48"/>
  <c r="M39" i="48"/>
  <c r="M36" i="48"/>
  <c r="M33" i="48"/>
  <c r="M10" i="48"/>
  <c r="M18" i="48"/>
  <c r="M27" i="48"/>
  <c r="M38" i="48"/>
  <c r="M15" i="48"/>
  <c r="M17" i="48"/>
  <c r="M26" i="48"/>
  <c r="M37" i="48"/>
  <c r="W15" i="48"/>
  <c r="W14" i="48"/>
  <c r="W13" i="48"/>
  <c r="W12" i="48"/>
  <c r="H47" i="48"/>
  <c r="G47" i="48"/>
  <c r="H6" i="17"/>
  <c r="G6" i="17"/>
  <c r="F6" i="17"/>
  <c r="AZ6" i="47"/>
  <c r="BA6" i="47" s="1"/>
  <c r="AZ8" i="47"/>
  <c r="BA8" i="47" s="1"/>
  <c r="AZ29" i="47"/>
  <c r="BA29" i="47" s="1"/>
  <c r="AZ28" i="47"/>
  <c r="BA28" i="47" s="1"/>
  <c r="AZ25" i="47"/>
  <c r="BA25" i="47" s="1"/>
  <c r="AZ24" i="47"/>
  <c r="BA24" i="47" s="1"/>
  <c r="AZ19" i="47"/>
  <c r="BA19" i="47" s="1"/>
  <c r="AZ9" i="47"/>
  <c r="BA9" i="47" s="1"/>
  <c r="AZ18" i="47"/>
  <c r="BA18" i="47" s="1"/>
  <c r="AZ7" i="47"/>
  <c r="BA7" i="47" s="1"/>
  <c r="AZ16" i="47"/>
  <c r="BA16" i="47" s="1"/>
  <c r="AZ10" i="47"/>
  <c r="BA10" i="47" s="1"/>
  <c r="AZ17" i="47"/>
  <c r="BA17" i="47" s="1"/>
  <c r="AZ15" i="47"/>
  <c r="BA15" i="47" s="1"/>
  <c r="AZ32" i="47"/>
  <c r="BA32" i="47" s="1"/>
  <c r="AZ31" i="47"/>
  <c r="AZ13" i="47"/>
  <c r="BA13" i="47" s="1"/>
  <c r="AZ30" i="47"/>
  <c r="BA30" i="47" s="1"/>
  <c r="AZ11" i="47"/>
  <c r="BA11" i="47" s="1"/>
  <c r="AZ27" i="47"/>
  <c r="BA27" i="47" s="1"/>
  <c r="AZ26" i="47"/>
  <c r="BA26" i="47" s="1"/>
  <c r="AZ21" i="47"/>
  <c r="BA21" i="47" s="1"/>
  <c r="AZ12" i="47"/>
  <c r="BA12" i="47" s="1"/>
  <c r="AZ20" i="47"/>
  <c r="BA20" i="47" s="1"/>
  <c r="BZ180" i="45"/>
  <c r="CA180" i="45"/>
  <c r="W6" i="48"/>
  <c r="U6" i="48"/>
  <c r="Y6" i="48"/>
  <c r="X6" i="48"/>
  <c r="V6" i="48"/>
  <c r="Z6" i="48"/>
  <c r="S6" i="48"/>
  <c r="T6" i="48"/>
  <c r="V30" i="48"/>
  <c r="V22" i="48"/>
  <c r="V14" i="48"/>
  <c r="V29" i="48"/>
  <c r="V21" i="48"/>
  <c r="V13" i="48"/>
  <c r="V28" i="48"/>
  <c r="V20" i="48"/>
  <c r="V12" i="48"/>
  <c r="V26" i="48"/>
  <c r="V18" i="48"/>
  <c r="V27" i="48"/>
  <c r="V33" i="48"/>
  <c r="V25" i="48"/>
  <c r="V17" i="48"/>
  <c r="V19" i="48"/>
  <c r="V32" i="48"/>
  <c r="V24" i="48"/>
  <c r="V16" i="48"/>
  <c r="V31" i="48"/>
  <c r="V23" i="48"/>
  <c r="V15" i="48"/>
  <c r="S32" i="48"/>
  <c r="L32" i="48"/>
  <c r="Z32" i="48"/>
  <c r="K32" i="48"/>
  <c r="X32" i="48"/>
  <c r="I32" i="48"/>
  <c r="J32" i="48"/>
  <c r="W32" i="48"/>
  <c r="H32" i="48"/>
  <c r="F32" i="48"/>
  <c r="U32" i="48"/>
  <c r="G32" i="48"/>
  <c r="E32" i="48"/>
  <c r="T32" i="48"/>
  <c r="C32" i="48"/>
  <c r="C23" i="48"/>
  <c r="C10" i="48"/>
  <c r="C26" i="48"/>
  <c r="C33" i="48"/>
  <c r="C24" i="48"/>
  <c r="C15" i="48"/>
  <c r="C31" i="48"/>
  <c r="C22" i="48"/>
  <c r="C14" i="48"/>
  <c r="C30" i="48"/>
  <c r="C21" i="48"/>
  <c r="C13" i="48"/>
  <c r="C29" i="48"/>
  <c r="C20" i="48"/>
  <c r="C12" i="48"/>
  <c r="C28" i="48"/>
  <c r="C19" i="48"/>
  <c r="C11" i="48"/>
  <c r="C18" i="48"/>
  <c r="C9" i="48"/>
  <c r="C27" i="48"/>
  <c r="C17" i="48"/>
  <c r="C25" i="48"/>
  <c r="C16" i="48"/>
  <c r="C8" i="48"/>
  <c r="C7" i="48"/>
  <c r="H8" i="48"/>
  <c r="U8" i="48"/>
  <c r="G8" i="48"/>
  <c r="E8" i="48"/>
  <c r="T8" i="48"/>
  <c r="L8" i="48"/>
  <c r="F8" i="48"/>
  <c r="S8" i="48"/>
  <c r="Z8" i="48"/>
  <c r="K8" i="48"/>
  <c r="J8" i="48"/>
  <c r="X8" i="48"/>
  <c r="I8" i="48"/>
  <c r="I35" i="48"/>
  <c r="J35" i="48"/>
  <c r="H35" i="48"/>
  <c r="G35" i="48"/>
  <c r="L35" i="48"/>
  <c r="K35" i="48"/>
  <c r="J6" i="48"/>
  <c r="I6" i="48"/>
  <c r="K6" i="48"/>
  <c r="H6" i="48"/>
  <c r="L6" i="48"/>
  <c r="G6" i="48"/>
  <c r="Q6" i="47"/>
  <c r="Q7" i="47"/>
  <c r="Q8" i="47"/>
  <c r="Q9" i="47"/>
  <c r="Q10" i="47"/>
  <c r="Q11" i="47"/>
  <c r="Q12" i="47"/>
  <c r="Q13" i="47"/>
  <c r="Q14" i="47"/>
  <c r="Q15" i="47"/>
  <c r="Q16" i="47"/>
  <c r="Q17" i="47"/>
  <c r="Q18" i="47"/>
  <c r="Q19" i="47"/>
  <c r="Q20" i="47"/>
  <c r="Q21" i="47"/>
  <c r="Q22" i="47"/>
  <c r="Q23" i="47"/>
  <c r="Q24" i="47"/>
  <c r="Q25" i="47"/>
  <c r="Q26" i="47"/>
  <c r="Q27" i="47"/>
  <c r="Q28" i="47"/>
  <c r="Q29" i="47"/>
  <c r="Q30" i="47"/>
  <c r="Q31" i="47"/>
  <c r="BO10" i="47"/>
  <c r="BN10" i="47"/>
  <c r="BM10" i="47"/>
  <c r="BL10" i="47"/>
  <c r="BK10" i="47"/>
  <c r="BJ10" i="47"/>
  <c r="BI10" i="47"/>
  <c r="BH10" i="47"/>
  <c r="BG10" i="47"/>
  <c r="BF10" i="47"/>
  <c r="BE10" i="47"/>
  <c r="BD10" i="47"/>
  <c r="BO9" i="47"/>
  <c r="BN9" i="47"/>
  <c r="BM9" i="47"/>
  <c r="BL9" i="47"/>
  <c r="BK9" i="47"/>
  <c r="BJ9" i="47"/>
  <c r="BI9" i="47"/>
  <c r="BH9" i="47"/>
  <c r="BG9" i="47"/>
  <c r="BF9" i="47"/>
  <c r="BE9" i="47"/>
  <c r="BD9" i="47"/>
  <c r="BO8" i="47"/>
  <c r="BN8" i="47"/>
  <c r="BM8" i="47"/>
  <c r="BL8" i="47"/>
  <c r="BK8" i="47"/>
  <c r="BJ8" i="47"/>
  <c r="BI8" i="47"/>
  <c r="BH8" i="47"/>
  <c r="BG8" i="47"/>
  <c r="BF8" i="47"/>
  <c r="BE8" i="47"/>
  <c r="BD8" i="47"/>
  <c r="BO7" i="47"/>
  <c r="BN7" i="47"/>
  <c r="BM7" i="47"/>
  <c r="BL7" i="47"/>
  <c r="BK7" i="47"/>
  <c r="BJ7" i="47"/>
  <c r="BI7" i="47"/>
  <c r="BH7" i="47"/>
  <c r="BG7" i="47"/>
  <c r="BF7" i="47"/>
  <c r="BE7" i="47"/>
  <c r="BD7" i="47"/>
  <c r="BO6" i="47"/>
  <c r="BN6" i="47"/>
  <c r="BM6" i="47"/>
  <c r="BL6" i="47"/>
  <c r="BK6" i="47"/>
  <c r="BJ6" i="47"/>
  <c r="BI6" i="47"/>
  <c r="BH6" i="47"/>
  <c r="BG6" i="47"/>
  <c r="BF6" i="47"/>
  <c r="BE6" i="47"/>
  <c r="BD6" i="47"/>
  <c r="Y23" i="48" a="1"/>
  <c r="J23" i="48" a="1"/>
  <c r="X23" i="48" a="1"/>
  <c r="I23" i="48" a="1"/>
  <c r="F23" i="48" a="1"/>
  <c r="Y32" i="48" a="1"/>
  <c r="G23" i="48" a="1"/>
  <c r="Z23" i="48" a="1"/>
  <c r="E23" i="48" a="1"/>
  <c r="S23" i="48" a="1"/>
  <c r="Y8" i="48" a="1"/>
  <c r="T23" i="48" a="1"/>
  <c r="U23" i="48" a="1"/>
  <c r="H23" i="48" a="1"/>
  <c r="W23" i="48" a="1"/>
  <c r="K23" i="48" a="1"/>
  <c r="L23" i="48" a="1"/>
  <c r="AX8" i="47" l="1"/>
  <c r="AW8" i="47"/>
  <c r="AX9" i="47"/>
  <c r="AW9" i="47"/>
  <c r="AX7" i="47"/>
  <c r="AW7" i="47"/>
  <c r="AX6" i="47"/>
  <c r="AW6" i="47"/>
  <c r="AX10" i="47"/>
  <c r="AW10" i="47"/>
  <c r="Y32" i="48"/>
  <c r="Y8" i="48"/>
  <c r="BA31" i="47"/>
  <c r="J23" i="48"/>
  <c r="T23" i="48"/>
  <c r="U23" i="48"/>
  <c r="H23" i="48"/>
  <c r="W23" i="48"/>
  <c r="Y23" i="48"/>
  <c r="E23" i="48"/>
  <c r="S23" i="48"/>
  <c r="X23" i="48"/>
  <c r="G23" i="48"/>
  <c r="F23" i="48"/>
  <c r="I23" i="48"/>
  <c r="K23" i="48"/>
  <c r="Z23" i="48"/>
  <c r="L23" i="48"/>
  <c r="V11" i="48" a="1"/>
  <c r="W8" i="48" a="1"/>
  <c r="V9" i="48" a="1"/>
  <c r="V10" i="48" a="1"/>
  <c r="J6" i="17" a="1"/>
  <c r="K6" i="17" a="1"/>
  <c r="I6" i="17" a="1"/>
  <c r="V7" i="48" a="1"/>
  <c r="V8" i="48" a="1"/>
  <c r="V7" i="48" l="1"/>
  <c r="W8" i="48"/>
  <c r="V9" i="48"/>
  <c r="V11" i="48"/>
  <c r="V8" i="48"/>
  <c r="V10" i="48"/>
  <c r="J6" i="17"/>
  <c r="K6" i="17"/>
  <c r="I6" i="17"/>
  <c r="Z23" i="17"/>
  <c r="Z22" i="17"/>
  <c r="Z21" i="17"/>
  <c r="Z20" i="17"/>
  <c r="Z19" i="17"/>
  <c r="Z8" i="17"/>
  <c r="Z7" i="17"/>
  <c r="AW4" i="32"/>
  <c r="AW113" i="32"/>
  <c r="AW112" i="32"/>
  <c r="AW111" i="32"/>
  <c r="AW110" i="32"/>
  <c r="AW109" i="32"/>
  <c r="AW108" i="32"/>
  <c r="AW107" i="32"/>
  <c r="AW106" i="32"/>
  <c r="AW105" i="32"/>
  <c r="AW104" i="32"/>
  <c r="AW103" i="32"/>
  <c r="AW102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78" i="32"/>
  <c r="AW79" i="32"/>
  <c r="AW80" i="32"/>
  <c r="AW81" i="32"/>
  <c r="AW82" i="32"/>
  <c r="AW83" i="32"/>
  <c r="AW84" i="32"/>
  <c r="AW85" i="32"/>
  <c r="AW86" i="32"/>
  <c r="AW87" i="32"/>
  <c r="AW77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37" i="32"/>
  <c r="AW38" i="32"/>
  <c r="AW39" i="32"/>
  <c r="AW40" i="32"/>
  <c r="AW41" i="32"/>
  <c r="AW42" i="32"/>
  <c r="AW43" i="32"/>
  <c r="AW44" i="32"/>
  <c r="AW45" i="32"/>
  <c r="AW46" i="32"/>
  <c r="AW47" i="32"/>
  <c r="AW48" i="32"/>
  <c r="AW49" i="32"/>
  <c r="AW50" i="32"/>
  <c r="AW51" i="32"/>
  <c r="AW52" i="32"/>
  <c r="AW53" i="32"/>
  <c r="AW54" i="32"/>
  <c r="AW55" i="32"/>
  <c r="AW56" i="32"/>
  <c r="AW57" i="32"/>
  <c r="AW58" i="32"/>
  <c r="AW59" i="32"/>
  <c r="AW60" i="32"/>
  <c r="AW61" i="32"/>
  <c r="AW62" i="32"/>
  <c r="AW63" i="32"/>
  <c r="AW64" i="32"/>
  <c r="AW65" i="32"/>
  <c r="AW66" i="32"/>
  <c r="AW67" i="32"/>
  <c r="AW68" i="32"/>
  <c r="AW69" i="32"/>
  <c r="AW70" i="32"/>
  <c r="AW71" i="32"/>
  <c r="AW72" i="32"/>
  <c r="AW73" i="32"/>
  <c r="AW74" i="32"/>
  <c r="AW75" i="32"/>
  <c r="AW5" i="32"/>
  <c r="AW6" i="32"/>
  <c r="AW7" i="32"/>
  <c r="AW8" i="32"/>
  <c r="AW10" i="32"/>
  <c r="AW11" i="32"/>
  <c r="AW12" i="32"/>
  <c r="AW13" i="32"/>
  <c r="AW14" i="32"/>
  <c r="AW15" i="32"/>
  <c r="AW16" i="32"/>
  <c r="AW17" i="32"/>
  <c r="AW18" i="32"/>
  <c r="AW19" i="32"/>
  <c r="AX78" i="32"/>
  <c r="J21" i="17" a="1"/>
  <c r="D21" i="17" a="1"/>
  <c r="S21" i="17" a="1"/>
  <c r="I8" i="17" a="1"/>
  <c r="D8" i="17" a="1"/>
  <c r="F19" i="17" a="1"/>
  <c r="X8" i="17" a="1"/>
  <c r="L20" i="17" a="1"/>
  <c r="F8" i="17" a="1"/>
  <c r="L23" i="17" a="1"/>
  <c r="M21" i="17" a="1"/>
  <c r="O23" i="17" a="1"/>
  <c r="P21" i="17" a="1"/>
  <c r="D23" i="17" a="1"/>
  <c r="I21" i="17" a="1"/>
  <c r="P22" i="17" a="1"/>
  <c r="P19" i="17" a="1"/>
  <c r="M7" i="17" a="1"/>
  <c r="R23" i="17" a="1"/>
  <c r="K21" i="17" a="1"/>
  <c r="N23" i="17" a="1"/>
  <c r="H23" i="17" a="1"/>
  <c r="H8" i="17" a="1"/>
  <c r="O7" i="17" a="1"/>
  <c r="J22" i="17" a="1"/>
  <c r="Y8" i="17" a="1"/>
  <c r="H22" i="17" a="1"/>
  <c r="G21" i="17" a="1"/>
  <c r="J20" i="17" a="1"/>
  <c r="E8" i="17" a="1"/>
  <c r="M19" i="17" a="1"/>
  <c r="N7" i="17" a="1"/>
  <c r="J8" i="17" a="1"/>
  <c r="J19" i="17" a="1"/>
  <c r="G19" i="17" a="1"/>
  <c r="S23" i="17" a="1"/>
  <c r="L8" i="17" a="1"/>
  <c r="G8" i="17" a="1"/>
  <c r="E23" i="17" a="1"/>
  <c r="M8" i="17" a="1"/>
  <c r="P8" i="17" a="1"/>
  <c r="M22" i="17" a="1"/>
  <c r="S8" i="17" a="1"/>
  <c r="O22" i="17" a="1"/>
  <c r="L22" i="17" a="1"/>
  <c r="N20" i="17" a="1"/>
  <c r="K8" i="17" a="1"/>
  <c r="P7" i="17" a="1"/>
  <c r="O8" i="17" a="1"/>
  <c r="M23" i="17" a="1"/>
  <c r="H19" i="17" a="1"/>
  <c r="P20" i="17" a="1"/>
  <c r="K19" i="17" a="1"/>
  <c r="E19" i="17" a="1"/>
  <c r="N8" i="17" a="1"/>
  <c r="L7" i="17" a="1"/>
  <c r="R21" i="17" a="1"/>
  <c r="H7" i="17" a="1"/>
  <c r="D19" i="17" a="1"/>
  <c r="L21" i="17" a="1"/>
  <c r="T8" i="17" a="1"/>
  <c r="J23" i="17" a="1"/>
  <c r="L19" i="17" a="1"/>
  <c r="O21" i="17" a="1"/>
  <c r="N21" i="17" a="1"/>
  <c r="P23" i="17" a="1"/>
  <c r="R7" i="17" a="1"/>
  <c r="G23" i="17" a="1"/>
  <c r="I19" i="17" a="1"/>
  <c r="N22" i="17" a="1"/>
  <c r="N19" i="17" a="1"/>
  <c r="O19" i="17" a="1"/>
  <c r="W8" i="17" a="1"/>
  <c r="I22" i="17" a="1"/>
  <c r="R8" i="17" a="1"/>
  <c r="F21" i="17" a="1"/>
  <c r="F23" i="17" a="1"/>
  <c r="E21" i="17" a="1"/>
  <c r="M20" i="17" a="1"/>
  <c r="O20" i="17" a="1"/>
  <c r="H21" i="17" a="1"/>
  <c r="P8" i="17" l="1"/>
  <c r="P7" i="17"/>
  <c r="P21" i="17"/>
  <c r="P20" i="17"/>
  <c r="P19" i="17"/>
  <c r="P23" i="17"/>
  <c r="P22" i="17"/>
  <c r="O7" i="17"/>
  <c r="O8" i="17"/>
  <c r="O19" i="17"/>
  <c r="O20" i="17"/>
  <c r="O22" i="17"/>
  <c r="O23" i="17"/>
  <c r="O21" i="17"/>
  <c r="N7" i="17"/>
  <c r="N21" i="17"/>
  <c r="N22" i="17"/>
  <c r="N23" i="17"/>
  <c r="N20" i="17"/>
  <c r="N19" i="17"/>
  <c r="N8" i="17"/>
  <c r="M7" i="17"/>
  <c r="M21" i="17"/>
  <c r="M22" i="17"/>
  <c r="M23" i="17"/>
  <c r="M8" i="17"/>
  <c r="M19" i="17"/>
  <c r="M20" i="17"/>
  <c r="L7" i="17"/>
  <c r="L21" i="17"/>
  <c r="L22" i="17"/>
  <c r="L23" i="17"/>
  <c r="L20" i="17"/>
  <c r="L19" i="17"/>
  <c r="L8" i="17"/>
  <c r="H7" i="17"/>
  <c r="H8" i="17"/>
  <c r="T8" i="17"/>
  <c r="R7" i="17"/>
  <c r="K19" i="17"/>
  <c r="R21" i="17"/>
  <c r="H22" i="17"/>
  <c r="D19" i="17"/>
  <c r="F19" i="17"/>
  <c r="S21" i="17"/>
  <c r="R23" i="17"/>
  <c r="J20" i="17"/>
  <c r="I22" i="17"/>
  <c r="G19" i="17"/>
  <c r="D21" i="17"/>
  <c r="F21" i="17"/>
  <c r="S23" i="17"/>
  <c r="J22" i="17"/>
  <c r="E19" i="17"/>
  <c r="H19" i="17"/>
  <c r="F23" i="17"/>
  <c r="E21" i="17"/>
  <c r="I19" i="17"/>
  <c r="H21" i="17"/>
  <c r="E23" i="17"/>
  <c r="G23" i="17"/>
  <c r="J19" i="17"/>
  <c r="I21" i="17"/>
  <c r="H23" i="17"/>
  <c r="G21" i="17"/>
  <c r="J21" i="17"/>
  <c r="D23" i="17"/>
  <c r="K21" i="17"/>
  <c r="J23" i="17"/>
  <c r="R8" i="17"/>
  <c r="S8" i="17"/>
  <c r="K8" i="17"/>
  <c r="F8" i="17"/>
  <c r="J8" i="17"/>
  <c r="I8" i="17"/>
  <c r="X8" i="17"/>
  <c r="Y8" i="17"/>
  <c r="W8" i="17"/>
  <c r="G8" i="17"/>
  <c r="E8" i="17"/>
  <c r="D8" i="17"/>
  <c r="BN105" i="54"/>
  <c r="BM44" i="54"/>
  <c r="BM63" i="54"/>
  <c r="BM66" i="54"/>
  <c r="BM67" i="54"/>
  <c r="BM68" i="54"/>
  <c r="BM73" i="54"/>
  <c r="BM105" i="54"/>
  <c r="F22" i="17" a="1"/>
  <c r="K20" i="17" a="1"/>
  <c r="D20" i="17" a="1"/>
  <c r="H20" i="17" a="1"/>
  <c r="D22" i="17" a="1"/>
  <c r="S20" i="17" a="1"/>
  <c r="G20" i="17" a="1"/>
  <c r="R20" i="17" a="1"/>
  <c r="S19" i="17" a="1"/>
  <c r="R19" i="17" a="1"/>
  <c r="E20" i="17" a="1"/>
  <c r="K23" i="17" a="1"/>
  <c r="S22" i="17" a="1"/>
  <c r="I23" i="17" a="1"/>
  <c r="E22" i="17" a="1"/>
  <c r="F20" i="17" a="1"/>
  <c r="G22" i="17" a="1"/>
  <c r="I20" i="17" a="1"/>
  <c r="R22" i="17" a="1"/>
  <c r="K22" i="17" a="1"/>
  <c r="E20" i="17" l="1"/>
  <c r="I23" i="17"/>
  <c r="H20" i="17"/>
  <c r="K20" i="17"/>
  <c r="R19" i="17"/>
  <c r="K22" i="17"/>
  <c r="S22" i="17"/>
  <c r="I20" i="17"/>
  <c r="D20" i="17"/>
  <c r="R20" i="17"/>
  <c r="S19" i="17"/>
  <c r="F22" i="17"/>
  <c r="R22" i="17"/>
  <c r="K23" i="17"/>
  <c r="D22" i="17"/>
  <c r="S20" i="17"/>
  <c r="G22" i="17"/>
  <c r="F20" i="17"/>
  <c r="G20" i="17"/>
  <c r="E22" i="17"/>
  <c r="BI99" i="55"/>
  <c r="BJ96" i="55"/>
  <c r="BI96" i="55"/>
  <c r="BJ95" i="55"/>
  <c r="BI95" i="55"/>
  <c r="BJ93" i="55"/>
  <c r="BJ83" i="55"/>
  <c r="BI83" i="55"/>
  <c r="BJ82" i="55"/>
  <c r="BI82" i="55"/>
  <c r="BJ81" i="55"/>
  <c r="BI81" i="55"/>
  <c r="BJ80" i="55"/>
  <c r="BI80" i="55"/>
  <c r="BJ79" i="55"/>
  <c r="BI78" i="55"/>
  <c r="BJ76" i="55"/>
  <c r="BI76" i="55"/>
  <c r="BJ75" i="55"/>
  <c r="BI75" i="55"/>
  <c r="BJ74" i="55"/>
  <c r="BI74" i="55"/>
  <c r="BJ73" i="55"/>
  <c r="BI73" i="55"/>
  <c r="BJ72" i="55"/>
  <c r="BJ55" i="55"/>
  <c r="BI55" i="55"/>
  <c r="BJ54" i="55"/>
  <c r="BI54" i="55"/>
  <c r="BJ53" i="55"/>
  <c r="BI53" i="55"/>
  <c r="BJ52" i="55"/>
  <c r="BI52" i="55"/>
  <c r="BJ51" i="55"/>
  <c r="BJ41" i="55"/>
  <c r="BI41" i="55"/>
  <c r="BJ40" i="55"/>
  <c r="BI40" i="55"/>
  <c r="BJ39" i="55"/>
  <c r="BI39" i="55"/>
  <c r="BJ38" i="55"/>
  <c r="BI38" i="55"/>
  <c r="BJ37" i="55"/>
  <c r="BI36" i="55"/>
  <c r="BJ34" i="55"/>
  <c r="BJ33" i="55"/>
  <c r="BI33" i="55"/>
  <c r="BJ32" i="55"/>
  <c r="BI32" i="55"/>
  <c r="BJ31" i="55"/>
  <c r="BI31" i="55"/>
  <c r="BJ30" i="55"/>
  <c r="BJ29" i="55"/>
  <c r="BI29" i="55"/>
  <c r="BJ23" i="55"/>
  <c r="BJ16" i="55"/>
  <c r="BJ110" i="54"/>
  <c r="BJ109" i="54"/>
  <c r="BI109" i="54"/>
  <c r="BJ108" i="54"/>
  <c r="BI108" i="54"/>
  <c r="BJ107" i="54"/>
  <c r="BJ106" i="54"/>
  <c r="BJ104" i="54"/>
  <c r="BJ103" i="54"/>
  <c r="BI103" i="54"/>
  <c r="BJ102" i="54"/>
  <c r="BI102" i="54"/>
  <c r="BJ100" i="54"/>
  <c r="BI100" i="54"/>
  <c r="BJ99" i="54"/>
  <c r="BI99" i="54"/>
  <c r="BJ98" i="54"/>
  <c r="BI97" i="54"/>
  <c r="BJ97" i="54"/>
  <c r="BJ96" i="54"/>
  <c r="BI96" i="54"/>
  <c r="BJ95" i="54"/>
  <c r="BJ94" i="54"/>
  <c r="BI93" i="54"/>
  <c r="BI34" i="54" s="1"/>
  <c r="BJ92" i="54"/>
  <c r="BI92" i="54"/>
  <c r="BJ90" i="54"/>
  <c r="BI90" i="54"/>
  <c r="BJ89" i="54"/>
  <c r="BI89" i="54"/>
  <c r="BJ88" i="54"/>
  <c r="BI88" i="54"/>
  <c r="BJ87" i="54"/>
  <c r="BJ86" i="54"/>
  <c r="BI86" i="54"/>
  <c r="BJ85" i="54"/>
  <c r="BJ84" i="54"/>
  <c r="BI84" i="54"/>
  <c r="BI83" i="54"/>
  <c r="BJ82" i="54"/>
  <c r="BI82" i="54"/>
  <c r="BJ80" i="54"/>
  <c r="BJ79" i="54"/>
  <c r="BI79" i="54"/>
  <c r="BJ78" i="54"/>
  <c r="BI78" i="54"/>
  <c r="BJ77" i="54"/>
  <c r="BI77" i="54"/>
  <c r="BJ76" i="54"/>
  <c r="BI76" i="54"/>
  <c r="BJ75" i="54"/>
  <c r="BJ74" i="54"/>
  <c r="BJ72" i="54"/>
  <c r="BI72" i="54"/>
  <c r="BJ71" i="54"/>
  <c r="BJ70" i="54"/>
  <c r="BI70" i="54"/>
  <c r="BJ69" i="54"/>
  <c r="BI69" i="54"/>
  <c r="BI68" i="54"/>
  <c r="BI67" i="54"/>
  <c r="BI66" i="54"/>
  <c r="BJ65" i="54"/>
  <c r="BI64" i="54"/>
  <c r="BJ62" i="54"/>
  <c r="BI62" i="54"/>
  <c r="BI61" i="54"/>
  <c r="BJ60" i="54"/>
  <c r="BI60" i="54"/>
  <c r="BJ59" i="54"/>
  <c r="BI59" i="54"/>
  <c r="BJ58" i="54"/>
  <c r="BI58" i="54"/>
  <c r="BJ57" i="54"/>
  <c r="BI57" i="54"/>
  <c r="BJ56" i="54"/>
  <c r="BI56" i="54"/>
  <c r="BJ55" i="54"/>
  <c r="BJ45" i="54"/>
  <c r="BI45" i="54"/>
  <c r="BJ43" i="54"/>
  <c r="BI43" i="54"/>
  <c r="BJ41" i="54"/>
  <c r="BI41" i="54"/>
  <c r="BJ39" i="54"/>
  <c r="BI39" i="54"/>
  <c r="BJ38" i="54"/>
  <c r="BI38" i="54"/>
  <c r="BJ37" i="54"/>
  <c r="BI37" i="54"/>
  <c r="BJ36" i="54"/>
  <c r="BJ19" i="54"/>
  <c r="BJ18" i="54"/>
  <c r="BJ17" i="54"/>
  <c r="BJ8" i="54"/>
  <c r="Q43" i="47"/>
  <c r="Q44" i="47"/>
  <c r="Q45" i="47"/>
  <c r="Q46" i="47"/>
  <c r="Q39" i="47"/>
  <c r="Q40" i="47"/>
  <c r="Q41" i="47"/>
  <c r="Q42" i="47"/>
  <c r="Q35" i="47"/>
  <c r="Q36" i="47"/>
  <c r="Q37" i="47"/>
  <c r="Q38" i="47"/>
  <c r="AE35" i="47"/>
  <c r="AE36" i="47"/>
  <c r="AE37" i="47"/>
  <c r="AE38" i="47"/>
  <c r="AE39" i="47"/>
  <c r="AE40" i="47"/>
  <c r="AE41" i="47"/>
  <c r="AE42" i="47"/>
  <c r="AE43" i="47"/>
  <c r="AE44" i="47"/>
  <c r="AE45" i="47"/>
  <c r="AE46" i="47"/>
  <c r="AU93" i="32"/>
  <c r="AT93" i="32"/>
  <c r="AF93" i="32"/>
  <c r="AE93" i="32"/>
  <c r="Q93" i="32"/>
  <c r="P93" i="32"/>
  <c r="AU92" i="32"/>
  <c r="AT92" i="32"/>
  <c r="AF92" i="32"/>
  <c r="AE92" i="32"/>
  <c r="Q92" i="32"/>
  <c r="P92" i="32"/>
  <c r="AU91" i="32"/>
  <c r="AT91" i="32"/>
  <c r="AF91" i="32"/>
  <c r="AE91" i="32"/>
  <c r="Q91" i="32"/>
  <c r="P91" i="32"/>
  <c r="AU90" i="32"/>
  <c r="AT90" i="32"/>
  <c r="AF90" i="32"/>
  <c r="AE90" i="32"/>
  <c r="Q90" i="32"/>
  <c r="P90" i="32"/>
  <c r="AT89" i="32"/>
  <c r="AF89" i="32"/>
  <c r="AE89" i="32"/>
  <c r="Q89" i="32"/>
  <c r="P89" i="32"/>
  <c r="AU71" i="36"/>
  <c r="AT71" i="36"/>
  <c r="AY71" i="36" s="1"/>
  <c r="AU70" i="36"/>
  <c r="AT70" i="36"/>
  <c r="AY70" i="36" s="1"/>
  <c r="AU69" i="36"/>
  <c r="AT69" i="36"/>
  <c r="AY69" i="36" s="1"/>
  <c r="AU68" i="36"/>
  <c r="AT68" i="36"/>
  <c r="AY68" i="36" s="1"/>
  <c r="AU67" i="36"/>
  <c r="AT67" i="36"/>
  <c r="AY67" i="36" s="1"/>
  <c r="AU66" i="36"/>
  <c r="AT66" i="36"/>
  <c r="AY66" i="36" s="1"/>
  <c r="AU65" i="36"/>
  <c r="AT65" i="36"/>
  <c r="AY65" i="36" s="1"/>
  <c r="AU64" i="36"/>
  <c r="AT64" i="36"/>
  <c r="AY64" i="36" s="1"/>
  <c r="AU63" i="36"/>
  <c r="AT63" i="36"/>
  <c r="AY63" i="36" s="1"/>
  <c r="AU62" i="36"/>
  <c r="AT62" i="36"/>
  <c r="AY62" i="36" s="1"/>
  <c r="AU61" i="36"/>
  <c r="AT61" i="36"/>
  <c r="AY61" i="36" s="1"/>
  <c r="AU60" i="36"/>
  <c r="AT60" i="36"/>
  <c r="AY60" i="36" s="1"/>
  <c r="AU59" i="36"/>
  <c r="AT59" i="36"/>
  <c r="AY59" i="36" s="1"/>
  <c r="AU58" i="36"/>
  <c r="AT58" i="36"/>
  <c r="AY58" i="36" s="1"/>
  <c r="AU57" i="36"/>
  <c r="AT57" i="36"/>
  <c r="AY57" i="36" s="1"/>
  <c r="AU56" i="36"/>
  <c r="AT56" i="36"/>
  <c r="AY56" i="36" s="1"/>
  <c r="AU55" i="36"/>
  <c r="AT55" i="36"/>
  <c r="AY55" i="36" s="1"/>
  <c r="AU54" i="36"/>
  <c r="AT54" i="36"/>
  <c r="AY54" i="36" s="1"/>
  <c r="AU53" i="36"/>
  <c r="AT53" i="36"/>
  <c r="AY53" i="36" s="1"/>
  <c r="AU48" i="36"/>
  <c r="AT48" i="36"/>
  <c r="AY48" i="36" s="1"/>
  <c r="AU47" i="36"/>
  <c r="AT47" i="36"/>
  <c r="AY47" i="36" s="1"/>
  <c r="AU46" i="36"/>
  <c r="AT46" i="36"/>
  <c r="AY46" i="36" s="1"/>
  <c r="AU45" i="36"/>
  <c r="AT45" i="36"/>
  <c r="AY45" i="36" s="1"/>
  <c r="AU44" i="36"/>
  <c r="AT44" i="36"/>
  <c r="AY44" i="36" s="1"/>
  <c r="AU43" i="36"/>
  <c r="AT43" i="36"/>
  <c r="AY43" i="36" s="1"/>
  <c r="AU41" i="36"/>
  <c r="AT41" i="36"/>
  <c r="AY41" i="36" s="1"/>
  <c r="AU39" i="36"/>
  <c r="AT39" i="36"/>
  <c r="AU38" i="36"/>
  <c r="AT38" i="36"/>
  <c r="AU37" i="36"/>
  <c r="AU36" i="36"/>
  <c r="AT36" i="36" s="1"/>
  <c r="AU35" i="36"/>
  <c r="AT35" i="36" s="1"/>
  <c r="AU34" i="36"/>
  <c r="AT34" i="36" s="1"/>
  <c r="AU32" i="36"/>
  <c r="AT32" i="36" s="1"/>
  <c r="AU31" i="36"/>
  <c r="AT31" i="36" s="1"/>
  <c r="AU30" i="36"/>
  <c r="AT30" i="36" s="1"/>
  <c r="AU29" i="36"/>
  <c r="AT29" i="36" s="1"/>
  <c r="AU28" i="36"/>
  <c r="AT28" i="36" s="1"/>
  <c r="AU26" i="36"/>
  <c r="AT26" i="36"/>
  <c r="AU25" i="36"/>
  <c r="AT25" i="36"/>
  <c r="AU24" i="36"/>
  <c r="AU23" i="36"/>
  <c r="AT23" i="36"/>
  <c r="AU22" i="36"/>
  <c r="AT22" i="36"/>
  <c r="AU21" i="36"/>
  <c r="AT21" i="36"/>
  <c r="AU20" i="36"/>
  <c r="AT20" i="36"/>
  <c r="AU19" i="36"/>
  <c r="AT19" i="36"/>
  <c r="AU18" i="36"/>
  <c r="AU16" i="36"/>
  <c r="AU15" i="36"/>
  <c r="AU14" i="36"/>
  <c r="AU13" i="36"/>
  <c r="AU12" i="36"/>
  <c r="AU11" i="36"/>
  <c r="AU10" i="36"/>
  <c r="AU9" i="36"/>
  <c r="AU8" i="36"/>
  <c r="AU7" i="36"/>
  <c r="AU6" i="36"/>
  <c r="AU5" i="36"/>
  <c r="AU4" i="36"/>
  <c r="AU38" i="56"/>
  <c r="AT38" i="56"/>
  <c r="AY38" i="56" s="1"/>
  <c r="AU37" i="56"/>
  <c r="AT37" i="56"/>
  <c r="AY37" i="56" s="1"/>
  <c r="AU35" i="56"/>
  <c r="AT35" i="56"/>
  <c r="AY35" i="56" s="1"/>
  <c r="AU34" i="56"/>
  <c r="AT34" i="56"/>
  <c r="AY34" i="56" s="1"/>
  <c r="AU33" i="56"/>
  <c r="AT33" i="56"/>
  <c r="AY33" i="56" s="1"/>
  <c r="AU31" i="56"/>
  <c r="AT31" i="56"/>
  <c r="AY31" i="56" s="1"/>
  <c r="AU30" i="56"/>
  <c r="AT30" i="56"/>
  <c r="AY30" i="56" s="1"/>
  <c r="AU29" i="56"/>
  <c r="AT29" i="56"/>
  <c r="AY29" i="56" s="1"/>
  <c r="AU28" i="56"/>
  <c r="AU27" i="56"/>
  <c r="AT27" i="56"/>
  <c r="AY27" i="56" s="1"/>
  <c r="AU26" i="56"/>
  <c r="AT26" i="56"/>
  <c r="AY26" i="56" s="1"/>
  <c r="AU25" i="56"/>
  <c r="AT25" i="56"/>
  <c r="AY25" i="56" s="1"/>
  <c r="AU24" i="56"/>
  <c r="AU22" i="56"/>
  <c r="AT22" i="56"/>
  <c r="AY22" i="56" s="1"/>
  <c r="AU21" i="56"/>
  <c r="AT21" i="56"/>
  <c r="AY21" i="56" s="1"/>
  <c r="AU20" i="56"/>
  <c r="AT20" i="56"/>
  <c r="AY20" i="56" s="1"/>
  <c r="AU19" i="56"/>
  <c r="AT19" i="56"/>
  <c r="AY19" i="56" s="1"/>
  <c r="AU18" i="56"/>
  <c r="AT18" i="56"/>
  <c r="AY18" i="56" s="1"/>
  <c r="AU17" i="56"/>
  <c r="AT17" i="56"/>
  <c r="AY17" i="56" s="1"/>
  <c r="AU16" i="56"/>
  <c r="AT16" i="56"/>
  <c r="AY16" i="56" s="1"/>
  <c r="AU15" i="56"/>
  <c r="AT15" i="56"/>
  <c r="AY15" i="56" s="1"/>
  <c r="AU14" i="56"/>
  <c r="AT14" i="56"/>
  <c r="AY14" i="56" s="1"/>
  <c r="AT13" i="56"/>
  <c r="AY13" i="56" s="1"/>
  <c r="AU11" i="56"/>
  <c r="AT11" i="56"/>
  <c r="AY11" i="56" s="1"/>
  <c r="AU10" i="56"/>
  <c r="AX10" i="56" s="1"/>
  <c r="AT10" i="56"/>
  <c r="AY10" i="56" s="1"/>
  <c r="AU9" i="56"/>
  <c r="AT9" i="56"/>
  <c r="AY9" i="56" s="1"/>
  <c r="AU8" i="56"/>
  <c r="AT8" i="56"/>
  <c r="AY8" i="56" s="1"/>
  <c r="AU7" i="56"/>
  <c r="AT7" i="56"/>
  <c r="AY7" i="56" s="1"/>
  <c r="AU6" i="56"/>
  <c r="AT6" i="56"/>
  <c r="AY6" i="56" s="1"/>
  <c r="AU5" i="56"/>
  <c r="AT5" i="56"/>
  <c r="AY5" i="56" s="1"/>
  <c r="AU4" i="56"/>
  <c r="AT4" i="56"/>
  <c r="AY4" i="56" s="1"/>
  <c r="AT30" i="53"/>
  <c r="AY30" i="53" s="1"/>
  <c r="AT27" i="53"/>
  <c r="AY27" i="53" s="1"/>
  <c r="AU27" i="53"/>
  <c r="AX27" i="53" s="1"/>
  <c r="AT75" i="53"/>
  <c r="AY75" i="53" s="1"/>
  <c r="AU28" i="53"/>
  <c r="AX28" i="53" s="1"/>
  <c r="AT28" i="53"/>
  <c r="AY28" i="53" s="1"/>
  <c r="AT119" i="53"/>
  <c r="AY119" i="53" s="1"/>
  <c r="AT118" i="53"/>
  <c r="AY118" i="53" s="1"/>
  <c r="AU117" i="53"/>
  <c r="AT117" i="53"/>
  <c r="AY117" i="53" s="1"/>
  <c r="AU116" i="53"/>
  <c r="AT116" i="53"/>
  <c r="AY116" i="53" s="1"/>
  <c r="AU115" i="53"/>
  <c r="AT115" i="53"/>
  <c r="AY115" i="53" s="1"/>
  <c r="AU114" i="53"/>
  <c r="AT114" i="53"/>
  <c r="AY114" i="53" s="1"/>
  <c r="AU113" i="53"/>
  <c r="AT113" i="53"/>
  <c r="AY113" i="53" s="1"/>
  <c r="AU112" i="53"/>
  <c r="AT112" i="53"/>
  <c r="AY112" i="53" s="1"/>
  <c r="AU111" i="53"/>
  <c r="AT111" i="53"/>
  <c r="AY111" i="53" s="1"/>
  <c r="AU110" i="53"/>
  <c r="AT110" i="53"/>
  <c r="AY110" i="53" s="1"/>
  <c r="AT109" i="53"/>
  <c r="AY109" i="53" s="1"/>
  <c r="AU108" i="53"/>
  <c r="AT108" i="53"/>
  <c r="AY108" i="53" s="1"/>
  <c r="AU107" i="53"/>
  <c r="AT107" i="53"/>
  <c r="AY107" i="53" s="1"/>
  <c r="AU106" i="53"/>
  <c r="AT106" i="53"/>
  <c r="AY106" i="53" s="1"/>
  <c r="AU105" i="53"/>
  <c r="AT105" i="53"/>
  <c r="AY105" i="53" s="1"/>
  <c r="AU104" i="53"/>
  <c r="AT104" i="53"/>
  <c r="AY104" i="53" s="1"/>
  <c r="AU103" i="53"/>
  <c r="AT103" i="53"/>
  <c r="AY103" i="53" s="1"/>
  <c r="AU102" i="53"/>
  <c r="AT102" i="53"/>
  <c r="AY102" i="53" s="1"/>
  <c r="AU101" i="53"/>
  <c r="AT101" i="53"/>
  <c r="AY101" i="53" s="1"/>
  <c r="AU100" i="53"/>
  <c r="AT100" i="53"/>
  <c r="AY100" i="53" s="1"/>
  <c r="AU99" i="53"/>
  <c r="AT99" i="53"/>
  <c r="AY99" i="53" s="1"/>
  <c r="AU98" i="53"/>
  <c r="AT98" i="53"/>
  <c r="AY98" i="53" s="1"/>
  <c r="AT97" i="53"/>
  <c r="AY97" i="53" s="1"/>
  <c r="AU96" i="53"/>
  <c r="AT95" i="53"/>
  <c r="AY95" i="53" s="1"/>
  <c r="AT94" i="53"/>
  <c r="AY94" i="53" s="1"/>
  <c r="AU93" i="53"/>
  <c r="AT93" i="53"/>
  <c r="AY93" i="53" s="1"/>
  <c r="AU92" i="53"/>
  <c r="AT92" i="53"/>
  <c r="AY92" i="53" s="1"/>
  <c r="AT91" i="53"/>
  <c r="AY91" i="53" s="1"/>
  <c r="AT90" i="53"/>
  <c r="AY90" i="53" s="1"/>
  <c r="AT89" i="53"/>
  <c r="AY89" i="53" s="1"/>
  <c r="AT88" i="53"/>
  <c r="AY88" i="53" s="1"/>
  <c r="AT87" i="53"/>
  <c r="AY87" i="53" s="1"/>
  <c r="AT86" i="53"/>
  <c r="AY86" i="53" s="1"/>
  <c r="AT85" i="53"/>
  <c r="AY85" i="53" s="1"/>
  <c r="AT84" i="53"/>
  <c r="AY84" i="53" s="1"/>
  <c r="AT83" i="53"/>
  <c r="AY83" i="53" s="1"/>
  <c r="AT82" i="53"/>
  <c r="AY82" i="53" s="1"/>
  <c r="AT81" i="53"/>
  <c r="AY81" i="53" s="1"/>
  <c r="AT80" i="53"/>
  <c r="AY80" i="53" s="1"/>
  <c r="AU79" i="53"/>
  <c r="AT79" i="53"/>
  <c r="AY79" i="53" s="1"/>
  <c r="AT78" i="53"/>
  <c r="AY78" i="53" s="1"/>
  <c r="AT77" i="53"/>
  <c r="AY77" i="53" s="1"/>
  <c r="AT76" i="53"/>
  <c r="AY76" i="53" s="1"/>
  <c r="AT74" i="53"/>
  <c r="AY74" i="53" s="1"/>
  <c r="AT73" i="53"/>
  <c r="AY73" i="53" s="1"/>
  <c r="AT72" i="53"/>
  <c r="AY72" i="53" s="1"/>
  <c r="AT71" i="53"/>
  <c r="AY71" i="53" s="1"/>
  <c r="AT70" i="53"/>
  <c r="AY70" i="53" s="1"/>
  <c r="AT69" i="53"/>
  <c r="AY69" i="53" s="1"/>
  <c r="AT68" i="53"/>
  <c r="AY68" i="53" s="1"/>
  <c r="AU67" i="53"/>
  <c r="AT67" i="53"/>
  <c r="AY67" i="53" s="1"/>
  <c r="AU66" i="53"/>
  <c r="AT66" i="53"/>
  <c r="AY66" i="53" s="1"/>
  <c r="AU65" i="53"/>
  <c r="AT65" i="53"/>
  <c r="AY65" i="53" s="1"/>
  <c r="AU64" i="53"/>
  <c r="AT64" i="53"/>
  <c r="AY64" i="53" s="1"/>
  <c r="AU62" i="53"/>
  <c r="AT62" i="53"/>
  <c r="AY62" i="53" s="1"/>
  <c r="AU61" i="53"/>
  <c r="AT61" i="53"/>
  <c r="AY61" i="53" s="1"/>
  <c r="AU59" i="53"/>
  <c r="AT59" i="53"/>
  <c r="AY59" i="53" s="1"/>
  <c r="AU58" i="53"/>
  <c r="AT58" i="53"/>
  <c r="AY58" i="53" s="1"/>
  <c r="AT57" i="53"/>
  <c r="AY57" i="53" s="1"/>
  <c r="AU57" i="53"/>
  <c r="AU56" i="53"/>
  <c r="AT56" i="53"/>
  <c r="AY56" i="53" s="1"/>
  <c r="AU55" i="53"/>
  <c r="AT55" i="53"/>
  <c r="AY55" i="53" s="1"/>
  <c r="AU54" i="53"/>
  <c r="AT54" i="53"/>
  <c r="AY54" i="53" s="1"/>
  <c r="AU53" i="53"/>
  <c r="AT53" i="53"/>
  <c r="AY53" i="53" s="1"/>
  <c r="AU52" i="53"/>
  <c r="AT52" i="53"/>
  <c r="AY52" i="53" s="1"/>
  <c r="AU51" i="53"/>
  <c r="AT51" i="53"/>
  <c r="AY51" i="53" s="1"/>
  <c r="AU50" i="53"/>
  <c r="AT50" i="53"/>
  <c r="AY50" i="53" s="1"/>
  <c r="AU49" i="53"/>
  <c r="AT49" i="53"/>
  <c r="AY49" i="53" s="1"/>
  <c r="AU48" i="53"/>
  <c r="AU47" i="53"/>
  <c r="AT47" i="53"/>
  <c r="AY47" i="53" s="1"/>
  <c r="AU46" i="53"/>
  <c r="AT46" i="53"/>
  <c r="AY46" i="53" s="1"/>
  <c r="AU45" i="53"/>
  <c r="AT45" i="53"/>
  <c r="AY45" i="53" s="1"/>
  <c r="AU44" i="53"/>
  <c r="AT44" i="53"/>
  <c r="AY44" i="53" s="1"/>
  <c r="AU43" i="53"/>
  <c r="AT43" i="53"/>
  <c r="AY43" i="53" s="1"/>
  <c r="AU42" i="53"/>
  <c r="AT42" i="53"/>
  <c r="AY42" i="53" s="1"/>
  <c r="AU41" i="53"/>
  <c r="AT41" i="53"/>
  <c r="AY41" i="53" s="1"/>
  <c r="AU40" i="53"/>
  <c r="AT40" i="53"/>
  <c r="AY40" i="53" s="1"/>
  <c r="AU39" i="53"/>
  <c r="AT39" i="53"/>
  <c r="AY39" i="53" s="1"/>
  <c r="AU38" i="53"/>
  <c r="AT38" i="53"/>
  <c r="AY38" i="53" s="1"/>
  <c r="AU37" i="53"/>
  <c r="AT35" i="53"/>
  <c r="AY35" i="53" s="1"/>
  <c r="AT32" i="53"/>
  <c r="AY32" i="53" s="1"/>
  <c r="AT31" i="53"/>
  <c r="AY31" i="53" s="1"/>
  <c r="AT26" i="53"/>
  <c r="AY26" i="53" s="1"/>
  <c r="AT25" i="53"/>
  <c r="AY25" i="53" s="1"/>
  <c r="AT24" i="53"/>
  <c r="AY24" i="53" s="1"/>
  <c r="AT23" i="53"/>
  <c r="AY23" i="53" s="1"/>
  <c r="AT22" i="53"/>
  <c r="AY22" i="53" s="1"/>
  <c r="AT21" i="53"/>
  <c r="AY21" i="53" s="1"/>
  <c r="AT20" i="53"/>
  <c r="AY20" i="53" s="1"/>
  <c r="AT19" i="53"/>
  <c r="AY19" i="53" s="1"/>
  <c r="AT18" i="53"/>
  <c r="AY18" i="53" s="1"/>
  <c r="AT17" i="53"/>
  <c r="AY17" i="53" s="1"/>
  <c r="AT16" i="53"/>
  <c r="AY16" i="53" s="1"/>
  <c r="AT15" i="53"/>
  <c r="AY15" i="53" s="1"/>
  <c r="AT14" i="53"/>
  <c r="AY14" i="53" s="1"/>
  <c r="AT13" i="53"/>
  <c r="AY13" i="53" s="1"/>
  <c r="AT12" i="53"/>
  <c r="AY12" i="53" s="1"/>
  <c r="AT11" i="53"/>
  <c r="AY11" i="53" s="1"/>
  <c r="AT10" i="53"/>
  <c r="AY10" i="53" s="1"/>
  <c r="AT9" i="53"/>
  <c r="AY9" i="53" s="1"/>
  <c r="AT8" i="53"/>
  <c r="AY8" i="53" s="1"/>
  <c r="AT7" i="53"/>
  <c r="AY7" i="53" s="1"/>
  <c r="AU5" i="53"/>
  <c r="AT5" i="53"/>
  <c r="AY5" i="53" s="1"/>
  <c r="AU4" i="53"/>
  <c r="AT4" i="53"/>
  <c r="AY4" i="53" s="1"/>
  <c r="AU140" i="34"/>
  <c r="AU139" i="34"/>
  <c r="AU138" i="34"/>
  <c r="AU137" i="34"/>
  <c r="AU136" i="34"/>
  <c r="AU135" i="34"/>
  <c r="AU134" i="34"/>
  <c r="AU133" i="34"/>
  <c r="AU132" i="34"/>
  <c r="AU131" i="34"/>
  <c r="AU130" i="34"/>
  <c r="AU129" i="34"/>
  <c r="AU128" i="34"/>
  <c r="AU127" i="34"/>
  <c r="AU126" i="34"/>
  <c r="AU125" i="34"/>
  <c r="AU124" i="34"/>
  <c r="AU123" i="34"/>
  <c r="AU122" i="34"/>
  <c r="AU121" i="34"/>
  <c r="AU120" i="34"/>
  <c r="AV118" i="34"/>
  <c r="AU118" i="34"/>
  <c r="AV117" i="34"/>
  <c r="AU117" i="34"/>
  <c r="AV116" i="34"/>
  <c r="AU116" i="34"/>
  <c r="AV115" i="34"/>
  <c r="AU115" i="34"/>
  <c r="AV114" i="34"/>
  <c r="AU114" i="34"/>
  <c r="AV113" i="34"/>
  <c r="AU113" i="34"/>
  <c r="AV112" i="34"/>
  <c r="AU112" i="34"/>
  <c r="AV111" i="34"/>
  <c r="AU111" i="34"/>
  <c r="AV110" i="34"/>
  <c r="AU110" i="34"/>
  <c r="AV109" i="34"/>
  <c r="AU109" i="34"/>
  <c r="AU57" i="34"/>
  <c r="AU56" i="34"/>
  <c r="AU55" i="34"/>
  <c r="AU54" i="34"/>
  <c r="AU53" i="34"/>
  <c r="AU51" i="34"/>
  <c r="AU50" i="34"/>
  <c r="AU49" i="34"/>
  <c r="AU48" i="34"/>
  <c r="AU46" i="34"/>
  <c r="AU45" i="34"/>
  <c r="AU44" i="34"/>
  <c r="AU43" i="34"/>
  <c r="AU41" i="34"/>
  <c r="AU40" i="34"/>
  <c r="AU39" i="34"/>
  <c r="AU38" i="34"/>
  <c r="AU36" i="34"/>
  <c r="AU35" i="34"/>
  <c r="AU34" i="34"/>
  <c r="AU33" i="34"/>
  <c r="AU30" i="34"/>
  <c r="AU29" i="34"/>
  <c r="AU28" i="34"/>
  <c r="AU27" i="34"/>
  <c r="AU26" i="34"/>
  <c r="AU24" i="34"/>
  <c r="AU23" i="34"/>
  <c r="AU21" i="34"/>
  <c r="AU20" i="34"/>
  <c r="AU19" i="34"/>
  <c r="AU18" i="34"/>
  <c r="AU17" i="34"/>
  <c r="AU16" i="34"/>
  <c r="AU15" i="34"/>
  <c r="AU14" i="34"/>
  <c r="AU13" i="34"/>
  <c r="AU11" i="34"/>
  <c r="AU10" i="34"/>
  <c r="AU9" i="34"/>
  <c r="AU8" i="34"/>
  <c r="AU7" i="34"/>
  <c r="AU5" i="34"/>
  <c r="BN139" i="22"/>
  <c r="BN140" i="22"/>
  <c r="BN141" i="22"/>
  <c r="BN142" i="22"/>
  <c r="BN143" i="22"/>
  <c r="BN144" i="22"/>
  <c r="BN145" i="22"/>
  <c r="BN146" i="22"/>
  <c r="BN147" i="22"/>
  <c r="BN148" i="22"/>
  <c r="BN149" i="22"/>
  <c r="BN150" i="22"/>
  <c r="BN151" i="22"/>
  <c r="BN152" i="22"/>
  <c r="BN153" i="22"/>
  <c r="BN154" i="22"/>
  <c r="BN155" i="22"/>
  <c r="BN156" i="22"/>
  <c r="BN157" i="22"/>
  <c r="BN158" i="22"/>
  <c r="BN159" i="22"/>
  <c r="BN160" i="22"/>
  <c r="BN161" i="22"/>
  <c r="BN162" i="22"/>
  <c r="BN163" i="22"/>
  <c r="BN164" i="22"/>
  <c r="BN165" i="22"/>
  <c r="BN166" i="22"/>
  <c r="BN167" i="22"/>
  <c r="BN168" i="22"/>
  <c r="BN169" i="22"/>
  <c r="BN170" i="22"/>
  <c r="BN171" i="22"/>
  <c r="BN172" i="22"/>
  <c r="BN173" i="22"/>
  <c r="BN174" i="22"/>
  <c r="BN175" i="22"/>
  <c r="BN176" i="22"/>
  <c r="BN177" i="22"/>
  <c r="BN178" i="22"/>
  <c r="BN179" i="22"/>
  <c r="BN180" i="22"/>
  <c r="BN181" i="22"/>
  <c r="BN182" i="22"/>
  <c r="BN183" i="22"/>
  <c r="BN184" i="22"/>
  <c r="BN185" i="22"/>
  <c r="BN186" i="22"/>
  <c r="BN187" i="22"/>
  <c r="BN188" i="22"/>
  <c r="BN189" i="22"/>
  <c r="BN190" i="22"/>
  <c r="BN191" i="22"/>
  <c r="BN192" i="22"/>
  <c r="BN193" i="22"/>
  <c r="BN194" i="22"/>
  <c r="BN195" i="22"/>
  <c r="BN196" i="22"/>
  <c r="BN197" i="22"/>
  <c r="BN198" i="22"/>
  <c r="BN199" i="22"/>
  <c r="BN200" i="22"/>
  <c r="BN201" i="22"/>
  <c r="BN202" i="22"/>
  <c r="BN203" i="22"/>
  <c r="BN204" i="22"/>
  <c r="BN205" i="22"/>
  <c r="BN206" i="22"/>
  <c r="BN207" i="22"/>
  <c r="BN208" i="22"/>
  <c r="BN209" i="22"/>
  <c r="BN210" i="22"/>
  <c r="BN211" i="22"/>
  <c r="BN138" i="22"/>
  <c r="BN59" i="22"/>
  <c r="BN79" i="22"/>
  <c r="BN4" i="22"/>
  <c r="BN5" i="22"/>
  <c r="BN6" i="22"/>
  <c r="BN7" i="22"/>
  <c r="BN8" i="22"/>
  <c r="BN9" i="22"/>
  <c r="BN10" i="22"/>
  <c r="BN12" i="22"/>
  <c r="BN14" i="22"/>
  <c r="BN15" i="22"/>
  <c r="BN16" i="22"/>
  <c r="BN17" i="22"/>
  <c r="BN18" i="22"/>
  <c r="BN19" i="22"/>
  <c r="BN20" i="22"/>
  <c r="BN21" i="22"/>
  <c r="BN23" i="22"/>
  <c r="BN24" i="22"/>
  <c r="BN25" i="22"/>
  <c r="BN31" i="22"/>
  <c r="BN32" i="22"/>
  <c r="BN33" i="22"/>
  <c r="BN34" i="22"/>
  <c r="BN35" i="22"/>
  <c r="BN36" i="22"/>
  <c r="BN37" i="22"/>
  <c r="BN38" i="22"/>
  <c r="BN39" i="22"/>
  <c r="BN40" i="22"/>
  <c r="BN42" i="22"/>
  <c r="BN43" i="22"/>
  <c r="BN44" i="22"/>
  <c r="BN50" i="22"/>
  <c r="BN51" i="22"/>
  <c r="BN52" i="22"/>
  <c r="BN53" i="22"/>
  <c r="BN54" i="22"/>
  <c r="BN55" i="22"/>
  <c r="BN56" i="22"/>
  <c r="BN57" i="22"/>
  <c r="BN58" i="22"/>
  <c r="BN3" i="22"/>
  <c r="X20" i="17" a="1"/>
  <c r="W19" i="17" a="1"/>
  <c r="T23" i="17" a="1"/>
  <c r="W20" i="17" a="1"/>
  <c r="X23" i="17" a="1"/>
  <c r="T20" i="17" a="1"/>
  <c r="X19" i="17" a="1"/>
  <c r="T22" i="17" a="1"/>
  <c r="W23" i="17" a="1"/>
  <c r="W22" i="17" a="1"/>
  <c r="W21" i="17" a="1"/>
  <c r="X21" i="17" a="1"/>
  <c r="X22" i="17" a="1"/>
  <c r="T21" i="17" a="1"/>
  <c r="T19" i="17" a="1"/>
  <c r="V7" i="50" a="1"/>
  <c r="BI33" i="54" l="1"/>
  <c r="W21" i="17"/>
  <c r="W19" i="17"/>
  <c r="W22" i="17"/>
  <c r="W20" i="17"/>
  <c r="W23" i="17"/>
  <c r="BI40" i="54"/>
  <c r="BI20" i="54" s="1"/>
  <c r="BI30" i="54"/>
  <c r="BI24" i="54"/>
  <c r="BJ31" i="54"/>
  <c r="BI23" i="54"/>
  <c r="BJ25" i="54"/>
  <c r="BI17" i="54"/>
  <c r="BJ20" i="54"/>
  <c r="BJ30" i="54"/>
  <c r="BI21" i="54"/>
  <c r="BI31" i="54"/>
  <c r="BJ21" i="54"/>
  <c r="BJ23" i="54"/>
  <c r="BJ33" i="54"/>
  <c r="V7" i="50"/>
  <c r="T21" i="17"/>
  <c r="X20" i="17"/>
  <c r="T23" i="17"/>
  <c r="X23" i="17"/>
  <c r="X21" i="17"/>
  <c r="T19" i="17"/>
  <c r="X19" i="17"/>
  <c r="T22" i="17"/>
  <c r="X22" i="17"/>
  <c r="T20" i="17"/>
  <c r="AX90" i="32"/>
  <c r="AX93" i="32"/>
  <c r="AX91" i="32"/>
  <c r="AX89" i="32"/>
  <c r="AX92" i="32"/>
  <c r="AU25" i="53"/>
  <c r="AU10" i="53"/>
  <c r="AU12" i="53"/>
  <c r="AU32" i="53"/>
  <c r="AU74" i="53"/>
  <c r="AU90" i="53"/>
  <c r="AU109" i="53"/>
  <c r="AU23" i="53"/>
  <c r="AU31" i="53"/>
  <c r="AU89" i="53"/>
  <c r="AU13" i="53"/>
  <c r="AU76" i="53"/>
  <c r="AU91" i="53"/>
  <c r="AU118" i="53"/>
  <c r="AU8" i="53"/>
  <c r="AU11" i="53"/>
  <c r="AU14" i="53"/>
  <c r="AU77" i="53"/>
  <c r="AU119" i="53"/>
  <c r="AU9" i="53"/>
  <c r="AU26" i="53"/>
  <c r="AU73" i="53"/>
  <c r="AU15" i="53"/>
  <c r="AU78" i="53"/>
  <c r="AU24" i="53"/>
  <c r="AU16" i="53"/>
  <c r="AU71" i="53"/>
  <c r="AU17" i="53"/>
  <c r="AU75" i="53"/>
  <c r="AU18" i="53"/>
  <c r="AU80" i="53"/>
  <c r="AU94" i="53"/>
  <c r="AU19" i="53"/>
  <c r="AU81" i="53"/>
  <c r="AU95" i="53"/>
  <c r="AU20" i="53"/>
  <c r="AU82" i="53"/>
  <c r="AU30" i="53"/>
  <c r="AX30" i="53" s="1"/>
  <c r="AU21" i="53"/>
  <c r="AU83" i="53"/>
  <c r="AU97" i="53"/>
  <c r="AU22" i="53"/>
  <c r="AU68" i="53"/>
  <c r="AU84" i="53"/>
  <c r="AU7" i="53"/>
  <c r="AU69" i="53"/>
  <c r="AU85" i="53"/>
  <c r="AU70" i="53"/>
  <c r="AU86" i="53"/>
  <c r="AU87" i="53"/>
  <c r="AU72" i="53"/>
  <c r="AU88" i="53"/>
  <c r="AT4" i="36"/>
  <c r="AY4" i="36" s="1"/>
  <c r="AT5" i="36"/>
  <c r="AY5" i="36" s="1"/>
  <c r="AT12" i="36"/>
  <c r="AY12" i="36" s="1"/>
  <c r="AT6" i="36"/>
  <c r="AY6" i="36" s="1"/>
  <c r="AT7" i="36"/>
  <c r="AY7" i="36" s="1"/>
  <c r="AT8" i="36"/>
  <c r="AY8" i="36" s="1"/>
  <c r="AT9" i="36"/>
  <c r="AY9" i="36" s="1"/>
  <c r="AT10" i="36"/>
  <c r="AY10" i="36" s="1"/>
  <c r="AT13" i="36"/>
  <c r="AY13" i="36" s="1"/>
  <c r="AT11" i="36"/>
  <c r="AY11" i="36" s="1"/>
  <c r="AT15" i="36"/>
  <c r="AY15" i="36" s="1"/>
  <c r="AT16" i="36"/>
  <c r="AY16" i="36" s="1"/>
  <c r="AT14" i="36"/>
  <c r="AY14" i="36" s="1"/>
  <c r="BI18" i="54"/>
  <c r="BI19" i="54"/>
  <c r="BJ28" i="54"/>
  <c r="BJ9" i="54" s="1"/>
  <c r="BI29" i="54"/>
  <c r="BJ29" i="54"/>
  <c r="BJ10" i="54" s="1"/>
  <c r="BJ26" i="54"/>
  <c r="BJ35" i="55"/>
  <c r="BJ97" i="55"/>
  <c r="BI97" i="55"/>
  <c r="BG4" i="55"/>
  <c r="BE5" i="55"/>
  <c r="BJ84" i="55"/>
  <c r="BG6" i="55"/>
  <c r="BI56" i="55"/>
  <c r="BF4" i="55"/>
  <c r="BJ36" i="55"/>
  <c r="BI43" i="55"/>
  <c r="BJ99" i="55"/>
  <c r="BJ43" i="55"/>
  <c r="BI57" i="55"/>
  <c r="BJ78" i="55"/>
  <c r="BI85" i="55"/>
  <c r="BI94" i="55"/>
  <c r="BI105" i="55" s="1"/>
  <c r="BJ57" i="55"/>
  <c r="BJ85" i="55"/>
  <c r="BJ94" i="55"/>
  <c r="BI42" i="55"/>
  <c r="BC5" i="55"/>
  <c r="BI34" i="55"/>
  <c r="BJ56" i="55"/>
  <c r="BD5" i="55"/>
  <c r="BF5" i="55"/>
  <c r="AY4" i="55"/>
  <c r="BJ16" i="54"/>
  <c r="BI27" i="54"/>
  <c r="BJ27" i="54"/>
  <c r="BJ101" i="54"/>
  <c r="BJ61" i="54"/>
  <c r="BJ64" i="54"/>
  <c r="BJ35" i="54" s="1"/>
  <c r="BI91" i="54"/>
  <c r="BI32" i="54" s="1"/>
  <c r="BI101" i="54"/>
  <c r="BI94" i="54"/>
  <c r="BI35" i="54" s="1"/>
  <c r="BI104" i="54"/>
  <c r="BJ91" i="54"/>
  <c r="BI71" i="54"/>
  <c r="BI74" i="54"/>
  <c r="BI87" i="54"/>
  <c r="BI28" i="54" s="1"/>
  <c r="BI110" i="54"/>
  <c r="AT37" i="36"/>
  <c r="AU33" i="36"/>
  <c r="AT33" i="36" s="1"/>
  <c r="AT24" i="36"/>
  <c r="AT18" i="36"/>
  <c r="AU32" i="56"/>
  <c r="AU13" i="56"/>
  <c r="AT28" i="56"/>
  <c r="AY28" i="56" s="1"/>
  <c r="AT32" i="56"/>
  <c r="AY32" i="56" s="1"/>
  <c r="AT24" i="56"/>
  <c r="AY24" i="56" s="1"/>
  <c r="AT29" i="53"/>
  <c r="AY29" i="53" s="1"/>
  <c r="AT6" i="53"/>
  <c r="AY6" i="53" s="1"/>
  <c r="AT63" i="53"/>
  <c r="AY63" i="53" s="1"/>
  <c r="AT34" i="53"/>
  <c r="AY34" i="53" s="1"/>
  <c r="AU34" i="53"/>
  <c r="AT48" i="53"/>
  <c r="AY48" i="53" s="1"/>
  <c r="AT37" i="53"/>
  <c r="AY37" i="53" s="1"/>
  <c r="AT96" i="53"/>
  <c r="AY96" i="53" s="1"/>
  <c r="AU106" i="34"/>
  <c r="AU108" i="34"/>
  <c r="AU6" i="34"/>
  <c r="AU104" i="34"/>
  <c r="AU47" i="34"/>
  <c r="AU22" i="34"/>
  <c r="AU12" i="34"/>
  <c r="AU37" i="34"/>
  <c r="AU32" i="34"/>
  <c r="AU52" i="34"/>
  <c r="AU107" i="34"/>
  <c r="AU42" i="34"/>
  <c r="AU105" i="34"/>
  <c r="AU119" i="34"/>
  <c r="BN473" i="22"/>
  <c r="BN474" i="22"/>
  <c r="BN475" i="22"/>
  <c r="BN476" i="22"/>
  <c r="BN477" i="22"/>
  <c r="BN244" i="22"/>
  <c r="BN245" i="22"/>
  <c r="BN246" i="22"/>
  <c r="BN248" i="22"/>
  <c r="BN249" i="22"/>
  <c r="BN250" i="22"/>
  <c r="BN251" i="22"/>
  <c r="BN252" i="22"/>
  <c r="BN253" i="22"/>
  <c r="BN254" i="22"/>
  <c r="BN255" i="22"/>
  <c r="BN256" i="22"/>
  <c r="BN257" i="22"/>
  <c r="BN258" i="22"/>
  <c r="BN259" i="22"/>
  <c r="BN260" i="22"/>
  <c r="BN261" i="22"/>
  <c r="BN262" i="22"/>
  <c r="BN263" i="22"/>
  <c r="BN264" i="22"/>
  <c r="BN265" i="22"/>
  <c r="BN266" i="22"/>
  <c r="BN267" i="22"/>
  <c r="BN268" i="22"/>
  <c r="BN269" i="22"/>
  <c r="BN270" i="22"/>
  <c r="BN271" i="22"/>
  <c r="BN272" i="22"/>
  <c r="BN273" i="22"/>
  <c r="BN274" i="22"/>
  <c r="BN275" i="22"/>
  <c r="BN276" i="22"/>
  <c r="BN277" i="22"/>
  <c r="BN278" i="22"/>
  <c r="BN279" i="22"/>
  <c r="BN280" i="22"/>
  <c r="BN281" i="22"/>
  <c r="BN282" i="22"/>
  <c r="BN283" i="22"/>
  <c r="BN284" i="22"/>
  <c r="BN285" i="22"/>
  <c r="BN286" i="22"/>
  <c r="BN287" i="22"/>
  <c r="BN288" i="22"/>
  <c r="BN289" i="22"/>
  <c r="BN290" i="22"/>
  <c r="BN291" i="22"/>
  <c r="BN292" i="22"/>
  <c r="BN293" i="22"/>
  <c r="BN294" i="22"/>
  <c r="BN295" i="22"/>
  <c r="BN296" i="22"/>
  <c r="BN297" i="22"/>
  <c r="BN298" i="22"/>
  <c r="BN299" i="22"/>
  <c r="BN300" i="22"/>
  <c r="BN301" i="22"/>
  <c r="BN302" i="22"/>
  <c r="BN303" i="22"/>
  <c r="BN304" i="22"/>
  <c r="BN305" i="22"/>
  <c r="BN306" i="22"/>
  <c r="BN307" i="22"/>
  <c r="BN308" i="22"/>
  <c r="BN309" i="22"/>
  <c r="BN310" i="22"/>
  <c r="BN311" i="22"/>
  <c r="BN312" i="22"/>
  <c r="BN313" i="22"/>
  <c r="BN314" i="22"/>
  <c r="BN315" i="22"/>
  <c r="BN316" i="22"/>
  <c r="BN317" i="22"/>
  <c r="BN318" i="22"/>
  <c r="BN319" i="22"/>
  <c r="BN320" i="22"/>
  <c r="BN321" i="22"/>
  <c r="BN322" i="22"/>
  <c r="BN323" i="22"/>
  <c r="BN324" i="22"/>
  <c r="BN325" i="22"/>
  <c r="BN326" i="22"/>
  <c r="BN327" i="22"/>
  <c r="BN328" i="22"/>
  <c r="BN329" i="22"/>
  <c r="BN330" i="22"/>
  <c r="BN331" i="22"/>
  <c r="BN332" i="22"/>
  <c r="BN333" i="22"/>
  <c r="BN334" i="22"/>
  <c r="BN335" i="22"/>
  <c r="BN336" i="22"/>
  <c r="BN337" i="22"/>
  <c r="BN338" i="22"/>
  <c r="BN339" i="22"/>
  <c r="BN340" i="22"/>
  <c r="BN341" i="22"/>
  <c r="BN342" i="22"/>
  <c r="BN343" i="22"/>
  <c r="BN344" i="22"/>
  <c r="BN345" i="22"/>
  <c r="BN346" i="22"/>
  <c r="BN347" i="22"/>
  <c r="BN348" i="22"/>
  <c r="BN349" i="22"/>
  <c r="BN350" i="22"/>
  <c r="BN351" i="22"/>
  <c r="BN352" i="22"/>
  <c r="BN353" i="22"/>
  <c r="BN354" i="22"/>
  <c r="BN355" i="22"/>
  <c r="BN356" i="22"/>
  <c r="BN357" i="22"/>
  <c r="BN358" i="22"/>
  <c r="BN359" i="22"/>
  <c r="BN360" i="22"/>
  <c r="BN361" i="22"/>
  <c r="BN362" i="22"/>
  <c r="BN363" i="22"/>
  <c r="BN364" i="22"/>
  <c r="BN365" i="22"/>
  <c r="BN366" i="22"/>
  <c r="BN367" i="22"/>
  <c r="BN368" i="22"/>
  <c r="BN369" i="22"/>
  <c r="BN370" i="22"/>
  <c r="BN371" i="22"/>
  <c r="BN372" i="22"/>
  <c r="BN373" i="22"/>
  <c r="BN374" i="22"/>
  <c r="BN375" i="22"/>
  <c r="BN376" i="22"/>
  <c r="BN377" i="22"/>
  <c r="BN378" i="22"/>
  <c r="BN379" i="22"/>
  <c r="BN380" i="22"/>
  <c r="BN381" i="22"/>
  <c r="BN382" i="22"/>
  <c r="BN383" i="22"/>
  <c r="BN384" i="22"/>
  <c r="BN385" i="22"/>
  <c r="BN386" i="22"/>
  <c r="BN387" i="22"/>
  <c r="BN388" i="22"/>
  <c r="BN389" i="22"/>
  <c r="BN390" i="22"/>
  <c r="BN391" i="22"/>
  <c r="BN392" i="22"/>
  <c r="BN393" i="22"/>
  <c r="BN394" i="22"/>
  <c r="BN395" i="22"/>
  <c r="BN396" i="22"/>
  <c r="BN397" i="22"/>
  <c r="BN398" i="22"/>
  <c r="BN399" i="22"/>
  <c r="BN400" i="22"/>
  <c r="BN401" i="22"/>
  <c r="BN402" i="22"/>
  <c r="BN403" i="22"/>
  <c r="BN404" i="22"/>
  <c r="BN405" i="22"/>
  <c r="BN406" i="22"/>
  <c r="BN407" i="22"/>
  <c r="BN408" i="22"/>
  <c r="BN409" i="22"/>
  <c r="BN410" i="22"/>
  <c r="BN411" i="22"/>
  <c r="BN412" i="22"/>
  <c r="BN413" i="22"/>
  <c r="BN414" i="22"/>
  <c r="BN415" i="22"/>
  <c r="BN416" i="22"/>
  <c r="BN417" i="22"/>
  <c r="BN418" i="22"/>
  <c r="BN419" i="22"/>
  <c r="BN420" i="22"/>
  <c r="BN421" i="22"/>
  <c r="BN422" i="22"/>
  <c r="BN423" i="22"/>
  <c r="BN424" i="22"/>
  <c r="BN425" i="22"/>
  <c r="BN426" i="22"/>
  <c r="BN427" i="22"/>
  <c r="BN428" i="22"/>
  <c r="BN429" i="22"/>
  <c r="BN430" i="22"/>
  <c r="BN431" i="22"/>
  <c r="BN432" i="22"/>
  <c r="BN433" i="22"/>
  <c r="BN434" i="22"/>
  <c r="BN435" i="22"/>
  <c r="BN436" i="22"/>
  <c r="BN437" i="22"/>
  <c r="BN438" i="22"/>
  <c r="BN439" i="22"/>
  <c r="BN440" i="22"/>
  <c r="BN441" i="22"/>
  <c r="BN442" i="22"/>
  <c r="BN443" i="22"/>
  <c r="BN444" i="22"/>
  <c r="BN445" i="22"/>
  <c r="BN446" i="22"/>
  <c r="BN447" i="22"/>
  <c r="BN448" i="22"/>
  <c r="BN449" i="22"/>
  <c r="BN450" i="22"/>
  <c r="BN451" i="22"/>
  <c r="BN452" i="22"/>
  <c r="BN453" i="22"/>
  <c r="BN454" i="22"/>
  <c r="BN455" i="22"/>
  <c r="BN456" i="22"/>
  <c r="BN457" i="22"/>
  <c r="BN458" i="22"/>
  <c r="BN459" i="22"/>
  <c r="BN460" i="22"/>
  <c r="BN461" i="22"/>
  <c r="BN462" i="22"/>
  <c r="BN463" i="22"/>
  <c r="BN464" i="22"/>
  <c r="BN465" i="22"/>
  <c r="BN466" i="22"/>
  <c r="BN467" i="22"/>
  <c r="BN468" i="22"/>
  <c r="BN469" i="22"/>
  <c r="BN470" i="22"/>
  <c r="BN471" i="22"/>
  <c r="BN472" i="22"/>
  <c r="BN239" i="22"/>
  <c r="BN240" i="22"/>
  <c r="BN241" i="22"/>
  <c r="BN242" i="22"/>
  <c r="BN243" i="22"/>
  <c r="Y20" i="17" a="1"/>
  <c r="Y19" i="17" a="1"/>
  <c r="Y22" i="17" a="1"/>
  <c r="Y21" i="17" a="1"/>
  <c r="U7" i="50" a="1"/>
  <c r="Y23" i="17" a="1"/>
  <c r="BI14" i="54" l="1"/>
  <c r="BI11" i="54"/>
  <c r="BJ42" i="54"/>
  <c r="BI42" i="54"/>
  <c r="BI12" i="54"/>
  <c r="BI25" i="54"/>
  <c r="BI15" i="54" s="1"/>
  <c r="BJ32" i="54"/>
  <c r="U7" i="50"/>
  <c r="Y22" i="17"/>
  <c r="Y19" i="17"/>
  <c r="Y21" i="17"/>
  <c r="Y23" i="17"/>
  <c r="Y20" i="17"/>
  <c r="AT36" i="53"/>
  <c r="AY36" i="53" s="1"/>
  <c r="AU63" i="53"/>
  <c r="AU6" i="53"/>
  <c r="AU29" i="53"/>
  <c r="AX29" i="53" s="1"/>
  <c r="AU36" i="53"/>
  <c r="BJ14" i="54"/>
  <c r="BI10" i="54"/>
  <c r="BJ15" i="54"/>
  <c r="BM15" i="54" s="1"/>
  <c r="BJ7" i="54"/>
  <c r="BJ12" i="54"/>
  <c r="BJ11" i="54"/>
  <c r="BJ98" i="55"/>
  <c r="BE4" i="55"/>
  <c r="BD4" i="55"/>
  <c r="BE6" i="55"/>
  <c r="BI77" i="55"/>
  <c r="BC6" i="55"/>
  <c r="BI35" i="55"/>
  <c r="BI84" i="55"/>
  <c r="BJ22" i="55"/>
  <c r="BI22" i="55"/>
  <c r="BJ77" i="55"/>
  <c r="BF6" i="55"/>
  <c r="BJ42" i="55"/>
  <c r="BC4" i="55"/>
  <c r="BG5" i="55"/>
  <c r="BI9" i="54"/>
  <c r="BI81" i="54"/>
  <c r="BJ81" i="54"/>
  <c r="AU103" i="34"/>
  <c r="AU31" i="34"/>
  <c r="AD83" i="26"/>
  <c r="BJ477" i="22"/>
  <c r="BP477" i="22" s="1"/>
  <c r="AD82" i="26"/>
  <c r="BJ476" i="22"/>
  <c r="BP476" i="22" s="1"/>
  <c r="AD81" i="26"/>
  <c r="BJ475" i="22"/>
  <c r="BP475" i="22" s="1"/>
  <c r="AD80" i="26"/>
  <c r="BJ474" i="22"/>
  <c r="BP474" i="22" s="1"/>
  <c r="AD79" i="26"/>
  <c r="BJ473" i="22"/>
  <c r="BP473" i="22" s="1"/>
  <c r="AD78" i="26"/>
  <c r="BJ472" i="22"/>
  <c r="BP472" i="22" s="1"/>
  <c r="AD77" i="26"/>
  <c r="BJ471" i="22"/>
  <c r="BP471" i="22" s="1"/>
  <c r="AD76" i="26"/>
  <c r="BJ470" i="22"/>
  <c r="BP470" i="22" s="1"/>
  <c r="AD75" i="26"/>
  <c r="BJ469" i="22"/>
  <c r="BP469" i="22" s="1"/>
  <c r="AD74" i="26"/>
  <c r="BJ468" i="22"/>
  <c r="BP468" i="22" s="1"/>
  <c r="AD73" i="26"/>
  <c r="BJ467" i="22"/>
  <c r="BP467" i="22" s="1"/>
  <c r="AD72" i="26"/>
  <c r="BJ466" i="22"/>
  <c r="BP466" i="22" s="1"/>
  <c r="AD71" i="26"/>
  <c r="BJ465" i="22"/>
  <c r="BP465" i="22" s="1"/>
  <c r="BJ464" i="22"/>
  <c r="BP464" i="22" s="1"/>
  <c r="BJ463" i="22"/>
  <c r="BP463" i="22" s="1"/>
  <c r="BJ462" i="22"/>
  <c r="BP462" i="22" s="1"/>
  <c r="AD67" i="26"/>
  <c r="BJ461" i="22"/>
  <c r="BP461" i="22" s="1"/>
  <c r="BJ460" i="22"/>
  <c r="BP460" i="22" s="1"/>
  <c r="BJ459" i="22"/>
  <c r="BP459" i="22" s="1"/>
  <c r="BJ458" i="22"/>
  <c r="BP458" i="22" s="1"/>
  <c r="BJ457" i="22"/>
  <c r="BP457" i="22" s="1"/>
  <c r="BJ456" i="22"/>
  <c r="BP456" i="22" s="1"/>
  <c r="BJ455" i="22"/>
  <c r="BP455" i="22" s="1"/>
  <c r="BJ454" i="22"/>
  <c r="BP454" i="22" s="1"/>
  <c r="BJ453" i="22"/>
  <c r="BP453" i="22" s="1"/>
  <c r="BJ452" i="22"/>
  <c r="BP452" i="22" s="1"/>
  <c r="BJ451" i="22"/>
  <c r="BP451" i="22" s="1"/>
  <c r="BJ450" i="22"/>
  <c r="BP450" i="22" s="1"/>
  <c r="BJ449" i="22"/>
  <c r="BP449" i="22" s="1"/>
  <c r="BJ448" i="22"/>
  <c r="BP448" i="22" s="1"/>
  <c r="BJ447" i="22"/>
  <c r="BP447" i="22" s="1"/>
  <c r="BJ446" i="22"/>
  <c r="BP446" i="22" s="1"/>
  <c r="BJ445" i="22"/>
  <c r="BP445" i="22" s="1"/>
  <c r="BJ444" i="22"/>
  <c r="BP444" i="22" s="1"/>
  <c r="AC83" i="26"/>
  <c r="BJ443" i="22"/>
  <c r="BP443" i="22" s="1"/>
  <c r="AC82" i="26"/>
  <c r="BJ442" i="22"/>
  <c r="BP442" i="22" s="1"/>
  <c r="AC81" i="26"/>
  <c r="BJ441" i="22"/>
  <c r="BP441" i="22" s="1"/>
  <c r="AC80" i="26"/>
  <c r="BJ440" i="22"/>
  <c r="BP440" i="22" s="1"/>
  <c r="AC79" i="26"/>
  <c r="BJ439" i="22"/>
  <c r="BP439" i="22" s="1"/>
  <c r="AC78" i="26"/>
  <c r="BJ438" i="22"/>
  <c r="BP438" i="22" s="1"/>
  <c r="AC77" i="26"/>
  <c r="BJ437" i="22"/>
  <c r="BP437" i="22" s="1"/>
  <c r="AC76" i="26"/>
  <c r="BJ436" i="22"/>
  <c r="BP436" i="22" s="1"/>
  <c r="AC75" i="26"/>
  <c r="BJ435" i="22"/>
  <c r="BP435" i="22" s="1"/>
  <c r="AC74" i="26"/>
  <c r="BJ434" i="22"/>
  <c r="BP434" i="22" s="1"/>
  <c r="AC73" i="26"/>
  <c r="BJ433" i="22"/>
  <c r="BP433" i="22" s="1"/>
  <c r="AC72" i="26"/>
  <c r="BJ432" i="22"/>
  <c r="BP432" i="22" s="1"/>
  <c r="AC71" i="26"/>
  <c r="BJ431" i="22"/>
  <c r="BP431" i="22" s="1"/>
  <c r="BJ430" i="22"/>
  <c r="BP430" i="22" s="1"/>
  <c r="BJ429" i="22"/>
  <c r="BP429" i="22" s="1"/>
  <c r="BJ428" i="22"/>
  <c r="BP428" i="22" s="1"/>
  <c r="AC67" i="26"/>
  <c r="BJ427" i="22"/>
  <c r="BP427" i="22" s="1"/>
  <c r="AA66" i="26"/>
  <c r="BJ425" i="22"/>
  <c r="BP425" i="22" s="1"/>
  <c r="AA65" i="26"/>
  <c r="BJ424" i="22"/>
  <c r="BP424" i="22" s="1"/>
  <c r="AA64" i="26"/>
  <c r="BJ423" i="22"/>
  <c r="BP423" i="22" s="1"/>
  <c r="AA63" i="26"/>
  <c r="BJ422" i="22"/>
  <c r="BP422" i="22" s="1"/>
  <c r="AA62" i="26"/>
  <c r="BJ421" i="22"/>
  <c r="BP421" i="22" s="1"/>
  <c r="AA61" i="26"/>
  <c r="BJ420" i="22"/>
  <c r="BP420" i="22" s="1"/>
  <c r="AA60" i="26"/>
  <c r="BJ419" i="22"/>
  <c r="BP419" i="22" s="1"/>
  <c r="AA59" i="26"/>
  <c r="BJ418" i="22"/>
  <c r="BP418" i="22" s="1"/>
  <c r="AA58" i="26"/>
  <c r="BJ417" i="22"/>
  <c r="BP417" i="22" s="1"/>
  <c r="AA57" i="26"/>
  <c r="BJ416" i="22"/>
  <c r="BP416" i="22" s="1"/>
  <c r="AA56" i="26"/>
  <c r="BJ415" i="22"/>
  <c r="BP415" i="22" s="1"/>
  <c r="AA55" i="26"/>
  <c r="BJ414" i="22"/>
  <c r="BP414" i="22" s="1"/>
  <c r="AA54" i="26"/>
  <c r="BJ413" i="22"/>
  <c r="BP413" i="22" s="1"/>
  <c r="BJ412" i="22"/>
  <c r="BP412" i="22" s="1"/>
  <c r="BJ411" i="22"/>
  <c r="BP411" i="22" s="1"/>
  <c r="BJ410" i="22"/>
  <c r="BP410" i="22" s="1"/>
  <c r="AA50" i="26"/>
  <c r="BJ409" i="22"/>
  <c r="BP409" i="22" s="1"/>
  <c r="BJ408" i="22"/>
  <c r="BP408" i="22" s="1"/>
  <c r="BJ407" i="22"/>
  <c r="BP407" i="22" s="1"/>
  <c r="BJ406" i="22"/>
  <c r="BP406" i="22" s="1"/>
  <c r="BJ405" i="22"/>
  <c r="BP405" i="22" s="1"/>
  <c r="BJ404" i="22"/>
  <c r="BP404" i="22" s="1"/>
  <c r="BJ403" i="22"/>
  <c r="BP403" i="22" s="1"/>
  <c r="BJ402" i="22"/>
  <c r="BP402" i="22" s="1"/>
  <c r="BJ401" i="22"/>
  <c r="BP401" i="22" s="1"/>
  <c r="BJ400" i="22"/>
  <c r="BP400" i="22" s="1"/>
  <c r="BJ399" i="22"/>
  <c r="BP399" i="22" s="1"/>
  <c r="BJ398" i="22"/>
  <c r="BP398" i="22" s="1"/>
  <c r="BJ397" i="22"/>
  <c r="BP397" i="22" s="1"/>
  <c r="BJ396" i="22"/>
  <c r="BP396" i="22" s="1"/>
  <c r="BJ395" i="22"/>
  <c r="BP395" i="22" s="1"/>
  <c r="BJ394" i="22"/>
  <c r="BP394" i="22" s="1"/>
  <c r="BJ393" i="22"/>
  <c r="BP393" i="22" s="1"/>
  <c r="BJ392" i="22"/>
  <c r="BP392" i="22" s="1"/>
  <c r="Z66" i="26"/>
  <c r="BJ391" i="22"/>
  <c r="BP391" i="22" s="1"/>
  <c r="Z65" i="26"/>
  <c r="BJ390" i="22"/>
  <c r="BP390" i="22" s="1"/>
  <c r="Z64" i="26"/>
  <c r="BJ389" i="22"/>
  <c r="BP389" i="22" s="1"/>
  <c r="Z63" i="26"/>
  <c r="BJ388" i="22"/>
  <c r="BP388" i="22" s="1"/>
  <c r="Z62" i="26"/>
  <c r="BJ387" i="22"/>
  <c r="BP387" i="22" s="1"/>
  <c r="Z61" i="26"/>
  <c r="BJ386" i="22"/>
  <c r="BP386" i="22" s="1"/>
  <c r="Z60" i="26"/>
  <c r="BJ385" i="22"/>
  <c r="BP385" i="22" s="1"/>
  <c r="Z59" i="26"/>
  <c r="BJ384" i="22"/>
  <c r="BP384" i="22" s="1"/>
  <c r="Z58" i="26"/>
  <c r="BJ383" i="22"/>
  <c r="BP383" i="22" s="1"/>
  <c r="Z57" i="26"/>
  <c r="BJ382" i="22"/>
  <c r="BP382" i="22" s="1"/>
  <c r="Z56" i="26"/>
  <c r="BJ381" i="22"/>
  <c r="BP381" i="22" s="1"/>
  <c r="Z55" i="26"/>
  <c r="BJ380" i="22"/>
  <c r="BP380" i="22" s="1"/>
  <c r="Z54" i="26"/>
  <c r="BJ379" i="22"/>
  <c r="BP379" i="22" s="1"/>
  <c r="BJ378" i="22"/>
  <c r="BP378" i="22" s="1"/>
  <c r="BJ377" i="22"/>
  <c r="BP377" i="22" s="1"/>
  <c r="BJ376" i="22"/>
  <c r="BP376" i="22" s="1"/>
  <c r="Z50" i="26"/>
  <c r="BJ375" i="22"/>
  <c r="BP375" i="22" s="1"/>
  <c r="BJ372" i="22"/>
  <c r="BP372" i="22" s="1"/>
  <c r="BJ367" i="22"/>
  <c r="BP367" i="22" s="1"/>
  <c r="BJ366" i="22"/>
  <c r="BP366" i="22" s="1"/>
  <c r="BJ360" i="22"/>
  <c r="BP360" i="22" s="1"/>
  <c r="BJ359" i="22"/>
  <c r="BP359" i="22" s="1"/>
  <c r="BJ356" i="22"/>
  <c r="BP356" i="22" s="1"/>
  <c r="BJ354" i="22"/>
  <c r="BP354" i="22" s="1"/>
  <c r="BJ351" i="22"/>
  <c r="BP351" i="22" s="1"/>
  <c r="BJ350" i="22"/>
  <c r="BP350" i="22" s="1"/>
  <c r="BJ343" i="22"/>
  <c r="BP343" i="22" s="1"/>
  <c r="BJ339" i="22"/>
  <c r="BP339" i="22" s="1"/>
  <c r="BJ338" i="22"/>
  <c r="BP338" i="22" s="1"/>
  <c r="BJ337" i="22"/>
  <c r="BP337" i="22" s="1"/>
  <c r="BJ336" i="22"/>
  <c r="BP336" i="22" s="1"/>
  <c r="BJ335" i="22"/>
  <c r="BP335" i="22" s="1"/>
  <c r="BJ334" i="22"/>
  <c r="BP334" i="22" s="1"/>
  <c r="BJ333" i="22"/>
  <c r="BP333" i="22" s="1"/>
  <c r="BJ332" i="22"/>
  <c r="BP332" i="22" s="1"/>
  <c r="BJ330" i="22"/>
  <c r="BP330" i="22" s="1"/>
  <c r="BJ326" i="22"/>
  <c r="BP326" i="22" s="1"/>
  <c r="BJ325" i="22"/>
  <c r="BP325" i="22" s="1"/>
  <c r="BJ324" i="22"/>
  <c r="BP324" i="22" s="1"/>
  <c r="BJ322" i="22"/>
  <c r="BP322" i="22" s="1"/>
  <c r="BJ321" i="22"/>
  <c r="BP321" i="22" s="1"/>
  <c r="BJ320" i="22"/>
  <c r="BP320" i="22" s="1"/>
  <c r="BJ319" i="22"/>
  <c r="BP319" i="22" s="1"/>
  <c r="BJ318" i="22"/>
  <c r="BP318" i="22" s="1"/>
  <c r="BJ317" i="22"/>
  <c r="BP317" i="22" s="1"/>
  <c r="BJ316" i="22"/>
  <c r="BP316" i="22" s="1"/>
  <c r="BJ315" i="22"/>
  <c r="BP315" i="22" s="1"/>
  <c r="BJ314" i="22"/>
  <c r="BP314" i="22" s="1"/>
  <c r="BJ311" i="22"/>
  <c r="BP311" i="22" s="1"/>
  <c r="BJ310" i="22"/>
  <c r="BP310" i="22" s="1"/>
  <c r="BJ309" i="22"/>
  <c r="BP309" i="22" s="1"/>
  <c r="BJ308" i="22"/>
  <c r="BP308" i="22" s="1"/>
  <c r="BJ307" i="22"/>
  <c r="BP307" i="22" s="1"/>
  <c r="BJ305" i="22"/>
  <c r="BP305" i="22" s="1"/>
  <c r="BJ304" i="22"/>
  <c r="BP304" i="22" s="1"/>
  <c r="BJ303" i="22"/>
  <c r="BP303" i="22" s="1"/>
  <c r="BJ302" i="22"/>
  <c r="BP302" i="22" s="1"/>
  <c r="BJ301" i="22"/>
  <c r="BP301" i="22" s="1"/>
  <c r="BJ300" i="22"/>
  <c r="BP300" i="22" s="1"/>
  <c r="BJ299" i="22"/>
  <c r="BP299" i="22" s="1"/>
  <c r="BJ298" i="22"/>
  <c r="BP298" i="22" s="1"/>
  <c r="BJ296" i="22"/>
  <c r="BP296" i="22" s="1"/>
  <c r="BJ293" i="22"/>
  <c r="BP293" i="22" s="1"/>
  <c r="BJ292" i="22"/>
  <c r="BP292" i="22" s="1"/>
  <c r="BJ291" i="22"/>
  <c r="BP291" i="22" s="1"/>
  <c r="BJ290" i="22"/>
  <c r="BP290" i="22" s="1"/>
  <c r="BJ288" i="22"/>
  <c r="BP288" i="22" s="1"/>
  <c r="BJ287" i="22"/>
  <c r="BP287" i="22" s="1"/>
  <c r="BJ286" i="22"/>
  <c r="BP286" i="22" s="1"/>
  <c r="BJ285" i="22"/>
  <c r="BP285" i="22" s="1"/>
  <c r="BJ284" i="22"/>
  <c r="BP284" i="22" s="1"/>
  <c r="BJ283" i="22"/>
  <c r="BP283" i="22" s="1"/>
  <c r="BJ282" i="22"/>
  <c r="BP282" i="22" s="1"/>
  <c r="BJ281" i="22"/>
  <c r="BP281" i="22" s="1"/>
  <c r="BJ277" i="22"/>
  <c r="BP277" i="22" s="1"/>
  <c r="BJ276" i="22"/>
  <c r="BP276" i="22" s="1"/>
  <c r="BJ275" i="22"/>
  <c r="BP275" i="22" s="1"/>
  <c r="BJ274" i="22"/>
  <c r="BP274" i="22" s="1"/>
  <c r="BJ273" i="22"/>
  <c r="BP273" i="22" s="1"/>
  <c r="BJ271" i="22"/>
  <c r="BP271" i="22" s="1"/>
  <c r="BJ270" i="22"/>
  <c r="BP270" i="22" s="1"/>
  <c r="BJ269" i="22"/>
  <c r="BP269" i="22" s="1"/>
  <c r="BJ268" i="22"/>
  <c r="BP268" i="22" s="1"/>
  <c r="BJ267" i="22"/>
  <c r="BP267" i="22" s="1"/>
  <c r="BJ266" i="22"/>
  <c r="BP266" i="22" s="1"/>
  <c r="BJ265" i="22"/>
  <c r="BP265" i="22" s="1"/>
  <c r="BJ264" i="22"/>
  <c r="BP264" i="22" s="1"/>
  <c r="BJ262" i="22"/>
  <c r="BP262" i="22" s="1"/>
  <c r="BJ258" i="22"/>
  <c r="BP258" i="22" s="1"/>
  <c r="BJ257" i="22"/>
  <c r="BP257" i="22" s="1"/>
  <c r="BJ256" i="22"/>
  <c r="BP256" i="22" s="1"/>
  <c r="BJ254" i="22"/>
  <c r="BP254" i="22" s="1"/>
  <c r="BJ253" i="22"/>
  <c r="BP253" i="22" s="1"/>
  <c r="BJ252" i="22"/>
  <c r="BP252" i="22" s="1"/>
  <c r="BJ251" i="22"/>
  <c r="BP251" i="22" s="1"/>
  <c r="BJ250" i="22"/>
  <c r="BP250" i="22" s="1"/>
  <c r="BJ249" i="22"/>
  <c r="BP249" i="22" s="1"/>
  <c r="BJ248" i="22"/>
  <c r="BP248" i="22" s="1"/>
  <c r="BJ247" i="22"/>
  <c r="BP247" i="22" s="1"/>
  <c r="BJ243" i="22"/>
  <c r="BP243" i="22" s="1"/>
  <c r="BJ242" i="22"/>
  <c r="BP242" i="22" s="1"/>
  <c r="BJ241" i="22"/>
  <c r="BP241" i="22" s="1"/>
  <c r="BJ240" i="22"/>
  <c r="BP240" i="22" s="1"/>
  <c r="BJ239" i="22"/>
  <c r="BP239" i="22" s="1"/>
  <c r="BJ238" i="22"/>
  <c r="BP238" i="22" s="1"/>
  <c r="BK233" i="22"/>
  <c r="BJ233" i="22"/>
  <c r="BK232" i="22"/>
  <c r="BJ232" i="22"/>
  <c r="BK231" i="22"/>
  <c r="BJ231" i="22"/>
  <c r="BK230" i="22"/>
  <c r="BJ230" i="22"/>
  <c r="BK229" i="22"/>
  <c r="BJ229" i="22"/>
  <c r="BK228" i="22"/>
  <c r="BJ228" i="22"/>
  <c r="BK227" i="22"/>
  <c r="BJ227" i="22"/>
  <c r="BK226" i="22"/>
  <c r="BJ226" i="22"/>
  <c r="BK225" i="22"/>
  <c r="BJ225" i="22"/>
  <c r="BK224" i="22"/>
  <c r="BJ224" i="22"/>
  <c r="BK223" i="22"/>
  <c r="BJ223" i="22"/>
  <c r="BK222" i="22"/>
  <c r="BJ222" i="22"/>
  <c r="BK221" i="22"/>
  <c r="BJ221" i="22"/>
  <c r="BK220" i="22"/>
  <c r="BJ220" i="22"/>
  <c r="BK219" i="22"/>
  <c r="BJ219" i="22"/>
  <c r="BK218" i="22"/>
  <c r="BJ218" i="22"/>
  <c r="BK217" i="22"/>
  <c r="BJ217" i="22"/>
  <c r="BK216" i="22"/>
  <c r="BJ216" i="22"/>
  <c r="BK211" i="22"/>
  <c r="BJ211" i="22"/>
  <c r="BP211" i="22" s="1"/>
  <c r="BK210" i="22"/>
  <c r="BK209" i="22"/>
  <c r="BK208" i="22"/>
  <c r="BJ208" i="22"/>
  <c r="BP208" i="22" s="1"/>
  <c r="BK207" i="22"/>
  <c r="BJ207" i="22"/>
  <c r="BP207" i="22" s="1"/>
  <c r="BK206" i="22"/>
  <c r="BK205" i="22"/>
  <c r="BK204" i="22"/>
  <c r="BJ204" i="22"/>
  <c r="BP204" i="22" s="1"/>
  <c r="BK203" i="22"/>
  <c r="BJ203" i="22"/>
  <c r="BP203" i="22" s="1"/>
  <c r="BK202" i="22"/>
  <c r="BK196" i="22"/>
  <c r="BO196" i="22" s="1"/>
  <c r="BJ196" i="22"/>
  <c r="BP196" i="22" s="1"/>
  <c r="BK195" i="22"/>
  <c r="BO195" i="22" s="1"/>
  <c r="BJ195" i="22"/>
  <c r="BP195" i="22" s="1"/>
  <c r="BK194" i="22"/>
  <c r="BO194" i="22" s="1"/>
  <c r="BJ194" i="22"/>
  <c r="BP194" i="22" s="1"/>
  <c r="BK192" i="22"/>
  <c r="BK191" i="22"/>
  <c r="BJ191" i="22"/>
  <c r="BP191" i="22" s="1"/>
  <c r="BK190" i="22"/>
  <c r="BJ190" i="22"/>
  <c r="BP190" i="22" s="1"/>
  <c r="BK189" i="22"/>
  <c r="BK188" i="22"/>
  <c r="BK187" i="22"/>
  <c r="BJ187" i="22"/>
  <c r="BP187" i="22" s="1"/>
  <c r="BK186" i="22"/>
  <c r="BJ186" i="22"/>
  <c r="BP186" i="22" s="1"/>
  <c r="BK185" i="22"/>
  <c r="BK184" i="22"/>
  <c r="BJ184" i="22"/>
  <c r="BP184" i="22" s="1"/>
  <c r="BK183" i="22"/>
  <c r="BJ183" i="22"/>
  <c r="BP183" i="22" s="1"/>
  <c r="BK177" i="22"/>
  <c r="BO177" i="22" s="1"/>
  <c r="BJ177" i="22"/>
  <c r="BP177" i="22" s="1"/>
  <c r="BK176" i="22"/>
  <c r="BO176" i="22" s="1"/>
  <c r="BJ176" i="22"/>
  <c r="BP176" i="22" s="1"/>
  <c r="BK175" i="22"/>
  <c r="BO175" i="22" s="1"/>
  <c r="BJ175" i="22"/>
  <c r="BP175" i="22" s="1"/>
  <c r="BK172" i="22"/>
  <c r="BK171" i="22"/>
  <c r="BJ171" i="22"/>
  <c r="BP171" i="22" s="1"/>
  <c r="BK170" i="22"/>
  <c r="BJ170" i="22"/>
  <c r="BP170" i="22" s="1"/>
  <c r="BK169" i="22"/>
  <c r="BK168" i="22"/>
  <c r="BJ168" i="22"/>
  <c r="BP168" i="22" s="1"/>
  <c r="BK167" i="22"/>
  <c r="BJ167" i="22"/>
  <c r="BP167" i="22" s="1"/>
  <c r="BK166" i="22"/>
  <c r="BJ166" i="22"/>
  <c r="BP166" i="22" s="1"/>
  <c r="BK165" i="22"/>
  <c r="BK164" i="22"/>
  <c r="BK163" i="22"/>
  <c r="BJ163" i="22"/>
  <c r="BP163" i="22" s="1"/>
  <c r="BK156" i="22"/>
  <c r="BK155" i="22"/>
  <c r="BJ155" i="22"/>
  <c r="BP155" i="22" s="1"/>
  <c r="BK154" i="22"/>
  <c r="BJ154" i="22"/>
  <c r="BP154" i="22" s="1"/>
  <c r="BJ153" i="22"/>
  <c r="BP153" i="22" s="1"/>
  <c r="BK153" i="22"/>
  <c r="BK152" i="22"/>
  <c r="BJ152" i="22"/>
  <c r="BP152" i="22" s="1"/>
  <c r="BK151" i="22"/>
  <c r="BJ151" i="22"/>
  <c r="BP151" i="22" s="1"/>
  <c r="BK150" i="22"/>
  <c r="BJ150" i="22"/>
  <c r="BP150" i="22" s="1"/>
  <c r="BK149" i="22"/>
  <c r="BK148" i="22"/>
  <c r="BK147" i="22"/>
  <c r="BJ147" i="22"/>
  <c r="BP147" i="22" s="1"/>
  <c r="BO141" i="22"/>
  <c r="BO140" i="22"/>
  <c r="BO139" i="22"/>
  <c r="BK136" i="22"/>
  <c r="Y25" i="26" s="1"/>
  <c r="BJ136" i="22"/>
  <c r="BK135" i="22"/>
  <c r="Y24" i="26" s="1"/>
  <c r="BJ135" i="22"/>
  <c r="BK134" i="22"/>
  <c r="Y23" i="26" s="1"/>
  <c r="BJ134" i="22"/>
  <c r="BK133" i="22"/>
  <c r="Y22" i="26" s="1"/>
  <c r="BJ133" i="22"/>
  <c r="BK132" i="22"/>
  <c r="Y21" i="26" s="1"/>
  <c r="BJ132" i="22"/>
  <c r="BK131" i="22"/>
  <c r="Y20" i="26" s="1"/>
  <c r="BJ131" i="22"/>
  <c r="BK130" i="22"/>
  <c r="Y19" i="26" s="1"/>
  <c r="BJ130" i="22"/>
  <c r="BK129" i="22"/>
  <c r="Y18" i="26" s="1"/>
  <c r="BJ129" i="22"/>
  <c r="BK128" i="22"/>
  <c r="Y17" i="26" s="1"/>
  <c r="BJ128" i="22"/>
  <c r="BK127" i="22"/>
  <c r="Y16" i="26" s="1"/>
  <c r="BJ127" i="22"/>
  <c r="BK126" i="22"/>
  <c r="Y15" i="26" s="1"/>
  <c r="BK125" i="22"/>
  <c r="Y14" i="26" s="1"/>
  <c r="BK124" i="22"/>
  <c r="Y13" i="26" s="1"/>
  <c r="BK123" i="22"/>
  <c r="Y12" i="26" s="1"/>
  <c r="BK122" i="22"/>
  <c r="Y11" i="26" s="1"/>
  <c r="BJ122" i="22"/>
  <c r="BK121" i="22"/>
  <c r="Y10" i="26" s="1"/>
  <c r="BJ121" i="22"/>
  <c r="BK120" i="22"/>
  <c r="Y9" i="26" s="1"/>
  <c r="BJ120" i="22"/>
  <c r="BK119" i="22"/>
  <c r="Y8" i="26" s="1"/>
  <c r="BJ119" i="22"/>
  <c r="BK118" i="22"/>
  <c r="BK117" i="22"/>
  <c r="X25" i="26" s="1"/>
  <c r="BJ117" i="22"/>
  <c r="BK116" i="22"/>
  <c r="X24" i="26" s="1"/>
  <c r="BJ116" i="22"/>
  <c r="BK115" i="22"/>
  <c r="X23" i="26" s="1"/>
  <c r="BJ115" i="22"/>
  <c r="BK114" i="22"/>
  <c r="X22" i="26" s="1"/>
  <c r="BJ114" i="22"/>
  <c r="BK113" i="22"/>
  <c r="X21" i="26" s="1"/>
  <c r="BJ113" i="22"/>
  <c r="BK112" i="22"/>
  <c r="X20" i="26" s="1"/>
  <c r="BJ112" i="22"/>
  <c r="BK111" i="22"/>
  <c r="X19" i="26" s="1"/>
  <c r="BJ111" i="22"/>
  <c r="BK110" i="22"/>
  <c r="X18" i="26" s="1"/>
  <c r="BJ110" i="22"/>
  <c r="BK109" i="22"/>
  <c r="X17" i="26" s="1"/>
  <c r="BJ109" i="22"/>
  <c r="BK108" i="22"/>
  <c r="X16" i="26" s="1"/>
  <c r="BJ108" i="22"/>
  <c r="BK107" i="22"/>
  <c r="X15" i="26" s="1"/>
  <c r="BJ107" i="22"/>
  <c r="BJ106" i="22"/>
  <c r="BK106" i="22"/>
  <c r="X14" i="26" s="1"/>
  <c r="BJ105" i="22"/>
  <c r="BJ104" i="22"/>
  <c r="BK104" i="22"/>
  <c r="X12" i="26" s="1"/>
  <c r="BK103" i="22"/>
  <c r="X11" i="26" s="1"/>
  <c r="BJ103" i="22"/>
  <c r="BK102" i="22"/>
  <c r="X10" i="26" s="1"/>
  <c r="BJ102" i="22"/>
  <c r="BK101" i="22"/>
  <c r="X9" i="26" s="1"/>
  <c r="BJ101" i="22"/>
  <c r="BK100" i="22"/>
  <c r="X8" i="26" s="1"/>
  <c r="BJ100" i="22"/>
  <c r="BJ99" i="22"/>
  <c r="BK99" i="22"/>
  <c r="BK98" i="22"/>
  <c r="BJ98" i="22"/>
  <c r="BK97" i="22"/>
  <c r="BJ97" i="22"/>
  <c r="BK96" i="22"/>
  <c r="BJ96" i="22"/>
  <c r="BK95" i="22"/>
  <c r="BJ95" i="22"/>
  <c r="BK94" i="22"/>
  <c r="BJ94" i="22"/>
  <c r="BK93" i="22"/>
  <c r="BJ93" i="22"/>
  <c r="BK92" i="22"/>
  <c r="BJ92" i="22"/>
  <c r="BK91" i="22"/>
  <c r="BJ91" i="22"/>
  <c r="BK90" i="22"/>
  <c r="BJ90" i="22"/>
  <c r="BK89" i="22"/>
  <c r="BJ89" i="22"/>
  <c r="BK88" i="22"/>
  <c r="BJ88" i="22"/>
  <c r="BK87" i="22"/>
  <c r="BJ87" i="22"/>
  <c r="BK86" i="22"/>
  <c r="BK85" i="22"/>
  <c r="BK84" i="22"/>
  <c r="BJ84" i="22"/>
  <c r="BK83" i="22"/>
  <c r="BJ83" i="22"/>
  <c r="BJ82" i="22"/>
  <c r="BK82" i="22"/>
  <c r="BK81" i="22"/>
  <c r="BJ81" i="22"/>
  <c r="BJ80" i="22"/>
  <c r="BK59" i="22"/>
  <c r="BO59" i="22" s="1"/>
  <c r="BJ59" i="22"/>
  <c r="BP59" i="22" s="1"/>
  <c r="BK58" i="22"/>
  <c r="BO58" i="22" s="1"/>
  <c r="BJ58" i="22"/>
  <c r="BP58" i="22" s="1"/>
  <c r="BK57" i="22"/>
  <c r="BO57" i="22" s="1"/>
  <c r="BJ57" i="22"/>
  <c r="BP57" i="22" s="1"/>
  <c r="BK56" i="22"/>
  <c r="BO56" i="22" s="1"/>
  <c r="BJ56" i="22"/>
  <c r="BP56" i="22" s="1"/>
  <c r="BK55" i="22"/>
  <c r="BO55" i="22" s="1"/>
  <c r="BJ55" i="22"/>
  <c r="BP55" i="22" s="1"/>
  <c r="BK54" i="22"/>
  <c r="BO54" i="22" s="1"/>
  <c r="BJ54" i="22"/>
  <c r="BP54" i="22" s="1"/>
  <c r="BK53" i="22"/>
  <c r="BO53" i="22" s="1"/>
  <c r="BJ53" i="22"/>
  <c r="BP53" i="22" s="1"/>
  <c r="BK52" i="22"/>
  <c r="BO52" i="22" s="1"/>
  <c r="BJ52" i="22"/>
  <c r="BP52" i="22" s="1"/>
  <c r="BK51" i="22"/>
  <c r="BO51" i="22" s="1"/>
  <c r="BJ51" i="22"/>
  <c r="BP51" i="22" s="1"/>
  <c r="BK50" i="22"/>
  <c r="BO50" i="22" s="1"/>
  <c r="BJ50" i="22"/>
  <c r="BP50" i="22" s="1"/>
  <c r="BJ49" i="22"/>
  <c r="BP49" i="22" s="1"/>
  <c r="BK48" i="22"/>
  <c r="BJ47" i="22"/>
  <c r="BP47" i="22" s="1"/>
  <c r="BJ46" i="22"/>
  <c r="BP46" i="22" s="1"/>
  <c r="BK46" i="22"/>
  <c r="BJ45" i="22"/>
  <c r="BP45" i="22" s="1"/>
  <c r="BK44" i="22"/>
  <c r="BO44" i="22" s="1"/>
  <c r="BJ44" i="22"/>
  <c r="BP44" i="22" s="1"/>
  <c r="BK43" i="22"/>
  <c r="BO43" i="22" s="1"/>
  <c r="BJ43" i="22"/>
  <c r="BP43" i="22" s="1"/>
  <c r="BK42" i="22"/>
  <c r="BO42" i="22" s="1"/>
  <c r="BJ42" i="22"/>
  <c r="BP42" i="22" s="1"/>
  <c r="BK41" i="22"/>
  <c r="BJ41" i="22"/>
  <c r="BP41" i="22" s="1"/>
  <c r="BK40" i="22"/>
  <c r="BO40" i="22" s="1"/>
  <c r="BJ40" i="22"/>
  <c r="BP40" i="22" s="1"/>
  <c r="BK39" i="22"/>
  <c r="BO39" i="22" s="1"/>
  <c r="BJ39" i="22"/>
  <c r="BP39" i="22" s="1"/>
  <c r="BK38" i="22"/>
  <c r="BO38" i="22" s="1"/>
  <c r="BJ38" i="22"/>
  <c r="BP38" i="22" s="1"/>
  <c r="BK37" i="22"/>
  <c r="BO37" i="22" s="1"/>
  <c r="BJ37" i="22"/>
  <c r="BP37" i="22" s="1"/>
  <c r="BK36" i="22"/>
  <c r="BO36" i="22" s="1"/>
  <c r="BJ36" i="22"/>
  <c r="BP36" i="22" s="1"/>
  <c r="BK35" i="22"/>
  <c r="BO35" i="22" s="1"/>
  <c r="BJ35" i="22"/>
  <c r="BP35" i="22" s="1"/>
  <c r="BK34" i="22"/>
  <c r="BO34" i="22" s="1"/>
  <c r="BJ34" i="22"/>
  <c r="BP34" i="22" s="1"/>
  <c r="BK33" i="22"/>
  <c r="BO33" i="22" s="1"/>
  <c r="BJ33" i="22"/>
  <c r="BP33" i="22" s="1"/>
  <c r="BK32" i="22"/>
  <c r="BO32" i="22" s="1"/>
  <c r="BJ32" i="22"/>
  <c r="BP32" i="22" s="1"/>
  <c r="BK31" i="22"/>
  <c r="BO31" i="22" s="1"/>
  <c r="BJ31" i="22"/>
  <c r="BP31" i="22" s="1"/>
  <c r="BK30" i="22"/>
  <c r="BJ30" i="22"/>
  <c r="BP30" i="22" s="1"/>
  <c r="BJ29" i="22"/>
  <c r="BP29" i="22" s="1"/>
  <c r="BK26" i="22"/>
  <c r="BK25" i="22"/>
  <c r="BO25" i="22" s="1"/>
  <c r="BJ25" i="22"/>
  <c r="BP25" i="22" s="1"/>
  <c r="BK24" i="22"/>
  <c r="BO24" i="22" s="1"/>
  <c r="BJ24" i="22"/>
  <c r="BP24" i="22" s="1"/>
  <c r="BK23" i="22"/>
  <c r="BO23" i="22" s="1"/>
  <c r="BJ23" i="22"/>
  <c r="BP23" i="22" s="1"/>
  <c r="BK22" i="22"/>
  <c r="BK21" i="22"/>
  <c r="BO21" i="22" s="1"/>
  <c r="BJ21" i="22"/>
  <c r="BP21" i="22" s="1"/>
  <c r="BK20" i="22"/>
  <c r="BO20" i="22" s="1"/>
  <c r="BJ20" i="22"/>
  <c r="BP20" i="22" s="1"/>
  <c r="BK19" i="22"/>
  <c r="BO19" i="22" s="1"/>
  <c r="BJ19" i="22"/>
  <c r="BP19" i="22" s="1"/>
  <c r="BK18" i="22"/>
  <c r="BO18" i="22" s="1"/>
  <c r="BJ18" i="22"/>
  <c r="BP18" i="22" s="1"/>
  <c r="BK17" i="22"/>
  <c r="BO17" i="22" s="1"/>
  <c r="BJ17" i="22"/>
  <c r="BP17" i="22" s="1"/>
  <c r="BK16" i="22"/>
  <c r="BO16" i="22" s="1"/>
  <c r="BJ16" i="22"/>
  <c r="BP16" i="22" s="1"/>
  <c r="BK15" i="22"/>
  <c r="BO15" i="22" s="1"/>
  <c r="BJ15" i="22"/>
  <c r="BP15" i="22" s="1"/>
  <c r="BK14" i="22"/>
  <c r="BO14" i="22" s="1"/>
  <c r="BJ14" i="22"/>
  <c r="BO13" i="22"/>
  <c r="BJ13" i="22"/>
  <c r="BP13" i="22" s="1"/>
  <c r="BK12" i="22"/>
  <c r="BO12" i="22" s="1"/>
  <c r="BJ12" i="22"/>
  <c r="BP12" i="22" s="1"/>
  <c r="BJ11" i="22"/>
  <c r="BP11" i="22" s="1"/>
  <c r="BK10" i="22"/>
  <c r="BO10" i="22" s="1"/>
  <c r="BK9" i="22"/>
  <c r="BO9" i="22" s="1"/>
  <c r="BJ9" i="22"/>
  <c r="BP9" i="22" s="1"/>
  <c r="BJ8" i="22"/>
  <c r="BP8" i="22" s="1"/>
  <c r="BJ7" i="22"/>
  <c r="BP7" i="22" s="1"/>
  <c r="BK6" i="22"/>
  <c r="BO6" i="22" s="1"/>
  <c r="BJ6" i="22"/>
  <c r="BP6" i="22" s="1"/>
  <c r="BK5" i="22"/>
  <c r="BO5" i="22" s="1"/>
  <c r="BJ5" i="22"/>
  <c r="BP5" i="22" s="1"/>
  <c r="BK4" i="22"/>
  <c r="BO4" i="22" s="1"/>
  <c r="BJ4" i="22"/>
  <c r="BP4" i="22" s="1"/>
  <c r="BK3" i="22"/>
  <c r="BO3" i="22" s="1"/>
  <c r="AU67" i="33"/>
  <c r="AT67" i="33"/>
  <c r="AY67" i="33" s="1"/>
  <c r="AU65" i="33"/>
  <c r="AT65" i="33"/>
  <c r="AY65" i="33" s="1"/>
  <c r="AU64" i="33"/>
  <c r="AT64" i="33"/>
  <c r="AY64" i="33" s="1"/>
  <c r="AU63" i="33"/>
  <c r="AT63" i="33"/>
  <c r="AY63" i="33" s="1"/>
  <c r="AU62" i="33"/>
  <c r="AT62" i="33"/>
  <c r="AY62" i="33" s="1"/>
  <c r="AU61" i="33"/>
  <c r="AT61" i="33"/>
  <c r="AY61" i="33" s="1"/>
  <c r="AU60" i="33"/>
  <c r="AT60" i="33"/>
  <c r="AY60" i="33" s="1"/>
  <c r="AU59" i="33"/>
  <c r="AT59" i="33"/>
  <c r="AY59" i="33" s="1"/>
  <c r="AU58" i="33"/>
  <c r="AT58" i="33"/>
  <c r="AY58" i="33" s="1"/>
  <c r="AU57" i="33"/>
  <c r="AT57" i="33"/>
  <c r="AY57" i="33" s="1"/>
  <c r="AU56" i="33"/>
  <c r="AT56" i="33"/>
  <c r="AY56" i="33" s="1"/>
  <c r="AU55" i="33"/>
  <c r="AT55" i="33"/>
  <c r="AY55" i="33" s="1"/>
  <c r="AU51" i="33"/>
  <c r="AT51" i="33"/>
  <c r="AY51" i="33" s="1"/>
  <c r="AU50" i="33"/>
  <c r="AT50" i="33"/>
  <c r="AY50" i="33" s="1"/>
  <c r="AU49" i="33"/>
  <c r="AT49" i="33"/>
  <c r="AY49" i="33" s="1"/>
  <c r="AU48" i="33"/>
  <c r="AT48" i="33"/>
  <c r="AY48" i="33" s="1"/>
  <c r="AU47" i="33"/>
  <c r="AT47" i="33"/>
  <c r="AY47" i="33" s="1"/>
  <c r="AU46" i="33"/>
  <c r="AT46" i="33"/>
  <c r="AY46" i="33" s="1"/>
  <c r="AU45" i="33"/>
  <c r="AT45" i="33"/>
  <c r="AY45" i="33" s="1"/>
  <c r="AU44" i="33"/>
  <c r="AT44" i="33"/>
  <c r="AY44" i="33" s="1"/>
  <c r="AU43" i="33"/>
  <c r="AT43" i="33"/>
  <c r="AY43" i="33" s="1"/>
  <c r="AU42" i="33"/>
  <c r="AT42" i="33"/>
  <c r="AY42" i="33" s="1"/>
  <c r="AU41" i="33"/>
  <c r="AT41" i="33"/>
  <c r="AY41" i="33" s="1"/>
  <c r="AU40" i="33"/>
  <c r="AT40" i="33"/>
  <c r="AY40" i="33" s="1"/>
  <c r="AU39" i="33"/>
  <c r="AT39" i="33"/>
  <c r="AY39" i="33" s="1"/>
  <c r="AU38" i="33"/>
  <c r="AT38" i="33"/>
  <c r="AY38" i="33" s="1"/>
  <c r="AU37" i="33"/>
  <c r="AT37" i="33"/>
  <c r="AY37" i="33" s="1"/>
  <c r="AT34" i="33"/>
  <c r="AY34" i="33" s="1"/>
  <c r="AU33" i="33"/>
  <c r="AT33" i="33"/>
  <c r="AY33" i="33" s="1"/>
  <c r="AU32" i="33"/>
  <c r="AT32" i="33"/>
  <c r="AY32" i="33" s="1"/>
  <c r="AU31" i="33"/>
  <c r="AT31" i="33"/>
  <c r="AY31" i="33" s="1"/>
  <c r="AU30" i="33"/>
  <c r="AT30" i="33"/>
  <c r="AY30" i="33" s="1"/>
  <c r="AU28" i="33"/>
  <c r="AU27" i="33"/>
  <c r="AT27" i="33"/>
  <c r="AY27" i="33" s="1"/>
  <c r="AT26" i="33"/>
  <c r="AY26" i="33" s="1"/>
  <c r="AU25" i="33"/>
  <c r="AT25" i="33"/>
  <c r="AY25" i="33" s="1"/>
  <c r="AU23" i="33"/>
  <c r="AT23" i="33"/>
  <c r="AY23" i="33" s="1"/>
  <c r="AU22" i="33"/>
  <c r="AT22" i="33"/>
  <c r="AY22" i="33" s="1"/>
  <c r="AU21" i="33"/>
  <c r="AT21" i="33"/>
  <c r="AY21" i="33" s="1"/>
  <c r="AU19" i="33"/>
  <c r="AT19" i="33"/>
  <c r="AY19" i="33" s="1"/>
  <c r="AU18" i="33"/>
  <c r="AU17" i="33"/>
  <c r="AT17" i="33"/>
  <c r="AY17" i="33" s="1"/>
  <c r="AU16" i="33"/>
  <c r="AT16" i="33"/>
  <c r="AY16" i="33" s="1"/>
  <c r="AU15" i="33"/>
  <c r="AT15" i="33"/>
  <c r="AY15" i="33" s="1"/>
  <c r="AU14" i="33"/>
  <c r="AT14" i="33"/>
  <c r="AY14" i="33" s="1"/>
  <c r="AU13" i="33"/>
  <c r="AT13" i="33"/>
  <c r="AY13" i="33" s="1"/>
  <c r="AU12" i="33"/>
  <c r="AT12" i="33"/>
  <c r="AY12" i="33" s="1"/>
  <c r="AU11" i="33"/>
  <c r="AT11" i="33"/>
  <c r="AY11" i="33" s="1"/>
  <c r="AU10" i="33"/>
  <c r="AT10" i="33"/>
  <c r="AY10" i="33" s="1"/>
  <c r="AU9" i="33"/>
  <c r="AT9" i="33"/>
  <c r="AY9" i="33" s="1"/>
  <c r="AT8" i="33"/>
  <c r="AY8" i="33" s="1"/>
  <c r="AU7" i="33"/>
  <c r="AT7" i="33"/>
  <c r="AY7" i="33" s="1"/>
  <c r="AU6" i="33"/>
  <c r="AT6" i="33"/>
  <c r="AY6" i="33" s="1"/>
  <c r="AU5" i="33"/>
  <c r="AT5" i="33"/>
  <c r="AY5" i="33" s="1"/>
  <c r="AT4" i="33"/>
  <c r="AY4" i="33" s="1"/>
  <c r="BJ22" i="54" l="1"/>
  <c r="U10" i="26"/>
  <c r="U8" i="26"/>
  <c r="BI22" i="54"/>
  <c r="BI13" i="54" s="1"/>
  <c r="BI4" i="54" s="1"/>
  <c r="V63" i="26"/>
  <c r="U59" i="26"/>
  <c r="V83" i="26"/>
  <c r="U79" i="26"/>
  <c r="V64" i="26"/>
  <c r="U60" i="26"/>
  <c r="V76" i="26"/>
  <c r="U80" i="26"/>
  <c r="V65" i="26"/>
  <c r="U61" i="26"/>
  <c r="U55" i="26" s="1"/>
  <c r="V77" i="26"/>
  <c r="U81" i="26"/>
  <c r="V66" i="26"/>
  <c r="U62" i="26"/>
  <c r="V78" i="26"/>
  <c r="U78" i="26"/>
  <c r="U82" i="26"/>
  <c r="V59" i="26"/>
  <c r="U63" i="26"/>
  <c r="V79" i="26"/>
  <c r="U83" i="26"/>
  <c r="V60" i="26"/>
  <c r="U64" i="26"/>
  <c r="V80" i="26"/>
  <c r="U76" i="26"/>
  <c r="V61" i="26"/>
  <c r="U65" i="26"/>
  <c r="V81" i="26"/>
  <c r="U77" i="26"/>
  <c r="V62" i="26"/>
  <c r="V56" i="26" s="1"/>
  <c r="U66" i="26"/>
  <c r="V82" i="26"/>
  <c r="U15" i="26"/>
  <c r="U23" i="26"/>
  <c r="V12" i="26"/>
  <c r="V22" i="26"/>
  <c r="V13" i="26"/>
  <c r="U16" i="26"/>
  <c r="U24" i="26"/>
  <c r="V23" i="26"/>
  <c r="V15" i="26"/>
  <c r="U17" i="26"/>
  <c r="U25" i="26"/>
  <c r="V16" i="26"/>
  <c r="V24" i="26"/>
  <c r="U18" i="26"/>
  <c r="V17" i="26"/>
  <c r="V25" i="26"/>
  <c r="U19" i="26"/>
  <c r="V8" i="26"/>
  <c r="V18" i="26"/>
  <c r="U9" i="26"/>
  <c r="U20" i="26"/>
  <c r="V9" i="26"/>
  <c r="V19" i="26"/>
  <c r="U21" i="26"/>
  <c r="V10" i="26"/>
  <c r="V20" i="26"/>
  <c r="U22" i="26"/>
  <c r="V11" i="26"/>
  <c r="V21" i="26"/>
  <c r="U14" i="26"/>
  <c r="AC18" i="26"/>
  <c r="Z23" i="26"/>
  <c r="BO154" i="22"/>
  <c r="AC19" i="26"/>
  <c r="Z24" i="26"/>
  <c r="BO155" i="22"/>
  <c r="AC20" i="26"/>
  <c r="Z25" i="26"/>
  <c r="AC21" i="26"/>
  <c r="Z16" i="26"/>
  <c r="BO147" i="22"/>
  <c r="AC22" i="26"/>
  <c r="Z17" i="26"/>
  <c r="BO148" i="22"/>
  <c r="Z18" i="26"/>
  <c r="BO149" i="22"/>
  <c r="AC23" i="26"/>
  <c r="Z19" i="26"/>
  <c r="BO150" i="22"/>
  <c r="AC24" i="26"/>
  <c r="AC25" i="26"/>
  <c r="Z20" i="26"/>
  <c r="BO151" i="22"/>
  <c r="AC16" i="26"/>
  <c r="Z21" i="26"/>
  <c r="BO152" i="22"/>
  <c r="Z22" i="26"/>
  <c r="BO153" i="22"/>
  <c r="AC17" i="26"/>
  <c r="AD21" i="26"/>
  <c r="AD22" i="26"/>
  <c r="AD23" i="26"/>
  <c r="AD24" i="26"/>
  <c r="AD25" i="26"/>
  <c r="AD16" i="26"/>
  <c r="AD17" i="26"/>
  <c r="AD18" i="26"/>
  <c r="AD19" i="26"/>
  <c r="AD20" i="26"/>
  <c r="AA25" i="26"/>
  <c r="BO172" i="22"/>
  <c r="AA18" i="26"/>
  <c r="BO165" i="22"/>
  <c r="AA19" i="26"/>
  <c r="BO166" i="22"/>
  <c r="AA20" i="26"/>
  <c r="BO167" i="22"/>
  <c r="AA21" i="26"/>
  <c r="BO168" i="22"/>
  <c r="AA23" i="26"/>
  <c r="BO170" i="22"/>
  <c r="AA16" i="26"/>
  <c r="BO163" i="22"/>
  <c r="AA17" i="26"/>
  <c r="BO164" i="22"/>
  <c r="AA22" i="26"/>
  <c r="BO169" i="22"/>
  <c r="AA24" i="26"/>
  <c r="BO171" i="22"/>
  <c r="BJ69" i="22"/>
  <c r="BP69" i="22" s="1"/>
  <c r="BJ68" i="22"/>
  <c r="BP68" i="22" s="1"/>
  <c r="BJ61" i="22"/>
  <c r="BP61" i="22" s="1"/>
  <c r="BJ72" i="22"/>
  <c r="BP72" i="22" s="1"/>
  <c r="BJ77" i="22"/>
  <c r="BP77" i="22" s="1"/>
  <c r="BJ62" i="22"/>
  <c r="BP62" i="22" s="1"/>
  <c r="BJ73" i="22"/>
  <c r="BP73" i="22" s="1"/>
  <c r="BJ75" i="22"/>
  <c r="BP75" i="22" s="1"/>
  <c r="BJ13" i="54"/>
  <c r="BJ71" i="22"/>
  <c r="BP71" i="22" s="1"/>
  <c r="BJ63" i="22"/>
  <c r="BP63" i="22" s="1"/>
  <c r="BJ74" i="22"/>
  <c r="BP74" i="22" s="1"/>
  <c r="BJ76" i="22"/>
  <c r="BP76" i="22" s="1"/>
  <c r="BJ70" i="22"/>
  <c r="BP70" i="22" s="1"/>
  <c r="BJ78" i="22"/>
  <c r="BP78" i="22" s="1"/>
  <c r="BJ345" i="22"/>
  <c r="BP345" i="22" s="1"/>
  <c r="BJ347" i="22"/>
  <c r="BP347" i="22" s="1"/>
  <c r="BJ306" i="22"/>
  <c r="BP306" i="22" s="1"/>
  <c r="BJ363" i="22"/>
  <c r="BP363" i="22" s="1"/>
  <c r="BJ344" i="22"/>
  <c r="BP344" i="22" s="1"/>
  <c r="BJ323" i="22"/>
  <c r="BP323" i="22" s="1"/>
  <c r="BK11" i="22"/>
  <c r="BJ48" i="22"/>
  <c r="BP48" i="22" s="1"/>
  <c r="BJ149" i="22"/>
  <c r="BP149" i="22" s="1"/>
  <c r="BJ165" i="22"/>
  <c r="BP165" i="22" s="1"/>
  <c r="BJ370" i="22"/>
  <c r="BP370" i="22" s="1"/>
  <c r="BK7" i="22"/>
  <c r="BO7" i="22" s="1"/>
  <c r="BJ10" i="22"/>
  <c r="BP10" i="22" s="1"/>
  <c r="BK105" i="22"/>
  <c r="X13" i="26" s="1"/>
  <c r="BJ192" i="22"/>
  <c r="BP192" i="22" s="1"/>
  <c r="BJ209" i="22"/>
  <c r="BP209" i="22" s="1"/>
  <c r="BJ341" i="22"/>
  <c r="BP341" i="22" s="1"/>
  <c r="BJ373" i="22"/>
  <c r="BP373" i="22" s="1"/>
  <c r="BJ126" i="22"/>
  <c r="BK45" i="22"/>
  <c r="BJ3" i="22"/>
  <c r="BP3" i="22" s="1"/>
  <c r="BJ246" i="22"/>
  <c r="BP246" i="22" s="1"/>
  <c r="BJ280" i="22"/>
  <c r="BP280" i="22" s="1"/>
  <c r="BK28" i="22"/>
  <c r="BK47" i="22"/>
  <c r="BJ210" i="22"/>
  <c r="BP210" i="22" s="1"/>
  <c r="BJ125" i="22"/>
  <c r="BJ156" i="22"/>
  <c r="BP156" i="22" s="1"/>
  <c r="BJ172" i="22"/>
  <c r="BP172" i="22" s="1"/>
  <c r="BJ188" i="22"/>
  <c r="BP188" i="22" s="1"/>
  <c r="BJ205" i="22"/>
  <c r="BP205" i="22" s="1"/>
  <c r="BJ261" i="22"/>
  <c r="BP261" i="22" s="1"/>
  <c r="BJ295" i="22"/>
  <c r="BP295" i="22" s="1"/>
  <c r="BJ329" i="22"/>
  <c r="BP329" i="22" s="1"/>
  <c r="BJ353" i="22"/>
  <c r="BP353" i="22" s="1"/>
  <c r="BJ362" i="22"/>
  <c r="BP362" i="22" s="1"/>
  <c r="BJ369" i="22"/>
  <c r="BP369" i="22" s="1"/>
  <c r="BK49" i="22"/>
  <c r="BK29" i="22"/>
  <c r="BK80" i="22"/>
  <c r="BJ28" i="22"/>
  <c r="BP28" i="22" s="1"/>
  <c r="BJ272" i="22"/>
  <c r="BP272" i="22" s="1"/>
  <c r="BJ27" i="22"/>
  <c r="BP27" i="22" s="1"/>
  <c r="BJ124" i="22"/>
  <c r="BJ189" i="22"/>
  <c r="BP189" i="22" s="1"/>
  <c r="BJ206" i="22"/>
  <c r="BP206" i="22" s="1"/>
  <c r="BJ245" i="22"/>
  <c r="BP245" i="22" s="1"/>
  <c r="BJ279" i="22"/>
  <c r="BP279" i="22" s="1"/>
  <c r="BJ313" i="22"/>
  <c r="BP313" i="22" s="1"/>
  <c r="BJ346" i="22"/>
  <c r="BP346" i="22" s="1"/>
  <c r="BK27" i="22"/>
  <c r="BJ349" i="22"/>
  <c r="BP349" i="22" s="1"/>
  <c r="BJ365" i="22"/>
  <c r="BP365" i="22" s="1"/>
  <c r="BJ86" i="22"/>
  <c r="BJ260" i="22"/>
  <c r="BP260" i="22" s="1"/>
  <c r="BJ294" i="22"/>
  <c r="BP294" i="22" s="1"/>
  <c r="BJ328" i="22"/>
  <c r="BP328" i="22" s="1"/>
  <c r="BJ352" i="22"/>
  <c r="BP352" i="22" s="1"/>
  <c r="BJ368" i="22"/>
  <c r="BP368" i="22" s="1"/>
  <c r="BJ118" i="22"/>
  <c r="BJ123" i="22"/>
  <c r="BJ263" i="22"/>
  <c r="BP263" i="22" s="1"/>
  <c r="BJ297" i="22"/>
  <c r="BP297" i="22" s="1"/>
  <c r="BJ331" i="22"/>
  <c r="BP331" i="22" s="1"/>
  <c r="BJ355" i="22"/>
  <c r="BP355" i="22" s="1"/>
  <c r="BJ371" i="22"/>
  <c r="BP371" i="22" s="1"/>
  <c r="BJ22" i="22"/>
  <c r="BP22" i="22" s="1"/>
  <c r="BJ169" i="22"/>
  <c r="BP169" i="22" s="1"/>
  <c r="BJ185" i="22"/>
  <c r="BP185" i="22" s="1"/>
  <c r="BJ202" i="22"/>
  <c r="BP202" i="22" s="1"/>
  <c r="BJ342" i="22"/>
  <c r="BP342" i="22" s="1"/>
  <c r="BJ358" i="22"/>
  <c r="BP358" i="22" s="1"/>
  <c r="BK8" i="22"/>
  <c r="BO8" i="22" s="1"/>
  <c r="BJ164" i="22"/>
  <c r="BP164" i="22" s="1"/>
  <c r="BJ244" i="22"/>
  <c r="BP244" i="22" s="1"/>
  <c r="BJ278" i="22"/>
  <c r="BP278" i="22" s="1"/>
  <c r="BJ312" i="22"/>
  <c r="BP312" i="22" s="1"/>
  <c r="BJ26" i="22"/>
  <c r="BP26" i="22" s="1"/>
  <c r="BJ148" i="22"/>
  <c r="BP148" i="22" s="1"/>
  <c r="BJ85" i="22"/>
  <c r="BJ255" i="22"/>
  <c r="BP255" i="22" s="1"/>
  <c r="BJ289" i="22"/>
  <c r="BP289" i="22" s="1"/>
  <c r="BJ259" i="22"/>
  <c r="BP259" i="22" s="1"/>
  <c r="BJ327" i="22"/>
  <c r="BP327" i="22" s="1"/>
  <c r="AT24" i="33"/>
  <c r="AY24" i="33" s="1"/>
  <c r="AU24" i="33"/>
  <c r="AU20" i="33"/>
  <c r="AT28" i="33"/>
  <c r="AY28" i="33" s="1"/>
  <c r="AU26" i="33"/>
  <c r="AT18" i="33"/>
  <c r="AY18" i="33" s="1"/>
  <c r="AU8" i="33"/>
  <c r="U7" i="26" l="1"/>
  <c r="AT20" i="33"/>
  <c r="AY20" i="33" s="1"/>
  <c r="U12" i="26"/>
  <c r="V14" i="26"/>
  <c r="U13" i="26"/>
  <c r="BK69" i="22"/>
  <c r="U11" i="26"/>
  <c r="BK68" i="22"/>
  <c r="BK62" i="22"/>
  <c r="BK61" i="22"/>
  <c r="BK71" i="22"/>
  <c r="BK75" i="22"/>
  <c r="BK73" i="22"/>
  <c r="BK77" i="22"/>
  <c r="BK76" i="22"/>
  <c r="BJ65" i="22"/>
  <c r="BP65" i="22" s="1"/>
  <c r="BJ66" i="22"/>
  <c r="BP66" i="22" s="1"/>
  <c r="BK74" i="22"/>
  <c r="BJ60" i="22"/>
  <c r="BP60" i="22" s="1"/>
  <c r="BK63" i="22"/>
  <c r="BK78" i="22"/>
  <c r="BK70" i="22"/>
  <c r="BJ64" i="22"/>
  <c r="BP64" i="22" s="1"/>
  <c r="BK72" i="22"/>
  <c r="BJ67" i="22"/>
  <c r="BP67" i="22" s="1"/>
  <c r="BJ4" i="54"/>
  <c r="BJ364" i="22"/>
  <c r="BP364" i="22" s="1"/>
  <c r="BJ361" i="22"/>
  <c r="BP361" i="22" s="1"/>
  <c r="BJ357" i="22"/>
  <c r="BP357" i="22" s="1"/>
  <c r="BJ340" i="22"/>
  <c r="BP340" i="22" s="1"/>
  <c r="BJ348" i="22"/>
  <c r="BP348" i="22" s="1"/>
  <c r="BK67" i="22" l="1"/>
  <c r="BK64" i="22"/>
  <c r="BK65" i="22"/>
  <c r="BK60" i="22"/>
  <c r="BK66" i="22"/>
  <c r="AX30" i="43"/>
  <c r="BA30" i="43" s="1"/>
  <c r="AX31" i="43"/>
  <c r="BA31" i="43" s="1"/>
  <c r="AX32" i="43"/>
  <c r="BA32" i="43" s="1"/>
  <c r="AX33" i="43"/>
  <c r="BA33" i="43" s="1"/>
  <c r="AX35" i="43"/>
  <c r="BA35" i="43" s="1"/>
  <c r="AX36" i="43"/>
  <c r="BA36" i="43" s="1"/>
  <c r="AX37" i="43"/>
  <c r="BA37" i="43" s="1"/>
  <c r="AX38" i="43"/>
  <c r="BA38" i="43" s="1"/>
  <c r="AX39" i="43"/>
  <c r="BA39" i="43" s="1"/>
  <c r="AW6" i="43"/>
  <c r="AW9" i="43"/>
  <c r="AW10" i="43"/>
  <c r="AW11" i="43"/>
  <c r="AW16" i="43"/>
  <c r="AW17" i="43"/>
  <c r="AW18" i="43"/>
  <c r="AW20" i="43"/>
  <c r="AW13" i="43"/>
  <c r="AW14" i="43"/>
  <c r="AU9" i="43"/>
  <c r="AU10" i="43"/>
  <c r="AU11" i="43"/>
  <c r="AU16" i="43"/>
  <c r="AU17" i="43"/>
  <c r="AU18" i="43"/>
  <c r="AT9" i="43"/>
  <c r="AT10" i="43"/>
  <c r="AT11" i="43"/>
  <c r="AT16" i="43"/>
  <c r="AT17" i="43"/>
  <c r="AT18" i="43"/>
  <c r="AT20" i="43"/>
  <c r="AS5" i="43"/>
  <c r="AS6" i="43"/>
  <c r="AS9" i="43"/>
  <c r="AS10" i="43"/>
  <c r="AS11" i="43"/>
  <c r="AS16" i="43"/>
  <c r="AS17" i="43"/>
  <c r="AS18" i="43"/>
  <c r="AS20" i="43"/>
  <c r="AS13" i="43"/>
  <c r="AS14" i="43"/>
  <c r="AS26" i="43"/>
  <c r="AS27" i="43"/>
  <c r="AS28" i="43"/>
  <c r="AR9" i="43"/>
  <c r="AR10" i="43"/>
  <c r="AR11" i="43"/>
  <c r="AR16" i="43"/>
  <c r="AX16" i="43" s="1"/>
  <c r="BA16" i="43" s="1"/>
  <c r="AR17" i="43"/>
  <c r="AX17" i="43" s="1"/>
  <c r="BA17" i="43" s="1"/>
  <c r="AR18" i="43"/>
  <c r="AR20" i="43"/>
  <c r="AX20" i="43" s="1"/>
  <c r="BA20" i="43" s="1"/>
  <c r="AR13" i="43"/>
  <c r="AX13" i="43" s="1"/>
  <c r="BA13" i="43" s="1"/>
  <c r="AR14" i="43"/>
  <c r="AX14" i="43" s="1"/>
  <c r="BA14" i="43" s="1"/>
  <c r="AR26" i="43"/>
  <c r="AX26" i="43" s="1"/>
  <c r="BA26" i="43" s="1"/>
  <c r="AR27" i="43"/>
  <c r="AX27" i="43" s="1"/>
  <c r="BA27" i="43" s="1"/>
  <c r="AR28" i="43"/>
  <c r="AX28" i="43" s="1"/>
  <c r="BA28" i="43" s="1"/>
  <c r="AX6" i="43"/>
  <c r="BA6" i="43" s="1"/>
  <c r="AR7" i="43"/>
  <c r="AX7" i="43" s="1"/>
  <c r="BA7" i="43" s="1"/>
  <c r="AX5" i="43"/>
  <c r="BA5" i="43" s="1"/>
  <c r="AT75" i="32"/>
  <c r="AT74" i="32"/>
  <c r="AT73" i="32"/>
  <c r="AT72" i="32"/>
  <c r="AT71" i="32"/>
  <c r="AT70" i="32"/>
  <c r="AT69" i="32"/>
  <c r="AT68" i="32"/>
  <c r="AT67" i="32"/>
  <c r="AT66" i="32"/>
  <c r="AT65" i="32"/>
  <c r="AT64" i="32"/>
  <c r="AT63" i="32"/>
  <c r="AT62" i="32"/>
  <c r="AT61" i="32"/>
  <c r="AT60" i="32"/>
  <c r="AT59" i="32"/>
  <c r="AT58" i="32"/>
  <c r="AT57" i="32"/>
  <c r="AT56" i="32"/>
  <c r="AT55" i="32"/>
  <c r="AT54" i="32"/>
  <c r="AT53" i="32"/>
  <c r="AT52" i="32"/>
  <c r="AT51" i="32"/>
  <c r="AT50" i="32"/>
  <c r="AT49" i="32"/>
  <c r="AT48" i="32"/>
  <c r="AT47" i="32"/>
  <c r="AT46" i="32"/>
  <c r="AT45" i="32"/>
  <c r="AT44" i="32"/>
  <c r="AT43" i="32"/>
  <c r="AT42" i="32"/>
  <c r="AT41" i="32"/>
  <c r="AT40" i="32"/>
  <c r="AT39" i="32"/>
  <c r="AT38" i="32"/>
  <c r="AT37" i="32"/>
  <c r="AT36" i="32"/>
  <c r="AT35" i="32"/>
  <c r="AT34" i="32"/>
  <c r="AT33" i="32"/>
  <c r="AT32" i="32"/>
  <c r="AT31" i="32"/>
  <c r="AT30" i="32"/>
  <c r="AT29" i="32"/>
  <c r="AT28" i="32"/>
  <c r="AT27" i="32"/>
  <c r="AT26" i="32"/>
  <c r="AT25" i="32"/>
  <c r="AT24" i="32"/>
  <c r="AT23" i="32"/>
  <c r="AT22" i="32"/>
  <c r="AT21" i="32"/>
  <c r="AT5" i="32"/>
  <c r="AT6" i="32"/>
  <c r="AT7" i="32"/>
  <c r="AT8" i="32"/>
  <c r="AT9" i="32"/>
  <c r="AT10" i="32"/>
  <c r="AT11" i="32"/>
  <c r="AT12" i="32"/>
  <c r="AT13" i="32"/>
  <c r="AT14" i="32"/>
  <c r="AT15" i="32"/>
  <c r="AT16" i="32"/>
  <c r="AT17" i="32"/>
  <c r="AT18" i="32"/>
  <c r="AT19" i="32"/>
  <c r="AT4" i="32"/>
  <c r="AU4" i="32"/>
  <c r="AX4" i="32" s="1"/>
  <c r="AU113" i="32"/>
  <c r="AX113" i="32" s="1"/>
  <c r="AT113" i="32"/>
  <c r="AU112" i="32"/>
  <c r="AX112" i="32" s="1"/>
  <c r="AT112" i="32"/>
  <c r="AU111" i="32"/>
  <c r="AX111" i="32" s="1"/>
  <c r="AT111" i="32"/>
  <c r="AU110" i="32"/>
  <c r="AX110" i="32" s="1"/>
  <c r="AT110" i="32"/>
  <c r="AU109" i="32"/>
  <c r="AX109" i="32" s="1"/>
  <c r="AT109" i="32"/>
  <c r="AU108" i="32"/>
  <c r="AX108" i="32" s="1"/>
  <c r="AT108" i="32"/>
  <c r="AU107" i="32"/>
  <c r="AX107" i="32" s="1"/>
  <c r="AT107" i="32"/>
  <c r="AU106" i="32"/>
  <c r="AX106" i="32" s="1"/>
  <c r="AT106" i="32"/>
  <c r="AU105" i="32"/>
  <c r="AX105" i="32" s="1"/>
  <c r="AT105" i="32"/>
  <c r="AU104" i="32"/>
  <c r="AX104" i="32" s="1"/>
  <c r="AT104" i="32"/>
  <c r="AU103" i="32"/>
  <c r="AX103" i="32" s="1"/>
  <c r="AT103" i="32"/>
  <c r="AU102" i="32"/>
  <c r="AX102" i="32" s="1"/>
  <c r="AT102" i="32"/>
  <c r="AU101" i="32"/>
  <c r="AX101" i="32" s="1"/>
  <c r="AT101" i="32"/>
  <c r="AU100" i="32"/>
  <c r="AX100" i="32" s="1"/>
  <c r="AT100" i="32"/>
  <c r="AU99" i="32"/>
  <c r="AX99" i="32" s="1"/>
  <c r="AT99" i="32"/>
  <c r="AU98" i="32"/>
  <c r="AX98" i="32" s="1"/>
  <c r="AT98" i="32"/>
  <c r="AU97" i="32"/>
  <c r="AX97" i="32" s="1"/>
  <c r="AT97" i="32"/>
  <c r="AU96" i="32"/>
  <c r="AX96" i="32" s="1"/>
  <c r="AT96" i="32"/>
  <c r="AU95" i="32"/>
  <c r="AX95" i="32" s="1"/>
  <c r="AT95" i="32"/>
  <c r="AU94" i="32"/>
  <c r="AX94" i="32" s="1"/>
  <c r="AT94" i="32"/>
  <c r="AX87" i="32"/>
  <c r="AX86" i="32"/>
  <c r="AX85" i="32"/>
  <c r="AX84" i="32"/>
  <c r="AX83" i="32"/>
  <c r="AX82" i="32"/>
  <c r="AX81" i="32"/>
  <c r="AX80" i="32"/>
  <c r="AX79" i="32"/>
  <c r="AX77" i="32"/>
  <c r="AT77" i="32"/>
  <c r="AU75" i="32"/>
  <c r="AX75" i="32" s="1"/>
  <c r="AU74" i="32"/>
  <c r="AX74" i="32" s="1"/>
  <c r="AX73" i="32"/>
  <c r="AU72" i="32"/>
  <c r="AX72" i="32" s="1"/>
  <c r="AU71" i="32"/>
  <c r="AX71" i="32" s="1"/>
  <c r="AU70" i="32"/>
  <c r="AX70" i="32" s="1"/>
  <c r="AU69" i="32"/>
  <c r="AX69" i="32" s="1"/>
  <c r="AU68" i="32"/>
  <c r="AX68" i="32" s="1"/>
  <c r="AU67" i="32"/>
  <c r="AX67" i="32" s="1"/>
  <c r="AU66" i="32"/>
  <c r="AX66" i="32" s="1"/>
  <c r="AU65" i="32"/>
  <c r="AX65" i="32" s="1"/>
  <c r="AU64" i="32"/>
  <c r="AX64" i="32" s="1"/>
  <c r="AU63" i="32"/>
  <c r="AX63" i="32" s="1"/>
  <c r="AU62" i="32"/>
  <c r="AX62" i="32" s="1"/>
  <c r="AU61" i="32"/>
  <c r="AX61" i="32" s="1"/>
  <c r="AU60" i="32"/>
  <c r="AX60" i="32" s="1"/>
  <c r="AU59" i="32"/>
  <c r="AX59" i="32" s="1"/>
  <c r="AU58" i="32"/>
  <c r="AX58" i="32" s="1"/>
  <c r="AU57" i="32"/>
  <c r="AX57" i="32" s="1"/>
  <c r="AU56" i="32"/>
  <c r="AX56" i="32" s="1"/>
  <c r="AU55" i="32"/>
  <c r="AX55" i="32" s="1"/>
  <c r="AU54" i="32"/>
  <c r="AX54" i="32" s="1"/>
  <c r="AU53" i="32"/>
  <c r="AX53" i="32" s="1"/>
  <c r="AU52" i="32"/>
  <c r="AX52" i="32" s="1"/>
  <c r="AU51" i="32"/>
  <c r="AX51" i="32" s="1"/>
  <c r="AU50" i="32"/>
  <c r="AX50" i="32" s="1"/>
  <c r="AU49" i="32"/>
  <c r="AX49" i="32" s="1"/>
  <c r="AU48" i="32"/>
  <c r="AX48" i="32" s="1"/>
  <c r="AU47" i="32"/>
  <c r="AX47" i="32" s="1"/>
  <c r="AU46" i="32"/>
  <c r="AX46" i="32" s="1"/>
  <c r="AU45" i="32"/>
  <c r="AX45" i="32" s="1"/>
  <c r="AU44" i="32"/>
  <c r="AX44" i="32" s="1"/>
  <c r="AU43" i="32"/>
  <c r="AX43" i="32" s="1"/>
  <c r="AU42" i="32"/>
  <c r="AX42" i="32" s="1"/>
  <c r="AU41" i="32"/>
  <c r="AX41" i="32" s="1"/>
  <c r="AU40" i="32"/>
  <c r="AX40" i="32" s="1"/>
  <c r="AU39" i="32"/>
  <c r="AX39" i="32" s="1"/>
  <c r="AU38" i="32"/>
  <c r="AX38" i="32" s="1"/>
  <c r="AU37" i="32"/>
  <c r="AX37" i="32" s="1"/>
  <c r="AU36" i="32"/>
  <c r="AX36" i="32" s="1"/>
  <c r="AU35" i="32"/>
  <c r="AX35" i="32" s="1"/>
  <c r="AU34" i="32"/>
  <c r="AX34" i="32" s="1"/>
  <c r="AU33" i="32"/>
  <c r="AX33" i="32" s="1"/>
  <c r="AU32" i="32"/>
  <c r="AX32" i="32" s="1"/>
  <c r="AU31" i="32"/>
  <c r="AX31" i="32" s="1"/>
  <c r="AU30" i="32"/>
  <c r="AX30" i="32" s="1"/>
  <c r="AU29" i="32"/>
  <c r="AX29" i="32" s="1"/>
  <c r="AU28" i="32"/>
  <c r="AX28" i="32" s="1"/>
  <c r="AU27" i="32"/>
  <c r="AX27" i="32" s="1"/>
  <c r="AU26" i="32"/>
  <c r="AX26" i="32" s="1"/>
  <c r="AU25" i="32"/>
  <c r="AX25" i="32" s="1"/>
  <c r="AU24" i="32"/>
  <c r="AX24" i="32" s="1"/>
  <c r="AU23" i="32"/>
  <c r="AU22" i="32"/>
  <c r="AX22" i="32" s="1"/>
  <c r="AU21" i="32"/>
  <c r="AU19" i="32"/>
  <c r="AX19" i="32" s="1"/>
  <c r="AU18" i="32"/>
  <c r="AX18" i="32" s="1"/>
  <c r="AU17" i="32"/>
  <c r="AX17" i="32" s="1"/>
  <c r="AU16" i="32"/>
  <c r="AX16" i="32" s="1"/>
  <c r="AU15" i="32"/>
  <c r="AX15" i="32" s="1"/>
  <c r="AU14" i="32"/>
  <c r="AX14" i="32" s="1"/>
  <c r="AU13" i="32"/>
  <c r="AX13" i="32" s="1"/>
  <c r="AU12" i="32"/>
  <c r="AX12" i="32" s="1"/>
  <c r="AU11" i="32"/>
  <c r="AX11" i="32" s="1"/>
  <c r="AU10" i="32"/>
  <c r="AX10" i="32" s="1"/>
  <c r="AU9" i="32"/>
  <c r="AX9" i="32" s="1"/>
  <c r="AU8" i="32"/>
  <c r="AX8" i="32" s="1"/>
  <c r="AU7" i="32"/>
  <c r="AX7" i="32" s="1"/>
  <c r="AU6" i="32"/>
  <c r="AX6" i="32" s="1"/>
  <c r="AU5" i="32"/>
  <c r="AX5" i="32" s="1"/>
  <c r="AD20" i="43"/>
  <c r="AE20" i="43" s="1"/>
  <c r="AU464" i="24"/>
  <c r="BN328" i="24"/>
  <c r="BN329" i="24"/>
  <c r="BN330" i="24"/>
  <c r="BN331" i="24"/>
  <c r="BN332" i="24"/>
  <c r="BN333" i="24"/>
  <c r="BN334" i="24"/>
  <c r="BN335" i="24"/>
  <c r="BN336" i="24"/>
  <c r="BN337" i="24"/>
  <c r="BN338" i="24"/>
  <c r="BN339" i="24"/>
  <c r="BN340" i="24"/>
  <c r="BN341" i="24"/>
  <c r="BN342" i="24"/>
  <c r="BN343" i="24"/>
  <c r="BN344" i="24"/>
  <c r="BN345" i="24"/>
  <c r="BN346" i="24"/>
  <c r="BN347" i="24"/>
  <c r="BN348" i="24"/>
  <c r="BN349" i="24"/>
  <c r="BN350" i="24"/>
  <c r="BN351" i="24"/>
  <c r="BN112" i="24"/>
  <c r="BN120" i="24"/>
  <c r="AD39" i="43"/>
  <c r="AX29" i="43"/>
  <c r="BA29" i="43" s="1"/>
  <c r="AD9" i="43"/>
  <c r="AE9" i="43" s="1"/>
  <c r="AD10" i="43"/>
  <c r="AE10" i="43" s="1"/>
  <c r="AD11" i="43"/>
  <c r="AE11" i="43" s="1"/>
  <c r="AD12" i="43"/>
  <c r="AE12" i="43" s="1"/>
  <c r="AD16" i="43"/>
  <c r="AE16" i="43" s="1"/>
  <c r="AD21" i="43"/>
  <c r="AE21" i="43" s="1"/>
  <c r="AD13" i="43"/>
  <c r="AE13" i="43" s="1"/>
  <c r="AD14" i="43"/>
  <c r="AE14" i="43" s="1"/>
  <c r="AD15" i="43"/>
  <c r="AE15" i="43" s="1"/>
  <c r="AD22" i="43"/>
  <c r="AE22" i="43" s="1"/>
  <c r="AD23" i="43"/>
  <c r="AE23" i="43" s="1"/>
  <c r="AD24" i="43"/>
  <c r="AE24" i="43" s="1"/>
  <c r="AD25" i="43"/>
  <c r="AE25" i="43" s="1"/>
  <c r="AD26" i="43"/>
  <c r="AE26" i="43" s="1"/>
  <c r="AD27" i="43"/>
  <c r="AE27" i="43" s="1"/>
  <c r="AD28" i="43"/>
  <c r="AE28" i="43" s="1"/>
  <c r="AD32" i="43"/>
  <c r="AD33" i="43"/>
  <c r="AD35" i="43"/>
  <c r="AD36" i="43"/>
  <c r="AD38" i="43"/>
  <c r="BM204" i="24"/>
  <c r="BM205" i="24"/>
  <c r="BM206" i="24"/>
  <c r="BM207" i="24"/>
  <c r="BM208" i="24"/>
  <c r="BM209" i="24"/>
  <c r="BM210" i="24"/>
  <c r="BM211" i="24"/>
  <c r="BM212" i="24"/>
  <c r="BM213" i="24"/>
  <c r="BM214" i="24"/>
  <c r="BM215" i="24"/>
  <c r="BM216" i="24"/>
  <c r="BM217" i="24"/>
  <c r="BM218" i="24"/>
  <c r="BM219" i="24"/>
  <c r="BM220" i="24"/>
  <c r="BM221" i="24"/>
  <c r="BM222" i="24"/>
  <c r="BM223" i="24"/>
  <c r="BM224" i="24"/>
  <c r="BM225" i="24"/>
  <c r="BM226" i="24"/>
  <c r="BM227" i="24"/>
  <c r="BM228" i="24"/>
  <c r="BM229" i="24"/>
  <c r="BM230" i="24"/>
  <c r="BM231" i="24"/>
  <c r="BM232" i="24"/>
  <c r="BM234" i="24"/>
  <c r="BM235" i="24"/>
  <c r="BM237" i="24"/>
  <c r="BM238" i="24"/>
  <c r="BM239" i="24"/>
  <c r="BM240" i="24"/>
  <c r="BM241" i="24"/>
  <c r="BM242" i="24"/>
  <c r="BM243" i="24"/>
  <c r="BM244" i="24"/>
  <c r="BM245" i="24"/>
  <c r="BM246" i="24"/>
  <c r="BM247" i="24"/>
  <c r="BM248" i="24"/>
  <c r="BM249" i="24"/>
  <c r="BM250" i="24"/>
  <c r="BM251" i="24"/>
  <c r="BM252" i="24"/>
  <c r="BM253" i="24"/>
  <c r="BM254" i="24"/>
  <c r="BM255" i="24"/>
  <c r="BM256" i="24"/>
  <c r="BM257" i="24"/>
  <c r="BM258" i="24"/>
  <c r="BM259" i="24"/>
  <c r="BM260" i="24"/>
  <c r="BM261" i="24"/>
  <c r="BM262" i="24"/>
  <c r="BM263" i="24"/>
  <c r="BM264" i="24"/>
  <c r="BM265" i="24"/>
  <c r="BM266" i="24"/>
  <c r="BM267" i="24"/>
  <c r="BM268" i="24"/>
  <c r="BM269" i="24"/>
  <c r="BM270" i="24"/>
  <c r="BM271" i="24"/>
  <c r="BM272" i="24"/>
  <c r="BM273" i="24"/>
  <c r="BM274" i="24"/>
  <c r="BM275" i="24"/>
  <c r="BM276" i="24"/>
  <c r="BM277" i="24"/>
  <c r="BM278" i="24"/>
  <c r="BM279" i="24"/>
  <c r="BM280" i="24"/>
  <c r="BM282" i="24"/>
  <c r="BM283" i="24"/>
  <c r="BM285" i="24"/>
  <c r="BM286" i="24"/>
  <c r="BM287" i="24"/>
  <c r="BM288" i="24"/>
  <c r="BM289" i="24"/>
  <c r="BM290" i="24"/>
  <c r="BM291" i="24"/>
  <c r="BM292" i="24"/>
  <c r="BM293" i="24"/>
  <c r="BM294" i="24"/>
  <c r="BM295" i="24"/>
  <c r="BM296" i="24"/>
  <c r="BM297" i="24"/>
  <c r="BM298" i="24"/>
  <c r="BM299" i="24"/>
  <c r="BM300" i="24"/>
  <c r="BM301" i="24"/>
  <c r="BM302" i="24"/>
  <c r="BM303" i="24"/>
  <c r="BM304" i="24"/>
  <c r="BM305" i="24"/>
  <c r="BM306" i="24"/>
  <c r="BM307" i="24"/>
  <c r="BM308" i="24"/>
  <c r="BM309" i="24"/>
  <c r="BM310" i="24"/>
  <c r="BM311" i="24"/>
  <c r="BM312" i="24"/>
  <c r="BM313" i="24"/>
  <c r="BM314" i="24"/>
  <c r="BM315" i="24"/>
  <c r="BM316" i="24"/>
  <c r="BM317" i="24"/>
  <c r="BM318" i="24"/>
  <c r="BM319" i="24"/>
  <c r="BM320" i="24"/>
  <c r="BM321" i="24"/>
  <c r="BM322" i="24"/>
  <c r="BM323" i="24"/>
  <c r="BM324" i="24"/>
  <c r="BM325" i="24"/>
  <c r="BM326" i="24"/>
  <c r="BM327" i="24"/>
  <c r="BM330" i="24"/>
  <c r="BM331" i="24"/>
  <c r="BM332" i="24"/>
  <c r="BM335" i="24"/>
  <c r="BM336" i="24"/>
  <c r="BM337" i="24"/>
  <c r="BM338" i="24"/>
  <c r="BM339" i="24"/>
  <c r="BM340" i="24"/>
  <c r="BM341" i="24"/>
  <c r="BM343" i="24"/>
  <c r="BM344" i="24"/>
  <c r="BM345" i="24"/>
  <c r="BM346" i="24"/>
  <c r="BM347" i="24"/>
  <c r="BM348" i="24"/>
  <c r="BM349" i="24"/>
  <c r="BM350" i="24"/>
  <c r="BM351" i="24"/>
  <c r="BM352" i="24"/>
  <c r="BM353" i="24"/>
  <c r="BM354" i="24"/>
  <c r="BL45" i="25"/>
  <c r="BL46" i="25"/>
  <c r="BL49" i="25"/>
  <c r="BL50" i="25"/>
  <c r="BL51" i="25"/>
  <c r="BL52" i="25"/>
  <c r="BL53" i="25"/>
  <c r="BL56" i="25"/>
  <c r="BL57" i="25"/>
  <c r="BL58" i="25"/>
  <c r="BL59" i="25"/>
  <c r="BL60" i="25"/>
  <c r="BL61" i="25"/>
  <c r="BL62" i="25"/>
  <c r="BL63" i="25"/>
  <c r="BL5" i="25"/>
  <c r="BL8" i="25"/>
  <c r="BL9" i="25"/>
  <c r="BL10" i="25"/>
  <c r="BL11" i="25"/>
  <c r="BL12" i="25"/>
  <c r="BL13" i="25"/>
  <c r="BL14" i="25"/>
  <c r="BL15" i="25"/>
  <c r="BL16" i="25"/>
  <c r="BL17" i="25"/>
  <c r="BL18" i="25"/>
  <c r="BL19" i="25"/>
  <c r="BL20" i="25"/>
  <c r="BL21" i="25"/>
  <c r="BL22" i="25"/>
  <c r="BL23" i="25"/>
  <c r="BL24" i="25"/>
  <c r="BL25" i="25"/>
  <c r="BL26" i="25"/>
  <c r="BL27" i="25"/>
  <c r="BL28" i="25"/>
  <c r="BL29" i="25"/>
  <c r="BL30" i="25"/>
  <c r="BL31" i="25"/>
  <c r="BL32" i="25"/>
  <c r="BL33" i="25"/>
  <c r="BL34" i="25"/>
  <c r="BL35" i="25"/>
  <c r="BL36" i="25"/>
  <c r="BL37" i="25"/>
  <c r="BL38" i="25"/>
  <c r="BI57" i="25"/>
  <c r="BI50" i="25"/>
  <c r="BI23" i="25"/>
  <c r="BM33" i="25"/>
  <c r="BI410" i="24"/>
  <c r="BJ410" i="24" s="1"/>
  <c r="AT410" i="24"/>
  <c r="AU410" i="24" s="1"/>
  <c r="AE410" i="24"/>
  <c r="AF410" i="24" s="1"/>
  <c r="P410" i="24"/>
  <c r="Q410" i="24" s="1"/>
  <c r="BI409" i="24"/>
  <c r="BJ409" i="24" s="1"/>
  <c r="AT409" i="24"/>
  <c r="AU409" i="24" s="1"/>
  <c r="AE409" i="24"/>
  <c r="AF409" i="24" s="1"/>
  <c r="P409" i="24"/>
  <c r="Q409" i="24" s="1"/>
  <c r="BI408" i="24"/>
  <c r="BJ408" i="24" s="1"/>
  <c r="AT408" i="24"/>
  <c r="AU408" i="24" s="1"/>
  <c r="AE408" i="24"/>
  <c r="AF408" i="24" s="1"/>
  <c r="P408" i="24"/>
  <c r="Q408" i="24" s="1"/>
  <c r="BI407" i="24"/>
  <c r="BJ407" i="24" s="1"/>
  <c r="AT407" i="24"/>
  <c r="AU407" i="24" s="1"/>
  <c r="AE407" i="24"/>
  <c r="AF407" i="24" s="1"/>
  <c r="P407" i="24"/>
  <c r="Q407" i="24" s="1"/>
  <c r="BI406" i="24"/>
  <c r="BJ406" i="24" s="1"/>
  <c r="AT406" i="24"/>
  <c r="AU406" i="24" s="1"/>
  <c r="AE406" i="24"/>
  <c r="AF406" i="24" s="1"/>
  <c r="P406" i="24"/>
  <c r="Q406" i="24" s="1"/>
  <c r="BI405" i="24"/>
  <c r="BJ405" i="24" s="1"/>
  <c r="AT405" i="24"/>
  <c r="AU405" i="24" s="1"/>
  <c r="AE405" i="24"/>
  <c r="AF405" i="24" s="1"/>
  <c r="P405" i="24"/>
  <c r="Q405" i="24" s="1"/>
  <c r="BI404" i="24"/>
  <c r="BJ404" i="24" s="1"/>
  <c r="AT404" i="24"/>
  <c r="AU404" i="24" s="1"/>
  <c r="AE404" i="24"/>
  <c r="AF404" i="24" s="1"/>
  <c r="P404" i="24"/>
  <c r="Q404" i="24" s="1"/>
  <c r="BI403" i="24"/>
  <c r="BJ403" i="24" s="1"/>
  <c r="AT403" i="24"/>
  <c r="AU403" i="24" s="1"/>
  <c r="AE403" i="24"/>
  <c r="AF403" i="24" s="1"/>
  <c r="P403" i="24"/>
  <c r="Q403" i="24" s="1"/>
  <c r="BI402" i="24"/>
  <c r="BJ402" i="24" s="1"/>
  <c r="AT402" i="24"/>
  <c r="AU402" i="24" s="1"/>
  <c r="AE402" i="24"/>
  <c r="AF402" i="24" s="1"/>
  <c r="O402" i="24"/>
  <c r="N402" i="24"/>
  <c r="M402" i="24"/>
  <c r="L402" i="24"/>
  <c r="K402" i="24"/>
  <c r="J402" i="24"/>
  <c r="I402" i="24"/>
  <c r="H402" i="24"/>
  <c r="G402" i="24"/>
  <c r="F402" i="24"/>
  <c r="E402" i="24"/>
  <c r="D402" i="24"/>
  <c r="BI401" i="24"/>
  <c r="BJ401" i="24" s="1"/>
  <c r="AT401" i="24"/>
  <c r="AU401" i="24" s="1"/>
  <c r="AE401" i="24"/>
  <c r="AF401" i="24" s="1"/>
  <c r="O401" i="24"/>
  <c r="N401" i="24"/>
  <c r="M401" i="24"/>
  <c r="L401" i="24"/>
  <c r="K401" i="24"/>
  <c r="J401" i="24"/>
  <c r="I401" i="24"/>
  <c r="H401" i="24"/>
  <c r="G401" i="24"/>
  <c r="F401" i="24"/>
  <c r="E401" i="24"/>
  <c r="D401" i="24"/>
  <c r="BI400" i="24"/>
  <c r="BJ400" i="24" s="1"/>
  <c r="AT400" i="24"/>
  <c r="AU400" i="24" s="1"/>
  <c r="AE400" i="24"/>
  <c r="AF400" i="24" s="1"/>
  <c r="O400" i="24"/>
  <c r="N400" i="24"/>
  <c r="M400" i="24"/>
  <c r="L400" i="24"/>
  <c r="K400" i="24"/>
  <c r="J400" i="24"/>
  <c r="I400" i="24"/>
  <c r="H400" i="24"/>
  <c r="G400" i="24"/>
  <c r="F400" i="24"/>
  <c r="E400" i="24"/>
  <c r="D400" i="24"/>
  <c r="BI399" i="24"/>
  <c r="BJ399" i="24" s="1"/>
  <c r="AT399" i="24"/>
  <c r="AU399" i="24" s="1"/>
  <c r="AE399" i="24"/>
  <c r="AF399" i="24" s="1"/>
  <c r="O399" i="24"/>
  <c r="N399" i="24"/>
  <c r="M399" i="24"/>
  <c r="L399" i="24"/>
  <c r="K399" i="24"/>
  <c r="J399" i="24"/>
  <c r="I399" i="24"/>
  <c r="H399" i="24"/>
  <c r="G399" i="24"/>
  <c r="F399" i="24"/>
  <c r="E399" i="24"/>
  <c r="D399" i="24"/>
  <c r="BI398" i="24"/>
  <c r="BJ398" i="24" s="1"/>
  <c r="AT398" i="24"/>
  <c r="AU398" i="24" s="1"/>
  <c r="AE398" i="24"/>
  <c r="AF398" i="24" s="1"/>
  <c r="O398" i="24"/>
  <c r="N398" i="24"/>
  <c r="M398" i="24"/>
  <c r="L398" i="24"/>
  <c r="K398" i="24"/>
  <c r="J398" i="24"/>
  <c r="I398" i="24"/>
  <c r="H398" i="24"/>
  <c r="G398" i="24"/>
  <c r="F398" i="24"/>
  <c r="E398" i="24"/>
  <c r="D398" i="24"/>
  <c r="BI397" i="24"/>
  <c r="BJ397" i="24" s="1"/>
  <c r="AT397" i="24"/>
  <c r="AU397" i="24" s="1"/>
  <c r="AE397" i="24"/>
  <c r="AF397" i="24" s="1"/>
  <c r="P397" i="24"/>
  <c r="Q397" i="24" s="1"/>
  <c r="BI396" i="24"/>
  <c r="BJ396" i="24" s="1"/>
  <c r="AT396" i="24"/>
  <c r="AU396" i="24" s="1"/>
  <c r="AE396" i="24"/>
  <c r="AF396" i="24" s="1"/>
  <c r="P396" i="24"/>
  <c r="Q396" i="24" s="1"/>
  <c r="BI395" i="24"/>
  <c r="BJ395" i="24" s="1"/>
  <c r="AT395" i="24"/>
  <c r="AU395" i="24" s="1"/>
  <c r="AE395" i="24"/>
  <c r="AF395" i="24" s="1"/>
  <c r="P395" i="24"/>
  <c r="Q395" i="24" s="1"/>
  <c r="BI394" i="24"/>
  <c r="BJ394" i="24" s="1"/>
  <c r="AT394" i="24"/>
  <c r="AU394" i="24" s="1"/>
  <c r="AE394" i="24"/>
  <c r="AF394" i="24" s="1"/>
  <c r="P394" i="24"/>
  <c r="Q394" i="24" s="1"/>
  <c r="BI393" i="24"/>
  <c r="BJ393" i="24" s="1"/>
  <c r="AT393" i="24"/>
  <c r="AU393" i="24" s="1"/>
  <c r="AE393" i="24"/>
  <c r="AF393" i="24" s="1"/>
  <c r="P393" i="24"/>
  <c r="Q393" i="24" s="1"/>
  <c r="BI392" i="24"/>
  <c r="BJ392" i="24" s="1"/>
  <c r="AT392" i="24"/>
  <c r="AU392" i="24" s="1"/>
  <c r="AE392" i="24"/>
  <c r="AF392" i="24" s="1"/>
  <c r="P392" i="24"/>
  <c r="Q392" i="24" s="1"/>
  <c r="BI391" i="24"/>
  <c r="BJ391" i="24" s="1"/>
  <c r="AT391" i="24"/>
  <c r="AU391" i="24" s="1"/>
  <c r="AE391" i="24"/>
  <c r="AF391" i="24" s="1"/>
  <c r="P391" i="24"/>
  <c r="Q391" i="24" s="1"/>
  <c r="BI390" i="24"/>
  <c r="BJ390" i="24" s="1"/>
  <c r="AT390" i="24"/>
  <c r="AU390" i="24" s="1"/>
  <c r="AE390" i="24"/>
  <c r="AF390" i="24" s="1"/>
  <c r="P390" i="24"/>
  <c r="Q390" i="24" s="1"/>
  <c r="BI389" i="24"/>
  <c r="BJ389" i="24" s="1"/>
  <c r="AT389" i="24"/>
  <c r="AU389" i="24" s="1"/>
  <c r="AE389" i="24"/>
  <c r="AF389" i="24" s="1"/>
  <c r="P389" i="24"/>
  <c r="Q389" i="24" s="1"/>
  <c r="BI388" i="24"/>
  <c r="BJ388" i="24" s="1"/>
  <c r="AT388" i="24"/>
  <c r="AU388" i="24" s="1"/>
  <c r="AE388" i="24"/>
  <c r="AF388" i="24" s="1"/>
  <c r="P388" i="24"/>
  <c r="Q388" i="24" s="1"/>
  <c r="BI387" i="24"/>
  <c r="BJ387" i="24" s="1"/>
  <c r="AT387" i="24"/>
  <c r="AU387" i="24" s="1"/>
  <c r="AE387" i="24"/>
  <c r="AF387" i="24" s="1"/>
  <c r="O387" i="24"/>
  <c r="N387" i="24"/>
  <c r="M387" i="24"/>
  <c r="L387" i="24"/>
  <c r="K387" i="24"/>
  <c r="J387" i="24"/>
  <c r="I387" i="24"/>
  <c r="H387" i="24"/>
  <c r="G387" i="24"/>
  <c r="F387" i="24"/>
  <c r="E387" i="24"/>
  <c r="D387" i="24"/>
  <c r="BI386" i="24"/>
  <c r="BJ386" i="24" s="1"/>
  <c r="AT386" i="24"/>
  <c r="AU386" i="24" s="1"/>
  <c r="AE386" i="24"/>
  <c r="AF386" i="24" s="1"/>
  <c r="O386" i="24"/>
  <c r="N386" i="24"/>
  <c r="M386" i="24"/>
  <c r="L386" i="24"/>
  <c r="K386" i="24"/>
  <c r="J386" i="24"/>
  <c r="I386" i="24"/>
  <c r="H386" i="24"/>
  <c r="G386" i="24"/>
  <c r="F386" i="24"/>
  <c r="E386" i="24"/>
  <c r="D386" i="24"/>
  <c r="BI385" i="24"/>
  <c r="BJ385" i="24" s="1"/>
  <c r="AT385" i="24"/>
  <c r="AU385" i="24" s="1"/>
  <c r="AE385" i="24"/>
  <c r="AF385" i="24" s="1"/>
  <c r="O385" i="24"/>
  <c r="N385" i="24"/>
  <c r="M385" i="24"/>
  <c r="L385" i="24"/>
  <c r="K385" i="24"/>
  <c r="J385" i="24"/>
  <c r="I385" i="24"/>
  <c r="H385" i="24"/>
  <c r="G385" i="24"/>
  <c r="F385" i="24"/>
  <c r="E385" i="24"/>
  <c r="D385" i="24"/>
  <c r="BI384" i="24"/>
  <c r="BJ384" i="24" s="1"/>
  <c r="AT384" i="24"/>
  <c r="AU384" i="24" s="1"/>
  <c r="AE384" i="24"/>
  <c r="AF384" i="24" s="1"/>
  <c r="O384" i="24"/>
  <c r="N384" i="24"/>
  <c r="M384" i="24"/>
  <c r="L384" i="24"/>
  <c r="K384" i="24"/>
  <c r="J384" i="24"/>
  <c r="I384" i="24"/>
  <c r="H384" i="24"/>
  <c r="G384" i="24"/>
  <c r="F384" i="24"/>
  <c r="E384" i="24"/>
  <c r="D384" i="24"/>
  <c r="BI383" i="24"/>
  <c r="BJ383" i="24" s="1"/>
  <c r="AT383" i="24"/>
  <c r="AU383" i="24" s="1"/>
  <c r="AE383" i="24"/>
  <c r="AF383" i="24" s="1"/>
  <c r="O383" i="24"/>
  <c r="N383" i="24"/>
  <c r="M383" i="24"/>
  <c r="L383" i="24"/>
  <c r="K383" i="24"/>
  <c r="J383" i="24"/>
  <c r="I383" i="24"/>
  <c r="H383" i="24"/>
  <c r="G383" i="24"/>
  <c r="F383" i="24"/>
  <c r="E383" i="24"/>
  <c r="D383" i="24"/>
  <c r="BI382" i="24"/>
  <c r="BJ382" i="24" s="1"/>
  <c r="AT382" i="24"/>
  <c r="AU382" i="24" s="1"/>
  <c r="AE382" i="24"/>
  <c r="AF382" i="24" s="1"/>
  <c r="P382" i="24"/>
  <c r="Q382" i="24" s="1"/>
  <c r="BI381" i="24"/>
  <c r="BJ381" i="24" s="1"/>
  <c r="AT381" i="24"/>
  <c r="AU381" i="24" s="1"/>
  <c r="AE381" i="24"/>
  <c r="AF381" i="24" s="1"/>
  <c r="P381" i="24"/>
  <c r="Q381" i="24" s="1"/>
  <c r="BI380" i="24"/>
  <c r="BJ380" i="24" s="1"/>
  <c r="AT380" i="24"/>
  <c r="AU380" i="24" s="1"/>
  <c r="AE380" i="24"/>
  <c r="AF380" i="24" s="1"/>
  <c r="P380" i="24"/>
  <c r="Q380" i="24" s="1"/>
  <c r="BI379" i="24"/>
  <c r="BJ379" i="24" s="1"/>
  <c r="AT379" i="24"/>
  <c r="AU379" i="24" s="1"/>
  <c r="AE379" i="24"/>
  <c r="AF379" i="24" s="1"/>
  <c r="P379" i="24"/>
  <c r="Q379" i="24" s="1"/>
  <c r="BI378" i="24"/>
  <c r="BJ378" i="24" s="1"/>
  <c r="AT378" i="24"/>
  <c r="AU378" i="24" s="1"/>
  <c r="AE378" i="24"/>
  <c r="AF378" i="24" s="1"/>
  <c r="P378" i="24"/>
  <c r="Q378" i="24" s="1"/>
  <c r="BI377" i="24"/>
  <c r="BJ377" i="24" s="1"/>
  <c r="AT377" i="24"/>
  <c r="AU377" i="24" s="1"/>
  <c r="AE377" i="24"/>
  <c r="AF377" i="24" s="1"/>
  <c r="P377" i="24"/>
  <c r="Q377" i="24" s="1"/>
  <c r="BI376" i="24"/>
  <c r="BJ376" i="24" s="1"/>
  <c r="AT376" i="24"/>
  <c r="AU376" i="24" s="1"/>
  <c r="AE376" i="24"/>
  <c r="AF376" i="24" s="1"/>
  <c r="P376" i="24"/>
  <c r="Q376" i="24" s="1"/>
  <c r="BI375" i="24"/>
  <c r="BJ375" i="24" s="1"/>
  <c r="AT375" i="24"/>
  <c r="AU375" i="24" s="1"/>
  <c r="AE375" i="24"/>
  <c r="AF375" i="24" s="1"/>
  <c r="P375" i="24"/>
  <c r="Q375" i="24" s="1"/>
  <c r="BI374" i="24"/>
  <c r="BJ374" i="24" s="1"/>
  <c r="AT374" i="24"/>
  <c r="AU374" i="24" s="1"/>
  <c r="AE374" i="24"/>
  <c r="AF374" i="24" s="1"/>
  <c r="P374" i="24"/>
  <c r="Q374" i="24" s="1"/>
  <c r="BI373" i="24"/>
  <c r="BJ373" i="24" s="1"/>
  <c r="AT373" i="24"/>
  <c r="AU373" i="24" s="1"/>
  <c r="AE373" i="24"/>
  <c r="AF373" i="24" s="1"/>
  <c r="P373" i="24"/>
  <c r="Q373" i="24" s="1"/>
  <c r="BI372" i="24"/>
  <c r="BJ372" i="24" s="1"/>
  <c r="AT372" i="24"/>
  <c r="AU372" i="24" s="1"/>
  <c r="AE372" i="24"/>
  <c r="AF372" i="24" s="1"/>
  <c r="O372" i="24"/>
  <c r="N372" i="24"/>
  <c r="M372" i="24"/>
  <c r="L372" i="24"/>
  <c r="K372" i="24"/>
  <c r="J372" i="24"/>
  <c r="I372" i="24"/>
  <c r="H372" i="24"/>
  <c r="G372" i="24"/>
  <c r="F372" i="24"/>
  <c r="E372" i="24"/>
  <c r="D372" i="24"/>
  <c r="BI371" i="24"/>
  <c r="BJ371" i="24" s="1"/>
  <c r="AT371" i="24"/>
  <c r="AU371" i="24" s="1"/>
  <c r="AE371" i="24"/>
  <c r="AF371" i="24" s="1"/>
  <c r="O371" i="24"/>
  <c r="N371" i="24"/>
  <c r="M371" i="24"/>
  <c r="L371" i="24"/>
  <c r="K371" i="24"/>
  <c r="J371" i="24"/>
  <c r="I371" i="24"/>
  <c r="H371" i="24"/>
  <c r="G371" i="24"/>
  <c r="F371" i="24"/>
  <c r="E371" i="24"/>
  <c r="D371" i="24"/>
  <c r="BI370" i="24"/>
  <c r="BJ370" i="24" s="1"/>
  <c r="AT370" i="24"/>
  <c r="AU370" i="24" s="1"/>
  <c r="AE370" i="24"/>
  <c r="AF370" i="24" s="1"/>
  <c r="O370" i="24"/>
  <c r="N370" i="24"/>
  <c r="M370" i="24"/>
  <c r="L370" i="24"/>
  <c r="K370" i="24"/>
  <c r="J370" i="24"/>
  <c r="I370" i="24"/>
  <c r="H370" i="24"/>
  <c r="G370" i="24"/>
  <c r="F370" i="24"/>
  <c r="E370" i="24"/>
  <c r="D370" i="24"/>
  <c r="BI369" i="24"/>
  <c r="BJ369" i="24" s="1"/>
  <c r="AT369" i="24"/>
  <c r="AU369" i="24" s="1"/>
  <c r="AE369" i="24"/>
  <c r="AF369" i="24" s="1"/>
  <c r="O369" i="24"/>
  <c r="N369" i="24"/>
  <c r="M369" i="24"/>
  <c r="L369" i="24"/>
  <c r="K369" i="24"/>
  <c r="J369" i="24"/>
  <c r="I369" i="24"/>
  <c r="H369" i="24"/>
  <c r="G369" i="24"/>
  <c r="F369" i="24"/>
  <c r="E369" i="24"/>
  <c r="D369" i="24"/>
  <c r="BI368" i="24"/>
  <c r="BJ368" i="24" s="1"/>
  <c r="AT368" i="24"/>
  <c r="AU368" i="24" s="1"/>
  <c r="AE368" i="24"/>
  <c r="AF368" i="24" s="1"/>
  <c r="O368" i="24"/>
  <c r="N368" i="24"/>
  <c r="M368" i="24"/>
  <c r="L368" i="24"/>
  <c r="K368" i="24"/>
  <c r="J368" i="24"/>
  <c r="I368" i="24"/>
  <c r="H368" i="24"/>
  <c r="G368" i="24"/>
  <c r="F368" i="24"/>
  <c r="E368" i="24"/>
  <c r="D368" i="24"/>
  <c r="BI367" i="24"/>
  <c r="BJ367" i="24" s="1"/>
  <c r="AT367" i="24"/>
  <c r="AU367" i="24" s="1"/>
  <c r="AE367" i="24"/>
  <c r="AF367" i="24" s="1"/>
  <c r="P367" i="24"/>
  <c r="Q367" i="24" s="1"/>
  <c r="BI366" i="24"/>
  <c r="BJ366" i="24" s="1"/>
  <c r="AT366" i="24"/>
  <c r="AU366" i="24" s="1"/>
  <c r="AE366" i="24"/>
  <c r="AF366" i="24" s="1"/>
  <c r="P366" i="24"/>
  <c r="Q366" i="24" s="1"/>
  <c r="BI365" i="24"/>
  <c r="BJ365" i="24" s="1"/>
  <c r="AT365" i="24"/>
  <c r="AU365" i="24" s="1"/>
  <c r="AE365" i="24"/>
  <c r="AF365" i="24" s="1"/>
  <c r="P365" i="24"/>
  <c r="Q365" i="24" s="1"/>
  <c r="BI364" i="24"/>
  <c r="BJ364" i="24" s="1"/>
  <c r="AT364" i="24"/>
  <c r="AU364" i="24" s="1"/>
  <c r="AE364" i="24"/>
  <c r="AF364" i="24" s="1"/>
  <c r="P364" i="24"/>
  <c r="Q364" i="24" s="1"/>
  <c r="BI362" i="24"/>
  <c r="BJ362" i="24" s="1"/>
  <c r="AT362" i="24"/>
  <c r="AU362" i="24" s="1"/>
  <c r="AE362" i="24"/>
  <c r="AF362" i="24" s="1"/>
  <c r="P362" i="24"/>
  <c r="Q362" i="24" s="1"/>
  <c r="BI361" i="24"/>
  <c r="BJ361" i="24" s="1"/>
  <c r="AT361" i="24"/>
  <c r="AU361" i="24" s="1"/>
  <c r="AE361" i="24"/>
  <c r="AF361" i="24" s="1"/>
  <c r="P361" i="24"/>
  <c r="Q361" i="24" s="1"/>
  <c r="BI360" i="24"/>
  <c r="BJ360" i="24" s="1"/>
  <c r="AT360" i="24"/>
  <c r="AU360" i="24" s="1"/>
  <c r="AE360" i="24"/>
  <c r="AF360" i="24" s="1"/>
  <c r="P360" i="24"/>
  <c r="Q360" i="24" s="1"/>
  <c r="BI359" i="24"/>
  <c r="BJ359" i="24" s="1"/>
  <c r="AT359" i="24"/>
  <c r="AU359" i="24" s="1"/>
  <c r="AD359" i="24"/>
  <c r="AC359" i="24"/>
  <c r="AB359" i="24"/>
  <c r="AA359" i="24"/>
  <c r="Z359" i="24"/>
  <c r="Y359" i="24"/>
  <c r="X359" i="24"/>
  <c r="W359" i="24"/>
  <c r="V359" i="24"/>
  <c r="U359" i="24"/>
  <c r="T359" i="24"/>
  <c r="S359" i="24"/>
  <c r="O359" i="24"/>
  <c r="N359" i="24"/>
  <c r="M359" i="24"/>
  <c r="L359" i="24"/>
  <c r="K359" i="24"/>
  <c r="J359" i="24"/>
  <c r="I359" i="24"/>
  <c r="H359" i="24"/>
  <c r="G359" i="24"/>
  <c r="F359" i="24"/>
  <c r="E359" i="24"/>
  <c r="D359" i="24"/>
  <c r="BI55" i="24"/>
  <c r="BO55" i="24" s="1"/>
  <c r="AT55" i="24"/>
  <c r="AU55" i="24" s="1"/>
  <c r="AE55" i="24"/>
  <c r="AF55" i="24" s="1"/>
  <c r="P55" i="24"/>
  <c r="Q55" i="24" s="1"/>
  <c r="BI54" i="24"/>
  <c r="BO54" i="24" s="1"/>
  <c r="AT54" i="24"/>
  <c r="AU54" i="24" s="1"/>
  <c r="AE54" i="24"/>
  <c r="AF54" i="24" s="1"/>
  <c r="P54" i="24"/>
  <c r="Q54" i="24" s="1"/>
  <c r="BI53" i="24"/>
  <c r="BO53" i="24" s="1"/>
  <c r="AT53" i="24"/>
  <c r="AU53" i="24" s="1"/>
  <c r="AE53" i="24"/>
  <c r="AF53" i="24" s="1"/>
  <c r="P53" i="24"/>
  <c r="Q53" i="24" s="1"/>
  <c r="BI52" i="24"/>
  <c r="AT52" i="24"/>
  <c r="AU52" i="24" s="1"/>
  <c r="AE52" i="24"/>
  <c r="AF52" i="24" s="1"/>
  <c r="P52" i="24"/>
  <c r="Q52" i="24" s="1"/>
  <c r="BI51" i="24"/>
  <c r="BO51" i="24" s="1"/>
  <c r="AT51" i="24"/>
  <c r="AU51" i="24" s="1"/>
  <c r="AE51" i="24"/>
  <c r="AF51" i="24" s="1"/>
  <c r="P51" i="24"/>
  <c r="Q51" i="24" s="1"/>
  <c r="BI50" i="24"/>
  <c r="BO50" i="24" s="1"/>
  <c r="AT50" i="24"/>
  <c r="AU50" i="24" s="1"/>
  <c r="AE50" i="24"/>
  <c r="AF50" i="24" s="1"/>
  <c r="P50" i="24"/>
  <c r="Q50" i="24" s="1"/>
  <c r="BI49" i="24"/>
  <c r="BO49" i="24" s="1"/>
  <c r="AT49" i="24"/>
  <c r="AU49" i="24" s="1"/>
  <c r="AE49" i="24"/>
  <c r="AF49" i="24" s="1"/>
  <c r="P49" i="24"/>
  <c r="Q49" i="24" s="1"/>
  <c r="BI48" i="24"/>
  <c r="BO48" i="24" s="1"/>
  <c r="AT48" i="24"/>
  <c r="AU48" i="24" s="1"/>
  <c r="AE48" i="24"/>
  <c r="AF48" i="24" s="1"/>
  <c r="P48" i="24"/>
  <c r="Q48" i="24" s="1"/>
  <c r="BI47" i="24"/>
  <c r="BO47" i="24" s="1"/>
  <c r="BI46" i="24"/>
  <c r="BO46" i="24" s="1"/>
  <c r="AT46" i="24"/>
  <c r="AU46" i="24" s="1"/>
  <c r="BI45" i="24"/>
  <c r="BO45" i="24" s="1"/>
  <c r="BI44" i="24"/>
  <c r="BO44" i="24" s="1"/>
  <c r="AT44" i="24"/>
  <c r="AU44" i="24" s="1"/>
  <c r="BI43" i="24"/>
  <c r="BO43" i="24" s="1"/>
  <c r="P43" i="24"/>
  <c r="Q43" i="24" s="1"/>
  <c r="BI42" i="24"/>
  <c r="BO42" i="24" s="1"/>
  <c r="AT42" i="24"/>
  <c r="AU42" i="24" s="1"/>
  <c r="AE42" i="24"/>
  <c r="AF42" i="24" s="1"/>
  <c r="P42" i="24"/>
  <c r="Q42" i="24" s="1"/>
  <c r="BI41" i="24"/>
  <c r="BO41" i="24" s="1"/>
  <c r="AT41" i="24"/>
  <c r="AU41" i="24" s="1"/>
  <c r="AE41" i="24"/>
  <c r="AF41" i="24" s="1"/>
  <c r="P41" i="24"/>
  <c r="Q41" i="24" s="1"/>
  <c r="BI40" i="24"/>
  <c r="BO40" i="24" s="1"/>
  <c r="AT40" i="24"/>
  <c r="AU40" i="24" s="1"/>
  <c r="AE40" i="24"/>
  <c r="AF40" i="24" s="1"/>
  <c r="P40" i="24"/>
  <c r="Q40" i="24" s="1"/>
  <c r="BI39" i="24"/>
  <c r="BO39" i="24" s="1"/>
  <c r="AT39" i="24"/>
  <c r="AU39" i="24" s="1"/>
  <c r="AE39" i="24"/>
  <c r="AF39" i="24" s="1"/>
  <c r="P39" i="24"/>
  <c r="Q39" i="24" s="1"/>
  <c r="BI38" i="24"/>
  <c r="BO38" i="24" s="1"/>
  <c r="AT38" i="24"/>
  <c r="AU38" i="24" s="1"/>
  <c r="AE38" i="24"/>
  <c r="AF38" i="24" s="1"/>
  <c r="P38" i="24"/>
  <c r="Q38" i="24" s="1"/>
  <c r="BI37" i="24"/>
  <c r="BO37" i="24" s="1"/>
  <c r="AT37" i="24"/>
  <c r="AU37" i="24" s="1"/>
  <c r="AE37" i="24"/>
  <c r="AF37" i="24" s="1"/>
  <c r="P37" i="24"/>
  <c r="Q37" i="24" s="1"/>
  <c r="BI36" i="24"/>
  <c r="BO36" i="24" s="1"/>
  <c r="AT36" i="24"/>
  <c r="AU36" i="24" s="1"/>
  <c r="AE36" i="24"/>
  <c r="AF36" i="24" s="1"/>
  <c r="P36" i="24"/>
  <c r="Q36" i="24" s="1"/>
  <c r="BI35" i="24"/>
  <c r="BO35" i="24" s="1"/>
  <c r="AT35" i="24"/>
  <c r="AU35" i="24" s="1"/>
  <c r="AE35" i="24"/>
  <c r="AF35" i="24" s="1"/>
  <c r="P35" i="24"/>
  <c r="Q35" i="24" s="1"/>
  <c r="BI34" i="24"/>
  <c r="BO34" i="24" s="1"/>
  <c r="AT34" i="24"/>
  <c r="AU34" i="24" s="1"/>
  <c r="AE34" i="24"/>
  <c r="AF34" i="24" s="1"/>
  <c r="P34" i="24"/>
  <c r="Q34" i="24" s="1"/>
  <c r="BI33" i="24"/>
  <c r="BO33" i="24" s="1"/>
  <c r="AT33" i="24"/>
  <c r="AU33" i="24" s="1"/>
  <c r="AE33" i="24"/>
  <c r="AF33" i="24" s="1"/>
  <c r="P33" i="24"/>
  <c r="Q33" i="24" s="1"/>
  <c r="BI32" i="24"/>
  <c r="BO32" i="24" s="1"/>
  <c r="P32" i="24"/>
  <c r="Q32" i="24" s="1"/>
  <c r="BI31" i="24"/>
  <c r="BO31" i="24" s="1"/>
  <c r="P31" i="24"/>
  <c r="Q31" i="24" s="1"/>
  <c r="BI30" i="24"/>
  <c r="BO30" i="24" s="1"/>
  <c r="AT30" i="24"/>
  <c r="AU30" i="24" s="1"/>
  <c r="BI29" i="24"/>
  <c r="BO29" i="24" s="1"/>
  <c r="BI28" i="24"/>
  <c r="BO28" i="24" s="1"/>
  <c r="AE28" i="24"/>
  <c r="AF28" i="24" s="1"/>
  <c r="BI27" i="24"/>
  <c r="BO27" i="24" s="1"/>
  <c r="AT27" i="24"/>
  <c r="AU27" i="24" s="1"/>
  <c r="AE27" i="24"/>
  <c r="AF27" i="24" s="1"/>
  <c r="P27" i="24"/>
  <c r="Q27" i="24" s="1"/>
  <c r="BI26" i="24"/>
  <c r="BO26" i="24" s="1"/>
  <c r="AT26" i="24"/>
  <c r="AU26" i="24" s="1"/>
  <c r="AE26" i="24"/>
  <c r="AF26" i="24" s="1"/>
  <c r="P26" i="24"/>
  <c r="Q26" i="24" s="1"/>
  <c r="BI25" i="24"/>
  <c r="BO25" i="24" s="1"/>
  <c r="AT25" i="24"/>
  <c r="AU25" i="24" s="1"/>
  <c r="AE25" i="24"/>
  <c r="AF25" i="24" s="1"/>
  <c r="P25" i="24"/>
  <c r="Q25" i="24" s="1"/>
  <c r="BI24" i="24"/>
  <c r="BO24" i="24" s="1"/>
  <c r="AT24" i="24"/>
  <c r="AU24" i="24" s="1"/>
  <c r="AE24" i="24"/>
  <c r="AF24" i="24" s="1"/>
  <c r="P24" i="24"/>
  <c r="Q24" i="24" s="1"/>
  <c r="BI23" i="24"/>
  <c r="BO23" i="24" s="1"/>
  <c r="AT23" i="24"/>
  <c r="AU23" i="24" s="1"/>
  <c r="AE23" i="24"/>
  <c r="AF23" i="24" s="1"/>
  <c r="P23" i="24"/>
  <c r="Q23" i="24" s="1"/>
  <c r="BI22" i="24"/>
  <c r="BO22" i="24" s="1"/>
  <c r="AT22" i="24"/>
  <c r="AU22" i="24" s="1"/>
  <c r="AE22" i="24"/>
  <c r="AF22" i="24" s="1"/>
  <c r="P22" i="24"/>
  <c r="Q22" i="24" s="1"/>
  <c r="BI21" i="24"/>
  <c r="BO21" i="24" s="1"/>
  <c r="AT21" i="24"/>
  <c r="AU21" i="24" s="1"/>
  <c r="AE21" i="24"/>
  <c r="AF21" i="24" s="1"/>
  <c r="P21" i="24"/>
  <c r="Q21" i="24" s="1"/>
  <c r="BI20" i="24"/>
  <c r="BO20" i="24" s="1"/>
  <c r="AT20" i="24"/>
  <c r="AU20" i="24" s="1"/>
  <c r="AE20" i="24"/>
  <c r="AF20" i="24" s="1"/>
  <c r="P20" i="24"/>
  <c r="Q20" i="24" s="1"/>
  <c r="BI19" i="24"/>
  <c r="BO19" i="24" s="1"/>
  <c r="AT19" i="24"/>
  <c r="AU19" i="24" s="1"/>
  <c r="AE19" i="24"/>
  <c r="AF19" i="24" s="1"/>
  <c r="P19" i="24"/>
  <c r="Q19" i="24" s="1"/>
  <c r="BI18" i="24"/>
  <c r="BO18" i="24" s="1"/>
  <c r="AT18" i="24"/>
  <c r="AU18" i="24" s="1"/>
  <c r="AE18" i="24"/>
  <c r="AF18" i="24" s="1"/>
  <c r="P18" i="24"/>
  <c r="Q18" i="24" s="1"/>
  <c r="BI17" i="24"/>
  <c r="BO17" i="24" s="1"/>
  <c r="BI16" i="24"/>
  <c r="BO16" i="24" s="1"/>
  <c r="BI15" i="24"/>
  <c r="BO15" i="24" s="1"/>
  <c r="BI14" i="24"/>
  <c r="BO14" i="24" s="1"/>
  <c r="AT14" i="24"/>
  <c r="AU14" i="24" s="1"/>
  <c r="BI13" i="24"/>
  <c r="BO13" i="24" s="1"/>
  <c r="AT13" i="24"/>
  <c r="AU13" i="24" s="1"/>
  <c r="P13" i="24"/>
  <c r="Q13" i="24" s="1"/>
  <c r="BI510" i="24"/>
  <c r="BO510" i="24" s="1"/>
  <c r="BI509" i="24"/>
  <c r="BO509" i="24" s="1"/>
  <c r="BI508" i="24"/>
  <c r="BO508" i="24" s="1"/>
  <c r="BI507" i="24"/>
  <c r="BO507" i="24" s="1"/>
  <c r="BI506" i="24"/>
  <c r="BO506" i="24" s="1"/>
  <c r="BI505" i="24"/>
  <c r="BO505" i="24" s="1"/>
  <c r="BI504" i="24"/>
  <c r="BO504" i="24" s="1"/>
  <c r="BI503" i="24"/>
  <c r="BO503" i="24" s="1"/>
  <c r="BI497" i="24"/>
  <c r="BO497" i="24" s="1"/>
  <c r="BI496" i="24"/>
  <c r="BO496" i="24" s="1"/>
  <c r="BI495" i="24"/>
  <c r="BO495" i="24" s="1"/>
  <c r="BI494" i="24"/>
  <c r="BO494" i="24" s="1"/>
  <c r="BI493" i="24"/>
  <c r="BO493" i="24" s="1"/>
  <c r="BI492" i="24"/>
  <c r="BO492" i="24" s="1"/>
  <c r="BI491" i="24"/>
  <c r="BO491" i="24" s="1"/>
  <c r="BI490" i="24"/>
  <c r="BO490" i="24" s="1"/>
  <c r="BI489" i="24"/>
  <c r="BO489" i="24" s="1"/>
  <c r="BI488" i="24"/>
  <c r="BO488" i="24" s="1"/>
  <c r="BI482" i="24"/>
  <c r="BO482" i="24" s="1"/>
  <c r="BI481" i="24"/>
  <c r="BO481" i="24" s="1"/>
  <c r="BI479" i="24"/>
  <c r="BO479" i="24" s="1"/>
  <c r="BI462" i="24"/>
  <c r="BJ462" i="24" s="1"/>
  <c r="BI461" i="24"/>
  <c r="BJ461" i="24" s="1"/>
  <c r="BI460" i="24"/>
  <c r="BJ460" i="24" s="1"/>
  <c r="BI459" i="24"/>
  <c r="BJ459" i="24" s="1"/>
  <c r="BI458" i="24"/>
  <c r="BJ458" i="24" s="1"/>
  <c r="BI457" i="24"/>
  <c r="BJ457" i="24" s="1"/>
  <c r="BI456" i="24"/>
  <c r="BJ456" i="24" s="1"/>
  <c r="BI455" i="24"/>
  <c r="BJ455" i="24" s="1"/>
  <c r="BI449" i="24"/>
  <c r="BJ449" i="24" s="1"/>
  <c r="BI448" i="24"/>
  <c r="BJ448" i="24" s="1"/>
  <c r="BI447" i="24"/>
  <c r="BJ447" i="24" s="1"/>
  <c r="BI446" i="24"/>
  <c r="BJ446" i="24" s="1"/>
  <c r="BI445" i="24"/>
  <c r="BJ445" i="24" s="1"/>
  <c r="BI444" i="24"/>
  <c r="BJ444" i="24" s="1"/>
  <c r="BI443" i="24"/>
  <c r="BJ443" i="24" s="1"/>
  <c r="BI442" i="24"/>
  <c r="BJ442" i="24" s="1"/>
  <c r="BI441" i="24"/>
  <c r="BJ441" i="24" s="1"/>
  <c r="BI440" i="24"/>
  <c r="BJ440" i="24" s="1"/>
  <c r="BI434" i="24"/>
  <c r="BJ434" i="24" s="1"/>
  <c r="BI433" i="24"/>
  <c r="BJ433" i="24" s="1"/>
  <c r="BI432" i="24"/>
  <c r="BJ432" i="24" s="1"/>
  <c r="BI431" i="24"/>
  <c r="BJ431" i="24" s="1"/>
  <c r="BI430" i="24"/>
  <c r="BJ430" i="24" s="1"/>
  <c r="BI429" i="24"/>
  <c r="BJ429" i="24" s="1"/>
  <c r="BI428" i="24"/>
  <c r="BJ428" i="24" s="1"/>
  <c r="BI427" i="24"/>
  <c r="BJ427" i="24" s="1"/>
  <c r="BI426" i="24"/>
  <c r="BJ426" i="24" s="1"/>
  <c r="BI425" i="24"/>
  <c r="BJ425" i="24" s="1"/>
  <c r="BI419" i="24"/>
  <c r="BJ419" i="24" s="1"/>
  <c r="BI418" i="24"/>
  <c r="BJ418" i="24" s="1"/>
  <c r="BI417" i="24"/>
  <c r="BJ417" i="24" s="1"/>
  <c r="BI416" i="24"/>
  <c r="BJ416" i="24" s="1"/>
  <c r="BI414" i="24"/>
  <c r="BJ414" i="24" s="1"/>
  <c r="BI413" i="24"/>
  <c r="BJ413" i="24" s="1"/>
  <c r="BI412" i="24"/>
  <c r="BJ412" i="24" s="1"/>
  <c r="BJ327" i="24"/>
  <c r="BJ326" i="24"/>
  <c r="BJ325" i="24"/>
  <c r="BJ324" i="24"/>
  <c r="BJ323" i="24"/>
  <c r="BJ322" i="24"/>
  <c r="BJ321" i="24"/>
  <c r="BJ320" i="24"/>
  <c r="BJ319" i="24"/>
  <c r="BJ318" i="24"/>
  <c r="BJ317" i="24"/>
  <c r="BJ316" i="24"/>
  <c r="BJ315" i="24"/>
  <c r="BJ314" i="24"/>
  <c r="BJ313" i="24"/>
  <c r="BJ312" i="24"/>
  <c r="BJ311" i="24"/>
  <c r="BJ310" i="24"/>
  <c r="BJ309" i="24"/>
  <c r="BJ308" i="24"/>
  <c r="BJ307" i="24"/>
  <c r="BJ306" i="24"/>
  <c r="BJ305" i="24"/>
  <c r="BJ304" i="24"/>
  <c r="BJ303" i="24"/>
  <c r="BJ302" i="24"/>
  <c r="BJ301" i="24"/>
  <c r="BJ300" i="24"/>
  <c r="BJ299" i="24"/>
  <c r="BJ298" i="24"/>
  <c r="BJ297" i="24"/>
  <c r="BJ296" i="24"/>
  <c r="BJ295" i="24"/>
  <c r="BJ294" i="24"/>
  <c r="BJ293" i="24"/>
  <c r="BJ292" i="24"/>
  <c r="BJ291" i="24"/>
  <c r="BJ290" i="24"/>
  <c r="BJ289" i="24"/>
  <c r="BJ288" i="24"/>
  <c r="BJ287" i="24"/>
  <c r="BJ286" i="24"/>
  <c r="BJ285" i="24"/>
  <c r="BJ283" i="24"/>
  <c r="BJ282" i="24"/>
  <c r="BJ280" i="24"/>
  <c r="BJ279" i="24"/>
  <c r="BJ278" i="24"/>
  <c r="BJ277" i="24"/>
  <c r="BJ276" i="24"/>
  <c r="BJ275" i="24"/>
  <c r="BJ274" i="24"/>
  <c r="BJ273" i="24"/>
  <c r="BJ272" i="24"/>
  <c r="BJ271" i="24"/>
  <c r="BJ270" i="24"/>
  <c r="BJ269" i="24"/>
  <c r="BJ268" i="24"/>
  <c r="BJ267" i="24"/>
  <c r="BJ266" i="24"/>
  <c r="BJ265" i="24"/>
  <c r="BJ264" i="24"/>
  <c r="BJ263" i="24"/>
  <c r="BJ262" i="24"/>
  <c r="BJ261" i="24"/>
  <c r="BJ260" i="24"/>
  <c r="BJ259" i="24"/>
  <c r="BJ258" i="24"/>
  <c r="BJ257" i="24"/>
  <c r="BJ256" i="24"/>
  <c r="BJ255" i="24"/>
  <c r="BJ254" i="24"/>
  <c r="BJ253" i="24"/>
  <c r="BJ252" i="24"/>
  <c r="BJ251" i="24"/>
  <c r="BJ250" i="24"/>
  <c r="BJ249" i="24"/>
  <c r="BJ248" i="24"/>
  <c r="BJ247" i="24"/>
  <c r="BJ246" i="24"/>
  <c r="BJ245" i="24"/>
  <c r="BJ244" i="24"/>
  <c r="BJ243" i="24"/>
  <c r="BJ242" i="24"/>
  <c r="BJ241" i="24"/>
  <c r="BJ240" i="24"/>
  <c r="BJ239" i="24"/>
  <c r="BJ238" i="24"/>
  <c r="BJ237" i="24"/>
  <c r="BJ235" i="24"/>
  <c r="BJ234" i="24"/>
  <c r="BJ232" i="24"/>
  <c r="BJ231" i="24"/>
  <c r="BJ230" i="24"/>
  <c r="BJ229" i="24"/>
  <c r="BJ228" i="24"/>
  <c r="BJ227" i="24"/>
  <c r="BJ226" i="24"/>
  <c r="BJ225" i="24"/>
  <c r="BJ224" i="24"/>
  <c r="BJ223" i="24"/>
  <c r="BJ222" i="24"/>
  <c r="BJ221" i="24"/>
  <c r="BJ220" i="24"/>
  <c r="BJ219" i="24"/>
  <c r="BJ218" i="24"/>
  <c r="BJ217" i="24"/>
  <c r="BJ216" i="24"/>
  <c r="BJ215" i="24"/>
  <c r="BJ214" i="24"/>
  <c r="BJ213" i="24"/>
  <c r="BJ212" i="24"/>
  <c r="BJ211" i="24"/>
  <c r="BJ210" i="24"/>
  <c r="BJ209" i="24"/>
  <c r="BJ208" i="24"/>
  <c r="BJ207" i="24"/>
  <c r="BJ206" i="24"/>
  <c r="BJ205" i="24"/>
  <c r="BJ204" i="24"/>
  <c r="BJ202" i="24"/>
  <c r="BJ201" i="24"/>
  <c r="BJ199" i="24"/>
  <c r="BJ198" i="24"/>
  <c r="BJ196" i="24"/>
  <c r="BJ195" i="24"/>
  <c r="BJ194" i="24"/>
  <c r="BJ193" i="24"/>
  <c r="BJ192" i="24"/>
  <c r="BJ191" i="24"/>
  <c r="BJ190" i="24"/>
  <c r="BJ189" i="24"/>
  <c r="BJ188" i="24"/>
  <c r="BJ187" i="24"/>
  <c r="BJ186" i="24"/>
  <c r="BJ185" i="24"/>
  <c r="BJ184" i="24"/>
  <c r="BJ183" i="24"/>
  <c r="BJ182" i="24"/>
  <c r="BJ181" i="24"/>
  <c r="BJ180" i="24"/>
  <c r="BJ179" i="24"/>
  <c r="BJ178" i="24"/>
  <c r="BJ177" i="24"/>
  <c r="BJ176" i="24"/>
  <c r="BJ175" i="24"/>
  <c r="BJ174" i="24"/>
  <c r="BJ173" i="24"/>
  <c r="BJ172" i="24"/>
  <c r="BJ171" i="24"/>
  <c r="BJ170" i="24"/>
  <c r="BJ169" i="24"/>
  <c r="BJ168" i="24"/>
  <c r="BJ167" i="24"/>
  <c r="BJ166" i="24"/>
  <c r="BJ165" i="24"/>
  <c r="BJ164" i="24"/>
  <c r="BJ163" i="24"/>
  <c r="BJ162" i="24"/>
  <c r="BJ161" i="24"/>
  <c r="BJ160" i="24"/>
  <c r="BJ159" i="24"/>
  <c r="BJ158" i="24"/>
  <c r="BJ157" i="24"/>
  <c r="BJ156" i="24"/>
  <c r="BJ155" i="24"/>
  <c r="BJ154" i="24"/>
  <c r="BJ153" i="24"/>
  <c r="BJ152" i="24"/>
  <c r="BJ151" i="24"/>
  <c r="BJ150" i="24"/>
  <c r="BJ149" i="24"/>
  <c r="BJ148" i="24"/>
  <c r="BJ147" i="24"/>
  <c r="BJ146" i="24"/>
  <c r="BJ144" i="24"/>
  <c r="BJ143" i="24"/>
  <c r="BJ142" i="24"/>
  <c r="BJ141" i="24"/>
  <c r="BI137" i="24"/>
  <c r="BO137" i="24" s="1"/>
  <c r="BI136" i="24"/>
  <c r="BO136" i="24" s="1"/>
  <c r="BI134" i="24"/>
  <c r="BO134" i="24" s="1"/>
  <c r="BI133" i="24"/>
  <c r="BO133" i="24" s="1"/>
  <c r="BI132" i="24"/>
  <c r="BO132" i="24" s="1"/>
  <c r="BI131" i="24"/>
  <c r="BO131" i="24" s="1"/>
  <c r="BI130" i="24"/>
  <c r="BO130" i="24" s="1"/>
  <c r="BI111" i="24"/>
  <c r="BO111" i="24" s="1"/>
  <c r="BI110" i="24"/>
  <c r="BO110" i="24" s="1"/>
  <c r="BI109" i="24"/>
  <c r="BO109" i="24" s="1"/>
  <c r="BI108" i="24"/>
  <c r="BO108" i="24" s="1"/>
  <c r="BI107" i="24"/>
  <c r="BO107" i="24" s="1"/>
  <c r="BI106" i="24"/>
  <c r="BO106" i="24" s="1"/>
  <c r="BI105" i="24"/>
  <c r="BO105" i="24" s="1"/>
  <c r="BI104" i="24"/>
  <c r="BO104" i="24" s="1"/>
  <c r="BI103" i="24"/>
  <c r="BO103" i="24" s="1"/>
  <c r="BI102" i="24"/>
  <c r="BO102" i="24" s="1"/>
  <c r="BI101" i="24"/>
  <c r="BO101" i="24" s="1"/>
  <c r="BI100" i="24"/>
  <c r="BO100" i="24" s="1"/>
  <c r="BI99" i="24"/>
  <c r="BO99" i="24" s="1"/>
  <c r="BI98" i="24"/>
  <c r="BO98" i="24" s="1"/>
  <c r="BI97" i="24"/>
  <c r="BO97" i="24" s="1"/>
  <c r="BI96" i="24"/>
  <c r="BO96" i="24" s="1"/>
  <c r="BI95" i="24"/>
  <c r="BO95" i="24" s="1"/>
  <c r="BI94" i="24"/>
  <c r="BO94" i="24" s="1"/>
  <c r="BI93" i="24"/>
  <c r="BO93" i="24" s="1"/>
  <c r="BI92" i="24"/>
  <c r="BO92" i="24" s="1"/>
  <c r="BI91" i="24"/>
  <c r="BO91" i="24" s="1"/>
  <c r="BI90" i="24"/>
  <c r="BO90" i="24" s="1"/>
  <c r="BI89" i="24"/>
  <c r="BO89" i="24" s="1"/>
  <c r="BI88" i="24"/>
  <c r="BO88" i="24" s="1"/>
  <c r="BI87" i="24"/>
  <c r="BO87" i="24" s="1"/>
  <c r="BI86" i="24"/>
  <c r="BO86" i="24" s="1"/>
  <c r="BI85" i="24"/>
  <c r="BO85" i="24" s="1"/>
  <c r="BI84" i="24"/>
  <c r="BO84" i="24" s="1"/>
  <c r="BI83" i="24"/>
  <c r="BO83" i="24" s="1"/>
  <c r="BI82" i="24"/>
  <c r="BO82" i="24" s="1"/>
  <c r="BI81" i="24"/>
  <c r="BO81" i="24" s="1"/>
  <c r="BI80" i="24"/>
  <c r="BO80" i="24" s="1"/>
  <c r="BI79" i="24"/>
  <c r="BO79" i="24" s="1"/>
  <c r="BI78" i="24"/>
  <c r="BO78" i="24" s="1"/>
  <c r="BI77" i="24"/>
  <c r="BO77" i="24" s="1"/>
  <c r="BI76" i="24"/>
  <c r="BO76" i="24" s="1"/>
  <c r="BI75" i="24"/>
  <c r="BO75" i="24" s="1"/>
  <c r="BI74" i="24"/>
  <c r="BO74" i="24" s="1"/>
  <c r="BI73" i="24"/>
  <c r="BO73" i="24" s="1"/>
  <c r="BI72" i="24"/>
  <c r="BO72" i="24" s="1"/>
  <c r="BI71" i="24"/>
  <c r="BO71" i="24" s="1"/>
  <c r="BI70" i="24"/>
  <c r="BO70" i="24" s="1"/>
  <c r="BI69" i="24"/>
  <c r="BO69" i="24" s="1"/>
  <c r="BI68" i="24"/>
  <c r="BO68" i="24" s="1"/>
  <c r="BI67" i="24"/>
  <c r="BO67" i="24" s="1"/>
  <c r="BI66" i="24"/>
  <c r="BO66" i="24" s="1"/>
  <c r="BI65" i="24"/>
  <c r="BO65" i="24" s="1"/>
  <c r="BI63" i="24"/>
  <c r="BO63" i="24" s="1"/>
  <c r="BI62" i="24"/>
  <c r="BO62" i="24" s="1"/>
  <c r="BI60" i="24"/>
  <c r="BO60" i="24" s="1"/>
  <c r="BI59" i="24"/>
  <c r="BO59" i="24" s="1"/>
  <c r="BI57" i="24"/>
  <c r="BO57" i="24" s="1"/>
  <c r="BI56" i="24"/>
  <c r="BO56" i="24" s="1"/>
  <c r="BI12" i="24"/>
  <c r="BO12" i="24" s="1"/>
  <c r="BI11" i="24"/>
  <c r="BO11" i="24" s="1"/>
  <c r="BI10" i="24"/>
  <c r="BO10" i="24" s="1"/>
  <c r="BI9" i="24"/>
  <c r="BO9" i="24" s="1"/>
  <c r="BI7" i="24"/>
  <c r="BO7" i="24" s="1"/>
  <c r="BI6" i="24"/>
  <c r="BO6" i="24" s="1"/>
  <c r="BI5" i="24"/>
  <c r="BO5" i="24" s="1"/>
  <c r="BI4" i="24"/>
  <c r="BO4" i="24" s="1"/>
  <c r="BI60" i="25"/>
  <c r="BN60" i="25" s="1"/>
  <c r="BI58" i="25"/>
  <c r="BN58" i="25" s="1"/>
  <c r="BJ57" i="25"/>
  <c r="BM57" i="25" s="1"/>
  <c r="BI53" i="25"/>
  <c r="BN53" i="25" s="1"/>
  <c r="BI51" i="25"/>
  <c r="BN51" i="25" s="1"/>
  <c r="BJ50" i="25"/>
  <c r="BM50" i="25" s="1"/>
  <c r="BJ43" i="25"/>
  <c r="BM43" i="25" s="1"/>
  <c r="BI36" i="25"/>
  <c r="BN36" i="25" s="1"/>
  <c r="BI35" i="25"/>
  <c r="BN35" i="25" s="1"/>
  <c r="BM34" i="25"/>
  <c r="BI31" i="25"/>
  <c r="BN31" i="25" s="1"/>
  <c r="BI30" i="25"/>
  <c r="BN30" i="25" s="1"/>
  <c r="BI28" i="25"/>
  <c r="BN28" i="25" s="1"/>
  <c r="BI27" i="25"/>
  <c r="BN27" i="25" s="1"/>
  <c r="BI26" i="25"/>
  <c r="BN26" i="25" s="1"/>
  <c r="BI25" i="25"/>
  <c r="BN25" i="25" s="1"/>
  <c r="BI24" i="25"/>
  <c r="BN24" i="25" s="1"/>
  <c r="BM23" i="25"/>
  <c r="BI22" i="25"/>
  <c r="BN22" i="25" s="1"/>
  <c r="BI21" i="25"/>
  <c r="BN21" i="25" s="1"/>
  <c r="BI20" i="25"/>
  <c r="BN20" i="25" s="1"/>
  <c r="BI18" i="25"/>
  <c r="BN18" i="25" s="1"/>
  <c r="BI17" i="25"/>
  <c r="BN17" i="25" s="1"/>
  <c r="BI16" i="25"/>
  <c r="BN16" i="25" s="1"/>
  <c r="BI15" i="25"/>
  <c r="BN15" i="25" s="1"/>
  <c r="BI14" i="25"/>
  <c r="BN14" i="25" s="1"/>
  <c r="BM13" i="25"/>
  <c r="BI11" i="25"/>
  <c r="BN11" i="25" s="1"/>
  <c r="Y37" i="44" a="1"/>
  <c r="E24" i="44" a="1"/>
  <c r="V31" i="16" a="1"/>
  <c r="S12" i="44" a="1"/>
  <c r="R20" i="44" a="1"/>
  <c r="U12" i="44" a="1"/>
  <c r="S11" i="44" a="1"/>
  <c r="E14" i="44" a="1"/>
  <c r="V35" i="16" a="1"/>
  <c r="R13" i="44" a="1"/>
  <c r="V34" i="16" a="1"/>
  <c r="R19" i="44" a="1"/>
  <c r="V41" i="16" a="1"/>
  <c r="E36" i="44" a="1"/>
  <c r="V49" i="16" a="1"/>
  <c r="E21" i="44" a="1"/>
  <c r="V11" i="44" a="1"/>
  <c r="S19" i="44" a="1"/>
  <c r="S18" i="44" a="1"/>
  <c r="V32" i="16" a="1"/>
  <c r="E17" i="44" a="1"/>
  <c r="R18" i="44" a="1"/>
  <c r="V44" i="15" a="1"/>
  <c r="Y34" i="16" a="1"/>
  <c r="Y23" i="44" a="1"/>
  <c r="V30" i="16" a="1"/>
  <c r="V68" i="15" a="1"/>
  <c r="E13" i="44" a="1"/>
  <c r="AA49" i="16" a="1"/>
  <c r="T7" i="17" a="1"/>
  <c r="R12" i="44" a="1"/>
  <c r="S13" i="44" a="1"/>
  <c r="V51" i="15" a="1"/>
  <c r="AB49" i="16" a="1"/>
  <c r="U11" i="44" a="1"/>
  <c r="E31" i="44" a="1"/>
  <c r="V12" i="44" a="1"/>
  <c r="E22" i="44" a="1"/>
  <c r="V20" i="44" a="1"/>
  <c r="E30" i="44" a="1"/>
  <c r="U20" i="44" a="1"/>
  <c r="E12" i="44" a="1"/>
  <c r="Y22" i="44" a="1"/>
  <c r="E23" i="44" a="1"/>
  <c r="V13" i="44" a="1"/>
  <c r="S20" i="44" a="1"/>
  <c r="E34" i="44" a="1"/>
  <c r="V33" i="16" a="1"/>
  <c r="E11" i="44" a="1"/>
  <c r="U13" i="44" a="1"/>
  <c r="R11" i="44" a="1"/>
  <c r="E33" i="44" a="1"/>
  <c r="BO52" i="24" l="1"/>
  <c r="BO407" i="24"/>
  <c r="BO384" i="24"/>
  <c r="BO361" i="24"/>
  <c r="BO375" i="24"/>
  <c r="BO379" i="24"/>
  <c r="BO359" i="24"/>
  <c r="BO398" i="24"/>
  <c r="BO362" i="24"/>
  <c r="BO369" i="24"/>
  <c r="BO385" i="24"/>
  <c r="BO390" i="24"/>
  <c r="BO394" i="24"/>
  <c r="BO399" i="24"/>
  <c r="BO405" i="24"/>
  <c r="BO409" i="24"/>
  <c r="BO364" i="24"/>
  <c r="BO370" i="24"/>
  <c r="BO400" i="24"/>
  <c r="BO383" i="24"/>
  <c r="BO365" i="24"/>
  <c r="BO371" i="24"/>
  <c r="BO386" i="24"/>
  <c r="BO366" i="24"/>
  <c r="BO372" i="24"/>
  <c r="BO376" i="24"/>
  <c r="BO380" i="24"/>
  <c r="BO401" i="24"/>
  <c r="BO368" i="24"/>
  <c r="BO367" i="24"/>
  <c r="BO387" i="24"/>
  <c r="BO391" i="24"/>
  <c r="BO395" i="24"/>
  <c r="BO402" i="24"/>
  <c r="BO406" i="24"/>
  <c r="BO410" i="24"/>
  <c r="BO373" i="24"/>
  <c r="BO377" i="24"/>
  <c r="BO381" i="24"/>
  <c r="BO388" i="24"/>
  <c r="BO392" i="24"/>
  <c r="BO396" i="24"/>
  <c r="BO403" i="24"/>
  <c r="BO374" i="24"/>
  <c r="BO378" i="24"/>
  <c r="BO382" i="24"/>
  <c r="BO360" i="24"/>
  <c r="BO389" i="24"/>
  <c r="BO393" i="24"/>
  <c r="BO397" i="24"/>
  <c r="BO404" i="24"/>
  <c r="BO408" i="24"/>
  <c r="BB17" i="43"/>
  <c r="BC17" i="43" s="1"/>
  <c r="BP359" i="24"/>
  <c r="BJ99" i="24"/>
  <c r="BP479" i="24"/>
  <c r="BP482" i="24"/>
  <c r="BJ87" i="24"/>
  <c r="BJ10" i="24"/>
  <c r="BJ72" i="24"/>
  <c r="BJ88" i="24"/>
  <c r="BJ104" i="24"/>
  <c r="BJ132" i="24"/>
  <c r="BJ98" i="24"/>
  <c r="BP363" i="24"/>
  <c r="BJ73" i="24"/>
  <c r="BJ89" i="24"/>
  <c r="BJ105" i="24"/>
  <c r="BJ133" i="24"/>
  <c r="BJ83" i="24"/>
  <c r="BJ86" i="24"/>
  <c r="BJ9" i="24"/>
  <c r="BJ74" i="24"/>
  <c r="BJ90" i="24"/>
  <c r="BJ106" i="24"/>
  <c r="BJ134" i="24"/>
  <c r="BJ84" i="24"/>
  <c r="BJ102" i="24"/>
  <c r="BJ75" i="24"/>
  <c r="BJ91" i="24"/>
  <c r="BJ107" i="24"/>
  <c r="BJ136" i="24"/>
  <c r="BJ7" i="24"/>
  <c r="BJ76" i="24"/>
  <c r="BJ92" i="24"/>
  <c r="BJ108" i="24"/>
  <c r="BJ137" i="24"/>
  <c r="BJ71" i="24"/>
  <c r="BJ77" i="24"/>
  <c r="BJ93" i="24"/>
  <c r="BJ109" i="24"/>
  <c r="BJ60" i="24"/>
  <c r="BJ78" i="24"/>
  <c r="BJ94" i="24"/>
  <c r="BJ110" i="24"/>
  <c r="BJ67" i="24"/>
  <c r="BJ62" i="24"/>
  <c r="BJ79" i="24"/>
  <c r="BJ95" i="24"/>
  <c r="BJ111" i="24"/>
  <c r="BJ96" i="24"/>
  <c r="BJ66" i="24"/>
  <c r="BJ82" i="24"/>
  <c r="BJ68" i="24"/>
  <c r="BJ100" i="24"/>
  <c r="BP481" i="24"/>
  <c r="BJ69" i="24"/>
  <c r="BJ85" i="24"/>
  <c r="BJ101" i="24"/>
  <c r="BJ70" i="24"/>
  <c r="BJ103" i="24"/>
  <c r="BJ131" i="24"/>
  <c r="BJ63" i="24"/>
  <c r="BJ80" i="24"/>
  <c r="BJ65" i="24"/>
  <c r="BJ81" i="24"/>
  <c r="BJ97" i="24"/>
  <c r="E14" i="44"/>
  <c r="E21" i="44"/>
  <c r="Y37" i="44"/>
  <c r="E17" i="44"/>
  <c r="BJ6" i="24"/>
  <c r="BP361" i="24"/>
  <c r="E13" i="44"/>
  <c r="E12" i="44"/>
  <c r="E11" i="44"/>
  <c r="E24" i="44"/>
  <c r="E23" i="44"/>
  <c r="E22" i="44"/>
  <c r="BB30" i="43"/>
  <c r="BB29" i="43"/>
  <c r="BB39" i="43"/>
  <c r="BB38" i="43"/>
  <c r="BB37" i="43"/>
  <c r="BB36" i="43"/>
  <c r="BB35" i="43"/>
  <c r="BC35" i="43" s="1"/>
  <c r="BB33" i="43"/>
  <c r="BB32" i="43"/>
  <c r="BB31" i="43"/>
  <c r="BB28" i="43"/>
  <c r="BB5" i="43"/>
  <c r="BC5" i="43" s="1"/>
  <c r="BJ60" i="25"/>
  <c r="BM60" i="25" s="1"/>
  <c r="BJ53" i="25"/>
  <c r="BM53" i="25" s="1"/>
  <c r="P368" i="24"/>
  <c r="Q368" i="24" s="1"/>
  <c r="P386" i="24"/>
  <c r="Q386" i="24" s="1"/>
  <c r="P371" i="24"/>
  <c r="Q371" i="24" s="1"/>
  <c r="AA49" i="16"/>
  <c r="V34" i="16"/>
  <c r="Y34" i="16"/>
  <c r="AB49" i="16"/>
  <c r="V49" i="16"/>
  <c r="BJ12" i="24"/>
  <c r="BP364" i="24"/>
  <c r="BJ504" i="24"/>
  <c r="BP504" i="24"/>
  <c r="BJ55" i="24"/>
  <c r="BN55" i="24" s="1"/>
  <c r="BP406" i="24"/>
  <c r="BJ47" i="24"/>
  <c r="BP398" i="24"/>
  <c r="BJ56" i="24"/>
  <c r="BP407" i="24"/>
  <c r="BJ479" i="24"/>
  <c r="BJ505" i="24"/>
  <c r="BP505" i="24"/>
  <c r="BJ51" i="24"/>
  <c r="BN51" i="24" s="1"/>
  <c r="BP402" i="24"/>
  <c r="BJ57" i="24"/>
  <c r="BP408" i="24"/>
  <c r="BJ481" i="24"/>
  <c r="BJ506" i="24"/>
  <c r="BP506" i="24"/>
  <c r="BJ18" i="24"/>
  <c r="BN18" i="24" s="1"/>
  <c r="BP369" i="24"/>
  <c r="BJ22" i="24"/>
  <c r="BN22" i="24" s="1"/>
  <c r="BP373" i="24"/>
  <c r="BJ26" i="24"/>
  <c r="BN26" i="24" s="1"/>
  <c r="BP377" i="24"/>
  <c r="BJ59" i="24"/>
  <c r="BP410" i="24"/>
  <c r="BJ482" i="24"/>
  <c r="BJ507" i="24"/>
  <c r="BP507" i="24"/>
  <c r="BJ33" i="24"/>
  <c r="BN33" i="24" s="1"/>
  <c r="BP384" i="24"/>
  <c r="BJ37" i="24"/>
  <c r="BN37" i="24" s="1"/>
  <c r="BP388" i="24"/>
  <c r="BJ41" i="24"/>
  <c r="BN41" i="24" s="1"/>
  <c r="BP392" i="24"/>
  <c r="BJ48" i="24"/>
  <c r="BN48" i="24" s="1"/>
  <c r="BP399" i="24"/>
  <c r="BJ52" i="24"/>
  <c r="BN52" i="24" s="1"/>
  <c r="BP403" i="24"/>
  <c r="BJ508" i="24"/>
  <c r="BP508" i="24"/>
  <c r="BJ503" i="24"/>
  <c r="BP503" i="24"/>
  <c r="BJ32" i="24"/>
  <c r="BP383" i="24"/>
  <c r="BJ488" i="24"/>
  <c r="BP488" i="24"/>
  <c r="BJ509" i="24"/>
  <c r="BP509" i="24"/>
  <c r="BJ36" i="24"/>
  <c r="BN36" i="24" s="1"/>
  <c r="BP387" i="24"/>
  <c r="BJ489" i="24"/>
  <c r="BP489" i="24"/>
  <c r="BJ510" i="24"/>
  <c r="BP510" i="24"/>
  <c r="BJ19" i="24"/>
  <c r="BN19" i="24" s="1"/>
  <c r="BP370" i="24"/>
  <c r="BJ23" i="24"/>
  <c r="BN23" i="24" s="1"/>
  <c r="BP374" i="24"/>
  <c r="BJ27" i="24"/>
  <c r="BN27" i="24" s="1"/>
  <c r="BP378" i="24"/>
  <c r="BJ40" i="24"/>
  <c r="BN40" i="24" s="1"/>
  <c r="BP391" i="24"/>
  <c r="BP464" i="24"/>
  <c r="BJ490" i="24"/>
  <c r="BP490" i="24"/>
  <c r="BJ34" i="24"/>
  <c r="BN34" i="24" s="1"/>
  <c r="BP385" i="24"/>
  <c r="BJ38" i="24"/>
  <c r="BN38" i="24" s="1"/>
  <c r="BP389" i="24"/>
  <c r="BJ42" i="24"/>
  <c r="BN42" i="24" s="1"/>
  <c r="BP393" i="24"/>
  <c r="BJ49" i="24"/>
  <c r="BN49" i="24" s="1"/>
  <c r="BP400" i="24"/>
  <c r="BJ4" i="24"/>
  <c r="BP465" i="24"/>
  <c r="BJ491" i="24"/>
  <c r="BP491" i="24"/>
  <c r="BJ28" i="24"/>
  <c r="BP379" i="24"/>
  <c r="BJ53" i="24"/>
  <c r="BN53" i="24" s="1"/>
  <c r="BP404" i="24"/>
  <c r="BJ5" i="24"/>
  <c r="BP360" i="24"/>
  <c r="BP467" i="24"/>
  <c r="BJ492" i="24"/>
  <c r="BP492" i="24"/>
  <c r="BJ13" i="24"/>
  <c r="BN13" i="24" s="1"/>
  <c r="BP365" i="24"/>
  <c r="BJ29" i="24"/>
  <c r="BP380" i="24"/>
  <c r="BJ43" i="24"/>
  <c r="BP394" i="24"/>
  <c r="BP468" i="24"/>
  <c r="BJ493" i="24"/>
  <c r="BP493" i="24"/>
  <c r="BJ20" i="24"/>
  <c r="BN20" i="24" s="1"/>
  <c r="BP371" i="24"/>
  <c r="BJ24" i="24"/>
  <c r="BN24" i="24" s="1"/>
  <c r="BP375" i="24"/>
  <c r="BJ494" i="24"/>
  <c r="BP494" i="24"/>
  <c r="BJ14" i="24"/>
  <c r="BN14" i="24" s="1"/>
  <c r="BJ30" i="24"/>
  <c r="BN30" i="24" s="1"/>
  <c r="BP381" i="24"/>
  <c r="BJ35" i="24"/>
  <c r="BN35" i="24" s="1"/>
  <c r="BP386" i="24"/>
  <c r="BJ39" i="24"/>
  <c r="BN39" i="24" s="1"/>
  <c r="BP390" i="24"/>
  <c r="BJ44" i="24"/>
  <c r="BN44" i="24" s="1"/>
  <c r="BP395" i="24"/>
  <c r="BJ50" i="24"/>
  <c r="BN50" i="24" s="1"/>
  <c r="BP401" i="24"/>
  <c r="BP469" i="24"/>
  <c r="BJ495" i="24"/>
  <c r="BP495" i="24"/>
  <c r="BJ15" i="24"/>
  <c r="BP366" i="24"/>
  <c r="BJ45" i="24"/>
  <c r="BP396" i="24"/>
  <c r="BJ54" i="24"/>
  <c r="BN54" i="24" s="1"/>
  <c r="BP405" i="24"/>
  <c r="BJ496" i="24"/>
  <c r="BP496" i="24"/>
  <c r="BJ16" i="24"/>
  <c r="BP367" i="24"/>
  <c r="BJ31" i="24"/>
  <c r="BP382" i="24"/>
  <c r="BJ11" i="24"/>
  <c r="BP362" i="24"/>
  <c r="BJ497" i="24"/>
  <c r="BP497" i="24"/>
  <c r="BJ17" i="24"/>
  <c r="BP368" i="24"/>
  <c r="BJ21" i="24"/>
  <c r="BN21" i="24" s="1"/>
  <c r="BP372" i="24"/>
  <c r="BJ25" i="24"/>
  <c r="BN25" i="24" s="1"/>
  <c r="BP376" i="24"/>
  <c r="BJ46" i="24"/>
  <c r="BN46" i="24" s="1"/>
  <c r="BP397" i="24"/>
  <c r="T7" i="17"/>
  <c r="V13" i="44"/>
  <c r="V12" i="44"/>
  <c r="V11" i="44"/>
  <c r="Y23" i="44"/>
  <c r="Y22" i="44"/>
  <c r="V20" i="44"/>
  <c r="AX11" i="43"/>
  <c r="BA11" i="43" s="1"/>
  <c r="AX10" i="43"/>
  <c r="BA10" i="43" s="1"/>
  <c r="AX9" i="43"/>
  <c r="BA9" i="43" s="1"/>
  <c r="AX18" i="43"/>
  <c r="BA18" i="43" s="1"/>
  <c r="V41" i="16"/>
  <c r="V35" i="16"/>
  <c r="V51" i="15"/>
  <c r="V68" i="15"/>
  <c r="V33" i="16"/>
  <c r="V32" i="16"/>
  <c r="V31" i="16"/>
  <c r="V30" i="16"/>
  <c r="V44" i="15"/>
  <c r="BJ58" i="25"/>
  <c r="BM58" i="25" s="1"/>
  <c r="BJ51" i="25"/>
  <c r="R18" i="44"/>
  <c r="S11" i="44"/>
  <c r="R13" i="44"/>
  <c r="R12" i="44"/>
  <c r="R11" i="44"/>
  <c r="S20" i="44"/>
  <c r="S19" i="44"/>
  <c r="S18" i="44"/>
  <c r="R20" i="44"/>
  <c r="S13" i="44"/>
  <c r="R19" i="44"/>
  <c r="S12" i="44"/>
  <c r="U20" i="44"/>
  <c r="U13" i="44"/>
  <c r="U12" i="44"/>
  <c r="U11" i="44"/>
  <c r="E30" i="44"/>
  <c r="E36" i="44"/>
  <c r="E31" i="44"/>
  <c r="E34" i="44"/>
  <c r="E33" i="44"/>
  <c r="P359" i="24"/>
  <c r="Q359" i="24" s="1"/>
  <c r="P385" i="24"/>
  <c r="Q385" i="24" s="1"/>
  <c r="P384" i="24"/>
  <c r="Q384" i="24" s="1"/>
  <c r="P387" i="24"/>
  <c r="Q387" i="24" s="1"/>
  <c r="P369" i="24"/>
  <c r="Q369" i="24" s="1"/>
  <c r="P399" i="24"/>
  <c r="Q399" i="24" s="1"/>
  <c r="P372" i="24"/>
  <c r="Q372" i="24" s="1"/>
  <c r="P398" i="24"/>
  <c r="Q398" i="24" s="1"/>
  <c r="P400" i="24"/>
  <c r="Q400" i="24" s="1"/>
  <c r="AE359" i="24"/>
  <c r="AF359" i="24" s="1"/>
  <c r="P370" i="24"/>
  <c r="Q370" i="24" s="1"/>
  <c r="P401" i="24"/>
  <c r="Q401" i="24" s="1"/>
  <c r="P383" i="24"/>
  <c r="Q383" i="24" s="1"/>
  <c r="P402" i="24"/>
  <c r="Q402" i="24" s="1"/>
  <c r="BI450" i="24"/>
  <c r="BJ450" i="24" s="1"/>
  <c r="AE14" i="24"/>
  <c r="AF14" i="24" s="1"/>
  <c r="P29" i="24"/>
  <c r="Q29" i="24" s="1"/>
  <c r="AE31" i="24"/>
  <c r="AF31" i="24" s="1"/>
  <c r="P14" i="24"/>
  <c r="Q14" i="24" s="1"/>
  <c r="P15" i="24"/>
  <c r="Q15" i="24" s="1"/>
  <c r="AT17" i="24"/>
  <c r="AU17" i="24" s="1"/>
  <c r="AE47" i="24"/>
  <c r="AF47" i="24" s="1"/>
  <c r="P16" i="24"/>
  <c r="Q16" i="24" s="1"/>
  <c r="AT47" i="24"/>
  <c r="AU47" i="24" s="1"/>
  <c r="AE16" i="24"/>
  <c r="AF16" i="24" s="1"/>
  <c r="P30" i="24"/>
  <c r="Q30" i="24" s="1"/>
  <c r="AT43" i="24"/>
  <c r="AU43" i="24" s="1"/>
  <c r="AE43" i="24"/>
  <c r="AF43" i="24" s="1"/>
  <c r="AE17" i="24"/>
  <c r="AF17" i="24" s="1"/>
  <c r="AT28" i="24"/>
  <c r="AU28" i="24" s="1"/>
  <c r="P47" i="24"/>
  <c r="Q47" i="24" s="1"/>
  <c r="BI424" i="24"/>
  <c r="BJ424" i="24" s="1"/>
  <c r="BI437" i="24"/>
  <c r="BJ437" i="24" s="1"/>
  <c r="AE32" i="24"/>
  <c r="AF32" i="24" s="1"/>
  <c r="P17" i="24"/>
  <c r="Q17" i="24" s="1"/>
  <c r="AE44" i="24"/>
  <c r="AF44" i="24" s="1"/>
  <c r="AT45" i="24"/>
  <c r="AU45" i="24" s="1"/>
  <c r="AE13" i="24"/>
  <c r="AF13" i="24" s="1"/>
  <c r="BI485" i="24"/>
  <c r="BO485" i="24" s="1"/>
  <c r="AT29" i="24"/>
  <c r="AU29" i="24" s="1"/>
  <c r="AT31" i="24"/>
  <c r="AU31" i="24" s="1"/>
  <c r="AE45" i="24"/>
  <c r="AF45" i="24" s="1"/>
  <c r="AT15" i="24"/>
  <c r="AU15" i="24" s="1"/>
  <c r="P28" i="24"/>
  <c r="Q28" i="24" s="1"/>
  <c r="AE46" i="24"/>
  <c r="AF46" i="24" s="1"/>
  <c r="BI478" i="24"/>
  <c r="AT16" i="24"/>
  <c r="AU16" i="24" s="1"/>
  <c r="P44" i="24"/>
  <c r="Q44" i="24" s="1"/>
  <c r="BI451" i="24"/>
  <c r="BJ451" i="24" s="1"/>
  <c r="AE29" i="24"/>
  <c r="AF29" i="24" s="1"/>
  <c r="AE30" i="24"/>
  <c r="AF30" i="24" s="1"/>
  <c r="AT32" i="24"/>
  <c r="AU32" i="24" s="1"/>
  <c r="P45" i="24"/>
  <c r="Q45" i="24" s="1"/>
  <c r="AE15" i="24"/>
  <c r="P46" i="24"/>
  <c r="Q46" i="24" s="1"/>
  <c r="BI454" i="24"/>
  <c r="BJ454" i="24" s="1"/>
  <c r="BI452" i="24"/>
  <c r="BJ452" i="24" s="1"/>
  <c r="BI439" i="24"/>
  <c r="BJ439" i="24" s="1"/>
  <c r="BI499" i="24"/>
  <c r="BO499" i="24" s="1"/>
  <c r="BI483" i="24"/>
  <c r="BO483" i="24" s="1"/>
  <c r="BI501" i="24"/>
  <c r="BO501" i="24" s="1"/>
  <c r="BI421" i="24"/>
  <c r="BJ421" i="24" s="1"/>
  <c r="BI436" i="24"/>
  <c r="BJ436" i="24" s="1"/>
  <c r="BI438" i="24"/>
  <c r="BJ438" i="24" s="1"/>
  <c r="BI411" i="24"/>
  <c r="BJ411" i="24" s="1"/>
  <c r="BI423" i="24"/>
  <c r="BJ423" i="24" s="1"/>
  <c r="BI502" i="24"/>
  <c r="BO502" i="24" s="1"/>
  <c r="BI453" i="24"/>
  <c r="BJ453" i="24" s="1"/>
  <c r="BI498" i="24"/>
  <c r="BO498" i="24" s="1"/>
  <c r="BI500" i="24"/>
  <c r="BO500" i="24" s="1"/>
  <c r="BI420" i="24"/>
  <c r="BJ420" i="24" s="1"/>
  <c r="BI487" i="24"/>
  <c r="BO487" i="24" s="1"/>
  <c r="BI486" i="24"/>
  <c r="BI422" i="24"/>
  <c r="BJ422" i="24" s="1"/>
  <c r="BI435" i="24"/>
  <c r="BJ435" i="24" s="1"/>
  <c r="BI484" i="24"/>
  <c r="BO484" i="24" s="1"/>
  <c r="BI129" i="24"/>
  <c r="BO129" i="24" s="1"/>
  <c r="BJ130" i="24"/>
  <c r="BI61" i="24"/>
  <c r="BO61" i="24" s="1"/>
  <c r="BI135" i="24"/>
  <c r="BO135" i="24" s="1"/>
  <c r="BI58" i="24"/>
  <c r="BO58" i="24" s="1"/>
  <c r="BI63" i="25"/>
  <c r="BN63" i="25" s="1"/>
  <c r="BI46" i="25"/>
  <c r="BN46" i="25" s="1"/>
  <c r="BI56" i="25"/>
  <c r="BN56" i="25" s="1"/>
  <c r="BI38" i="25"/>
  <c r="BN38" i="25" s="1"/>
  <c r="BI7" i="25"/>
  <c r="BJ4" i="25"/>
  <c r="BI32" i="25"/>
  <c r="BN32" i="25" s="1"/>
  <c r="BI8" i="25"/>
  <c r="BN8" i="25" s="1"/>
  <c r="BI9" i="25"/>
  <c r="BN9" i="25" s="1"/>
  <c r="BI6" i="25"/>
  <c r="BN6" i="25" s="1"/>
  <c r="BI59" i="25"/>
  <c r="BN59" i="25" s="1"/>
  <c r="BI29" i="25"/>
  <c r="BN29" i="25" s="1"/>
  <c r="BI52" i="25"/>
  <c r="BN52" i="25" s="1"/>
  <c r="BI37" i="25"/>
  <c r="BN37" i="25" s="1"/>
  <c r="BI61" i="25"/>
  <c r="BN61" i="25" s="1"/>
  <c r="AU202" i="22"/>
  <c r="BO202" i="22" s="1"/>
  <c r="AU203" i="22"/>
  <c r="BO203" i="22" s="1"/>
  <c r="AU204" i="22"/>
  <c r="BO204" i="22" s="1"/>
  <c r="AU205" i="22"/>
  <c r="BO205" i="22" s="1"/>
  <c r="AU206" i="22"/>
  <c r="BO206" i="22" s="1"/>
  <c r="AU207" i="22"/>
  <c r="BO207" i="22" s="1"/>
  <c r="AU208" i="22"/>
  <c r="BO208" i="22" s="1"/>
  <c r="AU209" i="22"/>
  <c r="BO209" i="22" s="1"/>
  <c r="AU210" i="22"/>
  <c r="BO210" i="22" s="1"/>
  <c r="AU211" i="22"/>
  <c r="BO211" i="22" s="1"/>
  <c r="AU183" i="22"/>
  <c r="BO183" i="22" s="1"/>
  <c r="AU184" i="22"/>
  <c r="BO184" i="22" s="1"/>
  <c r="AU185" i="22"/>
  <c r="BO185" i="22" s="1"/>
  <c r="AU186" i="22"/>
  <c r="BO186" i="22" s="1"/>
  <c r="AU187" i="22"/>
  <c r="BO187" i="22" s="1"/>
  <c r="AU188" i="22"/>
  <c r="BO188" i="22" s="1"/>
  <c r="AU189" i="22"/>
  <c r="BO189" i="22" s="1"/>
  <c r="AU190" i="22"/>
  <c r="BO190" i="22" s="1"/>
  <c r="AU191" i="22"/>
  <c r="BO191" i="22" s="1"/>
  <c r="AU192" i="22"/>
  <c r="BO192" i="22" s="1"/>
  <c r="AU156" i="22"/>
  <c r="BO156" i="22" s="1"/>
  <c r="AT114" i="24"/>
  <c r="AT116" i="24"/>
  <c r="AT117" i="24"/>
  <c r="AT118" i="24"/>
  <c r="AT113" i="24"/>
  <c r="AU113" i="24" s="1"/>
  <c r="R90" i="15"/>
  <c r="R91" i="15"/>
  <c r="R92" i="15"/>
  <c r="R93" i="15"/>
  <c r="R94" i="15"/>
  <c r="R95" i="15"/>
  <c r="BN93" i="45"/>
  <c r="AC29" i="43"/>
  <c r="AE29" i="43" s="1"/>
  <c r="Z29" i="44" a="1"/>
  <c r="Y36" i="44" a="1"/>
  <c r="Z83" i="15" a="1"/>
  <c r="Y25" i="44" a="1"/>
  <c r="Z64" i="15" a="1"/>
  <c r="Z81" i="15" a="1"/>
  <c r="Z59" i="15" a="1"/>
  <c r="Z33" i="44" a="1"/>
  <c r="Z78" i="15" a="1"/>
  <c r="Z37" i="44" a="1"/>
  <c r="Z82" i="15" a="1"/>
  <c r="Z73" i="15" a="1"/>
  <c r="Y35" i="44" a="1"/>
  <c r="Y29" i="44" a="1"/>
  <c r="Z85" i="15" a="1"/>
  <c r="Y11" i="44" a="1"/>
  <c r="Z84" i="15" a="1"/>
  <c r="Z71" i="15" a="1"/>
  <c r="Z50" i="15" a="1"/>
  <c r="Z45" i="15" a="1"/>
  <c r="Z72" i="15" a="1"/>
  <c r="Y38" i="44" a="1"/>
  <c r="Z77" i="15" a="1"/>
  <c r="Y28" i="44" a="1"/>
  <c r="Z28" i="44" a="1"/>
  <c r="Z51" i="15" a="1"/>
  <c r="Z27" i="44" a="1"/>
  <c r="Z34" i="44" a="1"/>
  <c r="Z61" i="15" a="1"/>
  <c r="D61" i="15" a="1"/>
  <c r="Z79" i="15" a="1"/>
  <c r="Y30" i="44" a="1"/>
  <c r="Z25" i="44" a="1"/>
  <c r="Y12" i="44" a="1"/>
  <c r="Y33" i="44" a="1"/>
  <c r="Z62" i="15" a="1"/>
  <c r="Z70" i="15" a="1"/>
  <c r="Z56" i="15" a="1"/>
  <c r="Y34" i="44" a="1"/>
  <c r="Z66" i="15" a="1"/>
  <c r="Z60" i="15" a="1"/>
  <c r="Z26" i="44" a="1"/>
  <c r="Z68" i="15" a="1"/>
  <c r="Z35" i="44" a="1"/>
  <c r="Z86" i="15" a="1"/>
  <c r="Y31" i="44" a="1"/>
  <c r="Z52" i="15" a="1"/>
  <c r="Z88" i="15" a="1"/>
  <c r="Y27" i="44" a="1"/>
  <c r="Z36" i="44" a="1"/>
  <c r="Z67" i="15" a="1"/>
  <c r="Z30" i="44" a="1"/>
  <c r="Z76" i="15" a="1"/>
  <c r="Z55" i="15" a="1"/>
  <c r="Z44" i="15" a="1"/>
  <c r="Z87" i="15" a="1"/>
  <c r="Z31" i="44" a="1"/>
  <c r="Z38" i="44" a="1"/>
  <c r="Y13" i="44" a="1"/>
  <c r="Z53" i="15" a="1"/>
  <c r="S90" i="15" a="1"/>
  <c r="Z69" i="15" a="1"/>
  <c r="Z63" i="15" a="1"/>
  <c r="Z80" i="15" a="1"/>
  <c r="T34" i="16" a="1"/>
  <c r="Y24" i="44" a="1"/>
  <c r="Y26" i="44" a="1"/>
  <c r="Z65" i="15" a="1"/>
  <c r="Z80" i="15" l="1"/>
  <c r="Z67" i="15"/>
  <c r="Z61" i="15"/>
  <c r="Z60" i="15"/>
  <c r="Z63" i="15"/>
  <c r="Z45" i="15"/>
  <c r="Z87" i="15"/>
  <c r="Z76" i="15"/>
  <c r="Z73" i="15"/>
  <c r="Z72" i="15"/>
  <c r="Z83" i="15"/>
  <c r="Z69" i="15"/>
  <c r="Z68" i="15"/>
  <c r="Z56" i="15"/>
  <c r="Z62" i="15"/>
  <c r="Z77" i="15"/>
  <c r="Z70" i="15"/>
  <c r="Z86" i="15"/>
  <c r="Z65" i="15"/>
  <c r="Z64" i="15"/>
  <c r="Z59" i="15"/>
  <c r="Z66" i="15"/>
  <c r="Z82" i="15"/>
  <c r="Z85" i="15"/>
  <c r="Z88" i="15"/>
  <c r="Z79" i="15"/>
  <c r="Z50" i="15"/>
  <c r="Z81" i="15"/>
  <c r="Z84" i="15"/>
  <c r="Z71" i="15"/>
  <c r="Z78" i="15"/>
  <c r="BP486" i="24"/>
  <c r="BO486" i="24"/>
  <c r="BP478" i="24"/>
  <c r="BO478" i="24"/>
  <c r="Z44" i="15"/>
  <c r="Z51" i="15"/>
  <c r="Z53" i="15"/>
  <c r="Z55" i="15"/>
  <c r="Z52" i="15"/>
  <c r="BP409" i="24"/>
  <c r="BJ135" i="24"/>
  <c r="BJ129" i="24"/>
  <c r="Z37" i="44"/>
  <c r="Z36" i="44"/>
  <c r="Y36" i="44"/>
  <c r="Z28" i="44"/>
  <c r="Z38" i="44"/>
  <c r="Y28" i="44"/>
  <c r="Y38" i="44"/>
  <c r="Z29" i="44"/>
  <c r="Z25" i="44"/>
  <c r="Y29" i="44"/>
  <c r="Y25" i="44"/>
  <c r="Z30" i="44"/>
  <c r="Z26" i="44"/>
  <c r="Y30" i="44"/>
  <c r="Y26" i="44"/>
  <c r="Z31" i="44"/>
  <c r="Z27" i="44"/>
  <c r="Y31" i="44"/>
  <c r="Y27" i="44"/>
  <c r="Z33" i="44"/>
  <c r="Y33" i="44"/>
  <c r="Z34" i="44"/>
  <c r="Y34" i="44"/>
  <c r="Z35" i="44"/>
  <c r="Y35" i="44"/>
  <c r="BC38" i="43"/>
  <c r="BC31" i="43"/>
  <c r="BC39" i="43"/>
  <c r="BC32" i="43"/>
  <c r="BC29" i="43"/>
  <c r="BC30" i="43"/>
  <c r="BC33" i="43"/>
  <c r="BC36" i="43"/>
  <c r="BC37" i="43"/>
  <c r="BB9" i="43"/>
  <c r="BC9" i="43" s="1"/>
  <c r="Y24" i="44"/>
  <c r="BB18" i="43"/>
  <c r="BN45" i="24"/>
  <c r="D61" i="15"/>
  <c r="AF15" i="24"/>
  <c r="T34" i="16"/>
  <c r="BN28" i="24"/>
  <c r="BN47" i="24"/>
  <c r="BN15" i="24"/>
  <c r="BN113" i="24"/>
  <c r="BN43" i="24"/>
  <c r="BN31" i="24"/>
  <c r="BJ487" i="24"/>
  <c r="BP487" i="24"/>
  <c r="BJ485" i="24"/>
  <c r="BP485" i="24"/>
  <c r="BN32" i="24"/>
  <c r="BJ502" i="24"/>
  <c r="BP502" i="24"/>
  <c r="BN29" i="24"/>
  <c r="BJ500" i="24"/>
  <c r="BP500" i="24"/>
  <c r="BJ498" i="24"/>
  <c r="BP498" i="24"/>
  <c r="BN17" i="24"/>
  <c r="BJ483" i="24"/>
  <c r="BP483" i="24"/>
  <c r="BJ499" i="24"/>
  <c r="BP499" i="24"/>
  <c r="BN16" i="24"/>
  <c r="BJ478" i="24"/>
  <c r="BJ501" i="24"/>
  <c r="BP501" i="24"/>
  <c r="BJ484" i="24"/>
  <c r="BP484" i="24"/>
  <c r="BJ486" i="24"/>
  <c r="Y11" i="44"/>
  <c r="Y12" i="44"/>
  <c r="Y13" i="44"/>
  <c r="BJ59" i="25"/>
  <c r="BM59" i="25" s="1"/>
  <c r="BJ61" i="25"/>
  <c r="BM61" i="25" s="1"/>
  <c r="BJ63" i="25"/>
  <c r="BM63" i="25" s="1"/>
  <c r="BJ52" i="25"/>
  <c r="BM52" i="25" s="1"/>
  <c r="BJ56" i="25"/>
  <c r="BM56" i="25" s="1"/>
  <c r="BJ44" i="25"/>
  <c r="BJ46" i="25"/>
  <c r="BM46" i="25" s="1"/>
  <c r="BJ45" i="25"/>
  <c r="BM45" i="25" s="1"/>
  <c r="BJ58" i="24"/>
  <c r="BJ61" i="24"/>
  <c r="BB11" i="43"/>
  <c r="BB10" i="43"/>
  <c r="AD29" i="43"/>
  <c r="BI49" i="25"/>
  <c r="BN49" i="25" s="1"/>
  <c r="BI62" i="25"/>
  <c r="BN62" i="25" s="1"/>
  <c r="BI12" i="25"/>
  <c r="BN12" i="25" s="1"/>
  <c r="BI54" i="25"/>
  <c r="BN54" i="25" s="1"/>
  <c r="BI47" i="25"/>
  <c r="BN47" i="25" s="1"/>
  <c r="BI10" i="25"/>
  <c r="BN10" i="25" s="1"/>
  <c r="BI19" i="25"/>
  <c r="BN19" i="25" s="1"/>
  <c r="S90" i="15"/>
  <c r="AE41" i="53"/>
  <c r="Q39" i="53"/>
  <c r="AA31" i="44" a="1"/>
  <c r="AA25" i="44" a="1"/>
  <c r="AA27" i="44" a="1"/>
  <c r="AA36" i="44" a="1"/>
  <c r="AA30" i="44" a="1"/>
  <c r="Z12" i="44" a="1"/>
  <c r="AA29" i="44" a="1"/>
  <c r="AA34" i="44" a="1"/>
  <c r="AA26" i="44" a="1"/>
  <c r="Z20" i="44" a="1"/>
  <c r="AA37" i="44" a="1"/>
  <c r="AA11" i="44" a="1"/>
  <c r="AA35" i="44" a="1"/>
  <c r="AA38" i="44" a="1"/>
  <c r="Z13" i="44" a="1"/>
  <c r="AA28" i="44" a="1"/>
  <c r="AA33" i="44" a="1"/>
  <c r="Z11" i="44" a="1"/>
  <c r="Y20" i="44" a="1"/>
  <c r="Z58" i="15" l="1"/>
  <c r="AA37" i="44"/>
  <c r="AA30" i="44"/>
  <c r="AA25" i="44"/>
  <c r="AA29" i="44"/>
  <c r="AA38" i="44"/>
  <c r="AA26" i="44"/>
  <c r="AA28" i="44"/>
  <c r="AA36" i="44"/>
  <c r="AA31" i="44"/>
  <c r="AA35" i="44"/>
  <c r="AA34" i="44"/>
  <c r="AA33" i="44"/>
  <c r="AA27" i="44"/>
  <c r="Z11" i="44"/>
  <c r="Y20" i="44"/>
  <c r="Z20" i="44"/>
  <c r="BC18" i="43"/>
  <c r="Z12" i="44"/>
  <c r="AA11" i="44"/>
  <c r="Z13" i="44"/>
  <c r="BC10" i="43"/>
  <c r="BC11" i="43"/>
  <c r="BJ62" i="25"/>
  <c r="BM62" i="25" s="1"/>
  <c r="BJ54" i="25"/>
  <c r="BJ47" i="25"/>
  <c r="BJ49" i="25"/>
  <c r="BM49" i="25" s="1"/>
  <c r="BK142" i="22"/>
  <c r="BJ142" i="22"/>
  <c r="BP142" i="22" s="1"/>
  <c r="BK158" i="22"/>
  <c r="BJ158" i="22"/>
  <c r="BP158" i="22" s="1"/>
  <c r="BI55" i="25"/>
  <c r="BN55" i="25" s="1"/>
  <c r="BI48" i="25"/>
  <c r="BN48" i="25" s="1"/>
  <c r="W25" i="19"/>
  <c r="O24" i="19" a="1"/>
  <c r="AA13" i="44" a="1"/>
  <c r="AA12" i="44" a="1"/>
  <c r="L24" i="19" a="1"/>
  <c r="N24" i="19" a="1"/>
  <c r="AA20" i="44" a="1"/>
  <c r="M24" i="19" a="1"/>
  <c r="K24" i="19" a="1"/>
  <c r="Q24" i="19" a="1"/>
  <c r="P24" i="19" a="1"/>
  <c r="Q24" i="19" l="1"/>
  <c r="P24" i="19"/>
  <c r="O24" i="19"/>
  <c r="N24" i="19"/>
  <c r="M24" i="19"/>
  <c r="K24" i="19"/>
  <c r="L24" i="19"/>
  <c r="AA20" i="44"/>
  <c r="AA12" i="44"/>
  <c r="AA13" i="44"/>
  <c r="Z11" i="26"/>
  <c r="BO142" i="22"/>
  <c r="AA11" i="26"/>
  <c r="BO158" i="22"/>
  <c r="BJ55" i="25"/>
  <c r="BJ48" i="25"/>
  <c r="BO184" i="45"/>
  <c r="BO179" i="45"/>
  <c r="BO10" i="45"/>
  <c r="BO133" i="45"/>
  <c r="BO138" i="45"/>
  <c r="BO144" i="45" l="1"/>
  <c r="BO191" i="45"/>
  <c r="BO128" i="45"/>
  <c r="X48" i="13" l="1"/>
  <c r="X49" i="13"/>
  <c r="X50" i="13"/>
  <c r="X51" i="13"/>
  <c r="X52" i="13"/>
  <c r="X53" i="13"/>
  <c r="X54" i="13"/>
  <c r="BO62" i="45"/>
  <c r="BO80" i="45"/>
  <c r="BO81" i="45"/>
  <c r="BO82" i="45"/>
  <c r="BO16" i="45"/>
  <c r="BO17" i="45"/>
  <c r="BO18" i="45"/>
  <c r="BO35" i="45"/>
  <c r="BO36" i="45"/>
  <c r="P48" i="13" a="1"/>
  <c r="T53" i="13" a="1"/>
  <c r="N54" i="13" a="1"/>
  <c r="F51" i="13" a="1"/>
  <c r="P50" i="13" a="1"/>
  <c r="N49" i="13" a="1"/>
  <c r="O49" i="13" a="1"/>
  <c r="L48" i="13" a="1"/>
  <c r="L53" i="13" a="1"/>
  <c r="T48" i="13" a="1"/>
  <c r="J51" i="13" a="1"/>
  <c r="K54" i="13" a="1"/>
  <c r="P53" i="13" a="1"/>
  <c r="T52" i="13" a="1"/>
  <c r="T49" i="13" a="1"/>
  <c r="P49" i="13" a="1"/>
  <c r="J54" i="13" a="1"/>
  <c r="H53" i="13" a="1"/>
  <c r="F48" i="13" a="1"/>
  <c r="K51" i="13" a="1"/>
  <c r="J52" i="13" a="1"/>
  <c r="R51" i="13" a="1"/>
  <c r="H50" i="13" a="1"/>
  <c r="U53" i="13" a="1"/>
  <c r="M50" i="13" a="1"/>
  <c r="J49" i="13" a="1"/>
  <c r="S48" i="13" a="1"/>
  <c r="I51" i="13" a="1"/>
  <c r="N53" i="13" a="1"/>
  <c r="H49" i="13" a="1"/>
  <c r="I53" i="13" a="1"/>
  <c r="P51" i="13" a="1"/>
  <c r="H51" i="13" a="1"/>
  <c r="F50" i="13" a="1"/>
  <c r="S49" i="13" a="1"/>
  <c r="J48" i="13" a="1"/>
  <c r="I49" i="13" a="1"/>
  <c r="J50" i="13" a="1"/>
  <c r="N48" i="13" a="1"/>
  <c r="S52" i="13" a="1"/>
  <c r="N51" i="13" a="1"/>
  <c r="K50" i="13" a="1"/>
  <c r="R54" i="13" a="1"/>
  <c r="G51" i="13" a="1"/>
  <c r="T51" i="13" a="1"/>
  <c r="M48" i="13" a="1"/>
  <c r="R49" i="13" a="1"/>
  <c r="G49" i="13" a="1"/>
  <c r="R50" i="13" a="1"/>
  <c r="U50" i="13" a="1"/>
  <c r="V48" i="13" a="1"/>
  <c r="M49" i="13" a="1"/>
  <c r="U51" i="13" a="1"/>
  <c r="S54" i="13" a="1"/>
  <c r="V54" i="13" a="1"/>
  <c r="F52" i="13" a="1"/>
  <c r="M52" i="13" a="1"/>
  <c r="L51" i="13" a="1"/>
  <c r="O51" i="13" a="1"/>
  <c r="R53" i="13" a="1"/>
  <c r="M54" i="13" a="1"/>
  <c r="G54" i="13" a="1"/>
  <c r="G52" i="13" a="1"/>
  <c r="V51" i="13" a="1"/>
  <c r="F49" i="13" a="1"/>
  <c r="I54" i="13" a="1"/>
  <c r="V50" i="13" a="1"/>
  <c r="U52" i="13" a="1"/>
  <c r="H52" i="13" a="1"/>
  <c r="O53" i="13" a="1"/>
  <c r="L54" i="13" a="1"/>
  <c r="G53" i="13" a="1"/>
  <c r="V53" i="13" a="1"/>
  <c r="U48" i="13" a="1"/>
  <c r="I48" i="13" a="1"/>
  <c r="I52" i="13" a="1"/>
  <c r="M51" i="13" a="1"/>
  <c r="S53" i="13" a="1"/>
  <c r="M53" i="13" a="1"/>
  <c r="H54" i="13" a="1"/>
  <c r="L50" i="13" a="1"/>
  <c r="U54" i="13" a="1"/>
  <c r="L52" i="13" a="1"/>
  <c r="P52" i="13" a="1"/>
  <c r="G50" i="13" a="1"/>
  <c r="G48" i="13" a="1"/>
  <c r="J53" i="13" a="1"/>
  <c r="F53" i="13" a="1"/>
  <c r="T50" i="13" a="1"/>
  <c r="H48" i="13" a="1"/>
  <c r="O52" i="13" a="1"/>
  <c r="K52" i="13" a="1"/>
  <c r="S50" i="13" a="1"/>
  <c r="K48" i="13" a="1"/>
  <c r="S51" i="13" a="1"/>
  <c r="V49" i="13" a="1"/>
  <c r="P54" i="13" a="1"/>
  <c r="O48" i="13" a="1"/>
  <c r="O50" i="13" a="1"/>
  <c r="R48" i="13" a="1"/>
  <c r="R52" i="13" a="1"/>
  <c r="T54" i="13" a="1"/>
  <c r="L49" i="13" a="1"/>
  <c r="I50" i="13" a="1"/>
  <c r="K53" i="13" a="1"/>
  <c r="N52" i="13" a="1"/>
  <c r="U49" i="13" a="1"/>
  <c r="N50" i="13" a="1"/>
  <c r="V52" i="13" a="1"/>
  <c r="K49" i="13" a="1"/>
  <c r="F54" i="13" a="1"/>
  <c r="O54" i="13" a="1"/>
  <c r="P51" i="13" l="1"/>
  <c r="P50" i="13"/>
  <c r="P49" i="13"/>
  <c r="P54" i="13"/>
  <c r="P53" i="13"/>
  <c r="P52" i="13"/>
  <c r="P48" i="13"/>
  <c r="O52" i="13"/>
  <c r="O51" i="13"/>
  <c r="O50" i="13"/>
  <c r="O49" i="13"/>
  <c r="O54" i="13"/>
  <c r="O53" i="13"/>
  <c r="O48" i="13"/>
  <c r="N54" i="13"/>
  <c r="N51" i="13"/>
  <c r="N50" i="13"/>
  <c r="N49" i="13"/>
  <c r="N53" i="13"/>
  <c r="N52" i="13"/>
  <c r="N48" i="13"/>
  <c r="M54" i="13"/>
  <c r="M52" i="13"/>
  <c r="M51" i="13"/>
  <c r="M50" i="13"/>
  <c r="M53" i="13"/>
  <c r="M49" i="13"/>
  <c r="M48" i="13"/>
  <c r="L53" i="13"/>
  <c r="L54" i="13"/>
  <c r="L49" i="13"/>
  <c r="L52" i="13"/>
  <c r="L51" i="13"/>
  <c r="L50" i="13"/>
  <c r="L48" i="13"/>
  <c r="R53" i="13"/>
  <c r="J53" i="13"/>
  <c r="S53" i="13"/>
  <c r="F53" i="13"/>
  <c r="H53" i="13"/>
  <c r="K53" i="13"/>
  <c r="I53" i="13"/>
  <c r="G53" i="13"/>
  <c r="V53" i="13"/>
  <c r="T53" i="13"/>
  <c r="U53" i="13"/>
  <c r="J52" i="13"/>
  <c r="G52" i="13"/>
  <c r="K52" i="13"/>
  <c r="R52" i="13"/>
  <c r="I52" i="13"/>
  <c r="F52" i="13"/>
  <c r="H52" i="13"/>
  <c r="S52" i="13"/>
  <c r="T52" i="13"/>
  <c r="V52" i="13"/>
  <c r="U52" i="13"/>
  <c r="R51" i="13"/>
  <c r="I51" i="13"/>
  <c r="S51" i="13"/>
  <c r="H51" i="13"/>
  <c r="K51" i="13"/>
  <c r="J51" i="13"/>
  <c r="G51" i="13"/>
  <c r="F51" i="13"/>
  <c r="T51" i="13"/>
  <c r="V51" i="13"/>
  <c r="U51" i="13"/>
  <c r="R50" i="13"/>
  <c r="J50" i="13"/>
  <c r="G50" i="13"/>
  <c r="F50" i="13"/>
  <c r="I50" i="13"/>
  <c r="S50" i="13"/>
  <c r="H50" i="13"/>
  <c r="K50" i="13"/>
  <c r="T50" i="13"/>
  <c r="V50" i="13"/>
  <c r="U50" i="13"/>
  <c r="H49" i="13"/>
  <c r="G49" i="13"/>
  <c r="S49" i="13"/>
  <c r="I49" i="13"/>
  <c r="K49" i="13"/>
  <c r="J49" i="13"/>
  <c r="F49" i="13"/>
  <c r="R49" i="13"/>
  <c r="T49" i="13"/>
  <c r="V49" i="13"/>
  <c r="U49" i="13"/>
  <c r="R54" i="13"/>
  <c r="H54" i="13"/>
  <c r="G54" i="13"/>
  <c r="S54" i="13"/>
  <c r="J54" i="13"/>
  <c r="K54" i="13"/>
  <c r="F54" i="13"/>
  <c r="I54" i="13"/>
  <c r="T54" i="13"/>
  <c r="V54" i="13"/>
  <c r="U54" i="13"/>
  <c r="H48" i="13"/>
  <c r="R48" i="13"/>
  <c r="K48" i="13"/>
  <c r="S48" i="13"/>
  <c r="J48" i="13"/>
  <c r="G48" i="13"/>
  <c r="I48" i="13"/>
  <c r="F48" i="13"/>
  <c r="T48" i="13"/>
  <c r="V48" i="13"/>
  <c r="U48" i="13"/>
  <c r="BO55" i="45"/>
  <c r="BO20" i="45"/>
  <c r="BO37" i="45"/>
  <c r="BO89" i="45"/>
  <c r="AF34" i="33" l="1"/>
  <c r="AX34" i="33" s="1"/>
  <c r="AE15" i="33"/>
  <c r="AF15" i="33"/>
  <c r="AX15" i="33" s="1"/>
  <c r="AF38" i="56" l="1"/>
  <c r="AX38" i="56" s="1"/>
  <c r="AE38" i="56"/>
  <c r="Q38" i="56"/>
  <c r="P38" i="56"/>
  <c r="AF37" i="56"/>
  <c r="AX37" i="56" s="1"/>
  <c r="AE37" i="56"/>
  <c r="Q37" i="56"/>
  <c r="P37" i="56"/>
  <c r="AF35" i="56"/>
  <c r="AX35" i="56" s="1"/>
  <c r="AE35" i="56"/>
  <c r="Q35" i="56"/>
  <c r="P35" i="56"/>
  <c r="AF34" i="56"/>
  <c r="AX34" i="56" s="1"/>
  <c r="AE34" i="56"/>
  <c r="Q34" i="56"/>
  <c r="P34" i="56"/>
  <c r="AF33" i="56"/>
  <c r="AX33" i="56" s="1"/>
  <c r="AE33" i="56"/>
  <c r="Q33" i="56"/>
  <c r="P33" i="56"/>
  <c r="AF31" i="56"/>
  <c r="AX31" i="56" s="1"/>
  <c r="AE31" i="56"/>
  <c r="Q31" i="56"/>
  <c r="P31" i="56"/>
  <c r="AF30" i="56"/>
  <c r="AX30" i="56" s="1"/>
  <c r="AE30" i="56"/>
  <c r="Q30" i="56"/>
  <c r="P30" i="56"/>
  <c r="AF29" i="56"/>
  <c r="AX29" i="56" s="1"/>
  <c r="AE29" i="56"/>
  <c r="Q29" i="56"/>
  <c r="P29" i="56"/>
  <c r="AD28" i="56"/>
  <c r="AC28" i="56"/>
  <c r="AW28" i="56" s="1"/>
  <c r="AB28" i="56"/>
  <c r="AA28" i="56"/>
  <c r="Z28" i="56"/>
  <c r="Y28" i="56"/>
  <c r="X28" i="56"/>
  <c r="W28" i="56"/>
  <c r="V28" i="56"/>
  <c r="U28" i="56"/>
  <c r="T28" i="56"/>
  <c r="S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AF27" i="56"/>
  <c r="AX27" i="56" s="1"/>
  <c r="AE27" i="56"/>
  <c r="Q27" i="56"/>
  <c r="P27" i="56"/>
  <c r="AF26" i="56"/>
  <c r="AX26" i="56" s="1"/>
  <c r="AE26" i="56"/>
  <c r="Q26" i="56"/>
  <c r="P26" i="56"/>
  <c r="AF25" i="56"/>
  <c r="AX25" i="56" s="1"/>
  <c r="AE25" i="56"/>
  <c r="Q25" i="56"/>
  <c r="P25" i="56"/>
  <c r="AD24" i="56"/>
  <c r="AD32" i="56" s="1"/>
  <c r="AC24" i="56"/>
  <c r="AB24" i="56"/>
  <c r="AB32" i="56" s="1"/>
  <c r="AA24" i="56"/>
  <c r="AA32" i="56" s="1"/>
  <c r="Z24" i="56"/>
  <c r="Z32" i="56" s="1"/>
  <c r="Y24" i="56"/>
  <c r="Y32" i="56" s="1"/>
  <c r="X24" i="56"/>
  <c r="X32" i="56" s="1"/>
  <c r="W24" i="56"/>
  <c r="W32" i="56" s="1"/>
  <c r="V24" i="56"/>
  <c r="V32" i="56" s="1"/>
  <c r="U24" i="56"/>
  <c r="U32" i="56" s="1"/>
  <c r="T24" i="56"/>
  <c r="S24" i="56"/>
  <c r="O24" i="56"/>
  <c r="N24" i="56"/>
  <c r="M24" i="56"/>
  <c r="L24" i="56"/>
  <c r="K24" i="56"/>
  <c r="K32" i="56" s="1"/>
  <c r="J24" i="56"/>
  <c r="I24" i="56"/>
  <c r="I32" i="56" s="1"/>
  <c r="H24" i="56"/>
  <c r="H32" i="56" s="1"/>
  <c r="G24" i="56"/>
  <c r="G32" i="56" s="1"/>
  <c r="F24" i="56"/>
  <c r="F32" i="56" s="1"/>
  <c r="E24" i="56"/>
  <c r="E32" i="56" s="1"/>
  <c r="D24" i="56"/>
  <c r="AF22" i="56"/>
  <c r="AX22" i="56" s="1"/>
  <c r="AE22" i="56"/>
  <c r="Q22" i="56"/>
  <c r="P22" i="56"/>
  <c r="AF21" i="56"/>
  <c r="AX21" i="56" s="1"/>
  <c r="AE21" i="56"/>
  <c r="Q21" i="56"/>
  <c r="P21" i="56"/>
  <c r="AF20" i="56"/>
  <c r="AX20" i="56" s="1"/>
  <c r="AE20" i="56"/>
  <c r="Q20" i="56"/>
  <c r="P20" i="56"/>
  <c r="AF19" i="56"/>
  <c r="AX19" i="56" s="1"/>
  <c r="AE19" i="56"/>
  <c r="Q19" i="56"/>
  <c r="P19" i="56"/>
  <c r="AE18" i="56"/>
  <c r="Q18" i="56"/>
  <c r="P18" i="56"/>
  <c r="AF17" i="56"/>
  <c r="AX17" i="56" s="1"/>
  <c r="AE17" i="56"/>
  <c r="Q17" i="56"/>
  <c r="P17" i="56"/>
  <c r="AF16" i="56"/>
  <c r="AX16" i="56" s="1"/>
  <c r="AE16" i="56"/>
  <c r="Q16" i="56"/>
  <c r="P16" i="56"/>
  <c r="AF15" i="56"/>
  <c r="AX15" i="56" s="1"/>
  <c r="AE15" i="56"/>
  <c r="Q15" i="56"/>
  <c r="P15" i="56"/>
  <c r="AF14" i="56"/>
  <c r="AX14" i="56" s="1"/>
  <c r="O14" i="56"/>
  <c r="N14" i="56"/>
  <c r="M14" i="56"/>
  <c r="L14" i="56"/>
  <c r="K14" i="56"/>
  <c r="J14" i="56"/>
  <c r="I14" i="56"/>
  <c r="H14" i="56"/>
  <c r="G14" i="56"/>
  <c r="F14" i="56"/>
  <c r="E14" i="56"/>
  <c r="D14" i="56"/>
  <c r="AD13" i="56"/>
  <c r="AC13" i="56"/>
  <c r="AW13" i="56" s="1"/>
  <c r="AB13" i="56"/>
  <c r="AA13" i="56"/>
  <c r="Z13" i="56"/>
  <c r="Y13" i="56"/>
  <c r="X13" i="56"/>
  <c r="W13" i="56"/>
  <c r="V13" i="56"/>
  <c r="U13" i="56"/>
  <c r="T13" i="56"/>
  <c r="S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AF11" i="56"/>
  <c r="AX11" i="56" s="1"/>
  <c r="AE11" i="56"/>
  <c r="Q11" i="56"/>
  <c r="P11" i="56"/>
  <c r="AE10" i="56"/>
  <c r="Q10" i="56"/>
  <c r="P10" i="56"/>
  <c r="AF9" i="56"/>
  <c r="AX9" i="56" s="1"/>
  <c r="AE9" i="56"/>
  <c r="Q9" i="56"/>
  <c r="P9" i="56"/>
  <c r="AF8" i="56"/>
  <c r="AX8" i="56" s="1"/>
  <c r="AE8" i="56"/>
  <c r="Q8" i="56"/>
  <c r="P8" i="56"/>
  <c r="AF7" i="56"/>
  <c r="AX7" i="56" s="1"/>
  <c r="AE7" i="56"/>
  <c r="Q7" i="56"/>
  <c r="P7" i="56"/>
  <c r="AF6" i="56"/>
  <c r="AX6" i="56" s="1"/>
  <c r="AE6" i="56"/>
  <c r="Q6" i="56"/>
  <c r="P6" i="56"/>
  <c r="AF5" i="56"/>
  <c r="AX5" i="56" s="1"/>
  <c r="AE5" i="56"/>
  <c r="Q5" i="56"/>
  <c r="P5" i="56"/>
  <c r="AF4" i="56"/>
  <c r="AX4" i="56" s="1"/>
  <c r="AE4" i="56"/>
  <c r="Q4" i="56"/>
  <c r="P4" i="56"/>
  <c r="K10" i="50" a="1"/>
  <c r="K13" i="50" a="1"/>
  <c r="K33" i="50" a="1"/>
  <c r="K40" i="50" a="1"/>
  <c r="K38" i="50" a="1"/>
  <c r="K19" i="50" a="1"/>
  <c r="K34" i="50" a="1"/>
  <c r="K21" i="50" a="1"/>
  <c r="K16" i="50" a="1"/>
  <c r="K20" i="50" a="1"/>
  <c r="D7" i="50" a="1"/>
  <c r="K30" i="50" a="1"/>
  <c r="K36" i="50" a="1"/>
  <c r="K27" i="50" a="1"/>
  <c r="K32" i="50" a="1"/>
  <c r="K8" i="50" a="1"/>
  <c r="K17" i="50" a="1"/>
  <c r="K37" i="50" a="1"/>
  <c r="K28" i="50" a="1"/>
  <c r="K22" i="50" a="1"/>
  <c r="K29" i="50" a="1"/>
  <c r="K35" i="50" a="1"/>
  <c r="K11" i="50" a="1"/>
  <c r="K24" i="50" a="1"/>
  <c r="K23" i="50" a="1"/>
  <c r="K25" i="50" a="1"/>
  <c r="K14" i="50" a="1"/>
  <c r="K7" i="50" a="1"/>
  <c r="K41" i="50" a="1"/>
  <c r="K9" i="50" a="1"/>
  <c r="K18" i="50" a="1"/>
  <c r="K31" i="50" a="1"/>
  <c r="K12" i="50" a="1"/>
  <c r="J32" i="56" l="1"/>
  <c r="AF28" i="56"/>
  <c r="AX28" i="56" s="1"/>
  <c r="S32" i="56"/>
  <c r="AC32" i="56"/>
  <c r="AW32" i="56" s="1"/>
  <c r="AW24" i="56"/>
  <c r="M32" i="56"/>
  <c r="N32" i="56"/>
  <c r="O32" i="56"/>
  <c r="Q14" i="56"/>
  <c r="Q28" i="56"/>
  <c r="T32" i="56"/>
  <c r="AE32" i="56" s="1"/>
  <c r="AF13" i="56"/>
  <c r="AX13" i="56" s="1"/>
  <c r="AE28" i="56"/>
  <c r="Q24" i="56"/>
  <c r="P13" i="56"/>
  <c r="L32" i="56"/>
  <c r="D32" i="56"/>
  <c r="K33" i="50"/>
  <c r="K24" i="50"/>
  <c r="K7" i="50"/>
  <c r="K41" i="50"/>
  <c r="K32" i="50"/>
  <c r="K14" i="50"/>
  <c r="K16" i="50"/>
  <c r="K23" i="50"/>
  <c r="K40" i="50"/>
  <c r="K31" i="50"/>
  <c r="K22" i="50"/>
  <c r="K13" i="50"/>
  <c r="K38" i="50"/>
  <c r="K30" i="50"/>
  <c r="K21" i="50"/>
  <c r="K12" i="50"/>
  <c r="K20" i="50"/>
  <c r="K36" i="50"/>
  <c r="K10" i="50"/>
  <c r="K29" i="50"/>
  <c r="K28" i="50"/>
  <c r="K35" i="50"/>
  <c r="K27" i="50"/>
  <c r="K18" i="50"/>
  <c r="K9" i="50"/>
  <c r="K37" i="50"/>
  <c r="K19" i="50"/>
  <c r="K11" i="50"/>
  <c r="K34" i="50"/>
  <c r="K25" i="50"/>
  <c r="K17" i="50"/>
  <c r="K8" i="50"/>
  <c r="D7" i="50"/>
  <c r="AE24" i="56"/>
  <c r="Q13" i="56"/>
  <c r="P24" i="56"/>
  <c r="AE13" i="56"/>
  <c r="AE14" i="56"/>
  <c r="P14" i="56"/>
  <c r="AF18" i="56"/>
  <c r="AX18" i="56" s="1"/>
  <c r="AF24" i="56"/>
  <c r="AX24" i="56" s="1"/>
  <c r="P28" i="56"/>
  <c r="AF32" i="56" l="1"/>
  <c r="AX32" i="56" s="1"/>
  <c r="P32" i="56"/>
  <c r="Q32" i="56"/>
  <c r="BO25" i="45"/>
  <c r="BO23" i="45"/>
  <c r="BO24" i="45"/>
  <c r="BO50" i="45"/>
  <c r="M40" i="46" a="1"/>
  <c r="M71" i="46" a="1"/>
  <c r="M52" i="46" a="1"/>
  <c r="M12" i="46" a="1"/>
  <c r="M7" i="46" a="1"/>
  <c r="M41" i="46" a="1"/>
  <c r="M72" i="46" a="1"/>
  <c r="M36" i="46" a="1"/>
  <c r="M31" i="46" a="1"/>
  <c r="M11" i="46" a="1"/>
  <c r="M97" i="46" a="1"/>
  <c r="M57" i="46" a="1"/>
  <c r="M30" i="46" a="1"/>
  <c r="M80" i="46" a="1"/>
  <c r="M115" i="46" a="1"/>
  <c r="M131" i="46" a="1"/>
  <c r="M124" i="46" a="1"/>
  <c r="M76" i="46" a="1"/>
  <c r="M116" i="46" a="1"/>
  <c r="M67" i="46" a="1"/>
  <c r="M136" i="46" a="1"/>
  <c r="M119" i="46" a="1"/>
  <c r="M37" i="46" a="1"/>
  <c r="M144" i="46" a="1"/>
  <c r="M60" i="46" a="1"/>
  <c r="M130" i="46" a="1"/>
  <c r="M61" i="46" a="1"/>
  <c r="M134" i="46" a="1"/>
  <c r="M103" i="46" a="1"/>
  <c r="M111" i="46" a="1"/>
  <c r="M107" i="46" a="1"/>
  <c r="M14" i="46" a="1"/>
  <c r="M138" i="46" a="1"/>
  <c r="M28" i="46" a="1"/>
  <c r="M127" i="46" a="1"/>
  <c r="M106" i="46" a="1"/>
  <c r="M128" i="46" a="1"/>
  <c r="M123" i="46" a="1"/>
  <c r="M32" i="46" a="1"/>
  <c r="M59" i="46" a="1"/>
  <c r="M92" i="46" a="1"/>
  <c r="M64" i="46" a="1"/>
  <c r="M66" i="46" a="1"/>
  <c r="M54" i="46" a="1"/>
  <c r="M45" i="46" a="1"/>
  <c r="M121" i="46" a="1"/>
  <c r="M53" i="46" a="1"/>
  <c r="M82" i="46" a="1"/>
  <c r="M145" i="46" a="1"/>
  <c r="M73" i="46" a="1"/>
  <c r="M101" i="46" a="1"/>
  <c r="M126" i="46" a="1"/>
  <c r="M39" i="46" a="1"/>
  <c r="M105" i="46" a="1"/>
  <c r="M142" i="46" a="1"/>
  <c r="M44" i="46" a="1"/>
  <c r="M117" i="46" a="1"/>
  <c r="M38" i="46" a="1"/>
  <c r="M94" i="46" a="1"/>
  <c r="M118" i="46" a="1"/>
  <c r="M110" i="46" a="1"/>
  <c r="M17" i="46" a="1"/>
  <c r="M42" i="46" a="1"/>
  <c r="M6" i="46" a="1"/>
  <c r="M102" i="46" a="1"/>
  <c r="M29" i="46" a="1"/>
  <c r="M22" i="46" a="1"/>
  <c r="M69" i="46" a="1"/>
  <c r="M96" i="46" a="1"/>
  <c r="M70" i="46" a="1"/>
  <c r="M81" i="46" a="1"/>
  <c r="M104" i="46" a="1"/>
  <c r="M62" i="46" a="1"/>
  <c r="M135" i="46" a="1"/>
  <c r="M10" i="46" a="1"/>
  <c r="M122" i="46" a="1"/>
  <c r="M27" i="46" a="1"/>
  <c r="M141" i="46" a="1"/>
  <c r="M33" i="46" a="1"/>
  <c r="M56" i="46" a="1"/>
  <c r="M129" i="46" a="1"/>
  <c r="M58" i="46" a="1"/>
  <c r="M43" i="46" a="1"/>
  <c r="M140" i="46" a="1"/>
  <c r="M98" i="46" a="1"/>
  <c r="M8" i="46" a="1"/>
  <c r="M18" i="46" a="1"/>
  <c r="M99" i="46" a="1"/>
  <c r="M19" i="46" a="1"/>
  <c r="M88" i="46" a="1"/>
  <c r="M20" i="46" a="1"/>
  <c r="M51" i="46" a="1"/>
  <c r="M95" i="46" a="1"/>
  <c r="M137" i="46" a="1"/>
  <c r="M26" i="46" a="1"/>
  <c r="M75" i="46" a="1"/>
  <c r="M49" i="46" a="1"/>
  <c r="M68" i="46" a="1"/>
  <c r="M114" i="46" a="1"/>
  <c r="M132" i="46" a="1"/>
  <c r="M25" i="46" a="1"/>
  <c r="M74" i="46" a="1"/>
  <c r="M50" i="46" a="1"/>
  <c r="M143" i="46" a="1"/>
  <c r="M120" i="46" a="1"/>
  <c r="M108" i="46" a="1"/>
  <c r="M90" i="46" a="1"/>
  <c r="M35" i="46" a="1"/>
  <c r="M77" i="46" a="1"/>
  <c r="M89" i="46" a="1"/>
  <c r="M63" i="46" a="1"/>
  <c r="M113" i="46" a="1"/>
  <c r="M21" i="46" a="1"/>
  <c r="M146" i="46" a="1"/>
  <c r="M139" i="46" a="1"/>
  <c r="M133" i="46" a="1"/>
  <c r="M112" i="46" a="1"/>
  <c r="M100" i="46" a="1"/>
  <c r="M65" i="46" a="1"/>
  <c r="M78" i="46" a="1"/>
  <c r="M83" i="46" a="1"/>
  <c r="M125" i="46" a="1"/>
  <c r="M93" i="46" a="1"/>
  <c r="M84" i="46" a="1"/>
  <c r="M13" i="46" a="1"/>
  <c r="M34" i="46" a="1"/>
  <c r="BO45" i="45" l="1"/>
  <c r="CE169" i="45"/>
  <c r="M28" i="46"/>
  <c r="M144" i="46"/>
  <c r="M22" i="46"/>
  <c r="M45" i="46"/>
  <c r="M97" i="46"/>
  <c r="M34" i="46"/>
  <c r="M136" i="46"/>
  <c r="M112" i="46"/>
  <c r="M128" i="46"/>
  <c r="M84" i="46"/>
  <c r="M88" i="46"/>
  <c r="M104" i="46"/>
  <c r="M124" i="46"/>
  <c r="M29" i="46"/>
  <c r="M76" i="46"/>
  <c r="M83" i="46"/>
  <c r="M50" i="46"/>
  <c r="M42" i="46"/>
  <c r="M93" i="46"/>
  <c r="M67" i="46"/>
  <c r="M12" i="46"/>
  <c r="M101" i="46"/>
  <c r="M63" i="46"/>
  <c r="M21" i="46"/>
  <c r="M68" i="46"/>
  <c r="M74" i="46"/>
  <c r="M10" i="46"/>
  <c r="M18" i="46"/>
  <c r="M81" i="46"/>
  <c r="M143" i="46"/>
  <c r="M113" i="46"/>
  <c r="M53" i="46"/>
  <c r="M96" i="46"/>
  <c r="M75" i="46"/>
  <c r="M38" i="46"/>
  <c r="M13" i="46"/>
  <c r="M60" i="46"/>
  <c r="M66" i="46"/>
  <c r="M135" i="46"/>
  <c r="M127" i="46"/>
  <c r="M72" i="46"/>
  <c r="M103" i="46"/>
  <c r="M62" i="46"/>
  <c r="M100" i="46"/>
  <c r="M134" i="46"/>
  <c r="M139" i="46"/>
  <c r="M138" i="46"/>
  <c r="M35" i="46"/>
  <c r="M49" i="46"/>
  <c r="M142" i="46"/>
  <c r="M126" i="46"/>
  <c r="M102" i="46"/>
  <c r="M69" i="46"/>
  <c r="M107" i="46"/>
  <c r="M64" i="46"/>
  <c r="M131" i="46"/>
  <c r="M98" i="46"/>
  <c r="M27" i="46"/>
  <c r="M41" i="46"/>
  <c r="M118" i="46"/>
  <c r="M110" i="46"/>
  <c r="M39" i="46"/>
  <c r="M73" i="46"/>
  <c r="M105" i="46"/>
  <c r="M95" i="46"/>
  <c r="M123" i="46"/>
  <c r="M52" i="46"/>
  <c r="M19" i="46"/>
  <c r="M33" i="46"/>
  <c r="M82" i="46"/>
  <c r="M94" i="46"/>
  <c r="M31" i="46"/>
  <c r="M40" i="46"/>
  <c r="M20" i="46"/>
  <c r="M111" i="46"/>
  <c r="M115" i="46"/>
  <c r="M36" i="46"/>
  <c r="M80" i="46"/>
  <c r="M17" i="46"/>
  <c r="M65" i="46"/>
  <c r="M117" i="46"/>
  <c r="M125" i="46"/>
  <c r="M43" i="46"/>
  <c r="M99" i="46"/>
  <c r="M145" i="46"/>
  <c r="M106" i="46"/>
  <c r="M8" i="46"/>
  <c r="M57" i="46"/>
  <c r="M7" i="46"/>
  <c r="M132" i="46"/>
  <c r="M59" i="46"/>
  <c r="M58" i="46"/>
  <c r="M90" i="46"/>
  <c r="M137" i="46"/>
  <c r="M77" i="46"/>
  <c r="M116" i="46"/>
  <c r="M140" i="46"/>
  <c r="M32" i="46"/>
  <c r="M92" i="46"/>
  <c r="M54" i="46"/>
  <c r="M133" i="46"/>
  <c r="M37" i="46"/>
  <c r="M108" i="46"/>
  <c r="M78" i="46"/>
  <c r="M129" i="46"/>
  <c r="M44" i="46"/>
  <c r="M146" i="46"/>
  <c r="M71" i="46"/>
  <c r="M114" i="46"/>
  <c r="M30" i="46"/>
  <c r="M89" i="46"/>
  <c r="M119" i="46"/>
  <c r="M14" i="46"/>
  <c r="M70" i="46"/>
  <c r="M121" i="46"/>
  <c r="M120" i="46"/>
  <c r="M122" i="46"/>
  <c r="M130" i="46"/>
  <c r="M141" i="46"/>
  <c r="M61" i="46"/>
  <c r="M6" i="46"/>
  <c r="M56" i="46"/>
  <c r="M51" i="46"/>
  <c r="M11" i="46"/>
  <c r="M25" i="46"/>
  <c r="M26" i="46"/>
  <c r="BO22" i="45"/>
  <c r="AS38" i="25"/>
  <c r="M48" i="46" a="1"/>
  <c r="M9" i="46" a="1"/>
  <c r="M46" i="46" a="1"/>
  <c r="M24" i="46" a="1"/>
  <c r="M23" i="46" a="1"/>
  <c r="M47" i="46" a="1"/>
  <c r="M46" i="46" l="1"/>
  <c r="M47" i="46"/>
  <c r="M48" i="46"/>
  <c r="M24" i="46"/>
  <c r="M9" i="46"/>
  <c r="M23" i="46"/>
  <c r="AF71" i="36" l="1"/>
  <c r="AX71" i="36" s="1"/>
  <c r="AE71" i="36"/>
  <c r="AF70" i="36"/>
  <c r="AX70" i="36" s="1"/>
  <c r="AE70" i="36"/>
  <c r="Q70" i="36"/>
  <c r="P70" i="36"/>
  <c r="AF69" i="36"/>
  <c r="AX69" i="36" s="1"/>
  <c r="AE69" i="36"/>
  <c r="Q69" i="36"/>
  <c r="P69" i="36"/>
  <c r="AF68" i="36"/>
  <c r="AX68" i="36" s="1"/>
  <c r="AE68" i="36"/>
  <c r="AF67" i="36"/>
  <c r="AX67" i="36" s="1"/>
  <c r="AE67" i="36"/>
  <c r="AF66" i="36"/>
  <c r="AX66" i="36" s="1"/>
  <c r="AE66" i="36"/>
  <c r="AF65" i="36"/>
  <c r="AX65" i="36" s="1"/>
  <c r="AE65" i="36"/>
  <c r="AF64" i="36"/>
  <c r="AX64" i="36" s="1"/>
  <c r="AE64" i="36"/>
  <c r="AF63" i="36"/>
  <c r="AX63" i="36" s="1"/>
  <c r="AE63" i="36"/>
  <c r="AF62" i="36"/>
  <c r="AX62" i="36" s="1"/>
  <c r="AE62" i="36"/>
  <c r="AF61" i="36"/>
  <c r="AX61" i="36" s="1"/>
  <c r="AE61" i="36"/>
  <c r="AF60" i="36"/>
  <c r="AX60" i="36" s="1"/>
  <c r="AE60" i="36"/>
  <c r="Q60" i="36"/>
  <c r="P60" i="36"/>
  <c r="AF59" i="36"/>
  <c r="AX59" i="36" s="1"/>
  <c r="AE59" i="36"/>
  <c r="AF58" i="36"/>
  <c r="AX58" i="36" s="1"/>
  <c r="AE58" i="36"/>
  <c r="Q58" i="36"/>
  <c r="P58" i="36"/>
  <c r="AF57" i="36"/>
  <c r="AX57" i="36" s="1"/>
  <c r="AE57" i="36"/>
  <c r="Q57" i="36"/>
  <c r="P57" i="36"/>
  <c r="AF56" i="36"/>
  <c r="AX56" i="36" s="1"/>
  <c r="AE56" i="36"/>
  <c r="AF55" i="36"/>
  <c r="AX55" i="36" s="1"/>
  <c r="AE55" i="36"/>
  <c r="AF54" i="36"/>
  <c r="AX54" i="36" s="1"/>
  <c r="AE54" i="36"/>
  <c r="Q54" i="36"/>
  <c r="P54" i="36"/>
  <c r="AF53" i="36"/>
  <c r="AX53" i="36" s="1"/>
  <c r="AE53" i="36"/>
  <c r="Q53" i="36"/>
  <c r="P53" i="36"/>
  <c r="AX48" i="36"/>
  <c r="AX47" i="36"/>
  <c r="AX46" i="36"/>
  <c r="AX45" i="36"/>
  <c r="AX44" i="36"/>
  <c r="Q44" i="36"/>
  <c r="P44" i="36"/>
  <c r="AX43" i="36"/>
  <c r="Q43" i="36"/>
  <c r="P43" i="36"/>
  <c r="AX42" i="36"/>
  <c r="Q42" i="36"/>
  <c r="P42" i="36"/>
  <c r="AX41" i="36"/>
  <c r="Q41" i="36"/>
  <c r="P41" i="36"/>
  <c r="AF39" i="36"/>
  <c r="AE39" i="36"/>
  <c r="Q39" i="36"/>
  <c r="P39" i="36"/>
  <c r="AF38" i="36"/>
  <c r="AE38" i="36"/>
  <c r="Q38" i="36"/>
  <c r="AX38" i="36" s="1"/>
  <c r="P38" i="36"/>
  <c r="AB37" i="36"/>
  <c r="AA37" i="36"/>
  <c r="Z37" i="36"/>
  <c r="Y37" i="36"/>
  <c r="Q37" i="36"/>
  <c r="P37" i="36"/>
  <c r="AF36" i="36"/>
  <c r="AE36" i="36" s="1"/>
  <c r="Q36" i="36"/>
  <c r="P36" i="36"/>
  <c r="AF35" i="36"/>
  <c r="Q35" i="36"/>
  <c r="P35" i="36"/>
  <c r="AF34" i="36"/>
  <c r="AE34" i="36" s="1"/>
  <c r="Q34" i="36"/>
  <c r="P34" i="36"/>
  <c r="Q33" i="36"/>
  <c r="P33" i="36"/>
  <c r="AF32" i="36"/>
  <c r="Q32" i="36"/>
  <c r="P32" i="36"/>
  <c r="AA31" i="36"/>
  <c r="AA29" i="36" s="1"/>
  <c r="AA33" i="36" s="1"/>
  <c r="Z31" i="36"/>
  <c r="Y31" i="36"/>
  <c r="Y29" i="36" s="1"/>
  <c r="Q31" i="36"/>
  <c r="P31" i="36"/>
  <c r="AF30" i="36"/>
  <c r="AE30" i="36" s="1"/>
  <c r="Q30" i="36"/>
  <c r="AX30" i="36" s="1"/>
  <c r="P30" i="36"/>
  <c r="AB29" i="36"/>
  <c r="Q29" i="36"/>
  <c r="P29" i="36"/>
  <c r="AB28" i="36"/>
  <c r="AB33" i="36" s="1"/>
  <c r="Q28" i="36"/>
  <c r="P28" i="36"/>
  <c r="AF26" i="36"/>
  <c r="AX26" i="36" s="1"/>
  <c r="AE26" i="36"/>
  <c r="AF25" i="36"/>
  <c r="AX25" i="36" s="1"/>
  <c r="AE25" i="36"/>
  <c r="AB24" i="36"/>
  <c r="AA24" i="36"/>
  <c r="Z24" i="36"/>
  <c r="AF24" i="36" s="1"/>
  <c r="AX24" i="36" s="1"/>
  <c r="AF23" i="36"/>
  <c r="AE23" i="36"/>
  <c r="Q23" i="36"/>
  <c r="P23" i="36"/>
  <c r="AF22" i="36"/>
  <c r="AE22" i="36"/>
  <c r="Q22" i="36"/>
  <c r="P22" i="36"/>
  <c r="AF21" i="36"/>
  <c r="AE21" i="36"/>
  <c r="Q21" i="36"/>
  <c r="P21" i="36"/>
  <c r="AF20" i="36"/>
  <c r="AE20" i="36"/>
  <c r="Q20" i="36"/>
  <c r="P20" i="36"/>
  <c r="AF19" i="36"/>
  <c r="AE19" i="36"/>
  <c r="Q19" i="36"/>
  <c r="P19" i="36"/>
  <c r="AB18" i="36"/>
  <c r="AA18" i="36"/>
  <c r="Z18" i="36"/>
  <c r="Q18" i="36"/>
  <c r="P18" i="36"/>
  <c r="AF16" i="36"/>
  <c r="AX16" i="36" s="1"/>
  <c r="Q16" i="36"/>
  <c r="P16" i="36" s="1"/>
  <c r="AF15" i="36"/>
  <c r="AX15" i="36" s="1"/>
  <c r="Q15" i="36"/>
  <c r="P15" i="36" s="1"/>
  <c r="AF14" i="36"/>
  <c r="AX14" i="36" s="1"/>
  <c r="Q14" i="36"/>
  <c r="P14" i="36" s="1"/>
  <c r="AF13" i="36"/>
  <c r="AX13" i="36" s="1"/>
  <c r="Q13" i="36"/>
  <c r="P13" i="36" s="1"/>
  <c r="AF12" i="36"/>
  <c r="AX12" i="36" s="1"/>
  <c r="Q12" i="36"/>
  <c r="P12" i="36" s="1"/>
  <c r="AF11" i="36"/>
  <c r="AX11" i="36" s="1"/>
  <c r="Q11" i="36"/>
  <c r="P11" i="36" s="1"/>
  <c r="AF10" i="36"/>
  <c r="AX10" i="36" s="1"/>
  <c r="Q10" i="36"/>
  <c r="P10" i="36" s="1"/>
  <c r="AF9" i="36"/>
  <c r="AX9" i="36" s="1"/>
  <c r="Q9" i="36"/>
  <c r="P9" i="36" s="1"/>
  <c r="AF8" i="36"/>
  <c r="AX8" i="36" s="1"/>
  <c r="Q8" i="36"/>
  <c r="P8" i="36" s="1"/>
  <c r="AF7" i="36"/>
  <c r="AX7" i="36" s="1"/>
  <c r="Q7" i="36"/>
  <c r="P7" i="36" s="1"/>
  <c r="AF6" i="36"/>
  <c r="AX6" i="36" s="1"/>
  <c r="Q6" i="36"/>
  <c r="P6" i="36" s="1"/>
  <c r="AF5" i="36"/>
  <c r="AX5" i="36" s="1"/>
  <c r="Q5" i="36"/>
  <c r="P5" i="36" s="1"/>
  <c r="AF4" i="36"/>
  <c r="AX4" i="36" s="1"/>
  <c r="Q4" i="36"/>
  <c r="P4" i="36" s="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29" i="21"/>
  <c r="X28" i="21"/>
  <c r="X27" i="21"/>
  <c r="X26" i="21"/>
  <c r="X25" i="21"/>
  <c r="X24" i="21"/>
  <c r="X23" i="21"/>
  <c r="X22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T5" i="21"/>
  <c r="AE118" i="53"/>
  <c r="AF117" i="53"/>
  <c r="AX117" i="53" s="1"/>
  <c r="AE117" i="53"/>
  <c r="AF116" i="53"/>
  <c r="AX116" i="53" s="1"/>
  <c r="AE116" i="53"/>
  <c r="AF115" i="53"/>
  <c r="AX115" i="53" s="1"/>
  <c r="AE115" i="53"/>
  <c r="AF114" i="53"/>
  <c r="AX114" i="53" s="1"/>
  <c r="AE114" i="53"/>
  <c r="AF113" i="53"/>
  <c r="AX113" i="53" s="1"/>
  <c r="AE113" i="53"/>
  <c r="AF112" i="53"/>
  <c r="AX112" i="53" s="1"/>
  <c r="AE112" i="53"/>
  <c r="AF111" i="53"/>
  <c r="AX111" i="53" s="1"/>
  <c r="AE111" i="53"/>
  <c r="AF110" i="53"/>
  <c r="AX110" i="53" s="1"/>
  <c r="AE110" i="53"/>
  <c r="AE109" i="53"/>
  <c r="AF108" i="53"/>
  <c r="AX108" i="53" s="1"/>
  <c r="AF107" i="53"/>
  <c r="AX107" i="53" s="1"/>
  <c r="AE107" i="53"/>
  <c r="AF106" i="53"/>
  <c r="AX106" i="53" s="1"/>
  <c r="AE106" i="53"/>
  <c r="AF105" i="53"/>
  <c r="AX105" i="53" s="1"/>
  <c r="AE105" i="53"/>
  <c r="AF104" i="53"/>
  <c r="AX104" i="53" s="1"/>
  <c r="AE104" i="53"/>
  <c r="AF103" i="53"/>
  <c r="AX103" i="53" s="1"/>
  <c r="AE103" i="53"/>
  <c r="AF102" i="53"/>
  <c r="AX102" i="53" s="1"/>
  <c r="AE102" i="53"/>
  <c r="AF101" i="53"/>
  <c r="AX101" i="53" s="1"/>
  <c r="AE101" i="53"/>
  <c r="AF100" i="53"/>
  <c r="AX100" i="53" s="1"/>
  <c r="AE100" i="53"/>
  <c r="AF99" i="53"/>
  <c r="AX99" i="53" s="1"/>
  <c r="AE99" i="53"/>
  <c r="AF98" i="53"/>
  <c r="AX98" i="53" s="1"/>
  <c r="AE98" i="53"/>
  <c r="AE97" i="53"/>
  <c r="AF97" i="53" s="1"/>
  <c r="AX97" i="53" s="1"/>
  <c r="AE95" i="53"/>
  <c r="Y94" i="53"/>
  <c r="Y119" i="53" s="1"/>
  <c r="X94" i="53"/>
  <c r="X119" i="53" s="1"/>
  <c r="AF93" i="53"/>
  <c r="AX93" i="53" s="1"/>
  <c r="AE93" i="53"/>
  <c r="AF92" i="53"/>
  <c r="AX92" i="53" s="1"/>
  <c r="AE92" i="53"/>
  <c r="AE91" i="53"/>
  <c r="AE90" i="53"/>
  <c r="AE89" i="53"/>
  <c r="AE88" i="53"/>
  <c r="AF88" i="53" s="1"/>
  <c r="AX88" i="53" s="1"/>
  <c r="AE87" i="53"/>
  <c r="AE86" i="53"/>
  <c r="AE85" i="53"/>
  <c r="AE84" i="53"/>
  <c r="AE83" i="53"/>
  <c r="AE82" i="53"/>
  <c r="AE81" i="53"/>
  <c r="AE80" i="53"/>
  <c r="AF80" i="53" s="1"/>
  <c r="AX80" i="53" s="1"/>
  <c r="AF79" i="53"/>
  <c r="AX79" i="53" s="1"/>
  <c r="AE79" i="53"/>
  <c r="AE78" i="53"/>
  <c r="AE77" i="53"/>
  <c r="AF77" i="53" s="1"/>
  <c r="AX77" i="53" s="1"/>
  <c r="AE76" i="53"/>
  <c r="AE75" i="53"/>
  <c r="AE74" i="53"/>
  <c r="AF74" i="53" s="1"/>
  <c r="AX74" i="53" s="1"/>
  <c r="AE73" i="53"/>
  <c r="AE72" i="53"/>
  <c r="AF72" i="53" s="1"/>
  <c r="AX72" i="53" s="1"/>
  <c r="AE71" i="53"/>
  <c r="AE70" i="53"/>
  <c r="AE69" i="53"/>
  <c r="AF69" i="53" s="1"/>
  <c r="AX69" i="53" s="1"/>
  <c r="AE68" i="53"/>
  <c r="AF67" i="53"/>
  <c r="AX67" i="53" s="1"/>
  <c r="AE67" i="53"/>
  <c r="AF66" i="53"/>
  <c r="AX66" i="53" s="1"/>
  <c r="AE66" i="53"/>
  <c r="AF65" i="53"/>
  <c r="AX65" i="53" s="1"/>
  <c r="AE65" i="53"/>
  <c r="AF64" i="53"/>
  <c r="AX64" i="53" s="1"/>
  <c r="AE64" i="53"/>
  <c r="AF62" i="53"/>
  <c r="AX62" i="53" s="1"/>
  <c r="AE62" i="53"/>
  <c r="AF61" i="53"/>
  <c r="AX61" i="53" s="1"/>
  <c r="AE61" i="53"/>
  <c r="AF59" i="53"/>
  <c r="AX59" i="53" s="1"/>
  <c r="AE59" i="53"/>
  <c r="Q59" i="53"/>
  <c r="P59" i="53"/>
  <c r="AF58" i="53"/>
  <c r="AX58" i="53" s="1"/>
  <c r="AE58" i="53"/>
  <c r="Q58" i="53"/>
  <c r="P58" i="53"/>
  <c r="Y57" i="53"/>
  <c r="W57" i="53"/>
  <c r="V57" i="53"/>
  <c r="U57" i="53"/>
  <c r="T57" i="53"/>
  <c r="S57" i="53"/>
  <c r="O57" i="53"/>
  <c r="N57" i="53"/>
  <c r="M57" i="53"/>
  <c r="L57" i="53"/>
  <c r="K57" i="53"/>
  <c r="J57" i="53"/>
  <c r="I57" i="53"/>
  <c r="H57" i="53"/>
  <c r="G57" i="53"/>
  <c r="F57" i="53"/>
  <c r="E57" i="53"/>
  <c r="D57" i="53"/>
  <c r="AF56" i="53"/>
  <c r="AX56" i="53" s="1"/>
  <c r="AE56" i="53"/>
  <c r="Q56" i="53"/>
  <c r="P56" i="53"/>
  <c r="AF55" i="53"/>
  <c r="AX55" i="53" s="1"/>
  <c r="AE55" i="53"/>
  <c r="Q55" i="53"/>
  <c r="P55" i="53"/>
  <c r="AF54" i="53"/>
  <c r="AX54" i="53" s="1"/>
  <c r="AE54" i="53"/>
  <c r="Q54" i="53"/>
  <c r="P54" i="53"/>
  <c r="AF53" i="53"/>
  <c r="AX53" i="53" s="1"/>
  <c r="AE53" i="53"/>
  <c r="Q53" i="53"/>
  <c r="P53" i="53"/>
  <c r="AF52" i="53"/>
  <c r="AX52" i="53" s="1"/>
  <c r="AE52" i="53"/>
  <c r="Q52" i="53"/>
  <c r="P52" i="53"/>
  <c r="AF51" i="53"/>
  <c r="AX51" i="53" s="1"/>
  <c r="AE51" i="53"/>
  <c r="Q51" i="53"/>
  <c r="P51" i="53"/>
  <c r="AF50" i="53"/>
  <c r="AX50" i="53" s="1"/>
  <c r="AE50" i="53"/>
  <c r="Q50" i="53"/>
  <c r="P50" i="53"/>
  <c r="AF49" i="53"/>
  <c r="AX49" i="53" s="1"/>
  <c r="AE49" i="53"/>
  <c r="Q49" i="53"/>
  <c r="P49" i="53"/>
  <c r="Y48" i="53"/>
  <c r="W48" i="53"/>
  <c r="V48" i="53"/>
  <c r="U48" i="53"/>
  <c r="T48" i="53"/>
  <c r="S48" i="53"/>
  <c r="O48" i="53"/>
  <c r="N48" i="53"/>
  <c r="M48" i="53"/>
  <c r="L48" i="53"/>
  <c r="K48" i="53"/>
  <c r="J48" i="53"/>
  <c r="I48" i="53"/>
  <c r="H48" i="53"/>
  <c r="G48" i="53"/>
  <c r="F48" i="53"/>
  <c r="E48" i="53"/>
  <c r="D48" i="53"/>
  <c r="AF47" i="53"/>
  <c r="AX47" i="53" s="1"/>
  <c r="AE47" i="53"/>
  <c r="Q47" i="53"/>
  <c r="P47" i="53"/>
  <c r="AF46" i="53"/>
  <c r="AX46" i="53" s="1"/>
  <c r="AE46" i="53"/>
  <c r="Q46" i="53"/>
  <c r="P46" i="53"/>
  <c r="AF45" i="53"/>
  <c r="AX45" i="53" s="1"/>
  <c r="AE45" i="53"/>
  <c r="Q45" i="53"/>
  <c r="P45" i="53"/>
  <c r="AF44" i="53"/>
  <c r="AX44" i="53" s="1"/>
  <c r="AE44" i="53"/>
  <c r="Q44" i="53"/>
  <c r="P44" i="53"/>
  <c r="AF43" i="53"/>
  <c r="AX43" i="53" s="1"/>
  <c r="AE43" i="53"/>
  <c r="Q43" i="53"/>
  <c r="P43" i="53"/>
  <c r="AF42" i="53"/>
  <c r="AX42" i="53" s="1"/>
  <c r="AE42" i="53"/>
  <c r="Q42" i="53"/>
  <c r="P42" i="53"/>
  <c r="AF41" i="53"/>
  <c r="AX41" i="53" s="1"/>
  <c r="Q41" i="53"/>
  <c r="P41" i="53"/>
  <c r="AF40" i="53"/>
  <c r="AX40" i="53" s="1"/>
  <c r="AE40" i="53"/>
  <c r="Q40" i="53"/>
  <c r="P40" i="53"/>
  <c r="AF39" i="53"/>
  <c r="AX39" i="53" s="1"/>
  <c r="AE39" i="53"/>
  <c r="P39" i="53"/>
  <c r="AF38" i="53"/>
  <c r="AX38" i="53" s="1"/>
  <c r="Q38" i="53"/>
  <c r="P38" i="53"/>
  <c r="Y37" i="53"/>
  <c r="Y34" i="53" s="1"/>
  <c r="Y36" i="53" s="1"/>
  <c r="W37" i="53"/>
  <c r="W34" i="53" s="1"/>
  <c r="V37" i="53"/>
  <c r="U37" i="53"/>
  <c r="T37" i="53"/>
  <c r="S37" i="53"/>
  <c r="O37" i="53"/>
  <c r="N37" i="53"/>
  <c r="M37" i="53"/>
  <c r="M34" i="53" s="1"/>
  <c r="M36" i="53" s="1"/>
  <c r="L37" i="53"/>
  <c r="K37" i="53"/>
  <c r="J37" i="53"/>
  <c r="I37" i="53"/>
  <c r="I34" i="53" s="1"/>
  <c r="I36" i="53" s="1"/>
  <c r="H37" i="53"/>
  <c r="G37" i="53"/>
  <c r="F37" i="53"/>
  <c r="E37" i="53"/>
  <c r="D37" i="53"/>
  <c r="V36" i="53"/>
  <c r="U36" i="53"/>
  <c r="T36" i="53"/>
  <c r="S36" i="53"/>
  <c r="AF35" i="53"/>
  <c r="AX35" i="53" s="1"/>
  <c r="AE35" i="53"/>
  <c r="Q35" i="53"/>
  <c r="P35" i="53"/>
  <c r="G34" i="53"/>
  <c r="G36" i="53" s="1"/>
  <c r="AE32" i="53"/>
  <c r="Q32" i="53"/>
  <c r="P32" i="53"/>
  <c r="O32" i="53"/>
  <c r="N32" i="53"/>
  <c r="M32" i="53"/>
  <c r="L32" i="53"/>
  <c r="K32" i="53"/>
  <c r="J32" i="53"/>
  <c r="I32" i="53"/>
  <c r="H32" i="53"/>
  <c r="G32" i="53"/>
  <c r="F32" i="53"/>
  <c r="E32" i="53"/>
  <c r="D32" i="53"/>
  <c r="AE31" i="53"/>
  <c r="AE26" i="53"/>
  <c r="AE25" i="53"/>
  <c r="AE24" i="53"/>
  <c r="AF24" i="53" s="1"/>
  <c r="AX24" i="53" s="1"/>
  <c r="AE23" i="53"/>
  <c r="AE22" i="53"/>
  <c r="AE21" i="53"/>
  <c r="AE20" i="53"/>
  <c r="AE19" i="53"/>
  <c r="AF19" i="53" s="1"/>
  <c r="AX19" i="53" s="1"/>
  <c r="AE18" i="53"/>
  <c r="AE17" i="53"/>
  <c r="AE16" i="53"/>
  <c r="AF16" i="53" s="1"/>
  <c r="AX16" i="53" s="1"/>
  <c r="AE15" i="53"/>
  <c r="AE14" i="53"/>
  <c r="AF14" i="53" s="1"/>
  <c r="AX14" i="53" s="1"/>
  <c r="AE13" i="53"/>
  <c r="AE12" i="53"/>
  <c r="AE11" i="53"/>
  <c r="AF11" i="53" s="1"/>
  <c r="AX11" i="53" s="1"/>
  <c r="AE10" i="53"/>
  <c r="AE9" i="53"/>
  <c r="AE8" i="53"/>
  <c r="AF8" i="53" s="1"/>
  <c r="AX8" i="53" s="1"/>
  <c r="AE7" i="53"/>
  <c r="AF5" i="53"/>
  <c r="AX5" i="53" s="1"/>
  <c r="AE5" i="53"/>
  <c r="P5" i="53"/>
  <c r="AF4" i="53"/>
  <c r="AX4" i="53" s="1"/>
  <c r="AE4" i="53"/>
  <c r="P4" i="53"/>
  <c r="W118" i="20"/>
  <c r="W117" i="20"/>
  <c r="W116" i="20"/>
  <c r="W115" i="20"/>
  <c r="W114" i="20"/>
  <c r="W113" i="20"/>
  <c r="W112" i="20"/>
  <c r="W111" i="20"/>
  <c r="W110" i="20"/>
  <c r="W109" i="20"/>
  <c r="W108" i="20"/>
  <c r="W107" i="20"/>
  <c r="W106" i="20"/>
  <c r="W105" i="20"/>
  <c r="W104" i="20"/>
  <c r="W103" i="20"/>
  <c r="W102" i="20"/>
  <c r="W101" i="20"/>
  <c r="W100" i="20"/>
  <c r="W99" i="20"/>
  <c r="W98" i="20"/>
  <c r="W97" i="20"/>
  <c r="W96" i="20"/>
  <c r="W95" i="20"/>
  <c r="W94" i="20"/>
  <c r="W93" i="20"/>
  <c r="W92" i="20"/>
  <c r="W91" i="20"/>
  <c r="W90" i="20"/>
  <c r="W89" i="20"/>
  <c r="W88" i="20"/>
  <c r="W87" i="20"/>
  <c r="W86" i="20"/>
  <c r="W85" i="20"/>
  <c r="W84" i="20"/>
  <c r="W83" i="20"/>
  <c r="W82" i="20"/>
  <c r="W81" i="20"/>
  <c r="W80" i="20"/>
  <c r="W79" i="20"/>
  <c r="W78" i="20"/>
  <c r="W77" i="20"/>
  <c r="W76" i="20"/>
  <c r="W75" i="20"/>
  <c r="W74" i="20"/>
  <c r="W73" i="20"/>
  <c r="W72" i="20"/>
  <c r="W71" i="20"/>
  <c r="W70" i="20"/>
  <c r="W69" i="20"/>
  <c r="W68" i="20"/>
  <c r="W67" i="20"/>
  <c r="W66" i="20"/>
  <c r="W65" i="20"/>
  <c r="W64" i="20"/>
  <c r="W63" i="20"/>
  <c r="W62" i="20"/>
  <c r="W61" i="20"/>
  <c r="W60" i="20"/>
  <c r="W59" i="20"/>
  <c r="W58" i="20"/>
  <c r="W57" i="20"/>
  <c r="W56" i="20"/>
  <c r="W55" i="20"/>
  <c r="W54" i="20"/>
  <c r="W53" i="20"/>
  <c r="W52" i="20"/>
  <c r="W51" i="20"/>
  <c r="W50" i="20"/>
  <c r="W49" i="20"/>
  <c r="W48" i="20"/>
  <c r="W47" i="20"/>
  <c r="W46" i="20"/>
  <c r="W45" i="20"/>
  <c r="W44" i="20"/>
  <c r="W43" i="20"/>
  <c r="W42" i="20"/>
  <c r="W41" i="20"/>
  <c r="W40" i="20"/>
  <c r="W39" i="20"/>
  <c r="W38" i="20"/>
  <c r="W37" i="20"/>
  <c r="W36" i="20"/>
  <c r="W35" i="20"/>
  <c r="W34" i="20"/>
  <c r="W33" i="20"/>
  <c r="W32" i="20"/>
  <c r="W31" i="20"/>
  <c r="W30" i="20"/>
  <c r="W29" i="20"/>
  <c r="W28" i="20"/>
  <c r="W27" i="20"/>
  <c r="W26" i="20"/>
  <c r="W25" i="20"/>
  <c r="W24" i="20"/>
  <c r="W23" i="20"/>
  <c r="W22" i="20"/>
  <c r="W21" i="20"/>
  <c r="W20" i="20"/>
  <c r="W19" i="20"/>
  <c r="W18" i="20"/>
  <c r="W17" i="20"/>
  <c r="W16" i="20"/>
  <c r="W15" i="20"/>
  <c r="W14" i="20"/>
  <c r="W13" i="20"/>
  <c r="W12" i="20"/>
  <c r="W11" i="20"/>
  <c r="W10" i="20"/>
  <c r="W9" i="20"/>
  <c r="W8" i="20"/>
  <c r="W7" i="20"/>
  <c r="W6" i="20"/>
  <c r="S5" i="20"/>
  <c r="AF140" i="34"/>
  <c r="Q140" i="34"/>
  <c r="AF139" i="34"/>
  <c r="Q139" i="34"/>
  <c r="AF138" i="34"/>
  <c r="Q138" i="34"/>
  <c r="AF137" i="34"/>
  <c r="Q137" i="34"/>
  <c r="AF136" i="34"/>
  <c r="Q136" i="34"/>
  <c r="AF135" i="34"/>
  <c r="Q135" i="34"/>
  <c r="AF134" i="34"/>
  <c r="Q134" i="34"/>
  <c r="AF133" i="34"/>
  <c r="Q133" i="34"/>
  <c r="AF132" i="34"/>
  <c r="Q132" i="34"/>
  <c r="AF131" i="34"/>
  <c r="Q131" i="34"/>
  <c r="AF130" i="34"/>
  <c r="Q130" i="34"/>
  <c r="AF129" i="34"/>
  <c r="Q129" i="34"/>
  <c r="AF128" i="34"/>
  <c r="Q128" i="34"/>
  <c r="AF127" i="34"/>
  <c r="Q127" i="34"/>
  <c r="AF126" i="34"/>
  <c r="Q126" i="34"/>
  <c r="AF125" i="34"/>
  <c r="Q125" i="34"/>
  <c r="X124" i="34"/>
  <c r="AF124" i="34" s="1"/>
  <c r="O124" i="34"/>
  <c r="N124" i="34"/>
  <c r="M124" i="34"/>
  <c r="L124" i="34"/>
  <c r="K124" i="34"/>
  <c r="J124" i="34"/>
  <c r="I124" i="34"/>
  <c r="H124" i="34"/>
  <c r="G124" i="34"/>
  <c r="F124" i="34"/>
  <c r="E124" i="34"/>
  <c r="D124" i="34"/>
  <c r="X123" i="34"/>
  <c r="AF123" i="34" s="1"/>
  <c r="O123" i="34"/>
  <c r="N123" i="34"/>
  <c r="M123" i="34"/>
  <c r="L123" i="34"/>
  <c r="K123" i="34"/>
  <c r="J123" i="34"/>
  <c r="I123" i="34"/>
  <c r="H123" i="34"/>
  <c r="G123" i="34"/>
  <c r="F123" i="34"/>
  <c r="E123" i="34"/>
  <c r="D123" i="34"/>
  <c r="X122" i="34"/>
  <c r="AF122" i="34" s="1"/>
  <c r="O122" i="34"/>
  <c r="Q122" i="34" s="1"/>
  <c r="X121" i="34"/>
  <c r="AF121" i="34" s="1"/>
  <c r="O121" i="34"/>
  <c r="N121" i="34"/>
  <c r="M121" i="34"/>
  <c r="L121" i="34"/>
  <c r="K121" i="34"/>
  <c r="J121" i="34"/>
  <c r="I121" i="34"/>
  <c r="H121" i="34"/>
  <c r="G121" i="34"/>
  <c r="F121" i="34"/>
  <c r="E121" i="34"/>
  <c r="D121" i="34"/>
  <c r="X120" i="34"/>
  <c r="AF120" i="34" s="1"/>
  <c r="O120" i="34"/>
  <c r="N120" i="34"/>
  <c r="M120" i="34"/>
  <c r="L120" i="34"/>
  <c r="K120" i="34"/>
  <c r="J120" i="34"/>
  <c r="I120" i="34"/>
  <c r="H120" i="34"/>
  <c r="G120" i="34"/>
  <c r="F120" i="34"/>
  <c r="E120" i="34"/>
  <c r="D120" i="34"/>
  <c r="W119" i="34"/>
  <c r="V119" i="34"/>
  <c r="U119" i="34"/>
  <c r="T119" i="34"/>
  <c r="S119" i="34"/>
  <c r="AG118" i="34"/>
  <c r="AF118" i="34"/>
  <c r="Q118" i="34"/>
  <c r="AG117" i="34"/>
  <c r="AF117" i="34"/>
  <c r="Q117" i="34"/>
  <c r="AG116" i="34"/>
  <c r="AF116" i="34"/>
  <c r="Q116" i="34"/>
  <c r="AG115" i="34"/>
  <c r="AF115" i="34"/>
  <c r="Q115" i="34"/>
  <c r="AG114" i="34"/>
  <c r="AF114" i="34"/>
  <c r="Q114" i="34"/>
  <c r="AG113" i="34"/>
  <c r="AF113" i="34"/>
  <c r="Q113" i="34"/>
  <c r="AG112" i="34"/>
  <c r="AF112" i="34"/>
  <c r="Q112" i="34"/>
  <c r="AG111" i="34"/>
  <c r="AF111" i="34"/>
  <c r="Q111" i="34"/>
  <c r="AG110" i="34"/>
  <c r="AF110" i="34"/>
  <c r="Q110" i="34"/>
  <c r="AF109" i="34"/>
  <c r="Q109" i="34"/>
  <c r="Z108" i="34"/>
  <c r="Y108" i="34"/>
  <c r="X108" i="34"/>
  <c r="O108" i="34"/>
  <c r="N108" i="34"/>
  <c r="M108" i="34"/>
  <c r="L108" i="34"/>
  <c r="K108" i="34"/>
  <c r="J108" i="34"/>
  <c r="I108" i="34"/>
  <c r="H108" i="34"/>
  <c r="G108" i="34"/>
  <c r="F108" i="34"/>
  <c r="E108" i="34"/>
  <c r="D108" i="34"/>
  <c r="Z107" i="34"/>
  <c r="Y107" i="34"/>
  <c r="X107" i="34"/>
  <c r="O107" i="34"/>
  <c r="N107" i="34"/>
  <c r="M107" i="34"/>
  <c r="L107" i="34"/>
  <c r="K107" i="34"/>
  <c r="J107" i="34"/>
  <c r="I107" i="34"/>
  <c r="H107" i="34"/>
  <c r="G107" i="34"/>
  <c r="F107" i="34"/>
  <c r="E107" i="34"/>
  <c r="D107" i="34"/>
  <c r="Z106" i="34"/>
  <c r="Y106" i="34"/>
  <c r="X106" i="34"/>
  <c r="O106" i="34"/>
  <c r="Q106" i="34" s="1"/>
  <c r="Z105" i="34"/>
  <c r="Y105" i="34"/>
  <c r="X105" i="34"/>
  <c r="O105" i="34"/>
  <c r="N105" i="34"/>
  <c r="M105" i="34"/>
  <c r="L105" i="34"/>
  <c r="K105" i="34"/>
  <c r="J105" i="34"/>
  <c r="I105" i="34"/>
  <c r="H105" i="34"/>
  <c r="G105" i="34"/>
  <c r="F105" i="34"/>
  <c r="E105" i="34"/>
  <c r="D105" i="34"/>
  <c r="Z104" i="34"/>
  <c r="Y104" i="34"/>
  <c r="X104" i="34"/>
  <c r="O104" i="34"/>
  <c r="N104" i="34"/>
  <c r="M104" i="34"/>
  <c r="L104" i="34"/>
  <c r="K104" i="34"/>
  <c r="J104" i="34"/>
  <c r="I104" i="34"/>
  <c r="H104" i="34"/>
  <c r="G104" i="34"/>
  <c r="F104" i="34"/>
  <c r="E104" i="34"/>
  <c r="D104" i="34"/>
  <c r="AB103" i="34"/>
  <c r="AA103" i="34"/>
  <c r="W103" i="34"/>
  <c r="V103" i="34"/>
  <c r="U103" i="34"/>
  <c r="T103" i="34"/>
  <c r="S103" i="34"/>
  <c r="AF57" i="34"/>
  <c r="Q57" i="34"/>
  <c r="AF56" i="34"/>
  <c r="Q56" i="34"/>
  <c r="AF55" i="34"/>
  <c r="Q55" i="34"/>
  <c r="AF54" i="34"/>
  <c r="Q54" i="34"/>
  <c r="AF53" i="34"/>
  <c r="Q53" i="34"/>
  <c r="AB52" i="34"/>
  <c r="AA52" i="34"/>
  <c r="Z52" i="34"/>
  <c r="Y52" i="34"/>
  <c r="X52" i="34"/>
  <c r="W52" i="34"/>
  <c r="V52" i="34"/>
  <c r="U52" i="34"/>
  <c r="T52" i="34"/>
  <c r="S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AF51" i="34"/>
  <c r="Q51" i="34"/>
  <c r="AF50" i="34"/>
  <c r="Q50" i="34"/>
  <c r="AF49" i="34"/>
  <c r="Q49" i="34"/>
  <c r="AF48" i="34"/>
  <c r="Q48" i="34"/>
  <c r="AB47" i="34"/>
  <c r="AA47" i="34"/>
  <c r="Z47" i="34"/>
  <c r="Y47" i="34"/>
  <c r="X47" i="34"/>
  <c r="W47" i="34"/>
  <c r="V47" i="34"/>
  <c r="U47" i="34"/>
  <c r="T47" i="34"/>
  <c r="S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AF46" i="34"/>
  <c r="Q46" i="34"/>
  <c r="AF45" i="34"/>
  <c r="Q45" i="34"/>
  <c r="AF44" i="34"/>
  <c r="Q44" i="34"/>
  <c r="AF43" i="34"/>
  <c r="Q43" i="34"/>
  <c r="AB42" i="34"/>
  <c r="AA42" i="34"/>
  <c r="Z42" i="34"/>
  <c r="Y42" i="34"/>
  <c r="X42" i="34"/>
  <c r="W42" i="34"/>
  <c r="V42" i="34"/>
  <c r="U42" i="34"/>
  <c r="T42" i="34"/>
  <c r="S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AF41" i="34"/>
  <c r="Q41" i="34"/>
  <c r="AF40" i="34"/>
  <c r="Q40" i="34"/>
  <c r="AF39" i="34"/>
  <c r="Q39" i="34"/>
  <c r="AF38" i="34"/>
  <c r="Q38" i="34"/>
  <c r="AB37" i="34"/>
  <c r="AA37" i="34"/>
  <c r="Z37" i="34"/>
  <c r="Y37" i="34"/>
  <c r="X37" i="34"/>
  <c r="W37" i="34"/>
  <c r="V37" i="34"/>
  <c r="U37" i="34"/>
  <c r="T37" i="34"/>
  <c r="S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AF36" i="34"/>
  <c r="Q36" i="34"/>
  <c r="AF35" i="34"/>
  <c r="Q35" i="34"/>
  <c r="AF34" i="34"/>
  <c r="Q34" i="34"/>
  <c r="AF33" i="34"/>
  <c r="Q33" i="34"/>
  <c r="AB32" i="34"/>
  <c r="AA32" i="34"/>
  <c r="Z32" i="34"/>
  <c r="Y32" i="34"/>
  <c r="X32" i="34"/>
  <c r="W32" i="34"/>
  <c r="V32" i="34"/>
  <c r="U32" i="34"/>
  <c r="T32" i="34"/>
  <c r="S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AF30" i="34"/>
  <c r="Q30" i="34"/>
  <c r="AF29" i="34"/>
  <c r="Q29" i="34"/>
  <c r="AF28" i="34"/>
  <c r="Q28" i="34"/>
  <c r="AF27" i="34"/>
  <c r="Q27" i="34"/>
  <c r="AF26" i="34"/>
  <c r="AF25" i="34"/>
  <c r="Q25" i="34"/>
  <c r="AF24" i="34"/>
  <c r="Q24" i="34"/>
  <c r="AF23" i="34"/>
  <c r="Q23" i="34"/>
  <c r="AB22" i="34"/>
  <c r="AA22" i="34"/>
  <c r="Z22" i="34"/>
  <c r="Y22" i="34"/>
  <c r="X22" i="34"/>
  <c r="W22" i="34"/>
  <c r="V22" i="34"/>
  <c r="U22" i="34"/>
  <c r="T22" i="34"/>
  <c r="S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AF21" i="34"/>
  <c r="Q21" i="34"/>
  <c r="AF20" i="34"/>
  <c r="Q20" i="34"/>
  <c r="AF19" i="34"/>
  <c r="Q19" i="34"/>
  <c r="AF18" i="34"/>
  <c r="Q18" i="34"/>
  <c r="AF17" i="34"/>
  <c r="Q17" i="34"/>
  <c r="AF16" i="34"/>
  <c r="Q16" i="34"/>
  <c r="AF15" i="34"/>
  <c r="Q15" i="34"/>
  <c r="AF14" i="34"/>
  <c r="Q14" i="34"/>
  <c r="AF13" i="34"/>
  <c r="Q13" i="34"/>
  <c r="AA12" i="34"/>
  <c r="Z12" i="34"/>
  <c r="Y12" i="34"/>
  <c r="X12" i="34"/>
  <c r="W12" i="34"/>
  <c r="V12" i="34"/>
  <c r="U12" i="34"/>
  <c r="T12" i="34"/>
  <c r="S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F11" i="34"/>
  <c r="Q11" i="34"/>
  <c r="AF10" i="34"/>
  <c r="Q10" i="34"/>
  <c r="AF9" i="34"/>
  <c r="Q9" i="34"/>
  <c r="AF8" i="34"/>
  <c r="Q8" i="34"/>
  <c r="AF7" i="34"/>
  <c r="Q7" i="34"/>
  <c r="AA6" i="34"/>
  <c r="Z6" i="34"/>
  <c r="Y6" i="34"/>
  <c r="X6" i="34"/>
  <c r="W6" i="34"/>
  <c r="V6" i="34"/>
  <c r="U6" i="34"/>
  <c r="T6" i="34"/>
  <c r="S6" i="34"/>
  <c r="O6" i="34"/>
  <c r="N6" i="34"/>
  <c r="M6" i="34"/>
  <c r="L6" i="34"/>
  <c r="K6" i="34"/>
  <c r="J6" i="34"/>
  <c r="I6" i="34"/>
  <c r="H6" i="34"/>
  <c r="G6" i="34"/>
  <c r="F6" i="34"/>
  <c r="E6" i="34"/>
  <c r="D6" i="34"/>
  <c r="AF5" i="34"/>
  <c r="Q5" i="34"/>
  <c r="AC4" i="34"/>
  <c r="AB4" i="34"/>
  <c r="W145" i="19"/>
  <c r="W144" i="19"/>
  <c r="W143" i="19"/>
  <c r="W142" i="19"/>
  <c r="W141" i="19"/>
  <c r="W140" i="19"/>
  <c r="W139" i="19"/>
  <c r="W138" i="19"/>
  <c r="W137" i="19"/>
  <c r="W136" i="19"/>
  <c r="W135" i="19"/>
  <c r="W134" i="19"/>
  <c r="W133" i="19"/>
  <c r="W132" i="19"/>
  <c r="W131" i="19"/>
  <c r="W130" i="19"/>
  <c r="W129" i="19"/>
  <c r="W128" i="19"/>
  <c r="W127" i="19"/>
  <c r="W126" i="19"/>
  <c r="W125" i="19"/>
  <c r="W124" i="19"/>
  <c r="W123" i="19"/>
  <c r="W122" i="19"/>
  <c r="W121" i="19"/>
  <c r="W120" i="19"/>
  <c r="W119" i="19"/>
  <c r="W118" i="19"/>
  <c r="W117" i="19"/>
  <c r="W116" i="19"/>
  <c r="W115" i="19"/>
  <c r="W114" i="19"/>
  <c r="W113" i="19"/>
  <c r="W112" i="19"/>
  <c r="W111" i="19"/>
  <c r="W110" i="19"/>
  <c r="W59" i="19"/>
  <c r="W58" i="19"/>
  <c r="W57" i="19"/>
  <c r="W56" i="19"/>
  <c r="W55" i="19"/>
  <c r="W54" i="19"/>
  <c r="W53" i="19"/>
  <c r="W52" i="19"/>
  <c r="W51" i="19"/>
  <c r="W50" i="19"/>
  <c r="W49" i="19"/>
  <c r="W48" i="19"/>
  <c r="W47" i="19"/>
  <c r="W46" i="19"/>
  <c r="W45" i="19"/>
  <c r="W44" i="19"/>
  <c r="W43" i="19"/>
  <c r="W42" i="19"/>
  <c r="W41" i="19"/>
  <c r="W40" i="19"/>
  <c r="W39" i="19"/>
  <c r="W38" i="19"/>
  <c r="W37" i="19"/>
  <c r="W36" i="19"/>
  <c r="W35" i="19"/>
  <c r="W34" i="19"/>
  <c r="W33" i="19"/>
  <c r="W32" i="19"/>
  <c r="W31" i="19"/>
  <c r="W27" i="19"/>
  <c r="W26" i="19"/>
  <c r="W24" i="19"/>
  <c r="W23" i="19"/>
  <c r="W22" i="19"/>
  <c r="W21" i="19"/>
  <c r="W20" i="19"/>
  <c r="W19" i="19"/>
  <c r="W18" i="19"/>
  <c r="W17" i="19"/>
  <c r="W16" i="19"/>
  <c r="W15" i="19"/>
  <c r="W14" i="19"/>
  <c r="W13" i="19"/>
  <c r="W12" i="19"/>
  <c r="W11" i="19"/>
  <c r="W10" i="19"/>
  <c r="W9" i="19"/>
  <c r="W8" i="19"/>
  <c r="W7" i="19"/>
  <c r="AT477" i="22"/>
  <c r="AE477" i="22"/>
  <c r="AF477" i="22" s="1"/>
  <c r="P477" i="22"/>
  <c r="Q477" i="22" s="1"/>
  <c r="AT476" i="22"/>
  <c r="AE476" i="22"/>
  <c r="AF476" i="22" s="1"/>
  <c r="P476" i="22"/>
  <c r="Q476" i="22" s="1"/>
  <c r="AT475" i="22"/>
  <c r="AE475" i="22"/>
  <c r="AF475" i="22" s="1"/>
  <c r="P475" i="22"/>
  <c r="Q475" i="22" s="1"/>
  <c r="AT474" i="22"/>
  <c r="AE474" i="22"/>
  <c r="AF474" i="22" s="1"/>
  <c r="Q474" i="22"/>
  <c r="P474" i="22"/>
  <c r="AT473" i="22"/>
  <c r="AE473" i="22"/>
  <c r="AF473" i="22" s="1"/>
  <c r="Q473" i="22"/>
  <c r="P473" i="22"/>
  <c r="AT472" i="22"/>
  <c r="AF472" i="22"/>
  <c r="AE472" i="22"/>
  <c r="Q472" i="22"/>
  <c r="P472" i="22"/>
  <c r="AT471" i="22"/>
  <c r="AF471" i="22"/>
  <c r="AE471" i="22"/>
  <c r="Q471" i="22"/>
  <c r="P471" i="22"/>
  <c r="AT470" i="22"/>
  <c r="AF470" i="22"/>
  <c r="AE470" i="22"/>
  <c r="Q470" i="22"/>
  <c r="P470" i="22"/>
  <c r="AT469" i="22"/>
  <c r="AF469" i="22"/>
  <c r="AE469" i="22"/>
  <c r="Q469" i="22"/>
  <c r="P469" i="22"/>
  <c r="AT468" i="22"/>
  <c r="AF468" i="22"/>
  <c r="AE468" i="22"/>
  <c r="Q468" i="22"/>
  <c r="P468" i="22"/>
  <c r="AT467" i="22"/>
  <c r="AF467" i="22"/>
  <c r="AE467" i="22"/>
  <c r="P467" i="22"/>
  <c r="Q467" i="22" s="1"/>
  <c r="AT466" i="22"/>
  <c r="AF466" i="22"/>
  <c r="AE466" i="22"/>
  <c r="P466" i="22"/>
  <c r="Q466" i="22" s="1"/>
  <c r="AT465" i="22"/>
  <c r="AE465" i="22"/>
  <c r="AF465" i="22" s="1"/>
  <c r="P465" i="22"/>
  <c r="Q465" i="22" s="1"/>
  <c r="AT464" i="22"/>
  <c r="AE464" i="22"/>
  <c r="AF464" i="22" s="1"/>
  <c r="P464" i="22"/>
  <c r="Q464" i="22" s="1"/>
  <c r="AT463" i="22"/>
  <c r="AE463" i="22"/>
  <c r="AF463" i="22" s="1"/>
  <c r="P463" i="22"/>
  <c r="Q463" i="22" s="1"/>
  <c r="AT462" i="22"/>
  <c r="AE462" i="22"/>
  <c r="AF462" i="22" s="1"/>
  <c r="P462" i="22"/>
  <c r="Q462" i="22" s="1"/>
  <c r="AT461" i="22"/>
  <c r="AE461" i="22"/>
  <c r="AF461" i="22" s="1"/>
  <c r="P461" i="22"/>
  <c r="Q461" i="22" s="1"/>
  <c r="AT460" i="22"/>
  <c r="AE460" i="22"/>
  <c r="AF460" i="22" s="1"/>
  <c r="P460" i="22"/>
  <c r="Q460" i="22" s="1"/>
  <c r="AT459" i="22"/>
  <c r="AE459" i="22"/>
  <c r="AF459" i="22" s="1"/>
  <c r="P459" i="22"/>
  <c r="Q459" i="22" s="1"/>
  <c r="AT458" i="22"/>
  <c r="AE458" i="22"/>
  <c r="AF458" i="22" s="1"/>
  <c r="Q458" i="22"/>
  <c r="P458" i="22"/>
  <c r="AT457" i="22"/>
  <c r="AE457" i="22"/>
  <c r="AF457" i="22" s="1"/>
  <c r="Q457" i="22"/>
  <c r="P457" i="22"/>
  <c r="AT456" i="22"/>
  <c r="AF456" i="22"/>
  <c r="AE456" i="22"/>
  <c r="Q456" i="22"/>
  <c r="P456" i="22"/>
  <c r="AT455" i="22"/>
  <c r="AF455" i="22"/>
  <c r="AE455" i="22"/>
  <c r="Q455" i="22"/>
  <c r="P455" i="22"/>
  <c r="AT454" i="22"/>
  <c r="AF454" i="22"/>
  <c r="AE454" i="22"/>
  <c r="Q454" i="22"/>
  <c r="P454" i="22"/>
  <c r="AT453" i="22"/>
  <c r="AF453" i="22"/>
  <c r="AE453" i="22"/>
  <c r="Q453" i="22"/>
  <c r="P453" i="22"/>
  <c r="AT452" i="22"/>
  <c r="AF452" i="22"/>
  <c r="AE452" i="22"/>
  <c r="Q452" i="22"/>
  <c r="P452" i="22"/>
  <c r="AT451" i="22"/>
  <c r="AF451" i="22"/>
  <c r="AE451" i="22"/>
  <c r="P451" i="22"/>
  <c r="Q451" i="22" s="1"/>
  <c r="AT450" i="22"/>
  <c r="AF450" i="22"/>
  <c r="AE450" i="22"/>
  <c r="P450" i="22"/>
  <c r="Q450" i="22" s="1"/>
  <c r="AT449" i="22"/>
  <c r="AE449" i="22"/>
  <c r="AF449" i="22" s="1"/>
  <c r="P449" i="22"/>
  <c r="Q449" i="22" s="1"/>
  <c r="AT448" i="22"/>
  <c r="AE448" i="22"/>
  <c r="AF448" i="22" s="1"/>
  <c r="P448" i="22"/>
  <c r="Q448" i="22" s="1"/>
  <c r="AT447" i="22"/>
  <c r="AE447" i="22"/>
  <c r="AF447" i="22" s="1"/>
  <c r="P447" i="22"/>
  <c r="Q447" i="22" s="1"/>
  <c r="AT446" i="22"/>
  <c r="AE446" i="22"/>
  <c r="AF446" i="22" s="1"/>
  <c r="P446" i="22"/>
  <c r="Q446" i="22" s="1"/>
  <c r="AT445" i="22"/>
  <c r="AE445" i="22"/>
  <c r="AF445" i="22" s="1"/>
  <c r="P445" i="22"/>
  <c r="Q445" i="22" s="1"/>
  <c r="AT444" i="22"/>
  <c r="AE444" i="22"/>
  <c r="AF444" i="22" s="1"/>
  <c r="P444" i="22"/>
  <c r="Q444" i="22" s="1"/>
  <c r="AT443" i="22"/>
  <c r="AE443" i="22"/>
  <c r="AF443" i="22" s="1"/>
  <c r="P443" i="22"/>
  <c r="Q443" i="22" s="1"/>
  <c r="AT442" i="22"/>
  <c r="AE442" i="22"/>
  <c r="AF442" i="22" s="1"/>
  <c r="Q442" i="22"/>
  <c r="P442" i="22"/>
  <c r="AT441" i="22"/>
  <c r="AE441" i="22"/>
  <c r="AF441" i="22" s="1"/>
  <c r="Q441" i="22"/>
  <c r="P441" i="22"/>
  <c r="AT440" i="22"/>
  <c r="AF440" i="22"/>
  <c r="AE440" i="22"/>
  <c r="Q440" i="22"/>
  <c r="P440" i="22"/>
  <c r="AT439" i="22"/>
  <c r="AF439" i="22"/>
  <c r="AE439" i="22"/>
  <c r="Q439" i="22"/>
  <c r="P439" i="22"/>
  <c r="AT438" i="22"/>
  <c r="AF438" i="22"/>
  <c r="AE438" i="22"/>
  <c r="Q438" i="22"/>
  <c r="P438" i="22"/>
  <c r="AT437" i="22"/>
  <c r="AF437" i="22"/>
  <c r="AE437" i="22"/>
  <c r="Q437" i="22"/>
  <c r="P437" i="22"/>
  <c r="AT436" i="22"/>
  <c r="AF436" i="22"/>
  <c r="AE436" i="22"/>
  <c r="Q436" i="22"/>
  <c r="P436" i="22"/>
  <c r="AT435" i="22"/>
  <c r="AF435" i="22"/>
  <c r="AE435" i="22"/>
  <c r="P435" i="22"/>
  <c r="Q435" i="22" s="1"/>
  <c r="AT434" i="22"/>
  <c r="AF434" i="22"/>
  <c r="AE434" i="22"/>
  <c r="P434" i="22"/>
  <c r="Q434" i="22" s="1"/>
  <c r="AT433" i="22"/>
  <c r="AE433" i="22"/>
  <c r="AF433" i="22" s="1"/>
  <c r="P433" i="22"/>
  <c r="Q433" i="22" s="1"/>
  <c r="AT432" i="22"/>
  <c r="AE432" i="22"/>
  <c r="AF432" i="22" s="1"/>
  <c r="P432" i="22"/>
  <c r="Q432" i="22" s="1"/>
  <c r="AT431" i="22"/>
  <c r="AE431" i="22"/>
  <c r="AF431" i="22" s="1"/>
  <c r="P431" i="22"/>
  <c r="Q431" i="22" s="1"/>
  <c r="AT430" i="22"/>
  <c r="AE430" i="22"/>
  <c r="AF430" i="22" s="1"/>
  <c r="P430" i="22"/>
  <c r="Q430" i="22" s="1"/>
  <c r="AT429" i="22"/>
  <c r="AE429" i="22"/>
  <c r="AF429" i="22" s="1"/>
  <c r="P429" i="22"/>
  <c r="Q429" i="22" s="1"/>
  <c r="AT428" i="22"/>
  <c r="AE428" i="22"/>
  <c r="AF428" i="22" s="1"/>
  <c r="P428" i="22"/>
  <c r="Q428" i="22" s="1"/>
  <c r="AT427" i="22"/>
  <c r="AE427" i="22"/>
  <c r="AF427" i="22" s="1"/>
  <c r="P427" i="22"/>
  <c r="Q427" i="22" s="1"/>
  <c r="AT426" i="22"/>
  <c r="AT425" i="22"/>
  <c r="AE425" i="22"/>
  <c r="AF425" i="22" s="1"/>
  <c r="P425" i="22"/>
  <c r="Q425" i="22" s="1"/>
  <c r="AT424" i="22"/>
  <c r="AE424" i="22"/>
  <c r="AF424" i="22" s="1"/>
  <c r="P424" i="22"/>
  <c r="Q424" i="22" s="1"/>
  <c r="AT423" i="22"/>
  <c r="AE423" i="22"/>
  <c r="AF423" i="22" s="1"/>
  <c r="P423" i="22"/>
  <c r="Q423" i="22" s="1"/>
  <c r="AT422" i="22"/>
  <c r="AE422" i="22"/>
  <c r="AF422" i="22" s="1"/>
  <c r="Q422" i="22"/>
  <c r="P422" i="22"/>
  <c r="AT421" i="22"/>
  <c r="AE421" i="22"/>
  <c r="AF421" i="22" s="1"/>
  <c r="Q421" i="22"/>
  <c r="P421" i="22"/>
  <c r="AB61" i="26"/>
  <c r="AT420" i="22"/>
  <c r="AF420" i="22"/>
  <c r="AE420" i="22"/>
  <c r="Q420" i="22"/>
  <c r="P420" i="22"/>
  <c r="AT419" i="22"/>
  <c r="AF419" i="22"/>
  <c r="AE419" i="22"/>
  <c r="Q419" i="22"/>
  <c r="P419" i="22"/>
  <c r="AT418" i="22"/>
  <c r="AF418" i="22"/>
  <c r="AE418" i="22"/>
  <c r="Q418" i="22"/>
  <c r="P418" i="22"/>
  <c r="AT417" i="22"/>
  <c r="AF417" i="22"/>
  <c r="AE417" i="22"/>
  <c r="Q417" i="22"/>
  <c r="P417" i="22"/>
  <c r="AT416" i="22"/>
  <c r="AF416" i="22"/>
  <c r="AE416" i="22"/>
  <c r="Q416" i="22"/>
  <c r="P416" i="22"/>
  <c r="AT415" i="22"/>
  <c r="AF415" i="22"/>
  <c r="AE415" i="22"/>
  <c r="P415" i="22"/>
  <c r="Q415" i="22" s="1"/>
  <c r="AT414" i="22"/>
  <c r="AF414" i="22"/>
  <c r="AE414" i="22"/>
  <c r="P414" i="22"/>
  <c r="Q414" i="22" s="1"/>
  <c r="AT413" i="22"/>
  <c r="AE413" i="22"/>
  <c r="AF413" i="22" s="1"/>
  <c r="P413" i="22"/>
  <c r="Q413" i="22" s="1"/>
  <c r="AT412" i="22"/>
  <c r="AE412" i="22"/>
  <c r="AF412" i="22" s="1"/>
  <c r="P412" i="22"/>
  <c r="Q412" i="22" s="1"/>
  <c r="AT411" i="22"/>
  <c r="AE411" i="22"/>
  <c r="AF411" i="22" s="1"/>
  <c r="P411" i="22"/>
  <c r="Q411" i="22" s="1"/>
  <c r="AT410" i="22"/>
  <c r="AE410" i="22"/>
  <c r="AF410" i="22" s="1"/>
  <c r="P410" i="22"/>
  <c r="Q410" i="22" s="1"/>
  <c r="AT409" i="22"/>
  <c r="AE409" i="22"/>
  <c r="AF409" i="22" s="1"/>
  <c r="P409" i="22"/>
  <c r="Q409" i="22" s="1"/>
  <c r="AT408" i="22"/>
  <c r="AE408" i="22"/>
  <c r="AF408" i="22" s="1"/>
  <c r="Q408" i="22"/>
  <c r="P408" i="22"/>
  <c r="AT407" i="22"/>
  <c r="AE407" i="22"/>
  <c r="AF407" i="22" s="1"/>
  <c r="P407" i="22"/>
  <c r="Q407" i="22" s="1"/>
  <c r="AT406" i="22"/>
  <c r="AF406" i="22"/>
  <c r="AE406" i="22"/>
  <c r="Q406" i="22"/>
  <c r="P406" i="22"/>
  <c r="AT405" i="22"/>
  <c r="AE405" i="22"/>
  <c r="AF405" i="22" s="1"/>
  <c r="Q405" i="22"/>
  <c r="P405" i="22"/>
  <c r="AT404" i="22"/>
  <c r="AF404" i="22"/>
  <c r="AE404" i="22"/>
  <c r="Q404" i="22"/>
  <c r="P404" i="22"/>
  <c r="AT403" i="22"/>
  <c r="AF403" i="22"/>
  <c r="AE403" i="22"/>
  <c r="Q403" i="22"/>
  <c r="P403" i="22"/>
  <c r="AT402" i="22"/>
  <c r="AF402" i="22"/>
  <c r="AE402" i="22"/>
  <c r="Q402" i="22"/>
  <c r="P402" i="22"/>
  <c r="AT401" i="22"/>
  <c r="AF401" i="22"/>
  <c r="AE401" i="22"/>
  <c r="Q401" i="22"/>
  <c r="P401" i="22"/>
  <c r="AT400" i="22"/>
  <c r="AF400" i="22"/>
  <c r="AE400" i="22"/>
  <c r="Q400" i="22"/>
  <c r="P400" i="22"/>
  <c r="AT399" i="22"/>
  <c r="AF399" i="22"/>
  <c r="AE399" i="22"/>
  <c r="P399" i="22"/>
  <c r="Q399" i="22" s="1"/>
  <c r="AT398" i="22"/>
  <c r="AF398" i="22"/>
  <c r="AE398" i="22"/>
  <c r="P398" i="22"/>
  <c r="Q398" i="22" s="1"/>
  <c r="AT397" i="22"/>
  <c r="AE397" i="22"/>
  <c r="AF397" i="22" s="1"/>
  <c r="P397" i="22"/>
  <c r="Q397" i="22" s="1"/>
  <c r="AT396" i="22"/>
  <c r="AE396" i="22"/>
  <c r="AF396" i="22" s="1"/>
  <c r="P396" i="22"/>
  <c r="Q396" i="22" s="1"/>
  <c r="AT395" i="22"/>
  <c r="AE395" i="22"/>
  <c r="AF395" i="22" s="1"/>
  <c r="P395" i="22"/>
  <c r="Q395" i="22" s="1"/>
  <c r="AT394" i="22"/>
  <c r="AE394" i="22"/>
  <c r="AF394" i="22" s="1"/>
  <c r="P394" i="22"/>
  <c r="Q394" i="22" s="1"/>
  <c r="AT393" i="22"/>
  <c r="AE393" i="22"/>
  <c r="AF393" i="22" s="1"/>
  <c r="P393" i="22"/>
  <c r="Q393" i="22" s="1"/>
  <c r="AT392" i="22"/>
  <c r="AE392" i="22"/>
  <c r="AF392" i="22" s="1"/>
  <c r="Q392" i="22"/>
  <c r="P392" i="22"/>
  <c r="AT391" i="22"/>
  <c r="AE391" i="22"/>
  <c r="AF391" i="22" s="1"/>
  <c r="P391" i="22"/>
  <c r="Q391" i="22" s="1"/>
  <c r="AT390" i="22"/>
  <c r="AF390" i="22"/>
  <c r="AE390" i="22"/>
  <c r="Q390" i="22"/>
  <c r="P390" i="22"/>
  <c r="AT389" i="22"/>
  <c r="AE389" i="22"/>
  <c r="AF389" i="22" s="1"/>
  <c r="Q389" i="22"/>
  <c r="P389" i="22"/>
  <c r="AT388" i="22"/>
  <c r="AF388" i="22"/>
  <c r="AE388" i="22"/>
  <c r="Q388" i="22"/>
  <c r="P388" i="22"/>
  <c r="AT387" i="22"/>
  <c r="AF387" i="22"/>
  <c r="AE387" i="22"/>
  <c r="Q387" i="22"/>
  <c r="P387" i="22"/>
  <c r="AT386" i="22"/>
  <c r="AF386" i="22"/>
  <c r="AE386" i="22"/>
  <c r="Q386" i="22"/>
  <c r="P386" i="22"/>
  <c r="AT385" i="22"/>
  <c r="AF385" i="22"/>
  <c r="AE385" i="22"/>
  <c r="Q385" i="22"/>
  <c r="P385" i="22"/>
  <c r="AT384" i="22"/>
  <c r="AF384" i="22"/>
  <c r="AE384" i="22"/>
  <c r="Q384" i="22"/>
  <c r="P384" i="22"/>
  <c r="AT383" i="22"/>
  <c r="AF383" i="22"/>
  <c r="AE383" i="22"/>
  <c r="P383" i="22"/>
  <c r="Q383" i="22" s="1"/>
  <c r="AT382" i="22"/>
  <c r="AF382" i="22"/>
  <c r="AE382" i="22"/>
  <c r="P382" i="22"/>
  <c r="Q382" i="22" s="1"/>
  <c r="AT381" i="22"/>
  <c r="AE381" i="22"/>
  <c r="AF381" i="22" s="1"/>
  <c r="P381" i="22"/>
  <c r="Q381" i="22" s="1"/>
  <c r="AT380" i="22"/>
  <c r="AE380" i="22"/>
  <c r="AF380" i="22" s="1"/>
  <c r="P380" i="22"/>
  <c r="Q380" i="22" s="1"/>
  <c r="AT379" i="22"/>
  <c r="AF379" i="22"/>
  <c r="AE379" i="22"/>
  <c r="Q379" i="22"/>
  <c r="P379" i="22"/>
  <c r="AT378" i="22"/>
  <c r="AF378" i="22"/>
  <c r="AE378" i="22"/>
  <c r="Q378" i="22"/>
  <c r="P378" i="22"/>
  <c r="AT377" i="22"/>
  <c r="AF377" i="22"/>
  <c r="AE377" i="22"/>
  <c r="Q377" i="22"/>
  <c r="P377" i="22"/>
  <c r="AT376" i="22"/>
  <c r="AF376" i="22"/>
  <c r="AE376" i="22"/>
  <c r="Q376" i="22"/>
  <c r="P376" i="22"/>
  <c r="AT375" i="22"/>
  <c r="AF375" i="22"/>
  <c r="AE375" i="22"/>
  <c r="Q375" i="22"/>
  <c r="P375" i="22"/>
  <c r="AQ373" i="22"/>
  <c r="AP373" i="22"/>
  <c r="AO373" i="22"/>
  <c r="AM373" i="22"/>
  <c r="AL373" i="22"/>
  <c r="AK373" i="22"/>
  <c r="AJ373" i="22"/>
  <c r="AI373" i="22"/>
  <c r="AH373" i="22"/>
  <c r="AD373" i="22"/>
  <c r="AC373" i="22"/>
  <c r="AB373" i="22"/>
  <c r="AA373" i="22"/>
  <c r="Z373" i="22"/>
  <c r="Y373" i="22"/>
  <c r="X373" i="22"/>
  <c r="W373" i="22"/>
  <c r="V373" i="22"/>
  <c r="U373" i="22"/>
  <c r="T373" i="22"/>
  <c r="S373" i="22"/>
  <c r="AE373" i="22" s="1"/>
  <c r="O373" i="22"/>
  <c r="N373" i="22"/>
  <c r="M373" i="22"/>
  <c r="L373" i="22"/>
  <c r="K373" i="22"/>
  <c r="J373" i="22"/>
  <c r="I373" i="22"/>
  <c r="H373" i="22"/>
  <c r="G373" i="22"/>
  <c r="F373" i="22"/>
  <c r="E373" i="22"/>
  <c r="D373" i="22"/>
  <c r="P373" i="22" s="1"/>
  <c r="AT372" i="22"/>
  <c r="AQ372" i="22"/>
  <c r="AP372" i="22"/>
  <c r="AO372" i="22"/>
  <c r="AM372" i="22"/>
  <c r="AL372" i="22"/>
  <c r="AK372" i="22"/>
  <c r="AJ372" i="22"/>
  <c r="AI372" i="22"/>
  <c r="AH372" i="22"/>
  <c r="AD372" i="22"/>
  <c r="AC372" i="22"/>
  <c r="AB372" i="22"/>
  <c r="AA372" i="22"/>
  <c r="Z372" i="22"/>
  <c r="AE372" i="22" s="1"/>
  <c r="Y372" i="22"/>
  <c r="X372" i="22"/>
  <c r="W372" i="22"/>
  <c r="V372" i="22"/>
  <c r="U372" i="22"/>
  <c r="T372" i="22"/>
  <c r="S372" i="22"/>
  <c r="O372" i="22"/>
  <c r="N372" i="22"/>
  <c r="M372" i="22"/>
  <c r="L372" i="22"/>
  <c r="K372" i="22"/>
  <c r="J372" i="22"/>
  <c r="I372" i="22"/>
  <c r="P372" i="22" s="1"/>
  <c r="H372" i="22"/>
  <c r="G372" i="22"/>
  <c r="F372" i="22"/>
  <c r="E372" i="22"/>
  <c r="D372" i="22"/>
  <c r="AQ371" i="22"/>
  <c r="AP371" i="22"/>
  <c r="AO371" i="22"/>
  <c r="AM371" i="22"/>
  <c r="AL371" i="22"/>
  <c r="AK371" i="22"/>
  <c r="AJ371" i="22"/>
  <c r="AI371" i="22"/>
  <c r="AH371" i="22"/>
  <c r="AD371" i="22"/>
  <c r="AC371" i="22"/>
  <c r="AB371" i="22"/>
  <c r="AA371" i="22"/>
  <c r="Z371" i="22"/>
  <c r="Y371" i="22"/>
  <c r="X371" i="22"/>
  <c r="W371" i="22"/>
  <c r="V371" i="22"/>
  <c r="U371" i="22"/>
  <c r="T371" i="22"/>
  <c r="S371" i="22"/>
  <c r="AE371" i="22" s="1"/>
  <c r="O371" i="22"/>
  <c r="N371" i="22"/>
  <c r="M371" i="22"/>
  <c r="L371" i="22"/>
  <c r="K371" i="22"/>
  <c r="J371" i="22"/>
  <c r="I371" i="22"/>
  <c r="H371" i="22"/>
  <c r="G371" i="22"/>
  <c r="F371" i="22"/>
  <c r="E371" i="22"/>
  <c r="D371" i="22"/>
  <c r="P371" i="22" s="1"/>
  <c r="AQ370" i="22"/>
  <c r="AP370" i="22"/>
  <c r="AO370" i="22"/>
  <c r="AM370" i="22"/>
  <c r="AL370" i="22"/>
  <c r="AK370" i="22"/>
  <c r="AJ370" i="22"/>
  <c r="AI370" i="22"/>
  <c r="AH370" i="22"/>
  <c r="AD370" i="22"/>
  <c r="AC370" i="22"/>
  <c r="AB370" i="22"/>
  <c r="AA370" i="22"/>
  <c r="Z370" i="22"/>
  <c r="Y370" i="22"/>
  <c r="X370" i="22"/>
  <c r="W370" i="22"/>
  <c r="V370" i="22"/>
  <c r="U370" i="22"/>
  <c r="T370" i="22"/>
  <c r="S370" i="22"/>
  <c r="AE370" i="22" s="1"/>
  <c r="O370" i="22"/>
  <c r="N370" i="22"/>
  <c r="M370" i="22"/>
  <c r="L370" i="22"/>
  <c r="K370" i="22"/>
  <c r="J370" i="22"/>
  <c r="I370" i="22"/>
  <c r="H370" i="22"/>
  <c r="G370" i="22"/>
  <c r="F370" i="22"/>
  <c r="E370" i="22"/>
  <c r="D370" i="22"/>
  <c r="P370" i="22" s="1"/>
  <c r="AQ369" i="22"/>
  <c r="AP369" i="22"/>
  <c r="AO369" i="22"/>
  <c r="AM369" i="22"/>
  <c r="AL369" i="22"/>
  <c r="AK369" i="22"/>
  <c r="AJ369" i="22"/>
  <c r="AI369" i="22"/>
  <c r="AH369" i="22"/>
  <c r="AD369" i="22"/>
  <c r="AC369" i="22"/>
  <c r="AB369" i="22"/>
  <c r="AA369" i="22"/>
  <c r="Z369" i="22"/>
  <c r="Y369" i="22"/>
  <c r="X369" i="22"/>
  <c r="AE369" i="22" s="1"/>
  <c r="W369" i="22"/>
  <c r="V369" i="22"/>
  <c r="U369" i="22"/>
  <c r="T369" i="22"/>
  <c r="S369" i="22"/>
  <c r="O369" i="22"/>
  <c r="N369" i="22"/>
  <c r="M369" i="22"/>
  <c r="L369" i="22"/>
  <c r="K369" i="22"/>
  <c r="J369" i="22"/>
  <c r="I369" i="22"/>
  <c r="H369" i="22"/>
  <c r="G369" i="22"/>
  <c r="F369" i="22"/>
  <c r="E369" i="22"/>
  <c r="D369" i="22"/>
  <c r="P369" i="22" s="1"/>
  <c r="AQ368" i="22"/>
  <c r="AP368" i="22"/>
  <c r="AO368" i="22"/>
  <c r="AM368" i="22"/>
  <c r="AL368" i="22"/>
  <c r="AK368" i="22"/>
  <c r="AJ368" i="22"/>
  <c r="AI368" i="22"/>
  <c r="AH368" i="22"/>
  <c r="AT368" i="22" s="1"/>
  <c r="AD368" i="22"/>
  <c r="AC368" i="22"/>
  <c r="AB368" i="22"/>
  <c r="AA368" i="22"/>
  <c r="Z368" i="22"/>
  <c r="Y368" i="22"/>
  <c r="X368" i="22"/>
  <c r="W368" i="22"/>
  <c r="V368" i="22"/>
  <c r="U368" i="22"/>
  <c r="T368" i="22"/>
  <c r="S368" i="22"/>
  <c r="AE368" i="22" s="1"/>
  <c r="O368" i="22"/>
  <c r="N368" i="22"/>
  <c r="M368" i="22"/>
  <c r="L368" i="22"/>
  <c r="K368" i="22"/>
  <c r="J368" i="22"/>
  <c r="I368" i="22"/>
  <c r="H368" i="22"/>
  <c r="G368" i="22"/>
  <c r="F368" i="22"/>
  <c r="E368" i="22"/>
  <c r="D368" i="22"/>
  <c r="P368" i="22" s="1"/>
  <c r="AQ367" i="22"/>
  <c r="AP367" i="22"/>
  <c r="AO367" i="22"/>
  <c r="AM367" i="22"/>
  <c r="AL367" i="22"/>
  <c r="AK367" i="22"/>
  <c r="AJ367" i="22"/>
  <c r="AI367" i="22"/>
  <c r="AH367" i="22"/>
  <c r="AD367" i="22"/>
  <c r="AC367" i="22"/>
  <c r="AB367" i="22"/>
  <c r="AA367" i="22"/>
  <c r="Z367" i="22"/>
  <c r="Y367" i="22"/>
  <c r="X367" i="22"/>
  <c r="W367" i="22"/>
  <c r="V367" i="22"/>
  <c r="U367" i="22"/>
  <c r="T367" i="22"/>
  <c r="S367" i="22"/>
  <c r="AE367" i="22" s="1"/>
  <c r="O367" i="22"/>
  <c r="N367" i="22"/>
  <c r="M367" i="22"/>
  <c r="L367" i="22"/>
  <c r="K367" i="22"/>
  <c r="P367" i="22" s="1"/>
  <c r="J367" i="22"/>
  <c r="I367" i="22"/>
  <c r="H367" i="22"/>
  <c r="G367" i="22"/>
  <c r="F367" i="22"/>
  <c r="E367" i="22"/>
  <c r="D367" i="22"/>
  <c r="AQ366" i="22"/>
  <c r="AP366" i="22"/>
  <c r="AO366" i="22"/>
  <c r="AM366" i="22"/>
  <c r="AL366" i="22"/>
  <c r="AK366" i="22"/>
  <c r="AJ366" i="22"/>
  <c r="AI366" i="22"/>
  <c r="AH366" i="22"/>
  <c r="AD366" i="22"/>
  <c r="AC366" i="22"/>
  <c r="AB366" i="22"/>
  <c r="AA366" i="22"/>
  <c r="Z366" i="22"/>
  <c r="Y366" i="22"/>
  <c r="X366" i="22"/>
  <c r="W366" i="22"/>
  <c r="V366" i="22"/>
  <c r="AE366" i="22" s="1"/>
  <c r="U366" i="22"/>
  <c r="T366" i="22"/>
  <c r="S366" i="22"/>
  <c r="O366" i="22"/>
  <c r="N366" i="22"/>
  <c r="M366" i="22"/>
  <c r="L366" i="22"/>
  <c r="K366" i="22"/>
  <c r="J366" i="22"/>
  <c r="I366" i="22"/>
  <c r="H366" i="22"/>
  <c r="G366" i="22"/>
  <c r="F366" i="22"/>
  <c r="E366" i="22"/>
  <c r="P366" i="22" s="1"/>
  <c r="D366" i="22"/>
  <c r="AQ360" i="22"/>
  <c r="AP360" i="22"/>
  <c r="AO360" i="22"/>
  <c r="AM360" i="22"/>
  <c r="AL360" i="22"/>
  <c r="AK360" i="22"/>
  <c r="AJ360" i="22"/>
  <c r="AI360" i="22"/>
  <c r="AT360" i="22" s="1"/>
  <c r="AH360" i="22"/>
  <c r="AD360" i="22"/>
  <c r="AC360" i="22"/>
  <c r="AB360" i="22"/>
  <c r="AA360" i="22"/>
  <c r="Z360" i="22"/>
  <c r="Y360" i="22"/>
  <c r="X360" i="22"/>
  <c r="W360" i="22"/>
  <c r="V360" i="22"/>
  <c r="U360" i="22"/>
  <c r="T360" i="22"/>
  <c r="S360" i="22"/>
  <c r="AE360" i="22" s="1"/>
  <c r="O360" i="22"/>
  <c r="N360" i="22"/>
  <c r="M360" i="22"/>
  <c r="L360" i="22"/>
  <c r="K360" i="22"/>
  <c r="J360" i="22"/>
  <c r="I360" i="22"/>
  <c r="H360" i="22"/>
  <c r="G360" i="22"/>
  <c r="F360" i="22"/>
  <c r="E360" i="22"/>
  <c r="D360" i="22"/>
  <c r="P360" i="22" s="1"/>
  <c r="AQ359" i="22"/>
  <c r="AP359" i="22"/>
  <c r="AO359" i="22"/>
  <c r="AM359" i="22"/>
  <c r="AL359" i="22"/>
  <c r="AK359" i="22"/>
  <c r="AJ359" i="22"/>
  <c r="AI359" i="22"/>
  <c r="AH359" i="22"/>
  <c r="AD359" i="22"/>
  <c r="AC359" i="22"/>
  <c r="AB359" i="22"/>
  <c r="AA359" i="22"/>
  <c r="Z359" i="22"/>
  <c r="Y359" i="22"/>
  <c r="X359" i="22"/>
  <c r="W359" i="22"/>
  <c r="V359" i="22"/>
  <c r="U359" i="22"/>
  <c r="T359" i="22"/>
  <c r="S359" i="22"/>
  <c r="AE359" i="22" s="1"/>
  <c r="O359" i="22"/>
  <c r="N359" i="22"/>
  <c r="M359" i="22"/>
  <c r="L359" i="22"/>
  <c r="K359" i="22"/>
  <c r="P359" i="22" s="1"/>
  <c r="J359" i="22"/>
  <c r="I359" i="22"/>
  <c r="H359" i="22"/>
  <c r="G359" i="22"/>
  <c r="F359" i="22"/>
  <c r="E359" i="22"/>
  <c r="D359" i="22"/>
  <c r="AQ358" i="22"/>
  <c r="AP358" i="22"/>
  <c r="AO358" i="22"/>
  <c r="AM358" i="22"/>
  <c r="AL358" i="22"/>
  <c r="AK358" i="22"/>
  <c r="AJ358" i="22"/>
  <c r="AI358" i="22"/>
  <c r="AH358" i="22"/>
  <c r="AD358" i="22"/>
  <c r="AC358" i="22"/>
  <c r="AB358" i="22"/>
  <c r="AA358" i="22"/>
  <c r="Z358" i="22"/>
  <c r="Y358" i="22"/>
  <c r="X358" i="22"/>
  <c r="W358" i="22"/>
  <c r="V358" i="22"/>
  <c r="U358" i="22"/>
  <c r="T358" i="22"/>
  <c r="S358" i="22"/>
  <c r="AE358" i="22" s="1"/>
  <c r="O358" i="22"/>
  <c r="N358" i="22"/>
  <c r="M358" i="22"/>
  <c r="L358" i="22"/>
  <c r="K358" i="22"/>
  <c r="J358" i="22"/>
  <c r="I358" i="22"/>
  <c r="H358" i="22"/>
  <c r="G358" i="22"/>
  <c r="F358" i="22"/>
  <c r="E358" i="22"/>
  <c r="P358" i="22" s="1"/>
  <c r="D358" i="22"/>
  <c r="AT356" i="22"/>
  <c r="AQ356" i="22"/>
  <c r="AP356" i="22"/>
  <c r="AO356" i="22"/>
  <c r="AM356" i="22"/>
  <c r="AL356" i="22"/>
  <c r="AK356" i="22"/>
  <c r="AJ356" i="22"/>
  <c r="AI356" i="22"/>
  <c r="AH356" i="22"/>
  <c r="AD356" i="22"/>
  <c r="AC356" i="22"/>
  <c r="AB356" i="22"/>
  <c r="AA356" i="22"/>
  <c r="Z356" i="22"/>
  <c r="AE356" i="22" s="1"/>
  <c r="Y356" i="22"/>
  <c r="X356" i="22"/>
  <c r="W356" i="22"/>
  <c r="V356" i="22"/>
  <c r="U356" i="22"/>
  <c r="T356" i="22"/>
  <c r="S356" i="22"/>
  <c r="O356" i="22"/>
  <c r="N356" i="22"/>
  <c r="M356" i="22"/>
  <c r="L356" i="22"/>
  <c r="K356" i="22"/>
  <c r="J356" i="22"/>
  <c r="I356" i="22"/>
  <c r="P356" i="22" s="1"/>
  <c r="H356" i="22"/>
  <c r="G356" i="22"/>
  <c r="F356" i="22"/>
  <c r="E356" i="22"/>
  <c r="D356" i="22"/>
  <c r="AQ355" i="22"/>
  <c r="AP355" i="22"/>
  <c r="AO355" i="22"/>
  <c r="AM355" i="22"/>
  <c r="AL355" i="22"/>
  <c r="AK355" i="22"/>
  <c r="AJ355" i="22"/>
  <c r="AI355" i="22"/>
  <c r="AH355" i="22"/>
  <c r="AD355" i="22"/>
  <c r="AC355" i="22"/>
  <c r="AB355" i="22"/>
  <c r="AA355" i="22"/>
  <c r="Z355" i="22"/>
  <c r="Y355" i="22"/>
  <c r="X355" i="22"/>
  <c r="W355" i="22"/>
  <c r="V355" i="22"/>
  <c r="U355" i="22"/>
  <c r="T355" i="22"/>
  <c r="S355" i="22"/>
  <c r="AE355" i="22" s="1"/>
  <c r="O355" i="22"/>
  <c r="N355" i="22"/>
  <c r="M355" i="22"/>
  <c r="L355" i="22"/>
  <c r="K355" i="22"/>
  <c r="J355" i="22"/>
  <c r="I355" i="22"/>
  <c r="H355" i="22"/>
  <c r="G355" i="22"/>
  <c r="F355" i="22"/>
  <c r="E355" i="22"/>
  <c r="D355" i="22"/>
  <c r="P355" i="22" s="1"/>
  <c r="AQ354" i="22"/>
  <c r="AP354" i="22"/>
  <c r="AO354" i="22"/>
  <c r="AM354" i="22"/>
  <c r="AL354" i="22"/>
  <c r="AK354" i="22"/>
  <c r="AJ354" i="22"/>
  <c r="AI354" i="22"/>
  <c r="AH354" i="22"/>
  <c r="AD354" i="22"/>
  <c r="AC354" i="22"/>
  <c r="AB354" i="22"/>
  <c r="AA354" i="22"/>
  <c r="Z354" i="22"/>
  <c r="Y354" i="22"/>
  <c r="X354" i="22"/>
  <c r="W354" i="22"/>
  <c r="V354" i="22"/>
  <c r="U354" i="22"/>
  <c r="T354" i="22"/>
  <c r="S354" i="22"/>
  <c r="AE354" i="22" s="1"/>
  <c r="O354" i="22"/>
  <c r="N354" i="22"/>
  <c r="M354" i="22"/>
  <c r="L354" i="22"/>
  <c r="K354" i="22"/>
  <c r="J354" i="22"/>
  <c r="I354" i="22"/>
  <c r="H354" i="22"/>
  <c r="G354" i="22"/>
  <c r="F354" i="22"/>
  <c r="E354" i="22"/>
  <c r="D354" i="22"/>
  <c r="P354" i="22" s="1"/>
  <c r="AQ353" i="22"/>
  <c r="AP353" i="22"/>
  <c r="AO353" i="22"/>
  <c r="AM353" i="22"/>
  <c r="AL353" i="22"/>
  <c r="AK353" i="22"/>
  <c r="AJ353" i="22"/>
  <c r="AI353" i="22"/>
  <c r="AH353" i="22"/>
  <c r="AD353" i="22"/>
  <c r="AC353" i="22"/>
  <c r="AB353" i="22"/>
  <c r="AA353" i="22"/>
  <c r="Z353" i="22"/>
  <c r="Y353" i="22"/>
  <c r="X353" i="22"/>
  <c r="AE353" i="22" s="1"/>
  <c r="W353" i="22"/>
  <c r="V353" i="22"/>
  <c r="U353" i="22"/>
  <c r="T353" i="22"/>
  <c r="S353" i="22"/>
  <c r="O353" i="22"/>
  <c r="N353" i="22"/>
  <c r="M353" i="22"/>
  <c r="L353" i="22"/>
  <c r="K353" i="22"/>
  <c r="J353" i="22"/>
  <c r="I353" i="22"/>
  <c r="H353" i="22"/>
  <c r="G353" i="22"/>
  <c r="F353" i="22"/>
  <c r="E353" i="22"/>
  <c r="D353" i="22"/>
  <c r="P353" i="22" s="1"/>
  <c r="AQ352" i="22"/>
  <c r="AP352" i="22"/>
  <c r="AO352" i="22"/>
  <c r="AM352" i="22"/>
  <c r="AL352" i="22"/>
  <c r="AK352" i="22"/>
  <c r="AJ352" i="22"/>
  <c r="AI352" i="22"/>
  <c r="AH352" i="22"/>
  <c r="AT352" i="22" s="1"/>
  <c r="AD352" i="22"/>
  <c r="AC352" i="22"/>
  <c r="AB352" i="22"/>
  <c r="AA352" i="22"/>
  <c r="Z352" i="22"/>
  <c r="Y352" i="22"/>
  <c r="X352" i="22"/>
  <c r="W352" i="22"/>
  <c r="V352" i="22"/>
  <c r="U352" i="22"/>
  <c r="T352" i="22"/>
  <c r="S352" i="22"/>
  <c r="AE352" i="22" s="1"/>
  <c r="O352" i="22"/>
  <c r="N352" i="22"/>
  <c r="M352" i="22"/>
  <c r="L352" i="22"/>
  <c r="K352" i="22"/>
  <c r="J352" i="22"/>
  <c r="I352" i="22"/>
  <c r="H352" i="22"/>
  <c r="G352" i="22"/>
  <c r="F352" i="22"/>
  <c r="E352" i="22"/>
  <c r="D352" i="22"/>
  <c r="P352" i="22" s="1"/>
  <c r="AQ351" i="22"/>
  <c r="AP351" i="22"/>
  <c r="AO351" i="22"/>
  <c r="AM351" i="22"/>
  <c r="AL351" i="22"/>
  <c r="AK351" i="22"/>
  <c r="AJ351" i="22"/>
  <c r="AI351" i="22"/>
  <c r="AH351" i="22"/>
  <c r="AD351" i="22"/>
  <c r="AC351" i="22"/>
  <c r="AB351" i="22"/>
  <c r="AE351" i="22" s="1"/>
  <c r="AA351" i="22"/>
  <c r="Z351" i="22"/>
  <c r="Y351" i="22"/>
  <c r="X351" i="22"/>
  <c r="W351" i="22"/>
  <c r="V351" i="22"/>
  <c r="U351" i="22"/>
  <c r="T351" i="22"/>
  <c r="S351" i="22"/>
  <c r="O351" i="22"/>
  <c r="N351" i="22"/>
  <c r="M351" i="22"/>
  <c r="L351" i="22"/>
  <c r="K351" i="22"/>
  <c r="P351" i="22" s="1"/>
  <c r="J351" i="22"/>
  <c r="I351" i="22"/>
  <c r="H351" i="22"/>
  <c r="G351" i="22"/>
  <c r="F351" i="22"/>
  <c r="E351" i="22"/>
  <c r="D351" i="22"/>
  <c r="AQ350" i="22"/>
  <c r="AP350" i="22"/>
  <c r="AO350" i="22"/>
  <c r="AM350" i="22"/>
  <c r="AL350" i="22"/>
  <c r="AK350" i="22"/>
  <c r="AJ350" i="22"/>
  <c r="AI350" i="22"/>
  <c r="AH350" i="22"/>
  <c r="AD350" i="22"/>
  <c r="AC350" i="22"/>
  <c r="AB350" i="22"/>
  <c r="AA350" i="22"/>
  <c r="Z350" i="22"/>
  <c r="Y350" i="22"/>
  <c r="X350" i="22"/>
  <c r="W350" i="22"/>
  <c r="V350" i="22"/>
  <c r="U350" i="22"/>
  <c r="T350" i="22"/>
  <c r="S350" i="22"/>
  <c r="AE350" i="22" s="1"/>
  <c r="O350" i="22"/>
  <c r="N350" i="22"/>
  <c r="M350" i="22"/>
  <c r="L350" i="22"/>
  <c r="K350" i="22"/>
  <c r="J350" i="22"/>
  <c r="I350" i="22"/>
  <c r="H350" i="22"/>
  <c r="G350" i="22"/>
  <c r="F350" i="22"/>
  <c r="E350" i="22"/>
  <c r="D350" i="22"/>
  <c r="P350" i="22" s="1"/>
  <c r="AQ349" i="22"/>
  <c r="AP349" i="22"/>
  <c r="AO349" i="22"/>
  <c r="AM349" i="22"/>
  <c r="AL349" i="22"/>
  <c r="AK349" i="22"/>
  <c r="AJ349" i="22"/>
  <c r="AI349" i="22"/>
  <c r="AH349" i="22"/>
  <c r="AD349" i="22"/>
  <c r="AC349" i="22"/>
  <c r="AB349" i="22"/>
  <c r="AA349" i="22"/>
  <c r="Z349" i="22"/>
  <c r="Y349" i="22"/>
  <c r="X349" i="22"/>
  <c r="W349" i="22"/>
  <c r="V349" i="22"/>
  <c r="U349" i="22"/>
  <c r="T349" i="22"/>
  <c r="S349" i="22"/>
  <c r="AE349" i="22" s="1"/>
  <c r="O349" i="22"/>
  <c r="N349" i="22"/>
  <c r="M349" i="22"/>
  <c r="L349" i="22"/>
  <c r="K349" i="22"/>
  <c r="J349" i="22"/>
  <c r="I349" i="22"/>
  <c r="H349" i="22"/>
  <c r="G349" i="22"/>
  <c r="F349" i="22"/>
  <c r="E349" i="22"/>
  <c r="D349" i="22"/>
  <c r="P349" i="22" s="1"/>
  <c r="AQ343" i="22"/>
  <c r="AP343" i="22"/>
  <c r="AO343" i="22"/>
  <c r="AM343" i="22"/>
  <c r="AL343" i="22"/>
  <c r="AK343" i="22"/>
  <c r="AJ343" i="22"/>
  <c r="AI343" i="22"/>
  <c r="AH343" i="22"/>
  <c r="AD343" i="22"/>
  <c r="AC343" i="22"/>
  <c r="AB343" i="22"/>
  <c r="AE343" i="22" s="1"/>
  <c r="AA343" i="22"/>
  <c r="Z343" i="22"/>
  <c r="Y343" i="22"/>
  <c r="X343" i="22"/>
  <c r="W343" i="22"/>
  <c r="V343" i="22"/>
  <c r="U343" i="22"/>
  <c r="T343" i="22"/>
  <c r="S343" i="22"/>
  <c r="O343" i="22"/>
  <c r="N343" i="22"/>
  <c r="M343" i="22"/>
  <c r="L343" i="22"/>
  <c r="K343" i="22"/>
  <c r="P343" i="22" s="1"/>
  <c r="J343" i="22"/>
  <c r="I343" i="22"/>
  <c r="H343" i="22"/>
  <c r="G343" i="22"/>
  <c r="F343" i="22"/>
  <c r="E343" i="22"/>
  <c r="D343" i="22"/>
  <c r="AQ342" i="22"/>
  <c r="AP342" i="22"/>
  <c r="AO342" i="22"/>
  <c r="AM342" i="22"/>
  <c r="AL342" i="22"/>
  <c r="AK342" i="22"/>
  <c r="AJ342" i="22"/>
  <c r="AI342" i="22"/>
  <c r="AH342" i="22"/>
  <c r="AD342" i="22"/>
  <c r="AC342" i="22"/>
  <c r="AB342" i="22"/>
  <c r="AA342" i="22"/>
  <c r="Z342" i="22"/>
  <c r="Y342" i="22"/>
  <c r="X342" i="22"/>
  <c r="W342" i="22"/>
  <c r="V342" i="22"/>
  <c r="U342" i="22"/>
  <c r="T342" i="22"/>
  <c r="S342" i="22"/>
  <c r="AE342" i="22" s="1"/>
  <c r="O342" i="22"/>
  <c r="N342" i="22"/>
  <c r="M342" i="22"/>
  <c r="L342" i="22"/>
  <c r="K342" i="22"/>
  <c r="J342" i="22"/>
  <c r="I342" i="22"/>
  <c r="H342" i="22"/>
  <c r="G342" i="22"/>
  <c r="F342" i="22"/>
  <c r="E342" i="22"/>
  <c r="D342" i="22"/>
  <c r="P342" i="22" s="1"/>
  <c r="AQ341" i="22"/>
  <c r="AP341" i="22"/>
  <c r="AO341" i="22"/>
  <c r="AM341" i="22"/>
  <c r="AL341" i="22"/>
  <c r="AK341" i="22"/>
  <c r="AJ341" i="22"/>
  <c r="AI341" i="22"/>
  <c r="AH341" i="22"/>
  <c r="AD341" i="22"/>
  <c r="AC341" i="22"/>
  <c r="AB341" i="22"/>
  <c r="AA341" i="22"/>
  <c r="Z341" i="22"/>
  <c r="Y341" i="22"/>
  <c r="X341" i="22"/>
  <c r="W341" i="22"/>
  <c r="V341" i="22"/>
  <c r="U341" i="22"/>
  <c r="T341" i="22"/>
  <c r="S341" i="22"/>
  <c r="AE341" i="22" s="1"/>
  <c r="O341" i="22"/>
  <c r="N341" i="22"/>
  <c r="M341" i="22"/>
  <c r="L341" i="22"/>
  <c r="K341" i="22"/>
  <c r="J341" i="22"/>
  <c r="I341" i="22"/>
  <c r="H341" i="22"/>
  <c r="G341" i="22"/>
  <c r="F341" i="22"/>
  <c r="E341" i="22"/>
  <c r="D341" i="22"/>
  <c r="P341" i="22" s="1"/>
  <c r="AT339" i="22"/>
  <c r="AE339" i="22"/>
  <c r="AF339" i="22" s="1"/>
  <c r="P339" i="22"/>
  <c r="Q339" i="22" s="1"/>
  <c r="AT338" i="22"/>
  <c r="AF338" i="22"/>
  <c r="AE338" i="22"/>
  <c r="P338" i="22"/>
  <c r="Q338" i="22" s="1"/>
  <c r="AT337" i="22"/>
  <c r="AE337" i="22"/>
  <c r="AF337" i="22" s="1"/>
  <c r="P337" i="22"/>
  <c r="Q337" i="22" s="1"/>
  <c r="AT336" i="22"/>
  <c r="AE336" i="22"/>
  <c r="AF336" i="22" s="1"/>
  <c r="P336" i="22"/>
  <c r="Q336" i="22" s="1"/>
  <c r="AT335" i="22"/>
  <c r="AE335" i="22"/>
  <c r="AF335" i="22" s="1"/>
  <c r="Q335" i="22"/>
  <c r="P335" i="22"/>
  <c r="AT334" i="22"/>
  <c r="AE334" i="22"/>
  <c r="AF334" i="22" s="1"/>
  <c r="Q334" i="22"/>
  <c r="P334" i="22"/>
  <c r="AT333" i="22"/>
  <c r="AF333" i="22"/>
  <c r="AE333" i="22"/>
  <c r="P333" i="22"/>
  <c r="Q333" i="22" s="1"/>
  <c r="AT332" i="22"/>
  <c r="AF332" i="22"/>
  <c r="AE332" i="22"/>
  <c r="Q332" i="22"/>
  <c r="P332" i="22"/>
  <c r="AQ331" i="22"/>
  <c r="AP331" i="22"/>
  <c r="AO331" i="22"/>
  <c r="AM331" i="22"/>
  <c r="AL331" i="22"/>
  <c r="AK331" i="22"/>
  <c r="AJ331" i="22"/>
  <c r="AI331" i="22"/>
  <c r="AH331" i="22"/>
  <c r="AD331" i="22"/>
  <c r="AC331" i="22"/>
  <c r="AB331" i="22"/>
  <c r="AA331" i="22"/>
  <c r="Z331" i="22"/>
  <c r="Y331" i="22"/>
  <c r="X331" i="22"/>
  <c r="W331" i="22"/>
  <c r="V331" i="22"/>
  <c r="U331" i="22"/>
  <c r="T331" i="22"/>
  <c r="S331" i="22"/>
  <c r="AE331" i="22" s="1"/>
  <c r="AF331" i="22" s="1"/>
  <c r="O331" i="22"/>
  <c r="N331" i="22"/>
  <c r="M331" i="22"/>
  <c r="L331" i="22"/>
  <c r="K331" i="22"/>
  <c r="P331" i="22" s="1"/>
  <c r="Q331" i="22" s="1"/>
  <c r="J331" i="22"/>
  <c r="I331" i="22"/>
  <c r="H331" i="22"/>
  <c r="G331" i="22"/>
  <c r="F331" i="22"/>
  <c r="E331" i="22"/>
  <c r="D331" i="22"/>
  <c r="AQ330" i="22"/>
  <c r="AP330" i="22"/>
  <c r="AO330" i="22"/>
  <c r="AM330" i="22"/>
  <c r="AL330" i="22"/>
  <c r="AK330" i="22"/>
  <c r="AJ330" i="22"/>
  <c r="AI330" i="22"/>
  <c r="AH330" i="22"/>
  <c r="AD330" i="22"/>
  <c r="AC330" i="22"/>
  <c r="AB330" i="22"/>
  <c r="AA330" i="22"/>
  <c r="Z330" i="22"/>
  <c r="Y330" i="22"/>
  <c r="X330" i="22"/>
  <c r="W330" i="22"/>
  <c r="V330" i="22"/>
  <c r="AE330" i="22" s="1"/>
  <c r="AF330" i="22" s="1"/>
  <c r="U330" i="22"/>
  <c r="T330" i="22"/>
  <c r="S330" i="22"/>
  <c r="O330" i="22"/>
  <c r="N330" i="22"/>
  <c r="M330" i="22"/>
  <c r="L330" i="22"/>
  <c r="K330" i="22"/>
  <c r="J330" i="22"/>
  <c r="I330" i="22"/>
  <c r="H330" i="22"/>
  <c r="G330" i="22"/>
  <c r="F330" i="22"/>
  <c r="E330" i="22"/>
  <c r="D330" i="22"/>
  <c r="P330" i="22" s="1"/>
  <c r="Q330" i="22" s="1"/>
  <c r="AQ329" i="22"/>
  <c r="AP329" i="22"/>
  <c r="AO329" i="22"/>
  <c r="AM329" i="22"/>
  <c r="AL329" i="22"/>
  <c r="AK329" i="22"/>
  <c r="AJ329" i="22"/>
  <c r="AJ323" i="22" s="1"/>
  <c r="AI329" i="22"/>
  <c r="AI323" i="22" s="1"/>
  <c r="AH329" i="22"/>
  <c r="AD329" i="22"/>
  <c r="AC329" i="22"/>
  <c r="AB329" i="22"/>
  <c r="AA329" i="22"/>
  <c r="Z329" i="22"/>
  <c r="Y329" i="22"/>
  <c r="X329" i="22"/>
  <c r="W329" i="22"/>
  <c r="V329" i="22"/>
  <c r="U329" i="22"/>
  <c r="T329" i="22"/>
  <c r="S329" i="22"/>
  <c r="AE329" i="22" s="1"/>
  <c r="AF329" i="22" s="1"/>
  <c r="O329" i="22"/>
  <c r="N329" i="22"/>
  <c r="M329" i="22"/>
  <c r="L329" i="22"/>
  <c r="K329" i="22"/>
  <c r="J329" i="22"/>
  <c r="I329" i="22"/>
  <c r="H329" i="22"/>
  <c r="G329" i="22"/>
  <c r="F329" i="22"/>
  <c r="E329" i="22"/>
  <c r="D329" i="22"/>
  <c r="P329" i="22" s="1"/>
  <c r="Q329" i="22" s="1"/>
  <c r="AT328" i="22"/>
  <c r="AQ328" i="22"/>
  <c r="AP328" i="22"/>
  <c r="AO328" i="22"/>
  <c r="AM328" i="22"/>
  <c r="AL328" i="22"/>
  <c r="AK328" i="22"/>
  <c r="AJ328" i="22"/>
  <c r="AI328" i="22"/>
  <c r="AH328" i="22"/>
  <c r="AH323" i="22" s="1"/>
  <c r="AD328" i="22"/>
  <c r="AC328" i="22"/>
  <c r="AB328" i="22"/>
  <c r="AB323" i="22" s="1"/>
  <c r="AA328" i="22"/>
  <c r="Z328" i="22"/>
  <c r="AE328" i="22" s="1"/>
  <c r="AF328" i="22" s="1"/>
  <c r="Y328" i="22"/>
  <c r="X328" i="22"/>
  <c r="W328" i="22"/>
  <c r="V328" i="22"/>
  <c r="U328" i="22"/>
  <c r="T328" i="22"/>
  <c r="S328" i="22"/>
  <c r="O328" i="22"/>
  <c r="N328" i="22"/>
  <c r="M328" i="22"/>
  <c r="L328" i="22"/>
  <c r="K328" i="22"/>
  <c r="K323" i="22" s="1"/>
  <c r="J328" i="22"/>
  <c r="I328" i="22"/>
  <c r="P328" i="22" s="1"/>
  <c r="Q328" i="22" s="1"/>
  <c r="H328" i="22"/>
  <c r="G328" i="22"/>
  <c r="F328" i="22"/>
  <c r="E328" i="22"/>
  <c r="D328" i="22"/>
  <c r="AQ327" i="22"/>
  <c r="AP327" i="22"/>
  <c r="AP323" i="22" s="1"/>
  <c r="AO327" i="22"/>
  <c r="AO323" i="22" s="1"/>
  <c r="AM327" i="22"/>
  <c r="AM323" i="22" s="1"/>
  <c r="AL327" i="22"/>
  <c r="AL323" i="22" s="1"/>
  <c r="AK327" i="22"/>
  <c r="AJ327" i="22"/>
  <c r="AI327" i="22"/>
  <c r="AH327" i="22"/>
  <c r="AD327" i="22"/>
  <c r="AC327" i="22"/>
  <c r="AB327" i="22"/>
  <c r="AA327" i="22"/>
  <c r="Z327" i="22"/>
  <c r="Z323" i="22" s="1"/>
  <c r="Y327" i="22"/>
  <c r="X327" i="22"/>
  <c r="X323" i="22" s="1"/>
  <c r="W327" i="22"/>
  <c r="W323" i="22" s="1"/>
  <c r="V327" i="22"/>
  <c r="V323" i="22" s="1"/>
  <c r="U327" i="22"/>
  <c r="U323" i="22" s="1"/>
  <c r="T327" i="22"/>
  <c r="AE327" i="22" s="1"/>
  <c r="AF327" i="22" s="1"/>
  <c r="S327" i="22"/>
  <c r="O327" i="22"/>
  <c r="N327" i="22"/>
  <c r="M327" i="22"/>
  <c r="L327" i="22"/>
  <c r="K327" i="22"/>
  <c r="J327" i="22"/>
  <c r="I327" i="22"/>
  <c r="I323" i="22" s="1"/>
  <c r="H327" i="22"/>
  <c r="G327" i="22"/>
  <c r="G323" i="22" s="1"/>
  <c r="F327" i="22"/>
  <c r="F323" i="22" s="1"/>
  <c r="E327" i="22"/>
  <c r="E323" i="22" s="1"/>
  <c r="D327" i="22"/>
  <c r="P327" i="22" s="1"/>
  <c r="Q327" i="22" s="1"/>
  <c r="AT326" i="22"/>
  <c r="AF326" i="22"/>
  <c r="AE326" i="22"/>
  <c r="Q326" i="22"/>
  <c r="P326" i="22"/>
  <c r="AT325" i="22"/>
  <c r="AF325" i="22"/>
  <c r="AE325" i="22"/>
  <c r="Q325" i="22"/>
  <c r="P325" i="22"/>
  <c r="AT324" i="22"/>
  <c r="AF324" i="22"/>
  <c r="AE324" i="22"/>
  <c r="P324" i="22"/>
  <c r="Q324" i="22" s="1"/>
  <c r="AQ323" i="22"/>
  <c r="AD323" i="22"/>
  <c r="AC323" i="22"/>
  <c r="AA323" i="22"/>
  <c r="Y323" i="22"/>
  <c r="O323" i="22"/>
  <c r="N323" i="22"/>
  <c r="M323" i="22"/>
  <c r="L323" i="22"/>
  <c r="J323" i="22"/>
  <c r="H323" i="22"/>
  <c r="AT322" i="22"/>
  <c r="AE322" i="22"/>
  <c r="AF322" i="22" s="1"/>
  <c r="Q322" i="22"/>
  <c r="P322" i="22"/>
  <c r="AT321" i="22"/>
  <c r="AE321" i="22"/>
  <c r="AF321" i="22" s="1"/>
  <c r="Q321" i="22"/>
  <c r="P321" i="22"/>
  <c r="AT320" i="22"/>
  <c r="AE320" i="22"/>
  <c r="AF320" i="22" s="1"/>
  <c r="Q320" i="22"/>
  <c r="P320" i="22"/>
  <c r="AT319" i="22"/>
  <c r="AF319" i="22"/>
  <c r="AE319" i="22"/>
  <c r="Q319" i="22"/>
  <c r="P319" i="22"/>
  <c r="AT318" i="22"/>
  <c r="AF318" i="22"/>
  <c r="AE318" i="22"/>
  <c r="Q318" i="22"/>
  <c r="P318" i="22"/>
  <c r="AT317" i="22"/>
  <c r="AF317" i="22"/>
  <c r="AE317" i="22"/>
  <c r="P317" i="22"/>
  <c r="Q317" i="22" s="1"/>
  <c r="AT316" i="22"/>
  <c r="AF316" i="22"/>
  <c r="AE316" i="22"/>
  <c r="Q316" i="22"/>
  <c r="P316" i="22"/>
  <c r="AT315" i="22"/>
  <c r="AF315" i="22"/>
  <c r="AE315" i="22"/>
  <c r="Q315" i="22"/>
  <c r="P315" i="22"/>
  <c r="AQ314" i="22"/>
  <c r="AP314" i="22"/>
  <c r="AO314" i="22"/>
  <c r="AM314" i="22"/>
  <c r="AL314" i="22"/>
  <c r="AK314" i="22"/>
  <c r="AJ314" i="22"/>
  <c r="AI314" i="22"/>
  <c r="AH314" i="22"/>
  <c r="AT314" i="22" s="1"/>
  <c r="AD314" i="22"/>
  <c r="AC314" i="22"/>
  <c r="AB314" i="22"/>
  <c r="AA314" i="22"/>
  <c r="AE314" i="22" s="1"/>
  <c r="AF314" i="22" s="1"/>
  <c r="Z314" i="22"/>
  <c r="Y314" i="22"/>
  <c r="X314" i="22"/>
  <c r="W314" i="22"/>
  <c r="V314" i="22"/>
  <c r="U314" i="22"/>
  <c r="T314" i="22"/>
  <c r="S314" i="22"/>
  <c r="O314" i="22"/>
  <c r="N314" i="22"/>
  <c r="M314" i="22"/>
  <c r="L314" i="22"/>
  <c r="K314" i="22"/>
  <c r="J314" i="22"/>
  <c r="P314" i="22" s="1"/>
  <c r="Q314" i="22" s="1"/>
  <c r="I314" i="22"/>
  <c r="H314" i="22"/>
  <c r="G314" i="22"/>
  <c r="F314" i="22"/>
  <c r="E314" i="22"/>
  <c r="D314" i="22"/>
  <c r="AQ313" i="22"/>
  <c r="AP313" i="22"/>
  <c r="AO313" i="22"/>
  <c r="AM313" i="22"/>
  <c r="AL313" i="22"/>
  <c r="AK313" i="22"/>
  <c r="AJ313" i="22"/>
  <c r="AI313" i="22"/>
  <c r="AH313" i="22"/>
  <c r="AD313" i="22"/>
  <c r="AC313" i="22"/>
  <c r="AB313" i="22"/>
  <c r="AA313" i="22"/>
  <c r="Z313" i="22"/>
  <c r="Z306" i="22" s="1"/>
  <c r="Y313" i="22"/>
  <c r="X313" i="22"/>
  <c r="W313" i="22"/>
  <c r="V313" i="22"/>
  <c r="U313" i="22"/>
  <c r="T313" i="22"/>
  <c r="S313" i="22"/>
  <c r="AE313" i="22" s="1"/>
  <c r="AF313" i="22" s="1"/>
  <c r="O313" i="22"/>
  <c r="N313" i="22"/>
  <c r="M313" i="22"/>
  <c r="L313" i="22"/>
  <c r="K313" i="22"/>
  <c r="J313" i="22"/>
  <c r="I313" i="22"/>
  <c r="H313" i="22"/>
  <c r="G313" i="22"/>
  <c r="F313" i="22"/>
  <c r="E313" i="22"/>
  <c r="D313" i="22"/>
  <c r="AQ312" i="22"/>
  <c r="AP312" i="22"/>
  <c r="AO312" i="22"/>
  <c r="AM312" i="22"/>
  <c r="AL312" i="22"/>
  <c r="AK312" i="22"/>
  <c r="AJ312" i="22"/>
  <c r="AI312" i="22"/>
  <c r="AI306" i="22" s="1"/>
  <c r="AH312" i="22"/>
  <c r="AD312" i="22"/>
  <c r="AC312" i="22"/>
  <c r="AB312" i="22"/>
  <c r="AA312" i="22"/>
  <c r="Z312" i="22"/>
  <c r="Y312" i="22"/>
  <c r="X312" i="22"/>
  <c r="W312" i="22"/>
  <c r="V312" i="22"/>
  <c r="U312" i="22"/>
  <c r="T312" i="22"/>
  <c r="S312" i="22"/>
  <c r="AE312" i="22" s="1"/>
  <c r="AF312" i="22" s="1"/>
  <c r="O312" i="22"/>
  <c r="N312" i="22"/>
  <c r="M312" i="22"/>
  <c r="L312" i="22"/>
  <c r="K312" i="22"/>
  <c r="J312" i="22"/>
  <c r="I312" i="22"/>
  <c r="H312" i="22"/>
  <c r="G312" i="22"/>
  <c r="F312" i="22"/>
  <c r="E312" i="22"/>
  <c r="P312" i="22" s="1"/>
  <c r="Q312" i="22" s="1"/>
  <c r="D312" i="22"/>
  <c r="AQ311" i="22"/>
  <c r="AT311" i="22" s="1"/>
  <c r="AP311" i="22"/>
  <c r="AO311" i="22"/>
  <c r="AM311" i="22"/>
  <c r="AL311" i="22"/>
  <c r="AK311" i="22"/>
  <c r="AJ311" i="22"/>
  <c r="AI311" i="22"/>
  <c r="AH311" i="22"/>
  <c r="AD311" i="22"/>
  <c r="AD306" i="22" s="1"/>
  <c r="AC311" i="22"/>
  <c r="AC306" i="22" s="1"/>
  <c r="AB311" i="22"/>
  <c r="AB306" i="22" s="1"/>
  <c r="AA311" i="22"/>
  <c r="AE311" i="22" s="1"/>
  <c r="AF311" i="22" s="1"/>
  <c r="Z311" i="22"/>
  <c r="Y311" i="22"/>
  <c r="Y306" i="22" s="1"/>
  <c r="X311" i="22"/>
  <c r="W311" i="22"/>
  <c r="V311" i="22"/>
  <c r="U311" i="22"/>
  <c r="T311" i="22"/>
  <c r="S311" i="22"/>
  <c r="O311" i="22"/>
  <c r="O306" i="22" s="1"/>
  <c r="N311" i="22"/>
  <c r="N306" i="22" s="1"/>
  <c r="M311" i="22"/>
  <c r="L311" i="22"/>
  <c r="L306" i="22" s="1"/>
  <c r="K311" i="22"/>
  <c r="J311" i="22"/>
  <c r="I311" i="22"/>
  <c r="H311" i="22"/>
  <c r="H306" i="22" s="1"/>
  <c r="G311" i="22"/>
  <c r="F311" i="22"/>
  <c r="E311" i="22"/>
  <c r="D311" i="22"/>
  <c r="AQ310" i="22"/>
  <c r="AP310" i="22"/>
  <c r="AO310" i="22"/>
  <c r="AO306" i="22" s="1"/>
  <c r="AM310" i="22"/>
  <c r="AL310" i="22"/>
  <c r="AK310" i="22"/>
  <c r="AK306" i="22" s="1"/>
  <c r="AJ310" i="22"/>
  <c r="AJ306" i="22" s="1"/>
  <c r="AI310" i="22"/>
  <c r="AH310" i="22"/>
  <c r="AD310" i="22"/>
  <c r="AC310" i="22"/>
  <c r="AB310" i="22"/>
  <c r="AA310" i="22"/>
  <c r="Z310" i="22"/>
  <c r="Y310" i="22"/>
  <c r="X310" i="22"/>
  <c r="X306" i="22" s="1"/>
  <c r="W310" i="22"/>
  <c r="V310" i="22"/>
  <c r="U310" i="22"/>
  <c r="T310" i="22"/>
  <c r="S310" i="22"/>
  <c r="O310" i="22"/>
  <c r="N310" i="22"/>
  <c r="M310" i="22"/>
  <c r="L310" i="22"/>
  <c r="K310" i="22"/>
  <c r="J310" i="22"/>
  <c r="I310" i="22"/>
  <c r="H310" i="22"/>
  <c r="G310" i="22"/>
  <c r="F310" i="22"/>
  <c r="E310" i="22"/>
  <c r="D310" i="22"/>
  <c r="AT309" i="22"/>
  <c r="AE309" i="22"/>
  <c r="AF309" i="22" s="1"/>
  <c r="P309" i="22"/>
  <c r="Q309" i="22" s="1"/>
  <c r="AT308" i="22"/>
  <c r="AF308" i="22"/>
  <c r="AE308" i="22"/>
  <c r="P308" i="22"/>
  <c r="Q308" i="22" s="1"/>
  <c r="AT307" i="22"/>
  <c r="AE307" i="22"/>
  <c r="AF307" i="22" s="1"/>
  <c r="P307" i="22"/>
  <c r="Q307" i="22" s="1"/>
  <c r="AQ306" i="22"/>
  <c r="AP306" i="22"/>
  <c r="M306" i="22"/>
  <c r="K306" i="22"/>
  <c r="J306" i="22"/>
  <c r="I306" i="22"/>
  <c r="G306" i="22"/>
  <c r="AT305" i="22"/>
  <c r="AF305" i="22"/>
  <c r="AE305" i="22"/>
  <c r="Q305" i="22"/>
  <c r="Q373" i="22" s="1"/>
  <c r="P305" i="22"/>
  <c r="AT304" i="22"/>
  <c r="AF304" i="22"/>
  <c r="AF372" i="22" s="1"/>
  <c r="AE304" i="22"/>
  <c r="P304" i="22"/>
  <c r="Q304" i="22" s="1"/>
  <c r="Q372" i="22" s="1"/>
  <c r="AT303" i="22"/>
  <c r="AF303" i="22"/>
  <c r="AE303" i="22"/>
  <c r="P303" i="22"/>
  <c r="Q303" i="22" s="1"/>
  <c r="Q371" i="22" s="1"/>
  <c r="AT302" i="22"/>
  <c r="AE302" i="22"/>
  <c r="AF302" i="22" s="1"/>
  <c r="AF370" i="22" s="1"/>
  <c r="Q302" i="22"/>
  <c r="Q370" i="22" s="1"/>
  <c r="P302" i="22"/>
  <c r="AT301" i="22"/>
  <c r="AF301" i="22"/>
  <c r="AF369" i="22" s="1"/>
  <c r="AE301" i="22"/>
  <c r="P301" i="22"/>
  <c r="Q301" i="22" s="1"/>
  <c r="Q369" i="22" s="1"/>
  <c r="AT300" i="22"/>
  <c r="AF300" i="22"/>
  <c r="AF368" i="22" s="1"/>
  <c r="AE300" i="22"/>
  <c r="P300" i="22"/>
  <c r="Q300" i="22" s="1"/>
  <c r="Q368" i="22" s="1"/>
  <c r="AT299" i="22"/>
  <c r="AF299" i="22"/>
  <c r="AF367" i="22" s="1"/>
  <c r="AE299" i="22"/>
  <c r="Q299" i="22"/>
  <c r="Q367" i="22" s="1"/>
  <c r="P299" i="22"/>
  <c r="AT298" i="22"/>
  <c r="AE298" i="22"/>
  <c r="AF298" i="22" s="1"/>
  <c r="AF366" i="22" s="1"/>
  <c r="P298" i="22"/>
  <c r="Q298" i="22" s="1"/>
  <c r="Q366" i="22" s="1"/>
  <c r="AQ297" i="22"/>
  <c r="AQ365" i="22" s="1"/>
  <c r="AP297" i="22"/>
  <c r="AP365" i="22" s="1"/>
  <c r="AO297" i="22"/>
  <c r="AO365" i="22" s="1"/>
  <c r="AM297" i="22"/>
  <c r="AM365" i="22" s="1"/>
  <c r="AL297" i="22"/>
  <c r="AL365" i="22" s="1"/>
  <c r="AK297" i="22"/>
  <c r="AK365" i="22" s="1"/>
  <c r="AJ297" i="22"/>
  <c r="AJ365" i="22" s="1"/>
  <c r="AI297" i="22"/>
  <c r="AI365" i="22" s="1"/>
  <c r="AH297" i="22"/>
  <c r="AH365" i="22" s="1"/>
  <c r="AD297" i="22"/>
  <c r="AD365" i="22" s="1"/>
  <c r="AC297" i="22"/>
  <c r="AC365" i="22" s="1"/>
  <c r="AB297" i="22"/>
  <c r="AB365" i="22" s="1"/>
  <c r="AA297" i="22"/>
  <c r="AA365" i="22" s="1"/>
  <c r="Z297" i="22"/>
  <c r="Z365" i="22" s="1"/>
  <c r="Y297" i="22"/>
  <c r="Y365" i="22" s="1"/>
  <c r="X297" i="22"/>
  <c r="X365" i="22" s="1"/>
  <c r="W297" i="22"/>
  <c r="W365" i="22" s="1"/>
  <c r="V297" i="22"/>
  <c r="V365" i="22" s="1"/>
  <c r="U297" i="22"/>
  <c r="U365" i="22" s="1"/>
  <c r="T297" i="22"/>
  <c r="T365" i="22" s="1"/>
  <c r="S297" i="22"/>
  <c r="S365" i="22" s="1"/>
  <c r="O297" i="22"/>
  <c r="O365" i="22" s="1"/>
  <c r="N297" i="22"/>
  <c r="N365" i="22" s="1"/>
  <c r="M297" i="22"/>
  <c r="M365" i="22" s="1"/>
  <c r="L297" i="22"/>
  <c r="L365" i="22" s="1"/>
  <c r="K297" i="22"/>
  <c r="K365" i="22" s="1"/>
  <c r="J297" i="22"/>
  <c r="J365" i="22" s="1"/>
  <c r="I297" i="22"/>
  <c r="I365" i="22" s="1"/>
  <c r="H297" i="22"/>
  <c r="H365" i="22" s="1"/>
  <c r="G297" i="22"/>
  <c r="G365" i="22" s="1"/>
  <c r="F297" i="22"/>
  <c r="F365" i="22" s="1"/>
  <c r="E297" i="22"/>
  <c r="E365" i="22" s="1"/>
  <c r="D297" i="22"/>
  <c r="D365" i="22" s="1"/>
  <c r="AQ296" i="22"/>
  <c r="AQ364" i="22" s="1"/>
  <c r="AP296" i="22"/>
  <c r="AP364" i="22" s="1"/>
  <c r="AO296" i="22"/>
  <c r="AO364" i="22" s="1"/>
  <c r="AM296" i="22"/>
  <c r="AM364" i="22" s="1"/>
  <c r="AL296" i="22"/>
  <c r="AL364" i="22" s="1"/>
  <c r="AK296" i="22"/>
  <c r="AK364" i="22" s="1"/>
  <c r="AJ296" i="22"/>
  <c r="AJ364" i="22" s="1"/>
  <c r="AI296" i="22"/>
  <c r="AI364" i="22" s="1"/>
  <c r="AH296" i="22"/>
  <c r="AH364" i="22" s="1"/>
  <c r="AD296" i="22"/>
  <c r="AC296" i="22"/>
  <c r="AC364" i="22" s="1"/>
  <c r="AB296" i="22"/>
  <c r="AB364" i="22" s="1"/>
  <c r="AA296" i="22"/>
  <c r="AA364" i="22" s="1"/>
  <c r="Z296" i="22"/>
  <c r="Z364" i="22" s="1"/>
  <c r="Y296" i="22"/>
  <c r="Y364" i="22" s="1"/>
  <c r="X296" i="22"/>
  <c r="X364" i="22" s="1"/>
  <c r="W296" i="22"/>
  <c r="W364" i="22" s="1"/>
  <c r="V296" i="22"/>
  <c r="V364" i="22" s="1"/>
  <c r="U296" i="22"/>
  <c r="U364" i="22" s="1"/>
  <c r="T296" i="22"/>
  <c r="T364" i="22" s="1"/>
  <c r="S296" i="22"/>
  <c r="S364" i="22" s="1"/>
  <c r="O296" i="22"/>
  <c r="O364" i="22" s="1"/>
  <c r="N296" i="22"/>
  <c r="N364" i="22" s="1"/>
  <c r="M296" i="22"/>
  <c r="M364" i="22" s="1"/>
  <c r="L296" i="22"/>
  <c r="L364" i="22" s="1"/>
  <c r="K296" i="22"/>
  <c r="K364" i="22" s="1"/>
  <c r="J296" i="22"/>
  <c r="J364" i="22" s="1"/>
  <c r="I296" i="22"/>
  <c r="I364" i="22" s="1"/>
  <c r="H296" i="22"/>
  <c r="H364" i="22" s="1"/>
  <c r="G296" i="22"/>
  <c r="G364" i="22" s="1"/>
  <c r="F296" i="22"/>
  <c r="F364" i="22" s="1"/>
  <c r="E296" i="22"/>
  <c r="E364" i="22" s="1"/>
  <c r="D296" i="22"/>
  <c r="AQ295" i="22"/>
  <c r="AQ363" i="22" s="1"/>
  <c r="AP295" i="22"/>
  <c r="AP363" i="22" s="1"/>
  <c r="AO295" i="22"/>
  <c r="AO363" i="22" s="1"/>
  <c r="AM295" i="22"/>
  <c r="AM363" i="22" s="1"/>
  <c r="AL295" i="22"/>
  <c r="AL363" i="22" s="1"/>
  <c r="AK295" i="22"/>
  <c r="AK363" i="22" s="1"/>
  <c r="AJ295" i="22"/>
  <c r="AJ363" i="22" s="1"/>
  <c r="AI295" i="22"/>
  <c r="AI363" i="22" s="1"/>
  <c r="AH295" i="22"/>
  <c r="AD295" i="22"/>
  <c r="AC295" i="22"/>
  <c r="AC363" i="22" s="1"/>
  <c r="AB295" i="22"/>
  <c r="AB363" i="22" s="1"/>
  <c r="AA295" i="22"/>
  <c r="AA363" i="22" s="1"/>
  <c r="Z295" i="22"/>
  <c r="Z363" i="22" s="1"/>
  <c r="Y295" i="22"/>
  <c r="Y363" i="22" s="1"/>
  <c r="X295" i="22"/>
  <c r="X363" i="22" s="1"/>
  <c r="W295" i="22"/>
  <c r="W363" i="22" s="1"/>
  <c r="V295" i="22"/>
  <c r="V363" i="22" s="1"/>
  <c r="U295" i="22"/>
  <c r="U363" i="22" s="1"/>
  <c r="T295" i="22"/>
  <c r="T363" i="22" s="1"/>
  <c r="S295" i="22"/>
  <c r="S363" i="22" s="1"/>
  <c r="O295" i="22"/>
  <c r="O363" i="22" s="1"/>
  <c r="N295" i="22"/>
  <c r="N363" i="22" s="1"/>
  <c r="M295" i="22"/>
  <c r="M363" i="22" s="1"/>
  <c r="L295" i="22"/>
  <c r="L363" i="22" s="1"/>
  <c r="K295" i="22"/>
  <c r="K363" i="22" s="1"/>
  <c r="J295" i="22"/>
  <c r="J363" i="22" s="1"/>
  <c r="I295" i="22"/>
  <c r="I363" i="22" s="1"/>
  <c r="H295" i="22"/>
  <c r="H363" i="22" s="1"/>
  <c r="G295" i="22"/>
  <c r="G363" i="22" s="1"/>
  <c r="F295" i="22"/>
  <c r="F363" i="22" s="1"/>
  <c r="E295" i="22"/>
  <c r="E363" i="22" s="1"/>
  <c r="D295" i="22"/>
  <c r="D363" i="22" s="1"/>
  <c r="AQ294" i="22"/>
  <c r="AQ362" i="22" s="1"/>
  <c r="AP294" i="22"/>
  <c r="AP362" i="22" s="1"/>
  <c r="AO294" i="22"/>
  <c r="AO362" i="22" s="1"/>
  <c r="AM294" i="22"/>
  <c r="AM362" i="22" s="1"/>
  <c r="AL294" i="22"/>
  <c r="AL362" i="22" s="1"/>
  <c r="AK294" i="22"/>
  <c r="AK362" i="22" s="1"/>
  <c r="AJ294" i="22"/>
  <c r="AJ362" i="22" s="1"/>
  <c r="AI294" i="22"/>
  <c r="AI362" i="22" s="1"/>
  <c r="AH294" i="22"/>
  <c r="AH362" i="22" s="1"/>
  <c r="AD294" i="22"/>
  <c r="AD362" i="22" s="1"/>
  <c r="AC294" i="22"/>
  <c r="AC362" i="22" s="1"/>
  <c r="AB294" i="22"/>
  <c r="AB362" i="22" s="1"/>
  <c r="AA294" i="22"/>
  <c r="AA362" i="22" s="1"/>
  <c r="Z294" i="22"/>
  <c r="Z362" i="22" s="1"/>
  <c r="Y294" i="22"/>
  <c r="Y362" i="22" s="1"/>
  <c r="X294" i="22"/>
  <c r="X362" i="22" s="1"/>
  <c r="W294" i="22"/>
  <c r="W362" i="22" s="1"/>
  <c r="V294" i="22"/>
  <c r="V362" i="22" s="1"/>
  <c r="U294" i="22"/>
  <c r="U362" i="22" s="1"/>
  <c r="T294" i="22"/>
  <c r="T362" i="22" s="1"/>
  <c r="S294" i="22"/>
  <c r="S362" i="22" s="1"/>
  <c r="AE362" i="22" s="1"/>
  <c r="O294" i="22"/>
  <c r="O362" i="22" s="1"/>
  <c r="N294" i="22"/>
  <c r="N362" i="22" s="1"/>
  <c r="M294" i="22"/>
  <c r="M362" i="22" s="1"/>
  <c r="L294" i="22"/>
  <c r="L362" i="22" s="1"/>
  <c r="K294" i="22"/>
  <c r="K362" i="22" s="1"/>
  <c r="J294" i="22"/>
  <c r="J362" i="22" s="1"/>
  <c r="I294" i="22"/>
  <c r="I362" i="22" s="1"/>
  <c r="H294" i="22"/>
  <c r="H362" i="22" s="1"/>
  <c r="G294" i="22"/>
  <c r="G362" i="22" s="1"/>
  <c r="F294" i="22"/>
  <c r="F362" i="22" s="1"/>
  <c r="E294" i="22"/>
  <c r="E362" i="22" s="1"/>
  <c r="D294" i="22"/>
  <c r="D362" i="22" s="1"/>
  <c r="AQ293" i="22"/>
  <c r="AQ361" i="22" s="1"/>
  <c r="AP293" i="22"/>
  <c r="AP361" i="22" s="1"/>
  <c r="AO293" i="22"/>
  <c r="AO361" i="22" s="1"/>
  <c r="AM293" i="22"/>
  <c r="AM361" i="22" s="1"/>
  <c r="AL293" i="22"/>
  <c r="AL361" i="22" s="1"/>
  <c r="AK293" i="22"/>
  <c r="AK361" i="22" s="1"/>
  <c r="AJ293" i="22"/>
  <c r="AJ361" i="22" s="1"/>
  <c r="AI293" i="22"/>
  <c r="AI361" i="22" s="1"/>
  <c r="AH293" i="22"/>
  <c r="AH361" i="22" s="1"/>
  <c r="AD293" i="22"/>
  <c r="AD361" i="22" s="1"/>
  <c r="AC293" i="22"/>
  <c r="AC361" i="22" s="1"/>
  <c r="AB293" i="22"/>
  <c r="AB361" i="22" s="1"/>
  <c r="AA293" i="22"/>
  <c r="AA361" i="22" s="1"/>
  <c r="Z293" i="22"/>
  <c r="Z361" i="22" s="1"/>
  <c r="Y293" i="22"/>
  <c r="Y361" i="22" s="1"/>
  <c r="X293" i="22"/>
  <c r="X361" i="22" s="1"/>
  <c r="W293" i="22"/>
  <c r="W361" i="22" s="1"/>
  <c r="V293" i="22"/>
  <c r="V361" i="22" s="1"/>
  <c r="U293" i="22"/>
  <c r="U361" i="22" s="1"/>
  <c r="T293" i="22"/>
  <c r="T361" i="22" s="1"/>
  <c r="S293" i="22"/>
  <c r="S361" i="22" s="1"/>
  <c r="O293" i="22"/>
  <c r="O361" i="22" s="1"/>
  <c r="N293" i="22"/>
  <c r="N361" i="22" s="1"/>
  <c r="M293" i="22"/>
  <c r="M361" i="22" s="1"/>
  <c r="L293" i="22"/>
  <c r="L361" i="22" s="1"/>
  <c r="K293" i="22"/>
  <c r="K361" i="22" s="1"/>
  <c r="J293" i="22"/>
  <c r="J361" i="22" s="1"/>
  <c r="I293" i="22"/>
  <c r="I361" i="22" s="1"/>
  <c r="H293" i="22"/>
  <c r="H361" i="22" s="1"/>
  <c r="G293" i="22"/>
  <c r="G361" i="22" s="1"/>
  <c r="F293" i="22"/>
  <c r="F361" i="22" s="1"/>
  <c r="E293" i="22"/>
  <c r="E361" i="22" s="1"/>
  <c r="D293" i="22"/>
  <c r="D361" i="22" s="1"/>
  <c r="AT292" i="22"/>
  <c r="AE292" i="22"/>
  <c r="AF292" i="22" s="1"/>
  <c r="AF360" i="22" s="1"/>
  <c r="Q292" i="22"/>
  <c r="Q360" i="22" s="1"/>
  <c r="P292" i="22"/>
  <c r="AT291" i="22"/>
  <c r="AF291" i="22"/>
  <c r="AF359" i="22" s="1"/>
  <c r="AE291" i="22"/>
  <c r="Q291" i="22"/>
  <c r="Q359" i="22" s="1"/>
  <c r="P291" i="22"/>
  <c r="AT290" i="22"/>
  <c r="AF290" i="22"/>
  <c r="AF358" i="22" s="1"/>
  <c r="AE290" i="22"/>
  <c r="Q290" i="22"/>
  <c r="Q358" i="22" s="1"/>
  <c r="P290" i="22"/>
  <c r="AQ289" i="22"/>
  <c r="AQ357" i="22" s="1"/>
  <c r="AP289" i="22"/>
  <c r="AP357" i="22" s="1"/>
  <c r="AO289" i="22"/>
  <c r="AM289" i="22"/>
  <c r="AM357" i="22" s="1"/>
  <c r="AL289" i="22"/>
  <c r="AL357" i="22" s="1"/>
  <c r="AK289" i="22"/>
  <c r="AJ289" i="22"/>
  <c r="AJ357" i="22" s="1"/>
  <c r="AI289" i="22"/>
  <c r="AI357" i="22" s="1"/>
  <c r="AH289" i="22"/>
  <c r="AH357" i="22" s="1"/>
  <c r="AD289" i="22"/>
  <c r="AD357" i="22" s="1"/>
  <c r="AC289" i="22"/>
  <c r="AC357" i="22" s="1"/>
  <c r="AB289" i="22"/>
  <c r="AB357" i="22" s="1"/>
  <c r="AA289" i="22"/>
  <c r="AA357" i="22" s="1"/>
  <c r="Z289" i="22"/>
  <c r="Z357" i="22" s="1"/>
  <c r="Y289" i="22"/>
  <c r="Y357" i="22" s="1"/>
  <c r="X289" i="22"/>
  <c r="X357" i="22" s="1"/>
  <c r="W289" i="22"/>
  <c r="V289" i="22"/>
  <c r="V357" i="22" s="1"/>
  <c r="U289" i="22"/>
  <c r="U357" i="22" s="1"/>
  <c r="T289" i="22"/>
  <c r="S289" i="22"/>
  <c r="AE289" i="22" s="1"/>
  <c r="AF289" i="22" s="1"/>
  <c r="O289" i="22"/>
  <c r="O357" i="22" s="1"/>
  <c r="N289" i="22"/>
  <c r="N357" i="22" s="1"/>
  <c r="M289" i="22"/>
  <c r="M357" i="22" s="1"/>
  <c r="L289" i="22"/>
  <c r="L357" i="22" s="1"/>
  <c r="K289" i="22"/>
  <c r="K357" i="22" s="1"/>
  <c r="J289" i="22"/>
  <c r="J357" i="22" s="1"/>
  <c r="I289" i="22"/>
  <c r="I357" i="22" s="1"/>
  <c r="H289" i="22"/>
  <c r="H357" i="22" s="1"/>
  <c r="G289" i="22"/>
  <c r="G357" i="22" s="1"/>
  <c r="F289" i="22"/>
  <c r="F357" i="22" s="1"/>
  <c r="E289" i="22"/>
  <c r="E357" i="22" s="1"/>
  <c r="D289" i="22"/>
  <c r="P289" i="22" s="1"/>
  <c r="Q289" i="22" s="1"/>
  <c r="AT288" i="22"/>
  <c r="AF288" i="22"/>
  <c r="AF356" i="22" s="1"/>
  <c r="AE288" i="22"/>
  <c r="P288" i="22"/>
  <c r="Q288" i="22" s="1"/>
  <c r="Q356" i="22" s="1"/>
  <c r="AT287" i="22"/>
  <c r="AE287" i="22"/>
  <c r="AF287" i="22" s="1"/>
  <c r="AF355" i="22" s="1"/>
  <c r="P287" i="22"/>
  <c r="Q287" i="22" s="1"/>
  <c r="Q355" i="22" s="1"/>
  <c r="AT286" i="22"/>
  <c r="AE286" i="22"/>
  <c r="AF286" i="22" s="1"/>
  <c r="Q286" i="22"/>
  <c r="P286" i="22"/>
  <c r="AT285" i="22"/>
  <c r="AE285" i="22"/>
  <c r="AF285" i="22" s="1"/>
  <c r="AF353" i="22" s="1"/>
  <c r="Q285" i="22"/>
  <c r="Q353" i="22" s="1"/>
  <c r="P285" i="22"/>
  <c r="AT284" i="22"/>
  <c r="AF284" i="22"/>
  <c r="AE284" i="22"/>
  <c r="Q284" i="22"/>
  <c r="Q352" i="22" s="1"/>
  <c r="P284" i="22"/>
  <c r="AT283" i="22"/>
  <c r="AF283" i="22"/>
  <c r="AF351" i="22" s="1"/>
  <c r="AE283" i="22"/>
  <c r="Q283" i="22"/>
  <c r="P283" i="22"/>
  <c r="AT282" i="22"/>
  <c r="AF282" i="22"/>
  <c r="AF350" i="22" s="1"/>
  <c r="AE282" i="22"/>
  <c r="P282" i="22"/>
  <c r="Q282" i="22" s="1"/>
  <c r="Q350" i="22" s="1"/>
  <c r="AT281" i="22"/>
  <c r="AF281" i="22"/>
  <c r="AF349" i="22" s="1"/>
  <c r="AE281" i="22"/>
  <c r="Q281" i="22"/>
  <c r="Q349" i="22" s="1"/>
  <c r="P281" i="22"/>
  <c r="AQ280" i="22"/>
  <c r="AQ348" i="22" s="1"/>
  <c r="AP280" i="22"/>
  <c r="AP348" i="22" s="1"/>
  <c r="AO280" i="22"/>
  <c r="AO348" i="22" s="1"/>
  <c r="AM280" i="22"/>
  <c r="AM348" i="22" s="1"/>
  <c r="AL280" i="22"/>
  <c r="AL348" i="22" s="1"/>
  <c r="AK280" i="22"/>
  <c r="AK348" i="22" s="1"/>
  <c r="AJ280" i="22"/>
  <c r="AJ348" i="22" s="1"/>
  <c r="AI280" i="22"/>
  <c r="AI348" i="22" s="1"/>
  <c r="AH280" i="22"/>
  <c r="AH348" i="22" s="1"/>
  <c r="AD280" i="22"/>
  <c r="AD348" i="22" s="1"/>
  <c r="AC280" i="22"/>
  <c r="AC348" i="22" s="1"/>
  <c r="AB280" i="22"/>
  <c r="AB348" i="22" s="1"/>
  <c r="AA280" i="22"/>
  <c r="AA348" i="22" s="1"/>
  <c r="Z280" i="22"/>
  <c r="Z348" i="22" s="1"/>
  <c r="Y280" i="22"/>
  <c r="Y348" i="22" s="1"/>
  <c r="X280" i="22"/>
  <c r="X348" i="22" s="1"/>
  <c r="W280" i="22"/>
  <c r="W348" i="22" s="1"/>
  <c r="V280" i="22"/>
  <c r="V348" i="22" s="1"/>
  <c r="U280" i="22"/>
  <c r="U348" i="22" s="1"/>
  <c r="T280" i="22"/>
  <c r="T348" i="22" s="1"/>
  <c r="S280" i="22"/>
  <c r="S348" i="22" s="1"/>
  <c r="O280" i="22"/>
  <c r="O348" i="22" s="1"/>
  <c r="N280" i="22"/>
  <c r="N348" i="22" s="1"/>
  <c r="M280" i="22"/>
  <c r="M348" i="22" s="1"/>
  <c r="L280" i="22"/>
  <c r="L348" i="22" s="1"/>
  <c r="K280" i="22"/>
  <c r="K348" i="22" s="1"/>
  <c r="J280" i="22"/>
  <c r="J348" i="22" s="1"/>
  <c r="I280" i="22"/>
  <c r="I348" i="22" s="1"/>
  <c r="H280" i="22"/>
  <c r="H348" i="22" s="1"/>
  <c r="G280" i="22"/>
  <c r="G348" i="22" s="1"/>
  <c r="F280" i="22"/>
  <c r="F348" i="22" s="1"/>
  <c r="E280" i="22"/>
  <c r="E348" i="22" s="1"/>
  <c r="D280" i="22"/>
  <c r="D348" i="22" s="1"/>
  <c r="P348" i="22" s="1"/>
  <c r="AQ279" i="22"/>
  <c r="AQ347" i="22" s="1"/>
  <c r="AP279" i="22"/>
  <c r="AP347" i="22" s="1"/>
  <c r="AO279" i="22"/>
  <c r="AO347" i="22" s="1"/>
  <c r="AM279" i="22"/>
  <c r="AM347" i="22" s="1"/>
  <c r="AL279" i="22"/>
  <c r="AL347" i="22" s="1"/>
  <c r="AK279" i="22"/>
  <c r="AK347" i="22" s="1"/>
  <c r="AJ279" i="22"/>
  <c r="AJ347" i="22" s="1"/>
  <c r="AI279" i="22"/>
  <c r="AI347" i="22" s="1"/>
  <c r="AH279" i="22"/>
  <c r="AH347" i="22" s="1"/>
  <c r="AD279" i="22"/>
  <c r="AD347" i="22" s="1"/>
  <c r="AC279" i="22"/>
  <c r="AC347" i="22" s="1"/>
  <c r="AB279" i="22"/>
  <c r="AB347" i="22" s="1"/>
  <c r="AA279" i="22"/>
  <c r="AA347" i="22" s="1"/>
  <c r="Z279" i="22"/>
  <c r="Z347" i="22" s="1"/>
  <c r="Y279" i="22"/>
  <c r="Y347" i="22" s="1"/>
  <c r="X279" i="22"/>
  <c r="X347" i="22" s="1"/>
  <c r="W279" i="22"/>
  <c r="W347" i="22" s="1"/>
  <c r="V279" i="22"/>
  <c r="V347" i="22" s="1"/>
  <c r="U279" i="22"/>
  <c r="U347" i="22" s="1"/>
  <c r="T279" i="22"/>
  <c r="T347" i="22" s="1"/>
  <c r="S279" i="22"/>
  <c r="S347" i="22" s="1"/>
  <c r="O279" i="22"/>
  <c r="O347" i="22" s="1"/>
  <c r="N279" i="22"/>
  <c r="N347" i="22" s="1"/>
  <c r="M279" i="22"/>
  <c r="M347" i="22" s="1"/>
  <c r="L279" i="22"/>
  <c r="L347" i="22" s="1"/>
  <c r="K279" i="22"/>
  <c r="K347" i="22" s="1"/>
  <c r="J279" i="22"/>
  <c r="J347" i="22" s="1"/>
  <c r="I279" i="22"/>
  <c r="I347" i="22" s="1"/>
  <c r="H279" i="22"/>
  <c r="H347" i="22" s="1"/>
  <c r="G279" i="22"/>
  <c r="G347" i="22" s="1"/>
  <c r="F279" i="22"/>
  <c r="F347" i="22" s="1"/>
  <c r="E279" i="22"/>
  <c r="E347" i="22" s="1"/>
  <c r="D279" i="22"/>
  <c r="D347" i="22" s="1"/>
  <c r="AQ278" i="22"/>
  <c r="AQ346" i="22" s="1"/>
  <c r="AP278" i="22"/>
  <c r="AP346" i="22" s="1"/>
  <c r="AO278" i="22"/>
  <c r="AO346" i="22" s="1"/>
  <c r="AM278" i="22"/>
  <c r="AM346" i="22" s="1"/>
  <c r="AL278" i="22"/>
  <c r="AL346" i="22" s="1"/>
  <c r="AK278" i="22"/>
  <c r="AJ278" i="22"/>
  <c r="AI278" i="22"/>
  <c r="AI346" i="22" s="1"/>
  <c r="AH278" i="22"/>
  <c r="AH346" i="22" s="1"/>
  <c r="AD278" i="22"/>
  <c r="AD346" i="22" s="1"/>
  <c r="AC278" i="22"/>
  <c r="AC346" i="22" s="1"/>
  <c r="AB278" i="22"/>
  <c r="AB346" i="22" s="1"/>
  <c r="AA278" i="22"/>
  <c r="AA346" i="22" s="1"/>
  <c r="Z278" i="22"/>
  <c r="Z346" i="22" s="1"/>
  <c r="Y278" i="22"/>
  <c r="Y346" i="22" s="1"/>
  <c r="X278" i="22"/>
  <c r="X346" i="22" s="1"/>
  <c r="W278" i="22"/>
  <c r="W346" i="22" s="1"/>
  <c r="V278" i="22"/>
  <c r="V346" i="22" s="1"/>
  <c r="U278" i="22"/>
  <c r="U346" i="22" s="1"/>
  <c r="T278" i="22"/>
  <c r="T346" i="22" s="1"/>
  <c r="S278" i="22"/>
  <c r="O278" i="22"/>
  <c r="O346" i="22" s="1"/>
  <c r="N278" i="22"/>
  <c r="N346" i="22" s="1"/>
  <c r="M278" i="22"/>
  <c r="M346" i="22" s="1"/>
  <c r="L278" i="22"/>
  <c r="L346" i="22" s="1"/>
  <c r="K278" i="22"/>
  <c r="K346" i="22" s="1"/>
  <c r="J278" i="22"/>
  <c r="J346" i="22" s="1"/>
  <c r="I278" i="22"/>
  <c r="I346" i="22" s="1"/>
  <c r="H278" i="22"/>
  <c r="H346" i="22" s="1"/>
  <c r="G278" i="22"/>
  <c r="G346" i="22" s="1"/>
  <c r="F278" i="22"/>
  <c r="F346" i="22" s="1"/>
  <c r="E278" i="22"/>
  <c r="E346" i="22" s="1"/>
  <c r="D278" i="22"/>
  <c r="D346" i="22" s="1"/>
  <c r="AQ277" i="22"/>
  <c r="AQ345" i="22" s="1"/>
  <c r="AP277" i="22"/>
  <c r="AP345" i="22" s="1"/>
  <c r="AO277" i="22"/>
  <c r="AO345" i="22" s="1"/>
  <c r="AM277" i="22"/>
  <c r="AM345" i="22" s="1"/>
  <c r="AL277" i="22"/>
  <c r="AL345" i="22" s="1"/>
  <c r="AK277" i="22"/>
  <c r="AK345" i="22" s="1"/>
  <c r="AJ277" i="22"/>
  <c r="AJ345" i="22" s="1"/>
  <c r="AI277" i="22"/>
  <c r="AI345" i="22" s="1"/>
  <c r="AH277" i="22"/>
  <c r="AH345" i="22" s="1"/>
  <c r="AD277" i="22"/>
  <c r="AD345" i="22" s="1"/>
  <c r="AC277" i="22"/>
  <c r="AB277" i="22"/>
  <c r="AB345" i="22" s="1"/>
  <c r="AA277" i="22"/>
  <c r="Z277" i="22"/>
  <c r="Z345" i="22" s="1"/>
  <c r="Y277" i="22"/>
  <c r="Y345" i="22" s="1"/>
  <c r="X277" i="22"/>
  <c r="X345" i="22" s="1"/>
  <c r="W277" i="22"/>
  <c r="W345" i="22" s="1"/>
  <c r="V277" i="22"/>
  <c r="V345" i="22" s="1"/>
  <c r="U277" i="22"/>
  <c r="U345" i="22" s="1"/>
  <c r="T277" i="22"/>
  <c r="T345" i="22" s="1"/>
  <c r="S277" i="22"/>
  <c r="S345" i="22" s="1"/>
  <c r="O277" i="22"/>
  <c r="O345" i="22" s="1"/>
  <c r="N277" i="22"/>
  <c r="N345" i="22" s="1"/>
  <c r="M277" i="22"/>
  <c r="M345" i="22" s="1"/>
  <c r="L277" i="22"/>
  <c r="K277" i="22"/>
  <c r="K345" i="22" s="1"/>
  <c r="J277" i="22"/>
  <c r="J345" i="22" s="1"/>
  <c r="I277" i="22"/>
  <c r="I345" i="22" s="1"/>
  <c r="H277" i="22"/>
  <c r="H345" i="22" s="1"/>
  <c r="G277" i="22"/>
  <c r="G345" i="22" s="1"/>
  <c r="F277" i="22"/>
  <c r="F345" i="22" s="1"/>
  <c r="E277" i="22"/>
  <c r="E345" i="22" s="1"/>
  <c r="D277" i="22"/>
  <c r="D345" i="22" s="1"/>
  <c r="AT276" i="22"/>
  <c r="AQ276" i="22"/>
  <c r="AQ344" i="22" s="1"/>
  <c r="AP276" i="22"/>
  <c r="AP344" i="22" s="1"/>
  <c r="AO276" i="22"/>
  <c r="AO344" i="22" s="1"/>
  <c r="AM276" i="22"/>
  <c r="AM344" i="22" s="1"/>
  <c r="AL276" i="22"/>
  <c r="AL344" i="22" s="1"/>
  <c r="AK276" i="22"/>
  <c r="AJ276" i="22"/>
  <c r="AJ344" i="22" s="1"/>
  <c r="AI276" i="22"/>
  <c r="AI344" i="22" s="1"/>
  <c r="AH276" i="22"/>
  <c r="AH344" i="22" s="1"/>
  <c r="AD276" i="22"/>
  <c r="AD344" i="22" s="1"/>
  <c r="AC276" i="22"/>
  <c r="AC344" i="22" s="1"/>
  <c r="AB276" i="22"/>
  <c r="AB344" i="22" s="1"/>
  <c r="AA276" i="22"/>
  <c r="AA344" i="22" s="1"/>
  <c r="Z276" i="22"/>
  <c r="Z344" i="22" s="1"/>
  <c r="Y276" i="22"/>
  <c r="Y344" i="22" s="1"/>
  <c r="X276" i="22"/>
  <c r="X344" i="22" s="1"/>
  <c r="W276" i="22"/>
  <c r="W344" i="22" s="1"/>
  <c r="V276" i="22"/>
  <c r="V344" i="22" s="1"/>
  <c r="U276" i="22"/>
  <c r="U344" i="22" s="1"/>
  <c r="T276" i="22"/>
  <c r="T344" i="22" s="1"/>
  <c r="S276" i="22"/>
  <c r="S344" i="22" s="1"/>
  <c r="O276" i="22"/>
  <c r="O344" i="22" s="1"/>
  <c r="N276" i="22"/>
  <c r="N344" i="22" s="1"/>
  <c r="M276" i="22"/>
  <c r="M344" i="22" s="1"/>
  <c r="L276" i="22"/>
  <c r="L344" i="22" s="1"/>
  <c r="K276" i="22"/>
  <c r="K344" i="22" s="1"/>
  <c r="J276" i="22"/>
  <c r="J344" i="22" s="1"/>
  <c r="I276" i="22"/>
  <c r="I344" i="22" s="1"/>
  <c r="H276" i="22"/>
  <c r="H344" i="22" s="1"/>
  <c r="G276" i="22"/>
  <c r="G344" i="22" s="1"/>
  <c r="F276" i="22"/>
  <c r="F344" i="22" s="1"/>
  <c r="E276" i="22"/>
  <c r="E344" i="22" s="1"/>
  <c r="D276" i="22"/>
  <c r="D344" i="22" s="1"/>
  <c r="AT275" i="22"/>
  <c r="AF275" i="22"/>
  <c r="AF343" i="22" s="1"/>
  <c r="AE275" i="22"/>
  <c r="P275" i="22"/>
  <c r="Q275" i="22" s="1"/>
  <c r="Q343" i="22" s="1"/>
  <c r="AT274" i="22"/>
  <c r="AF274" i="22"/>
  <c r="AF342" i="22" s="1"/>
  <c r="AE274" i="22"/>
  <c r="P274" i="22"/>
  <c r="Q274" i="22" s="1"/>
  <c r="Q342" i="22" s="1"/>
  <c r="AT273" i="22"/>
  <c r="AE273" i="22"/>
  <c r="AF273" i="22" s="1"/>
  <c r="AF341" i="22" s="1"/>
  <c r="P273" i="22"/>
  <c r="Q273" i="22" s="1"/>
  <c r="Q341" i="22" s="1"/>
  <c r="AQ272" i="22"/>
  <c r="AQ340" i="22" s="1"/>
  <c r="AP272" i="22"/>
  <c r="AP340" i="22" s="1"/>
  <c r="AO272" i="22"/>
  <c r="AO340" i="22" s="1"/>
  <c r="AM272" i="22"/>
  <c r="AL272" i="22"/>
  <c r="AK272" i="22"/>
  <c r="AK340" i="22" s="1"/>
  <c r="AJ272" i="22"/>
  <c r="AJ340" i="22" s="1"/>
  <c r="AI272" i="22"/>
  <c r="AI340" i="22" s="1"/>
  <c r="AH272" i="22"/>
  <c r="AD272" i="22"/>
  <c r="AC272" i="22"/>
  <c r="AB272" i="22"/>
  <c r="AA272" i="22"/>
  <c r="Z272" i="22"/>
  <c r="Y272" i="22"/>
  <c r="X272" i="22"/>
  <c r="W272" i="22"/>
  <c r="V272" i="22"/>
  <c r="U272" i="22"/>
  <c r="T272" i="22"/>
  <c r="AE272" i="22" s="1"/>
  <c r="AF272" i="22" s="1"/>
  <c r="S272" i="22"/>
  <c r="P272" i="22"/>
  <c r="Q272" i="22" s="1"/>
  <c r="O272" i="22"/>
  <c r="O340" i="22" s="1"/>
  <c r="N272" i="22"/>
  <c r="M272" i="22"/>
  <c r="M340" i="22" s="1"/>
  <c r="L272" i="22"/>
  <c r="K272" i="22"/>
  <c r="J272" i="22"/>
  <c r="J340" i="22" s="1"/>
  <c r="I272" i="22"/>
  <c r="H272" i="22"/>
  <c r="G272" i="22"/>
  <c r="G340" i="22" s="1"/>
  <c r="F272" i="22"/>
  <c r="E272" i="22"/>
  <c r="D272" i="22"/>
  <c r="AT271" i="22"/>
  <c r="AF271" i="22"/>
  <c r="AE271" i="22"/>
  <c r="Q271" i="22"/>
  <c r="P271" i="22"/>
  <c r="AT270" i="22"/>
  <c r="AE270" i="22"/>
  <c r="AF270" i="22" s="1"/>
  <c r="Q270" i="22"/>
  <c r="P270" i="22"/>
  <c r="AT269" i="22"/>
  <c r="AF269" i="22"/>
  <c r="AE269" i="22"/>
  <c r="Q269" i="22"/>
  <c r="P269" i="22"/>
  <c r="AT268" i="22"/>
  <c r="AF268" i="22"/>
  <c r="AE268" i="22"/>
  <c r="P268" i="22"/>
  <c r="Q268" i="22" s="1"/>
  <c r="AT267" i="22"/>
  <c r="AF267" i="22"/>
  <c r="AE267" i="22"/>
  <c r="P267" i="22"/>
  <c r="Q267" i="22" s="1"/>
  <c r="AT266" i="22"/>
  <c r="AE266" i="22"/>
  <c r="AF266" i="22" s="1"/>
  <c r="P266" i="22"/>
  <c r="Q266" i="22" s="1"/>
  <c r="AT265" i="22"/>
  <c r="AE265" i="22"/>
  <c r="AF265" i="22" s="1"/>
  <c r="Q265" i="22"/>
  <c r="P265" i="22"/>
  <c r="AT264" i="22"/>
  <c r="AE264" i="22"/>
  <c r="AF264" i="22" s="1"/>
  <c r="Q264" i="22"/>
  <c r="P264" i="22"/>
  <c r="AQ263" i="22"/>
  <c r="AP263" i="22"/>
  <c r="AO263" i="22"/>
  <c r="AM263" i="22"/>
  <c r="AL263" i="22"/>
  <c r="AK263" i="22"/>
  <c r="AJ263" i="22"/>
  <c r="AI263" i="22"/>
  <c r="AH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AE263" i="22" s="1"/>
  <c r="AF263" i="22" s="1"/>
  <c r="O263" i="22"/>
  <c r="N263" i="22"/>
  <c r="M263" i="22"/>
  <c r="L263" i="22"/>
  <c r="K263" i="22"/>
  <c r="J263" i="22"/>
  <c r="I263" i="22"/>
  <c r="H263" i="22"/>
  <c r="G263" i="22"/>
  <c r="F263" i="22"/>
  <c r="E263" i="22"/>
  <c r="D263" i="22"/>
  <c r="P263" i="22" s="1"/>
  <c r="Q263" i="22" s="1"/>
  <c r="AQ262" i="22"/>
  <c r="AP262" i="22"/>
  <c r="AO262" i="22"/>
  <c r="AM262" i="22"/>
  <c r="AL262" i="22"/>
  <c r="AK262" i="22"/>
  <c r="AJ262" i="22"/>
  <c r="AI262" i="22"/>
  <c r="AH262" i="22"/>
  <c r="AT262" i="22" s="1"/>
  <c r="AD262" i="22"/>
  <c r="AC262" i="22"/>
  <c r="AB262" i="22"/>
  <c r="AA262" i="22"/>
  <c r="AE262" i="22" s="1"/>
  <c r="AF262" i="22" s="1"/>
  <c r="Z262" i="22"/>
  <c r="Y262" i="22"/>
  <c r="X262" i="22"/>
  <c r="W262" i="22"/>
  <c r="V262" i="22"/>
  <c r="U262" i="22"/>
  <c r="T262" i="22"/>
  <c r="S262" i="22"/>
  <c r="O262" i="22"/>
  <c r="N262" i="22"/>
  <c r="M262" i="22"/>
  <c r="L262" i="22"/>
  <c r="K262" i="22"/>
  <c r="J262" i="22"/>
  <c r="P262" i="22" s="1"/>
  <c r="Q262" i="22" s="1"/>
  <c r="I262" i="22"/>
  <c r="H262" i="22"/>
  <c r="G262" i="22"/>
  <c r="F262" i="22"/>
  <c r="E262" i="22"/>
  <c r="D262" i="22"/>
  <c r="AQ261" i="22"/>
  <c r="AP261" i="22"/>
  <c r="AO261" i="22"/>
  <c r="AT261" i="22" s="1"/>
  <c r="AM261" i="22"/>
  <c r="AL261" i="22"/>
  <c r="AK261" i="22"/>
  <c r="AJ261" i="22"/>
  <c r="AI261" i="22"/>
  <c r="AH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AE261" i="22" s="1"/>
  <c r="AF261" i="22" s="1"/>
  <c r="O261" i="22"/>
  <c r="N261" i="22"/>
  <c r="M261" i="22"/>
  <c r="L261" i="22"/>
  <c r="K261" i="22"/>
  <c r="J261" i="22"/>
  <c r="I261" i="22"/>
  <c r="H261" i="22"/>
  <c r="G261" i="22"/>
  <c r="F261" i="22"/>
  <c r="E261" i="22"/>
  <c r="D261" i="22"/>
  <c r="P261" i="22" s="1"/>
  <c r="Q261" i="22" s="1"/>
  <c r="AQ260" i="22"/>
  <c r="AP260" i="22"/>
  <c r="AO260" i="22"/>
  <c r="AM260" i="22"/>
  <c r="AL260" i="22"/>
  <c r="AK260" i="22"/>
  <c r="AJ260" i="22"/>
  <c r="AI260" i="22"/>
  <c r="AH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AE260" i="22" s="1"/>
  <c r="AF260" i="22" s="1"/>
  <c r="P260" i="22"/>
  <c r="Q260" i="22" s="1"/>
  <c r="O260" i="22"/>
  <c r="N260" i="22"/>
  <c r="M260" i="22"/>
  <c r="L260" i="22"/>
  <c r="K260" i="22"/>
  <c r="J260" i="22"/>
  <c r="I260" i="22"/>
  <c r="H260" i="22"/>
  <c r="G260" i="22"/>
  <c r="F260" i="22"/>
  <c r="E260" i="22"/>
  <c r="D260" i="22"/>
  <c r="AQ259" i="22"/>
  <c r="AT259" i="22" s="1"/>
  <c r="AP259" i="22"/>
  <c r="AO259" i="22"/>
  <c r="AM259" i="22"/>
  <c r="AL259" i="22"/>
  <c r="AK259" i="22"/>
  <c r="AJ259" i="22"/>
  <c r="AI259" i="22"/>
  <c r="AH259" i="22"/>
  <c r="AD259" i="22"/>
  <c r="AC259" i="22"/>
  <c r="AB259" i="22"/>
  <c r="AA259" i="22"/>
  <c r="Z259" i="22"/>
  <c r="Y259" i="22"/>
  <c r="AE259" i="22" s="1"/>
  <c r="AF259" i="22" s="1"/>
  <c r="X259" i="22"/>
  <c r="W259" i="22"/>
  <c r="V259" i="22"/>
  <c r="U259" i="22"/>
  <c r="T259" i="22"/>
  <c r="S259" i="22"/>
  <c r="O259" i="22"/>
  <c r="N259" i="22"/>
  <c r="M259" i="22"/>
  <c r="L259" i="22"/>
  <c r="K259" i="22"/>
  <c r="J259" i="22"/>
  <c r="I259" i="22"/>
  <c r="H259" i="22"/>
  <c r="G259" i="22"/>
  <c r="F259" i="22"/>
  <c r="E259" i="22"/>
  <c r="D259" i="22"/>
  <c r="P259" i="22" s="1"/>
  <c r="Q259" i="22" s="1"/>
  <c r="AT258" i="22"/>
  <c r="AE258" i="22"/>
  <c r="AF258" i="22" s="1"/>
  <c r="P258" i="22"/>
  <c r="Q258" i="22" s="1"/>
  <c r="AT257" i="22"/>
  <c r="AE257" i="22"/>
  <c r="AF257" i="22" s="1"/>
  <c r="Q257" i="22"/>
  <c r="P257" i="22"/>
  <c r="AT256" i="22"/>
  <c r="AE256" i="22"/>
  <c r="AF256" i="22" s="1"/>
  <c r="Q256" i="22"/>
  <c r="P256" i="22"/>
  <c r="AQ255" i="22"/>
  <c r="AP255" i="22"/>
  <c r="AO255" i="22"/>
  <c r="AM255" i="22"/>
  <c r="AL255" i="22"/>
  <c r="AK255" i="22"/>
  <c r="AJ255" i="22"/>
  <c r="AI255" i="22"/>
  <c r="AH255" i="22"/>
  <c r="AD255" i="22"/>
  <c r="AC255" i="22"/>
  <c r="AB255" i="22"/>
  <c r="AA255" i="22"/>
  <c r="Z255" i="22"/>
  <c r="Y255" i="22"/>
  <c r="X255" i="22"/>
  <c r="W255" i="22"/>
  <c r="V255" i="22"/>
  <c r="U255" i="22"/>
  <c r="T255" i="22"/>
  <c r="S255" i="22"/>
  <c r="AE255" i="22" s="1"/>
  <c r="AF255" i="22" s="1"/>
  <c r="O255" i="22"/>
  <c r="P255" i="22" s="1"/>
  <c r="Q255" i="22" s="1"/>
  <c r="N255" i="22"/>
  <c r="M255" i="22"/>
  <c r="L255" i="22"/>
  <c r="K255" i="22"/>
  <c r="J255" i="22"/>
  <c r="I255" i="22"/>
  <c r="H255" i="22"/>
  <c r="G255" i="22"/>
  <c r="F255" i="22"/>
  <c r="E255" i="22"/>
  <c r="D255" i="22"/>
  <c r="AT254" i="22"/>
  <c r="AE254" i="22"/>
  <c r="AF254" i="22" s="1"/>
  <c r="Q254" i="22"/>
  <c r="P254" i="22"/>
  <c r="AT253" i="22"/>
  <c r="AF253" i="22"/>
  <c r="AE253" i="22"/>
  <c r="P253" i="22"/>
  <c r="Q253" i="22" s="1"/>
  <c r="AT252" i="22"/>
  <c r="AF252" i="22"/>
  <c r="AE252" i="22"/>
  <c r="P252" i="22"/>
  <c r="Q252" i="22" s="1"/>
  <c r="AT251" i="22"/>
  <c r="AE251" i="22"/>
  <c r="AF251" i="22" s="1"/>
  <c r="P251" i="22"/>
  <c r="Q251" i="22" s="1"/>
  <c r="AT250" i="22"/>
  <c r="AE250" i="22"/>
  <c r="AF250" i="22" s="1"/>
  <c r="Q250" i="22"/>
  <c r="P250" i="22"/>
  <c r="AT249" i="22"/>
  <c r="AE249" i="22"/>
  <c r="AF249" i="22" s="1"/>
  <c r="Q249" i="22"/>
  <c r="P249" i="22"/>
  <c r="AT248" i="22"/>
  <c r="AF248" i="22"/>
  <c r="AE248" i="22"/>
  <c r="Q248" i="22"/>
  <c r="P248" i="22"/>
  <c r="AT247" i="22"/>
  <c r="AF247" i="22"/>
  <c r="AE247" i="22"/>
  <c r="Q247" i="22"/>
  <c r="P247" i="22"/>
  <c r="AQ246" i="22"/>
  <c r="AP246" i="22"/>
  <c r="AO246" i="22"/>
  <c r="AM246" i="22"/>
  <c r="AL246" i="22"/>
  <c r="AK246" i="22"/>
  <c r="AJ246" i="22"/>
  <c r="AI246" i="22"/>
  <c r="AH246" i="22"/>
  <c r="AD246" i="22"/>
  <c r="AC246" i="22"/>
  <c r="AB246" i="22"/>
  <c r="AA246" i="22"/>
  <c r="Z246" i="22"/>
  <c r="Y246" i="22"/>
  <c r="X246" i="22"/>
  <c r="W246" i="22"/>
  <c r="V246" i="22"/>
  <c r="U246" i="22"/>
  <c r="T246" i="22"/>
  <c r="S246" i="22"/>
  <c r="AE246" i="22" s="1"/>
  <c r="AF246" i="22" s="1"/>
  <c r="O246" i="22"/>
  <c r="N246" i="22"/>
  <c r="M246" i="22"/>
  <c r="L246" i="22"/>
  <c r="K246" i="22"/>
  <c r="J246" i="22"/>
  <c r="I246" i="22"/>
  <c r="H246" i="22"/>
  <c r="G246" i="22"/>
  <c r="F246" i="22"/>
  <c r="E246" i="22"/>
  <c r="D246" i="22"/>
  <c r="P246" i="22" s="1"/>
  <c r="Q246" i="22" s="1"/>
  <c r="AT245" i="22"/>
  <c r="AQ245" i="22"/>
  <c r="AP245" i="22"/>
  <c r="AO245" i="22"/>
  <c r="AM245" i="22"/>
  <c r="AL245" i="22"/>
  <c r="AK245" i="22"/>
  <c r="AJ245" i="22"/>
  <c r="AI245" i="22"/>
  <c r="AH245" i="22"/>
  <c r="AD245" i="22"/>
  <c r="AC245" i="22"/>
  <c r="AB245" i="22"/>
  <c r="AA245" i="22"/>
  <c r="Z245" i="22"/>
  <c r="AE245" i="22" s="1"/>
  <c r="AF245" i="22" s="1"/>
  <c r="Y245" i="22"/>
  <c r="X245" i="22"/>
  <c r="W245" i="22"/>
  <c r="V245" i="22"/>
  <c r="U245" i="22"/>
  <c r="T245" i="22"/>
  <c r="S245" i="22"/>
  <c r="O245" i="22"/>
  <c r="N245" i="22"/>
  <c r="M245" i="22"/>
  <c r="L245" i="22"/>
  <c r="K245" i="22"/>
  <c r="J245" i="22"/>
  <c r="I245" i="22"/>
  <c r="H245" i="22"/>
  <c r="G245" i="22"/>
  <c r="F245" i="22"/>
  <c r="E245" i="22"/>
  <c r="D245" i="22"/>
  <c r="P245" i="22" s="1"/>
  <c r="Q245" i="22" s="1"/>
  <c r="AQ244" i="22"/>
  <c r="AP244" i="22"/>
  <c r="AO244" i="22"/>
  <c r="AM244" i="22"/>
  <c r="AL244" i="22"/>
  <c r="AK244" i="22"/>
  <c r="AT244" i="22" s="1"/>
  <c r="AJ244" i="22"/>
  <c r="AI244" i="22"/>
  <c r="AH244" i="22"/>
  <c r="AD244" i="22"/>
  <c r="AC244" i="22"/>
  <c r="AB244" i="22"/>
  <c r="AA244" i="22"/>
  <c r="Z244" i="22"/>
  <c r="Y244" i="22"/>
  <c r="X244" i="22"/>
  <c r="W244" i="22"/>
  <c r="V244" i="22"/>
  <c r="U244" i="22"/>
  <c r="T244" i="22"/>
  <c r="S244" i="22"/>
  <c r="AE244" i="22" s="1"/>
  <c r="AF244" i="22" s="1"/>
  <c r="O244" i="22"/>
  <c r="N244" i="22"/>
  <c r="M244" i="22"/>
  <c r="L244" i="22"/>
  <c r="K244" i="22"/>
  <c r="J244" i="22"/>
  <c r="I244" i="22"/>
  <c r="H244" i="22"/>
  <c r="G244" i="22"/>
  <c r="F244" i="22"/>
  <c r="E244" i="22"/>
  <c r="D244" i="22"/>
  <c r="P244" i="22" s="1"/>
  <c r="Q244" i="22" s="1"/>
  <c r="AQ243" i="22"/>
  <c r="AP243" i="22"/>
  <c r="AO243" i="22"/>
  <c r="AM243" i="22"/>
  <c r="AL243" i="22"/>
  <c r="AK243" i="22"/>
  <c r="AJ243" i="22"/>
  <c r="AI243" i="22"/>
  <c r="AH243" i="22"/>
  <c r="AD243" i="22"/>
  <c r="AC243" i="22"/>
  <c r="AB243" i="22"/>
  <c r="AA243" i="22"/>
  <c r="Z243" i="22"/>
  <c r="Y243" i="22"/>
  <c r="X243" i="22"/>
  <c r="W243" i="22"/>
  <c r="V243" i="22"/>
  <c r="U243" i="22"/>
  <c r="T243" i="22"/>
  <c r="S243" i="22"/>
  <c r="AE243" i="22" s="1"/>
  <c r="AF243" i="22" s="1"/>
  <c r="O243" i="22"/>
  <c r="N243" i="22"/>
  <c r="M243" i="22"/>
  <c r="P243" i="22" s="1"/>
  <c r="Q243" i="22" s="1"/>
  <c r="L243" i="22"/>
  <c r="K243" i="22"/>
  <c r="J243" i="22"/>
  <c r="I243" i="22"/>
  <c r="H243" i="22"/>
  <c r="G243" i="22"/>
  <c r="F243" i="22"/>
  <c r="E243" i="22"/>
  <c r="D243" i="22"/>
  <c r="AT242" i="22"/>
  <c r="AQ242" i="22"/>
  <c r="AP242" i="22"/>
  <c r="AO242" i="22"/>
  <c r="AM242" i="22"/>
  <c r="AL242" i="22"/>
  <c r="AK242" i="22"/>
  <c r="AJ242" i="22"/>
  <c r="AI242" i="22"/>
  <c r="AH242" i="22"/>
  <c r="AD242" i="22"/>
  <c r="AC242" i="22"/>
  <c r="AB242" i="22"/>
  <c r="AA242" i="22"/>
  <c r="Z242" i="22"/>
  <c r="Y242" i="22"/>
  <c r="X242" i="22"/>
  <c r="W242" i="22"/>
  <c r="V242" i="22"/>
  <c r="U242" i="22"/>
  <c r="T242" i="22"/>
  <c r="S242" i="22"/>
  <c r="AE242" i="22" s="1"/>
  <c r="AF242" i="22" s="1"/>
  <c r="O242" i="22"/>
  <c r="N242" i="22"/>
  <c r="M242" i="22"/>
  <c r="L242" i="22"/>
  <c r="K242" i="22"/>
  <c r="J242" i="22"/>
  <c r="I242" i="22"/>
  <c r="H242" i="22"/>
  <c r="G242" i="22"/>
  <c r="F242" i="22"/>
  <c r="P242" i="22" s="1"/>
  <c r="Q242" i="22" s="1"/>
  <c r="E242" i="22"/>
  <c r="D242" i="22"/>
  <c r="AT241" i="22"/>
  <c r="AE241" i="22"/>
  <c r="AF241" i="22" s="1"/>
  <c r="P241" i="22"/>
  <c r="Q241" i="22" s="1"/>
  <c r="AT240" i="22"/>
  <c r="AF240" i="22"/>
  <c r="AE240" i="22"/>
  <c r="Q240" i="22"/>
  <c r="P240" i="22"/>
  <c r="AT239" i="22"/>
  <c r="AE239" i="22"/>
  <c r="AF239" i="22" s="1"/>
  <c r="P239" i="22"/>
  <c r="Q239" i="22" s="1"/>
  <c r="AQ238" i="22"/>
  <c r="AP238" i="22"/>
  <c r="AO238" i="22"/>
  <c r="AM238" i="22"/>
  <c r="AL238" i="22"/>
  <c r="AK238" i="22"/>
  <c r="AJ238" i="22"/>
  <c r="AI238" i="22"/>
  <c r="AH238" i="22"/>
  <c r="AE238" i="22"/>
  <c r="AF238" i="22" s="1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O238" i="22"/>
  <c r="N238" i="22"/>
  <c r="M238" i="22"/>
  <c r="L238" i="22"/>
  <c r="P238" i="22" s="1"/>
  <c r="Q238" i="22" s="1"/>
  <c r="K238" i="22"/>
  <c r="J238" i="22"/>
  <c r="I238" i="22"/>
  <c r="H238" i="22"/>
  <c r="G238" i="22"/>
  <c r="F238" i="22"/>
  <c r="E238" i="22"/>
  <c r="D238" i="22"/>
  <c r="BO236" i="22"/>
  <c r="BN236" i="22"/>
  <c r="BN234" i="22"/>
  <c r="AU233" i="22"/>
  <c r="AT233" i="22"/>
  <c r="AU232" i="22"/>
  <c r="AT232" i="22"/>
  <c r="AU231" i="22"/>
  <c r="AT231" i="22"/>
  <c r="AU230" i="22"/>
  <c r="AT230" i="22"/>
  <c r="AU229" i="22"/>
  <c r="AT229" i="22"/>
  <c r="AU228" i="22"/>
  <c r="AT228" i="22"/>
  <c r="AU227" i="22"/>
  <c r="AT227" i="22"/>
  <c r="AU226" i="22"/>
  <c r="AT226" i="22"/>
  <c r="AU225" i="22"/>
  <c r="AT225" i="22"/>
  <c r="AU224" i="22"/>
  <c r="AT224" i="22"/>
  <c r="AU223" i="22"/>
  <c r="AT223" i="22"/>
  <c r="AU222" i="22"/>
  <c r="AT222" i="22"/>
  <c r="AU221" i="22"/>
  <c r="AT221" i="22"/>
  <c r="AU220" i="22"/>
  <c r="AT220" i="22"/>
  <c r="AU219" i="22"/>
  <c r="AT219" i="22"/>
  <c r="AU218" i="22"/>
  <c r="AT218" i="22"/>
  <c r="AU217" i="22"/>
  <c r="AT217" i="22"/>
  <c r="AU216" i="22"/>
  <c r="AT216" i="22"/>
  <c r="BN212" i="22"/>
  <c r="AF211" i="22"/>
  <c r="AE211" i="22"/>
  <c r="Q211" i="22"/>
  <c r="P211" i="22"/>
  <c r="AE210" i="22"/>
  <c r="AF210" i="22" s="1"/>
  <c r="Q210" i="22"/>
  <c r="P210" i="22"/>
  <c r="AE209" i="22"/>
  <c r="AF209" i="22" s="1"/>
  <c r="Q209" i="22"/>
  <c r="P209" i="22"/>
  <c r="AF208" i="22"/>
  <c r="AE208" i="22"/>
  <c r="Q208" i="22"/>
  <c r="P208" i="22"/>
  <c r="AE207" i="22"/>
  <c r="AF207" i="22" s="1"/>
  <c r="Q207" i="22"/>
  <c r="P207" i="22"/>
  <c r="AF206" i="22"/>
  <c r="AE206" i="22"/>
  <c r="Q206" i="22"/>
  <c r="P206" i="22"/>
  <c r="AE205" i="22"/>
  <c r="AF205" i="22" s="1"/>
  <c r="Q205" i="22"/>
  <c r="P205" i="22"/>
  <c r="AF204" i="22"/>
  <c r="AE204" i="22"/>
  <c r="Q204" i="22"/>
  <c r="P204" i="22"/>
  <c r="AE203" i="22"/>
  <c r="AF203" i="22" s="1"/>
  <c r="Q203" i="22"/>
  <c r="P203" i="22"/>
  <c r="AF202" i="22"/>
  <c r="AE202" i="22"/>
  <c r="Q202" i="22"/>
  <c r="P202" i="22"/>
  <c r="AE201" i="22"/>
  <c r="AF201" i="22" s="1"/>
  <c r="Q201" i="22"/>
  <c r="P201" i="22"/>
  <c r="AE200" i="22"/>
  <c r="AF200" i="22" s="1"/>
  <c r="Q200" i="22"/>
  <c r="P200" i="22"/>
  <c r="AF199" i="22"/>
  <c r="AE199" i="22"/>
  <c r="Q199" i="22"/>
  <c r="P199" i="22"/>
  <c r="AF198" i="22"/>
  <c r="AE198" i="22"/>
  <c r="Q198" i="22"/>
  <c r="P198" i="22"/>
  <c r="AE197" i="22"/>
  <c r="AF197" i="22" s="1"/>
  <c r="Q197" i="22"/>
  <c r="P197" i="22"/>
  <c r="AT196" i="22"/>
  <c r="AE196" i="22"/>
  <c r="AF196" i="22" s="1"/>
  <c r="Q196" i="22"/>
  <c r="P196" i="22"/>
  <c r="AT195" i="22"/>
  <c r="AE195" i="22"/>
  <c r="AF195" i="22" s="1"/>
  <c r="Q195" i="22"/>
  <c r="P195" i="22"/>
  <c r="AT194" i="22"/>
  <c r="AE194" i="22"/>
  <c r="AF194" i="22" s="1"/>
  <c r="Q194" i="22"/>
  <c r="P194" i="22"/>
  <c r="AE193" i="22"/>
  <c r="AF193" i="22" s="1"/>
  <c r="Q193" i="22"/>
  <c r="P193" i="22"/>
  <c r="AE192" i="22"/>
  <c r="AF192" i="22" s="1"/>
  <c r="Q192" i="22"/>
  <c r="P192" i="22"/>
  <c r="AE191" i="22"/>
  <c r="AF191" i="22" s="1"/>
  <c r="Q191" i="22"/>
  <c r="P191" i="22"/>
  <c r="AF190" i="22"/>
  <c r="AE190" i="22"/>
  <c r="Q190" i="22"/>
  <c r="P190" i="22"/>
  <c r="AF189" i="22"/>
  <c r="AE189" i="22"/>
  <c r="Q189" i="22"/>
  <c r="P189" i="22"/>
  <c r="AE188" i="22"/>
  <c r="AF188" i="22" s="1"/>
  <c r="Q188" i="22"/>
  <c r="P188" i="22"/>
  <c r="AE187" i="22"/>
  <c r="AF187" i="22" s="1"/>
  <c r="Q187" i="22"/>
  <c r="P187" i="22"/>
  <c r="AE186" i="22"/>
  <c r="AF186" i="22" s="1"/>
  <c r="Q186" i="22"/>
  <c r="P186" i="22"/>
  <c r="AE185" i="22"/>
  <c r="AF185" i="22" s="1"/>
  <c r="Q185" i="22"/>
  <c r="P185" i="22"/>
  <c r="AE184" i="22"/>
  <c r="AF184" i="22" s="1"/>
  <c r="Q184" i="22"/>
  <c r="P184" i="22"/>
  <c r="AE183" i="22"/>
  <c r="AF183" i="22" s="1"/>
  <c r="Q183" i="22"/>
  <c r="P183" i="22"/>
  <c r="AF182" i="22"/>
  <c r="AE182" i="22"/>
  <c r="Q182" i="22"/>
  <c r="P182" i="22"/>
  <c r="AE181" i="22"/>
  <c r="AF181" i="22" s="1"/>
  <c r="Q181" i="22"/>
  <c r="P181" i="22"/>
  <c r="AE180" i="22"/>
  <c r="AF180" i="22" s="1"/>
  <c r="Q180" i="22"/>
  <c r="P180" i="22"/>
  <c r="AE179" i="22"/>
  <c r="AF179" i="22" s="1"/>
  <c r="Q179" i="22"/>
  <c r="P179" i="22"/>
  <c r="AE178" i="22"/>
  <c r="AF178" i="22" s="1"/>
  <c r="Q178" i="22"/>
  <c r="P178" i="22"/>
  <c r="AT177" i="22"/>
  <c r="AE177" i="22"/>
  <c r="AF177" i="22" s="1"/>
  <c r="Q177" i="22"/>
  <c r="P177" i="22"/>
  <c r="AT176" i="22"/>
  <c r="AE176" i="22"/>
  <c r="AF176" i="22" s="1"/>
  <c r="Q176" i="22"/>
  <c r="P176" i="22"/>
  <c r="AT175" i="22"/>
  <c r="AE175" i="22"/>
  <c r="AF175" i="22" s="1"/>
  <c r="Q175" i="22"/>
  <c r="P175" i="22"/>
  <c r="AE174" i="22"/>
  <c r="AF174" i="22" s="1"/>
  <c r="Q174" i="22"/>
  <c r="P174" i="22"/>
  <c r="AT172" i="22"/>
  <c r="AE172" i="22"/>
  <c r="AF172" i="22" s="1"/>
  <c r="Q172" i="22"/>
  <c r="P172" i="22"/>
  <c r="AE171" i="22"/>
  <c r="AF171" i="22" s="1"/>
  <c r="Q171" i="22"/>
  <c r="P171" i="22"/>
  <c r="AF170" i="22"/>
  <c r="AE170" i="22"/>
  <c r="Q170" i="22"/>
  <c r="P170" i="22"/>
  <c r="AF169" i="22"/>
  <c r="AE169" i="22"/>
  <c r="Q169" i="22"/>
  <c r="P169" i="22"/>
  <c r="AF168" i="22"/>
  <c r="AE168" i="22"/>
  <c r="Q168" i="22"/>
  <c r="P168" i="22"/>
  <c r="AF167" i="22"/>
  <c r="AE167" i="22"/>
  <c r="Q167" i="22"/>
  <c r="P167" i="22"/>
  <c r="AE166" i="22"/>
  <c r="AF166" i="22" s="1"/>
  <c r="Q166" i="22"/>
  <c r="P166" i="22"/>
  <c r="AF165" i="22"/>
  <c r="AE165" i="22"/>
  <c r="Q165" i="22"/>
  <c r="P165" i="22"/>
  <c r="AE164" i="22"/>
  <c r="AF164" i="22" s="1"/>
  <c r="Q164" i="22"/>
  <c r="P164" i="22"/>
  <c r="AF163" i="22"/>
  <c r="AE163" i="22"/>
  <c r="Q163" i="22"/>
  <c r="P163" i="22"/>
  <c r="AF162" i="22"/>
  <c r="AE162" i="22"/>
  <c r="Q162" i="22"/>
  <c r="P162" i="22"/>
  <c r="AF161" i="22"/>
  <c r="AE161" i="22"/>
  <c r="Q161" i="22"/>
  <c r="P161" i="22"/>
  <c r="AF160" i="22"/>
  <c r="AE160" i="22"/>
  <c r="Q160" i="22"/>
  <c r="P160" i="22"/>
  <c r="AF159" i="22"/>
  <c r="AE159" i="22"/>
  <c r="Q159" i="22"/>
  <c r="P159" i="22"/>
  <c r="AF158" i="22"/>
  <c r="AE158" i="22"/>
  <c r="Q158" i="22"/>
  <c r="P158" i="22"/>
  <c r="AE157" i="22"/>
  <c r="AF157" i="22" s="1"/>
  <c r="Q157" i="22"/>
  <c r="P157" i="22"/>
  <c r="AT156" i="22"/>
  <c r="AF156" i="22"/>
  <c r="AE156" i="22"/>
  <c r="Q156" i="22"/>
  <c r="P156" i="22"/>
  <c r="AF155" i="22"/>
  <c r="AE155" i="22"/>
  <c r="Q155" i="22"/>
  <c r="P155" i="22"/>
  <c r="AF154" i="22"/>
  <c r="AE154" i="22"/>
  <c r="Q154" i="22"/>
  <c r="P154" i="22"/>
  <c r="AT153" i="22"/>
  <c r="AE153" i="22"/>
  <c r="AF153" i="22" s="1"/>
  <c r="Q153" i="22"/>
  <c r="P153" i="22"/>
  <c r="AT152" i="22"/>
  <c r="AE152" i="22"/>
  <c r="AF152" i="22" s="1"/>
  <c r="Q152" i="22"/>
  <c r="P152" i="22"/>
  <c r="AT151" i="22"/>
  <c r="AF151" i="22"/>
  <c r="AE151" i="22"/>
  <c r="Q151" i="22"/>
  <c r="P151" i="22"/>
  <c r="AT150" i="22"/>
  <c r="AF150" i="22"/>
  <c r="AE150" i="22"/>
  <c r="Q150" i="22"/>
  <c r="P150" i="22"/>
  <c r="AT149" i="22"/>
  <c r="AF149" i="22"/>
  <c r="AE149" i="22"/>
  <c r="Q149" i="22"/>
  <c r="P149" i="22"/>
  <c r="AT148" i="22"/>
  <c r="AF148" i="22"/>
  <c r="AE148" i="22"/>
  <c r="Q148" i="22"/>
  <c r="P148" i="22"/>
  <c r="AF147" i="22"/>
  <c r="AE147" i="22"/>
  <c r="Q147" i="22"/>
  <c r="P147" i="22"/>
  <c r="AE146" i="22"/>
  <c r="AF146" i="22" s="1"/>
  <c r="Q146" i="22"/>
  <c r="P146" i="22"/>
  <c r="AF145" i="22"/>
  <c r="AE145" i="22"/>
  <c r="Q145" i="22"/>
  <c r="P145" i="22"/>
  <c r="AE144" i="22"/>
  <c r="AF144" i="22" s="1"/>
  <c r="Q144" i="22"/>
  <c r="P144" i="22"/>
  <c r="AF143" i="22"/>
  <c r="AE143" i="22"/>
  <c r="Q143" i="22"/>
  <c r="P143" i="22"/>
  <c r="AT142" i="22"/>
  <c r="AF142" i="22"/>
  <c r="AE142" i="22"/>
  <c r="Q142" i="22"/>
  <c r="P142" i="22"/>
  <c r="AT141" i="22"/>
  <c r="AE141" i="22"/>
  <c r="AF141" i="22" s="1"/>
  <c r="Q141" i="22"/>
  <c r="P141" i="22"/>
  <c r="AT140" i="22"/>
  <c r="AE140" i="22"/>
  <c r="AF140" i="22" s="1"/>
  <c r="Q140" i="22"/>
  <c r="P140" i="22"/>
  <c r="AT139" i="22"/>
  <c r="AE139" i="22"/>
  <c r="AF139" i="22" s="1"/>
  <c r="Q139" i="22"/>
  <c r="P139" i="22"/>
  <c r="AE138" i="22"/>
  <c r="AF138" i="22" s="1"/>
  <c r="Q138" i="22"/>
  <c r="P138" i="22"/>
  <c r="BN137" i="22"/>
  <c r="AT136" i="22"/>
  <c r="AE136" i="22"/>
  <c r="AF136" i="22" s="1"/>
  <c r="P136" i="22"/>
  <c r="Q136" i="22" s="1"/>
  <c r="AT135" i="22"/>
  <c r="AE135" i="22"/>
  <c r="AF135" i="22" s="1"/>
  <c r="P135" i="22"/>
  <c r="Q135" i="22" s="1"/>
  <c r="AT134" i="22"/>
  <c r="AE134" i="22"/>
  <c r="AF134" i="22" s="1"/>
  <c r="P134" i="22"/>
  <c r="Q134" i="22" s="1"/>
  <c r="AT133" i="22"/>
  <c r="AE133" i="22"/>
  <c r="AF133" i="22" s="1"/>
  <c r="P133" i="22"/>
  <c r="Q133" i="22" s="1"/>
  <c r="AT132" i="22"/>
  <c r="AE132" i="22"/>
  <c r="AF132" i="22" s="1"/>
  <c r="P132" i="22"/>
  <c r="Q132" i="22" s="1"/>
  <c r="AT131" i="22"/>
  <c r="AE131" i="22"/>
  <c r="AF131" i="22" s="1"/>
  <c r="P131" i="22"/>
  <c r="Q131" i="22" s="1"/>
  <c r="AT130" i="22"/>
  <c r="AE130" i="22"/>
  <c r="AF130" i="22" s="1"/>
  <c r="P130" i="22"/>
  <c r="Q130" i="22" s="1"/>
  <c r="AT129" i="22"/>
  <c r="AE129" i="22"/>
  <c r="AF129" i="22" s="1"/>
  <c r="P129" i="22"/>
  <c r="Q129" i="22" s="1"/>
  <c r="AT128" i="22"/>
  <c r="AE128" i="22"/>
  <c r="AF128" i="22" s="1"/>
  <c r="P128" i="22"/>
  <c r="Q128" i="22" s="1"/>
  <c r="AT127" i="22"/>
  <c r="AE127" i="22"/>
  <c r="AF127" i="22" s="1"/>
  <c r="P127" i="22"/>
  <c r="Q127" i="22" s="1"/>
  <c r="AS126" i="22"/>
  <c r="AQ126" i="22"/>
  <c r="AP126" i="22"/>
  <c r="AO126" i="22"/>
  <c r="AN126" i="22"/>
  <c r="AM126" i="22"/>
  <c r="AL126" i="22"/>
  <c r="AK126" i="22"/>
  <c r="AJ126" i="22"/>
  <c r="AI126" i="22"/>
  <c r="AH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AS125" i="22"/>
  <c r="AQ125" i="22"/>
  <c r="AP125" i="22"/>
  <c r="AO125" i="22"/>
  <c r="AN125" i="22"/>
  <c r="AM125" i="22"/>
  <c r="AL125" i="22"/>
  <c r="AK125" i="22"/>
  <c r="AJ125" i="22"/>
  <c r="AI125" i="22"/>
  <c r="AH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AS124" i="22"/>
  <c r="AQ124" i="22"/>
  <c r="AP124" i="22"/>
  <c r="AO124" i="22"/>
  <c r="AN124" i="22"/>
  <c r="AM124" i="22"/>
  <c r="AL124" i="22"/>
  <c r="AK124" i="22"/>
  <c r="AJ124" i="22"/>
  <c r="AI124" i="22"/>
  <c r="AH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AS123" i="22"/>
  <c r="AQ123" i="22"/>
  <c r="AP123" i="22"/>
  <c r="AO123" i="22"/>
  <c r="AN123" i="22"/>
  <c r="AM123" i="22"/>
  <c r="AL123" i="22"/>
  <c r="AK123" i="22"/>
  <c r="AJ123" i="22"/>
  <c r="AI123" i="22"/>
  <c r="AH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AS122" i="22"/>
  <c r="AQ122" i="22"/>
  <c r="AP122" i="22"/>
  <c r="AO122" i="22"/>
  <c r="AN122" i="22"/>
  <c r="AM122" i="22"/>
  <c r="AL122" i="22"/>
  <c r="AK122" i="22"/>
  <c r="AJ122" i="22"/>
  <c r="AI122" i="22"/>
  <c r="AH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AT121" i="22"/>
  <c r="AE121" i="22"/>
  <c r="AF121" i="22" s="1"/>
  <c r="P121" i="22"/>
  <c r="Q121" i="22" s="1"/>
  <c r="AT120" i="22"/>
  <c r="AE120" i="22"/>
  <c r="AF120" i="22" s="1"/>
  <c r="P120" i="22"/>
  <c r="Q120" i="22" s="1"/>
  <c r="AT119" i="22"/>
  <c r="AE119" i="22"/>
  <c r="AF119" i="22" s="1"/>
  <c r="P119" i="22"/>
  <c r="Q119" i="22" s="1"/>
  <c r="AS118" i="22"/>
  <c r="AQ118" i="22"/>
  <c r="AP118" i="22"/>
  <c r="AO118" i="22"/>
  <c r="AN118" i="22"/>
  <c r="AM118" i="22"/>
  <c r="AL118" i="22"/>
  <c r="AK118" i="22"/>
  <c r="AJ118" i="22"/>
  <c r="AI118" i="22"/>
  <c r="AH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AT117" i="22"/>
  <c r="AF117" i="22"/>
  <c r="AE117" i="22"/>
  <c r="P117" i="22"/>
  <c r="Q117" i="22" s="1"/>
  <c r="AT116" i="22"/>
  <c r="AE116" i="22"/>
  <c r="AF116" i="22" s="1"/>
  <c r="P116" i="22"/>
  <c r="Q116" i="22" s="1"/>
  <c r="AT115" i="22"/>
  <c r="AE115" i="22"/>
  <c r="AF115" i="22" s="1"/>
  <c r="Q115" i="22"/>
  <c r="P115" i="22"/>
  <c r="AT114" i="22"/>
  <c r="AE114" i="22"/>
  <c r="AF114" i="22" s="1"/>
  <c r="P114" i="22"/>
  <c r="Q114" i="22" s="1"/>
  <c r="AT113" i="22"/>
  <c r="AE113" i="22"/>
  <c r="AF113" i="22" s="1"/>
  <c r="P113" i="22"/>
  <c r="Q113" i="22" s="1"/>
  <c r="AT112" i="22"/>
  <c r="AF112" i="22"/>
  <c r="AE112" i="22"/>
  <c r="Q112" i="22"/>
  <c r="P112" i="22"/>
  <c r="AT111" i="22"/>
  <c r="AE111" i="22"/>
  <c r="AF111" i="22" s="1"/>
  <c r="P111" i="22"/>
  <c r="Q111" i="22" s="1"/>
  <c r="AT110" i="22"/>
  <c r="AE110" i="22"/>
  <c r="AF110" i="22" s="1"/>
  <c r="P110" i="22"/>
  <c r="Q110" i="22" s="1"/>
  <c r="AT109" i="22"/>
  <c r="AE109" i="22"/>
  <c r="AF109" i="22" s="1"/>
  <c r="P109" i="22"/>
  <c r="Q109" i="22" s="1"/>
  <c r="AT108" i="22"/>
  <c r="AE108" i="22"/>
  <c r="AF108" i="22" s="1"/>
  <c r="P108" i="22"/>
  <c r="Q108" i="22" s="1"/>
  <c r="AS107" i="22"/>
  <c r="AQ107" i="22"/>
  <c r="AP107" i="22"/>
  <c r="AO107" i="22"/>
  <c r="AN107" i="22"/>
  <c r="AM107" i="22"/>
  <c r="AL107" i="22"/>
  <c r="AK107" i="22"/>
  <c r="AJ107" i="22"/>
  <c r="AI107" i="22"/>
  <c r="AH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AS106" i="22"/>
  <c r="AQ106" i="22"/>
  <c r="AP106" i="22"/>
  <c r="AO106" i="22"/>
  <c r="AN106" i="22"/>
  <c r="AM106" i="22"/>
  <c r="AL106" i="22"/>
  <c r="AK106" i="22"/>
  <c r="AJ106" i="22"/>
  <c r="AI106" i="22"/>
  <c r="AH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AS105" i="22"/>
  <c r="AQ105" i="22"/>
  <c r="AP105" i="22"/>
  <c r="AO105" i="22"/>
  <c r="AN105" i="22"/>
  <c r="AM105" i="22"/>
  <c r="AL105" i="22"/>
  <c r="AK105" i="22"/>
  <c r="AJ105" i="22"/>
  <c r="AI105" i="22"/>
  <c r="AH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AS104" i="22"/>
  <c r="AQ104" i="22"/>
  <c r="AP104" i="22"/>
  <c r="AO104" i="22"/>
  <c r="AN104" i="22"/>
  <c r="AM104" i="22"/>
  <c r="AL104" i="22"/>
  <c r="AK104" i="22"/>
  <c r="AJ104" i="22"/>
  <c r="AI104" i="22"/>
  <c r="AH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AS103" i="22"/>
  <c r="AQ103" i="22"/>
  <c r="AP103" i="22"/>
  <c r="AO103" i="22"/>
  <c r="AN103" i="22"/>
  <c r="AM103" i="22"/>
  <c r="AL103" i="22"/>
  <c r="AK103" i="22"/>
  <c r="AJ103" i="22"/>
  <c r="AI103" i="22"/>
  <c r="AH103" i="22"/>
  <c r="AD103" i="22"/>
  <c r="AC103" i="22"/>
  <c r="AB103" i="22"/>
  <c r="AA103" i="22"/>
  <c r="Z103" i="22"/>
  <c r="Y103" i="22"/>
  <c r="X103" i="22"/>
  <c r="W103" i="22"/>
  <c r="V103" i="22"/>
  <c r="U103" i="22"/>
  <c r="T103" i="22"/>
  <c r="S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AT102" i="22"/>
  <c r="AE102" i="22"/>
  <c r="AF102" i="22" s="1"/>
  <c r="P102" i="22"/>
  <c r="Q102" i="22" s="1"/>
  <c r="AT101" i="22"/>
  <c r="AE101" i="22"/>
  <c r="AF101" i="22" s="1"/>
  <c r="P101" i="22"/>
  <c r="Q101" i="22" s="1"/>
  <c r="AT100" i="22"/>
  <c r="AE100" i="22"/>
  <c r="AF100" i="22" s="1"/>
  <c r="P100" i="22"/>
  <c r="Q100" i="22" s="1"/>
  <c r="AS99" i="22"/>
  <c r="AQ99" i="22"/>
  <c r="AP99" i="22"/>
  <c r="AO99" i="22"/>
  <c r="AN99" i="22"/>
  <c r="AL99" i="22"/>
  <c r="AK99" i="22"/>
  <c r="AJ99" i="22"/>
  <c r="AI99" i="22"/>
  <c r="AH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AT98" i="22"/>
  <c r="AE98" i="22"/>
  <c r="AF98" i="22" s="1"/>
  <c r="P98" i="22"/>
  <c r="Q98" i="22" s="1"/>
  <c r="AT97" i="22"/>
  <c r="AE97" i="22"/>
  <c r="AF97" i="22" s="1"/>
  <c r="P97" i="22"/>
  <c r="Q97" i="22" s="1"/>
  <c r="AT96" i="22"/>
  <c r="AF96" i="22"/>
  <c r="AE96" i="22"/>
  <c r="P96" i="22"/>
  <c r="Q96" i="22" s="1"/>
  <c r="AT95" i="22"/>
  <c r="AE95" i="22"/>
  <c r="AF95" i="22" s="1"/>
  <c r="P95" i="22"/>
  <c r="Q95" i="22" s="1"/>
  <c r="AT94" i="22"/>
  <c r="AE94" i="22"/>
  <c r="AF94" i="22" s="1"/>
  <c r="P94" i="22"/>
  <c r="Q94" i="22" s="1"/>
  <c r="AT93" i="22"/>
  <c r="AE93" i="22"/>
  <c r="AF93" i="22" s="1"/>
  <c r="P93" i="22"/>
  <c r="Q93" i="22" s="1"/>
  <c r="AT92" i="22"/>
  <c r="AE92" i="22"/>
  <c r="AF92" i="22" s="1"/>
  <c r="P92" i="22"/>
  <c r="Q92" i="22" s="1"/>
  <c r="AT91" i="22"/>
  <c r="AE91" i="22"/>
  <c r="AF91" i="22" s="1"/>
  <c r="P91" i="22"/>
  <c r="Q91" i="22" s="1"/>
  <c r="AT90" i="22"/>
  <c r="AE90" i="22"/>
  <c r="AF90" i="22" s="1"/>
  <c r="P90" i="22"/>
  <c r="Q90" i="22" s="1"/>
  <c r="AT89" i="22"/>
  <c r="AF89" i="22"/>
  <c r="AE89" i="22"/>
  <c r="P89" i="22"/>
  <c r="Q89" i="22" s="1"/>
  <c r="AQ88" i="22"/>
  <c r="AP88" i="22"/>
  <c r="AO88" i="22"/>
  <c r="AN88" i="22"/>
  <c r="AM88" i="22"/>
  <c r="AL88" i="22"/>
  <c r="AK88" i="22"/>
  <c r="AJ88" i="22"/>
  <c r="AI88" i="22"/>
  <c r="AH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AQ87" i="22"/>
  <c r="AP87" i="22"/>
  <c r="AO87" i="22"/>
  <c r="AN87" i="22"/>
  <c r="AM87" i="22"/>
  <c r="AL87" i="22"/>
  <c r="AK87" i="22"/>
  <c r="AJ87" i="22"/>
  <c r="AI87" i="22"/>
  <c r="AH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AQ86" i="22"/>
  <c r="AP86" i="22"/>
  <c r="AO86" i="22"/>
  <c r="AN86" i="22"/>
  <c r="AM86" i="22"/>
  <c r="AL86" i="22"/>
  <c r="AK86" i="22"/>
  <c r="AJ86" i="22"/>
  <c r="AI86" i="22"/>
  <c r="AH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AQ85" i="22"/>
  <c r="AP85" i="22"/>
  <c r="AO85" i="22"/>
  <c r="AN85" i="22"/>
  <c r="AM85" i="22"/>
  <c r="AL85" i="22"/>
  <c r="AK85" i="22"/>
  <c r="AJ85" i="22"/>
  <c r="AI85" i="22"/>
  <c r="AH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AQ84" i="22"/>
  <c r="AP84" i="22"/>
  <c r="AO84" i="22"/>
  <c r="AN84" i="22"/>
  <c r="AM84" i="22"/>
  <c r="AL84" i="22"/>
  <c r="AK84" i="22"/>
  <c r="AJ84" i="22"/>
  <c r="AI84" i="22"/>
  <c r="AH84" i="22"/>
  <c r="AU84" i="22" s="1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AT83" i="22"/>
  <c r="AF83" i="22"/>
  <c r="AE83" i="22"/>
  <c r="P83" i="22"/>
  <c r="Q83" i="22" s="1"/>
  <c r="AR82" i="22"/>
  <c r="AE82" i="22"/>
  <c r="AF82" i="22" s="1"/>
  <c r="P82" i="22"/>
  <c r="Q82" i="22" s="1"/>
  <c r="AT81" i="22"/>
  <c r="AE81" i="22"/>
  <c r="AF81" i="22" s="1"/>
  <c r="P81" i="22"/>
  <c r="Q81" i="22" s="1"/>
  <c r="AQ80" i="22"/>
  <c r="AP80" i="22"/>
  <c r="AN80" i="22"/>
  <c r="AM80" i="22"/>
  <c r="AL80" i="22"/>
  <c r="AK80" i="22"/>
  <c r="AJ80" i="22"/>
  <c r="AI80" i="22"/>
  <c r="AH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AR78" i="22"/>
  <c r="AQ78" i="22"/>
  <c r="AP78" i="22"/>
  <c r="AO78" i="22"/>
  <c r="AM78" i="22"/>
  <c r="AL78" i="22"/>
  <c r="AK78" i="22"/>
  <c r="AJ78" i="22"/>
  <c r="BN78" i="22" s="1"/>
  <c r="AI78" i="22"/>
  <c r="AH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AR77" i="22"/>
  <c r="AQ77" i="22"/>
  <c r="AP77" i="22"/>
  <c r="AO77" i="22"/>
  <c r="AM77" i="22"/>
  <c r="AL77" i="22"/>
  <c r="AK77" i="22"/>
  <c r="AJ77" i="22"/>
  <c r="BN77" i="22" s="1"/>
  <c r="AI77" i="22"/>
  <c r="AH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AR76" i="22"/>
  <c r="AQ76" i="22"/>
  <c r="AP76" i="22"/>
  <c r="AO76" i="22"/>
  <c r="AM76" i="22"/>
  <c r="AL76" i="22"/>
  <c r="AK76" i="22"/>
  <c r="AJ76" i="22"/>
  <c r="BN76" i="22" s="1"/>
  <c r="AI76" i="22"/>
  <c r="AH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AR75" i="22"/>
  <c r="AQ75" i="22"/>
  <c r="AP75" i="22"/>
  <c r="AO75" i="22"/>
  <c r="AM75" i="22"/>
  <c r="AL75" i="22"/>
  <c r="AK75" i="22"/>
  <c r="AJ75" i="22"/>
  <c r="BN75" i="22" s="1"/>
  <c r="AI75" i="22"/>
  <c r="AH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AR74" i="22"/>
  <c r="AQ74" i="22"/>
  <c r="AP74" i="22"/>
  <c r="AO74" i="22"/>
  <c r="AM74" i="22"/>
  <c r="AL74" i="22"/>
  <c r="AK74" i="22"/>
  <c r="AJ74" i="22"/>
  <c r="BN74" i="22" s="1"/>
  <c r="AI74" i="22"/>
  <c r="AH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AR73" i="22"/>
  <c r="AQ73" i="22"/>
  <c r="AP73" i="22"/>
  <c r="AO73" i="22"/>
  <c r="AM73" i="22"/>
  <c r="AL73" i="22"/>
  <c r="AK73" i="22"/>
  <c r="AJ73" i="22"/>
  <c r="BN73" i="22" s="1"/>
  <c r="AI73" i="22"/>
  <c r="AH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AR72" i="22"/>
  <c r="AQ72" i="22"/>
  <c r="AP72" i="22"/>
  <c r="AO72" i="22"/>
  <c r="AM72" i="22"/>
  <c r="AL72" i="22"/>
  <c r="AK72" i="22"/>
  <c r="AJ72" i="22"/>
  <c r="BN72" i="22" s="1"/>
  <c r="AI72" i="22"/>
  <c r="AH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AR71" i="22"/>
  <c r="AQ71" i="22"/>
  <c r="AP71" i="22"/>
  <c r="AO71" i="22"/>
  <c r="AM71" i="22"/>
  <c r="AL71" i="22"/>
  <c r="AK71" i="22"/>
  <c r="AJ71" i="22"/>
  <c r="BN71" i="22" s="1"/>
  <c r="AI71" i="22"/>
  <c r="AH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AR70" i="22"/>
  <c r="AQ70" i="22"/>
  <c r="AP70" i="22"/>
  <c r="AO70" i="22"/>
  <c r="AM70" i="22"/>
  <c r="AL70" i="22"/>
  <c r="AK70" i="22"/>
  <c r="AJ70" i="22"/>
  <c r="BN70" i="22" s="1"/>
  <c r="AI70" i="22"/>
  <c r="AH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AR69" i="22"/>
  <c r="AQ69" i="22"/>
  <c r="AP69" i="22"/>
  <c r="AO69" i="22"/>
  <c r="AM69" i="22"/>
  <c r="AL69" i="22"/>
  <c r="AK69" i="22"/>
  <c r="AJ69" i="22"/>
  <c r="BN69" i="22" s="1"/>
  <c r="AI69" i="22"/>
  <c r="AH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AR63" i="22"/>
  <c r="AQ63" i="22"/>
  <c r="AP63" i="22"/>
  <c r="AO63" i="22"/>
  <c r="AM63" i="22"/>
  <c r="AL63" i="22"/>
  <c r="AK63" i="22"/>
  <c r="AJ63" i="22"/>
  <c r="BN63" i="22" s="1"/>
  <c r="AI63" i="22"/>
  <c r="AH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AR62" i="22"/>
  <c r="AQ62" i="22"/>
  <c r="AP62" i="22"/>
  <c r="AO62" i="22"/>
  <c r="AM62" i="22"/>
  <c r="AL62" i="22"/>
  <c r="AK62" i="22"/>
  <c r="AJ62" i="22"/>
  <c r="BN62" i="22" s="1"/>
  <c r="AI62" i="22"/>
  <c r="AH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AR61" i="22"/>
  <c r="AQ61" i="22"/>
  <c r="AP61" i="22"/>
  <c r="AO61" i="22"/>
  <c r="AM61" i="22"/>
  <c r="AL61" i="22"/>
  <c r="AK61" i="22"/>
  <c r="AJ61" i="22"/>
  <c r="BN61" i="22" s="1"/>
  <c r="AI61" i="22"/>
  <c r="AH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K60" i="22"/>
  <c r="AT59" i="22"/>
  <c r="AE59" i="22"/>
  <c r="AF59" i="22" s="1"/>
  <c r="P59" i="22"/>
  <c r="Q59" i="22" s="1"/>
  <c r="AT58" i="22"/>
  <c r="AF58" i="22"/>
  <c r="AE58" i="22"/>
  <c r="P58" i="22"/>
  <c r="Q58" i="22" s="1"/>
  <c r="AT57" i="22"/>
  <c r="AE57" i="22"/>
  <c r="AF57" i="22" s="1"/>
  <c r="P57" i="22"/>
  <c r="Q57" i="22" s="1"/>
  <c r="AT56" i="22"/>
  <c r="AE56" i="22"/>
  <c r="AF56" i="22" s="1"/>
  <c r="P56" i="22"/>
  <c r="Q56" i="22" s="1"/>
  <c r="AT55" i="22"/>
  <c r="AE55" i="22"/>
  <c r="AF55" i="22" s="1"/>
  <c r="P55" i="22"/>
  <c r="Q55" i="22" s="1"/>
  <c r="AT54" i="22"/>
  <c r="AE54" i="22"/>
  <c r="AF54" i="22" s="1"/>
  <c r="P54" i="22"/>
  <c r="Q54" i="22" s="1"/>
  <c r="AT53" i="22"/>
  <c r="AE53" i="22"/>
  <c r="AF53" i="22" s="1"/>
  <c r="Q53" i="22"/>
  <c r="P53" i="22"/>
  <c r="AT52" i="22"/>
  <c r="AE52" i="22"/>
  <c r="AF52" i="22" s="1"/>
  <c r="P52" i="22"/>
  <c r="Q52" i="22" s="1"/>
  <c r="AT51" i="22"/>
  <c r="AF51" i="22"/>
  <c r="AE51" i="22"/>
  <c r="P51" i="22"/>
  <c r="Q51" i="22" s="1"/>
  <c r="AT50" i="22"/>
  <c r="AF50" i="22"/>
  <c r="AE50" i="22"/>
  <c r="P50" i="22"/>
  <c r="Q50" i="22" s="1"/>
  <c r="AR49" i="22"/>
  <c r="AR68" i="22" s="1"/>
  <c r="AQ49" i="22"/>
  <c r="AP49" i="22"/>
  <c r="AO49" i="22"/>
  <c r="AM49" i="22"/>
  <c r="AL49" i="22"/>
  <c r="AK49" i="22"/>
  <c r="AJ49" i="22"/>
  <c r="BN49" i="22" s="1"/>
  <c r="AI49" i="22"/>
  <c r="AH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AR48" i="22"/>
  <c r="AR67" i="22" s="1"/>
  <c r="AQ48" i="22"/>
  <c r="AP48" i="22"/>
  <c r="AO48" i="22"/>
  <c r="AM48" i="22"/>
  <c r="AL48" i="22"/>
  <c r="AK48" i="22"/>
  <c r="AJ48" i="22"/>
  <c r="BN48" i="22" s="1"/>
  <c r="AI48" i="22"/>
  <c r="AH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AR47" i="22"/>
  <c r="AR66" i="22" s="1"/>
  <c r="AQ47" i="22"/>
  <c r="AP47" i="22"/>
  <c r="AO47" i="22"/>
  <c r="AM47" i="22"/>
  <c r="AL47" i="22"/>
  <c r="AK47" i="22"/>
  <c r="AJ47" i="22"/>
  <c r="BN47" i="22" s="1"/>
  <c r="AI47" i="22"/>
  <c r="AH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AR46" i="22"/>
  <c r="AR65" i="22" s="1"/>
  <c r="AQ46" i="22"/>
  <c r="AP46" i="22"/>
  <c r="AO46" i="22"/>
  <c r="AM46" i="22"/>
  <c r="AL46" i="22"/>
  <c r="AK46" i="22"/>
  <c r="AJ46" i="22"/>
  <c r="BN46" i="22" s="1"/>
  <c r="AI46" i="22"/>
  <c r="AH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R45" i="22"/>
  <c r="AR64" i="22" s="1"/>
  <c r="AQ45" i="22"/>
  <c r="AP45" i="22"/>
  <c r="AO45" i="22"/>
  <c r="AM45" i="22"/>
  <c r="AL45" i="22"/>
  <c r="AK45" i="22"/>
  <c r="AJ45" i="22"/>
  <c r="BN45" i="22" s="1"/>
  <c r="AI45" i="22"/>
  <c r="AH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AT44" i="22"/>
  <c r="AE44" i="22"/>
  <c r="AF44" i="22" s="1"/>
  <c r="P44" i="22"/>
  <c r="Q44" i="22" s="1"/>
  <c r="AT43" i="22"/>
  <c r="AE43" i="22"/>
  <c r="AF43" i="22" s="1"/>
  <c r="P43" i="22"/>
  <c r="Q43" i="22" s="1"/>
  <c r="AT42" i="22"/>
  <c r="AE42" i="22"/>
  <c r="AF42" i="22" s="1"/>
  <c r="P42" i="22"/>
  <c r="Q42" i="22" s="1"/>
  <c r="AR41" i="22"/>
  <c r="AQ41" i="22"/>
  <c r="AP41" i="22"/>
  <c r="AO41" i="22"/>
  <c r="AM41" i="22"/>
  <c r="AL41" i="22"/>
  <c r="AK41" i="22"/>
  <c r="AJ41" i="22"/>
  <c r="AI41" i="22"/>
  <c r="AH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AT40" i="22"/>
  <c r="AE40" i="22"/>
  <c r="P40" i="22"/>
  <c r="Q40" i="22" s="1"/>
  <c r="AT39" i="22"/>
  <c r="AT77" i="22" s="1"/>
  <c r="AE39" i="22"/>
  <c r="AE77" i="22" s="1"/>
  <c r="P39" i="22"/>
  <c r="Q39" i="22" s="1"/>
  <c r="AT38" i="22"/>
  <c r="AT76" i="22" s="1"/>
  <c r="AE38" i="22"/>
  <c r="AF38" i="22" s="1"/>
  <c r="Q38" i="22"/>
  <c r="P38" i="22"/>
  <c r="AT37" i="22"/>
  <c r="AT75" i="22" s="1"/>
  <c r="AE37" i="22"/>
  <c r="AE75" i="22" s="1"/>
  <c r="Q37" i="22"/>
  <c r="P37" i="22"/>
  <c r="AT36" i="22"/>
  <c r="AE36" i="22"/>
  <c r="AF36" i="22" s="1"/>
  <c r="P36" i="22"/>
  <c r="Q36" i="22" s="1"/>
  <c r="AT35" i="22"/>
  <c r="AE35" i="22"/>
  <c r="AE73" i="22" s="1"/>
  <c r="P35" i="22"/>
  <c r="AT34" i="22"/>
  <c r="AT72" i="22" s="1"/>
  <c r="AE34" i="22"/>
  <c r="P34" i="22"/>
  <c r="P72" i="22" s="1"/>
  <c r="AT33" i="22"/>
  <c r="AT71" i="22" s="1"/>
  <c r="AE33" i="22"/>
  <c r="AF33" i="22" s="1"/>
  <c r="AF71" i="22" s="1"/>
  <c r="P33" i="22"/>
  <c r="Q33" i="22" s="1"/>
  <c r="AT32" i="22"/>
  <c r="AE32" i="22"/>
  <c r="AF32" i="22" s="1"/>
  <c r="P32" i="22"/>
  <c r="P70" i="22" s="1"/>
  <c r="AT31" i="22"/>
  <c r="AE31" i="22"/>
  <c r="P31" i="22"/>
  <c r="Q31" i="22" s="1"/>
  <c r="AQ30" i="22"/>
  <c r="AP30" i="22"/>
  <c r="AP68" i="22" s="1"/>
  <c r="AO30" i="22"/>
  <c r="AO68" i="22" s="1"/>
  <c r="AM30" i="22"/>
  <c r="AL30" i="22"/>
  <c r="AL68" i="22" s="1"/>
  <c r="AK30" i="22"/>
  <c r="AJ30" i="22"/>
  <c r="AI30" i="22"/>
  <c r="AH30" i="22"/>
  <c r="AD30" i="22"/>
  <c r="AD68" i="22" s="1"/>
  <c r="AC30" i="22"/>
  <c r="AB30" i="22"/>
  <c r="AA30" i="22"/>
  <c r="AA68" i="22" s="1"/>
  <c r="Z30" i="22"/>
  <c r="Y30" i="22"/>
  <c r="X30" i="22"/>
  <c r="W30" i="22"/>
  <c r="V30" i="22"/>
  <c r="V68" i="22" s="1"/>
  <c r="U30" i="22"/>
  <c r="U68" i="22" s="1"/>
  <c r="T30" i="22"/>
  <c r="T68" i="22" s="1"/>
  <c r="S30" i="22"/>
  <c r="O30" i="22"/>
  <c r="O68" i="22" s="1"/>
  <c r="N30" i="22"/>
  <c r="N68" i="22" s="1"/>
  <c r="M30" i="22"/>
  <c r="L30" i="22"/>
  <c r="K30" i="22"/>
  <c r="K68" i="22" s="1"/>
  <c r="J30" i="22"/>
  <c r="I30" i="22"/>
  <c r="H30" i="22"/>
  <c r="H68" i="22" s="1"/>
  <c r="G30" i="22"/>
  <c r="F30" i="22"/>
  <c r="E30" i="22"/>
  <c r="D30" i="22"/>
  <c r="AQ29" i="22"/>
  <c r="AP29" i="22"/>
  <c r="AP67" i="22" s="1"/>
  <c r="AO29" i="22"/>
  <c r="AO67" i="22" s="1"/>
  <c r="AM29" i="22"/>
  <c r="AM67" i="22" s="1"/>
  <c r="AL29" i="22"/>
  <c r="AK29" i="22"/>
  <c r="AJ29" i="22"/>
  <c r="AI29" i="22"/>
  <c r="AI67" i="22" s="1"/>
  <c r="AH29" i="22"/>
  <c r="AD29" i="22"/>
  <c r="AC29" i="22"/>
  <c r="AB29" i="22"/>
  <c r="AA29" i="22"/>
  <c r="Z29" i="22"/>
  <c r="Y29" i="22"/>
  <c r="X29" i="22"/>
  <c r="W29" i="22"/>
  <c r="W67" i="22" s="1"/>
  <c r="V29" i="22"/>
  <c r="V67" i="22" s="1"/>
  <c r="U29" i="22"/>
  <c r="U67" i="22" s="1"/>
  <c r="T29" i="22"/>
  <c r="T67" i="22" s="1"/>
  <c r="S29" i="22"/>
  <c r="O29" i="22"/>
  <c r="N29" i="22"/>
  <c r="M29" i="22"/>
  <c r="M67" i="22" s="1"/>
  <c r="L29" i="22"/>
  <c r="K29" i="22"/>
  <c r="J29" i="22"/>
  <c r="I29" i="22"/>
  <c r="H29" i="22"/>
  <c r="G29" i="22"/>
  <c r="F29" i="22"/>
  <c r="E29" i="22"/>
  <c r="D29" i="22"/>
  <c r="D67" i="22" s="1"/>
  <c r="AQ28" i="22"/>
  <c r="AQ66" i="22" s="1"/>
  <c r="AP28" i="22"/>
  <c r="AP66" i="22" s="1"/>
  <c r="AO28" i="22"/>
  <c r="AO66" i="22" s="1"/>
  <c r="AM28" i="22"/>
  <c r="AL28" i="22"/>
  <c r="AK28" i="22"/>
  <c r="AJ28" i="22"/>
  <c r="BN28" i="22" s="1"/>
  <c r="AI28" i="22"/>
  <c r="AH28" i="22"/>
  <c r="AD28" i="22"/>
  <c r="AC28" i="22"/>
  <c r="AB28" i="22"/>
  <c r="AA28" i="22"/>
  <c r="Z28" i="22"/>
  <c r="Y28" i="22"/>
  <c r="Y66" i="22" s="1"/>
  <c r="X28" i="22"/>
  <c r="X66" i="22" s="1"/>
  <c r="W28" i="22"/>
  <c r="W66" i="22" s="1"/>
  <c r="V28" i="22"/>
  <c r="V66" i="22" s="1"/>
  <c r="U28" i="22"/>
  <c r="U66" i="22" s="1"/>
  <c r="T28" i="22"/>
  <c r="S28" i="22"/>
  <c r="O28" i="22"/>
  <c r="O66" i="22" s="1"/>
  <c r="N28" i="22"/>
  <c r="M28" i="22"/>
  <c r="L28" i="22"/>
  <c r="L66" i="22" s="1"/>
  <c r="K28" i="22"/>
  <c r="J28" i="22"/>
  <c r="I28" i="22"/>
  <c r="H28" i="22"/>
  <c r="G28" i="22"/>
  <c r="F28" i="22"/>
  <c r="F66" i="22" s="1"/>
  <c r="E28" i="22"/>
  <c r="E66" i="22" s="1"/>
  <c r="D28" i="22"/>
  <c r="D66" i="22" s="1"/>
  <c r="AQ27" i="22"/>
  <c r="AQ65" i="22" s="1"/>
  <c r="AP27" i="22"/>
  <c r="AP65" i="22" s="1"/>
  <c r="AO27" i="22"/>
  <c r="AM27" i="22"/>
  <c r="AM65" i="22" s="1"/>
  <c r="AL27" i="22"/>
  <c r="AK27" i="22"/>
  <c r="AJ27" i="22"/>
  <c r="AI27" i="22"/>
  <c r="AH27" i="22"/>
  <c r="AD27" i="22"/>
  <c r="AD65" i="22" s="1"/>
  <c r="AC27" i="22"/>
  <c r="AB27" i="22"/>
  <c r="AA27" i="22"/>
  <c r="AA65" i="22" s="1"/>
  <c r="Z27" i="22"/>
  <c r="Z65" i="22" s="1"/>
  <c r="Y27" i="22"/>
  <c r="Y65" i="22" s="1"/>
  <c r="X27" i="22"/>
  <c r="X65" i="22" s="1"/>
  <c r="W27" i="22"/>
  <c r="W65" i="22" s="1"/>
  <c r="V27" i="22"/>
  <c r="V65" i="22" s="1"/>
  <c r="U27" i="22"/>
  <c r="T27" i="22"/>
  <c r="T65" i="22" s="1"/>
  <c r="S27" i="22"/>
  <c r="S65" i="22" s="1"/>
  <c r="O27" i="22"/>
  <c r="N27" i="22"/>
  <c r="N65" i="22" s="1"/>
  <c r="M27" i="22"/>
  <c r="L27" i="22"/>
  <c r="K27" i="22"/>
  <c r="J27" i="22"/>
  <c r="I27" i="22"/>
  <c r="H27" i="22"/>
  <c r="H65" i="22" s="1"/>
  <c r="G27" i="22"/>
  <c r="G65" i="22" s="1"/>
  <c r="F27" i="22"/>
  <c r="F65" i="22" s="1"/>
  <c r="E27" i="22"/>
  <c r="E65" i="22" s="1"/>
  <c r="D27" i="22"/>
  <c r="AQ26" i="22"/>
  <c r="AQ64" i="22" s="1"/>
  <c r="AP26" i="22"/>
  <c r="AO26" i="22"/>
  <c r="AM26" i="22"/>
  <c r="AL26" i="22"/>
  <c r="AL64" i="22" s="1"/>
  <c r="AK26" i="22"/>
  <c r="AJ26" i="22"/>
  <c r="AI26" i="22"/>
  <c r="AH26" i="22"/>
  <c r="AD26" i="22"/>
  <c r="AD64" i="22" s="1"/>
  <c r="AC26" i="22"/>
  <c r="AC64" i="22" s="1"/>
  <c r="AB26" i="22"/>
  <c r="AB64" i="22" s="1"/>
  <c r="AA26" i="22"/>
  <c r="AA64" i="22" s="1"/>
  <c r="Z26" i="22"/>
  <c r="Z64" i="22" s="1"/>
  <c r="Y26" i="22"/>
  <c r="Y64" i="22" s="1"/>
  <c r="X26" i="22"/>
  <c r="W26" i="22"/>
  <c r="V26" i="22"/>
  <c r="V64" i="22" s="1"/>
  <c r="U26" i="22"/>
  <c r="T26" i="22"/>
  <c r="S26" i="22"/>
  <c r="S64" i="22" s="1"/>
  <c r="O26" i="22"/>
  <c r="N26" i="22"/>
  <c r="M26" i="22"/>
  <c r="L26" i="22"/>
  <c r="L64" i="22" s="1"/>
  <c r="K26" i="22"/>
  <c r="K64" i="22" s="1"/>
  <c r="J26" i="22"/>
  <c r="J64" i="22" s="1"/>
  <c r="I26" i="22"/>
  <c r="I64" i="22" s="1"/>
  <c r="H26" i="22"/>
  <c r="H64" i="22" s="1"/>
  <c r="G26" i="22"/>
  <c r="F26" i="22"/>
  <c r="E26" i="22"/>
  <c r="E64" i="22" s="1"/>
  <c r="D26" i="22"/>
  <c r="D64" i="22" s="1"/>
  <c r="AT25" i="22"/>
  <c r="AT63" i="22" s="1"/>
  <c r="AE25" i="22"/>
  <c r="AF25" i="22" s="1"/>
  <c r="P25" i="22"/>
  <c r="AT24" i="22"/>
  <c r="AE24" i="22"/>
  <c r="P24" i="22"/>
  <c r="P62" i="22" s="1"/>
  <c r="AT23" i="22"/>
  <c r="AT61" i="22" s="1"/>
  <c r="AE23" i="22"/>
  <c r="AF23" i="22" s="1"/>
  <c r="P23" i="22"/>
  <c r="P61" i="22" s="1"/>
  <c r="AR22" i="22"/>
  <c r="AR60" i="22" s="1"/>
  <c r="AQ22" i="22"/>
  <c r="AQ60" i="22" s="1"/>
  <c r="AP22" i="22"/>
  <c r="AP60" i="22" s="1"/>
  <c r="AO22" i="22"/>
  <c r="AO60" i="22" s="1"/>
  <c r="AM22" i="22"/>
  <c r="AM60" i="22" s="1"/>
  <c r="AL22" i="22"/>
  <c r="AL60" i="22" s="1"/>
  <c r="AK22" i="22"/>
  <c r="AJ22" i="22"/>
  <c r="AI22" i="22"/>
  <c r="AH22" i="22"/>
  <c r="AD22" i="22"/>
  <c r="AD60" i="22" s="1"/>
  <c r="AC22" i="22"/>
  <c r="AB22" i="22"/>
  <c r="AB60" i="22" s="1"/>
  <c r="AA22" i="22"/>
  <c r="AA60" i="22" s="1"/>
  <c r="Z22" i="22"/>
  <c r="Y22" i="22"/>
  <c r="Y60" i="22" s="1"/>
  <c r="X22" i="22"/>
  <c r="X60" i="22" s="1"/>
  <c r="W22" i="22"/>
  <c r="W60" i="22" s="1"/>
  <c r="V22" i="22"/>
  <c r="V60" i="22" s="1"/>
  <c r="U22" i="22"/>
  <c r="U60" i="22" s="1"/>
  <c r="T22" i="22"/>
  <c r="T60" i="22" s="1"/>
  <c r="S22" i="22"/>
  <c r="O22" i="22"/>
  <c r="N22" i="22"/>
  <c r="N60" i="22" s="1"/>
  <c r="M22" i="22"/>
  <c r="L22" i="22"/>
  <c r="K22" i="22"/>
  <c r="J22" i="22"/>
  <c r="I22" i="22"/>
  <c r="I60" i="22" s="1"/>
  <c r="H22" i="22"/>
  <c r="H60" i="22" s="1"/>
  <c r="G22" i="22"/>
  <c r="F22" i="22"/>
  <c r="F60" i="22" s="1"/>
  <c r="E22" i="22"/>
  <c r="E60" i="22" s="1"/>
  <c r="D22" i="22"/>
  <c r="D60" i="22" s="1"/>
  <c r="AT21" i="22"/>
  <c r="AE21" i="22"/>
  <c r="AF21" i="22" s="1"/>
  <c r="P21" i="22"/>
  <c r="Q21" i="22" s="1"/>
  <c r="AT20" i="22"/>
  <c r="AF20" i="22"/>
  <c r="AE20" i="22"/>
  <c r="Q20" i="22"/>
  <c r="P20" i="22"/>
  <c r="AT19" i="22"/>
  <c r="AE19" i="22"/>
  <c r="AF19" i="22" s="1"/>
  <c r="P19" i="22"/>
  <c r="Q19" i="22" s="1"/>
  <c r="AT18" i="22"/>
  <c r="AF18" i="22"/>
  <c r="AE18" i="22"/>
  <c r="Q18" i="22"/>
  <c r="P18" i="22"/>
  <c r="AT17" i="22"/>
  <c r="AE17" i="22"/>
  <c r="AF17" i="22" s="1"/>
  <c r="P17" i="22"/>
  <c r="Q17" i="22" s="1"/>
  <c r="AT16" i="22"/>
  <c r="AF16" i="22"/>
  <c r="AE16" i="22"/>
  <c r="P16" i="22"/>
  <c r="Q16" i="22" s="1"/>
  <c r="AT15" i="22"/>
  <c r="AE15" i="22"/>
  <c r="AF15" i="22" s="1"/>
  <c r="P15" i="22"/>
  <c r="Q15" i="22" s="1"/>
  <c r="AT14" i="22"/>
  <c r="AE14" i="22"/>
  <c r="AF14" i="22" s="1"/>
  <c r="Q14" i="22"/>
  <c r="P14" i="22"/>
  <c r="AT13" i="22"/>
  <c r="AE13" i="22"/>
  <c r="AF13" i="22" s="1"/>
  <c r="Q13" i="22"/>
  <c r="P13" i="22"/>
  <c r="AT12" i="22"/>
  <c r="AF12" i="22"/>
  <c r="AE12" i="22"/>
  <c r="P12" i="22"/>
  <c r="Q12" i="22" s="1"/>
  <c r="AQ11" i="22"/>
  <c r="AP11" i="22"/>
  <c r="AO11" i="22"/>
  <c r="AM11" i="22"/>
  <c r="AL11" i="22"/>
  <c r="AK11" i="22"/>
  <c r="AJ11" i="22"/>
  <c r="BN11" i="22" s="1"/>
  <c r="AI11" i="22"/>
  <c r="AH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AQ10" i="22"/>
  <c r="AP10" i="22"/>
  <c r="AO10" i="22"/>
  <c r="AM10" i="22"/>
  <c r="AL10" i="22"/>
  <c r="AK10" i="22"/>
  <c r="AJ10" i="22"/>
  <c r="AI10" i="22"/>
  <c r="AT10" i="22" s="1"/>
  <c r="AH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AE10" i="22" s="1"/>
  <c r="AF10" i="22" s="1"/>
  <c r="O10" i="22"/>
  <c r="N10" i="22"/>
  <c r="M10" i="22"/>
  <c r="L10" i="22"/>
  <c r="K10" i="22"/>
  <c r="J10" i="22"/>
  <c r="I10" i="22"/>
  <c r="H10" i="22"/>
  <c r="G10" i="22"/>
  <c r="F10" i="22"/>
  <c r="E10" i="22"/>
  <c r="D10" i="22"/>
  <c r="P10" i="22" s="1"/>
  <c r="Q10" i="22" s="1"/>
  <c r="AQ9" i="22"/>
  <c r="AP9" i="22"/>
  <c r="AO9" i="22"/>
  <c r="AM9" i="22"/>
  <c r="AL9" i="22"/>
  <c r="AK9" i="22"/>
  <c r="AJ9" i="22"/>
  <c r="AI9" i="22"/>
  <c r="AH9" i="22"/>
  <c r="AD9" i="22"/>
  <c r="AC9" i="22"/>
  <c r="AE9" i="22" s="1"/>
  <c r="AF9" i="22" s="1"/>
  <c r="AB9" i="22"/>
  <c r="AA9" i="22"/>
  <c r="Z9" i="22"/>
  <c r="Y9" i="22"/>
  <c r="X9" i="22"/>
  <c r="W9" i="22"/>
  <c r="V9" i="22"/>
  <c r="U9" i="22"/>
  <c r="T9" i="22"/>
  <c r="S9" i="22"/>
  <c r="O9" i="22"/>
  <c r="N9" i="22"/>
  <c r="M9" i="22"/>
  <c r="L9" i="22"/>
  <c r="P9" i="22" s="1"/>
  <c r="Q9" i="22" s="1"/>
  <c r="K9" i="22"/>
  <c r="J9" i="22"/>
  <c r="I9" i="22"/>
  <c r="H9" i="22"/>
  <c r="G9" i="22"/>
  <c r="F9" i="22"/>
  <c r="E9" i="22"/>
  <c r="D9" i="22"/>
  <c r="AT8" i="22"/>
  <c r="AQ8" i="22"/>
  <c r="AP8" i="22"/>
  <c r="AO8" i="22"/>
  <c r="AM8" i="22"/>
  <c r="AL8" i="22"/>
  <c r="AK8" i="22"/>
  <c r="AJ8" i="22"/>
  <c r="AI8" i="22"/>
  <c r="AH8" i="22"/>
  <c r="AD8" i="22"/>
  <c r="AC8" i="22"/>
  <c r="AB8" i="22"/>
  <c r="AA8" i="22"/>
  <c r="Z8" i="22"/>
  <c r="Y8" i="22"/>
  <c r="X8" i="22"/>
  <c r="W8" i="22"/>
  <c r="V8" i="22"/>
  <c r="AE8" i="22" s="1"/>
  <c r="AF8" i="22" s="1"/>
  <c r="U8" i="22"/>
  <c r="T8" i="22"/>
  <c r="S8" i="22"/>
  <c r="O8" i="22"/>
  <c r="N8" i="22"/>
  <c r="M8" i="22"/>
  <c r="L8" i="22"/>
  <c r="K8" i="22"/>
  <c r="J8" i="22"/>
  <c r="I8" i="22"/>
  <c r="H8" i="22"/>
  <c r="G8" i="22"/>
  <c r="F8" i="22"/>
  <c r="E8" i="22"/>
  <c r="P8" i="22" s="1"/>
  <c r="Q8" i="22" s="1"/>
  <c r="D8" i="22"/>
  <c r="AQ7" i="22"/>
  <c r="AP7" i="22"/>
  <c r="AO7" i="22"/>
  <c r="AM7" i="22"/>
  <c r="AL7" i="22"/>
  <c r="AK7" i="22"/>
  <c r="AJ7" i="22"/>
  <c r="AI7" i="22"/>
  <c r="AH7" i="22"/>
  <c r="AD7" i="22"/>
  <c r="AC7" i="22"/>
  <c r="AB7" i="22"/>
  <c r="AA7" i="22"/>
  <c r="Z7" i="22"/>
  <c r="Y7" i="22"/>
  <c r="X7" i="22"/>
  <c r="W7" i="22"/>
  <c r="V7" i="22"/>
  <c r="U7" i="22"/>
  <c r="T7" i="22"/>
  <c r="S7" i="22"/>
  <c r="AE7" i="22" s="1"/>
  <c r="AF7" i="22" s="1"/>
  <c r="O7" i="22"/>
  <c r="N7" i="22"/>
  <c r="M7" i="22"/>
  <c r="L7" i="22"/>
  <c r="K7" i="22"/>
  <c r="J7" i="22"/>
  <c r="I7" i="22"/>
  <c r="H7" i="22"/>
  <c r="G7" i="22"/>
  <c r="F7" i="22"/>
  <c r="E7" i="22"/>
  <c r="P7" i="22" s="1"/>
  <c r="Q7" i="22" s="1"/>
  <c r="D7" i="22"/>
  <c r="AT6" i="22"/>
  <c r="AE6" i="22"/>
  <c r="AF6" i="22" s="1"/>
  <c r="P6" i="22"/>
  <c r="Q6" i="22" s="1"/>
  <c r="AT5" i="22"/>
  <c r="AF5" i="22"/>
  <c r="AE5" i="22"/>
  <c r="Q5" i="22"/>
  <c r="P5" i="22"/>
  <c r="AT4" i="22"/>
  <c r="AE4" i="22"/>
  <c r="AF4" i="22" s="1"/>
  <c r="P4" i="22"/>
  <c r="Q4" i="22" s="1"/>
  <c r="AQ3" i="22"/>
  <c r="AP3" i="22"/>
  <c r="AO3" i="22"/>
  <c r="AM3" i="22"/>
  <c r="AL3" i="22"/>
  <c r="AT3" i="22" s="1"/>
  <c r="AK3" i="22"/>
  <c r="AJ3" i="22"/>
  <c r="AI3" i="22"/>
  <c r="AH3" i="22"/>
  <c r="AD3" i="22"/>
  <c r="AC3" i="22"/>
  <c r="AB3" i="22"/>
  <c r="AA3" i="22"/>
  <c r="Z3" i="22"/>
  <c r="Y3" i="22"/>
  <c r="X3" i="22"/>
  <c r="W3" i="22"/>
  <c r="V3" i="22"/>
  <c r="U3" i="22"/>
  <c r="AE3" i="22" s="1"/>
  <c r="AF3" i="22" s="1"/>
  <c r="T3" i="22"/>
  <c r="S3" i="22"/>
  <c r="O3" i="22"/>
  <c r="N3" i="22"/>
  <c r="M3" i="22"/>
  <c r="L3" i="22"/>
  <c r="K3" i="22"/>
  <c r="J3" i="22"/>
  <c r="I3" i="22"/>
  <c r="H3" i="22"/>
  <c r="G3" i="22"/>
  <c r="F3" i="22"/>
  <c r="E3" i="22"/>
  <c r="D3" i="22"/>
  <c r="P3" i="22" s="1"/>
  <c r="Q3" i="22" s="1"/>
  <c r="AH83" i="26"/>
  <c r="AG83" i="26"/>
  <c r="AF83" i="26"/>
  <c r="AH82" i="26"/>
  <c r="AG82" i="26"/>
  <c r="AF82" i="26"/>
  <c r="AH81" i="26"/>
  <c r="AG81" i="26"/>
  <c r="AF81" i="26"/>
  <c r="AE81" i="26"/>
  <c r="V74" i="26"/>
  <c r="U74" i="26"/>
  <c r="AH80" i="26"/>
  <c r="AG80" i="26"/>
  <c r="AF80" i="26"/>
  <c r="W80" i="26"/>
  <c r="AH79" i="26"/>
  <c r="AG79" i="26"/>
  <c r="AF79" i="26"/>
  <c r="AE79" i="26"/>
  <c r="V73" i="26"/>
  <c r="W79" i="26"/>
  <c r="AH78" i="26"/>
  <c r="AG78" i="26"/>
  <c r="AF78" i="26"/>
  <c r="AE78" i="26"/>
  <c r="W78" i="26"/>
  <c r="AH77" i="26"/>
  <c r="AG77" i="26"/>
  <c r="AF77" i="26"/>
  <c r="AE77" i="26"/>
  <c r="W77" i="26"/>
  <c r="U71" i="26"/>
  <c r="AH76" i="26"/>
  <c r="AG76" i="26"/>
  <c r="AF76" i="26"/>
  <c r="AE76" i="26"/>
  <c r="W76" i="26"/>
  <c r="AH75" i="26"/>
  <c r="AG75" i="26"/>
  <c r="AF75" i="26"/>
  <c r="AE75" i="26"/>
  <c r="V75" i="26"/>
  <c r="AH74" i="26"/>
  <c r="AG74" i="26"/>
  <c r="AF74" i="26"/>
  <c r="AE74" i="26"/>
  <c r="AH73" i="26"/>
  <c r="AG73" i="26"/>
  <c r="AF73" i="26"/>
  <c r="AE73" i="26"/>
  <c r="AH72" i="26"/>
  <c r="AG72" i="26"/>
  <c r="AF72" i="26"/>
  <c r="AE72" i="26"/>
  <c r="V72" i="26"/>
  <c r="U72" i="26"/>
  <c r="AH71" i="26"/>
  <c r="AG71" i="26"/>
  <c r="AF71" i="26"/>
  <c r="AE71" i="26"/>
  <c r="V71" i="26"/>
  <c r="AF70" i="26"/>
  <c r="W70" i="26"/>
  <c r="T70" i="26"/>
  <c r="AF69" i="26"/>
  <c r="W69" i="26"/>
  <c r="T69" i="26"/>
  <c r="AF68" i="26"/>
  <c r="W68" i="26"/>
  <c r="T68" i="26"/>
  <c r="AE67" i="26"/>
  <c r="AH66" i="26"/>
  <c r="AG66" i="26"/>
  <c r="AF66" i="26"/>
  <c r="U58" i="26"/>
  <c r="AH65" i="26"/>
  <c r="AG65" i="26"/>
  <c r="AF65" i="26"/>
  <c r="AB65" i="26"/>
  <c r="W65" i="26"/>
  <c r="AH64" i="26"/>
  <c r="AG64" i="26"/>
  <c r="AF64" i="26"/>
  <c r="V57" i="26"/>
  <c r="W64" i="26"/>
  <c r="AH63" i="26"/>
  <c r="AG63" i="26"/>
  <c r="AF63" i="26"/>
  <c r="AB63" i="26"/>
  <c r="W63" i="26"/>
  <c r="AH62" i="26"/>
  <c r="AG62" i="26"/>
  <c r="AF62" i="26"/>
  <c r="AB62" i="26"/>
  <c r="W62" i="26"/>
  <c r="AH61" i="26"/>
  <c r="AG61" i="26"/>
  <c r="AF61" i="26"/>
  <c r="V55" i="26"/>
  <c r="AH60" i="26"/>
  <c r="AG60" i="26"/>
  <c r="AF60" i="26"/>
  <c r="AB60" i="26"/>
  <c r="W60" i="26"/>
  <c r="AH59" i="26"/>
  <c r="AG59" i="26"/>
  <c r="AF59" i="26"/>
  <c r="AB59" i="26"/>
  <c r="AH58" i="26"/>
  <c r="AG58" i="26"/>
  <c r="AF58" i="26"/>
  <c r="AB58" i="26"/>
  <c r="AH57" i="26"/>
  <c r="AG57" i="26"/>
  <c r="AF57" i="26"/>
  <c r="AB57" i="26"/>
  <c r="U57" i="26"/>
  <c r="AH56" i="26"/>
  <c r="AG56" i="26"/>
  <c r="AF56" i="26"/>
  <c r="AB56" i="26"/>
  <c r="AH55" i="26"/>
  <c r="AG55" i="26"/>
  <c r="AF55" i="26"/>
  <c r="AB55" i="26"/>
  <c r="AH54" i="26"/>
  <c r="AG54" i="26"/>
  <c r="AF54" i="26"/>
  <c r="AB54" i="26"/>
  <c r="W53" i="26"/>
  <c r="T53" i="26"/>
  <c r="W52" i="26"/>
  <c r="T52" i="26"/>
  <c r="W51" i="26"/>
  <c r="T51" i="26"/>
  <c r="AB50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H25" i="26"/>
  <c r="AG25" i="26"/>
  <c r="AF25" i="26"/>
  <c r="AH24" i="26"/>
  <c r="AG24" i="26"/>
  <c r="AF24" i="26"/>
  <c r="AH23" i="26"/>
  <c r="AG23" i="26"/>
  <c r="AF23" i="26"/>
  <c r="W23" i="26"/>
  <c r="AH22" i="26"/>
  <c r="AG22" i="26"/>
  <c r="AF22" i="26"/>
  <c r="AH21" i="26"/>
  <c r="AG21" i="26"/>
  <c r="AF21" i="26"/>
  <c r="W21" i="26"/>
  <c r="AH20" i="26"/>
  <c r="AG20" i="26"/>
  <c r="AF20" i="26"/>
  <c r="AH19" i="26"/>
  <c r="AG19" i="26"/>
  <c r="AF19" i="26"/>
  <c r="W19" i="26"/>
  <c r="AH18" i="26"/>
  <c r="AG18" i="26"/>
  <c r="AF18" i="26"/>
  <c r="AH17" i="26"/>
  <c r="AG17" i="26"/>
  <c r="AF17" i="26"/>
  <c r="AH16" i="26"/>
  <c r="AG16" i="26"/>
  <c r="AF16" i="26"/>
  <c r="W16" i="26"/>
  <c r="AH15" i="26"/>
  <c r="AG15" i="26"/>
  <c r="AF15" i="26"/>
  <c r="AH14" i="26"/>
  <c r="AG14" i="26"/>
  <c r="AF14" i="26"/>
  <c r="AH13" i="26"/>
  <c r="AG13" i="26"/>
  <c r="AF13" i="26"/>
  <c r="AH12" i="26"/>
  <c r="AG12" i="26"/>
  <c r="AF12" i="26"/>
  <c r="AH11" i="26"/>
  <c r="AG11" i="26"/>
  <c r="AF11" i="26"/>
  <c r="AH10" i="26"/>
  <c r="AG10" i="26"/>
  <c r="AF10" i="26"/>
  <c r="W10" i="26"/>
  <c r="AH9" i="26"/>
  <c r="AG9" i="26"/>
  <c r="AF9" i="26"/>
  <c r="AH8" i="26"/>
  <c r="AG8" i="26"/>
  <c r="AF8" i="26"/>
  <c r="AF6" i="26"/>
  <c r="AF67" i="33"/>
  <c r="AX67" i="33" s="1"/>
  <c r="AE67" i="33"/>
  <c r="AF65" i="33"/>
  <c r="AX65" i="33" s="1"/>
  <c r="AE65" i="33"/>
  <c r="AF64" i="33"/>
  <c r="AX64" i="33" s="1"/>
  <c r="AE64" i="33"/>
  <c r="AF63" i="33"/>
  <c r="AX63" i="33" s="1"/>
  <c r="AE63" i="33"/>
  <c r="AF62" i="33"/>
  <c r="AX62" i="33" s="1"/>
  <c r="AE62" i="33"/>
  <c r="AF61" i="33"/>
  <c r="AX61" i="33" s="1"/>
  <c r="AE61" i="33"/>
  <c r="AF60" i="33"/>
  <c r="AX60" i="33" s="1"/>
  <c r="AE60" i="33"/>
  <c r="AF59" i="33"/>
  <c r="AX59" i="33" s="1"/>
  <c r="AE59" i="33"/>
  <c r="AF58" i="33"/>
  <c r="AX58" i="33" s="1"/>
  <c r="AE58" i="33"/>
  <c r="AF57" i="33"/>
  <c r="AX57" i="33" s="1"/>
  <c r="AE57" i="33"/>
  <c r="AF56" i="33"/>
  <c r="AX56" i="33" s="1"/>
  <c r="AE56" i="33"/>
  <c r="AF55" i="33"/>
  <c r="AX55" i="33" s="1"/>
  <c r="AE55" i="33"/>
  <c r="AF51" i="33"/>
  <c r="AX51" i="33" s="1"/>
  <c r="AE51" i="33"/>
  <c r="AF50" i="33"/>
  <c r="AX50" i="33" s="1"/>
  <c r="AE50" i="33"/>
  <c r="AF49" i="33"/>
  <c r="AX49" i="33" s="1"/>
  <c r="AE49" i="33"/>
  <c r="AF48" i="33"/>
  <c r="AX48" i="33" s="1"/>
  <c r="AE48" i="33"/>
  <c r="AF47" i="33"/>
  <c r="AX47" i="33" s="1"/>
  <c r="AE47" i="33"/>
  <c r="AF46" i="33"/>
  <c r="AX46" i="33" s="1"/>
  <c r="AE46" i="33"/>
  <c r="AF45" i="33"/>
  <c r="AX45" i="33" s="1"/>
  <c r="AE45" i="33"/>
  <c r="AF44" i="33"/>
  <c r="AX44" i="33" s="1"/>
  <c r="AE44" i="33"/>
  <c r="AF43" i="33"/>
  <c r="AX43" i="33" s="1"/>
  <c r="AE43" i="33"/>
  <c r="Q43" i="33"/>
  <c r="P43" i="33"/>
  <c r="AF42" i="33"/>
  <c r="AX42" i="33" s="1"/>
  <c r="AE42" i="33"/>
  <c r="Q42" i="33"/>
  <c r="P42" i="33"/>
  <c r="AF41" i="33"/>
  <c r="AX41" i="33" s="1"/>
  <c r="AE41" i="33"/>
  <c r="Q41" i="33"/>
  <c r="P41" i="33"/>
  <c r="AF40" i="33"/>
  <c r="AX40" i="33" s="1"/>
  <c r="AE40" i="33"/>
  <c r="Q40" i="33"/>
  <c r="P40" i="33"/>
  <c r="AF39" i="33"/>
  <c r="AX39" i="33" s="1"/>
  <c r="AE39" i="33"/>
  <c r="Q39" i="33"/>
  <c r="P39" i="33"/>
  <c r="AF38" i="33"/>
  <c r="AX38" i="33" s="1"/>
  <c r="AE38" i="33"/>
  <c r="Q38" i="33"/>
  <c r="P38" i="33"/>
  <c r="AF37" i="33"/>
  <c r="AX37" i="33" s="1"/>
  <c r="AE37" i="33"/>
  <c r="Q37" i="33"/>
  <c r="P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AE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AF33" i="33"/>
  <c r="AX33" i="33" s="1"/>
  <c r="AE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AF32" i="33"/>
  <c r="AX32" i="33" s="1"/>
  <c r="AE32" i="33"/>
  <c r="Q32" i="33"/>
  <c r="P32" i="33"/>
  <c r="AF31" i="33"/>
  <c r="AX31" i="33" s="1"/>
  <c r="AE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AF30" i="33"/>
  <c r="AX30" i="33" s="1"/>
  <c r="AE30" i="33"/>
  <c r="Q30" i="33"/>
  <c r="P30" i="33"/>
  <c r="AA28" i="33"/>
  <c r="Z28" i="33"/>
  <c r="AE28" i="33" s="1"/>
  <c r="AF27" i="33"/>
  <c r="AX27" i="33" s="1"/>
  <c r="AE27" i="33"/>
  <c r="AA26" i="33"/>
  <c r="Z26" i="33"/>
  <c r="AF25" i="33"/>
  <c r="AX25" i="33" s="1"/>
  <c r="AE25" i="33"/>
  <c r="AC24" i="33"/>
  <c r="AB24" i="33"/>
  <c r="AA24" i="33"/>
  <c r="W24" i="33"/>
  <c r="V24" i="33"/>
  <c r="U24" i="33"/>
  <c r="T24" i="33"/>
  <c r="S24" i="33"/>
  <c r="AF23" i="33"/>
  <c r="AX23" i="33" s="1"/>
  <c r="AE23" i="33"/>
  <c r="AF22" i="33"/>
  <c r="AX22" i="33" s="1"/>
  <c r="AE22" i="33"/>
  <c r="AF21" i="33"/>
  <c r="AX21" i="33" s="1"/>
  <c r="AE21" i="33"/>
  <c r="AB20" i="33"/>
  <c r="Z20" i="33"/>
  <c r="Y20" i="33"/>
  <c r="AW20" i="33" s="1"/>
  <c r="X20" i="33"/>
  <c r="W20" i="33"/>
  <c r="V20" i="33"/>
  <c r="U20" i="33"/>
  <c r="T20" i="33"/>
  <c r="S20" i="33"/>
  <c r="AF19" i="33"/>
  <c r="AX19" i="33" s="1"/>
  <c r="AE19" i="33"/>
  <c r="AE18" i="33"/>
  <c r="AA18" i="33"/>
  <c r="AF18" i="33" s="1"/>
  <c r="AX18" i="33" s="1"/>
  <c r="AF17" i="33"/>
  <c r="AX17" i="33" s="1"/>
  <c r="AE17" i="33"/>
  <c r="AF16" i="33"/>
  <c r="AX16" i="33" s="1"/>
  <c r="AE16" i="33"/>
  <c r="AF14" i="33"/>
  <c r="AX14" i="33" s="1"/>
  <c r="AE14" i="33"/>
  <c r="AF13" i="33"/>
  <c r="AX13" i="33" s="1"/>
  <c r="AE13" i="33"/>
  <c r="AF12" i="33"/>
  <c r="AX12" i="33" s="1"/>
  <c r="AE12" i="33"/>
  <c r="AF11" i="33"/>
  <c r="AX11" i="33" s="1"/>
  <c r="AE11" i="33"/>
  <c r="AF10" i="33"/>
  <c r="AX10" i="33" s="1"/>
  <c r="AE10" i="33"/>
  <c r="AF9" i="33"/>
  <c r="AX9" i="33" s="1"/>
  <c r="AE9" i="33"/>
  <c r="Z8" i="33"/>
  <c r="AF8" i="33" s="1"/>
  <c r="AX8" i="33" s="1"/>
  <c r="AF7" i="33"/>
  <c r="AX7" i="33" s="1"/>
  <c r="AE7" i="33"/>
  <c r="AF6" i="33"/>
  <c r="AX6" i="33" s="1"/>
  <c r="AE6" i="33"/>
  <c r="AF5" i="33"/>
  <c r="AX5" i="33" s="1"/>
  <c r="AE5" i="33"/>
  <c r="AE4" i="33"/>
  <c r="X70" i="13"/>
  <c r="X68" i="13"/>
  <c r="X67" i="13"/>
  <c r="X66" i="13"/>
  <c r="X65" i="13"/>
  <c r="X64" i="13"/>
  <c r="X63" i="13"/>
  <c r="X62" i="13"/>
  <c r="X61" i="13"/>
  <c r="X60" i="13"/>
  <c r="X59" i="13"/>
  <c r="X58" i="13"/>
  <c r="X47" i="13"/>
  <c r="X46" i="13"/>
  <c r="X45" i="13"/>
  <c r="X44" i="13"/>
  <c r="X43" i="13"/>
  <c r="X42" i="13"/>
  <c r="X41" i="13"/>
  <c r="X40" i="13"/>
  <c r="X39" i="13"/>
  <c r="X38" i="13"/>
  <c r="X37" i="13"/>
  <c r="X36" i="13"/>
  <c r="X35" i="13"/>
  <c r="X34" i="13"/>
  <c r="X33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Q32" i="47"/>
  <c r="AV4" i="47"/>
  <c r="AF113" i="32"/>
  <c r="AE113" i="32"/>
  <c r="Q113" i="32"/>
  <c r="P113" i="32"/>
  <c r="AF112" i="32"/>
  <c r="AE112" i="32"/>
  <c r="Q112" i="32"/>
  <c r="P112" i="32"/>
  <c r="AF111" i="32"/>
  <c r="AE111" i="32"/>
  <c r="Q111" i="32"/>
  <c r="P111" i="32"/>
  <c r="AF110" i="32"/>
  <c r="AE110" i="32"/>
  <c r="Q110" i="32"/>
  <c r="P110" i="32"/>
  <c r="AF109" i="32"/>
  <c r="AE109" i="32"/>
  <c r="Q109" i="32"/>
  <c r="P109" i="32"/>
  <c r="AF108" i="32"/>
  <c r="AE108" i="32"/>
  <c r="Q108" i="32"/>
  <c r="P108" i="32"/>
  <c r="AF107" i="32"/>
  <c r="AE107" i="32"/>
  <c r="Q107" i="32"/>
  <c r="P107" i="32"/>
  <c r="AF106" i="32"/>
  <c r="AE106" i="32"/>
  <c r="Q106" i="32"/>
  <c r="P106" i="32"/>
  <c r="AF105" i="32"/>
  <c r="AE105" i="32"/>
  <c r="Q105" i="32"/>
  <c r="P105" i="32"/>
  <c r="AF104" i="32"/>
  <c r="AE104" i="32"/>
  <c r="Q104" i="32"/>
  <c r="P104" i="32"/>
  <c r="AF103" i="32"/>
  <c r="AE103" i="32"/>
  <c r="Q103" i="32"/>
  <c r="P103" i="32"/>
  <c r="AF102" i="32"/>
  <c r="AE102" i="32"/>
  <c r="Q102" i="32"/>
  <c r="P102" i="32"/>
  <c r="AF101" i="32"/>
  <c r="AE101" i="32"/>
  <c r="Q101" i="32"/>
  <c r="P101" i="32"/>
  <c r="AF100" i="32"/>
  <c r="AE100" i="32"/>
  <c r="Q100" i="32"/>
  <c r="P100" i="32"/>
  <c r="AF99" i="32"/>
  <c r="AE99" i="32"/>
  <c r="Q99" i="32"/>
  <c r="P99" i="32"/>
  <c r="AF98" i="32"/>
  <c r="AE98" i="32"/>
  <c r="Q98" i="32"/>
  <c r="P98" i="32"/>
  <c r="AF97" i="32"/>
  <c r="AE97" i="32"/>
  <c r="Q97" i="32"/>
  <c r="P97" i="32"/>
  <c r="AF96" i="32"/>
  <c r="AE96" i="32"/>
  <c r="Q96" i="32"/>
  <c r="P96" i="32"/>
  <c r="AF95" i="32"/>
  <c r="AE95" i="32"/>
  <c r="Q95" i="32"/>
  <c r="P95" i="32"/>
  <c r="AF94" i="32"/>
  <c r="AE94" i="32"/>
  <c r="Q94" i="32"/>
  <c r="P94" i="32"/>
  <c r="AF87" i="32"/>
  <c r="AE87" i="32"/>
  <c r="P87" i="32"/>
  <c r="AF86" i="32"/>
  <c r="AE86" i="32"/>
  <c r="Q86" i="32"/>
  <c r="P86" i="32"/>
  <c r="AF85" i="32"/>
  <c r="AE85" i="32"/>
  <c r="Q85" i="32"/>
  <c r="P85" i="32"/>
  <c r="AF84" i="32"/>
  <c r="AE84" i="32"/>
  <c r="Q84" i="32"/>
  <c r="P84" i="32"/>
  <c r="AF83" i="32"/>
  <c r="AE83" i="32"/>
  <c r="P83" i="32"/>
  <c r="AF82" i="32"/>
  <c r="AE82" i="32"/>
  <c r="Q82" i="32"/>
  <c r="P82" i="32"/>
  <c r="AF81" i="32"/>
  <c r="AE81" i="32"/>
  <c r="Q81" i="32"/>
  <c r="P81" i="32"/>
  <c r="AB80" i="32"/>
  <c r="AA80" i="32"/>
  <c r="Z80" i="32"/>
  <c r="Y80" i="32"/>
  <c r="X80" i="32"/>
  <c r="W80" i="32"/>
  <c r="V80" i="32"/>
  <c r="U80" i="32"/>
  <c r="T80" i="32"/>
  <c r="S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AF79" i="32"/>
  <c r="AE79" i="32"/>
  <c r="Q79" i="32"/>
  <c r="P79" i="32"/>
  <c r="AF77" i="32"/>
  <c r="AE77" i="32"/>
  <c r="Q77" i="32"/>
  <c r="P77" i="32"/>
  <c r="AF75" i="32"/>
  <c r="AE75" i="32"/>
  <c r="Q75" i="32"/>
  <c r="P75" i="32"/>
  <c r="AF74" i="32"/>
  <c r="AE74" i="32"/>
  <c r="Q74" i="32"/>
  <c r="P74" i="32"/>
  <c r="AF73" i="32"/>
  <c r="AE73" i="32"/>
  <c r="Q73" i="32"/>
  <c r="P73" i="32"/>
  <c r="AF72" i="32"/>
  <c r="AE72" i="32"/>
  <c r="Q72" i="32"/>
  <c r="P72" i="32"/>
  <c r="AF71" i="32"/>
  <c r="AE71" i="32"/>
  <c r="Q71" i="32"/>
  <c r="P71" i="32"/>
  <c r="AF70" i="32"/>
  <c r="AE70" i="32"/>
  <c r="Q70" i="32"/>
  <c r="P70" i="32"/>
  <c r="AF69" i="32"/>
  <c r="AE69" i="32"/>
  <c r="Q69" i="32"/>
  <c r="P69" i="32"/>
  <c r="AF68" i="32"/>
  <c r="AE68" i="32"/>
  <c r="Q68" i="32"/>
  <c r="P68" i="32"/>
  <c r="AF67" i="32"/>
  <c r="AE67" i="32"/>
  <c r="Q67" i="32"/>
  <c r="P67" i="32"/>
  <c r="AF66" i="32"/>
  <c r="AE66" i="32"/>
  <c r="Q66" i="32"/>
  <c r="P66" i="32"/>
  <c r="AB65" i="32"/>
  <c r="AA65" i="32"/>
  <c r="Z65" i="32"/>
  <c r="Y65" i="32"/>
  <c r="X65" i="32"/>
  <c r="W65" i="32"/>
  <c r="V65" i="32"/>
  <c r="U65" i="32"/>
  <c r="T65" i="32"/>
  <c r="S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AF64" i="32"/>
  <c r="AE64" i="32"/>
  <c r="Q64" i="32"/>
  <c r="P64" i="32"/>
  <c r="AF63" i="32"/>
  <c r="AE63" i="32"/>
  <c r="Q63" i="32"/>
  <c r="P63" i="32"/>
  <c r="AF62" i="32"/>
  <c r="AE62" i="32"/>
  <c r="Q62" i="32"/>
  <c r="P62" i="32"/>
  <c r="AF61" i="32"/>
  <c r="AE61" i="32"/>
  <c r="Q61" i="32"/>
  <c r="P61" i="32"/>
  <c r="AF60" i="32"/>
  <c r="AE60" i="32"/>
  <c r="Q60" i="32"/>
  <c r="P60" i="32"/>
  <c r="AF59" i="32"/>
  <c r="AE59" i="32"/>
  <c r="Q59" i="32"/>
  <c r="P59" i="32"/>
  <c r="AF58" i="32"/>
  <c r="AE58" i="32"/>
  <c r="Q58" i="32"/>
  <c r="P58" i="32"/>
  <c r="AF57" i="32"/>
  <c r="AE57" i="32"/>
  <c r="Q57" i="32"/>
  <c r="P57" i="32"/>
  <c r="AF56" i="32"/>
  <c r="AE56" i="32"/>
  <c r="Q56" i="32"/>
  <c r="P56" i="32"/>
  <c r="AF55" i="32"/>
  <c r="AE55" i="32"/>
  <c r="Q55" i="32"/>
  <c r="P55" i="32"/>
  <c r="AB54" i="32"/>
  <c r="AA54" i="32"/>
  <c r="Z54" i="32"/>
  <c r="Y54" i="32"/>
  <c r="X54" i="32"/>
  <c r="W54" i="32"/>
  <c r="V54" i="32"/>
  <c r="U54" i="32"/>
  <c r="T54" i="32"/>
  <c r="S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AF53" i="32"/>
  <c r="AE53" i="32"/>
  <c r="Q53" i="32"/>
  <c r="P53" i="32"/>
  <c r="AF52" i="32"/>
  <c r="AE52" i="32"/>
  <c r="Q52" i="32"/>
  <c r="P52" i="32"/>
  <c r="AF51" i="32"/>
  <c r="AE51" i="32"/>
  <c r="Q51" i="32"/>
  <c r="P51" i="32"/>
  <c r="AF50" i="32"/>
  <c r="AE50" i="32"/>
  <c r="Q50" i="32"/>
  <c r="P50" i="32"/>
  <c r="AF49" i="32"/>
  <c r="AE49" i="32"/>
  <c r="Q49" i="32"/>
  <c r="P49" i="32"/>
  <c r="AF48" i="32"/>
  <c r="AE48" i="32"/>
  <c r="Q48" i="32"/>
  <c r="P48" i="32"/>
  <c r="AF47" i="32"/>
  <c r="AE47" i="32"/>
  <c r="Q47" i="32"/>
  <c r="P47" i="32"/>
  <c r="AF46" i="32"/>
  <c r="AE46" i="32"/>
  <c r="Q46" i="32"/>
  <c r="P46" i="32"/>
  <c r="AF45" i="32"/>
  <c r="AE45" i="32"/>
  <c r="Q45" i="32"/>
  <c r="P45" i="32"/>
  <c r="AF44" i="32"/>
  <c r="AE44" i="32"/>
  <c r="Q44" i="32"/>
  <c r="P44" i="32"/>
  <c r="AB43" i="32"/>
  <c r="AA43" i="32"/>
  <c r="Z43" i="32"/>
  <c r="Y43" i="32"/>
  <c r="X43" i="32"/>
  <c r="W43" i="32"/>
  <c r="V43" i="32"/>
  <c r="U43" i="32"/>
  <c r="T43" i="32"/>
  <c r="S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AF42" i="32"/>
  <c r="AE42" i="32"/>
  <c r="Q42" i="32"/>
  <c r="P42" i="32"/>
  <c r="AF41" i="32"/>
  <c r="AE41" i="32"/>
  <c r="Q41" i="32"/>
  <c r="P41" i="32"/>
  <c r="AF40" i="32"/>
  <c r="AE40" i="32"/>
  <c r="Q40" i="32"/>
  <c r="P40" i="32"/>
  <c r="AF39" i="32"/>
  <c r="AE39" i="32"/>
  <c r="Q39" i="32"/>
  <c r="P39" i="32"/>
  <c r="AF38" i="32"/>
  <c r="AE38" i="32"/>
  <c r="Q38" i="32"/>
  <c r="P38" i="32"/>
  <c r="AF37" i="32"/>
  <c r="AE37" i="32"/>
  <c r="Q37" i="32"/>
  <c r="P37" i="32"/>
  <c r="AF36" i="32"/>
  <c r="AE36" i="32"/>
  <c r="Q36" i="32"/>
  <c r="P36" i="32"/>
  <c r="AF35" i="32"/>
  <c r="AE35" i="32"/>
  <c r="Q35" i="32"/>
  <c r="P35" i="32"/>
  <c r="AF34" i="32"/>
  <c r="AE34" i="32"/>
  <c r="Q34" i="32"/>
  <c r="P34" i="32"/>
  <c r="AF33" i="32"/>
  <c r="AE33" i="32"/>
  <c r="Q33" i="32"/>
  <c r="P33" i="32"/>
  <c r="AB32" i="32"/>
  <c r="AA32" i="32"/>
  <c r="Z32" i="32"/>
  <c r="Y32" i="32"/>
  <c r="X32" i="32"/>
  <c r="W32" i="32"/>
  <c r="V32" i="32"/>
  <c r="U32" i="32"/>
  <c r="T32" i="32"/>
  <c r="S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AF31" i="32"/>
  <c r="AE31" i="32"/>
  <c r="Q31" i="32"/>
  <c r="P31" i="32"/>
  <c r="AF30" i="32"/>
  <c r="AE30" i="32"/>
  <c r="Q30" i="32"/>
  <c r="P30" i="32"/>
  <c r="AF29" i="32"/>
  <c r="AE29" i="32"/>
  <c r="Q29" i="32"/>
  <c r="P29" i="32"/>
  <c r="AF28" i="32"/>
  <c r="AE28" i="32"/>
  <c r="Q28" i="32"/>
  <c r="P28" i="32"/>
  <c r="AF27" i="32"/>
  <c r="AE27" i="32"/>
  <c r="Q27" i="32"/>
  <c r="P27" i="32"/>
  <c r="AF26" i="32"/>
  <c r="AE26" i="32"/>
  <c r="Q26" i="32"/>
  <c r="P26" i="32"/>
  <c r="AF25" i="32"/>
  <c r="AE25" i="32"/>
  <c r="Q25" i="32"/>
  <c r="P25" i="32"/>
  <c r="AF24" i="32"/>
  <c r="AE24" i="32"/>
  <c r="Q24" i="32"/>
  <c r="P24" i="32"/>
  <c r="AF23" i="32"/>
  <c r="AX23" i="32" s="1"/>
  <c r="AE23" i="32"/>
  <c r="Q23" i="32"/>
  <c r="P23" i="32"/>
  <c r="AF22" i="32"/>
  <c r="AE22" i="32"/>
  <c r="Q22" i="32"/>
  <c r="P22" i="32"/>
  <c r="AB21" i="32"/>
  <c r="AA21" i="32"/>
  <c r="Z21" i="32"/>
  <c r="Y21" i="32"/>
  <c r="X21" i="32"/>
  <c r="W21" i="32"/>
  <c r="V21" i="32"/>
  <c r="U21" i="32"/>
  <c r="T21" i="32"/>
  <c r="S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AF19" i="32"/>
  <c r="AE19" i="32"/>
  <c r="Q19" i="32"/>
  <c r="P19" i="32"/>
  <c r="AF18" i="32"/>
  <c r="AE18" i="32"/>
  <c r="Q18" i="32"/>
  <c r="P18" i="32"/>
  <c r="AF17" i="32"/>
  <c r="AE17" i="32"/>
  <c r="Q17" i="32"/>
  <c r="P17" i="32"/>
  <c r="AF16" i="32"/>
  <c r="AE16" i="32"/>
  <c r="Q16" i="32"/>
  <c r="P16" i="32"/>
  <c r="AF15" i="32"/>
  <c r="AE15" i="32"/>
  <c r="Q15" i="32"/>
  <c r="P15" i="32"/>
  <c r="AF14" i="32"/>
  <c r="AE14" i="32"/>
  <c r="Q14" i="32"/>
  <c r="P14" i="32"/>
  <c r="AF13" i="32"/>
  <c r="AE13" i="32"/>
  <c r="Q13" i="32"/>
  <c r="P13" i="32"/>
  <c r="AF12" i="32"/>
  <c r="AE12" i="32"/>
  <c r="Q12" i="32"/>
  <c r="P12" i="32"/>
  <c r="AF11" i="32"/>
  <c r="AE11" i="32"/>
  <c r="Q11" i="32"/>
  <c r="P11" i="32"/>
  <c r="AF10" i="32"/>
  <c r="AE10" i="32"/>
  <c r="Q10" i="32"/>
  <c r="P10" i="32"/>
  <c r="AF9" i="32"/>
  <c r="AE9" i="32"/>
  <c r="Q9" i="32"/>
  <c r="P9" i="32"/>
  <c r="AF8" i="32"/>
  <c r="AE8" i="32"/>
  <c r="Q8" i="32"/>
  <c r="P8" i="32"/>
  <c r="AF7" i="32"/>
  <c r="AE7" i="32"/>
  <c r="Q7" i="32"/>
  <c r="P7" i="32"/>
  <c r="AF6" i="32"/>
  <c r="AE6" i="32"/>
  <c r="Q6" i="32"/>
  <c r="P6" i="32"/>
  <c r="AF5" i="32"/>
  <c r="AE5" i="32"/>
  <c r="Q5" i="32"/>
  <c r="P5" i="32"/>
  <c r="AB4" i="32"/>
  <c r="AA4" i="32"/>
  <c r="Z4" i="32"/>
  <c r="Y4" i="32"/>
  <c r="X4" i="32"/>
  <c r="W4" i="32"/>
  <c r="V4" i="32"/>
  <c r="U4" i="32"/>
  <c r="T4" i="32"/>
  <c r="S4" i="32"/>
  <c r="O4" i="32"/>
  <c r="N4" i="32"/>
  <c r="M4" i="32"/>
  <c r="L4" i="32"/>
  <c r="K4" i="32"/>
  <c r="J4" i="32"/>
  <c r="I4" i="32"/>
  <c r="H4" i="32"/>
  <c r="G4" i="32"/>
  <c r="F4" i="32"/>
  <c r="E4" i="32"/>
  <c r="D4" i="32"/>
  <c r="R119" i="17"/>
  <c r="Z116" i="17"/>
  <c r="Z115" i="17"/>
  <c r="Z114" i="17"/>
  <c r="Z113" i="17"/>
  <c r="Z112" i="17"/>
  <c r="Z111" i="17"/>
  <c r="Z110" i="17"/>
  <c r="Z109" i="17"/>
  <c r="Z108" i="17"/>
  <c r="Z107" i="17"/>
  <c r="Z106" i="17"/>
  <c r="Z105" i="17"/>
  <c r="Z104" i="17"/>
  <c r="Z103" i="17"/>
  <c r="Z102" i="17"/>
  <c r="Z101" i="17"/>
  <c r="Z100" i="17"/>
  <c r="Z99" i="17"/>
  <c r="Z98" i="17"/>
  <c r="Z97" i="17"/>
  <c r="Z96" i="17"/>
  <c r="Z95" i="17"/>
  <c r="Z94" i="17"/>
  <c r="Z93" i="17"/>
  <c r="Z92" i="17"/>
  <c r="Z91" i="17"/>
  <c r="Z90" i="17"/>
  <c r="Z89" i="17"/>
  <c r="Z88" i="17"/>
  <c r="Z87" i="17"/>
  <c r="Z86" i="17"/>
  <c r="Z85" i="17"/>
  <c r="Z84" i="17"/>
  <c r="Z83" i="17"/>
  <c r="Z82" i="17"/>
  <c r="Z81" i="17"/>
  <c r="Z80" i="17"/>
  <c r="Z79" i="17"/>
  <c r="Z78" i="17"/>
  <c r="Z77" i="17"/>
  <c r="Z76" i="17"/>
  <c r="Z75" i="17"/>
  <c r="Z74" i="17"/>
  <c r="Z73" i="17"/>
  <c r="Z72" i="17"/>
  <c r="Z71" i="17"/>
  <c r="Z70" i="17"/>
  <c r="Z69" i="17"/>
  <c r="Z68" i="17"/>
  <c r="Z67" i="17"/>
  <c r="Z66" i="17"/>
  <c r="Z65" i="17"/>
  <c r="Z64" i="17"/>
  <c r="Z63" i="17"/>
  <c r="Z62" i="17"/>
  <c r="Z60" i="17"/>
  <c r="Z59" i="17"/>
  <c r="Z58" i="17"/>
  <c r="Z57" i="17"/>
  <c r="Z56" i="17"/>
  <c r="Z55" i="17"/>
  <c r="Z54" i="17"/>
  <c r="Z53" i="17"/>
  <c r="Z52" i="17"/>
  <c r="Z51" i="17"/>
  <c r="Z50" i="17"/>
  <c r="Z49" i="17"/>
  <c r="Z48" i="17"/>
  <c r="Z47" i="17"/>
  <c r="Z46" i="17"/>
  <c r="Z45" i="17"/>
  <c r="Z43" i="17"/>
  <c r="Z42" i="17"/>
  <c r="Z41" i="17"/>
  <c r="Z40" i="17"/>
  <c r="Z39" i="17"/>
  <c r="Z38" i="17"/>
  <c r="Z37" i="17"/>
  <c r="Z36" i="17"/>
  <c r="Z35" i="17"/>
  <c r="Z34" i="17"/>
  <c r="Z33" i="17"/>
  <c r="Z32" i="17"/>
  <c r="Z31" i="17"/>
  <c r="Z30" i="17"/>
  <c r="Z29" i="17"/>
  <c r="Z28" i="17"/>
  <c r="Z27" i="17"/>
  <c r="Z26" i="17"/>
  <c r="Z25" i="17"/>
  <c r="Z24" i="17"/>
  <c r="Z18" i="17"/>
  <c r="Z17" i="17"/>
  <c r="Z16" i="17"/>
  <c r="Z15" i="17"/>
  <c r="Z14" i="17"/>
  <c r="Z13" i="17"/>
  <c r="Z12" i="17"/>
  <c r="Z11" i="17"/>
  <c r="Z10" i="17"/>
  <c r="Z9" i="17"/>
  <c r="BB27" i="43"/>
  <c r="BB26" i="43"/>
  <c r="BB14" i="43"/>
  <c r="BC14" i="43" s="1"/>
  <c r="AU20" i="43"/>
  <c r="BB16" i="43"/>
  <c r="BC16" i="43" s="1"/>
  <c r="BT7" i="43"/>
  <c r="BU7" i="43" s="1"/>
  <c r="BB7" i="43"/>
  <c r="BC7" i="43" s="1"/>
  <c r="BT6" i="43"/>
  <c r="BU6" i="43" s="1"/>
  <c r="BT5" i="43"/>
  <c r="BU5" i="43" s="1"/>
  <c r="AX3" i="43"/>
  <c r="AT510" i="24"/>
  <c r="AU510" i="24" s="1"/>
  <c r="AE510" i="24"/>
  <c r="AF510" i="24" s="1"/>
  <c r="P510" i="24"/>
  <c r="Q510" i="24" s="1"/>
  <c r="AT509" i="24"/>
  <c r="AU509" i="24" s="1"/>
  <c r="AE509" i="24"/>
  <c r="AF509" i="24" s="1"/>
  <c r="P509" i="24"/>
  <c r="Q509" i="24" s="1"/>
  <c r="AT508" i="24"/>
  <c r="AU508" i="24" s="1"/>
  <c r="AE508" i="24"/>
  <c r="AF508" i="24" s="1"/>
  <c r="P508" i="24"/>
  <c r="Q508" i="24" s="1"/>
  <c r="AT507" i="24"/>
  <c r="AU507" i="24" s="1"/>
  <c r="AE507" i="24"/>
  <c r="AF507" i="24" s="1"/>
  <c r="P507" i="24"/>
  <c r="Q507" i="24" s="1"/>
  <c r="AT506" i="24"/>
  <c r="AU506" i="24" s="1"/>
  <c r="AE506" i="24"/>
  <c r="AF506" i="24" s="1"/>
  <c r="P506" i="24"/>
  <c r="Q506" i="24" s="1"/>
  <c r="AT505" i="24"/>
  <c r="AU505" i="24" s="1"/>
  <c r="AE505" i="24"/>
  <c r="AF505" i="24" s="1"/>
  <c r="P505" i="24"/>
  <c r="Q505" i="24" s="1"/>
  <c r="AT504" i="24"/>
  <c r="AU504" i="24" s="1"/>
  <c r="AE504" i="24"/>
  <c r="AF504" i="24" s="1"/>
  <c r="P504" i="24"/>
  <c r="Q504" i="24" s="1"/>
  <c r="AT503" i="24"/>
  <c r="AU503" i="24" s="1"/>
  <c r="AE503" i="24"/>
  <c r="AF503" i="24" s="1"/>
  <c r="P503" i="24"/>
  <c r="Q503" i="24" s="1"/>
  <c r="AD502" i="24"/>
  <c r="AC502" i="24"/>
  <c r="AB502" i="24"/>
  <c r="AA502" i="24"/>
  <c r="Z502" i="24"/>
  <c r="Y502" i="24"/>
  <c r="X502" i="24"/>
  <c r="W502" i="24"/>
  <c r="V502" i="24"/>
  <c r="U502" i="24"/>
  <c r="T502" i="24"/>
  <c r="S502" i="24"/>
  <c r="O502" i="24"/>
  <c r="N502" i="24"/>
  <c r="M502" i="24"/>
  <c r="L502" i="24"/>
  <c r="K502" i="24"/>
  <c r="J502" i="24"/>
  <c r="I502" i="24"/>
  <c r="H502" i="24"/>
  <c r="G502" i="24"/>
  <c r="F502" i="24"/>
  <c r="E502" i="24"/>
  <c r="D502" i="24"/>
  <c r="AD501" i="24"/>
  <c r="AC501" i="24"/>
  <c r="AB501" i="24"/>
  <c r="AA501" i="24"/>
  <c r="Z501" i="24"/>
  <c r="Y501" i="24"/>
  <c r="X501" i="24"/>
  <c r="W501" i="24"/>
  <c r="V501" i="24"/>
  <c r="U501" i="24"/>
  <c r="T501" i="24"/>
  <c r="S501" i="24"/>
  <c r="O501" i="24"/>
  <c r="N501" i="24"/>
  <c r="M501" i="24"/>
  <c r="L501" i="24"/>
  <c r="K501" i="24"/>
  <c r="J501" i="24"/>
  <c r="I501" i="24"/>
  <c r="H501" i="24"/>
  <c r="G501" i="24"/>
  <c r="F501" i="24"/>
  <c r="E501" i="24"/>
  <c r="D501" i="24"/>
  <c r="AD500" i="24"/>
  <c r="AC500" i="24"/>
  <c r="AB500" i="24"/>
  <c r="AA500" i="24"/>
  <c r="Z500" i="24"/>
  <c r="Y500" i="24"/>
  <c r="X500" i="24"/>
  <c r="W500" i="24"/>
  <c r="V500" i="24"/>
  <c r="U500" i="24"/>
  <c r="T500" i="24"/>
  <c r="S500" i="24"/>
  <c r="O500" i="24"/>
  <c r="N500" i="24"/>
  <c r="M500" i="24"/>
  <c r="L500" i="24"/>
  <c r="K500" i="24"/>
  <c r="J500" i="24"/>
  <c r="I500" i="24"/>
  <c r="H500" i="24"/>
  <c r="G500" i="24"/>
  <c r="F500" i="24"/>
  <c r="E500" i="24"/>
  <c r="D500" i="24"/>
  <c r="AD499" i="24"/>
  <c r="AC499" i="24"/>
  <c r="AB499" i="24"/>
  <c r="AA499" i="24"/>
  <c r="Z499" i="24"/>
  <c r="Y499" i="24"/>
  <c r="X499" i="24"/>
  <c r="W499" i="24"/>
  <c r="V499" i="24"/>
  <c r="U499" i="24"/>
  <c r="T499" i="24"/>
  <c r="S499" i="24"/>
  <c r="O499" i="24"/>
  <c r="N499" i="24"/>
  <c r="M499" i="24"/>
  <c r="L499" i="24"/>
  <c r="K499" i="24"/>
  <c r="J499" i="24"/>
  <c r="I499" i="24"/>
  <c r="H499" i="24"/>
  <c r="G499" i="24"/>
  <c r="F499" i="24"/>
  <c r="E499" i="24"/>
  <c r="D499" i="24"/>
  <c r="AD498" i="24"/>
  <c r="AC498" i="24"/>
  <c r="AB498" i="24"/>
  <c r="AA498" i="24"/>
  <c r="Z498" i="24"/>
  <c r="Y498" i="24"/>
  <c r="X498" i="24"/>
  <c r="W498" i="24"/>
  <c r="V498" i="24"/>
  <c r="U498" i="24"/>
  <c r="T498" i="24"/>
  <c r="S498" i="24"/>
  <c r="O498" i="24"/>
  <c r="N498" i="24"/>
  <c r="M498" i="24"/>
  <c r="L498" i="24"/>
  <c r="K498" i="24"/>
  <c r="J498" i="24"/>
  <c r="I498" i="24"/>
  <c r="H498" i="24"/>
  <c r="G498" i="24"/>
  <c r="F498" i="24"/>
  <c r="E498" i="24"/>
  <c r="D498" i="24"/>
  <c r="AT497" i="24"/>
  <c r="AU497" i="24" s="1"/>
  <c r="AE497" i="24"/>
  <c r="AF497" i="24" s="1"/>
  <c r="P497" i="24"/>
  <c r="Q497" i="24" s="1"/>
  <c r="AT496" i="24"/>
  <c r="AU496" i="24" s="1"/>
  <c r="AE496" i="24"/>
  <c r="AF496" i="24" s="1"/>
  <c r="P496" i="24"/>
  <c r="Q496" i="24" s="1"/>
  <c r="AT495" i="24"/>
  <c r="AU495" i="24" s="1"/>
  <c r="AE495" i="24"/>
  <c r="AF495" i="24" s="1"/>
  <c r="P495" i="24"/>
  <c r="Q495" i="24" s="1"/>
  <c r="AT494" i="24"/>
  <c r="AU494" i="24" s="1"/>
  <c r="AE494" i="24"/>
  <c r="AF494" i="24" s="1"/>
  <c r="P494" i="24"/>
  <c r="Q494" i="24" s="1"/>
  <c r="AT493" i="24"/>
  <c r="AU493" i="24" s="1"/>
  <c r="AE493" i="24"/>
  <c r="AF493" i="24" s="1"/>
  <c r="P493" i="24"/>
  <c r="Q493" i="24" s="1"/>
  <c r="AT492" i="24"/>
  <c r="AU492" i="24" s="1"/>
  <c r="AE492" i="24"/>
  <c r="AF492" i="24" s="1"/>
  <c r="P492" i="24"/>
  <c r="Q492" i="24" s="1"/>
  <c r="AT491" i="24"/>
  <c r="AU491" i="24" s="1"/>
  <c r="AE491" i="24"/>
  <c r="AF491" i="24" s="1"/>
  <c r="P491" i="24"/>
  <c r="Q491" i="24" s="1"/>
  <c r="AT490" i="24"/>
  <c r="AU490" i="24" s="1"/>
  <c r="AE490" i="24"/>
  <c r="AF490" i="24" s="1"/>
  <c r="P490" i="24"/>
  <c r="Q490" i="24" s="1"/>
  <c r="AT489" i="24"/>
  <c r="AU489" i="24" s="1"/>
  <c r="AE489" i="24"/>
  <c r="AF489" i="24" s="1"/>
  <c r="P489" i="24"/>
  <c r="Q489" i="24" s="1"/>
  <c r="AT488" i="24"/>
  <c r="AU488" i="24" s="1"/>
  <c r="AE488" i="24"/>
  <c r="AF488" i="24" s="1"/>
  <c r="P488" i="24"/>
  <c r="Q488" i="24" s="1"/>
  <c r="AD487" i="24"/>
  <c r="AC487" i="24"/>
  <c r="AB487" i="24"/>
  <c r="AA487" i="24"/>
  <c r="Z487" i="24"/>
  <c r="Y487" i="24"/>
  <c r="X487" i="24"/>
  <c r="W487" i="24"/>
  <c r="V487" i="24"/>
  <c r="U487" i="24"/>
  <c r="T487" i="24"/>
  <c r="S487" i="24"/>
  <c r="O487" i="24"/>
  <c r="N487" i="24"/>
  <c r="M487" i="24"/>
  <c r="L487" i="24"/>
  <c r="K487" i="24"/>
  <c r="J487" i="24"/>
  <c r="I487" i="24"/>
  <c r="H487" i="24"/>
  <c r="G487" i="24"/>
  <c r="F487" i="24"/>
  <c r="E487" i="24"/>
  <c r="D487" i="24"/>
  <c r="AD486" i="24"/>
  <c r="AC486" i="24"/>
  <c r="AB486" i="24"/>
  <c r="AA486" i="24"/>
  <c r="Z486" i="24"/>
  <c r="Y486" i="24"/>
  <c r="X486" i="24"/>
  <c r="W486" i="24"/>
  <c r="V486" i="24"/>
  <c r="U486" i="24"/>
  <c r="T486" i="24"/>
  <c r="S486" i="24"/>
  <c r="O486" i="24"/>
  <c r="N486" i="24"/>
  <c r="M486" i="24"/>
  <c r="L486" i="24"/>
  <c r="K486" i="24"/>
  <c r="J486" i="24"/>
  <c r="I486" i="24"/>
  <c r="H486" i="24"/>
  <c r="G486" i="24"/>
  <c r="F486" i="24"/>
  <c r="E486" i="24"/>
  <c r="D486" i="24"/>
  <c r="AD485" i="24"/>
  <c r="AC485" i="24"/>
  <c r="AB485" i="24"/>
  <c r="AA485" i="24"/>
  <c r="Z485" i="24"/>
  <c r="Y485" i="24"/>
  <c r="X485" i="24"/>
  <c r="W485" i="24"/>
  <c r="V485" i="24"/>
  <c r="U485" i="24"/>
  <c r="T485" i="24"/>
  <c r="S485" i="24"/>
  <c r="O485" i="24"/>
  <c r="N485" i="24"/>
  <c r="M485" i="24"/>
  <c r="L485" i="24"/>
  <c r="K485" i="24"/>
  <c r="J485" i="24"/>
  <c r="I485" i="24"/>
  <c r="H485" i="24"/>
  <c r="G485" i="24"/>
  <c r="F485" i="24"/>
  <c r="E485" i="24"/>
  <c r="D485" i="24"/>
  <c r="AD484" i="24"/>
  <c r="AC484" i="24"/>
  <c r="AB484" i="24"/>
  <c r="AA484" i="24"/>
  <c r="Z484" i="24"/>
  <c r="Y484" i="24"/>
  <c r="X484" i="24"/>
  <c r="W484" i="24"/>
  <c r="V484" i="24"/>
  <c r="U484" i="24"/>
  <c r="T484" i="24"/>
  <c r="S484" i="24"/>
  <c r="O484" i="24"/>
  <c r="N484" i="24"/>
  <c r="M484" i="24"/>
  <c r="L484" i="24"/>
  <c r="K484" i="24"/>
  <c r="J484" i="24"/>
  <c r="I484" i="24"/>
  <c r="H484" i="24"/>
  <c r="G484" i="24"/>
  <c r="F484" i="24"/>
  <c r="E484" i="24"/>
  <c r="D484" i="24"/>
  <c r="AD483" i="24"/>
  <c r="AC483" i="24"/>
  <c r="AB483" i="24"/>
  <c r="AA483" i="24"/>
  <c r="Z483" i="24"/>
  <c r="Y483" i="24"/>
  <c r="X483" i="24"/>
  <c r="W483" i="24"/>
  <c r="V483" i="24"/>
  <c r="U483" i="24"/>
  <c r="T483" i="24"/>
  <c r="S483" i="24"/>
  <c r="O483" i="24"/>
  <c r="N483" i="24"/>
  <c r="M483" i="24"/>
  <c r="L483" i="24"/>
  <c r="K483" i="24"/>
  <c r="J483" i="24"/>
  <c r="I483" i="24"/>
  <c r="H483" i="24"/>
  <c r="G483" i="24"/>
  <c r="F483" i="24"/>
  <c r="E483" i="24"/>
  <c r="D483" i="24"/>
  <c r="AT482" i="24"/>
  <c r="AU482" i="24" s="1"/>
  <c r="AE482" i="24"/>
  <c r="AF482" i="24" s="1"/>
  <c r="P482" i="24"/>
  <c r="Q482" i="24" s="1"/>
  <c r="AT481" i="24"/>
  <c r="AU481" i="24" s="1"/>
  <c r="AE481" i="24"/>
  <c r="AF481" i="24" s="1"/>
  <c r="P481" i="24"/>
  <c r="Q481" i="24" s="1"/>
  <c r="AT479" i="24"/>
  <c r="AU479" i="24" s="1"/>
  <c r="AE479" i="24"/>
  <c r="AF479" i="24" s="1"/>
  <c r="P479" i="24"/>
  <c r="Q479" i="24" s="1"/>
  <c r="AD478" i="24"/>
  <c r="AC478" i="24"/>
  <c r="AB478" i="24"/>
  <c r="AA478" i="24"/>
  <c r="Z478" i="24"/>
  <c r="Y478" i="24"/>
  <c r="X478" i="24"/>
  <c r="W478" i="24"/>
  <c r="V478" i="24"/>
  <c r="U478" i="24"/>
  <c r="T478" i="24"/>
  <c r="S478" i="24"/>
  <c r="O478" i="24"/>
  <c r="N478" i="24"/>
  <c r="M478" i="24"/>
  <c r="L478" i="24"/>
  <c r="K478" i="24"/>
  <c r="J478" i="24"/>
  <c r="I478" i="24"/>
  <c r="H478" i="24"/>
  <c r="G478" i="24"/>
  <c r="F478" i="24"/>
  <c r="E478" i="24"/>
  <c r="D478" i="24"/>
  <c r="AU469" i="24"/>
  <c r="AF469" i="24"/>
  <c r="AU468" i="24"/>
  <c r="AF468" i="24"/>
  <c r="AU467" i="24"/>
  <c r="AF467" i="24"/>
  <c r="AU465" i="24"/>
  <c r="AF465" i="24"/>
  <c r="AF464" i="24"/>
  <c r="AT462" i="24"/>
  <c r="AU462" i="24" s="1"/>
  <c r="AE462" i="24"/>
  <c r="AF462" i="24" s="1"/>
  <c r="P462" i="24"/>
  <c r="Q462" i="24" s="1"/>
  <c r="AT461" i="24"/>
  <c r="AU461" i="24" s="1"/>
  <c r="AE461" i="24"/>
  <c r="AF461" i="24" s="1"/>
  <c r="P461" i="24"/>
  <c r="Q461" i="24" s="1"/>
  <c r="AT460" i="24"/>
  <c r="AU460" i="24" s="1"/>
  <c r="AE460" i="24"/>
  <c r="AF460" i="24" s="1"/>
  <c r="P460" i="24"/>
  <c r="Q460" i="24" s="1"/>
  <c r="AT459" i="24"/>
  <c r="AU459" i="24" s="1"/>
  <c r="AE459" i="24"/>
  <c r="AF459" i="24" s="1"/>
  <c r="P459" i="24"/>
  <c r="Q459" i="24" s="1"/>
  <c r="AT458" i="24"/>
  <c r="AU458" i="24" s="1"/>
  <c r="AE458" i="24"/>
  <c r="AF458" i="24" s="1"/>
  <c r="P458" i="24"/>
  <c r="Q458" i="24" s="1"/>
  <c r="AT457" i="24"/>
  <c r="AU457" i="24" s="1"/>
  <c r="AE457" i="24"/>
  <c r="AF457" i="24" s="1"/>
  <c r="P457" i="24"/>
  <c r="Q457" i="24" s="1"/>
  <c r="AT456" i="24"/>
  <c r="AU456" i="24" s="1"/>
  <c r="AE456" i="24"/>
  <c r="AF456" i="24" s="1"/>
  <c r="P456" i="24"/>
  <c r="Q456" i="24" s="1"/>
  <c r="AT455" i="24"/>
  <c r="AU455" i="24" s="1"/>
  <c r="AE455" i="24"/>
  <c r="AF455" i="24" s="1"/>
  <c r="P455" i="24"/>
  <c r="Q455" i="24" s="1"/>
  <c r="AD454" i="24"/>
  <c r="AC454" i="24"/>
  <c r="AB454" i="24"/>
  <c r="AA454" i="24"/>
  <c r="Z454" i="24"/>
  <c r="Y454" i="24"/>
  <c r="X454" i="24"/>
  <c r="W454" i="24"/>
  <c r="V454" i="24"/>
  <c r="U454" i="24"/>
  <c r="T454" i="24"/>
  <c r="S454" i="24"/>
  <c r="O454" i="24"/>
  <c r="N454" i="24"/>
  <c r="M454" i="24"/>
  <c r="L454" i="24"/>
  <c r="K454" i="24"/>
  <c r="J454" i="24"/>
  <c r="I454" i="24"/>
  <c r="H454" i="24"/>
  <c r="G454" i="24"/>
  <c r="F454" i="24"/>
  <c r="E454" i="24"/>
  <c r="D454" i="24"/>
  <c r="AD453" i="24"/>
  <c r="AC453" i="24"/>
  <c r="AB453" i="24"/>
  <c r="AA453" i="24"/>
  <c r="Z453" i="24"/>
  <c r="Y453" i="24"/>
  <c r="X453" i="24"/>
  <c r="W453" i="24"/>
  <c r="V453" i="24"/>
  <c r="U453" i="24"/>
  <c r="T453" i="24"/>
  <c r="S453" i="24"/>
  <c r="O453" i="24"/>
  <c r="N453" i="24"/>
  <c r="M453" i="24"/>
  <c r="L453" i="24"/>
  <c r="K453" i="24"/>
  <c r="J453" i="24"/>
  <c r="I453" i="24"/>
  <c r="H453" i="24"/>
  <c r="G453" i="24"/>
  <c r="F453" i="24"/>
  <c r="E453" i="24"/>
  <c r="D453" i="24"/>
  <c r="AD452" i="24"/>
  <c r="AC452" i="24"/>
  <c r="AB452" i="24"/>
  <c r="AA452" i="24"/>
  <c r="Z452" i="24"/>
  <c r="Y452" i="24"/>
  <c r="X452" i="24"/>
  <c r="W452" i="24"/>
  <c r="V452" i="24"/>
  <c r="U452" i="24"/>
  <c r="T452" i="24"/>
  <c r="S452" i="24"/>
  <c r="O452" i="24"/>
  <c r="N452" i="24"/>
  <c r="M452" i="24"/>
  <c r="L452" i="24"/>
  <c r="K452" i="24"/>
  <c r="J452" i="24"/>
  <c r="I452" i="24"/>
  <c r="H452" i="24"/>
  <c r="G452" i="24"/>
  <c r="F452" i="24"/>
  <c r="E452" i="24"/>
  <c r="D452" i="24"/>
  <c r="AD451" i="24"/>
  <c r="AC451" i="24"/>
  <c r="AB451" i="24"/>
  <c r="AA451" i="24"/>
  <c r="Z451" i="24"/>
  <c r="Y451" i="24"/>
  <c r="X451" i="24"/>
  <c r="W451" i="24"/>
  <c r="V451" i="24"/>
  <c r="U451" i="24"/>
  <c r="T451" i="24"/>
  <c r="S451" i="24"/>
  <c r="O451" i="24"/>
  <c r="N451" i="24"/>
  <c r="M451" i="24"/>
  <c r="L451" i="24"/>
  <c r="K451" i="24"/>
  <c r="J451" i="24"/>
  <c r="I451" i="24"/>
  <c r="H451" i="24"/>
  <c r="G451" i="24"/>
  <c r="F451" i="24"/>
  <c r="E451" i="24"/>
  <c r="D451" i="24"/>
  <c r="AD450" i="24"/>
  <c r="AC450" i="24"/>
  <c r="AB450" i="24"/>
  <c r="AA450" i="24"/>
  <c r="Z450" i="24"/>
  <c r="Y450" i="24"/>
  <c r="X450" i="24"/>
  <c r="W450" i="24"/>
  <c r="V450" i="24"/>
  <c r="U450" i="24"/>
  <c r="T450" i="24"/>
  <c r="S450" i="24"/>
  <c r="O450" i="24"/>
  <c r="N450" i="24"/>
  <c r="M450" i="24"/>
  <c r="L450" i="24"/>
  <c r="K450" i="24"/>
  <c r="J450" i="24"/>
  <c r="I450" i="24"/>
  <c r="H450" i="24"/>
  <c r="G450" i="24"/>
  <c r="F450" i="24"/>
  <c r="E450" i="24"/>
  <c r="D450" i="24"/>
  <c r="AT449" i="24"/>
  <c r="AU449" i="24" s="1"/>
  <c r="AE449" i="24"/>
  <c r="AF449" i="24" s="1"/>
  <c r="P449" i="24"/>
  <c r="Q449" i="24" s="1"/>
  <c r="AT448" i="24"/>
  <c r="AU448" i="24" s="1"/>
  <c r="AE448" i="24"/>
  <c r="AF448" i="24" s="1"/>
  <c r="P448" i="24"/>
  <c r="Q448" i="24" s="1"/>
  <c r="AT447" i="24"/>
  <c r="AU447" i="24" s="1"/>
  <c r="AE447" i="24"/>
  <c r="AF447" i="24" s="1"/>
  <c r="P447" i="24"/>
  <c r="Q447" i="24" s="1"/>
  <c r="AT446" i="24"/>
  <c r="AU446" i="24" s="1"/>
  <c r="AE446" i="24"/>
  <c r="AF446" i="24" s="1"/>
  <c r="P446" i="24"/>
  <c r="Q446" i="24" s="1"/>
  <c r="AT445" i="24"/>
  <c r="AU445" i="24" s="1"/>
  <c r="AE445" i="24"/>
  <c r="AF445" i="24" s="1"/>
  <c r="P445" i="24"/>
  <c r="Q445" i="24" s="1"/>
  <c r="AT444" i="24"/>
  <c r="AU444" i="24" s="1"/>
  <c r="AE444" i="24"/>
  <c r="AF444" i="24" s="1"/>
  <c r="P444" i="24"/>
  <c r="Q444" i="24" s="1"/>
  <c r="AT443" i="24"/>
  <c r="AU443" i="24" s="1"/>
  <c r="AE443" i="24"/>
  <c r="AF443" i="24" s="1"/>
  <c r="P443" i="24"/>
  <c r="Q443" i="24" s="1"/>
  <c r="AT442" i="24"/>
  <c r="AU442" i="24" s="1"/>
  <c r="AE442" i="24"/>
  <c r="AF442" i="24" s="1"/>
  <c r="P442" i="24"/>
  <c r="Q442" i="24" s="1"/>
  <c r="AT441" i="24"/>
  <c r="AU441" i="24" s="1"/>
  <c r="AE441" i="24"/>
  <c r="AF441" i="24" s="1"/>
  <c r="P441" i="24"/>
  <c r="Q441" i="24" s="1"/>
  <c r="AT440" i="24"/>
  <c r="AU440" i="24" s="1"/>
  <c r="AE440" i="24"/>
  <c r="AF440" i="24" s="1"/>
  <c r="P440" i="24"/>
  <c r="Q440" i="24" s="1"/>
  <c r="AD439" i="24"/>
  <c r="AC439" i="24"/>
  <c r="AB439" i="24"/>
  <c r="AA439" i="24"/>
  <c r="Z439" i="24"/>
  <c r="Y439" i="24"/>
  <c r="X439" i="24"/>
  <c r="W439" i="24"/>
  <c r="V439" i="24"/>
  <c r="U439" i="24"/>
  <c r="T439" i="24"/>
  <c r="S439" i="24"/>
  <c r="O439" i="24"/>
  <c r="N439" i="24"/>
  <c r="M439" i="24"/>
  <c r="L439" i="24"/>
  <c r="K439" i="24"/>
  <c r="J439" i="24"/>
  <c r="I439" i="24"/>
  <c r="H439" i="24"/>
  <c r="G439" i="24"/>
  <c r="F439" i="24"/>
  <c r="E439" i="24"/>
  <c r="D439" i="24"/>
  <c r="AD438" i="24"/>
  <c r="AC438" i="24"/>
  <c r="AB438" i="24"/>
  <c r="AA438" i="24"/>
  <c r="Z438" i="24"/>
  <c r="Y438" i="24"/>
  <c r="X438" i="24"/>
  <c r="W438" i="24"/>
  <c r="V438" i="24"/>
  <c r="U438" i="24"/>
  <c r="T438" i="24"/>
  <c r="S438" i="24"/>
  <c r="O438" i="24"/>
  <c r="N438" i="24"/>
  <c r="M438" i="24"/>
  <c r="L438" i="24"/>
  <c r="K438" i="24"/>
  <c r="J438" i="24"/>
  <c r="I438" i="24"/>
  <c r="H438" i="24"/>
  <c r="G438" i="24"/>
  <c r="F438" i="24"/>
  <c r="E438" i="24"/>
  <c r="D438" i="24"/>
  <c r="AD437" i="24"/>
  <c r="AC437" i="24"/>
  <c r="AB437" i="24"/>
  <c r="AA437" i="24"/>
  <c r="Z437" i="24"/>
  <c r="Y437" i="24"/>
  <c r="X437" i="24"/>
  <c r="W437" i="24"/>
  <c r="V437" i="24"/>
  <c r="U437" i="24"/>
  <c r="T437" i="24"/>
  <c r="S437" i="24"/>
  <c r="O437" i="24"/>
  <c r="N437" i="24"/>
  <c r="M437" i="24"/>
  <c r="L437" i="24"/>
  <c r="K437" i="24"/>
  <c r="J437" i="24"/>
  <c r="I437" i="24"/>
  <c r="H437" i="24"/>
  <c r="G437" i="24"/>
  <c r="F437" i="24"/>
  <c r="E437" i="24"/>
  <c r="D437" i="24"/>
  <c r="AD436" i="24"/>
  <c r="AC436" i="24"/>
  <c r="AB436" i="24"/>
  <c r="AA436" i="24"/>
  <c r="Z436" i="24"/>
  <c r="Y436" i="24"/>
  <c r="X436" i="24"/>
  <c r="W436" i="24"/>
  <c r="V436" i="24"/>
  <c r="U436" i="24"/>
  <c r="T436" i="24"/>
  <c r="S436" i="24"/>
  <c r="O436" i="24"/>
  <c r="N436" i="24"/>
  <c r="M436" i="24"/>
  <c r="L436" i="24"/>
  <c r="K436" i="24"/>
  <c r="J436" i="24"/>
  <c r="I436" i="24"/>
  <c r="H436" i="24"/>
  <c r="G436" i="24"/>
  <c r="F436" i="24"/>
  <c r="E436" i="24"/>
  <c r="D436" i="24"/>
  <c r="AD435" i="24"/>
  <c r="AC435" i="24"/>
  <c r="AB435" i="24"/>
  <c r="AA435" i="24"/>
  <c r="Z435" i="24"/>
  <c r="Y435" i="24"/>
  <c r="X435" i="24"/>
  <c r="W435" i="24"/>
  <c r="V435" i="24"/>
  <c r="U435" i="24"/>
  <c r="T435" i="24"/>
  <c r="S435" i="24"/>
  <c r="O435" i="24"/>
  <c r="N435" i="24"/>
  <c r="M435" i="24"/>
  <c r="L435" i="24"/>
  <c r="K435" i="24"/>
  <c r="J435" i="24"/>
  <c r="I435" i="24"/>
  <c r="H435" i="24"/>
  <c r="G435" i="24"/>
  <c r="F435" i="24"/>
  <c r="E435" i="24"/>
  <c r="D435" i="24"/>
  <c r="AT434" i="24"/>
  <c r="AU434" i="24" s="1"/>
  <c r="AE434" i="24"/>
  <c r="AF434" i="24" s="1"/>
  <c r="P434" i="24"/>
  <c r="Q434" i="24" s="1"/>
  <c r="AT433" i="24"/>
  <c r="AU433" i="24" s="1"/>
  <c r="AE433" i="24"/>
  <c r="AF433" i="24" s="1"/>
  <c r="P433" i="24"/>
  <c r="Q433" i="24" s="1"/>
  <c r="AT432" i="24"/>
  <c r="AU432" i="24" s="1"/>
  <c r="AE432" i="24"/>
  <c r="AF432" i="24" s="1"/>
  <c r="P432" i="24"/>
  <c r="Q432" i="24" s="1"/>
  <c r="AT431" i="24"/>
  <c r="AU431" i="24" s="1"/>
  <c r="AE431" i="24"/>
  <c r="AF431" i="24" s="1"/>
  <c r="P431" i="24"/>
  <c r="Q431" i="24" s="1"/>
  <c r="AT430" i="24"/>
  <c r="AU430" i="24" s="1"/>
  <c r="AE430" i="24"/>
  <c r="AF430" i="24" s="1"/>
  <c r="P430" i="24"/>
  <c r="Q430" i="24" s="1"/>
  <c r="AT429" i="24"/>
  <c r="AU429" i="24" s="1"/>
  <c r="AE429" i="24"/>
  <c r="AF429" i="24" s="1"/>
  <c r="P429" i="24"/>
  <c r="Q429" i="24" s="1"/>
  <c r="AT428" i="24"/>
  <c r="AU428" i="24" s="1"/>
  <c r="AE428" i="24"/>
  <c r="AF428" i="24" s="1"/>
  <c r="P428" i="24"/>
  <c r="Q428" i="24" s="1"/>
  <c r="AT427" i="24"/>
  <c r="AU427" i="24" s="1"/>
  <c r="AE427" i="24"/>
  <c r="AF427" i="24" s="1"/>
  <c r="P427" i="24"/>
  <c r="Q427" i="24" s="1"/>
  <c r="AT426" i="24"/>
  <c r="AU426" i="24" s="1"/>
  <c r="AE426" i="24"/>
  <c r="AF426" i="24" s="1"/>
  <c r="P426" i="24"/>
  <c r="Q426" i="24" s="1"/>
  <c r="AT425" i="24"/>
  <c r="AU425" i="24" s="1"/>
  <c r="AE425" i="24"/>
  <c r="AF425" i="24" s="1"/>
  <c r="P425" i="24"/>
  <c r="Q425" i="24" s="1"/>
  <c r="AD424" i="24"/>
  <c r="AC424" i="24"/>
  <c r="AB424" i="24"/>
  <c r="AA424" i="24"/>
  <c r="Z424" i="24"/>
  <c r="Y424" i="24"/>
  <c r="X424" i="24"/>
  <c r="W424" i="24"/>
  <c r="V424" i="24"/>
  <c r="U424" i="24"/>
  <c r="T424" i="24"/>
  <c r="S424" i="24"/>
  <c r="O424" i="24"/>
  <c r="N424" i="24"/>
  <c r="M424" i="24"/>
  <c r="L424" i="24"/>
  <c r="K424" i="24"/>
  <c r="J424" i="24"/>
  <c r="I424" i="24"/>
  <c r="H424" i="24"/>
  <c r="G424" i="24"/>
  <c r="F424" i="24"/>
  <c r="E424" i="24"/>
  <c r="D424" i="24"/>
  <c r="AD423" i="24"/>
  <c r="AC423" i="24"/>
  <c r="AB423" i="24"/>
  <c r="AA423" i="24"/>
  <c r="Z423" i="24"/>
  <c r="Y423" i="24"/>
  <c r="X423" i="24"/>
  <c r="W423" i="24"/>
  <c r="V423" i="24"/>
  <c r="U423" i="24"/>
  <c r="T423" i="24"/>
  <c r="S423" i="24"/>
  <c r="O423" i="24"/>
  <c r="N423" i="24"/>
  <c r="M423" i="24"/>
  <c r="L423" i="24"/>
  <c r="K423" i="24"/>
  <c r="J423" i="24"/>
  <c r="I423" i="24"/>
  <c r="H423" i="24"/>
  <c r="G423" i="24"/>
  <c r="F423" i="24"/>
  <c r="E423" i="24"/>
  <c r="D423" i="24"/>
  <c r="AD422" i="24"/>
  <c r="AC422" i="24"/>
  <c r="AB422" i="24"/>
  <c r="AA422" i="24"/>
  <c r="Z422" i="24"/>
  <c r="Y422" i="24"/>
  <c r="X422" i="24"/>
  <c r="W422" i="24"/>
  <c r="V422" i="24"/>
  <c r="U422" i="24"/>
  <c r="T422" i="24"/>
  <c r="S422" i="24"/>
  <c r="O422" i="24"/>
  <c r="N422" i="24"/>
  <c r="M422" i="24"/>
  <c r="L422" i="24"/>
  <c r="K422" i="24"/>
  <c r="J422" i="24"/>
  <c r="I422" i="24"/>
  <c r="H422" i="24"/>
  <c r="G422" i="24"/>
  <c r="F422" i="24"/>
  <c r="E422" i="24"/>
  <c r="D422" i="24"/>
  <c r="AD421" i="24"/>
  <c r="AC421" i="24"/>
  <c r="AB421" i="24"/>
  <c r="AA421" i="24"/>
  <c r="Z421" i="24"/>
  <c r="Y421" i="24"/>
  <c r="X421" i="24"/>
  <c r="W421" i="24"/>
  <c r="V421" i="24"/>
  <c r="U421" i="24"/>
  <c r="T421" i="24"/>
  <c r="S421" i="24"/>
  <c r="O421" i="24"/>
  <c r="N421" i="24"/>
  <c r="M421" i="24"/>
  <c r="L421" i="24"/>
  <c r="K421" i="24"/>
  <c r="J421" i="24"/>
  <c r="I421" i="24"/>
  <c r="H421" i="24"/>
  <c r="G421" i="24"/>
  <c r="F421" i="24"/>
  <c r="E421" i="24"/>
  <c r="D421" i="24"/>
  <c r="AD420" i="24"/>
  <c r="AC420" i="24"/>
  <c r="AB420" i="24"/>
  <c r="AA420" i="24"/>
  <c r="Z420" i="24"/>
  <c r="Y420" i="24"/>
  <c r="X420" i="24"/>
  <c r="W420" i="24"/>
  <c r="V420" i="24"/>
  <c r="U420" i="24"/>
  <c r="T420" i="24"/>
  <c r="S420" i="24"/>
  <c r="O420" i="24"/>
  <c r="N420" i="24"/>
  <c r="M420" i="24"/>
  <c r="L420" i="24"/>
  <c r="K420" i="24"/>
  <c r="J420" i="24"/>
  <c r="I420" i="24"/>
  <c r="H420" i="24"/>
  <c r="G420" i="24"/>
  <c r="F420" i="24"/>
  <c r="E420" i="24"/>
  <c r="D420" i="24"/>
  <c r="AT419" i="24"/>
  <c r="AU419" i="24" s="1"/>
  <c r="AE419" i="24"/>
  <c r="AF419" i="24" s="1"/>
  <c r="P419" i="24"/>
  <c r="Q419" i="24" s="1"/>
  <c r="AT418" i="24"/>
  <c r="AU418" i="24" s="1"/>
  <c r="AE418" i="24"/>
  <c r="AF418" i="24" s="1"/>
  <c r="P418" i="24"/>
  <c r="Q418" i="24" s="1"/>
  <c r="AT417" i="24"/>
  <c r="AU417" i="24" s="1"/>
  <c r="AE417" i="24"/>
  <c r="AF417" i="24" s="1"/>
  <c r="P417" i="24"/>
  <c r="Q417" i="24" s="1"/>
  <c r="AT416" i="24"/>
  <c r="AU416" i="24" s="1"/>
  <c r="AE416" i="24"/>
  <c r="AF416" i="24" s="1"/>
  <c r="P416" i="24"/>
  <c r="Q416" i="24" s="1"/>
  <c r="AT414" i="24"/>
  <c r="AU414" i="24" s="1"/>
  <c r="AE414" i="24"/>
  <c r="AF414" i="24" s="1"/>
  <c r="P414" i="24"/>
  <c r="Q414" i="24" s="1"/>
  <c r="AT413" i="24"/>
  <c r="AU413" i="24" s="1"/>
  <c r="AE413" i="24"/>
  <c r="AF413" i="24" s="1"/>
  <c r="P413" i="24"/>
  <c r="Q413" i="24" s="1"/>
  <c r="AT412" i="24"/>
  <c r="AU412" i="24" s="1"/>
  <c r="AE412" i="24"/>
  <c r="AF412" i="24" s="1"/>
  <c r="P412" i="24"/>
  <c r="Q412" i="24" s="1"/>
  <c r="AD411" i="24"/>
  <c r="AC411" i="24"/>
  <c r="AB411" i="24"/>
  <c r="AA411" i="24"/>
  <c r="Z411" i="24"/>
  <c r="Y411" i="24"/>
  <c r="X411" i="24"/>
  <c r="W411" i="24"/>
  <c r="V411" i="24"/>
  <c r="U411" i="24"/>
  <c r="T411" i="24"/>
  <c r="S411" i="24"/>
  <c r="O411" i="24"/>
  <c r="N411" i="24"/>
  <c r="M411" i="24"/>
  <c r="L411" i="24"/>
  <c r="K411" i="24"/>
  <c r="J411" i="24"/>
  <c r="I411" i="24"/>
  <c r="H411" i="24"/>
  <c r="G411" i="24"/>
  <c r="F411" i="24"/>
  <c r="E411" i="24"/>
  <c r="D411" i="24"/>
  <c r="AT354" i="24"/>
  <c r="AU354" i="24" s="1"/>
  <c r="BN354" i="24" s="1"/>
  <c r="AE354" i="24"/>
  <c r="AF354" i="24" s="1"/>
  <c r="P354" i="24"/>
  <c r="Q354" i="24" s="1"/>
  <c r="AT353" i="24"/>
  <c r="AU353" i="24" s="1"/>
  <c r="BN353" i="24" s="1"/>
  <c r="AE353" i="24"/>
  <c r="AF353" i="24" s="1"/>
  <c r="P353" i="24"/>
  <c r="Q353" i="24" s="1"/>
  <c r="AD352" i="24"/>
  <c r="AC352" i="24"/>
  <c r="AB352" i="24"/>
  <c r="AA352" i="24"/>
  <c r="Z352" i="24"/>
  <c r="Y352" i="24"/>
  <c r="X352" i="24"/>
  <c r="W352" i="24"/>
  <c r="V352" i="24"/>
  <c r="U352" i="24"/>
  <c r="T352" i="24"/>
  <c r="S352" i="24"/>
  <c r="O352" i="24"/>
  <c r="N352" i="24"/>
  <c r="M352" i="24"/>
  <c r="L352" i="24"/>
  <c r="K352" i="24"/>
  <c r="J352" i="24"/>
  <c r="I352" i="24"/>
  <c r="H352" i="24"/>
  <c r="G352" i="24"/>
  <c r="F352" i="24"/>
  <c r="E352" i="24"/>
  <c r="D352" i="24"/>
  <c r="AF351" i="24"/>
  <c r="AF350" i="24"/>
  <c r="AF349" i="24"/>
  <c r="AT327" i="24"/>
  <c r="AU327" i="24" s="1"/>
  <c r="BN327" i="24" s="1"/>
  <c r="AE327" i="24"/>
  <c r="AF327" i="24" s="1"/>
  <c r="P327" i="24"/>
  <c r="Q327" i="24" s="1"/>
  <c r="AT326" i="24"/>
  <c r="AU326" i="24" s="1"/>
  <c r="BN326" i="24" s="1"/>
  <c r="AE326" i="24"/>
  <c r="AF326" i="24" s="1"/>
  <c r="P326" i="24"/>
  <c r="Q326" i="24" s="1"/>
  <c r="AT325" i="24"/>
  <c r="AU325" i="24" s="1"/>
  <c r="BN325" i="24" s="1"/>
  <c r="AE325" i="24"/>
  <c r="AF325" i="24" s="1"/>
  <c r="P325" i="24"/>
  <c r="Q325" i="24" s="1"/>
  <c r="AT324" i="24"/>
  <c r="AU324" i="24" s="1"/>
  <c r="BN324" i="24" s="1"/>
  <c r="AE324" i="24"/>
  <c r="AF324" i="24" s="1"/>
  <c r="P324" i="24"/>
  <c r="Q324" i="24" s="1"/>
  <c r="AT323" i="24"/>
  <c r="AU323" i="24" s="1"/>
  <c r="BN323" i="24" s="1"/>
  <c r="AE323" i="24"/>
  <c r="AF323" i="24" s="1"/>
  <c r="P323" i="24"/>
  <c r="Q323" i="24" s="1"/>
  <c r="AT322" i="24"/>
  <c r="AU322" i="24" s="1"/>
  <c r="BN322" i="24" s="1"/>
  <c r="AE322" i="24"/>
  <c r="AF322" i="24" s="1"/>
  <c r="P322" i="24"/>
  <c r="Q322" i="24" s="1"/>
  <c r="AT321" i="24"/>
  <c r="AU321" i="24" s="1"/>
  <c r="BN321" i="24" s="1"/>
  <c r="AE321" i="24"/>
  <c r="AF321" i="24" s="1"/>
  <c r="P321" i="24"/>
  <c r="Q321" i="24" s="1"/>
  <c r="AT320" i="24"/>
  <c r="AU320" i="24" s="1"/>
  <c r="BN320" i="24" s="1"/>
  <c r="AE320" i="24"/>
  <c r="AF320" i="24" s="1"/>
  <c r="P320" i="24"/>
  <c r="Q320" i="24" s="1"/>
  <c r="AE319" i="24"/>
  <c r="AF319" i="24" s="1"/>
  <c r="O319" i="24"/>
  <c r="N319" i="24"/>
  <c r="M319" i="24"/>
  <c r="L319" i="24"/>
  <c r="K319" i="24"/>
  <c r="J319" i="24"/>
  <c r="I319" i="24"/>
  <c r="H319" i="24"/>
  <c r="G319" i="24"/>
  <c r="F319" i="24"/>
  <c r="E319" i="24"/>
  <c r="D319" i="24"/>
  <c r="AE318" i="24"/>
  <c r="AF318" i="24" s="1"/>
  <c r="O318" i="24"/>
  <c r="N318" i="24"/>
  <c r="M318" i="24"/>
  <c r="L318" i="24"/>
  <c r="K318" i="24"/>
  <c r="J318" i="24"/>
  <c r="I318" i="24"/>
  <c r="H318" i="24"/>
  <c r="G318" i="24"/>
  <c r="F318" i="24"/>
  <c r="E318" i="24"/>
  <c r="D318" i="24"/>
  <c r="AE317" i="24"/>
  <c r="AF317" i="24" s="1"/>
  <c r="O317" i="24"/>
  <c r="N317" i="24"/>
  <c r="M317" i="24"/>
  <c r="L317" i="24"/>
  <c r="K317" i="24"/>
  <c r="J317" i="24"/>
  <c r="I317" i="24"/>
  <c r="H317" i="24"/>
  <c r="G317" i="24"/>
  <c r="F317" i="24"/>
  <c r="E317" i="24"/>
  <c r="D317" i="24"/>
  <c r="AE316" i="24"/>
  <c r="AF316" i="24" s="1"/>
  <c r="O316" i="24"/>
  <c r="N316" i="24"/>
  <c r="M316" i="24"/>
  <c r="L316" i="24"/>
  <c r="K316" i="24"/>
  <c r="J316" i="24"/>
  <c r="I316" i="24"/>
  <c r="H316" i="24"/>
  <c r="G316" i="24"/>
  <c r="F316" i="24"/>
  <c r="E316" i="24"/>
  <c r="D316" i="24"/>
  <c r="AE315" i="24"/>
  <c r="AF315" i="24" s="1"/>
  <c r="O315" i="24"/>
  <c r="N315" i="24"/>
  <c r="M315" i="24"/>
  <c r="L315" i="24"/>
  <c r="K315" i="24"/>
  <c r="J315" i="24"/>
  <c r="I315" i="24"/>
  <c r="H315" i="24"/>
  <c r="G315" i="24"/>
  <c r="F315" i="24"/>
  <c r="E315" i="24"/>
  <c r="D315" i="24"/>
  <c r="AT314" i="24"/>
  <c r="AU314" i="24" s="1"/>
  <c r="BN314" i="24" s="1"/>
  <c r="AE314" i="24"/>
  <c r="AF314" i="24" s="1"/>
  <c r="P314" i="24"/>
  <c r="Q314" i="24" s="1"/>
  <c r="AT313" i="24"/>
  <c r="AU313" i="24" s="1"/>
  <c r="BN313" i="24" s="1"/>
  <c r="AE313" i="24"/>
  <c r="AF313" i="24" s="1"/>
  <c r="P313" i="24"/>
  <c r="Q313" i="24" s="1"/>
  <c r="AT312" i="24"/>
  <c r="AU312" i="24" s="1"/>
  <c r="BN312" i="24" s="1"/>
  <c r="AE312" i="24"/>
  <c r="AF312" i="24" s="1"/>
  <c r="P312" i="24"/>
  <c r="Q312" i="24" s="1"/>
  <c r="AT311" i="24"/>
  <c r="AU311" i="24" s="1"/>
  <c r="BN311" i="24" s="1"/>
  <c r="AE311" i="24"/>
  <c r="AF311" i="24" s="1"/>
  <c r="P311" i="24"/>
  <c r="Q311" i="24" s="1"/>
  <c r="AT310" i="24"/>
  <c r="AU310" i="24" s="1"/>
  <c r="BN310" i="24" s="1"/>
  <c r="AE310" i="24"/>
  <c r="AF310" i="24" s="1"/>
  <c r="P310" i="24"/>
  <c r="Q310" i="24" s="1"/>
  <c r="AT309" i="24"/>
  <c r="AU309" i="24" s="1"/>
  <c r="BN309" i="24" s="1"/>
  <c r="AE309" i="24"/>
  <c r="AF309" i="24" s="1"/>
  <c r="P309" i="24"/>
  <c r="Q309" i="24" s="1"/>
  <c r="AT308" i="24"/>
  <c r="AU308" i="24" s="1"/>
  <c r="BN308" i="24" s="1"/>
  <c r="AE308" i="24"/>
  <c r="AF308" i="24" s="1"/>
  <c r="P308" i="24"/>
  <c r="Q308" i="24" s="1"/>
  <c r="AT307" i="24"/>
  <c r="AU307" i="24" s="1"/>
  <c r="BN307" i="24" s="1"/>
  <c r="AE307" i="24"/>
  <c r="AF307" i="24" s="1"/>
  <c r="P307" i="24"/>
  <c r="Q307" i="24" s="1"/>
  <c r="AT306" i="24"/>
  <c r="AU306" i="24" s="1"/>
  <c r="BN306" i="24" s="1"/>
  <c r="AE306" i="24"/>
  <c r="AF306" i="24" s="1"/>
  <c r="P306" i="24"/>
  <c r="Q306" i="24" s="1"/>
  <c r="AT305" i="24"/>
  <c r="AU305" i="24" s="1"/>
  <c r="BN305" i="24" s="1"/>
  <c r="AE305" i="24"/>
  <c r="AF305" i="24" s="1"/>
  <c r="P305" i="24"/>
  <c r="Q305" i="24" s="1"/>
  <c r="AE304" i="24"/>
  <c r="AF304" i="24" s="1"/>
  <c r="O304" i="24"/>
  <c r="N304" i="24"/>
  <c r="M304" i="24"/>
  <c r="L304" i="24"/>
  <c r="K304" i="24"/>
  <c r="J304" i="24"/>
  <c r="I304" i="24"/>
  <c r="H304" i="24"/>
  <c r="G304" i="24"/>
  <c r="F304" i="24"/>
  <c r="E304" i="24"/>
  <c r="D304" i="24"/>
  <c r="AE303" i="24"/>
  <c r="AF303" i="24" s="1"/>
  <c r="O303" i="24"/>
  <c r="N303" i="24"/>
  <c r="M303" i="24"/>
  <c r="L303" i="24"/>
  <c r="K303" i="24"/>
  <c r="J303" i="24"/>
  <c r="I303" i="24"/>
  <c r="H303" i="24"/>
  <c r="G303" i="24"/>
  <c r="F303" i="24"/>
  <c r="E303" i="24"/>
  <c r="D303" i="24"/>
  <c r="AE302" i="24"/>
  <c r="AF302" i="24" s="1"/>
  <c r="O302" i="24"/>
  <c r="N302" i="24"/>
  <c r="M302" i="24"/>
  <c r="L302" i="24"/>
  <c r="K302" i="24"/>
  <c r="J302" i="24"/>
  <c r="I302" i="24"/>
  <c r="H302" i="24"/>
  <c r="G302" i="24"/>
  <c r="F302" i="24"/>
  <c r="E302" i="24"/>
  <c r="D302" i="24"/>
  <c r="AE301" i="24"/>
  <c r="AF301" i="24" s="1"/>
  <c r="O301" i="24"/>
  <c r="N301" i="24"/>
  <c r="M301" i="24"/>
  <c r="L301" i="24"/>
  <c r="K301" i="24"/>
  <c r="J301" i="24"/>
  <c r="I301" i="24"/>
  <c r="H301" i="24"/>
  <c r="G301" i="24"/>
  <c r="F301" i="24"/>
  <c r="E301" i="24"/>
  <c r="D301" i="24"/>
  <c r="AE300" i="24"/>
  <c r="AF300" i="24" s="1"/>
  <c r="O300" i="24"/>
  <c r="N300" i="24"/>
  <c r="M300" i="24"/>
  <c r="L300" i="24"/>
  <c r="K300" i="24"/>
  <c r="J300" i="24"/>
  <c r="I300" i="24"/>
  <c r="H300" i="24"/>
  <c r="G300" i="24"/>
  <c r="F300" i="24"/>
  <c r="E300" i="24"/>
  <c r="D300" i="24"/>
  <c r="AT299" i="24"/>
  <c r="AU299" i="24" s="1"/>
  <c r="BN299" i="24" s="1"/>
  <c r="AE299" i="24"/>
  <c r="AF299" i="24" s="1"/>
  <c r="P299" i="24"/>
  <c r="Q299" i="24" s="1"/>
  <c r="AT298" i="24"/>
  <c r="AU298" i="24" s="1"/>
  <c r="BN298" i="24" s="1"/>
  <c r="AE298" i="24"/>
  <c r="AF298" i="24" s="1"/>
  <c r="P298" i="24"/>
  <c r="Q298" i="24" s="1"/>
  <c r="AT297" i="24"/>
  <c r="AU297" i="24" s="1"/>
  <c r="BN297" i="24" s="1"/>
  <c r="AE297" i="24"/>
  <c r="AF297" i="24" s="1"/>
  <c r="P297" i="24"/>
  <c r="Q297" i="24" s="1"/>
  <c r="AT296" i="24"/>
  <c r="AU296" i="24" s="1"/>
  <c r="BN296" i="24" s="1"/>
  <c r="AE296" i="24"/>
  <c r="AF296" i="24" s="1"/>
  <c r="P296" i="24"/>
  <c r="Q296" i="24" s="1"/>
  <c r="AT295" i="24"/>
  <c r="AU295" i="24" s="1"/>
  <c r="BN295" i="24" s="1"/>
  <c r="AE295" i="24"/>
  <c r="AF295" i="24" s="1"/>
  <c r="P295" i="24"/>
  <c r="Q295" i="24" s="1"/>
  <c r="AT294" i="24"/>
  <c r="AU294" i="24" s="1"/>
  <c r="BN294" i="24" s="1"/>
  <c r="AE294" i="24"/>
  <c r="AF294" i="24" s="1"/>
  <c r="P294" i="24"/>
  <c r="Q294" i="24" s="1"/>
  <c r="AT293" i="24"/>
  <c r="AU293" i="24" s="1"/>
  <c r="BN293" i="24" s="1"/>
  <c r="AE293" i="24"/>
  <c r="AF293" i="24" s="1"/>
  <c r="P293" i="24"/>
  <c r="Q293" i="24" s="1"/>
  <c r="AT292" i="24"/>
  <c r="AU292" i="24" s="1"/>
  <c r="BN292" i="24" s="1"/>
  <c r="AE292" i="24"/>
  <c r="AF292" i="24" s="1"/>
  <c r="P292" i="24"/>
  <c r="Q292" i="24" s="1"/>
  <c r="AT291" i="24"/>
  <c r="AU291" i="24" s="1"/>
  <c r="BN291" i="24" s="1"/>
  <c r="AE291" i="24"/>
  <c r="AF291" i="24" s="1"/>
  <c r="P291" i="24"/>
  <c r="Q291" i="24" s="1"/>
  <c r="AT290" i="24"/>
  <c r="AU290" i="24" s="1"/>
  <c r="BN290" i="24" s="1"/>
  <c r="AE290" i="24"/>
  <c r="AF290" i="24" s="1"/>
  <c r="P290" i="24"/>
  <c r="Q290" i="24" s="1"/>
  <c r="AE289" i="24"/>
  <c r="AF289" i="24" s="1"/>
  <c r="O289" i="24"/>
  <c r="N289" i="24"/>
  <c r="M289" i="24"/>
  <c r="L289" i="24"/>
  <c r="K289" i="24"/>
  <c r="J289" i="24"/>
  <c r="I289" i="24"/>
  <c r="H289" i="24"/>
  <c r="G289" i="24"/>
  <c r="F289" i="24"/>
  <c r="E289" i="24"/>
  <c r="D289" i="24"/>
  <c r="AE288" i="24"/>
  <c r="AF288" i="24" s="1"/>
  <c r="O288" i="24"/>
  <c r="N288" i="24"/>
  <c r="M288" i="24"/>
  <c r="L288" i="24"/>
  <c r="K288" i="24"/>
  <c r="J288" i="24"/>
  <c r="I288" i="24"/>
  <c r="H288" i="24"/>
  <c r="G288" i="24"/>
  <c r="F288" i="24"/>
  <c r="E288" i="24"/>
  <c r="D288" i="24"/>
  <c r="AE287" i="24"/>
  <c r="AF287" i="24" s="1"/>
  <c r="O287" i="24"/>
  <c r="N287" i="24"/>
  <c r="M287" i="24"/>
  <c r="L287" i="24"/>
  <c r="K287" i="24"/>
  <c r="J287" i="24"/>
  <c r="I287" i="24"/>
  <c r="H287" i="24"/>
  <c r="G287" i="24"/>
  <c r="F287" i="24"/>
  <c r="E287" i="24"/>
  <c r="D287" i="24"/>
  <c r="AE286" i="24"/>
  <c r="AF286" i="24" s="1"/>
  <c r="O286" i="24"/>
  <c r="N286" i="24"/>
  <c r="M286" i="24"/>
  <c r="L286" i="24"/>
  <c r="K286" i="24"/>
  <c r="J286" i="24"/>
  <c r="I286" i="24"/>
  <c r="H286" i="24"/>
  <c r="G286" i="24"/>
  <c r="F286" i="24"/>
  <c r="E286" i="24"/>
  <c r="D286" i="24"/>
  <c r="AE285" i="24"/>
  <c r="AF285" i="24" s="1"/>
  <c r="O285" i="24"/>
  <c r="N285" i="24"/>
  <c r="M285" i="24"/>
  <c r="L285" i="24"/>
  <c r="K285" i="24"/>
  <c r="J285" i="24"/>
  <c r="I285" i="24"/>
  <c r="H285" i="24"/>
  <c r="G285" i="24"/>
  <c r="F285" i="24"/>
  <c r="E285" i="24"/>
  <c r="D285" i="24"/>
  <c r="AT283" i="24"/>
  <c r="AE283" i="24"/>
  <c r="P283" i="24"/>
  <c r="Q283" i="24" s="1"/>
  <c r="AT282" i="24"/>
  <c r="AU282" i="24" s="1"/>
  <c r="BN282" i="24" s="1"/>
  <c r="AE282" i="24"/>
  <c r="AF282" i="24" s="1"/>
  <c r="P282" i="24"/>
  <c r="Q282" i="24" s="1"/>
  <c r="AT280" i="24"/>
  <c r="AU280" i="24" s="1"/>
  <c r="BN280" i="24" s="1"/>
  <c r="AE280" i="24"/>
  <c r="AF280" i="24" s="1"/>
  <c r="P280" i="24"/>
  <c r="Q280" i="24" s="1"/>
  <c r="AT279" i="24"/>
  <c r="AU279" i="24" s="1"/>
  <c r="BN279" i="24" s="1"/>
  <c r="AE279" i="24"/>
  <c r="AF279" i="24" s="1"/>
  <c r="P279" i="24"/>
  <c r="Q279" i="24" s="1"/>
  <c r="AT278" i="24"/>
  <c r="AU278" i="24" s="1"/>
  <c r="BN278" i="24" s="1"/>
  <c r="AE278" i="24"/>
  <c r="AF278" i="24" s="1"/>
  <c r="P278" i="24"/>
  <c r="Q278" i="24" s="1"/>
  <c r="AT277" i="24"/>
  <c r="AU277" i="24" s="1"/>
  <c r="BN277" i="24" s="1"/>
  <c r="AE277" i="24"/>
  <c r="AF277" i="24" s="1"/>
  <c r="P277" i="24"/>
  <c r="Q277" i="24" s="1"/>
  <c r="AT276" i="24"/>
  <c r="AU276" i="24" s="1"/>
  <c r="BN276" i="24" s="1"/>
  <c r="AE276" i="24"/>
  <c r="AF276" i="24" s="1"/>
  <c r="P276" i="24"/>
  <c r="Q276" i="24" s="1"/>
  <c r="AT275" i="24"/>
  <c r="AU275" i="24" s="1"/>
  <c r="BN275" i="24" s="1"/>
  <c r="AE275" i="24"/>
  <c r="AF275" i="24" s="1"/>
  <c r="P275" i="24"/>
  <c r="Q275" i="24" s="1"/>
  <c r="AT274" i="24"/>
  <c r="AU274" i="24" s="1"/>
  <c r="BN274" i="24" s="1"/>
  <c r="AE274" i="24"/>
  <c r="AF274" i="24" s="1"/>
  <c r="P274" i="24"/>
  <c r="Q274" i="24" s="1"/>
  <c r="AT273" i="24"/>
  <c r="AU273" i="24" s="1"/>
  <c r="BN273" i="24" s="1"/>
  <c r="AE273" i="24"/>
  <c r="AF273" i="24" s="1"/>
  <c r="P273" i="24"/>
  <c r="Q273" i="24" s="1"/>
  <c r="AT272" i="24"/>
  <c r="AU272" i="24" s="1"/>
  <c r="BN272" i="24" s="1"/>
  <c r="AE272" i="24"/>
  <c r="AF272" i="24" s="1"/>
  <c r="P272" i="24"/>
  <c r="Q272" i="24" s="1"/>
  <c r="AE271" i="24"/>
  <c r="AF271" i="24" s="1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AE270" i="24"/>
  <c r="AF270" i="24" s="1"/>
  <c r="O270" i="24"/>
  <c r="N270" i="24"/>
  <c r="M270" i="24"/>
  <c r="L270" i="24"/>
  <c r="K270" i="24"/>
  <c r="J270" i="24"/>
  <c r="I270" i="24"/>
  <c r="H270" i="24"/>
  <c r="G270" i="24"/>
  <c r="F270" i="24"/>
  <c r="E270" i="24"/>
  <c r="D270" i="24"/>
  <c r="AE269" i="24"/>
  <c r="AF269" i="24" s="1"/>
  <c r="O269" i="24"/>
  <c r="N269" i="24"/>
  <c r="M269" i="24"/>
  <c r="L269" i="24"/>
  <c r="K269" i="24"/>
  <c r="J269" i="24"/>
  <c r="I269" i="24"/>
  <c r="H269" i="24"/>
  <c r="G269" i="24"/>
  <c r="F269" i="24"/>
  <c r="E269" i="24"/>
  <c r="D269" i="24"/>
  <c r="AE268" i="24"/>
  <c r="AF268" i="24" s="1"/>
  <c r="O268" i="24"/>
  <c r="N268" i="24"/>
  <c r="M268" i="24"/>
  <c r="L268" i="24"/>
  <c r="K268" i="24"/>
  <c r="J268" i="24"/>
  <c r="I268" i="24"/>
  <c r="H268" i="24"/>
  <c r="G268" i="24"/>
  <c r="F268" i="24"/>
  <c r="E268" i="24"/>
  <c r="D268" i="24"/>
  <c r="AE267" i="24"/>
  <c r="AF267" i="24" s="1"/>
  <c r="O267" i="24"/>
  <c r="N267" i="24"/>
  <c r="M267" i="24"/>
  <c r="L267" i="24"/>
  <c r="K267" i="24"/>
  <c r="J267" i="24"/>
  <c r="I267" i="24"/>
  <c r="H267" i="24"/>
  <c r="G267" i="24"/>
  <c r="F267" i="24"/>
  <c r="E267" i="24"/>
  <c r="D267" i="24"/>
  <c r="AT266" i="24"/>
  <c r="AU266" i="24" s="1"/>
  <c r="BN266" i="24" s="1"/>
  <c r="AE266" i="24"/>
  <c r="AF266" i="24" s="1"/>
  <c r="P266" i="24"/>
  <c r="Q266" i="24" s="1"/>
  <c r="AT265" i="24"/>
  <c r="AU265" i="24" s="1"/>
  <c r="BN265" i="24" s="1"/>
  <c r="AE265" i="24"/>
  <c r="AF265" i="24" s="1"/>
  <c r="P265" i="24"/>
  <c r="Q265" i="24" s="1"/>
  <c r="AT264" i="24"/>
  <c r="AU264" i="24" s="1"/>
  <c r="BN264" i="24" s="1"/>
  <c r="AE264" i="24"/>
  <c r="AF264" i="24" s="1"/>
  <c r="P264" i="24"/>
  <c r="Q264" i="24" s="1"/>
  <c r="AT263" i="24"/>
  <c r="AU263" i="24" s="1"/>
  <c r="BN263" i="24" s="1"/>
  <c r="AE263" i="24"/>
  <c r="AF263" i="24" s="1"/>
  <c r="P263" i="24"/>
  <c r="Q263" i="24" s="1"/>
  <c r="AT262" i="24"/>
  <c r="AU262" i="24" s="1"/>
  <c r="BN262" i="24" s="1"/>
  <c r="AE262" i="24"/>
  <c r="AF262" i="24" s="1"/>
  <c r="P262" i="24"/>
  <c r="Q262" i="24" s="1"/>
  <c r="AT261" i="24"/>
  <c r="AU261" i="24" s="1"/>
  <c r="BN261" i="24" s="1"/>
  <c r="AE261" i="24"/>
  <c r="AF261" i="24" s="1"/>
  <c r="P261" i="24"/>
  <c r="Q261" i="24" s="1"/>
  <c r="AT260" i="24"/>
  <c r="AU260" i="24" s="1"/>
  <c r="BN260" i="24" s="1"/>
  <c r="AE260" i="24"/>
  <c r="AF260" i="24" s="1"/>
  <c r="P260" i="24"/>
  <c r="Q260" i="24" s="1"/>
  <c r="AT259" i="24"/>
  <c r="AU259" i="24" s="1"/>
  <c r="BN259" i="24" s="1"/>
  <c r="AE259" i="24"/>
  <c r="AF259" i="24" s="1"/>
  <c r="P259" i="24"/>
  <c r="Q259" i="24" s="1"/>
  <c r="AT258" i="24"/>
  <c r="AU258" i="24" s="1"/>
  <c r="BN258" i="24" s="1"/>
  <c r="AE258" i="24"/>
  <c r="AF258" i="24" s="1"/>
  <c r="P258" i="24"/>
  <c r="Q258" i="24" s="1"/>
  <c r="AT257" i="24"/>
  <c r="AU257" i="24" s="1"/>
  <c r="BN257" i="24" s="1"/>
  <c r="AE257" i="24"/>
  <c r="AF257" i="24" s="1"/>
  <c r="P257" i="24"/>
  <c r="Q257" i="24" s="1"/>
  <c r="AE256" i="24"/>
  <c r="AF256" i="24" s="1"/>
  <c r="O256" i="24"/>
  <c r="N256" i="24"/>
  <c r="M256" i="24"/>
  <c r="L256" i="24"/>
  <c r="K256" i="24"/>
  <c r="J256" i="24"/>
  <c r="I256" i="24"/>
  <c r="H256" i="24"/>
  <c r="G256" i="24"/>
  <c r="F256" i="24"/>
  <c r="E256" i="24"/>
  <c r="D256" i="24"/>
  <c r="AE255" i="24"/>
  <c r="AF255" i="24" s="1"/>
  <c r="O255" i="24"/>
  <c r="N255" i="24"/>
  <c r="M255" i="24"/>
  <c r="L255" i="24"/>
  <c r="K255" i="24"/>
  <c r="J255" i="24"/>
  <c r="I255" i="24"/>
  <c r="H255" i="24"/>
  <c r="G255" i="24"/>
  <c r="F255" i="24"/>
  <c r="E255" i="24"/>
  <c r="D255" i="24"/>
  <c r="AE254" i="24"/>
  <c r="AF254" i="24" s="1"/>
  <c r="O254" i="24"/>
  <c r="N254" i="24"/>
  <c r="M254" i="24"/>
  <c r="L254" i="24"/>
  <c r="K254" i="24"/>
  <c r="J254" i="24"/>
  <c r="I254" i="24"/>
  <c r="H254" i="24"/>
  <c r="G254" i="24"/>
  <c r="F254" i="24"/>
  <c r="E254" i="24"/>
  <c r="D254" i="24"/>
  <c r="AE253" i="24"/>
  <c r="AF253" i="24" s="1"/>
  <c r="O253" i="24"/>
  <c r="N253" i="24"/>
  <c r="M253" i="24"/>
  <c r="L253" i="24"/>
  <c r="K253" i="24"/>
  <c r="J253" i="24"/>
  <c r="I253" i="24"/>
  <c r="H253" i="24"/>
  <c r="G253" i="24"/>
  <c r="F253" i="24"/>
  <c r="E253" i="24"/>
  <c r="D253" i="24"/>
  <c r="AE252" i="24"/>
  <c r="AF252" i="24" s="1"/>
  <c r="O252" i="24"/>
  <c r="N252" i="24"/>
  <c r="M252" i="24"/>
  <c r="L252" i="24"/>
  <c r="K252" i="24"/>
  <c r="J252" i="24"/>
  <c r="I252" i="24"/>
  <c r="H252" i="24"/>
  <c r="G252" i="24"/>
  <c r="F252" i="24"/>
  <c r="E252" i="24"/>
  <c r="D252" i="24"/>
  <c r="AT251" i="24"/>
  <c r="AU251" i="24" s="1"/>
  <c r="BN251" i="24" s="1"/>
  <c r="AE251" i="24"/>
  <c r="AF251" i="24" s="1"/>
  <c r="P251" i="24"/>
  <c r="Q251" i="24" s="1"/>
  <c r="AT250" i="24"/>
  <c r="AU250" i="24" s="1"/>
  <c r="BN250" i="24" s="1"/>
  <c r="AE250" i="24"/>
  <c r="AF250" i="24" s="1"/>
  <c r="P250" i="24"/>
  <c r="Q250" i="24" s="1"/>
  <c r="AT249" i="24"/>
  <c r="AU249" i="24" s="1"/>
  <c r="BN249" i="24" s="1"/>
  <c r="AE249" i="24"/>
  <c r="AF249" i="24" s="1"/>
  <c r="P249" i="24"/>
  <c r="Q249" i="24" s="1"/>
  <c r="AT248" i="24"/>
  <c r="AU248" i="24" s="1"/>
  <c r="BN248" i="24" s="1"/>
  <c r="AE248" i="24"/>
  <c r="AF248" i="24" s="1"/>
  <c r="P248" i="24"/>
  <c r="Q248" i="24" s="1"/>
  <c r="AT247" i="24"/>
  <c r="AU247" i="24" s="1"/>
  <c r="BN247" i="24" s="1"/>
  <c r="AE247" i="24"/>
  <c r="AF247" i="24" s="1"/>
  <c r="P247" i="24"/>
  <c r="Q247" i="24" s="1"/>
  <c r="AT246" i="24"/>
  <c r="AU246" i="24" s="1"/>
  <c r="BN246" i="24" s="1"/>
  <c r="AE246" i="24"/>
  <c r="AF246" i="24" s="1"/>
  <c r="P246" i="24"/>
  <c r="Q246" i="24" s="1"/>
  <c r="AT245" i="24"/>
  <c r="AU245" i="24" s="1"/>
  <c r="BN245" i="24" s="1"/>
  <c r="AE245" i="24"/>
  <c r="AF245" i="24" s="1"/>
  <c r="P245" i="24"/>
  <c r="Q245" i="24" s="1"/>
  <c r="AT244" i="24"/>
  <c r="AU244" i="24" s="1"/>
  <c r="BN244" i="24" s="1"/>
  <c r="AE244" i="24"/>
  <c r="AF244" i="24" s="1"/>
  <c r="P244" i="24"/>
  <c r="Q244" i="24" s="1"/>
  <c r="AT243" i="24"/>
  <c r="AU243" i="24" s="1"/>
  <c r="BN243" i="24" s="1"/>
  <c r="AE243" i="24"/>
  <c r="AF243" i="24" s="1"/>
  <c r="P243" i="24"/>
  <c r="Q243" i="24" s="1"/>
  <c r="AT242" i="24"/>
  <c r="AU242" i="24" s="1"/>
  <c r="BN242" i="24" s="1"/>
  <c r="AE242" i="24"/>
  <c r="AF242" i="24" s="1"/>
  <c r="P242" i="24"/>
  <c r="Q242" i="24" s="1"/>
  <c r="AE241" i="24"/>
  <c r="AF241" i="24" s="1"/>
  <c r="O241" i="24"/>
  <c r="N241" i="24"/>
  <c r="M241" i="24"/>
  <c r="L241" i="24"/>
  <c r="K241" i="24"/>
  <c r="J241" i="24"/>
  <c r="I241" i="24"/>
  <c r="H241" i="24"/>
  <c r="G241" i="24"/>
  <c r="F241" i="24"/>
  <c r="E241" i="24"/>
  <c r="D241" i="24"/>
  <c r="AE240" i="24"/>
  <c r="AF240" i="24" s="1"/>
  <c r="O240" i="24"/>
  <c r="N240" i="24"/>
  <c r="M240" i="24"/>
  <c r="L240" i="24"/>
  <c r="K240" i="24"/>
  <c r="J240" i="24"/>
  <c r="I240" i="24"/>
  <c r="H240" i="24"/>
  <c r="G240" i="24"/>
  <c r="F240" i="24"/>
  <c r="E240" i="24"/>
  <c r="D240" i="24"/>
  <c r="AE239" i="24"/>
  <c r="AF239" i="24" s="1"/>
  <c r="O239" i="24"/>
  <c r="N239" i="24"/>
  <c r="M239" i="24"/>
  <c r="L239" i="24"/>
  <c r="K239" i="24"/>
  <c r="J239" i="24"/>
  <c r="I239" i="24"/>
  <c r="H239" i="24"/>
  <c r="G239" i="24"/>
  <c r="F239" i="24"/>
  <c r="E239" i="24"/>
  <c r="D239" i="24"/>
  <c r="AE238" i="24"/>
  <c r="AF238" i="24" s="1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AE237" i="24"/>
  <c r="AF237" i="24" s="1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AT235" i="24"/>
  <c r="AU235" i="24" s="1"/>
  <c r="BN235" i="24" s="1"/>
  <c r="AE235" i="24"/>
  <c r="AF235" i="24" s="1"/>
  <c r="P235" i="24"/>
  <c r="Q235" i="24" s="1"/>
  <c r="AT234" i="24"/>
  <c r="AU234" i="24" s="1"/>
  <c r="BN234" i="24" s="1"/>
  <c r="AE234" i="24"/>
  <c r="AF234" i="24" s="1"/>
  <c r="P234" i="24"/>
  <c r="Q234" i="24" s="1"/>
  <c r="AT232" i="24"/>
  <c r="AU232" i="24" s="1"/>
  <c r="BN232" i="24" s="1"/>
  <c r="AE232" i="24"/>
  <c r="AF232" i="24" s="1"/>
  <c r="P232" i="24"/>
  <c r="Q232" i="24" s="1"/>
  <c r="AT231" i="24"/>
  <c r="AU231" i="24" s="1"/>
  <c r="BN231" i="24" s="1"/>
  <c r="AE231" i="24"/>
  <c r="AF231" i="24" s="1"/>
  <c r="O231" i="24"/>
  <c r="N231" i="24"/>
  <c r="M231" i="24"/>
  <c r="L231" i="24"/>
  <c r="K231" i="24"/>
  <c r="J231" i="24"/>
  <c r="I231" i="24"/>
  <c r="H231" i="24"/>
  <c r="G231" i="24"/>
  <c r="F231" i="24"/>
  <c r="E231" i="24"/>
  <c r="D231" i="24"/>
  <c r="AT230" i="24"/>
  <c r="AU230" i="24" s="1"/>
  <c r="BN230" i="24" s="1"/>
  <c r="AE230" i="24"/>
  <c r="AF230" i="24" s="1"/>
  <c r="O230" i="24"/>
  <c r="N230" i="24"/>
  <c r="M230" i="24"/>
  <c r="L230" i="24"/>
  <c r="K230" i="24"/>
  <c r="J230" i="24"/>
  <c r="I230" i="24"/>
  <c r="H230" i="24"/>
  <c r="G230" i="24"/>
  <c r="F230" i="24"/>
  <c r="E230" i="24"/>
  <c r="D230" i="24"/>
  <c r="AT229" i="24"/>
  <c r="AU229" i="24" s="1"/>
  <c r="BN229" i="24" s="1"/>
  <c r="AE229" i="24"/>
  <c r="AF229" i="24" s="1"/>
  <c r="O229" i="24"/>
  <c r="N229" i="24"/>
  <c r="M229" i="24"/>
  <c r="L229" i="24"/>
  <c r="K229" i="24"/>
  <c r="J229" i="24"/>
  <c r="I229" i="24"/>
  <c r="H229" i="24"/>
  <c r="G229" i="24"/>
  <c r="F229" i="24"/>
  <c r="E229" i="24"/>
  <c r="D229" i="24"/>
  <c r="AT228" i="24"/>
  <c r="AU228" i="24" s="1"/>
  <c r="BN228" i="24" s="1"/>
  <c r="AE228" i="24"/>
  <c r="AF228" i="24" s="1"/>
  <c r="O228" i="24"/>
  <c r="N228" i="24"/>
  <c r="M228" i="24"/>
  <c r="L228" i="24"/>
  <c r="K228" i="24"/>
  <c r="J228" i="24"/>
  <c r="I228" i="24"/>
  <c r="H228" i="24"/>
  <c r="G228" i="24"/>
  <c r="F228" i="24"/>
  <c r="E228" i="24"/>
  <c r="D228" i="24"/>
  <c r="AT227" i="24"/>
  <c r="AU227" i="24" s="1"/>
  <c r="BN227" i="24" s="1"/>
  <c r="AE227" i="24"/>
  <c r="AF227" i="24" s="1"/>
  <c r="O227" i="24"/>
  <c r="O221" i="24" s="1"/>
  <c r="N227" i="24"/>
  <c r="N221" i="24" s="1"/>
  <c r="M227" i="24"/>
  <c r="M221" i="24" s="1"/>
  <c r="L227" i="24"/>
  <c r="L221" i="24" s="1"/>
  <c r="K227" i="24"/>
  <c r="K221" i="24" s="1"/>
  <c r="J227" i="24"/>
  <c r="J221" i="24" s="1"/>
  <c r="I227" i="24"/>
  <c r="I221" i="24" s="1"/>
  <c r="H227" i="24"/>
  <c r="H221" i="24" s="1"/>
  <c r="G227" i="24"/>
  <c r="G221" i="24" s="1"/>
  <c r="F227" i="24"/>
  <c r="F221" i="24" s="1"/>
  <c r="E227" i="24"/>
  <c r="E221" i="24" s="1"/>
  <c r="D227" i="24"/>
  <c r="D221" i="24" s="1"/>
  <c r="AT226" i="24"/>
  <c r="AU226" i="24" s="1"/>
  <c r="BN226" i="24" s="1"/>
  <c r="AE226" i="24"/>
  <c r="AF226" i="24" s="1"/>
  <c r="O226" i="24"/>
  <c r="O220" i="24" s="1"/>
  <c r="N226" i="24"/>
  <c r="N220" i="24" s="1"/>
  <c r="M226" i="24"/>
  <c r="M220" i="24" s="1"/>
  <c r="L226" i="24"/>
  <c r="L220" i="24" s="1"/>
  <c r="K226" i="24"/>
  <c r="K220" i="24" s="1"/>
  <c r="J226" i="24"/>
  <c r="J220" i="24" s="1"/>
  <c r="I226" i="24"/>
  <c r="I220" i="24" s="1"/>
  <c r="H226" i="24"/>
  <c r="H220" i="24" s="1"/>
  <c r="G226" i="24"/>
  <c r="G220" i="24" s="1"/>
  <c r="F226" i="24"/>
  <c r="F220" i="24" s="1"/>
  <c r="E226" i="24"/>
  <c r="E220" i="24" s="1"/>
  <c r="D226" i="24"/>
  <c r="D220" i="24" s="1"/>
  <c r="AT225" i="24"/>
  <c r="AU225" i="24" s="1"/>
  <c r="BN225" i="24" s="1"/>
  <c r="AE225" i="24"/>
  <c r="AF225" i="24" s="1"/>
  <c r="O225" i="24"/>
  <c r="N225" i="24"/>
  <c r="M225" i="24"/>
  <c r="L225" i="24"/>
  <c r="K225" i="24"/>
  <c r="J225" i="24"/>
  <c r="I225" i="24"/>
  <c r="H225" i="24"/>
  <c r="G225" i="24"/>
  <c r="F225" i="24"/>
  <c r="E225" i="24"/>
  <c r="D225" i="24"/>
  <c r="AT224" i="24"/>
  <c r="AU224" i="24" s="1"/>
  <c r="BN224" i="24" s="1"/>
  <c r="AE224" i="24"/>
  <c r="AF224" i="24" s="1"/>
  <c r="O224" i="24"/>
  <c r="N224" i="24"/>
  <c r="M224" i="24"/>
  <c r="L224" i="24"/>
  <c r="K224" i="24"/>
  <c r="J224" i="24"/>
  <c r="I224" i="24"/>
  <c r="H224" i="24"/>
  <c r="G224" i="24"/>
  <c r="F224" i="24"/>
  <c r="E224" i="24"/>
  <c r="D224" i="24"/>
  <c r="AD223" i="24"/>
  <c r="AC223" i="24"/>
  <c r="AB223" i="24"/>
  <c r="AA223" i="24"/>
  <c r="Z223" i="24"/>
  <c r="Y223" i="24"/>
  <c r="X223" i="24"/>
  <c r="W223" i="24"/>
  <c r="V223" i="24"/>
  <c r="U223" i="24"/>
  <c r="T223" i="24"/>
  <c r="S223" i="24"/>
  <c r="AD222" i="24"/>
  <c r="AC222" i="24"/>
  <c r="AB222" i="24"/>
  <c r="AA222" i="24"/>
  <c r="Z222" i="24"/>
  <c r="Y222" i="24"/>
  <c r="X222" i="24"/>
  <c r="W222" i="24"/>
  <c r="V222" i="24"/>
  <c r="U222" i="24"/>
  <c r="T222" i="24"/>
  <c r="S222" i="24"/>
  <c r="AD221" i="24"/>
  <c r="AC221" i="24"/>
  <c r="AB221" i="24"/>
  <c r="AA221" i="24"/>
  <c r="Z221" i="24"/>
  <c r="Y221" i="24"/>
  <c r="X221" i="24"/>
  <c r="W221" i="24"/>
  <c r="V221" i="24"/>
  <c r="U221" i="24"/>
  <c r="T221" i="24"/>
  <c r="S221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AD219" i="24"/>
  <c r="AC219" i="24"/>
  <c r="AB219" i="24"/>
  <c r="AA219" i="24"/>
  <c r="Z219" i="24"/>
  <c r="Y219" i="24"/>
  <c r="X219" i="24"/>
  <c r="W219" i="24"/>
  <c r="V219" i="24"/>
  <c r="U219" i="24"/>
  <c r="T219" i="24"/>
  <c r="S219" i="24"/>
  <c r="AT218" i="24"/>
  <c r="AU218" i="24" s="1"/>
  <c r="BN218" i="24" s="1"/>
  <c r="AE218" i="24"/>
  <c r="AF218" i="24" s="1"/>
  <c r="O218" i="24"/>
  <c r="N218" i="24"/>
  <c r="M218" i="24"/>
  <c r="L218" i="24"/>
  <c r="K218" i="24"/>
  <c r="J218" i="24"/>
  <c r="I218" i="24"/>
  <c r="H218" i="24"/>
  <c r="G218" i="24"/>
  <c r="F218" i="24"/>
  <c r="E218" i="24"/>
  <c r="D218" i="24"/>
  <c r="AT217" i="24"/>
  <c r="AU217" i="24" s="1"/>
  <c r="BN217" i="24" s="1"/>
  <c r="AE217" i="24"/>
  <c r="AF217" i="24" s="1"/>
  <c r="O217" i="24"/>
  <c r="N217" i="24"/>
  <c r="M217" i="24"/>
  <c r="L217" i="24"/>
  <c r="K217" i="24"/>
  <c r="J217" i="24"/>
  <c r="I217" i="24"/>
  <c r="H217" i="24"/>
  <c r="G217" i="24"/>
  <c r="F217" i="24"/>
  <c r="E217" i="24"/>
  <c r="D217" i="24"/>
  <c r="AT216" i="24"/>
  <c r="AU216" i="24" s="1"/>
  <c r="BN216" i="24" s="1"/>
  <c r="AE216" i="24"/>
  <c r="AF216" i="24" s="1"/>
  <c r="O216" i="24"/>
  <c r="N216" i="24"/>
  <c r="M216" i="24"/>
  <c r="L216" i="24"/>
  <c r="K216" i="24"/>
  <c r="J216" i="24"/>
  <c r="I216" i="24"/>
  <c r="H216" i="24"/>
  <c r="G216" i="24"/>
  <c r="F216" i="24"/>
  <c r="E216" i="24"/>
  <c r="D216" i="24"/>
  <c r="AT215" i="24"/>
  <c r="AU215" i="24" s="1"/>
  <c r="BN215" i="24" s="1"/>
  <c r="AE215" i="24"/>
  <c r="AF215" i="24" s="1"/>
  <c r="O215" i="24"/>
  <c r="N215" i="24"/>
  <c r="M215" i="24"/>
  <c r="L215" i="24"/>
  <c r="K215" i="24"/>
  <c r="J215" i="24"/>
  <c r="I215" i="24"/>
  <c r="H215" i="24"/>
  <c r="G215" i="24"/>
  <c r="F215" i="24"/>
  <c r="E215" i="24"/>
  <c r="D215" i="24"/>
  <c r="AT214" i="24"/>
  <c r="AU214" i="24" s="1"/>
  <c r="BN214" i="24" s="1"/>
  <c r="AE214" i="24"/>
  <c r="AF214" i="24" s="1"/>
  <c r="O214" i="24"/>
  <c r="N214" i="24"/>
  <c r="M214" i="24"/>
  <c r="L214" i="24"/>
  <c r="K214" i="24"/>
  <c r="J214" i="24"/>
  <c r="I214" i="24"/>
  <c r="H214" i="24"/>
  <c r="G214" i="24"/>
  <c r="F214" i="24"/>
  <c r="E214" i="24"/>
  <c r="D214" i="24"/>
  <c r="AT213" i="24"/>
  <c r="AU213" i="24" s="1"/>
  <c r="BN213" i="24" s="1"/>
  <c r="AE213" i="24"/>
  <c r="AF213" i="24" s="1"/>
  <c r="O213" i="24"/>
  <c r="N213" i="24"/>
  <c r="M213" i="24"/>
  <c r="L213" i="24"/>
  <c r="K213" i="24"/>
  <c r="J213" i="24"/>
  <c r="I213" i="24"/>
  <c r="H213" i="24"/>
  <c r="G213" i="24"/>
  <c r="F213" i="24"/>
  <c r="E213" i="24"/>
  <c r="D213" i="24"/>
  <c r="AT212" i="24"/>
  <c r="AU212" i="24" s="1"/>
  <c r="BN212" i="24" s="1"/>
  <c r="AE212" i="24"/>
  <c r="AF212" i="24" s="1"/>
  <c r="O212" i="24"/>
  <c r="N212" i="24"/>
  <c r="M212" i="24"/>
  <c r="L212" i="24"/>
  <c r="K212" i="24"/>
  <c r="J212" i="24"/>
  <c r="I212" i="24"/>
  <c r="H212" i="24"/>
  <c r="G212" i="24"/>
  <c r="F212" i="24"/>
  <c r="E212" i="24"/>
  <c r="D212" i="24"/>
  <c r="AT211" i="24"/>
  <c r="AU211" i="24" s="1"/>
  <c r="BN211" i="24" s="1"/>
  <c r="AE211" i="24"/>
  <c r="AF211" i="24" s="1"/>
  <c r="O211" i="24"/>
  <c r="N211" i="24"/>
  <c r="M211" i="24"/>
  <c r="L211" i="24"/>
  <c r="K211" i="24"/>
  <c r="J211" i="24"/>
  <c r="I211" i="24"/>
  <c r="H211" i="24"/>
  <c r="G211" i="24"/>
  <c r="F211" i="24"/>
  <c r="E211" i="24"/>
  <c r="D211" i="24"/>
  <c r="AT210" i="24"/>
  <c r="AU210" i="24" s="1"/>
  <c r="BN210" i="24" s="1"/>
  <c r="AE210" i="24"/>
  <c r="AF210" i="24" s="1"/>
  <c r="O210" i="24"/>
  <c r="N210" i="24"/>
  <c r="M210" i="24"/>
  <c r="L210" i="24"/>
  <c r="K210" i="24"/>
  <c r="J210" i="24"/>
  <c r="I210" i="24"/>
  <c r="H210" i="24"/>
  <c r="G210" i="24"/>
  <c r="F210" i="24"/>
  <c r="E210" i="24"/>
  <c r="D210" i="24"/>
  <c r="AT209" i="24"/>
  <c r="AU209" i="24" s="1"/>
  <c r="BN209" i="24" s="1"/>
  <c r="AE209" i="24"/>
  <c r="AF209" i="24" s="1"/>
  <c r="O209" i="24"/>
  <c r="N209" i="24"/>
  <c r="M209" i="24"/>
  <c r="L209" i="24"/>
  <c r="K209" i="24"/>
  <c r="J209" i="24"/>
  <c r="I209" i="24"/>
  <c r="H209" i="24"/>
  <c r="G209" i="24"/>
  <c r="F209" i="24"/>
  <c r="E209" i="24"/>
  <c r="D209" i="24"/>
  <c r="AD208" i="24"/>
  <c r="AC208" i="24"/>
  <c r="AB208" i="24"/>
  <c r="AA208" i="24"/>
  <c r="Z208" i="24"/>
  <c r="Y208" i="24"/>
  <c r="X208" i="24"/>
  <c r="W208" i="24"/>
  <c r="V208" i="24"/>
  <c r="U208" i="24"/>
  <c r="T208" i="24"/>
  <c r="S208" i="24"/>
  <c r="AD207" i="24"/>
  <c r="AC207" i="24"/>
  <c r="AB207" i="24"/>
  <c r="AA207" i="24"/>
  <c r="Z207" i="24"/>
  <c r="Y207" i="24"/>
  <c r="X207" i="24"/>
  <c r="W207" i="24"/>
  <c r="V207" i="24"/>
  <c r="U207" i="24"/>
  <c r="T207" i="24"/>
  <c r="S207" i="24"/>
  <c r="AD206" i="24"/>
  <c r="AC206" i="24"/>
  <c r="AB206" i="24"/>
  <c r="AA206" i="24"/>
  <c r="Z206" i="24"/>
  <c r="Y206" i="24"/>
  <c r="X206" i="24"/>
  <c r="W206" i="24"/>
  <c r="V206" i="24"/>
  <c r="U206" i="24"/>
  <c r="T206" i="24"/>
  <c r="S206" i="24"/>
  <c r="AD205" i="24"/>
  <c r="AC205" i="24"/>
  <c r="AB205" i="24"/>
  <c r="AA205" i="24"/>
  <c r="Z205" i="24"/>
  <c r="Y205" i="24"/>
  <c r="X205" i="24"/>
  <c r="W205" i="24"/>
  <c r="V205" i="24"/>
  <c r="U205" i="24"/>
  <c r="T205" i="24"/>
  <c r="S205" i="24"/>
  <c r="AD204" i="24"/>
  <c r="AC204" i="24"/>
  <c r="AB204" i="24"/>
  <c r="AA204" i="24"/>
  <c r="Z204" i="24"/>
  <c r="Y204" i="24"/>
  <c r="X204" i="24"/>
  <c r="W204" i="24"/>
  <c r="V204" i="24"/>
  <c r="U204" i="24"/>
  <c r="T204" i="24"/>
  <c r="S204" i="24"/>
  <c r="BN202" i="24"/>
  <c r="AD202" i="24"/>
  <c r="AC202" i="24"/>
  <c r="AB202" i="24"/>
  <c r="AA202" i="24"/>
  <c r="Z202" i="24"/>
  <c r="Y202" i="24"/>
  <c r="X202" i="24"/>
  <c r="W202" i="24"/>
  <c r="V202" i="24"/>
  <c r="U202" i="24"/>
  <c r="T202" i="24"/>
  <c r="S202" i="24"/>
  <c r="O202" i="24"/>
  <c r="N202" i="24"/>
  <c r="M202" i="24"/>
  <c r="L202" i="24"/>
  <c r="K202" i="24"/>
  <c r="J202" i="24"/>
  <c r="I202" i="24"/>
  <c r="H202" i="24"/>
  <c r="G202" i="24"/>
  <c r="F202" i="24"/>
  <c r="E202" i="24"/>
  <c r="D202" i="24"/>
  <c r="AD201" i="24"/>
  <c r="AC201" i="24"/>
  <c r="AB201" i="24"/>
  <c r="AA201" i="24"/>
  <c r="Z201" i="24"/>
  <c r="Y201" i="24"/>
  <c r="X201" i="24"/>
  <c r="W201" i="24"/>
  <c r="V201" i="24"/>
  <c r="U201" i="24"/>
  <c r="T201" i="24"/>
  <c r="S201" i="24"/>
  <c r="O201" i="24"/>
  <c r="N201" i="24"/>
  <c r="M201" i="24"/>
  <c r="L201" i="24"/>
  <c r="K201" i="24"/>
  <c r="J201" i="24"/>
  <c r="I201" i="24"/>
  <c r="H201" i="24"/>
  <c r="G201" i="24"/>
  <c r="F201" i="24"/>
  <c r="E201" i="24"/>
  <c r="D201" i="24"/>
  <c r="AD199" i="24"/>
  <c r="AC199" i="24"/>
  <c r="AB199" i="24"/>
  <c r="AA199" i="24"/>
  <c r="Z199" i="24"/>
  <c r="Y199" i="24"/>
  <c r="X199" i="24"/>
  <c r="W199" i="24"/>
  <c r="V199" i="24"/>
  <c r="U199" i="24"/>
  <c r="T199" i="24"/>
  <c r="S199" i="24"/>
  <c r="O199" i="24"/>
  <c r="N199" i="24"/>
  <c r="M199" i="24"/>
  <c r="L199" i="24"/>
  <c r="K199" i="24"/>
  <c r="J199" i="24"/>
  <c r="I199" i="24"/>
  <c r="H199" i="24"/>
  <c r="G199" i="24"/>
  <c r="F199" i="24"/>
  <c r="E199" i="24"/>
  <c r="D199" i="24"/>
  <c r="AT198" i="24"/>
  <c r="AU198" i="24" s="1"/>
  <c r="BN198" i="24" s="1"/>
  <c r="AE198" i="24"/>
  <c r="AF198" i="24" s="1"/>
  <c r="P198" i="24"/>
  <c r="Q198" i="24" s="1"/>
  <c r="AT197" i="24"/>
  <c r="AU197" i="24" s="1"/>
  <c r="BN197" i="24" s="1"/>
  <c r="AE197" i="24"/>
  <c r="AF197" i="24" s="1"/>
  <c r="P197" i="24"/>
  <c r="Q197" i="24" s="1"/>
  <c r="AT196" i="24"/>
  <c r="AU196" i="24" s="1"/>
  <c r="BN196" i="24" s="1"/>
  <c r="AE196" i="24"/>
  <c r="AF196" i="24" s="1"/>
  <c r="P196" i="24"/>
  <c r="Q196" i="24" s="1"/>
  <c r="AT195" i="24"/>
  <c r="AU195" i="24" s="1"/>
  <c r="BN195" i="24" s="1"/>
  <c r="AE195" i="24"/>
  <c r="AF195" i="24" s="1"/>
  <c r="P195" i="24"/>
  <c r="Q195" i="24" s="1"/>
  <c r="AT194" i="24"/>
  <c r="AU194" i="24" s="1"/>
  <c r="BN194" i="24" s="1"/>
  <c r="AE194" i="24"/>
  <c r="AF194" i="24" s="1"/>
  <c r="P194" i="24"/>
  <c r="Q194" i="24" s="1"/>
  <c r="AT193" i="24"/>
  <c r="AU193" i="24" s="1"/>
  <c r="BN193" i="24" s="1"/>
  <c r="AE193" i="24"/>
  <c r="AF193" i="24" s="1"/>
  <c r="P193" i="24"/>
  <c r="Q193" i="24" s="1"/>
  <c r="AD192" i="24"/>
  <c r="AC192" i="24"/>
  <c r="AB192" i="24"/>
  <c r="AA192" i="24"/>
  <c r="Z192" i="24"/>
  <c r="Y192" i="24"/>
  <c r="X192" i="24"/>
  <c r="W192" i="24"/>
  <c r="V192" i="24"/>
  <c r="U192" i="24"/>
  <c r="T192" i="24"/>
  <c r="S192" i="24"/>
  <c r="O192" i="24"/>
  <c r="N192" i="24"/>
  <c r="M192" i="24"/>
  <c r="L192" i="24"/>
  <c r="K192" i="24"/>
  <c r="J192" i="24"/>
  <c r="I192" i="24"/>
  <c r="H192" i="24"/>
  <c r="G192" i="24"/>
  <c r="F192" i="24"/>
  <c r="E192" i="24"/>
  <c r="D192" i="24"/>
  <c r="AT191" i="24"/>
  <c r="AU191" i="24" s="1"/>
  <c r="BN191" i="24" s="1"/>
  <c r="AE191" i="24"/>
  <c r="AF191" i="24" s="1"/>
  <c r="P191" i="24"/>
  <c r="Q191" i="24" s="1"/>
  <c r="AT190" i="24"/>
  <c r="AU190" i="24" s="1"/>
  <c r="BN190" i="24" s="1"/>
  <c r="AE190" i="24"/>
  <c r="AF190" i="24" s="1"/>
  <c r="P190" i="24"/>
  <c r="Q190" i="24" s="1"/>
  <c r="AT189" i="24"/>
  <c r="AU189" i="24" s="1"/>
  <c r="BN189" i="24" s="1"/>
  <c r="AE189" i="24"/>
  <c r="AF189" i="24" s="1"/>
  <c r="P189" i="24"/>
  <c r="Q189" i="24" s="1"/>
  <c r="AT188" i="24"/>
  <c r="AU188" i="24" s="1"/>
  <c r="BN188" i="24" s="1"/>
  <c r="AE188" i="24"/>
  <c r="AF188" i="24" s="1"/>
  <c r="P188" i="24"/>
  <c r="Q188" i="24" s="1"/>
  <c r="AT187" i="24"/>
  <c r="AU187" i="24" s="1"/>
  <c r="BN187" i="24" s="1"/>
  <c r="AE187" i="24"/>
  <c r="AF187" i="24" s="1"/>
  <c r="P187" i="24"/>
  <c r="Q187" i="24" s="1"/>
  <c r="AT186" i="24"/>
  <c r="AU186" i="24" s="1"/>
  <c r="BN186" i="24" s="1"/>
  <c r="AE186" i="24"/>
  <c r="AF186" i="24" s="1"/>
  <c r="P186" i="24"/>
  <c r="Q186" i="24" s="1"/>
  <c r="AT185" i="24"/>
  <c r="AU185" i="24" s="1"/>
  <c r="BN185" i="24" s="1"/>
  <c r="AE185" i="24"/>
  <c r="AF185" i="24" s="1"/>
  <c r="P185" i="24"/>
  <c r="Q185" i="24" s="1"/>
  <c r="AT184" i="24"/>
  <c r="AU184" i="24" s="1"/>
  <c r="BN184" i="24" s="1"/>
  <c r="AE184" i="24"/>
  <c r="AF184" i="24" s="1"/>
  <c r="P184" i="24"/>
  <c r="Q184" i="24" s="1"/>
  <c r="AD183" i="24"/>
  <c r="AC183" i="24"/>
  <c r="AB183" i="24"/>
  <c r="AA183" i="24"/>
  <c r="Z183" i="24"/>
  <c r="Y183" i="24"/>
  <c r="X183" i="24"/>
  <c r="W183" i="24"/>
  <c r="V183" i="24"/>
  <c r="U183" i="24"/>
  <c r="T183" i="24"/>
  <c r="S183" i="24"/>
  <c r="O183" i="24"/>
  <c r="N183" i="24"/>
  <c r="M183" i="24"/>
  <c r="L183" i="24"/>
  <c r="K183" i="24"/>
  <c r="J183" i="24"/>
  <c r="I183" i="24"/>
  <c r="H183" i="24"/>
  <c r="G183" i="24"/>
  <c r="F183" i="24"/>
  <c r="E183" i="24"/>
  <c r="D183" i="24"/>
  <c r="AD182" i="24"/>
  <c r="AC182" i="24"/>
  <c r="AB182" i="24"/>
  <c r="AA182" i="24"/>
  <c r="Z182" i="24"/>
  <c r="Y182" i="24"/>
  <c r="X182" i="24"/>
  <c r="W182" i="24"/>
  <c r="V182" i="24"/>
  <c r="U182" i="24"/>
  <c r="T182" i="24"/>
  <c r="S182" i="24"/>
  <c r="O182" i="24"/>
  <c r="N182" i="24"/>
  <c r="M182" i="24"/>
  <c r="L182" i="24"/>
  <c r="K182" i="24"/>
  <c r="J182" i="24"/>
  <c r="I182" i="24"/>
  <c r="H182" i="24"/>
  <c r="G182" i="24"/>
  <c r="F182" i="24"/>
  <c r="E182" i="24"/>
  <c r="D182" i="24"/>
  <c r="AD181" i="24"/>
  <c r="AC181" i="24"/>
  <c r="AB181" i="24"/>
  <c r="AA181" i="24"/>
  <c r="Z181" i="24"/>
  <c r="Y181" i="24"/>
  <c r="X181" i="24"/>
  <c r="W181" i="24"/>
  <c r="V181" i="24"/>
  <c r="U181" i="24"/>
  <c r="T181" i="24"/>
  <c r="S181" i="24"/>
  <c r="O181" i="24"/>
  <c r="N181" i="24"/>
  <c r="M181" i="24"/>
  <c r="L181" i="24"/>
  <c r="K181" i="24"/>
  <c r="J181" i="24"/>
  <c r="I181" i="24"/>
  <c r="H181" i="24"/>
  <c r="G181" i="24"/>
  <c r="F181" i="24"/>
  <c r="E181" i="24"/>
  <c r="D181" i="24"/>
  <c r="AD180" i="24"/>
  <c r="AC180" i="24"/>
  <c r="AB180" i="24"/>
  <c r="AA180" i="24"/>
  <c r="Z180" i="24"/>
  <c r="Y180" i="24"/>
  <c r="X180" i="24"/>
  <c r="W180" i="24"/>
  <c r="V180" i="24"/>
  <c r="U180" i="24"/>
  <c r="T180" i="24"/>
  <c r="S180" i="24"/>
  <c r="O180" i="24"/>
  <c r="N180" i="24"/>
  <c r="M180" i="24"/>
  <c r="L180" i="24"/>
  <c r="K180" i="24"/>
  <c r="J180" i="24"/>
  <c r="I180" i="24"/>
  <c r="H180" i="24"/>
  <c r="G180" i="24"/>
  <c r="F180" i="24"/>
  <c r="E180" i="24"/>
  <c r="D180" i="24"/>
  <c r="AD179" i="24"/>
  <c r="AC179" i="24"/>
  <c r="AB179" i="24"/>
  <c r="AA179" i="24"/>
  <c r="Z179" i="24"/>
  <c r="Y179" i="24"/>
  <c r="X179" i="24"/>
  <c r="W179" i="24"/>
  <c r="V179" i="24"/>
  <c r="U179" i="24"/>
  <c r="T179" i="24"/>
  <c r="S179" i="24"/>
  <c r="O179" i="24"/>
  <c r="N179" i="24"/>
  <c r="M179" i="24"/>
  <c r="L179" i="24"/>
  <c r="K179" i="24"/>
  <c r="J179" i="24"/>
  <c r="I179" i="24"/>
  <c r="H179" i="24"/>
  <c r="G179" i="24"/>
  <c r="F179" i="24"/>
  <c r="E179" i="24"/>
  <c r="D179" i="24"/>
  <c r="AT178" i="24"/>
  <c r="AU178" i="24" s="1"/>
  <c r="BN178" i="24" s="1"/>
  <c r="AE178" i="24"/>
  <c r="AF178" i="24" s="1"/>
  <c r="P178" i="24"/>
  <c r="Q178" i="24" s="1"/>
  <c r="AT177" i="24"/>
  <c r="AU177" i="24" s="1"/>
  <c r="BN177" i="24" s="1"/>
  <c r="AE177" i="24"/>
  <c r="AF177" i="24" s="1"/>
  <c r="P177" i="24"/>
  <c r="Q177" i="24" s="1"/>
  <c r="AT176" i="24"/>
  <c r="AU176" i="24" s="1"/>
  <c r="BN176" i="24" s="1"/>
  <c r="AE176" i="24"/>
  <c r="AF176" i="24" s="1"/>
  <c r="P176" i="24"/>
  <c r="Q176" i="24" s="1"/>
  <c r="AT175" i="24"/>
  <c r="AU175" i="24" s="1"/>
  <c r="BN175" i="24" s="1"/>
  <c r="AE175" i="24"/>
  <c r="AF175" i="24" s="1"/>
  <c r="P175" i="24"/>
  <c r="Q175" i="24" s="1"/>
  <c r="AT174" i="24"/>
  <c r="AU174" i="24" s="1"/>
  <c r="BN174" i="24" s="1"/>
  <c r="AE174" i="24"/>
  <c r="AF174" i="24" s="1"/>
  <c r="P174" i="24"/>
  <c r="Q174" i="24" s="1"/>
  <c r="AT173" i="24"/>
  <c r="AU173" i="24" s="1"/>
  <c r="BN173" i="24" s="1"/>
  <c r="AE173" i="24"/>
  <c r="AF173" i="24" s="1"/>
  <c r="P173" i="24"/>
  <c r="Q173" i="24" s="1"/>
  <c r="AT172" i="24"/>
  <c r="AU172" i="24" s="1"/>
  <c r="BN172" i="24" s="1"/>
  <c r="AE172" i="24"/>
  <c r="AF172" i="24" s="1"/>
  <c r="P172" i="24"/>
  <c r="Q172" i="24" s="1"/>
  <c r="AT171" i="24"/>
  <c r="AU171" i="24" s="1"/>
  <c r="BN171" i="24" s="1"/>
  <c r="AE171" i="24"/>
  <c r="AF171" i="24" s="1"/>
  <c r="P171" i="24"/>
  <c r="Q171" i="24" s="1"/>
  <c r="AT170" i="24"/>
  <c r="AU170" i="24" s="1"/>
  <c r="BN170" i="24" s="1"/>
  <c r="AE170" i="24"/>
  <c r="AF170" i="24" s="1"/>
  <c r="P170" i="24"/>
  <c r="Q170" i="24" s="1"/>
  <c r="AT169" i="24"/>
  <c r="AU169" i="24" s="1"/>
  <c r="BN169" i="24" s="1"/>
  <c r="AE169" i="24"/>
  <c r="AF169" i="24" s="1"/>
  <c r="P169" i="24"/>
  <c r="Q169" i="24" s="1"/>
  <c r="AD168" i="24"/>
  <c r="AC168" i="24"/>
  <c r="AB168" i="24"/>
  <c r="AA168" i="24"/>
  <c r="Z168" i="24"/>
  <c r="Y168" i="24"/>
  <c r="X168" i="24"/>
  <c r="W168" i="24"/>
  <c r="V168" i="24"/>
  <c r="U168" i="24"/>
  <c r="T168" i="24"/>
  <c r="S168" i="24"/>
  <c r="O168" i="24"/>
  <c r="N168" i="24"/>
  <c r="M168" i="24"/>
  <c r="L168" i="24"/>
  <c r="K168" i="24"/>
  <c r="J168" i="24"/>
  <c r="I168" i="24"/>
  <c r="H168" i="24"/>
  <c r="G168" i="24"/>
  <c r="F168" i="24"/>
  <c r="E168" i="24"/>
  <c r="D168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O166" i="24"/>
  <c r="N166" i="24"/>
  <c r="M166" i="24"/>
  <c r="L166" i="24"/>
  <c r="K166" i="24"/>
  <c r="J166" i="24"/>
  <c r="I166" i="24"/>
  <c r="H166" i="24"/>
  <c r="G166" i="24"/>
  <c r="F166" i="24"/>
  <c r="E166" i="24"/>
  <c r="D166" i="24"/>
  <c r="AD165" i="24"/>
  <c r="AC165" i="24"/>
  <c r="AB165" i="24"/>
  <c r="AA165" i="24"/>
  <c r="Z165" i="24"/>
  <c r="Y165" i="24"/>
  <c r="X165" i="24"/>
  <c r="W165" i="24"/>
  <c r="V165" i="24"/>
  <c r="U165" i="24"/>
  <c r="T165" i="24"/>
  <c r="S165" i="24"/>
  <c r="O165" i="24"/>
  <c r="N165" i="24"/>
  <c r="M165" i="24"/>
  <c r="L165" i="24"/>
  <c r="K165" i="24"/>
  <c r="J165" i="24"/>
  <c r="I165" i="24"/>
  <c r="H165" i="24"/>
  <c r="G165" i="24"/>
  <c r="F165" i="24"/>
  <c r="E165" i="24"/>
  <c r="D165" i="24"/>
  <c r="AD164" i="24"/>
  <c r="AC164" i="24"/>
  <c r="AB164" i="24"/>
  <c r="AA164" i="24"/>
  <c r="Z164" i="24"/>
  <c r="Y164" i="24"/>
  <c r="X164" i="24"/>
  <c r="W164" i="24"/>
  <c r="V164" i="24"/>
  <c r="U164" i="24"/>
  <c r="T164" i="24"/>
  <c r="S164" i="24"/>
  <c r="O164" i="24"/>
  <c r="N164" i="24"/>
  <c r="M164" i="24"/>
  <c r="L164" i="24"/>
  <c r="K164" i="24"/>
  <c r="J164" i="24"/>
  <c r="I164" i="24"/>
  <c r="H164" i="24"/>
  <c r="G164" i="24"/>
  <c r="F164" i="24"/>
  <c r="E164" i="24"/>
  <c r="D164" i="24"/>
  <c r="AT163" i="24"/>
  <c r="AU163" i="24" s="1"/>
  <c r="BN163" i="24" s="1"/>
  <c r="AE163" i="24"/>
  <c r="AF163" i="24" s="1"/>
  <c r="P163" i="24"/>
  <c r="Q163" i="24" s="1"/>
  <c r="AT162" i="24"/>
  <c r="AU162" i="24" s="1"/>
  <c r="BN162" i="24" s="1"/>
  <c r="AE162" i="24"/>
  <c r="AF162" i="24" s="1"/>
  <c r="P162" i="24"/>
  <c r="Q162" i="24" s="1"/>
  <c r="AT161" i="24"/>
  <c r="AU161" i="24" s="1"/>
  <c r="BN161" i="24" s="1"/>
  <c r="AE161" i="24"/>
  <c r="AF161" i="24" s="1"/>
  <c r="P161" i="24"/>
  <c r="Q161" i="24" s="1"/>
  <c r="AT160" i="24"/>
  <c r="AU160" i="24" s="1"/>
  <c r="BN160" i="24" s="1"/>
  <c r="AE160" i="24"/>
  <c r="AF160" i="24" s="1"/>
  <c r="P160" i="24"/>
  <c r="Q160" i="24" s="1"/>
  <c r="AT159" i="24"/>
  <c r="AU159" i="24" s="1"/>
  <c r="BN159" i="24" s="1"/>
  <c r="AE159" i="24"/>
  <c r="AF159" i="24" s="1"/>
  <c r="P159" i="24"/>
  <c r="Q159" i="24" s="1"/>
  <c r="AT158" i="24"/>
  <c r="AU158" i="24" s="1"/>
  <c r="BN158" i="24" s="1"/>
  <c r="AE158" i="24"/>
  <c r="AF158" i="24" s="1"/>
  <c r="P158" i="24"/>
  <c r="Q158" i="24" s="1"/>
  <c r="AT157" i="24"/>
  <c r="AU157" i="24" s="1"/>
  <c r="BN157" i="24" s="1"/>
  <c r="AE157" i="24"/>
  <c r="AF157" i="24" s="1"/>
  <c r="P157" i="24"/>
  <c r="Q157" i="24" s="1"/>
  <c r="AT156" i="24"/>
  <c r="AU156" i="24" s="1"/>
  <c r="BN156" i="24" s="1"/>
  <c r="AE156" i="24"/>
  <c r="AF156" i="24" s="1"/>
  <c r="P156" i="24"/>
  <c r="Q156" i="24" s="1"/>
  <c r="AT155" i="24"/>
  <c r="AU155" i="24" s="1"/>
  <c r="BN155" i="24" s="1"/>
  <c r="AE155" i="24"/>
  <c r="AF155" i="24" s="1"/>
  <c r="P155" i="24"/>
  <c r="Q155" i="24" s="1"/>
  <c r="AT154" i="24"/>
  <c r="AU154" i="24" s="1"/>
  <c r="BN154" i="24" s="1"/>
  <c r="AE154" i="24"/>
  <c r="AF154" i="24" s="1"/>
  <c r="P154" i="24"/>
  <c r="Q154" i="24" s="1"/>
  <c r="AD153" i="24"/>
  <c r="AC153" i="24"/>
  <c r="AB153" i="24"/>
  <c r="AA153" i="24"/>
  <c r="Z153" i="24"/>
  <c r="Y153" i="24"/>
  <c r="X153" i="24"/>
  <c r="W153" i="24"/>
  <c r="V153" i="24"/>
  <c r="U153" i="24"/>
  <c r="T153" i="24"/>
  <c r="S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AD152" i="24"/>
  <c r="AC152" i="24"/>
  <c r="AB152" i="24"/>
  <c r="AA152" i="24"/>
  <c r="Z152" i="24"/>
  <c r="Y152" i="24"/>
  <c r="X152" i="24"/>
  <c r="W152" i="24"/>
  <c r="V152" i="24"/>
  <c r="U152" i="24"/>
  <c r="T152" i="24"/>
  <c r="S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AD151" i="24"/>
  <c r="AC151" i="24"/>
  <c r="AB151" i="24"/>
  <c r="AA151" i="24"/>
  <c r="Z151" i="24"/>
  <c r="Y151" i="24"/>
  <c r="X151" i="24"/>
  <c r="W151" i="24"/>
  <c r="V151" i="24"/>
  <c r="U151" i="24"/>
  <c r="T151" i="24"/>
  <c r="S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AD150" i="24"/>
  <c r="AC150" i="24"/>
  <c r="AB150" i="24"/>
  <c r="AA150" i="24"/>
  <c r="Z150" i="24"/>
  <c r="Y150" i="24"/>
  <c r="X150" i="24"/>
  <c r="W150" i="24"/>
  <c r="V150" i="24"/>
  <c r="U150" i="24"/>
  <c r="T150" i="24"/>
  <c r="S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AD149" i="24"/>
  <c r="AC149" i="24"/>
  <c r="AB149" i="24"/>
  <c r="AA149" i="24"/>
  <c r="Z149" i="24"/>
  <c r="Y149" i="24"/>
  <c r="X149" i="24"/>
  <c r="W149" i="24"/>
  <c r="V149" i="24"/>
  <c r="U149" i="24"/>
  <c r="T149" i="24"/>
  <c r="S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AT148" i="24"/>
  <c r="AU148" i="24" s="1"/>
  <c r="BN148" i="24" s="1"/>
  <c r="AE148" i="24"/>
  <c r="AF148" i="24" s="1"/>
  <c r="P148" i="24"/>
  <c r="Q148" i="24" s="1"/>
  <c r="AT147" i="24"/>
  <c r="AU147" i="24" s="1"/>
  <c r="BN147" i="24" s="1"/>
  <c r="AE147" i="24"/>
  <c r="AF147" i="24" s="1"/>
  <c r="P147" i="24"/>
  <c r="Q147" i="24" s="1"/>
  <c r="AT146" i="24"/>
  <c r="AU146" i="24" s="1"/>
  <c r="BN146" i="24" s="1"/>
  <c r="AE146" i="24"/>
  <c r="AF146" i="24" s="1"/>
  <c r="P146" i="24"/>
  <c r="Q146" i="24" s="1"/>
  <c r="AT144" i="24"/>
  <c r="AU144" i="24" s="1"/>
  <c r="BN144" i="24" s="1"/>
  <c r="AE144" i="24"/>
  <c r="AF144" i="24" s="1"/>
  <c r="P144" i="24"/>
  <c r="Q144" i="24" s="1"/>
  <c r="AT143" i="24"/>
  <c r="AU143" i="24" s="1"/>
  <c r="BN143" i="24" s="1"/>
  <c r="AE143" i="24"/>
  <c r="AF143" i="24" s="1"/>
  <c r="P143" i="24"/>
  <c r="Q143" i="24" s="1"/>
  <c r="AT142" i="24"/>
  <c r="AU142" i="24" s="1"/>
  <c r="BN142" i="24" s="1"/>
  <c r="AE142" i="24"/>
  <c r="AF142" i="24" s="1"/>
  <c r="P142" i="24"/>
  <c r="Q142" i="24" s="1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AT137" i="24"/>
  <c r="AU137" i="24" s="1"/>
  <c r="BN137" i="24" s="1"/>
  <c r="AE137" i="24"/>
  <c r="AF137" i="24" s="1"/>
  <c r="P137" i="24"/>
  <c r="Q137" i="24" s="1"/>
  <c r="AT136" i="24"/>
  <c r="AU136" i="24" s="1"/>
  <c r="BN136" i="24" s="1"/>
  <c r="AE136" i="24"/>
  <c r="AF136" i="24" s="1"/>
  <c r="P136" i="24"/>
  <c r="Q136" i="24" s="1"/>
  <c r="AD135" i="24"/>
  <c r="AC135" i="24"/>
  <c r="AC131" i="24" s="1"/>
  <c r="AB135" i="24"/>
  <c r="AB131" i="24" s="1"/>
  <c r="AA135" i="24"/>
  <c r="AA131" i="24" s="1"/>
  <c r="Z135" i="24"/>
  <c r="Z131" i="24" s="1"/>
  <c r="Y135" i="24"/>
  <c r="Y131" i="24" s="1"/>
  <c r="X135" i="24"/>
  <c r="X131" i="24" s="1"/>
  <c r="W135" i="24"/>
  <c r="W131" i="24" s="1"/>
  <c r="V135" i="24"/>
  <c r="V131" i="24" s="1"/>
  <c r="U135" i="24"/>
  <c r="U131" i="24" s="1"/>
  <c r="T135" i="24"/>
  <c r="S135" i="24"/>
  <c r="S131" i="24" s="1"/>
  <c r="O135" i="24"/>
  <c r="O131" i="24" s="1"/>
  <c r="N135" i="24"/>
  <c r="N131" i="24" s="1"/>
  <c r="M135" i="24"/>
  <c r="M131" i="24" s="1"/>
  <c r="L135" i="24"/>
  <c r="L131" i="24" s="1"/>
  <c r="K135" i="24"/>
  <c r="K131" i="24" s="1"/>
  <c r="J135" i="24"/>
  <c r="J131" i="24" s="1"/>
  <c r="I135" i="24"/>
  <c r="I131" i="24" s="1"/>
  <c r="H135" i="24"/>
  <c r="H131" i="24" s="1"/>
  <c r="G135" i="24"/>
  <c r="G131" i="24" s="1"/>
  <c r="F135" i="24"/>
  <c r="F131" i="24" s="1"/>
  <c r="E135" i="24"/>
  <c r="D135" i="24"/>
  <c r="D131" i="24" s="1"/>
  <c r="AT134" i="24"/>
  <c r="AU134" i="24" s="1"/>
  <c r="BN134" i="24" s="1"/>
  <c r="AE134" i="24"/>
  <c r="AF134" i="24" s="1"/>
  <c r="P134" i="24"/>
  <c r="Q134" i="24" s="1"/>
  <c r="AT133" i="24"/>
  <c r="AU133" i="24" s="1"/>
  <c r="BN133" i="24" s="1"/>
  <c r="AE133" i="24"/>
  <c r="AF133" i="24" s="1"/>
  <c r="P133" i="24"/>
  <c r="Q133" i="24" s="1"/>
  <c r="AD132" i="24"/>
  <c r="AD130" i="24" s="1"/>
  <c r="AC132" i="24"/>
  <c r="AC130" i="24" s="1"/>
  <c r="AB132" i="24"/>
  <c r="AB130" i="24" s="1"/>
  <c r="AA132" i="24"/>
  <c r="AA130" i="24" s="1"/>
  <c r="Z132" i="24"/>
  <c r="Z130" i="24" s="1"/>
  <c r="Y132" i="24"/>
  <c r="Y130" i="24" s="1"/>
  <c r="X132" i="24"/>
  <c r="X130" i="24" s="1"/>
  <c r="W132" i="24"/>
  <c r="W130" i="24" s="1"/>
  <c r="V132" i="24"/>
  <c r="V130" i="24" s="1"/>
  <c r="U132" i="24"/>
  <c r="U130" i="24" s="1"/>
  <c r="T132" i="24"/>
  <c r="T130" i="24" s="1"/>
  <c r="S132" i="24"/>
  <c r="S130" i="24" s="1"/>
  <c r="O132" i="24"/>
  <c r="O130" i="24" s="1"/>
  <c r="N132" i="24"/>
  <c r="N130" i="24" s="1"/>
  <c r="M132" i="24"/>
  <c r="M130" i="24" s="1"/>
  <c r="L132" i="24"/>
  <c r="L130" i="24" s="1"/>
  <c r="K132" i="24"/>
  <c r="K130" i="24" s="1"/>
  <c r="J132" i="24"/>
  <c r="J130" i="24" s="1"/>
  <c r="I132" i="24"/>
  <c r="I130" i="24" s="1"/>
  <c r="H132" i="24"/>
  <c r="H130" i="24" s="1"/>
  <c r="G132" i="24"/>
  <c r="G130" i="24" s="1"/>
  <c r="F132" i="24"/>
  <c r="F130" i="24" s="1"/>
  <c r="E132" i="24"/>
  <c r="E130" i="24" s="1"/>
  <c r="D132" i="24"/>
  <c r="D130" i="24" s="1"/>
  <c r="AU119" i="24"/>
  <c r="BN119" i="24" s="1"/>
  <c r="AU118" i="24"/>
  <c r="BN118" i="24" s="1"/>
  <c r="AU117" i="24"/>
  <c r="BN117" i="24" s="1"/>
  <c r="AU116" i="24"/>
  <c r="BN116" i="24" s="1"/>
  <c r="AU114" i="24"/>
  <c r="BN114" i="24" s="1"/>
  <c r="AT111" i="24"/>
  <c r="AE111" i="24"/>
  <c r="AF111" i="24" s="1"/>
  <c r="P111" i="24"/>
  <c r="Q111" i="24" s="1"/>
  <c r="AT110" i="24"/>
  <c r="AE110" i="24"/>
  <c r="AF110" i="24" s="1"/>
  <c r="P110" i="24"/>
  <c r="Q110" i="24" s="1"/>
  <c r="AT109" i="24"/>
  <c r="AE109" i="24"/>
  <c r="AF109" i="24" s="1"/>
  <c r="P109" i="24"/>
  <c r="Q109" i="24" s="1"/>
  <c r="AT108" i="24"/>
  <c r="AE108" i="24"/>
  <c r="AF108" i="24" s="1"/>
  <c r="P108" i="24"/>
  <c r="Q108" i="24" s="1"/>
  <c r="AT107" i="24"/>
  <c r="AE107" i="24"/>
  <c r="AF107" i="24" s="1"/>
  <c r="P107" i="24"/>
  <c r="Q107" i="24" s="1"/>
  <c r="AT106" i="24"/>
  <c r="AE106" i="24"/>
  <c r="AF106" i="24" s="1"/>
  <c r="P106" i="24"/>
  <c r="Q106" i="24" s="1"/>
  <c r="AT105" i="24"/>
  <c r="AE105" i="24"/>
  <c r="AF105" i="24" s="1"/>
  <c r="P105" i="24"/>
  <c r="Q105" i="24" s="1"/>
  <c r="AT104" i="24"/>
  <c r="AE104" i="24"/>
  <c r="AF104" i="24" s="1"/>
  <c r="P104" i="24"/>
  <c r="Q104" i="24" s="1"/>
  <c r="AD103" i="24"/>
  <c r="AC103" i="24"/>
  <c r="AB103" i="24"/>
  <c r="AA103" i="24"/>
  <c r="Z103" i="24"/>
  <c r="Y103" i="24"/>
  <c r="X103" i="24"/>
  <c r="W103" i="24"/>
  <c r="V103" i="24"/>
  <c r="U103" i="24"/>
  <c r="T103" i="24"/>
  <c r="S103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AT98" i="24"/>
  <c r="AE98" i="24"/>
  <c r="AF98" i="24" s="1"/>
  <c r="P98" i="24"/>
  <c r="Q98" i="24" s="1"/>
  <c r="AT97" i="24"/>
  <c r="AE97" i="24"/>
  <c r="AF97" i="24" s="1"/>
  <c r="P97" i="24"/>
  <c r="Q97" i="24" s="1"/>
  <c r="AT96" i="24"/>
  <c r="AE96" i="24"/>
  <c r="AF96" i="24" s="1"/>
  <c r="P96" i="24"/>
  <c r="Q96" i="24" s="1"/>
  <c r="AT95" i="24"/>
  <c r="AE95" i="24"/>
  <c r="AF95" i="24" s="1"/>
  <c r="P95" i="24"/>
  <c r="Q95" i="24" s="1"/>
  <c r="AT94" i="24"/>
  <c r="AE94" i="24"/>
  <c r="AF94" i="24" s="1"/>
  <c r="P94" i="24"/>
  <c r="Q94" i="24" s="1"/>
  <c r="AT93" i="24"/>
  <c r="AE93" i="24"/>
  <c r="AF93" i="24" s="1"/>
  <c r="P93" i="24"/>
  <c r="Q93" i="24" s="1"/>
  <c r="AT92" i="24"/>
  <c r="AE92" i="24"/>
  <c r="AF92" i="24" s="1"/>
  <c r="P92" i="24"/>
  <c r="Q92" i="24" s="1"/>
  <c r="AT91" i="24"/>
  <c r="AE91" i="24"/>
  <c r="AF91" i="24" s="1"/>
  <c r="P91" i="24"/>
  <c r="Q91" i="24" s="1"/>
  <c r="AT90" i="24"/>
  <c r="AE90" i="24"/>
  <c r="AF90" i="24" s="1"/>
  <c r="P90" i="24"/>
  <c r="Q90" i="24" s="1"/>
  <c r="AT89" i="24"/>
  <c r="AE89" i="24"/>
  <c r="AF89" i="24" s="1"/>
  <c r="P89" i="24"/>
  <c r="Q89" i="24" s="1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AT83" i="24"/>
  <c r="AE83" i="24"/>
  <c r="AF83" i="24" s="1"/>
  <c r="P83" i="24"/>
  <c r="Q83" i="24" s="1"/>
  <c r="AT82" i="24"/>
  <c r="AE82" i="24"/>
  <c r="AF82" i="24" s="1"/>
  <c r="P82" i="24"/>
  <c r="Q82" i="24" s="1"/>
  <c r="AT81" i="24"/>
  <c r="AE81" i="24"/>
  <c r="AF81" i="24" s="1"/>
  <c r="P81" i="24"/>
  <c r="Q81" i="24" s="1"/>
  <c r="AT80" i="24"/>
  <c r="AE80" i="24"/>
  <c r="AF80" i="24" s="1"/>
  <c r="P80" i="24"/>
  <c r="Q80" i="24" s="1"/>
  <c r="AT79" i="24"/>
  <c r="AE79" i="24"/>
  <c r="AF79" i="24" s="1"/>
  <c r="P79" i="24"/>
  <c r="Q79" i="24" s="1"/>
  <c r="AT78" i="24"/>
  <c r="AE78" i="24"/>
  <c r="AF78" i="24" s="1"/>
  <c r="P78" i="24"/>
  <c r="Q78" i="24" s="1"/>
  <c r="AT77" i="24"/>
  <c r="AE77" i="24"/>
  <c r="AF77" i="24" s="1"/>
  <c r="P77" i="24"/>
  <c r="Q77" i="24" s="1"/>
  <c r="AT76" i="24"/>
  <c r="AE76" i="24"/>
  <c r="AF76" i="24" s="1"/>
  <c r="P76" i="24"/>
  <c r="Q76" i="24" s="1"/>
  <c r="AT75" i="24"/>
  <c r="AE75" i="24"/>
  <c r="AF75" i="24" s="1"/>
  <c r="P75" i="24"/>
  <c r="Q75" i="24" s="1"/>
  <c r="AT74" i="24"/>
  <c r="AE74" i="24"/>
  <c r="AF74" i="24" s="1"/>
  <c r="P74" i="24"/>
  <c r="Q74" i="24" s="1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AT68" i="24"/>
  <c r="AE68" i="24"/>
  <c r="AF68" i="24" s="1"/>
  <c r="P68" i="24"/>
  <c r="Q68" i="24" s="1"/>
  <c r="AT67" i="24"/>
  <c r="AU67" i="24" s="1"/>
  <c r="BN67" i="24" s="1"/>
  <c r="AE67" i="24"/>
  <c r="AF67" i="24" s="1"/>
  <c r="P67" i="24"/>
  <c r="Q67" i="24" s="1"/>
  <c r="AT66" i="24"/>
  <c r="AU66" i="24" s="1"/>
  <c r="BN66" i="24" s="1"/>
  <c r="AE66" i="24"/>
  <c r="AF66" i="24" s="1"/>
  <c r="P66" i="24"/>
  <c r="Q66" i="24" s="1"/>
  <c r="AT65" i="24"/>
  <c r="AU65" i="24" s="1"/>
  <c r="BN65" i="24" s="1"/>
  <c r="AE65" i="24"/>
  <c r="AF65" i="24" s="1"/>
  <c r="P65" i="24"/>
  <c r="Q65" i="24" s="1"/>
  <c r="AT63" i="24"/>
  <c r="AU63" i="24" s="1"/>
  <c r="BN63" i="24" s="1"/>
  <c r="AE63" i="24"/>
  <c r="AF63" i="24" s="1"/>
  <c r="P63" i="24"/>
  <c r="Q63" i="24" s="1"/>
  <c r="AT62" i="24"/>
  <c r="AU62" i="24" s="1"/>
  <c r="BN62" i="24" s="1"/>
  <c r="AE62" i="24"/>
  <c r="AF62" i="24" s="1"/>
  <c r="P62" i="24"/>
  <c r="Q62" i="24" s="1"/>
  <c r="AT60" i="24"/>
  <c r="AU60" i="24" s="1"/>
  <c r="BN60" i="24" s="1"/>
  <c r="AE60" i="24"/>
  <c r="AF60" i="24" s="1"/>
  <c r="AT59" i="24"/>
  <c r="AU59" i="24" s="1"/>
  <c r="BN59" i="24" s="1"/>
  <c r="AE59" i="24"/>
  <c r="AF59" i="24" s="1"/>
  <c r="AT57" i="24"/>
  <c r="AU57" i="24" s="1"/>
  <c r="BN57" i="24" s="1"/>
  <c r="AE57" i="24"/>
  <c r="P57" i="24"/>
  <c r="Q57" i="24" s="1"/>
  <c r="AD56" i="24"/>
  <c r="AD58" i="24" s="1"/>
  <c r="AC56" i="24"/>
  <c r="AC58" i="24" s="1"/>
  <c r="AB56" i="24"/>
  <c r="AB58" i="24" s="1"/>
  <c r="AA56" i="24"/>
  <c r="AA61" i="24" s="1"/>
  <c r="Z56" i="24"/>
  <c r="Z58" i="24" s="1"/>
  <c r="Y56" i="24"/>
  <c r="X56" i="24"/>
  <c r="X58" i="24" s="1"/>
  <c r="W56" i="24"/>
  <c r="W58" i="24" s="1"/>
  <c r="V56" i="24"/>
  <c r="V61" i="24" s="1"/>
  <c r="U56" i="24"/>
  <c r="U61" i="24" s="1"/>
  <c r="T56" i="24"/>
  <c r="T61" i="24" s="1"/>
  <c r="S56" i="24"/>
  <c r="S58" i="24" s="1"/>
  <c r="O56" i="24"/>
  <c r="N56" i="24"/>
  <c r="M56" i="24"/>
  <c r="L56" i="24"/>
  <c r="K56" i="24"/>
  <c r="J56" i="24"/>
  <c r="I56" i="24"/>
  <c r="H56" i="24"/>
  <c r="G56" i="24"/>
  <c r="F56" i="24"/>
  <c r="E56" i="24"/>
  <c r="D56" i="24"/>
  <c r="AT12" i="24"/>
  <c r="AU12" i="24" s="1"/>
  <c r="BN12" i="24" s="1"/>
  <c r="AE12" i="24"/>
  <c r="AF12" i="24" s="1"/>
  <c r="P12" i="24"/>
  <c r="Q12" i="24" s="1"/>
  <c r="AT11" i="24"/>
  <c r="AU11" i="24" s="1"/>
  <c r="BN11" i="24" s="1"/>
  <c r="AE11" i="24"/>
  <c r="AF11" i="24" s="1"/>
  <c r="P11" i="24"/>
  <c r="Q11" i="24" s="1"/>
  <c r="AT10" i="24"/>
  <c r="AU10" i="24" s="1"/>
  <c r="BN10" i="24" s="1"/>
  <c r="AE10" i="24"/>
  <c r="AF10" i="24" s="1"/>
  <c r="P10" i="24"/>
  <c r="Q10" i="24" s="1"/>
  <c r="AT9" i="24"/>
  <c r="AU9" i="24" s="1"/>
  <c r="BN9" i="24" s="1"/>
  <c r="AE9" i="24"/>
  <c r="AF9" i="24" s="1"/>
  <c r="P9" i="24"/>
  <c r="Q9" i="24" s="1"/>
  <c r="AT7" i="24"/>
  <c r="AU7" i="24" s="1"/>
  <c r="BN7" i="24" s="1"/>
  <c r="AE7" i="24"/>
  <c r="AF7" i="24" s="1"/>
  <c r="P7" i="24"/>
  <c r="Q7" i="24" s="1"/>
  <c r="AT6" i="24"/>
  <c r="AE6" i="24"/>
  <c r="AF6" i="24" s="1"/>
  <c r="P6" i="24"/>
  <c r="Q6" i="24" s="1"/>
  <c r="AT5" i="24"/>
  <c r="AU5" i="24" s="1"/>
  <c r="BN5" i="24" s="1"/>
  <c r="AE5" i="24"/>
  <c r="AF5" i="24" s="1"/>
  <c r="P5" i="24"/>
  <c r="Q5" i="24" s="1"/>
  <c r="AD4" i="24"/>
  <c r="AC4" i="24"/>
  <c r="AB4" i="24"/>
  <c r="AA4" i="24"/>
  <c r="Z4" i="24"/>
  <c r="Y4" i="24"/>
  <c r="X4" i="24"/>
  <c r="W4" i="24"/>
  <c r="V4" i="24"/>
  <c r="U4" i="24"/>
  <c r="T4" i="24"/>
  <c r="S4" i="24"/>
  <c r="O4" i="24"/>
  <c r="N4" i="24"/>
  <c r="M4" i="24"/>
  <c r="L4" i="24"/>
  <c r="K4" i="24"/>
  <c r="J4" i="24"/>
  <c r="I4" i="24"/>
  <c r="H4" i="24"/>
  <c r="G4" i="24"/>
  <c r="F4" i="24"/>
  <c r="E4" i="24"/>
  <c r="D4" i="24"/>
  <c r="BO391" i="55"/>
  <c r="BO390" i="55"/>
  <c r="BO389" i="55"/>
  <c r="BO388" i="55"/>
  <c r="BO387" i="55"/>
  <c r="BO386" i="55"/>
  <c r="BO384" i="55"/>
  <c r="BO383" i="55"/>
  <c r="BO382" i="55"/>
  <c r="BO381" i="55"/>
  <c r="BO380" i="55"/>
  <c r="BO358" i="55"/>
  <c r="BO357" i="55"/>
  <c r="BO356" i="55"/>
  <c r="BO355" i="55"/>
  <c r="BO354" i="55"/>
  <c r="BO353" i="55"/>
  <c r="BO352" i="55"/>
  <c r="BO351" i="55"/>
  <c r="BO350" i="55"/>
  <c r="BO349" i="55"/>
  <c r="BO348" i="55"/>
  <c r="BO347" i="55"/>
  <c r="BO346" i="55"/>
  <c r="BO345" i="55"/>
  <c r="BO344" i="55"/>
  <c r="BO343" i="55"/>
  <c r="BO342" i="55"/>
  <c r="BO341" i="55"/>
  <c r="BO340" i="55"/>
  <c r="BO339" i="55"/>
  <c r="BO338" i="55"/>
  <c r="BO337" i="55"/>
  <c r="BO336" i="55"/>
  <c r="BO335" i="55"/>
  <c r="BO334" i="55"/>
  <c r="BO333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U97" i="55"/>
  <c r="T97" i="55"/>
  <c r="AV96" i="55"/>
  <c r="BM96" i="55" s="1"/>
  <c r="AU96" i="55"/>
  <c r="AG96" i="55"/>
  <c r="AF96" i="55"/>
  <c r="R96" i="55"/>
  <c r="AV95" i="55"/>
  <c r="BM95" i="55" s="1"/>
  <c r="AU95" i="55"/>
  <c r="AG95" i="55"/>
  <c r="AF95" i="55"/>
  <c r="R95" i="55"/>
  <c r="AE94" i="55"/>
  <c r="AE97" i="55" s="1"/>
  <c r="AD94" i="55"/>
  <c r="AD97" i="55" s="1"/>
  <c r="AC94" i="55"/>
  <c r="AC97" i="55" s="1"/>
  <c r="AB94" i="55"/>
  <c r="AB59" i="55" s="1"/>
  <c r="AA94" i="55"/>
  <c r="AA97" i="55" s="1"/>
  <c r="Z94" i="55"/>
  <c r="Z97" i="55" s="1"/>
  <c r="Y94" i="55"/>
  <c r="Y59" i="55" s="1"/>
  <c r="X94" i="55"/>
  <c r="X59" i="55" s="1"/>
  <c r="W94" i="55"/>
  <c r="W59" i="55" s="1"/>
  <c r="V94" i="55"/>
  <c r="AV93" i="55"/>
  <c r="BM93" i="55" s="1"/>
  <c r="AU93" i="55"/>
  <c r="AG93" i="55"/>
  <c r="AF93" i="55"/>
  <c r="AI99" i="55" s="1"/>
  <c r="S93" i="55"/>
  <c r="R93" i="55"/>
  <c r="AE85" i="55"/>
  <c r="AD85" i="55"/>
  <c r="AC85" i="55"/>
  <c r="AB85" i="55"/>
  <c r="AA85" i="55"/>
  <c r="Z85" i="55"/>
  <c r="Y85" i="55"/>
  <c r="X85" i="55"/>
  <c r="W85" i="55"/>
  <c r="W84" i="55" s="1"/>
  <c r="V85" i="55"/>
  <c r="U85" i="55"/>
  <c r="T85" i="55"/>
  <c r="T84" i="55" s="1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AV82" i="55"/>
  <c r="AU82" i="55"/>
  <c r="AG82" i="55"/>
  <c r="AF82" i="55"/>
  <c r="R82" i="55"/>
  <c r="AV81" i="55"/>
  <c r="BM81" i="55" s="1"/>
  <c r="AU81" i="55"/>
  <c r="AG81" i="55"/>
  <c r="AF81" i="55"/>
  <c r="R81" i="55"/>
  <c r="AV80" i="55"/>
  <c r="BM80" i="55" s="1"/>
  <c r="AU80" i="55"/>
  <c r="AG80" i="55"/>
  <c r="AF80" i="55"/>
  <c r="AV79" i="55"/>
  <c r="BM79" i="55" s="1"/>
  <c r="AU79" i="55"/>
  <c r="AG79" i="55"/>
  <c r="AF79" i="55"/>
  <c r="S79" i="55"/>
  <c r="R79" i="55"/>
  <c r="AE78" i="55"/>
  <c r="AD78" i="55"/>
  <c r="AD77" i="55" s="1"/>
  <c r="AC78" i="55"/>
  <c r="AB78" i="55"/>
  <c r="AA78" i="55"/>
  <c r="Z78" i="55"/>
  <c r="Y78" i="55"/>
  <c r="X78" i="55"/>
  <c r="W78" i="55"/>
  <c r="V78" i="55"/>
  <c r="U78" i="55"/>
  <c r="T78" i="55"/>
  <c r="AE76" i="55"/>
  <c r="AD76" i="55"/>
  <c r="AC76" i="55"/>
  <c r="AB76" i="55"/>
  <c r="AA76" i="55"/>
  <c r="Z76" i="55"/>
  <c r="Z77" i="55" s="1"/>
  <c r="Y76" i="55"/>
  <c r="X76" i="55"/>
  <c r="W76" i="55"/>
  <c r="V76" i="55"/>
  <c r="U76" i="55"/>
  <c r="T76" i="55"/>
  <c r="AV75" i="55"/>
  <c r="BM75" i="55" s="1"/>
  <c r="AU75" i="55"/>
  <c r="AG75" i="55"/>
  <c r="AF75" i="55"/>
  <c r="S75" i="55"/>
  <c r="R75" i="55"/>
  <c r="AV74" i="55"/>
  <c r="BM74" i="55" s="1"/>
  <c r="AU74" i="55"/>
  <c r="AG74" i="55"/>
  <c r="AF74" i="55"/>
  <c r="S74" i="55"/>
  <c r="S60" i="55" s="1"/>
  <c r="R74" i="55"/>
  <c r="AV73" i="55"/>
  <c r="BM73" i="55" s="1"/>
  <c r="AU73" i="55"/>
  <c r="AG73" i="55"/>
  <c r="AF73" i="55"/>
  <c r="AV72" i="55"/>
  <c r="BM72" i="55" s="1"/>
  <c r="AU72" i="55"/>
  <c r="AG72" i="55"/>
  <c r="AG78" i="55" s="1"/>
  <c r="AF72" i="55"/>
  <c r="S72" i="55"/>
  <c r="R72" i="55"/>
  <c r="AE71" i="55"/>
  <c r="AD71" i="55"/>
  <c r="AC71" i="55"/>
  <c r="AB71" i="55"/>
  <c r="AA71" i="55"/>
  <c r="Z71" i="55"/>
  <c r="Y71" i="55"/>
  <c r="X71" i="55"/>
  <c r="W71" i="55"/>
  <c r="V71" i="55"/>
  <c r="U71" i="55"/>
  <c r="T71" i="55"/>
  <c r="AE69" i="55"/>
  <c r="AD69" i="55"/>
  <c r="AC69" i="55"/>
  <c r="AB69" i="55"/>
  <c r="AA69" i="55"/>
  <c r="Z69" i="55"/>
  <c r="Y69" i="55"/>
  <c r="X69" i="55"/>
  <c r="W69" i="55"/>
  <c r="V69" i="55"/>
  <c r="U69" i="55"/>
  <c r="U70" i="55" s="1"/>
  <c r="T69" i="55"/>
  <c r="AG68" i="55"/>
  <c r="AF68" i="55"/>
  <c r="S68" i="55"/>
  <c r="R68" i="55"/>
  <c r="AG67" i="55"/>
  <c r="AF67" i="55"/>
  <c r="S67" i="55"/>
  <c r="R67" i="55"/>
  <c r="AG66" i="55"/>
  <c r="AF66" i="55"/>
  <c r="AG65" i="55"/>
  <c r="AF65" i="55"/>
  <c r="AI71" i="55" s="1"/>
  <c r="S65" i="55"/>
  <c r="R65" i="55"/>
  <c r="AE61" i="55"/>
  <c r="AD61" i="55"/>
  <c r="AC61" i="55"/>
  <c r="AB61" i="55"/>
  <c r="AA61" i="55"/>
  <c r="Z61" i="55"/>
  <c r="Y61" i="55"/>
  <c r="X61" i="55"/>
  <c r="W61" i="55"/>
  <c r="V61" i="55"/>
  <c r="U61" i="55"/>
  <c r="T61" i="55"/>
  <c r="Q61" i="55"/>
  <c r="P61" i="55"/>
  <c r="O61" i="55"/>
  <c r="N61" i="55"/>
  <c r="M61" i="55"/>
  <c r="L61" i="55"/>
  <c r="K61" i="55"/>
  <c r="J61" i="55"/>
  <c r="I61" i="55"/>
  <c r="H61" i="55"/>
  <c r="G61" i="55"/>
  <c r="F61" i="55"/>
  <c r="E61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Q60" i="55"/>
  <c r="P60" i="55"/>
  <c r="O60" i="55"/>
  <c r="N60" i="55"/>
  <c r="M60" i="55"/>
  <c r="L60" i="55"/>
  <c r="K60" i="55"/>
  <c r="J60" i="55"/>
  <c r="I60" i="55"/>
  <c r="H60" i="55"/>
  <c r="G60" i="55"/>
  <c r="F60" i="55"/>
  <c r="E60" i="55"/>
  <c r="AC59" i="55"/>
  <c r="AA59" i="55"/>
  <c r="U59" i="55"/>
  <c r="T59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AF57" i="55"/>
  <c r="AE57" i="55"/>
  <c r="AD57" i="55"/>
  <c r="AC57" i="55"/>
  <c r="AB57" i="55"/>
  <c r="AA57" i="55"/>
  <c r="Z57" i="55"/>
  <c r="Y57" i="55"/>
  <c r="X57" i="55"/>
  <c r="W57" i="55"/>
  <c r="V57" i="55"/>
  <c r="U57" i="55"/>
  <c r="T57" i="55"/>
  <c r="AB55" i="55"/>
  <c r="U55" i="55"/>
  <c r="T55" i="55"/>
  <c r="AV54" i="55"/>
  <c r="AU54" i="55"/>
  <c r="AG54" i="55"/>
  <c r="S54" i="55"/>
  <c r="R54" i="55"/>
  <c r="AV53" i="55"/>
  <c r="BM53" i="55" s="1"/>
  <c r="AU53" i="55"/>
  <c r="AG53" i="55"/>
  <c r="AF53" i="55"/>
  <c r="S53" i="55"/>
  <c r="R53" i="55"/>
  <c r="AV52" i="55"/>
  <c r="BM52" i="55" s="1"/>
  <c r="AU52" i="55"/>
  <c r="AG52" i="55"/>
  <c r="AF52" i="55"/>
  <c r="AE52" i="55"/>
  <c r="AE55" i="55" s="1"/>
  <c r="AD52" i="55"/>
  <c r="AD55" i="55" s="1"/>
  <c r="AC52" i="55"/>
  <c r="AC55" i="55" s="1"/>
  <c r="AB52" i="55"/>
  <c r="AA52" i="55"/>
  <c r="AA55" i="55" s="1"/>
  <c r="Z52" i="55"/>
  <c r="Z55" i="55" s="1"/>
  <c r="Y52" i="55"/>
  <c r="Y55" i="55" s="1"/>
  <c r="X52" i="55"/>
  <c r="X17" i="55" s="1"/>
  <c r="X10" i="55" s="1"/>
  <c r="W52" i="55"/>
  <c r="W55" i="55" s="1"/>
  <c r="V52" i="55"/>
  <c r="V17" i="55" s="1"/>
  <c r="AV51" i="55"/>
  <c r="BM51" i="55" s="1"/>
  <c r="AU51" i="55"/>
  <c r="AG51" i="55"/>
  <c r="AG57" i="55" s="1"/>
  <c r="S51" i="55"/>
  <c r="AF43" i="55"/>
  <c r="AE43" i="55"/>
  <c r="AD43" i="55"/>
  <c r="AC43" i="55"/>
  <c r="AB43" i="55"/>
  <c r="AA43" i="55"/>
  <c r="Z43" i="55"/>
  <c r="Y43" i="55"/>
  <c r="X43" i="55"/>
  <c r="W43" i="55"/>
  <c r="V43" i="55"/>
  <c r="U43" i="55"/>
  <c r="T43" i="55"/>
  <c r="AE41" i="55"/>
  <c r="AD41" i="55"/>
  <c r="AC41" i="55"/>
  <c r="AB41" i="55"/>
  <c r="AA41" i="55"/>
  <c r="Z41" i="55"/>
  <c r="Y41" i="55"/>
  <c r="X41" i="55"/>
  <c r="W41" i="55"/>
  <c r="V41" i="55"/>
  <c r="U41" i="55"/>
  <c r="T41" i="55"/>
  <c r="AV40" i="55"/>
  <c r="BM40" i="55" s="1"/>
  <c r="AU40" i="55"/>
  <c r="AG40" i="55"/>
  <c r="AF40" i="55"/>
  <c r="S40" i="55"/>
  <c r="R40" i="55"/>
  <c r="AV39" i="55"/>
  <c r="BM39" i="55" s="1"/>
  <c r="AU39" i="55"/>
  <c r="AG39" i="55"/>
  <c r="AF39" i="55"/>
  <c r="S39" i="55"/>
  <c r="R39" i="55"/>
  <c r="AV38" i="55"/>
  <c r="BM38" i="55" s="1"/>
  <c r="AU38" i="55"/>
  <c r="AG38" i="55"/>
  <c r="AF38" i="55"/>
  <c r="AV37" i="55"/>
  <c r="BM37" i="55" s="1"/>
  <c r="AU37" i="55"/>
  <c r="AG37" i="55"/>
  <c r="AG43" i="55" s="1"/>
  <c r="S37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AE34" i="55"/>
  <c r="AD34" i="55"/>
  <c r="AC34" i="55"/>
  <c r="AB34" i="55"/>
  <c r="AB35" i="55" s="1"/>
  <c r="AA34" i="55"/>
  <c r="Z34" i="55"/>
  <c r="Y34" i="55"/>
  <c r="X34" i="55"/>
  <c r="W34" i="55"/>
  <c r="V34" i="55"/>
  <c r="U34" i="55"/>
  <c r="T34" i="55"/>
  <c r="AV33" i="55"/>
  <c r="BM33" i="55" s="1"/>
  <c r="AU33" i="55"/>
  <c r="AG33" i="55"/>
  <c r="AF33" i="55"/>
  <c r="S33" i="55"/>
  <c r="R33" i="55"/>
  <c r="AV32" i="55"/>
  <c r="BM32" i="55" s="1"/>
  <c r="AU32" i="55"/>
  <c r="AG32" i="55"/>
  <c r="AF32" i="55"/>
  <c r="S32" i="55"/>
  <c r="R32" i="55"/>
  <c r="AV31" i="55"/>
  <c r="BM31" i="55" s="1"/>
  <c r="AU31" i="55"/>
  <c r="AG31" i="55"/>
  <c r="AF31" i="55"/>
  <c r="AV30" i="55"/>
  <c r="BM30" i="55" s="1"/>
  <c r="AU30" i="55"/>
  <c r="AG30" i="55"/>
  <c r="S30" i="55"/>
  <c r="AE29" i="55"/>
  <c r="AD29" i="55"/>
  <c r="AC29" i="55"/>
  <c r="AB29" i="55"/>
  <c r="AA29" i="55"/>
  <c r="Z29" i="55"/>
  <c r="Y29" i="55"/>
  <c r="X29" i="55"/>
  <c r="W29" i="55"/>
  <c r="V29" i="55"/>
  <c r="U29" i="55"/>
  <c r="T29" i="55"/>
  <c r="AE27" i="55"/>
  <c r="AD27" i="55"/>
  <c r="AC27" i="55"/>
  <c r="AB27" i="55"/>
  <c r="AA27" i="55"/>
  <c r="Z27" i="55"/>
  <c r="Y27" i="55"/>
  <c r="X27" i="55"/>
  <c r="W27" i="55"/>
  <c r="V27" i="55"/>
  <c r="U27" i="55"/>
  <c r="T27" i="55"/>
  <c r="AV26" i="55"/>
  <c r="AU26" i="55"/>
  <c r="AG26" i="55"/>
  <c r="AF26" i="55"/>
  <c r="S26" i="55"/>
  <c r="R26" i="55"/>
  <c r="AV25" i="55"/>
  <c r="AU25" i="55"/>
  <c r="AG25" i="55"/>
  <c r="AF25" i="55"/>
  <c r="S25" i="55"/>
  <c r="R25" i="55"/>
  <c r="AV24" i="55"/>
  <c r="AG24" i="55"/>
  <c r="AF24" i="55"/>
  <c r="AV23" i="55"/>
  <c r="BM23" i="55" s="1"/>
  <c r="AU23" i="55"/>
  <c r="AG23" i="55"/>
  <c r="S23" i="55"/>
  <c r="AE19" i="55"/>
  <c r="AD19" i="55"/>
  <c r="AD12" i="55" s="1"/>
  <c r="AC19" i="55"/>
  <c r="AB19" i="55"/>
  <c r="AA19" i="55"/>
  <c r="AA12" i="55" s="1"/>
  <c r="Z19" i="55"/>
  <c r="Z12" i="55" s="1"/>
  <c r="Y19" i="55"/>
  <c r="X19" i="55"/>
  <c r="X12" i="55" s="1"/>
  <c r="W19" i="55"/>
  <c r="W12" i="55" s="1"/>
  <c r="V19" i="55"/>
  <c r="V12" i="55" s="1"/>
  <c r="U19" i="55"/>
  <c r="U12" i="55" s="1"/>
  <c r="T19" i="55"/>
  <c r="T12" i="55" s="1"/>
  <c r="Q19" i="55"/>
  <c r="P19" i="55"/>
  <c r="O19" i="55"/>
  <c r="N19" i="55"/>
  <c r="M19" i="55"/>
  <c r="L19" i="55"/>
  <c r="K19" i="55"/>
  <c r="J19" i="55"/>
  <c r="I19" i="55"/>
  <c r="H19" i="55"/>
  <c r="G19" i="55"/>
  <c r="F19" i="55"/>
  <c r="E19" i="55"/>
  <c r="AE18" i="55"/>
  <c r="AE11" i="55" s="1"/>
  <c r="AD18" i="55"/>
  <c r="AD11" i="55" s="1"/>
  <c r="AC18" i="55"/>
  <c r="AC11" i="55" s="1"/>
  <c r="AB18" i="55"/>
  <c r="AA18" i="55"/>
  <c r="Z18" i="55"/>
  <c r="Y18" i="55"/>
  <c r="X18" i="55"/>
  <c r="W18" i="55"/>
  <c r="W11" i="55" s="1"/>
  <c r="V18" i="55"/>
  <c r="U18" i="55"/>
  <c r="T18" i="55"/>
  <c r="Q18" i="55"/>
  <c r="P18" i="55"/>
  <c r="O18" i="55"/>
  <c r="N18" i="55"/>
  <c r="M18" i="55"/>
  <c r="L18" i="55"/>
  <c r="K18" i="55"/>
  <c r="J18" i="55"/>
  <c r="I18" i="55"/>
  <c r="H18" i="55"/>
  <c r="G18" i="55"/>
  <c r="F18" i="55"/>
  <c r="E18" i="55"/>
  <c r="AD17" i="55"/>
  <c r="AC17" i="55"/>
  <c r="AC10" i="55" s="1"/>
  <c r="AB17" i="55"/>
  <c r="AB10" i="55" s="1"/>
  <c r="W17" i="55"/>
  <c r="U17" i="55"/>
  <c r="T17" i="55"/>
  <c r="T10" i="55" s="1"/>
  <c r="AF16" i="55"/>
  <c r="AE16" i="55"/>
  <c r="AD16" i="55"/>
  <c r="AC16" i="55"/>
  <c r="AB16" i="55"/>
  <c r="AA16" i="55"/>
  <c r="Z16" i="55"/>
  <c r="Y16" i="55"/>
  <c r="X16" i="55"/>
  <c r="W16" i="55"/>
  <c r="V16" i="55"/>
  <c r="V9" i="55" s="1"/>
  <c r="U16" i="55"/>
  <c r="U9" i="55" s="1"/>
  <c r="T16" i="55"/>
  <c r="T9" i="55" s="1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U10" i="55"/>
  <c r="AC109" i="16"/>
  <c r="AC108" i="16"/>
  <c r="AC107" i="16"/>
  <c r="AC106" i="16"/>
  <c r="AC105" i="16"/>
  <c r="AC104" i="16"/>
  <c r="AC103" i="16"/>
  <c r="AC102" i="16"/>
  <c r="AC101" i="16"/>
  <c r="AC100" i="16"/>
  <c r="AD99" i="16"/>
  <c r="AC99" i="16"/>
  <c r="AC98" i="16"/>
  <c r="AC97" i="16"/>
  <c r="AC96" i="16"/>
  <c r="AC95" i="16"/>
  <c r="AC94" i="16"/>
  <c r="AC93" i="16"/>
  <c r="AC92" i="16"/>
  <c r="AC91" i="16"/>
  <c r="AC90" i="16"/>
  <c r="AC89" i="16"/>
  <c r="AC88" i="16"/>
  <c r="AC87" i="16"/>
  <c r="AC86" i="16"/>
  <c r="AC85" i="16"/>
  <c r="AC84" i="16"/>
  <c r="AD82" i="16"/>
  <c r="AC82" i="16"/>
  <c r="AD81" i="16"/>
  <c r="AC81" i="16"/>
  <c r="AD80" i="16"/>
  <c r="AC80" i="16"/>
  <c r="AD79" i="16"/>
  <c r="AC79" i="16"/>
  <c r="AD78" i="16"/>
  <c r="AC78" i="16"/>
  <c r="AD77" i="16"/>
  <c r="AC77" i="16"/>
  <c r="AD76" i="16"/>
  <c r="AC76" i="16"/>
  <c r="AD75" i="16"/>
  <c r="AC75" i="16"/>
  <c r="AD74" i="16"/>
  <c r="AC74" i="16"/>
  <c r="AD73" i="16"/>
  <c r="AC73" i="16"/>
  <c r="AD72" i="16"/>
  <c r="AC72" i="16"/>
  <c r="AD71" i="16"/>
  <c r="AC71" i="16"/>
  <c r="AD70" i="16"/>
  <c r="AC70" i="16"/>
  <c r="AD69" i="16"/>
  <c r="AC69" i="16"/>
  <c r="AD67" i="16"/>
  <c r="AC67" i="16"/>
  <c r="AD66" i="16"/>
  <c r="AC66" i="16"/>
  <c r="AD65" i="16"/>
  <c r="AC65" i="16"/>
  <c r="AD64" i="16"/>
  <c r="AC64" i="16"/>
  <c r="AD63" i="16"/>
  <c r="AC63" i="16"/>
  <c r="AD62" i="16"/>
  <c r="AC62" i="16"/>
  <c r="AD61" i="16"/>
  <c r="AC61" i="16"/>
  <c r="AD60" i="16"/>
  <c r="AC60" i="16"/>
  <c r="AD59" i="16"/>
  <c r="AC59" i="16"/>
  <c r="AD58" i="16"/>
  <c r="AC58" i="16"/>
  <c r="AD57" i="16"/>
  <c r="AC57" i="16"/>
  <c r="AD56" i="16"/>
  <c r="AC56" i="16"/>
  <c r="AD55" i="16"/>
  <c r="AC55" i="16"/>
  <c r="AD54" i="16"/>
  <c r="AC54" i="16"/>
  <c r="AD53" i="16"/>
  <c r="AC53" i="16"/>
  <c r="AD52" i="16"/>
  <c r="AC52" i="16"/>
  <c r="AC50" i="16"/>
  <c r="AC48" i="16"/>
  <c r="AC46" i="16"/>
  <c r="AC45" i="16"/>
  <c r="AC44" i="16"/>
  <c r="AC43" i="16"/>
  <c r="AC42" i="16"/>
  <c r="AC39" i="16"/>
  <c r="AC38" i="16"/>
  <c r="AD33" i="16"/>
  <c r="AD32" i="16"/>
  <c r="AD30" i="16"/>
  <c r="AD29" i="16"/>
  <c r="AC27" i="16"/>
  <c r="AC26" i="16"/>
  <c r="AC25" i="16"/>
  <c r="AC24" i="16"/>
  <c r="AC23" i="16"/>
  <c r="AC22" i="16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AC6" i="16"/>
  <c r="BM110" i="54"/>
  <c r="BM109" i="54"/>
  <c r="BM108" i="54"/>
  <c r="BM107" i="54"/>
  <c r="BM106" i="54"/>
  <c r="S105" i="54"/>
  <c r="R105" i="54"/>
  <c r="AE104" i="54"/>
  <c r="AD104" i="54"/>
  <c r="AD101" i="54" s="1"/>
  <c r="AC104" i="54"/>
  <c r="AC101" i="54" s="1"/>
  <c r="AB104" i="54"/>
  <c r="AB101" i="54" s="1"/>
  <c r="AA104" i="54"/>
  <c r="AA101" i="54" s="1"/>
  <c r="Z104" i="54"/>
  <c r="Z101" i="54" s="1"/>
  <c r="Y104" i="54"/>
  <c r="Y101" i="54" s="1"/>
  <c r="X104" i="54"/>
  <c r="X101" i="54" s="1"/>
  <c r="W104" i="54"/>
  <c r="W101" i="54" s="1"/>
  <c r="V104" i="54"/>
  <c r="V101" i="54" s="1"/>
  <c r="U104" i="54"/>
  <c r="U101" i="54" s="1"/>
  <c r="T104" i="54"/>
  <c r="T101" i="54" s="1"/>
  <c r="S104" i="54"/>
  <c r="R104" i="54"/>
  <c r="BM103" i="54"/>
  <c r="AG103" i="54"/>
  <c r="AF103" i="54"/>
  <c r="S103" i="54"/>
  <c r="R103" i="54"/>
  <c r="BM102" i="54"/>
  <c r="AG102" i="54"/>
  <c r="AF102" i="54"/>
  <c r="S102" i="54"/>
  <c r="R102" i="54"/>
  <c r="S101" i="54"/>
  <c r="R101" i="54"/>
  <c r="BM100" i="54"/>
  <c r="AG100" i="54"/>
  <c r="AF100" i="54"/>
  <c r="S100" i="54"/>
  <c r="R100" i="54"/>
  <c r="BM99" i="54"/>
  <c r="AG99" i="54"/>
  <c r="AF99" i="54"/>
  <c r="S99" i="54"/>
  <c r="R99" i="54"/>
  <c r="BM98" i="54"/>
  <c r="AG98" i="54"/>
  <c r="AF98" i="54"/>
  <c r="S98" i="54"/>
  <c r="R98" i="54"/>
  <c r="AG97" i="54"/>
  <c r="AF97" i="54"/>
  <c r="S97" i="54"/>
  <c r="R97" i="54"/>
  <c r="BM96" i="54"/>
  <c r="AG96" i="54"/>
  <c r="AF96" i="54"/>
  <c r="Q96" i="54"/>
  <c r="P96" i="54"/>
  <c r="O96" i="54"/>
  <c r="N96" i="54"/>
  <c r="M96" i="54"/>
  <c r="L96" i="54"/>
  <c r="K96" i="54"/>
  <c r="J96" i="54"/>
  <c r="I96" i="54"/>
  <c r="H96" i="54"/>
  <c r="G96" i="54"/>
  <c r="F96" i="54"/>
  <c r="E96" i="54"/>
  <c r="BM95" i="54"/>
  <c r="AG95" i="54"/>
  <c r="S95" i="54"/>
  <c r="R95" i="54"/>
  <c r="AE94" i="54"/>
  <c r="AD94" i="54"/>
  <c r="AC94" i="54"/>
  <c r="AB94" i="54"/>
  <c r="AA94" i="54"/>
  <c r="Z94" i="54"/>
  <c r="Y94" i="54"/>
  <c r="X94" i="54"/>
  <c r="W94" i="54"/>
  <c r="V94" i="54"/>
  <c r="U94" i="54"/>
  <c r="T94" i="54"/>
  <c r="S94" i="54"/>
  <c r="R94" i="54"/>
  <c r="BM93" i="54"/>
  <c r="AG93" i="54"/>
  <c r="AF93" i="54"/>
  <c r="AF34" i="54" s="1"/>
  <c r="S93" i="54"/>
  <c r="R93" i="54"/>
  <c r="BM92" i="54"/>
  <c r="AG92" i="54"/>
  <c r="AF92" i="54"/>
  <c r="S92" i="54"/>
  <c r="R92" i="54"/>
  <c r="S91" i="54"/>
  <c r="R91" i="54"/>
  <c r="BM90" i="54"/>
  <c r="AG90" i="54"/>
  <c r="AF90" i="54"/>
  <c r="S90" i="54"/>
  <c r="R90" i="54"/>
  <c r="BM89" i="54"/>
  <c r="AG89" i="54"/>
  <c r="AF89" i="54"/>
  <c r="S89" i="54"/>
  <c r="R89" i="54"/>
  <c r="BM88" i="54"/>
  <c r="AG88" i="54"/>
  <c r="AF88" i="54"/>
  <c r="S88" i="54"/>
  <c r="R88" i="54"/>
  <c r="BM87" i="54"/>
  <c r="AG87" i="54"/>
  <c r="AF87" i="54"/>
  <c r="S87" i="54"/>
  <c r="R87" i="54"/>
  <c r="AE86" i="54"/>
  <c r="AE27" i="54" s="1"/>
  <c r="AD86" i="54"/>
  <c r="AD27" i="54" s="1"/>
  <c r="AC86" i="54"/>
  <c r="AB86" i="54"/>
  <c r="AB27" i="54" s="1"/>
  <c r="AA86" i="54"/>
  <c r="Z86" i="54"/>
  <c r="Z27" i="54" s="1"/>
  <c r="Y86" i="54"/>
  <c r="Y27" i="54" s="1"/>
  <c r="X86" i="54"/>
  <c r="X27" i="54" s="1"/>
  <c r="W86" i="54"/>
  <c r="W27" i="54" s="1"/>
  <c r="V86" i="54"/>
  <c r="U86" i="54"/>
  <c r="U27" i="54" s="1"/>
  <c r="T86" i="54"/>
  <c r="T27" i="54" s="1"/>
  <c r="Q86" i="54"/>
  <c r="P86" i="54"/>
  <c r="O86" i="54"/>
  <c r="N86" i="54"/>
  <c r="M86" i="54"/>
  <c r="L86" i="54"/>
  <c r="K86" i="54"/>
  <c r="J86" i="54"/>
  <c r="I86" i="54"/>
  <c r="H86" i="54"/>
  <c r="G86" i="54"/>
  <c r="F86" i="54"/>
  <c r="E86" i="54"/>
  <c r="BM85" i="54"/>
  <c r="AG85" i="54"/>
  <c r="S85" i="54"/>
  <c r="R85" i="54"/>
  <c r="AE84" i="54"/>
  <c r="AE81" i="54" s="1"/>
  <c r="AD84" i="54"/>
  <c r="AD81" i="54" s="1"/>
  <c r="AC84" i="54"/>
  <c r="AC81" i="54" s="1"/>
  <c r="AB84" i="54"/>
  <c r="AB81" i="54" s="1"/>
  <c r="AA84" i="54"/>
  <c r="AA81" i="54" s="1"/>
  <c r="Z84" i="54"/>
  <c r="Z81" i="54" s="1"/>
  <c r="Y84" i="54"/>
  <c r="Y81" i="54" s="1"/>
  <c r="X84" i="54"/>
  <c r="X81" i="54" s="1"/>
  <c r="W84" i="54"/>
  <c r="W81" i="54" s="1"/>
  <c r="V84" i="54"/>
  <c r="V81" i="54" s="1"/>
  <c r="U84" i="54"/>
  <c r="U81" i="54" s="1"/>
  <c r="T84" i="54"/>
  <c r="S84" i="54"/>
  <c r="R84" i="54"/>
  <c r="BM83" i="54"/>
  <c r="AG83" i="54"/>
  <c r="AF83" i="54"/>
  <c r="S83" i="54"/>
  <c r="R83" i="54"/>
  <c r="BM82" i="54"/>
  <c r="AG82" i="54"/>
  <c r="AF82" i="54"/>
  <c r="S82" i="54"/>
  <c r="R82" i="54"/>
  <c r="S81" i="54"/>
  <c r="R81" i="54"/>
  <c r="BM80" i="54"/>
  <c r="AG80" i="54"/>
  <c r="AF80" i="54"/>
  <c r="S80" i="54"/>
  <c r="R80" i="54"/>
  <c r="BM79" i="54"/>
  <c r="AG79" i="54"/>
  <c r="AF79" i="54"/>
  <c r="S79" i="54"/>
  <c r="R79" i="54"/>
  <c r="BM78" i="54"/>
  <c r="AG78" i="54"/>
  <c r="AF78" i="54"/>
  <c r="S78" i="54"/>
  <c r="R78" i="54"/>
  <c r="BM77" i="54"/>
  <c r="AG77" i="54"/>
  <c r="AF77" i="54"/>
  <c r="S77" i="54"/>
  <c r="R77" i="54"/>
  <c r="BM76" i="54"/>
  <c r="AG76" i="54"/>
  <c r="AF76" i="54"/>
  <c r="Q76" i="54"/>
  <c r="P76" i="54"/>
  <c r="O76" i="54"/>
  <c r="N76" i="54"/>
  <c r="M76" i="54"/>
  <c r="L76" i="54"/>
  <c r="K76" i="54"/>
  <c r="J76" i="54"/>
  <c r="I76" i="54"/>
  <c r="H76" i="54"/>
  <c r="G76" i="54"/>
  <c r="F76" i="54"/>
  <c r="BM75" i="54"/>
  <c r="AG75" i="54"/>
  <c r="S75" i="54"/>
  <c r="R75" i="54"/>
  <c r="AE74" i="54"/>
  <c r="AD74" i="54"/>
  <c r="AC74" i="54"/>
  <c r="AC71" i="54" s="1"/>
  <c r="AB74" i="54"/>
  <c r="AB71" i="54" s="1"/>
  <c r="AA74" i="54"/>
  <c r="AA71" i="54" s="1"/>
  <c r="Z74" i="54"/>
  <c r="Z71" i="54" s="1"/>
  <c r="Y74" i="54"/>
  <c r="Y71" i="54" s="1"/>
  <c r="X74" i="54"/>
  <c r="X71" i="54" s="1"/>
  <c r="W74" i="54"/>
  <c r="W71" i="54" s="1"/>
  <c r="V74" i="54"/>
  <c r="V71" i="54" s="1"/>
  <c r="U74" i="54"/>
  <c r="U71" i="54" s="1"/>
  <c r="T74" i="54"/>
  <c r="S74" i="54"/>
  <c r="R74" i="54"/>
  <c r="S73" i="54"/>
  <c r="R73" i="54"/>
  <c r="BM72" i="54"/>
  <c r="AG72" i="54"/>
  <c r="AF72" i="54"/>
  <c r="S72" i="54"/>
  <c r="R72" i="54"/>
  <c r="S71" i="54"/>
  <c r="R71" i="54"/>
  <c r="BM70" i="54"/>
  <c r="AG70" i="54"/>
  <c r="AF70" i="54"/>
  <c r="S70" i="54"/>
  <c r="R70" i="54"/>
  <c r="AG69" i="54"/>
  <c r="AF69" i="54"/>
  <c r="S69" i="54"/>
  <c r="R69" i="54"/>
  <c r="S68" i="54"/>
  <c r="R68" i="54"/>
  <c r="S67" i="54"/>
  <c r="R67" i="54"/>
  <c r="S66" i="54"/>
  <c r="R66" i="54"/>
  <c r="AG65" i="54"/>
  <c r="S65" i="54"/>
  <c r="R65" i="54"/>
  <c r="AE64" i="54"/>
  <c r="AE61" i="54" s="1"/>
  <c r="AD64" i="54"/>
  <c r="AD61" i="54" s="1"/>
  <c r="AC64" i="54"/>
  <c r="AC61" i="54" s="1"/>
  <c r="AB64" i="54"/>
  <c r="AB61" i="54" s="1"/>
  <c r="AA64" i="54"/>
  <c r="AA61" i="54" s="1"/>
  <c r="Z64" i="54"/>
  <c r="Z61" i="54" s="1"/>
  <c r="Y64" i="54"/>
  <c r="Y61" i="54" s="1"/>
  <c r="X64" i="54"/>
  <c r="X61" i="54" s="1"/>
  <c r="W64" i="54"/>
  <c r="V64" i="54"/>
  <c r="V61" i="54" s="1"/>
  <c r="U64" i="54"/>
  <c r="U61" i="54" s="1"/>
  <c r="T64" i="54"/>
  <c r="T61" i="54" s="1"/>
  <c r="S64" i="54"/>
  <c r="R64" i="54"/>
  <c r="S63" i="54"/>
  <c r="R63" i="54"/>
  <c r="BM62" i="54"/>
  <c r="AG62" i="54"/>
  <c r="AF62" i="54"/>
  <c r="S62" i="54"/>
  <c r="R62" i="54"/>
  <c r="S61" i="54"/>
  <c r="R61" i="54"/>
  <c r="BM60" i="54"/>
  <c r="AG60" i="54"/>
  <c r="AF60" i="54"/>
  <c r="S60" i="54"/>
  <c r="R60" i="54"/>
  <c r="AG59" i="54"/>
  <c r="AF59" i="54"/>
  <c r="S59" i="54"/>
  <c r="R59" i="54"/>
  <c r="BM58" i="54"/>
  <c r="AG58" i="54"/>
  <c r="AF58" i="54"/>
  <c r="S58" i="54"/>
  <c r="R58" i="54"/>
  <c r="BM57" i="54"/>
  <c r="AG57" i="54"/>
  <c r="AF57" i="54"/>
  <c r="S57" i="54"/>
  <c r="R57" i="54"/>
  <c r="BM56" i="54"/>
  <c r="AG56" i="54"/>
  <c r="AF56" i="54"/>
  <c r="S56" i="54"/>
  <c r="R56" i="54"/>
  <c r="BM55" i="54"/>
  <c r="AG55" i="54"/>
  <c r="S55" i="54"/>
  <c r="R55" i="54"/>
  <c r="AE45" i="54"/>
  <c r="AE42" i="54" s="1"/>
  <c r="AD45" i="54"/>
  <c r="AD42" i="54" s="1"/>
  <c r="AC45" i="54"/>
  <c r="AC42" i="54" s="1"/>
  <c r="AB45" i="54"/>
  <c r="AA45" i="54"/>
  <c r="AA42" i="54" s="1"/>
  <c r="Z45" i="54"/>
  <c r="Y45" i="54"/>
  <c r="Y42" i="54" s="1"/>
  <c r="X45" i="54"/>
  <c r="W45" i="54"/>
  <c r="W42" i="54" s="1"/>
  <c r="V45" i="54"/>
  <c r="V42" i="54" s="1"/>
  <c r="U45" i="54"/>
  <c r="T45" i="54"/>
  <c r="Q45" i="54"/>
  <c r="P45" i="54"/>
  <c r="O45" i="54"/>
  <c r="N45" i="54"/>
  <c r="M45" i="54"/>
  <c r="L45" i="54"/>
  <c r="K45" i="54"/>
  <c r="J45" i="54"/>
  <c r="I45" i="54"/>
  <c r="H45" i="54"/>
  <c r="G45" i="54"/>
  <c r="F45" i="54"/>
  <c r="S44" i="54"/>
  <c r="R44" i="54"/>
  <c r="AG43" i="54"/>
  <c r="AF43" i="54"/>
  <c r="S43" i="54"/>
  <c r="R43" i="54"/>
  <c r="S42" i="54"/>
  <c r="R42" i="54"/>
  <c r="AG41" i="54"/>
  <c r="AF41" i="54"/>
  <c r="S41" i="54"/>
  <c r="R41" i="54"/>
  <c r="BM40" i="54"/>
  <c r="AF40" i="54"/>
  <c r="S40" i="54"/>
  <c r="R40" i="54"/>
  <c r="AG39" i="54"/>
  <c r="AF39" i="54"/>
  <c r="S39" i="54"/>
  <c r="R39" i="54"/>
  <c r="AG38" i="54"/>
  <c r="AF38" i="54"/>
  <c r="S38" i="54"/>
  <c r="R38" i="54"/>
  <c r="BM37" i="54"/>
  <c r="AG37" i="54"/>
  <c r="AF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BM36" i="54"/>
  <c r="AG36" i="54"/>
  <c r="S36" i="54"/>
  <c r="AE34" i="54"/>
  <c r="AD34" i="54"/>
  <c r="AC34" i="54"/>
  <c r="AB34" i="54"/>
  <c r="AA34" i="54"/>
  <c r="Z34" i="54"/>
  <c r="Y34" i="54"/>
  <c r="X34" i="54"/>
  <c r="W34" i="54"/>
  <c r="V34" i="54"/>
  <c r="U34" i="54"/>
  <c r="T34" i="54"/>
  <c r="AE33" i="54"/>
  <c r="AD33" i="54"/>
  <c r="AC33" i="54"/>
  <c r="AB33" i="54"/>
  <c r="AA33" i="54"/>
  <c r="Z33" i="54"/>
  <c r="Y33" i="54"/>
  <c r="X33" i="54"/>
  <c r="W33" i="54"/>
  <c r="V33" i="54"/>
  <c r="U33" i="54"/>
  <c r="T33" i="54"/>
  <c r="AE31" i="54"/>
  <c r="AD31" i="54"/>
  <c r="AC31" i="54"/>
  <c r="AB31" i="54"/>
  <c r="AA31" i="54"/>
  <c r="Z31" i="54"/>
  <c r="Y31" i="54"/>
  <c r="X31" i="54"/>
  <c r="W31" i="54"/>
  <c r="V31" i="54"/>
  <c r="U31" i="54"/>
  <c r="T31" i="54"/>
  <c r="AE30" i="54"/>
  <c r="AD30" i="54"/>
  <c r="AC30" i="54"/>
  <c r="AB30" i="54"/>
  <c r="AA30" i="54"/>
  <c r="Z30" i="54"/>
  <c r="Y30" i="54"/>
  <c r="X30" i="54"/>
  <c r="W30" i="54"/>
  <c r="V30" i="54"/>
  <c r="U30" i="54"/>
  <c r="T30" i="54"/>
  <c r="AE29" i="54"/>
  <c r="AD29" i="54"/>
  <c r="AC29" i="54"/>
  <c r="AB29" i="54"/>
  <c r="AA29" i="54"/>
  <c r="Z29" i="54"/>
  <c r="Y29" i="54"/>
  <c r="X29" i="54"/>
  <c r="W29" i="54"/>
  <c r="V29" i="54"/>
  <c r="U29" i="54"/>
  <c r="T29" i="54"/>
  <c r="AE28" i="54"/>
  <c r="AD28" i="54"/>
  <c r="AC28" i="54"/>
  <c r="AB28" i="54"/>
  <c r="AA28" i="54"/>
  <c r="Z28" i="54"/>
  <c r="Y28" i="54"/>
  <c r="X28" i="54"/>
  <c r="W28" i="54"/>
  <c r="V28" i="54"/>
  <c r="U28" i="54"/>
  <c r="T28" i="54"/>
  <c r="AF26" i="54"/>
  <c r="AE26" i="54"/>
  <c r="AD26" i="54"/>
  <c r="AC26" i="54"/>
  <c r="AB26" i="54"/>
  <c r="AA26" i="54"/>
  <c r="Z26" i="54"/>
  <c r="Y26" i="54"/>
  <c r="X26" i="54"/>
  <c r="W26" i="54"/>
  <c r="V26" i="54"/>
  <c r="U26" i="54"/>
  <c r="T26" i="54"/>
  <c r="Q26" i="54"/>
  <c r="AE24" i="54"/>
  <c r="AD24" i="54"/>
  <c r="AC24" i="54"/>
  <c r="AB24" i="54"/>
  <c r="AA24" i="54"/>
  <c r="Z24" i="54"/>
  <c r="Y24" i="54"/>
  <c r="X24" i="54"/>
  <c r="W24" i="54"/>
  <c r="V24" i="54"/>
  <c r="U24" i="54"/>
  <c r="T24" i="54"/>
  <c r="AE23" i="54"/>
  <c r="AD23" i="54"/>
  <c r="AC23" i="54"/>
  <c r="AB23" i="54"/>
  <c r="AA23" i="54"/>
  <c r="Z23" i="54"/>
  <c r="Y23" i="54"/>
  <c r="X23" i="54"/>
  <c r="W23" i="54"/>
  <c r="V23" i="54"/>
  <c r="U23" i="54"/>
  <c r="T23" i="54"/>
  <c r="AE21" i="54"/>
  <c r="AD21" i="54"/>
  <c r="AC21" i="54"/>
  <c r="AB21" i="54"/>
  <c r="AA21" i="54"/>
  <c r="Z21" i="54"/>
  <c r="Y21" i="54"/>
  <c r="X21" i="54"/>
  <c r="W21" i="54"/>
  <c r="V21" i="54"/>
  <c r="U21" i="54"/>
  <c r="T21" i="54"/>
  <c r="AE20" i="54"/>
  <c r="AD20" i="54"/>
  <c r="AC20" i="54"/>
  <c r="AB20" i="54"/>
  <c r="AA20" i="54"/>
  <c r="Z20" i="54"/>
  <c r="Y20" i="54"/>
  <c r="X20" i="54"/>
  <c r="W20" i="54"/>
  <c r="V20" i="54"/>
  <c r="U20" i="54"/>
  <c r="T20" i="54"/>
  <c r="AE19" i="54"/>
  <c r="AD19" i="54"/>
  <c r="AC19" i="54"/>
  <c r="AB19" i="54"/>
  <c r="AA19" i="54"/>
  <c r="Z19" i="54"/>
  <c r="Y19" i="54"/>
  <c r="X19" i="54"/>
  <c r="W19" i="54"/>
  <c r="V19" i="54"/>
  <c r="U19" i="54"/>
  <c r="T19" i="54"/>
  <c r="AE18" i="54"/>
  <c r="AD18" i="54"/>
  <c r="AC18" i="54"/>
  <c r="AB18" i="54"/>
  <c r="AA18" i="54"/>
  <c r="Z18" i="54"/>
  <c r="Y18" i="54"/>
  <c r="X18" i="54"/>
  <c r="W18" i="54"/>
  <c r="V18" i="54"/>
  <c r="U18" i="54"/>
  <c r="T18" i="54"/>
  <c r="AE17" i="54"/>
  <c r="AD17" i="54"/>
  <c r="AC17" i="54"/>
  <c r="AB17" i="54"/>
  <c r="AA17" i="54"/>
  <c r="Z17" i="54"/>
  <c r="Y17" i="54"/>
  <c r="X17" i="54"/>
  <c r="W17" i="54"/>
  <c r="V17" i="54"/>
  <c r="U17" i="54"/>
  <c r="T17" i="54"/>
  <c r="AF16" i="54"/>
  <c r="AE16" i="54"/>
  <c r="AD16" i="54"/>
  <c r="AC16" i="54"/>
  <c r="AB16" i="54"/>
  <c r="AA16" i="54"/>
  <c r="Z16" i="54"/>
  <c r="Y16" i="54"/>
  <c r="X16" i="54"/>
  <c r="W16" i="54"/>
  <c r="V16" i="54"/>
  <c r="U16" i="54"/>
  <c r="T16" i="54"/>
  <c r="Q16" i="54"/>
  <c r="AH4" i="54"/>
  <c r="AH3" i="54" s="1"/>
  <c r="W105" i="15"/>
  <c r="W106" i="15" s="1"/>
  <c r="AC98" i="15"/>
  <c r="AC97" i="15"/>
  <c r="AC96" i="15"/>
  <c r="AC95" i="15"/>
  <c r="AC93" i="15"/>
  <c r="AC92" i="15"/>
  <c r="AC91" i="15"/>
  <c r="AC90" i="15"/>
  <c r="AF57" i="15"/>
  <c r="AC49" i="15"/>
  <c r="AC48" i="15"/>
  <c r="AC47" i="15"/>
  <c r="AC46" i="15"/>
  <c r="AC42" i="15"/>
  <c r="AC41" i="15"/>
  <c r="AC40" i="15"/>
  <c r="AC39" i="15"/>
  <c r="AC38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4" i="15"/>
  <c r="AC13" i="15"/>
  <c r="AC12" i="15"/>
  <c r="AC11" i="15"/>
  <c r="AC10" i="15"/>
  <c r="AC9" i="15"/>
  <c r="AC8" i="15"/>
  <c r="R6" i="15"/>
  <c r="W5" i="15"/>
  <c r="AP63" i="25"/>
  <c r="AM63" i="25"/>
  <c r="AL63" i="25"/>
  <c r="AK63" i="25"/>
  <c r="AJ63" i="25"/>
  <c r="AI63" i="25"/>
  <c r="AT63" i="25" s="1"/>
  <c r="AH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AK61" i="25"/>
  <c r="AK62" i="25" s="1"/>
  <c r="AT60" i="25"/>
  <c r="AE60" i="25"/>
  <c r="AF60" i="25" s="1"/>
  <c r="Q60" i="25"/>
  <c r="R60" i="25" s="1"/>
  <c r="AP59" i="25"/>
  <c r="AP61" i="25" s="1"/>
  <c r="AP62" i="25" s="1"/>
  <c r="AM59" i="25"/>
  <c r="AM61" i="25" s="1"/>
  <c r="AM62" i="25" s="1"/>
  <c r="AL59" i="25"/>
  <c r="AL61" i="25" s="1"/>
  <c r="AL62" i="25" s="1"/>
  <c r="AK59" i="25"/>
  <c r="AJ59" i="25"/>
  <c r="AJ61" i="25" s="1"/>
  <c r="AI59" i="25"/>
  <c r="AI61" i="25" s="1"/>
  <c r="AI62" i="25" s="1"/>
  <c r="AH59" i="25"/>
  <c r="AH61" i="25" s="1"/>
  <c r="AD59" i="25"/>
  <c r="AC59" i="25"/>
  <c r="AC61" i="25" s="1"/>
  <c r="AC62" i="25" s="1"/>
  <c r="AB59" i="25"/>
  <c r="AB61" i="25" s="1"/>
  <c r="AB62" i="25" s="1"/>
  <c r="AA59" i="25"/>
  <c r="AA61" i="25" s="1"/>
  <c r="AA62" i="25" s="1"/>
  <c r="Z59" i="25"/>
  <c r="Z61" i="25" s="1"/>
  <c r="Z62" i="25" s="1"/>
  <c r="Y59" i="25"/>
  <c r="Y61" i="25" s="1"/>
  <c r="Y62" i="25" s="1"/>
  <c r="X59" i="25"/>
  <c r="X61" i="25" s="1"/>
  <c r="X62" i="25" s="1"/>
  <c r="W59" i="25"/>
  <c r="W61" i="25" s="1"/>
  <c r="W62" i="25" s="1"/>
  <c r="V59" i="25"/>
  <c r="V61" i="25" s="1"/>
  <c r="V62" i="25" s="1"/>
  <c r="U59" i="25"/>
  <c r="U61" i="25" s="1"/>
  <c r="U62" i="25" s="1"/>
  <c r="T59" i="25"/>
  <c r="T61" i="25" s="1"/>
  <c r="T62" i="25" s="1"/>
  <c r="S59" i="25"/>
  <c r="S61" i="25" s="1"/>
  <c r="S62" i="25" s="1"/>
  <c r="P59" i="25"/>
  <c r="P61" i="25" s="1"/>
  <c r="P62" i="25" s="1"/>
  <c r="O59" i="25"/>
  <c r="O61" i="25" s="1"/>
  <c r="O62" i="25" s="1"/>
  <c r="N59" i="25"/>
  <c r="N61" i="25" s="1"/>
  <c r="N62" i="25" s="1"/>
  <c r="M59" i="25"/>
  <c r="M61" i="25" s="1"/>
  <c r="M62" i="25" s="1"/>
  <c r="L59" i="25"/>
  <c r="L61" i="25" s="1"/>
  <c r="L62" i="25" s="1"/>
  <c r="K59" i="25"/>
  <c r="K61" i="25" s="1"/>
  <c r="K62" i="25" s="1"/>
  <c r="J59" i="25"/>
  <c r="J61" i="25" s="1"/>
  <c r="J62" i="25" s="1"/>
  <c r="I59" i="25"/>
  <c r="I61" i="25" s="1"/>
  <c r="I62" i="25" s="1"/>
  <c r="H59" i="25"/>
  <c r="H61" i="25" s="1"/>
  <c r="H62" i="25" s="1"/>
  <c r="G59" i="25"/>
  <c r="G61" i="25" s="1"/>
  <c r="G62" i="25" s="1"/>
  <c r="F59" i="25"/>
  <c r="F61" i="25" s="1"/>
  <c r="F62" i="25" s="1"/>
  <c r="E59" i="25"/>
  <c r="E61" i="25" s="1"/>
  <c r="AT58" i="25"/>
  <c r="AE58" i="25"/>
  <c r="AF58" i="25" s="1"/>
  <c r="Q58" i="25"/>
  <c r="R58" i="25" s="1"/>
  <c r="AU57" i="25"/>
  <c r="AT57" i="25"/>
  <c r="AF57" i="25"/>
  <c r="AE57" i="25"/>
  <c r="R57" i="25"/>
  <c r="Q57" i="25"/>
  <c r="AP56" i="25"/>
  <c r="AM56" i="25"/>
  <c r="AL56" i="25"/>
  <c r="AK56" i="25"/>
  <c r="AJ56" i="25"/>
  <c r="AI56" i="25"/>
  <c r="AH56" i="25"/>
  <c r="AT56" i="25" s="1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AK54" i="25"/>
  <c r="AK55" i="25" s="1"/>
  <c r="AK48" i="25" s="1"/>
  <c r="AT53" i="25"/>
  <c r="AE53" i="25"/>
  <c r="AF53" i="25" s="1"/>
  <c r="Q53" i="25"/>
  <c r="R53" i="25" s="1"/>
  <c r="AP52" i="25"/>
  <c r="AP54" i="25" s="1"/>
  <c r="AP55" i="25" s="1"/>
  <c r="AP48" i="25" s="1"/>
  <c r="AM52" i="25"/>
  <c r="AM54" i="25" s="1"/>
  <c r="AL52" i="25"/>
  <c r="AL54" i="25" s="1"/>
  <c r="AK52" i="25"/>
  <c r="AJ52" i="25"/>
  <c r="AJ54" i="25" s="1"/>
  <c r="AJ55" i="25" s="1"/>
  <c r="AI52" i="25"/>
  <c r="AI54" i="25" s="1"/>
  <c r="AI55" i="25" s="1"/>
  <c r="AI48" i="25" s="1"/>
  <c r="AH52" i="25"/>
  <c r="AH54" i="25" s="1"/>
  <c r="AD52" i="25"/>
  <c r="AC52" i="25"/>
  <c r="AC54" i="25" s="1"/>
  <c r="AB52" i="25"/>
  <c r="AB54" i="25" s="1"/>
  <c r="AA52" i="25"/>
  <c r="AA54" i="25" s="1"/>
  <c r="Z52" i="25"/>
  <c r="Z54" i="25" s="1"/>
  <c r="Y52" i="25"/>
  <c r="Y54" i="25" s="1"/>
  <c r="X52" i="25"/>
  <c r="X54" i="25" s="1"/>
  <c r="X55" i="25" s="1"/>
  <c r="X48" i="25" s="1"/>
  <c r="W52" i="25"/>
  <c r="W54" i="25" s="1"/>
  <c r="V52" i="25"/>
  <c r="V54" i="25" s="1"/>
  <c r="U52" i="25"/>
  <c r="U54" i="25" s="1"/>
  <c r="T52" i="25"/>
  <c r="T54" i="25" s="1"/>
  <c r="S52" i="25"/>
  <c r="S45" i="25" s="1"/>
  <c r="P52" i="25"/>
  <c r="O52" i="25"/>
  <c r="O54" i="25" s="1"/>
  <c r="N52" i="25"/>
  <c r="N54" i="25" s="1"/>
  <c r="M52" i="25"/>
  <c r="M54" i="25" s="1"/>
  <c r="L52" i="25"/>
  <c r="L54" i="25" s="1"/>
  <c r="K52" i="25"/>
  <c r="K54" i="25" s="1"/>
  <c r="J52" i="25"/>
  <c r="J54" i="25" s="1"/>
  <c r="I52" i="25"/>
  <c r="I54" i="25" s="1"/>
  <c r="H52" i="25"/>
  <c r="H54" i="25" s="1"/>
  <c r="H55" i="25" s="1"/>
  <c r="G52" i="25"/>
  <c r="G45" i="25" s="1"/>
  <c r="F52" i="25"/>
  <c r="F54" i="25" s="1"/>
  <c r="E52" i="25"/>
  <c r="E54" i="25" s="1"/>
  <c r="AT51" i="25"/>
  <c r="AE51" i="25"/>
  <c r="AF51" i="25" s="1"/>
  <c r="Q51" i="25"/>
  <c r="R51" i="25" s="1"/>
  <c r="AU50" i="25"/>
  <c r="AF50" i="25"/>
  <c r="AE50" i="25"/>
  <c r="R50" i="25"/>
  <c r="Q50" i="25"/>
  <c r="AP49" i="25"/>
  <c r="AP46" i="25"/>
  <c r="AM46" i="25"/>
  <c r="AL46" i="25"/>
  <c r="AK46" i="25"/>
  <c r="AJ46" i="25"/>
  <c r="AI46" i="25"/>
  <c r="AH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AP45" i="25"/>
  <c r="AM45" i="25"/>
  <c r="AK45" i="25"/>
  <c r="AJ45" i="25"/>
  <c r="AI45" i="25"/>
  <c r="AD45" i="25"/>
  <c r="AC45" i="25"/>
  <c r="AB45" i="25"/>
  <c r="AA45" i="25"/>
  <c r="Z45" i="25"/>
  <c r="Y45" i="25"/>
  <c r="X45" i="25"/>
  <c r="W45" i="25"/>
  <c r="V45" i="25"/>
  <c r="U45" i="25"/>
  <c r="T45" i="25"/>
  <c r="O45" i="25"/>
  <c r="N45" i="25"/>
  <c r="M45" i="25"/>
  <c r="K45" i="25"/>
  <c r="J45" i="25"/>
  <c r="I45" i="25"/>
  <c r="H45" i="25"/>
  <c r="F45" i="25"/>
  <c r="E45" i="25"/>
  <c r="AP44" i="25"/>
  <c r="AM44" i="25"/>
  <c r="AL44" i="25"/>
  <c r="AK44" i="25"/>
  <c r="AJ44" i="25"/>
  <c r="AI44" i="25"/>
  <c r="AH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AP43" i="25"/>
  <c r="AM43" i="25"/>
  <c r="AL43" i="25"/>
  <c r="AK43" i="25"/>
  <c r="AK49" i="25" s="1"/>
  <c r="AJ43" i="25"/>
  <c r="AI43" i="25"/>
  <c r="AH43" i="25"/>
  <c r="AD43" i="25"/>
  <c r="AC43" i="25"/>
  <c r="AB43" i="25"/>
  <c r="AB49" i="25" s="1"/>
  <c r="AA43" i="25"/>
  <c r="Z43" i="25"/>
  <c r="Y43" i="25"/>
  <c r="X43" i="25"/>
  <c r="W43" i="25"/>
  <c r="V43" i="25"/>
  <c r="U43" i="25"/>
  <c r="U49" i="25" s="1"/>
  <c r="T43" i="25"/>
  <c r="S43" i="25"/>
  <c r="Q43" i="25"/>
  <c r="P43" i="25"/>
  <c r="O43" i="25"/>
  <c r="N43" i="25"/>
  <c r="M43" i="25"/>
  <c r="M49" i="25" s="1"/>
  <c r="L43" i="25"/>
  <c r="L49" i="25" s="1"/>
  <c r="K43" i="25"/>
  <c r="J43" i="25"/>
  <c r="I43" i="25"/>
  <c r="I49" i="25" s="1"/>
  <c r="H43" i="25"/>
  <c r="G43" i="25"/>
  <c r="F43" i="25"/>
  <c r="F49" i="25" s="1"/>
  <c r="E43" i="25"/>
  <c r="D43" i="25"/>
  <c r="AP38" i="25"/>
  <c r="AP37" i="25" s="1"/>
  <c r="AM38" i="25"/>
  <c r="AM37" i="25" s="1"/>
  <c r="AL38" i="25"/>
  <c r="AK38" i="25"/>
  <c r="AJ38" i="25"/>
  <c r="AI38" i="25"/>
  <c r="AH38" i="25"/>
  <c r="AH37" i="25" s="1"/>
  <c r="AD38" i="25"/>
  <c r="AC38" i="25"/>
  <c r="AC37" i="25" s="1"/>
  <c r="AB38" i="25"/>
  <c r="AB37" i="25" s="1"/>
  <c r="AA38" i="25"/>
  <c r="AA37" i="25" s="1"/>
  <c r="Z38" i="25"/>
  <c r="Z37" i="25" s="1"/>
  <c r="Y38" i="25"/>
  <c r="Y37" i="25" s="1"/>
  <c r="X38" i="25"/>
  <c r="X37" i="25" s="1"/>
  <c r="W38" i="25"/>
  <c r="W37" i="25" s="1"/>
  <c r="V38" i="25"/>
  <c r="V37" i="25" s="1"/>
  <c r="U38" i="25"/>
  <c r="U37" i="25" s="1"/>
  <c r="T38" i="25"/>
  <c r="T37" i="25" s="1"/>
  <c r="S38" i="25"/>
  <c r="P38" i="25"/>
  <c r="O38" i="25"/>
  <c r="O37" i="25" s="1"/>
  <c r="N38" i="25"/>
  <c r="N37" i="25" s="1"/>
  <c r="M38" i="25"/>
  <c r="M37" i="25" s="1"/>
  <c r="L38" i="25"/>
  <c r="L37" i="25" s="1"/>
  <c r="K38" i="25"/>
  <c r="K37" i="25" s="1"/>
  <c r="J38" i="25"/>
  <c r="J37" i="25" s="1"/>
  <c r="I38" i="25"/>
  <c r="I37" i="25" s="1"/>
  <c r="H38" i="25"/>
  <c r="H37" i="25" s="1"/>
  <c r="G38" i="25"/>
  <c r="G37" i="25" s="1"/>
  <c r="F38" i="25"/>
  <c r="F37" i="25" s="1"/>
  <c r="E38" i="25"/>
  <c r="AL37" i="25"/>
  <c r="AK37" i="25"/>
  <c r="AJ37" i="25"/>
  <c r="S37" i="25"/>
  <c r="P37" i="25"/>
  <c r="AT36" i="25"/>
  <c r="AF36" i="25"/>
  <c r="AE36" i="25"/>
  <c r="Q36" i="25"/>
  <c r="R36" i="25" s="1"/>
  <c r="AT35" i="25"/>
  <c r="AE35" i="25"/>
  <c r="AF35" i="25" s="1"/>
  <c r="Q35" i="25"/>
  <c r="R35" i="25" s="1"/>
  <c r="AT34" i="25"/>
  <c r="AF34" i="25"/>
  <c r="AE34" i="25"/>
  <c r="R34" i="25"/>
  <c r="Q34" i="25"/>
  <c r="AD32" i="25"/>
  <c r="AC32" i="25"/>
  <c r="AB32" i="25"/>
  <c r="AB29" i="25" s="1"/>
  <c r="AA32" i="25"/>
  <c r="Z32" i="25"/>
  <c r="Z29" i="25" s="1"/>
  <c r="Y32" i="25"/>
  <c r="Y29" i="25" s="1"/>
  <c r="X32" i="25"/>
  <c r="X29" i="25" s="1"/>
  <c r="W32" i="25"/>
  <c r="V32" i="25"/>
  <c r="U32" i="25"/>
  <c r="T32" i="25"/>
  <c r="T29" i="25" s="1"/>
  <c r="S32" i="25"/>
  <c r="P32" i="25"/>
  <c r="O32" i="25"/>
  <c r="N32" i="25"/>
  <c r="M32" i="25"/>
  <c r="L32" i="25"/>
  <c r="L29" i="25" s="1"/>
  <c r="K32" i="25"/>
  <c r="J32" i="25"/>
  <c r="I32" i="25"/>
  <c r="H32" i="25"/>
  <c r="G32" i="25"/>
  <c r="F32" i="25"/>
  <c r="E32" i="25"/>
  <c r="AT31" i="25"/>
  <c r="AF31" i="25"/>
  <c r="AE31" i="25"/>
  <c r="Q31" i="25"/>
  <c r="R31" i="25" s="1"/>
  <c r="AE30" i="25"/>
  <c r="AF30" i="25" s="1"/>
  <c r="Q30" i="25"/>
  <c r="R30" i="25" s="1"/>
  <c r="AD29" i="25"/>
  <c r="AC29" i="25"/>
  <c r="AA29" i="25"/>
  <c r="W29" i="25"/>
  <c r="K29" i="25"/>
  <c r="I29" i="25"/>
  <c r="AT28" i="25"/>
  <c r="AE28" i="25"/>
  <c r="AF28" i="25" s="1"/>
  <c r="Q28" i="25"/>
  <c r="R28" i="25" s="1"/>
  <c r="AT27" i="25"/>
  <c r="AE27" i="25"/>
  <c r="AF27" i="25" s="1"/>
  <c r="Q27" i="25"/>
  <c r="R27" i="25" s="1"/>
  <c r="AU26" i="25"/>
  <c r="AE26" i="25"/>
  <c r="AF26" i="25" s="1"/>
  <c r="Q26" i="25"/>
  <c r="R26" i="25" s="1"/>
  <c r="AU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Q25" i="25"/>
  <c r="R25" i="25" s="1"/>
  <c r="AT24" i="25"/>
  <c r="AE24" i="25"/>
  <c r="AF24" i="25" s="1"/>
  <c r="P24" i="25"/>
  <c r="P29" i="25" s="1"/>
  <c r="O24" i="25"/>
  <c r="N24" i="25"/>
  <c r="M24" i="25"/>
  <c r="L24" i="25"/>
  <c r="K24" i="25"/>
  <c r="J24" i="25"/>
  <c r="I24" i="25"/>
  <c r="H24" i="25"/>
  <c r="G24" i="25"/>
  <c r="F24" i="25"/>
  <c r="E24" i="25"/>
  <c r="AT23" i="25"/>
  <c r="AF23" i="25"/>
  <c r="AE23" i="25"/>
  <c r="R23" i="25"/>
  <c r="Q23" i="25"/>
  <c r="AD22" i="25"/>
  <c r="AC22" i="25"/>
  <c r="AC19" i="25" s="1"/>
  <c r="AB22" i="25"/>
  <c r="AB19" i="25" s="1"/>
  <c r="AA22" i="25"/>
  <c r="AA19" i="25" s="1"/>
  <c r="Z22" i="25"/>
  <c r="Z19" i="25" s="1"/>
  <c r="Y22" i="25"/>
  <c r="Y19" i="25" s="1"/>
  <c r="X22" i="25"/>
  <c r="X19" i="25" s="1"/>
  <c r="W22" i="25"/>
  <c r="W19" i="25" s="1"/>
  <c r="W10" i="25" s="1"/>
  <c r="V22" i="25"/>
  <c r="U22" i="25"/>
  <c r="U19" i="25" s="1"/>
  <c r="T22" i="25"/>
  <c r="S22" i="25"/>
  <c r="P22" i="25"/>
  <c r="O22" i="25"/>
  <c r="N22" i="25"/>
  <c r="M22" i="25"/>
  <c r="L22" i="25"/>
  <c r="K22" i="25"/>
  <c r="J22" i="25"/>
  <c r="J12" i="25" s="1"/>
  <c r="I22" i="25"/>
  <c r="H22" i="25"/>
  <c r="G22" i="25"/>
  <c r="F22" i="25"/>
  <c r="E22" i="25"/>
  <c r="AT21" i="25"/>
  <c r="AE21" i="25"/>
  <c r="AF21" i="25" s="1"/>
  <c r="Q21" i="25"/>
  <c r="R21" i="25" s="1"/>
  <c r="AT20" i="25"/>
  <c r="AE20" i="25"/>
  <c r="AF20" i="25" s="1"/>
  <c r="Q20" i="25"/>
  <c r="R20" i="25" s="1"/>
  <c r="AD19" i="25"/>
  <c r="V19" i="25"/>
  <c r="T19" i="25"/>
  <c r="T10" i="25" s="1"/>
  <c r="S19" i="25"/>
  <c r="AT18" i="25"/>
  <c r="AE18" i="25"/>
  <c r="AF18" i="25" s="1"/>
  <c r="Q18" i="25"/>
  <c r="R18" i="25" s="1"/>
  <c r="AT17" i="25"/>
  <c r="AE17" i="25"/>
  <c r="AF17" i="25" s="1"/>
  <c r="Q17" i="25"/>
  <c r="R17" i="25" s="1"/>
  <c r="AD16" i="25"/>
  <c r="AC16" i="25"/>
  <c r="AB16" i="25"/>
  <c r="AA16" i="25"/>
  <c r="Z16" i="25"/>
  <c r="Y16" i="25"/>
  <c r="W16" i="25"/>
  <c r="S16" i="25"/>
  <c r="S7" i="25" s="1"/>
  <c r="Q16" i="25"/>
  <c r="R16" i="25" s="1"/>
  <c r="AT15" i="25"/>
  <c r="AE15" i="25"/>
  <c r="AF15" i="25" s="1"/>
  <c r="Q15" i="25"/>
  <c r="R15" i="25" s="1"/>
  <c r="AT14" i="25"/>
  <c r="AE14" i="25"/>
  <c r="AF14" i="25" s="1"/>
  <c r="P14" i="25"/>
  <c r="P19" i="25" s="1"/>
  <c r="O14" i="25"/>
  <c r="O19" i="25" s="1"/>
  <c r="N14" i="25"/>
  <c r="N19" i="25" s="1"/>
  <c r="M14" i="25"/>
  <c r="L14" i="25"/>
  <c r="K14" i="25"/>
  <c r="J14" i="25"/>
  <c r="I14" i="25"/>
  <c r="H14" i="25"/>
  <c r="G14" i="25"/>
  <c r="F14" i="25"/>
  <c r="F19" i="25" s="1"/>
  <c r="E14" i="25"/>
  <c r="Q14" i="25" s="1"/>
  <c r="R14" i="25" s="1"/>
  <c r="AT13" i="25"/>
  <c r="AF13" i="25"/>
  <c r="AE13" i="25"/>
  <c r="R13" i="25"/>
  <c r="Q13" i="25"/>
  <c r="AD12" i="25"/>
  <c r="AA12" i="25"/>
  <c r="Y12" i="25"/>
  <c r="X12" i="25"/>
  <c r="T12" i="25"/>
  <c r="P12" i="25"/>
  <c r="O12" i="25"/>
  <c r="N12" i="25"/>
  <c r="K12" i="25"/>
  <c r="I12" i="25"/>
  <c r="G12" i="25"/>
  <c r="AD11" i="25"/>
  <c r="AC11" i="25"/>
  <c r="AB11" i="25"/>
  <c r="AA11" i="25"/>
  <c r="Z11" i="25"/>
  <c r="AF11" i="25" s="1"/>
  <c r="Y11" i="25"/>
  <c r="X11" i="25"/>
  <c r="W11" i="25"/>
  <c r="V11" i="25"/>
  <c r="U11" i="25"/>
  <c r="T11" i="25"/>
  <c r="S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AD10" i="25"/>
  <c r="AD9" i="25"/>
  <c r="AC9" i="25"/>
  <c r="AB9" i="25"/>
  <c r="AA9" i="25"/>
  <c r="Z9" i="25"/>
  <c r="Y9" i="25"/>
  <c r="X9" i="25"/>
  <c r="W9" i="25"/>
  <c r="V9" i="25"/>
  <c r="U9" i="25"/>
  <c r="T9" i="25"/>
  <c r="S9" i="25"/>
  <c r="Q9" i="25"/>
  <c r="R9" i="25" s="1"/>
  <c r="AD8" i="25"/>
  <c r="AC8" i="25"/>
  <c r="AB8" i="25"/>
  <c r="AA8" i="25"/>
  <c r="Z8" i="25"/>
  <c r="Y8" i="25"/>
  <c r="X8" i="25"/>
  <c r="W8" i="25"/>
  <c r="V8" i="25"/>
  <c r="U8" i="25"/>
  <c r="T8" i="25"/>
  <c r="S8" i="25"/>
  <c r="Q8" i="25"/>
  <c r="R8" i="25" s="1"/>
  <c r="V7" i="25"/>
  <c r="U7" i="25"/>
  <c r="T7" i="25"/>
  <c r="Q7" i="25"/>
  <c r="R7" i="25" s="1"/>
  <c r="AE6" i="25"/>
  <c r="AF6" i="25" s="1"/>
  <c r="Q6" i="25"/>
  <c r="R6" i="25" s="1"/>
  <c r="AT5" i="25"/>
  <c r="AE5" i="25"/>
  <c r="AF5" i="25" s="1"/>
  <c r="L5" i="25"/>
  <c r="K5" i="25"/>
  <c r="J5" i="25"/>
  <c r="I5" i="25"/>
  <c r="H5" i="25"/>
  <c r="G5" i="25"/>
  <c r="D5" i="25"/>
  <c r="AD4" i="25"/>
  <c r="AC4" i="25"/>
  <c r="AB4" i="25"/>
  <c r="AA4" i="25"/>
  <c r="Z4" i="25"/>
  <c r="Y4" i="25"/>
  <c r="X4" i="25"/>
  <c r="W4" i="25"/>
  <c r="V4" i="25"/>
  <c r="U4" i="25"/>
  <c r="T4" i="25"/>
  <c r="S4" i="25"/>
  <c r="P4" i="25"/>
  <c r="Q4" i="25" s="1"/>
  <c r="O4" i="25"/>
  <c r="N4" i="25"/>
  <c r="M4" i="25"/>
  <c r="L4" i="25"/>
  <c r="K4" i="25"/>
  <c r="J4" i="25"/>
  <c r="I4" i="25"/>
  <c r="H4" i="25"/>
  <c r="G4" i="25"/>
  <c r="R4" i="25" s="1"/>
  <c r="F4" i="25"/>
  <c r="E4" i="25"/>
  <c r="D4" i="25"/>
  <c r="BC191" i="45"/>
  <c r="BB191" i="45"/>
  <c r="BA191" i="45"/>
  <c r="AZ191" i="45"/>
  <c r="AY191" i="45"/>
  <c r="AX191" i="45"/>
  <c r="AW191" i="45"/>
  <c r="AV191" i="45"/>
  <c r="AU191" i="45"/>
  <c r="AT191" i="45"/>
  <c r="AS191" i="45"/>
  <c r="AR191" i="45"/>
  <c r="AQ191" i="45"/>
  <c r="AO191" i="45"/>
  <c r="AN191" i="45"/>
  <c r="AM191" i="45"/>
  <c r="AL191" i="45"/>
  <c r="AK191" i="45"/>
  <c r="AJ191" i="45"/>
  <c r="AI191" i="45"/>
  <c r="AH191" i="45"/>
  <c r="AG191" i="45"/>
  <c r="AF191" i="45"/>
  <c r="AE191" i="45"/>
  <c r="AD191" i="45"/>
  <c r="AC191" i="45"/>
  <c r="AB191" i="45"/>
  <c r="AA191" i="45"/>
  <c r="Z191" i="45"/>
  <c r="Y191" i="45"/>
  <c r="X191" i="45"/>
  <c r="W191" i="45"/>
  <c r="V191" i="45"/>
  <c r="U191" i="45"/>
  <c r="T191" i="45"/>
  <c r="S191" i="45"/>
  <c r="R191" i="45"/>
  <c r="Q191" i="45"/>
  <c r="P191" i="45"/>
  <c r="O191" i="45"/>
  <c r="N191" i="45"/>
  <c r="M191" i="45"/>
  <c r="L191" i="45"/>
  <c r="K191" i="45"/>
  <c r="J191" i="45"/>
  <c r="I191" i="45"/>
  <c r="H191" i="45"/>
  <c r="G191" i="45"/>
  <c r="F191" i="45"/>
  <c r="BO190" i="45"/>
  <c r="BC190" i="45"/>
  <c r="BB190" i="45"/>
  <c r="BA190" i="45"/>
  <c r="AZ190" i="45"/>
  <c r="AY190" i="45"/>
  <c r="AX190" i="45"/>
  <c r="AW190" i="45"/>
  <c r="AV190" i="45"/>
  <c r="AU190" i="45"/>
  <c r="AT190" i="45"/>
  <c r="AS190" i="45"/>
  <c r="AR190" i="45"/>
  <c r="AQ190" i="45"/>
  <c r="AO190" i="45"/>
  <c r="AN190" i="45"/>
  <c r="AM190" i="45"/>
  <c r="AL190" i="45"/>
  <c r="AK190" i="45"/>
  <c r="AJ190" i="45"/>
  <c r="AI190" i="45"/>
  <c r="AH190" i="45"/>
  <c r="AG190" i="45"/>
  <c r="AF190" i="45"/>
  <c r="AE190" i="45"/>
  <c r="AD190" i="45"/>
  <c r="AC190" i="45"/>
  <c r="AB190" i="45"/>
  <c r="AA190" i="45"/>
  <c r="Z190" i="45"/>
  <c r="Y190" i="45"/>
  <c r="X190" i="45"/>
  <c r="W190" i="45"/>
  <c r="V190" i="45"/>
  <c r="U190" i="45"/>
  <c r="T190" i="45"/>
  <c r="S190" i="45"/>
  <c r="R190" i="45"/>
  <c r="Q190" i="45"/>
  <c r="P190" i="45"/>
  <c r="O190" i="45"/>
  <c r="N190" i="45"/>
  <c r="M190" i="45"/>
  <c r="L190" i="45"/>
  <c r="K190" i="45"/>
  <c r="J190" i="45"/>
  <c r="I190" i="45"/>
  <c r="H190" i="45"/>
  <c r="G190" i="45"/>
  <c r="F190" i="45"/>
  <c r="BO189" i="45"/>
  <c r="BC189" i="45"/>
  <c r="BB189" i="45"/>
  <c r="BA189" i="45"/>
  <c r="AZ189" i="45"/>
  <c r="AY189" i="45"/>
  <c r="AX189" i="45"/>
  <c r="AW189" i="45"/>
  <c r="AV189" i="45"/>
  <c r="AU189" i="45"/>
  <c r="AT189" i="45"/>
  <c r="AS189" i="45"/>
  <c r="AR189" i="45"/>
  <c r="AQ189" i="45"/>
  <c r="AO189" i="45"/>
  <c r="AN189" i="45"/>
  <c r="AM189" i="45"/>
  <c r="AL189" i="45"/>
  <c r="AK189" i="45"/>
  <c r="AJ189" i="45"/>
  <c r="AI189" i="45"/>
  <c r="AH189" i="45"/>
  <c r="AG189" i="45"/>
  <c r="AF189" i="45"/>
  <c r="AE189" i="45"/>
  <c r="AD189" i="45"/>
  <c r="AC189" i="45"/>
  <c r="AB189" i="45"/>
  <c r="AA189" i="45"/>
  <c r="Z189" i="45"/>
  <c r="Y189" i="45"/>
  <c r="X189" i="45"/>
  <c r="W189" i="45"/>
  <c r="V189" i="45"/>
  <c r="U189" i="45"/>
  <c r="T189" i="45"/>
  <c r="S189" i="45"/>
  <c r="R189" i="45"/>
  <c r="Q189" i="45"/>
  <c r="P189" i="45"/>
  <c r="O189" i="45"/>
  <c r="N189" i="45"/>
  <c r="M189" i="45"/>
  <c r="L189" i="45"/>
  <c r="K189" i="45"/>
  <c r="J189" i="45"/>
  <c r="I189" i="45"/>
  <c r="H189" i="45"/>
  <c r="G189" i="45"/>
  <c r="F189" i="45"/>
  <c r="BO188" i="45"/>
  <c r="BC188" i="45"/>
  <c r="BB188" i="45"/>
  <c r="BA188" i="45"/>
  <c r="AZ188" i="45"/>
  <c r="AY188" i="45"/>
  <c r="AX188" i="45"/>
  <c r="AW188" i="45"/>
  <c r="AV188" i="45"/>
  <c r="AU188" i="45"/>
  <c r="AT188" i="45"/>
  <c r="AS188" i="45"/>
  <c r="AR188" i="45"/>
  <c r="AQ188" i="45"/>
  <c r="AO188" i="45"/>
  <c r="AN188" i="45"/>
  <c r="AM188" i="45"/>
  <c r="AL188" i="45"/>
  <c r="AK188" i="45"/>
  <c r="AJ188" i="45"/>
  <c r="AI188" i="45"/>
  <c r="AH188" i="45"/>
  <c r="AG188" i="45"/>
  <c r="AF188" i="45"/>
  <c r="AE188" i="45"/>
  <c r="AD188" i="45"/>
  <c r="AC188" i="45"/>
  <c r="AB188" i="45"/>
  <c r="AA188" i="45"/>
  <c r="Z188" i="45"/>
  <c r="Y188" i="45"/>
  <c r="X188" i="45"/>
  <c r="W188" i="45"/>
  <c r="V188" i="45"/>
  <c r="U188" i="45"/>
  <c r="T188" i="45"/>
  <c r="S188" i="45"/>
  <c r="R188" i="45"/>
  <c r="Q188" i="45"/>
  <c r="P188" i="45"/>
  <c r="O188" i="45"/>
  <c r="N188" i="45"/>
  <c r="M188" i="45"/>
  <c r="L188" i="45"/>
  <c r="K188" i="45"/>
  <c r="J188" i="45"/>
  <c r="I188" i="45"/>
  <c r="H188" i="45"/>
  <c r="G188" i="45"/>
  <c r="F188" i="45"/>
  <c r="BO187" i="45"/>
  <c r="BC187" i="45"/>
  <c r="BB187" i="45"/>
  <c r="BA187" i="45"/>
  <c r="AZ187" i="45"/>
  <c r="AY187" i="45"/>
  <c r="AX187" i="45"/>
  <c r="AW187" i="45"/>
  <c r="AV187" i="45"/>
  <c r="AU187" i="45"/>
  <c r="AT187" i="45"/>
  <c r="AS187" i="45"/>
  <c r="AR187" i="45"/>
  <c r="AQ187" i="45"/>
  <c r="AO187" i="45"/>
  <c r="AN187" i="45"/>
  <c r="AM187" i="45"/>
  <c r="AL187" i="45"/>
  <c r="AK187" i="45"/>
  <c r="AJ187" i="45"/>
  <c r="AI187" i="45"/>
  <c r="AH187" i="45"/>
  <c r="AG187" i="45"/>
  <c r="AF187" i="45"/>
  <c r="AE187" i="45"/>
  <c r="AD187" i="45"/>
  <c r="AC187" i="45"/>
  <c r="AB187" i="45"/>
  <c r="AA187" i="45"/>
  <c r="Z187" i="45"/>
  <c r="Y187" i="45"/>
  <c r="X187" i="45"/>
  <c r="W187" i="45"/>
  <c r="V187" i="45"/>
  <c r="U187" i="45"/>
  <c r="T187" i="45"/>
  <c r="S187" i="45"/>
  <c r="R187" i="45"/>
  <c r="Q187" i="45"/>
  <c r="P187" i="45"/>
  <c r="O187" i="45"/>
  <c r="N187" i="45"/>
  <c r="M187" i="45"/>
  <c r="L187" i="45"/>
  <c r="K187" i="45"/>
  <c r="J187" i="45"/>
  <c r="I187" i="45"/>
  <c r="H187" i="45"/>
  <c r="G187" i="45"/>
  <c r="F187" i="45"/>
  <c r="BO186" i="45"/>
  <c r="BC186" i="45"/>
  <c r="BB186" i="45"/>
  <c r="BA186" i="45"/>
  <c r="AZ186" i="45"/>
  <c r="AY186" i="45"/>
  <c r="AX186" i="45"/>
  <c r="AW186" i="45"/>
  <c r="AV186" i="45"/>
  <c r="AU186" i="45"/>
  <c r="AT186" i="45"/>
  <c r="AS186" i="45"/>
  <c r="AR186" i="45"/>
  <c r="AQ186" i="45"/>
  <c r="AO186" i="45"/>
  <c r="AN186" i="45"/>
  <c r="AM186" i="45"/>
  <c r="AL186" i="45"/>
  <c r="AK186" i="45"/>
  <c r="AJ186" i="45"/>
  <c r="AI186" i="45"/>
  <c r="AH186" i="45"/>
  <c r="AG186" i="45"/>
  <c r="AF186" i="45"/>
  <c r="AE186" i="45"/>
  <c r="AD186" i="45"/>
  <c r="AC186" i="45"/>
  <c r="AB186" i="45"/>
  <c r="AA186" i="45"/>
  <c r="Z186" i="45"/>
  <c r="Y186" i="45"/>
  <c r="X186" i="45"/>
  <c r="W186" i="45"/>
  <c r="V186" i="45"/>
  <c r="U186" i="45"/>
  <c r="T186" i="45"/>
  <c r="S186" i="45"/>
  <c r="R186" i="45"/>
  <c r="Q186" i="45"/>
  <c r="P186" i="45"/>
  <c r="O186" i="45"/>
  <c r="N186" i="45"/>
  <c r="M186" i="45"/>
  <c r="L186" i="45"/>
  <c r="K186" i="45"/>
  <c r="J186" i="45"/>
  <c r="I186" i="45"/>
  <c r="H186" i="45"/>
  <c r="G186" i="45"/>
  <c r="F186" i="45"/>
  <c r="BO185" i="45"/>
  <c r="BC185" i="45"/>
  <c r="BB185" i="45"/>
  <c r="BA185" i="45"/>
  <c r="AZ185" i="45"/>
  <c r="AY185" i="45"/>
  <c r="AX185" i="45"/>
  <c r="AW185" i="45"/>
  <c r="AV185" i="45"/>
  <c r="AU185" i="45"/>
  <c r="AT185" i="45"/>
  <c r="AS185" i="45"/>
  <c r="AR185" i="45"/>
  <c r="AQ185" i="45"/>
  <c r="AO185" i="45"/>
  <c r="AN185" i="45"/>
  <c r="AM185" i="45"/>
  <c r="AL185" i="45"/>
  <c r="AK185" i="45"/>
  <c r="AJ185" i="45"/>
  <c r="AI185" i="45"/>
  <c r="AH185" i="45"/>
  <c r="AG185" i="45"/>
  <c r="AF185" i="45"/>
  <c r="AE185" i="45"/>
  <c r="AD185" i="45"/>
  <c r="AC185" i="45"/>
  <c r="AB185" i="45"/>
  <c r="AA185" i="45"/>
  <c r="Z185" i="45"/>
  <c r="Y185" i="45"/>
  <c r="X185" i="45"/>
  <c r="W185" i="45"/>
  <c r="V185" i="45"/>
  <c r="U185" i="45"/>
  <c r="T185" i="45"/>
  <c r="S185" i="45"/>
  <c r="R185" i="45"/>
  <c r="Q185" i="45"/>
  <c r="P185" i="45"/>
  <c r="O185" i="45"/>
  <c r="N185" i="45"/>
  <c r="M185" i="45"/>
  <c r="L185" i="45"/>
  <c r="K185" i="45"/>
  <c r="J185" i="45"/>
  <c r="I185" i="45"/>
  <c r="H185" i="45"/>
  <c r="G185" i="45"/>
  <c r="F185" i="45"/>
  <c r="BC184" i="45"/>
  <c r="BB184" i="45"/>
  <c r="BA184" i="45"/>
  <c r="AZ184" i="45"/>
  <c r="AY184" i="45"/>
  <c r="AX184" i="45"/>
  <c r="AW184" i="45"/>
  <c r="AV184" i="45"/>
  <c r="AU184" i="45"/>
  <c r="AT184" i="45"/>
  <c r="AS184" i="45"/>
  <c r="AR184" i="45"/>
  <c r="AQ184" i="45"/>
  <c r="AO184" i="45"/>
  <c r="AN184" i="45"/>
  <c r="AM184" i="45"/>
  <c r="AL184" i="45"/>
  <c r="AK184" i="45"/>
  <c r="AJ184" i="45"/>
  <c r="AI184" i="45"/>
  <c r="AH184" i="45"/>
  <c r="AG184" i="45"/>
  <c r="AF184" i="45"/>
  <c r="AE184" i="45"/>
  <c r="AD184" i="45"/>
  <c r="AC184" i="45"/>
  <c r="AB184" i="45"/>
  <c r="AA184" i="45"/>
  <c r="Z184" i="45"/>
  <c r="Y184" i="45"/>
  <c r="X184" i="45"/>
  <c r="W184" i="45"/>
  <c r="V184" i="45"/>
  <c r="U184" i="45"/>
  <c r="T184" i="45"/>
  <c r="S184" i="45"/>
  <c r="R184" i="45"/>
  <c r="Q184" i="45"/>
  <c r="P184" i="45"/>
  <c r="O184" i="45"/>
  <c r="N184" i="45"/>
  <c r="M184" i="45"/>
  <c r="L184" i="45"/>
  <c r="K184" i="45"/>
  <c r="J184" i="45"/>
  <c r="I184" i="45"/>
  <c r="H184" i="45"/>
  <c r="G184" i="45"/>
  <c r="F184" i="45"/>
  <c r="BO182" i="45"/>
  <c r="BN182" i="45"/>
  <c r="BC182" i="45"/>
  <c r="BB182" i="45"/>
  <c r="BA182" i="45"/>
  <c r="AZ182" i="45"/>
  <c r="AY182" i="45"/>
  <c r="AX182" i="45"/>
  <c r="AW182" i="45"/>
  <c r="AV182" i="45"/>
  <c r="AU182" i="45"/>
  <c r="AT182" i="45"/>
  <c r="AS182" i="45"/>
  <c r="AR182" i="45"/>
  <c r="AQ182" i="45"/>
  <c r="AO182" i="45"/>
  <c r="AN182" i="45"/>
  <c r="AM182" i="45"/>
  <c r="AL182" i="45"/>
  <c r="AK182" i="45"/>
  <c r="AJ182" i="45"/>
  <c r="AI182" i="45"/>
  <c r="AH182" i="45"/>
  <c r="AG182" i="45"/>
  <c r="AF182" i="45"/>
  <c r="AE182" i="45"/>
  <c r="AD182" i="45"/>
  <c r="AC182" i="45"/>
  <c r="AB182" i="45"/>
  <c r="AA182" i="45"/>
  <c r="Z182" i="45"/>
  <c r="Y182" i="45"/>
  <c r="X182" i="45"/>
  <c r="W182" i="45"/>
  <c r="V182" i="45"/>
  <c r="U182" i="45"/>
  <c r="T182" i="45"/>
  <c r="S182" i="45"/>
  <c r="R182" i="45"/>
  <c r="Q182" i="45"/>
  <c r="P182" i="45"/>
  <c r="O182" i="45"/>
  <c r="N182" i="45"/>
  <c r="M182" i="45"/>
  <c r="L182" i="45"/>
  <c r="K182" i="45"/>
  <c r="J182" i="45"/>
  <c r="I182" i="45"/>
  <c r="H182" i="45"/>
  <c r="G182" i="45"/>
  <c r="F182" i="45"/>
  <c r="BO181" i="45"/>
  <c r="BC181" i="45"/>
  <c r="BB181" i="45"/>
  <c r="BA181" i="45"/>
  <c r="AZ181" i="45"/>
  <c r="AY181" i="45"/>
  <c r="AX181" i="45"/>
  <c r="AW181" i="45"/>
  <c r="AV181" i="45"/>
  <c r="AU181" i="45"/>
  <c r="AT181" i="45"/>
  <c r="AS181" i="45"/>
  <c r="AR181" i="45"/>
  <c r="AQ181" i="45"/>
  <c r="AO181" i="45"/>
  <c r="AN181" i="45"/>
  <c r="AM181" i="45"/>
  <c r="AL181" i="45"/>
  <c r="AK181" i="45"/>
  <c r="AJ181" i="45"/>
  <c r="AI181" i="45"/>
  <c r="AH181" i="45"/>
  <c r="AG181" i="45"/>
  <c r="AF181" i="45"/>
  <c r="AE181" i="45"/>
  <c r="AD181" i="45"/>
  <c r="AC181" i="45"/>
  <c r="AB181" i="45"/>
  <c r="AA181" i="45"/>
  <c r="Z181" i="45"/>
  <c r="Y181" i="45"/>
  <c r="X181" i="45"/>
  <c r="W181" i="45"/>
  <c r="V181" i="45"/>
  <c r="U181" i="45"/>
  <c r="T181" i="45"/>
  <c r="S181" i="45"/>
  <c r="R181" i="45"/>
  <c r="Q181" i="45"/>
  <c r="P181" i="45"/>
  <c r="O181" i="45"/>
  <c r="N181" i="45"/>
  <c r="M181" i="45"/>
  <c r="L181" i="45"/>
  <c r="K181" i="45"/>
  <c r="J181" i="45"/>
  <c r="I181" i="45"/>
  <c r="H181" i="45"/>
  <c r="G181" i="45"/>
  <c r="F181" i="45"/>
  <c r="BO180" i="45"/>
  <c r="BC180" i="45"/>
  <c r="BB180" i="45"/>
  <c r="BA180" i="45"/>
  <c r="AZ180" i="45"/>
  <c r="AY180" i="45"/>
  <c r="AX180" i="45"/>
  <c r="AW180" i="45"/>
  <c r="AV180" i="45"/>
  <c r="AU180" i="45"/>
  <c r="AT180" i="45"/>
  <c r="AS180" i="45"/>
  <c r="AR180" i="45"/>
  <c r="AQ180" i="45"/>
  <c r="AC180" i="45"/>
  <c r="AB180" i="45"/>
  <c r="AA180" i="45"/>
  <c r="Z180" i="45"/>
  <c r="Y180" i="45"/>
  <c r="X180" i="45"/>
  <c r="W180" i="45"/>
  <c r="V180" i="45"/>
  <c r="U180" i="45"/>
  <c r="T180" i="45"/>
  <c r="S180" i="45"/>
  <c r="R180" i="45"/>
  <c r="Q180" i="45"/>
  <c r="P180" i="45"/>
  <c r="O180" i="45"/>
  <c r="N180" i="45"/>
  <c r="M180" i="45"/>
  <c r="L180" i="45"/>
  <c r="K180" i="45"/>
  <c r="J180" i="45"/>
  <c r="I180" i="45"/>
  <c r="H180" i="45"/>
  <c r="G180" i="45"/>
  <c r="F180" i="45"/>
  <c r="BC179" i="45"/>
  <c r="BB179" i="45"/>
  <c r="BA179" i="45"/>
  <c r="AZ179" i="45"/>
  <c r="AY179" i="45"/>
  <c r="AX179" i="45"/>
  <c r="AW179" i="45"/>
  <c r="AV179" i="45"/>
  <c r="AU179" i="45"/>
  <c r="AT179" i="45"/>
  <c r="AS179" i="45"/>
  <c r="AR179" i="45"/>
  <c r="AQ179" i="45"/>
  <c r="AO179" i="45"/>
  <c r="AN179" i="45"/>
  <c r="AM179" i="45"/>
  <c r="AL179" i="45"/>
  <c r="AK179" i="45"/>
  <c r="AJ179" i="45"/>
  <c r="AI179" i="45"/>
  <c r="AH179" i="45"/>
  <c r="AG179" i="45"/>
  <c r="AC179" i="45"/>
  <c r="AB179" i="45"/>
  <c r="AA179" i="45"/>
  <c r="Z179" i="45"/>
  <c r="Y179" i="45"/>
  <c r="X179" i="45"/>
  <c r="W179" i="45"/>
  <c r="V179" i="45"/>
  <c r="U179" i="45"/>
  <c r="T179" i="45"/>
  <c r="S179" i="45"/>
  <c r="R179" i="45"/>
  <c r="Q179" i="45"/>
  <c r="P179" i="45"/>
  <c r="O179" i="45"/>
  <c r="N179" i="45"/>
  <c r="M179" i="45"/>
  <c r="L179" i="45"/>
  <c r="K179" i="45"/>
  <c r="J179" i="45"/>
  <c r="I179" i="45"/>
  <c r="H179" i="45"/>
  <c r="G179" i="45"/>
  <c r="F179" i="45"/>
  <c r="BO178" i="45"/>
  <c r="BC178" i="45"/>
  <c r="BB178" i="45"/>
  <c r="BA178" i="45"/>
  <c r="AZ178" i="45"/>
  <c r="AY178" i="45"/>
  <c r="AX178" i="45"/>
  <c r="AW178" i="45"/>
  <c r="AV178" i="45"/>
  <c r="AU178" i="45"/>
  <c r="AT178" i="45"/>
  <c r="AS178" i="45"/>
  <c r="AR178" i="45"/>
  <c r="AQ178" i="45"/>
  <c r="AO178" i="45"/>
  <c r="AN178" i="45"/>
  <c r="AM178" i="45"/>
  <c r="AL178" i="45"/>
  <c r="AK178" i="45"/>
  <c r="AJ178" i="45"/>
  <c r="AI178" i="45"/>
  <c r="AH178" i="45"/>
  <c r="AG178" i="45"/>
  <c r="AC178" i="45"/>
  <c r="AB178" i="45"/>
  <c r="AA178" i="45"/>
  <c r="Z178" i="45"/>
  <c r="Y178" i="45"/>
  <c r="X178" i="45"/>
  <c r="W178" i="45"/>
  <c r="V178" i="45"/>
  <c r="U178" i="45"/>
  <c r="T178" i="45"/>
  <c r="S178" i="45"/>
  <c r="R178" i="45"/>
  <c r="Q178" i="45"/>
  <c r="P178" i="45"/>
  <c r="O178" i="45"/>
  <c r="N178" i="45"/>
  <c r="M178" i="45"/>
  <c r="L178" i="45"/>
  <c r="K178" i="45"/>
  <c r="J178" i="45"/>
  <c r="I178" i="45"/>
  <c r="H178" i="45"/>
  <c r="G178" i="45"/>
  <c r="F178" i="45"/>
  <c r="BO177" i="45"/>
  <c r="BC177" i="45"/>
  <c r="BB177" i="45"/>
  <c r="BA177" i="45"/>
  <c r="AZ177" i="45"/>
  <c r="AY177" i="45"/>
  <c r="AX177" i="45"/>
  <c r="AW177" i="45"/>
  <c r="AV177" i="45"/>
  <c r="AU177" i="45"/>
  <c r="AT177" i="45"/>
  <c r="AS177" i="45"/>
  <c r="AR177" i="45"/>
  <c r="AQ177" i="45"/>
  <c r="AO177" i="45"/>
  <c r="AN177" i="45"/>
  <c r="AM177" i="45"/>
  <c r="AL177" i="45"/>
  <c r="AK177" i="45"/>
  <c r="AJ177" i="45"/>
  <c r="AI177" i="45"/>
  <c r="AH177" i="45"/>
  <c r="AG177" i="45"/>
  <c r="AF177" i="45"/>
  <c r="AE177" i="45"/>
  <c r="AD177" i="45"/>
  <c r="AC177" i="45"/>
  <c r="AB177" i="45"/>
  <c r="AA177" i="45"/>
  <c r="Z177" i="45"/>
  <c r="Y177" i="45"/>
  <c r="X177" i="45"/>
  <c r="W177" i="45"/>
  <c r="V177" i="45"/>
  <c r="U177" i="45"/>
  <c r="T177" i="45"/>
  <c r="S177" i="45"/>
  <c r="R177" i="45"/>
  <c r="Q177" i="45"/>
  <c r="P177" i="45"/>
  <c r="O177" i="45"/>
  <c r="N177" i="45"/>
  <c r="M177" i="45"/>
  <c r="L177" i="45"/>
  <c r="K177" i="45"/>
  <c r="J177" i="45"/>
  <c r="I177" i="45"/>
  <c r="H177" i="45"/>
  <c r="G177" i="45"/>
  <c r="F177" i="45"/>
  <c r="BO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O176" i="45"/>
  <c r="AN176" i="45"/>
  <c r="AM176" i="45"/>
  <c r="AL176" i="45"/>
  <c r="AK176" i="45"/>
  <c r="AJ176" i="45"/>
  <c r="AI176" i="45"/>
  <c r="AH176" i="45"/>
  <c r="AG176" i="45"/>
  <c r="AF176" i="45"/>
  <c r="AE176" i="45"/>
  <c r="AD176" i="45"/>
  <c r="Q176" i="45"/>
  <c r="P176" i="45"/>
  <c r="O176" i="45"/>
  <c r="N176" i="45"/>
  <c r="M176" i="45"/>
  <c r="L176" i="45"/>
  <c r="K176" i="45"/>
  <c r="J176" i="45"/>
  <c r="I176" i="45"/>
  <c r="H176" i="45"/>
  <c r="G176" i="45"/>
  <c r="F176" i="45"/>
  <c r="BO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O175" i="45"/>
  <c r="AN175" i="45"/>
  <c r="AM175" i="45"/>
  <c r="AL175" i="45"/>
  <c r="AK175" i="45"/>
  <c r="AJ175" i="45"/>
  <c r="AC175" i="45"/>
  <c r="AB175" i="45"/>
  <c r="AA175" i="45"/>
  <c r="Z175" i="45"/>
  <c r="Y175" i="45"/>
  <c r="X175" i="45"/>
  <c r="W175" i="45"/>
  <c r="V175" i="45"/>
  <c r="U175" i="45"/>
  <c r="T175" i="45"/>
  <c r="S175" i="45"/>
  <c r="R175" i="45"/>
  <c r="BO174" i="45"/>
  <c r="BO173" i="45"/>
  <c r="BC173" i="45"/>
  <c r="BB173" i="45"/>
  <c r="BA173" i="45"/>
  <c r="AZ173" i="45"/>
  <c r="AY173" i="45"/>
  <c r="AX173" i="45"/>
  <c r="AW173" i="45"/>
  <c r="AV173" i="45"/>
  <c r="AU173" i="45"/>
  <c r="AT173" i="45"/>
  <c r="AS173" i="45"/>
  <c r="AR173" i="45"/>
  <c r="AQ173" i="45"/>
  <c r="AO173" i="45"/>
  <c r="AN173" i="45"/>
  <c r="AM173" i="45"/>
  <c r="AL173" i="45"/>
  <c r="AK173" i="45"/>
  <c r="AJ173" i="45"/>
  <c r="AC173" i="45"/>
  <c r="AB173" i="45"/>
  <c r="AA173" i="45"/>
  <c r="Z173" i="45"/>
  <c r="Y173" i="45"/>
  <c r="X173" i="45"/>
  <c r="W173" i="45"/>
  <c r="V173" i="45"/>
  <c r="U173" i="45"/>
  <c r="T173" i="45"/>
  <c r="S173" i="45"/>
  <c r="R173" i="45"/>
  <c r="BO172" i="45"/>
  <c r="BC172" i="45"/>
  <c r="BB172" i="45"/>
  <c r="BA172" i="45"/>
  <c r="AZ172" i="45"/>
  <c r="AY172" i="45"/>
  <c r="AX172" i="45"/>
  <c r="AW172" i="45"/>
  <c r="AV172" i="45"/>
  <c r="AU172" i="45"/>
  <c r="AT172" i="45"/>
  <c r="AS172" i="45"/>
  <c r="AR172" i="45"/>
  <c r="AQ172" i="45"/>
  <c r="AO172" i="45"/>
  <c r="AN172" i="45"/>
  <c r="AM172" i="45"/>
  <c r="AL172" i="45"/>
  <c r="AK172" i="45"/>
  <c r="AJ172" i="45"/>
  <c r="AC172" i="45"/>
  <c r="AB172" i="45"/>
  <c r="AA172" i="45"/>
  <c r="Z172" i="45"/>
  <c r="Y172" i="45"/>
  <c r="X172" i="45"/>
  <c r="W172" i="45"/>
  <c r="V172" i="45"/>
  <c r="U172" i="45"/>
  <c r="T172" i="45"/>
  <c r="S172" i="45"/>
  <c r="R172" i="45"/>
  <c r="BO171" i="45"/>
  <c r="BC171" i="45"/>
  <c r="BB171" i="45"/>
  <c r="BA171" i="45"/>
  <c r="AZ171" i="45"/>
  <c r="AY171" i="45"/>
  <c r="AX171" i="45"/>
  <c r="AW171" i="45"/>
  <c r="AV171" i="45"/>
  <c r="AU171" i="45"/>
  <c r="AT171" i="45"/>
  <c r="AS171" i="45"/>
  <c r="AR171" i="45"/>
  <c r="AQ171" i="45"/>
  <c r="AO171" i="45"/>
  <c r="AN171" i="45"/>
  <c r="AM171" i="45"/>
  <c r="AL171" i="45"/>
  <c r="AK171" i="45"/>
  <c r="AJ171" i="45"/>
  <c r="AC171" i="45"/>
  <c r="AB171" i="45"/>
  <c r="AA171" i="45"/>
  <c r="Z171" i="45"/>
  <c r="Y171" i="45"/>
  <c r="X171" i="45"/>
  <c r="W171" i="45"/>
  <c r="V171" i="45"/>
  <c r="U171" i="45"/>
  <c r="T171" i="45"/>
  <c r="S171" i="45"/>
  <c r="R171" i="45"/>
  <c r="BO170" i="45"/>
  <c r="BC170" i="45"/>
  <c r="BB170" i="45"/>
  <c r="BA170" i="45"/>
  <c r="AZ170" i="45"/>
  <c r="AY170" i="45"/>
  <c r="AX170" i="45"/>
  <c r="AW170" i="45"/>
  <c r="AV170" i="45"/>
  <c r="AU170" i="45"/>
  <c r="AT170" i="45"/>
  <c r="AS170" i="45"/>
  <c r="AR170" i="45"/>
  <c r="AQ170" i="45"/>
  <c r="AO170" i="45"/>
  <c r="AN170" i="45"/>
  <c r="AM170" i="45"/>
  <c r="AL170" i="45"/>
  <c r="AK170" i="45"/>
  <c r="AJ170" i="45"/>
  <c r="AC170" i="45"/>
  <c r="AB170" i="45"/>
  <c r="AA170" i="45"/>
  <c r="Z170" i="45"/>
  <c r="Y170" i="45"/>
  <c r="X170" i="45"/>
  <c r="W170" i="45"/>
  <c r="V170" i="45"/>
  <c r="U170" i="45"/>
  <c r="T170" i="45"/>
  <c r="S170" i="45"/>
  <c r="R170" i="45"/>
  <c r="F170" i="45"/>
  <c r="BO169" i="45"/>
  <c r="BC169" i="45"/>
  <c r="BB169" i="45"/>
  <c r="BA169" i="45"/>
  <c r="AZ169" i="45"/>
  <c r="AY169" i="45"/>
  <c r="AX169" i="45"/>
  <c r="AW169" i="45"/>
  <c r="AV169" i="45"/>
  <c r="AU169" i="45"/>
  <c r="AT169" i="45"/>
  <c r="AS169" i="45"/>
  <c r="AR169" i="45"/>
  <c r="AQ169" i="45"/>
  <c r="AO169" i="45"/>
  <c r="AN169" i="45"/>
  <c r="AM169" i="45"/>
  <c r="AL169" i="45"/>
  <c r="AK169" i="45"/>
  <c r="AJ169" i="45"/>
  <c r="AC169" i="45"/>
  <c r="AB169" i="45"/>
  <c r="AA169" i="45"/>
  <c r="Z169" i="45"/>
  <c r="Y169" i="45"/>
  <c r="X169" i="45"/>
  <c r="W169" i="45"/>
  <c r="V169" i="45"/>
  <c r="U169" i="45"/>
  <c r="T169" i="45"/>
  <c r="S169" i="45"/>
  <c r="R169" i="45"/>
  <c r="F169" i="45"/>
  <c r="AL166" i="45"/>
  <c r="AN166" i="45" s="1"/>
  <c r="AK166" i="45"/>
  <c r="AM166" i="45" s="1"/>
  <c r="Z166" i="45"/>
  <c r="AB166" i="45" s="1"/>
  <c r="Y166" i="45"/>
  <c r="AA166" i="45" s="1"/>
  <c r="N166" i="45"/>
  <c r="P166" i="45" s="1"/>
  <c r="M166" i="45"/>
  <c r="O166" i="45" s="1"/>
  <c r="BM138" i="45"/>
  <c r="BL138" i="45"/>
  <c r="BK138" i="45"/>
  <c r="BK191" i="45" s="1"/>
  <c r="BJ138" i="45"/>
  <c r="BJ191" i="45" s="1"/>
  <c r="BI138" i="45"/>
  <c r="BI191" i="45" s="1"/>
  <c r="BH138" i="45"/>
  <c r="BG138" i="45"/>
  <c r="BF138" i="45"/>
  <c r="BE138" i="45"/>
  <c r="BE191" i="45" s="1"/>
  <c r="BD138" i="45"/>
  <c r="CK138" i="45" s="1"/>
  <c r="BN133" i="45"/>
  <c r="BM133" i="45"/>
  <c r="BM190" i="45" s="1"/>
  <c r="BL133" i="45"/>
  <c r="BL190" i="45" s="1"/>
  <c r="BK133" i="45"/>
  <c r="BK190" i="45" s="1"/>
  <c r="BJ133" i="45"/>
  <c r="BJ190" i="45" s="1"/>
  <c r="BI133" i="45"/>
  <c r="BI190" i="45" s="1"/>
  <c r="BH133" i="45"/>
  <c r="BH190" i="45" s="1"/>
  <c r="BG133" i="45"/>
  <c r="BG190" i="45" s="1"/>
  <c r="BF133" i="45"/>
  <c r="BF190" i="45" s="1"/>
  <c r="BE133" i="45"/>
  <c r="BD133" i="45"/>
  <c r="BN130" i="45"/>
  <c r="CK130" i="45" s="1"/>
  <c r="BC130" i="45"/>
  <c r="BC129" i="45"/>
  <c r="BM128" i="45"/>
  <c r="BL128" i="45"/>
  <c r="BK128" i="45"/>
  <c r="BJ128" i="45"/>
  <c r="BI128" i="45"/>
  <c r="BH128" i="45"/>
  <c r="BG128" i="45"/>
  <c r="BF128" i="45"/>
  <c r="BE128" i="45"/>
  <c r="BD128" i="45"/>
  <c r="BB128" i="45"/>
  <c r="BA128" i="45"/>
  <c r="AZ128" i="45"/>
  <c r="AY128" i="45"/>
  <c r="AX128" i="45"/>
  <c r="AW128" i="45"/>
  <c r="AV128" i="45"/>
  <c r="AU128" i="45"/>
  <c r="AT128" i="45"/>
  <c r="AS128" i="45"/>
  <c r="AR128" i="45"/>
  <c r="AQ128" i="45"/>
  <c r="BC127" i="45"/>
  <c r="BN119" i="45"/>
  <c r="BN188" i="45" s="1"/>
  <c r="BM119" i="45"/>
  <c r="BM188" i="45" s="1"/>
  <c r="BL119" i="45"/>
  <c r="BL188" i="45" s="1"/>
  <c r="BK119" i="45"/>
  <c r="BK188" i="45" s="1"/>
  <c r="BJ119" i="45"/>
  <c r="BJ188" i="45" s="1"/>
  <c r="BI119" i="45"/>
  <c r="BI188" i="45" s="1"/>
  <c r="BH119" i="45"/>
  <c r="BH188" i="45" s="1"/>
  <c r="BG119" i="45"/>
  <c r="BG188" i="45" s="1"/>
  <c r="BF119" i="45"/>
  <c r="BF188" i="45" s="1"/>
  <c r="BE119" i="45"/>
  <c r="BE188" i="45" s="1"/>
  <c r="BD119" i="45"/>
  <c r="CK119" i="45" s="1"/>
  <c r="BN116" i="45"/>
  <c r="BM116" i="45"/>
  <c r="BL116" i="45"/>
  <c r="BK116" i="45"/>
  <c r="BJ116" i="45"/>
  <c r="BI116" i="45"/>
  <c r="BH116" i="45"/>
  <c r="BG116" i="45"/>
  <c r="BF116" i="45"/>
  <c r="BE116" i="45"/>
  <c r="BD116" i="45"/>
  <c r="BN112" i="45"/>
  <c r="BM112" i="45"/>
  <c r="BM186" i="45" s="1"/>
  <c r="BL112" i="45"/>
  <c r="BL186" i="45" s="1"/>
  <c r="BK112" i="45"/>
  <c r="BK186" i="45" s="1"/>
  <c r="BJ112" i="45"/>
  <c r="BJ186" i="45" s="1"/>
  <c r="BI112" i="45"/>
  <c r="BI186" i="45" s="1"/>
  <c r="BH112" i="45"/>
  <c r="BG112" i="45"/>
  <c r="BF112" i="45"/>
  <c r="BF186" i="45" s="1"/>
  <c r="BE112" i="45"/>
  <c r="BE186" i="45" s="1"/>
  <c r="BD112" i="45"/>
  <c r="BN103" i="45"/>
  <c r="BM103" i="45"/>
  <c r="BM185" i="45" s="1"/>
  <c r="BL103" i="45"/>
  <c r="BL185" i="45" s="1"/>
  <c r="BK103" i="45"/>
  <c r="BK185" i="45" s="1"/>
  <c r="BJ103" i="45"/>
  <c r="BJ185" i="45" s="1"/>
  <c r="BI103" i="45"/>
  <c r="BI185" i="45" s="1"/>
  <c r="BH103" i="45"/>
  <c r="BH185" i="45" s="1"/>
  <c r="BG103" i="45"/>
  <c r="BG185" i="45" s="1"/>
  <c r="BF103" i="45"/>
  <c r="BF185" i="45" s="1"/>
  <c r="BE103" i="45"/>
  <c r="BD103" i="45"/>
  <c r="BN99" i="45"/>
  <c r="BN184" i="45" s="1"/>
  <c r="BM99" i="45"/>
  <c r="BL99" i="45"/>
  <c r="BK99" i="45"/>
  <c r="BK184" i="45" s="1"/>
  <c r="BJ99" i="45"/>
  <c r="BJ184" i="45" s="1"/>
  <c r="BI99" i="45"/>
  <c r="BI184" i="45" s="1"/>
  <c r="BH99" i="45"/>
  <c r="BH184" i="45" s="1"/>
  <c r="BG99" i="45"/>
  <c r="BG184" i="45" s="1"/>
  <c r="BF99" i="45"/>
  <c r="BF184" i="45" s="1"/>
  <c r="BE99" i="45"/>
  <c r="BE184" i="45" s="1"/>
  <c r="BD99" i="45"/>
  <c r="BM93" i="45"/>
  <c r="BM182" i="45" s="1"/>
  <c r="BL93" i="45"/>
  <c r="BL182" i="45" s="1"/>
  <c r="BK93" i="45"/>
  <c r="BK182" i="45" s="1"/>
  <c r="BJ93" i="45"/>
  <c r="BJ182" i="45" s="1"/>
  <c r="BI93" i="45"/>
  <c r="BI182" i="45" s="1"/>
  <c r="BH93" i="45"/>
  <c r="BH182" i="45" s="1"/>
  <c r="BG93" i="45"/>
  <c r="BG91" i="45" s="1"/>
  <c r="BG181" i="45" s="1"/>
  <c r="BF93" i="45"/>
  <c r="BF91" i="45" s="1"/>
  <c r="BE93" i="45"/>
  <c r="BE91" i="45" s="1"/>
  <c r="BD93" i="45"/>
  <c r="BN91" i="45"/>
  <c r="AO84" i="45"/>
  <c r="AO180" i="45" s="1"/>
  <c r="AN84" i="45"/>
  <c r="AN180" i="45" s="1"/>
  <c r="AM84" i="45"/>
  <c r="AM180" i="45" s="1"/>
  <c r="AL84" i="45"/>
  <c r="AL180" i="45" s="1"/>
  <c r="AK84" i="45"/>
  <c r="AK180" i="45" s="1"/>
  <c r="AJ84" i="45"/>
  <c r="AJ180" i="45" s="1"/>
  <c r="AI84" i="45"/>
  <c r="AI180" i="45" s="1"/>
  <c r="AH84" i="45"/>
  <c r="AH180" i="45" s="1"/>
  <c r="AG84" i="45"/>
  <c r="AG180" i="45" s="1"/>
  <c r="AF84" i="45"/>
  <c r="AF180" i="45" s="1"/>
  <c r="AE84" i="45"/>
  <c r="AE180" i="45" s="1"/>
  <c r="AD84" i="45"/>
  <c r="AD180" i="45" s="1"/>
  <c r="CZ77" i="45"/>
  <c r="BN77" i="45"/>
  <c r="BN179" i="45" s="1"/>
  <c r="BM77" i="45"/>
  <c r="BM179" i="45" s="1"/>
  <c r="BL77" i="45"/>
  <c r="BL179" i="45" s="1"/>
  <c r="BK77" i="45"/>
  <c r="BK179" i="45" s="1"/>
  <c r="BJ77" i="45"/>
  <c r="BJ179" i="45" s="1"/>
  <c r="BI77" i="45"/>
  <c r="BI179" i="45" s="1"/>
  <c r="BH77" i="45"/>
  <c r="BH179" i="45" s="1"/>
  <c r="BG77" i="45"/>
  <c r="BG179" i="45" s="1"/>
  <c r="BF77" i="45"/>
  <c r="BF179" i="45" s="1"/>
  <c r="BE77" i="45"/>
  <c r="BE179" i="45" s="1"/>
  <c r="BD77" i="45"/>
  <c r="CZ76" i="45"/>
  <c r="CZ75" i="45"/>
  <c r="CZ74" i="45"/>
  <c r="CZ73" i="45"/>
  <c r="CZ72" i="45"/>
  <c r="CZ71" i="45"/>
  <c r="CZ70" i="45"/>
  <c r="AF70" i="45"/>
  <c r="AF77" i="45" s="1"/>
  <c r="AE70" i="45"/>
  <c r="AE178" i="45" s="1"/>
  <c r="AD70" i="45"/>
  <c r="AD178" i="45" s="1"/>
  <c r="CZ69" i="45"/>
  <c r="CZ68" i="45"/>
  <c r="CZ67" i="45"/>
  <c r="CZ66" i="45"/>
  <c r="BN66" i="45"/>
  <c r="BM66" i="45"/>
  <c r="BL66" i="45"/>
  <c r="BK66" i="45"/>
  <c r="BJ66" i="45"/>
  <c r="BI66" i="45"/>
  <c r="BH66" i="45"/>
  <c r="BG66" i="45"/>
  <c r="BF66" i="45"/>
  <c r="BE66" i="45"/>
  <c r="BD66" i="45"/>
  <c r="CZ65" i="45"/>
  <c r="CZ64" i="45"/>
  <c r="CZ63" i="45"/>
  <c r="CZ62" i="45"/>
  <c r="BN62" i="45"/>
  <c r="BM62" i="45"/>
  <c r="BL62" i="45"/>
  <c r="BK62" i="45"/>
  <c r="BJ62" i="45"/>
  <c r="BI62" i="45"/>
  <c r="BH62" i="45"/>
  <c r="BG62" i="45"/>
  <c r="BF62" i="45"/>
  <c r="BE62" i="45"/>
  <c r="BD62" i="45"/>
  <c r="CZ61" i="45"/>
  <c r="CZ60" i="45"/>
  <c r="CZ59" i="45"/>
  <c r="CZ58" i="45"/>
  <c r="CZ57" i="45"/>
  <c r="CZ56" i="45"/>
  <c r="CZ55" i="45"/>
  <c r="CZ53" i="45"/>
  <c r="CM53" i="45"/>
  <c r="CZ52" i="45"/>
  <c r="CM52" i="45"/>
  <c r="CZ51" i="45"/>
  <c r="CM51" i="45"/>
  <c r="CM50" i="45"/>
  <c r="BN50" i="45"/>
  <c r="BN177" i="45" s="1"/>
  <c r="BM50" i="45"/>
  <c r="BM177" i="45" s="1"/>
  <c r="BL50" i="45"/>
  <c r="BL169" i="45" s="1"/>
  <c r="BK50" i="45"/>
  <c r="BK169" i="45" s="1"/>
  <c r="BJ50" i="45"/>
  <c r="BJ45" i="45" s="1"/>
  <c r="BJ176" i="45" s="1"/>
  <c r="BI50" i="45"/>
  <c r="BI177" i="45" s="1"/>
  <c r="BH50" i="45"/>
  <c r="BH45" i="45" s="1"/>
  <c r="BH176" i="45" s="1"/>
  <c r="BG50" i="45"/>
  <c r="BF50" i="45"/>
  <c r="BE50" i="45"/>
  <c r="BE177" i="45" s="1"/>
  <c r="BD50" i="45"/>
  <c r="CZ49" i="45"/>
  <c r="CM49" i="45"/>
  <c r="CZ48" i="45"/>
  <c r="CM48" i="45"/>
  <c r="CZ47" i="45"/>
  <c r="CM47" i="45"/>
  <c r="CZ46" i="45"/>
  <c r="CM46" i="45"/>
  <c r="CM45" i="45"/>
  <c r="CM44" i="45"/>
  <c r="BN44" i="45"/>
  <c r="BN175" i="45" s="1"/>
  <c r="BL44" i="45"/>
  <c r="BL175" i="45" s="1"/>
  <c r="BK44" i="45"/>
  <c r="BK175" i="45" s="1"/>
  <c r="BJ44" i="45"/>
  <c r="BJ175" i="45" s="1"/>
  <c r="BI44" i="45"/>
  <c r="BI175" i="45" s="1"/>
  <c r="BH44" i="45"/>
  <c r="BH175" i="45" s="1"/>
  <c r="BG44" i="45"/>
  <c r="BG175" i="45" s="1"/>
  <c r="BF44" i="45"/>
  <c r="BF175" i="45" s="1"/>
  <c r="BE44" i="45"/>
  <c r="BE175" i="45" s="1"/>
  <c r="BD44" i="45"/>
  <c r="AI44" i="45"/>
  <c r="AI175" i="45" s="1"/>
  <c r="AH44" i="45"/>
  <c r="AH175" i="45" s="1"/>
  <c r="AG44" i="45"/>
  <c r="AG175" i="45" s="1"/>
  <c r="AF44" i="45"/>
  <c r="AF175" i="45" s="1"/>
  <c r="AE44" i="45"/>
  <c r="AE175" i="45" s="1"/>
  <c r="AD44" i="45"/>
  <c r="AD175" i="45" s="1"/>
  <c r="Q44" i="45"/>
  <c r="Q175" i="45" s="1"/>
  <c r="P44" i="45"/>
  <c r="P175" i="45" s="1"/>
  <c r="O44" i="45"/>
  <c r="O175" i="45" s="1"/>
  <c r="N44" i="45"/>
  <c r="N175" i="45" s="1"/>
  <c r="M44" i="45"/>
  <c r="M175" i="45" s="1"/>
  <c r="L44" i="45"/>
  <c r="L175" i="45" s="1"/>
  <c r="K44" i="45"/>
  <c r="K175" i="45" s="1"/>
  <c r="J44" i="45"/>
  <c r="J175" i="45" s="1"/>
  <c r="I44" i="45"/>
  <c r="I175" i="45" s="1"/>
  <c r="H44" i="45"/>
  <c r="H175" i="45" s="1"/>
  <c r="G44" i="45"/>
  <c r="G175" i="45" s="1"/>
  <c r="F44" i="45"/>
  <c r="F175" i="45" s="1"/>
  <c r="CZ43" i="45"/>
  <c r="CM43" i="45"/>
  <c r="CZ42" i="45"/>
  <c r="CM42" i="45"/>
  <c r="CZ41" i="45"/>
  <c r="CM41" i="45"/>
  <c r="CZ40" i="45"/>
  <c r="CM40" i="45"/>
  <c r="CZ39" i="45"/>
  <c r="CM39" i="45"/>
  <c r="CZ38" i="45"/>
  <c r="CM38" i="45"/>
  <c r="BM38" i="45"/>
  <c r="CK38" i="45" s="1"/>
  <c r="CZ37" i="45"/>
  <c r="CM37" i="45"/>
  <c r="BC37" i="45"/>
  <c r="CZ36" i="45"/>
  <c r="CM36" i="45"/>
  <c r="BN36" i="45"/>
  <c r="BM36" i="45"/>
  <c r="BL36" i="45"/>
  <c r="BK36" i="45"/>
  <c r="BJ36" i="45"/>
  <c r="BI36" i="45"/>
  <c r="BG36" i="45"/>
  <c r="BF36" i="45"/>
  <c r="BE36" i="45"/>
  <c r="BD36" i="45"/>
  <c r="BC36" i="45"/>
  <c r="CZ35" i="45"/>
  <c r="CM35" i="45"/>
  <c r="BN35" i="45"/>
  <c r="BM35" i="45"/>
  <c r="BL35" i="45"/>
  <c r="BK35" i="45"/>
  <c r="BJ35" i="45"/>
  <c r="BI35" i="45"/>
  <c r="BH35" i="45"/>
  <c r="BG35" i="45"/>
  <c r="BF35" i="45"/>
  <c r="BE35" i="45"/>
  <c r="BD35" i="45"/>
  <c r="BC35" i="45"/>
  <c r="CZ34" i="45"/>
  <c r="CM34" i="45"/>
  <c r="CF34" i="45"/>
  <c r="BC34" i="45"/>
  <c r="CZ33" i="45"/>
  <c r="CM33" i="45"/>
  <c r="CZ32" i="45"/>
  <c r="CM32" i="45"/>
  <c r="CZ31" i="45"/>
  <c r="CM31" i="45"/>
  <c r="CZ30" i="45"/>
  <c r="CM30" i="45"/>
  <c r="CZ29" i="45"/>
  <c r="CM29" i="45"/>
  <c r="CZ28" i="45"/>
  <c r="CM28" i="45"/>
  <c r="CZ27" i="45"/>
  <c r="CM27" i="45"/>
  <c r="CZ26" i="45"/>
  <c r="CM26" i="45"/>
  <c r="CZ25" i="45"/>
  <c r="CM25" i="45"/>
  <c r="BN25" i="45"/>
  <c r="BN22" i="45" s="1"/>
  <c r="BM25" i="45"/>
  <c r="BM22" i="45" s="1"/>
  <c r="BL25" i="45"/>
  <c r="BL174" i="45" s="1"/>
  <c r="BK25" i="45"/>
  <c r="BK174" i="45" s="1"/>
  <c r="BJ25" i="45"/>
  <c r="BJ174" i="45" s="1"/>
  <c r="BI25" i="45"/>
  <c r="BI174" i="45" s="1"/>
  <c r="BH25" i="45"/>
  <c r="BH174" i="45" s="1"/>
  <c r="BG25" i="45"/>
  <c r="BG174" i="45" s="1"/>
  <c r="BF25" i="45"/>
  <c r="BF174" i="45" s="1"/>
  <c r="BE25" i="45"/>
  <c r="BE174" i="45" s="1"/>
  <c r="BD25" i="45"/>
  <c r="BC25" i="45"/>
  <c r="BC174" i="45" s="1"/>
  <c r="BB25" i="45"/>
  <c r="BB174" i="45" s="1"/>
  <c r="BA25" i="45"/>
  <c r="BA174" i="45" s="1"/>
  <c r="AZ25" i="45"/>
  <c r="AZ174" i="45" s="1"/>
  <c r="AY25" i="45"/>
  <c r="AY174" i="45" s="1"/>
  <c r="AX25" i="45"/>
  <c r="AX22" i="45" s="1"/>
  <c r="AW25" i="45"/>
  <c r="AW22" i="45" s="1"/>
  <c r="AV25" i="45"/>
  <c r="AV22" i="45" s="1"/>
  <c r="AU25" i="45"/>
  <c r="AU174" i="45" s="1"/>
  <c r="AT25" i="45"/>
  <c r="AT174" i="45" s="1"/>
  <c r="AS25" i="45"/>
  <c r="AS174" i="45" s="1"/>
  <c r="AR25" i="45"/>
  <c r="AR174" i="45" s="1"/>
  <c r="AQ25" i="45"/>
  <c r="AQ174" i="45" s="1"/>
  <c r="AO25" i="45"/>
  <c r="AO174" i="45" s="1"/>
  <c r="AN25" i="45"/>
  <c r="AN174" i="45" s="1"/>
  <c r="AM25" i="45"/>
  <c r="AM174" i="45" s="1"/>
  <c r="AL25" i="45"/>
  <c r="AL174" i="45" s="1"/>
  <c r="AK25" i="45"/>
  <c r="AK174" i="45" s="1"/>
  <c r="AJ25" i="45"/>
  <c r="AJ174" i="45" s="1"/>
  <c r="AI25" i="45"/>
  <c r="AI174" i="45" s="1"/>
  <c r="AH25" i="45"/>
  <c r="AH174" i="45" s="1"/>
  <c r="AG25" i="45"/>
  <c r="AG22" i="45" s="1"/>
  <c r="AF25" i="45"/>
  <c r="AF22" i="45" s="1"/>
  <c r="AE25" i="45"/>
  <c r="AE22" i="45" s="1"/>
  <c r="AD25" i="45"/>
  <c r="AD174" i="45" s="1"/>
  <c r="AC25" i="45"/>
  <c r="AC174" i="45" s="1"/>
  <c r="AB25" i="45"/>
  <c r="AB174" i="45" s="1"/>
  <c r="AA25" i="45"/>
  <c r="AA174" i="45" s="1"/>
  <c r="Z25" i="45"/>
  <c r="Z174" i="45" s="1"/>
  <c r="Y25" i="45"/>
  <c r="Y174" i="45" s="1"/>
  <c r="X25" i="45"/>
  <c r="X174" i="45" s="1"/>
  <c r="W25" i="45"/>
  <c r="W174" i="45" s="1"/>
  <c r="V25" i="45"/>
  <c r="V174" i="45" s="1"/>
  <c r="U25" i="45"/>
  <c r="U174" i="45" s="1"/>
  <c r="T25" i="45"/>
  <c r="T174" i="45" s="1"/>
  <c r="S25" i="45"/>
  <c r="S174" i="45" s="1"/>
  <c r="R25" i="45"/>
  <c r="R174" i="45" s="1"/>
  <c r="Q25" i="45"/>
  <c r="Q174" i="45" s="1"/>
  <c r="P25" i="45"/>
  <c r="P174" i="45" s="1"/>
  <c r="O25" i="45"/>
  <c r="O174" i="45" s="1"/>
  <c r="N25" i="45"/>
  <c r="N174" i="45" s="1"/>
  <c r="M25" i="45"/>
  <c r="M174" i="45" s="1"/>
  <c r="L25" i="45"/>
  <c r="L174" i="45" s="1"/>
  <c r="K25" i="45"/>
  <c r="K174" i="45" s="1"/>
  <c r="J25" i="45"/>
  <c r="J174" i="45" s="1"/>
  <c r="I25" i="45"/>
  <c r="I174" i="45" s="1"/>
  <c r="H25" i="45"/>
  <c r="H174" i="45" s="1"/>
  <c r="G25" i="45"/>
  <c r="G174" i="45" s="1"/>
  <c r="F25" i="45"/>
  <c r="F174" i="45" s="1"/>
  <c r="CZ24" i="45"/>
  <c r="CM24" i="45"/>
  <c r="BN24" i="45"/>
  <c r="BM24" i="45"/>
  <c r="BL24" i="45"/>
  <c r="BK24" i="45"/>
  <c r="BJ24" i="45"/>
  <c r="BI24" i="45"/>
  <c r="BH24" i="45"/>
  <c r="BG24" i="45"/>
  <c r="BF24" i="45"/>
  <c r="BE24" i="45"/>
  <c r="BD24" i="45"/>
  <c r="CK24" i="45" s="1"/>
  <c r="BC24" i="45"/>
  <c r="BB24" i="45"/>
  <c r="BA24" i="45"/>
  <c r="AZ24" i="45"/>
  <c r="AY24" i="45"/>
  <c r="AX24" i="45"/>
  <c r="AW24" i="45"/>
  <c r="AV24" i="45"/>
  <c r="AU24" i="45"/>
  <c r="AT24" i="45"/>
  <c r="AS24" i="45"/>
  <c r="AR24" i="45"/>
  <c r="AQ24" i="45"/>
  <c r="AN24" i="45"/>
  <c r="AM24" i="45"/>
  <c r="AL24" i="45"/>
  <c r="AK24" i="45"/>
  <c r="AJ24" i="45"/>
  <c r="AI24" i="45"/>
  <c r="AH24" i="45"/>
  <c r="AG24" i="45"/>
  <c r="AF24" i="45"/>
  <c r="AE24" i="45"/>
  <c r="AD24" i="45"/>
  <c r="CZ23" i="45"/>
  <c r="CM23" i="45"/>
  <c r="BN23" i="45"/>
  <c r="BM23" i="45"/>
  <c r="BL23" i="45"/>
  <c r="BK23" i="45"/>
  <c r="BJ23" i="45"/>
  <c r="BI23" i="45"/>
  <c r="BH23" i="45"/>
  <c r="BG23" i="45"/>
  <c r="BF23" i="45"/>
  <c r="BE23" i="45"/>
  <c r="BD23" i="45"/>
  <c r="BC23" i="45"/>
  <c r="BB23" i="45"/>
  <c r="BA23" i="45"/>
  <c r="AZ23" i="45"/>
  <c r="AY23" i="45"/>
  <c r="AX23" i="45"/>
  <c r="AW23" i="45"/>
  <c r="AV23" i="45"/>
  <c r="AU23" i="45"/>
  <c r="AT23" i="45"/>
  <c r="AS23" i="45"/>
  <c r="AR23" i="45"/>
  <c r="AQ23" i="45"/>
  <c r="AO23" i="45"/>
  <c r="AN23" i="45"/>
  <c r="AM23" i="45"/>
  <c r="AL23" i="45"/>
  <c r="AK23" i="45"/>
  <c r="AJ23" i="45"/>
  <c r="AI23" i="45"/>
  <c r="AH23" i="45"/>
  <c r="AG23" i="45"/>
  <c r="AF23" i="45"/>
  <c r="AE23" i="45"/>
  <c r="AD23" i="45"/>
  <c r="CZ22" i="45"/>
  <c r="CM22" i="45"/>
  <c r="CZ21" i="45"/>
  <c r="CM21" i="45"/>
  <c r="CZ20" i="45"/>
  <c r="CM20" i="45"/>
  <c r="CZ19" i="45"/>
  <c r="CM19" i="45"/>
  <c r="CZ18" i="45"/>
  <c r="CM18" i="45"/>
  <c r="BN18" i="45"/>
  <c r="BM18" i="45"/>
  <c r="BL18" i="45"/>
  <c r="BK18" i="45"/>
  <c r="BJ18" i="45"/>
  <c r="BI18" i="45"/>
  <c r="BH18" i="45"/>
  <c r="BG18" i="45"/>
  <c r="BF18" i="45"/>
  <c r="BE18" i="45"/>
  <c r="BD18" i="45"/>
  <c r="CZ17" i="45"/>
  <c r="CM17" i="45"/>
  <c r="BN17" i="45"/>
  <c r="BM17" i="45"/>
  <c r="BL17" i="45"/>
  <c r="BK17" i="45"/>
  <c r="BJ17" i="45"/>
  <c r="BI17" i="45"/>
  <c r="BH17" i="45"/>
  <c r="BG17" i="45"/>
  <c r="BF17" i="45"/>
  <c r="BE17" i="45"/>
  <c r="BD17" i="45"/>
  <c r="CK17" i="45" s="1"/>
  <c r="CZ16" i="45"/>
  <c r="CM16" i="45"/>
  <c r="BN16" i="45"/>
  <c r="BM16" i="45"/>
  <c r="BL16" i="45"/>
  <c r="BK16" i="45"/>
  <c r="BJ16" i="45"/>
  <c r="BI16" i="45"/>
  <c r="BH16" i="45"/>
  <c r="BG16" i="45"/>
  <c r="BF16" i="45"/>
  <c r="BE16" i="45"/>
  <c r="BD16" i="45"/>
  <c r="CK16" i="45" s="1"/>
  <c r="CZ15" i="45"/>
  <c r="CM15" i="45"/>
  <c r="BM15" i="45"/>
  <c r="CM14" i="45"/>
  <c r="BN14" i="45"/>
  <c r="BM14" i="45"/>
  <c r="BJ14" i="45"/>
  <c r="BJ13" i="45" s="1"/>
  <c r="BI14" i="45"/>
  <c r="BI13" i="45" s="1"/>
  <c r="BH14" i="45"/>
  <c r="BH13" i="45" s="1"/>
  <c r="BG14" i="45"/>
  <c r="BG13" i="45" s="1"/>
  <c r="BF14" i="45"/>
  <c r="BF13" i="45" s="1"/>
  <c r="BE14" i="45"/>
  <c r="BE13" i="45" s="1"/>
  <c r="BD14" i="45"/>
  <c r="CM13" i="45"/>
  <c r="BL13" i="45"/>
  <c r="BL173" i="45" s="1"/>
  <c r="BK13" i="45"/>
  <c r="BK173" i="45" s="1"/>
  <c r="AI13" i="45"/>
  <c r="AI172" i="45" s="1"/>
  <c r="AH13" i="45"/>
  <c r="AH172" i="45" s="1"/>
  <c r="AG13" i="45"/>
  <c r="AG172" i="45" s="1"/>
  <c r="AF13" i="45"/>
  <c r="AF172" i="45" s="1"/>
  <c r="AE13" i="45"/>
  <c r="AE172" i="45" s="1"/>
  <c r="AD13" i="45"/>
  <c r="AD172" i="45" s="1"/>
  <c r="Q13" i="45"/>
  <c r="Q173" i="45" s="1"/>
  <c r="P13" i="45"/>
  <c r="P172" i="45" s="1"/>
  <c r="O13" i="45"/>
  <c r="O172" i="45" s="1"/>
  <c r="N13" i="45"/>
  <c r="M13" i="45"/>
  <c r="M172" i="45" s="1"/>
  <c r="L13" i="45"/>
  <c r="L173" i="45" s="1"/>
  <c r="K13" i="45"/>
  <c r="K173" i="45" s="1"/>
  <c r="J13" i="45"/>
  <c r="J173" i="45" s="1"/>
  <c r="I13" i="45"/>
  <c r="I173" i="45" s="1"/>
  <c r="H13" i="45"/>
  <c r="H172" i="45" s="1"/>
  <c r="G13" i="45"/>
  <c r="G172" i="45" s="1"/>
  <c r="F13" i="45"/>
  <c r="F172" i="45" s="1"/>
  <c r="CM12" i="45"/>
  <c r="CZ11" i="45"/>
  <c r="CM11" i="45"/>
  <c r="BI11" i="45"/>
  <c r="CK11" i="45" s="1"/>
  <c r="Q11" i="45"/>
  <c r="Q170" i="45" s="1"/>
  <c r="P11" i="45"/>
  <c r="P170" i="45" s="1"/>
  <c r="O11" i="45"/>
  <c r="O169" i="45" s="1"/>
  <c r="N11" i="45"/>
  <c r="N169" i="45" s="1"/>
  <c r="M11" i="45"/>
  <c r="M169" i="45" s="1"/>
  <c r="L11" i="45"/>
  <c r="K11" i="45"/>
  <c r="J11" i="45"/>
  <c r="J169" i="45" s="1"/>
  <c r="I11" i="45"/>
  <c r="I10" i="45" s="1"/>
  <c r="H11" i="45"/>
  <c r="H169" i="45" s="1"/>
  <c r="G11" i="45"/>
  <c r="G10" i="45" s="1"/>
  <c r="CM10" i="45"/>
  <c r="BN10" i="45"/>
  <c r="BM10" i="45"/>
  <c r="BL10" i="45"/>
  <c r="BK10" i="45"/>
  <c r="BB10" i="45"/>
  <c r="BA10" i="45"/>
  <c r="AZ10" i="45"/>
  <c r="AY10" i="45"/>
  <c r="AX10" i="45"/>
  <c r="AW10" i="45"/>
  <c r="AV10" i="45"/>
  <c r="AU10" i="45"/>
  <c r="AT10" i="45"/>
  <c r="AS10" i="45"/>
  <c r="AR10" i="45"/>
  <c r="AQ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F10" i="45"/>
  <c r="CZ9" i="45"/>
  <c r="CM9" i="45"/>
  <c r="CM8" i="45"/>
  <c r="Q8" i="45"/>
  <c r="Q171" i="45" s="1"/>
  <c r="P8" i="45"/>
  <c r="P171" i="45" s="1"/>
  <c r="O8" i="45"/>
  <c r="O171" i="45" s="1"/>
  <c r="N8" i="45"/>
  <c r="N171" i="45" s="1"/>
  <c r="M8" i="45"/>
  <c r="M171" i="45" s="1"/>
  <c r="L8" i="45"/>
  <c r="L171" i="45" s="1"/>
  <c r="K8" i="45"/>
  <c r="K171" i="45" s="1"/>
  <c r="J8" i="45"/>
  <c r="J171" i="45" s="1"/>
  <c r="I8" i="45"/>
  <c r="I171" i="45" s="1"/>
  <c r="H8" i="45"/>
  <c r="H171" i="45" s="1"/>
  <c r="G8" i="45"/>
  <c r="G171" i="45" s="1"/>
  <c r="F8" i="45"/>
  <c r="F171" i="45" s="1"/>
  <c r="CZ7" i="45"/>
  <c r="CM7" i="45"/>
  <c r="CM6" i="45"/>
  <c r="BN6" i="45"/>
  <c r="BN8" i="45" s="1"/>
  <c r="BN171" i="45" s="1"/>
  <c r="BM6" i="45"/>
  <c r="BM8" i="45" s="1"/>
  <c r="BM171" i="45" s="1"/>
  <c r="BL6" i="45"/>
  <c r="BL8" i="45" s="1"/>
  <c r="BL171" i="45" s="1"/>
  <c r="BK6" i="45"/>
  <c r="BJ6" i="45"/>
  <c r="BH6" i="45"/>
  <c r="BH8" i="45" s="1"/>
  <c r="BH171" i="45" s="1"/>
  <c r="BG6" i="45"/>
  <c r="BF6" i="45"/>
  <c r="BE6" i="45"/>
  <c r="BD6" i="45"/>
  <c r="AI6" i="45"/>
  <c r="AI8" i="45" s="1"/>
  <c r="AI171" i="45" s="1"/>
  <c r="AH6" i="45"/>
  <c r="AH170" i="45" s="1"/>
  <c r="AG6" i="45"/>
  <c r="AG170" i="45" s="1"/>
  <c r="AF6" i="45"/>
  <c r="AF170" i="45" s="1"/>
  <c r="AE6" i="45"/>
  <c r="AE170" i="45" s="1"/>
  <c r="AD6" i="45"/>
  <c r="AD170" i="45" s="1"/>
  <c r="CM5" i="45"/>
  <c r="CH3" i="45"/>
  <c r="AK3" i="45"/>
  <c r="Y3" i="45"/>
  <c r="M3" i="45"/>
  <c r="Z2" i="45"/>
  <c r="AB2" i="45" s="1"/>
  <c r="Y2" i="45"/>
  <c r="AA2" i="45" s="1"/>
  <c r="N2" i="45"/>
  <c r="P2" i="45" s="1"/>
  <c r="M2" i="45"/>
  <c r="O2" i="45" s="1"/>
  <c r="AQ146" i="46"/>
  <c r="AQ144" i="46"/>
  <c r="AQ143" i="46"/>
  <c r="AQ142" i="46"/>
  <c r="AQ141" i="46"/>
  <c r="AQ140" i="46"/>
  <c r="AP139" i="46"/>
  <c r="AO139" i="46"/>
  <c r="AN139" i="46"/>
  <c r="AM139" i="46"/>
  <c r="AL139" i="46"/>
  <c r="AK139" i="46"/>
  <c r="AJ139" i="46"/>
  <c r="AI139" i="46"/>
  <c r="AH139" i="46"/>
  <c r="AG139" i="46"/>
  <c r="AF139" i="46"/>
  <c r="AE139" i="46"/>
  <c r="AQ138" i="46"/>
  <c r="AQ137" i="46"/>
  <c r="AQ136" i="46"/>
  <c r="AQ135" i="46"/>
  <c r="AP134" i="46"/>
  <c r="AP145" i="46" s="1"/>
  <c r="AP83" i="46" s="1"/>
  <c r="AO134" i="46"/>
  <c r="AN134" i="46"/>
  <c r="AN145" i="46" s="1"/>
  <c r="AN83" i="46" s="1"/>
  <c r="AM134" i="46"/>
  <c r="AL134" i="46"/>
  <c r="AL145" i="46" s="1"/>
  <c r="AL83" i="46" s="1"/>
  <c r="AK134" i="46"/>
  <c r="AJ134" i="46"/>
  <c r="AJ145" i="46" s="1"/>
  <c r="AJ83" i="46" s="1"/>
  <c r="AI134" i="46"/>
  <c r="AI145" i="46" s="1"/>
  <c r="AI83" i="46" s="1"/>
  <c r="AH134" i="46"/>
  <c r="AH145" i="46" s="1"/>
  <c r="AH83" i="46" s="1"/>
  <c r="AG134" i="46"/>
  <c r="AG145" i="46" s="1"/>
  <c r="AG83" i="46" s="1"/>
  <c r="AF134" i="46"/>
  <c r="AF145" i="46" s="1"/>
  <c r="AF83" i="46" s="1"/>
  <c r="AE134" i="46"/>
  <c r="AE145" i="46" s="1"/>
  <c r="AQ133" i="46"/>
  <c r="AQ132" i="46"/>
  <c r="AP129" i="46"/>
  <c r="AO129" i="46"/>
  <c r="AN129" i="46"/>
  <c r="AM129" i="46"/>
  <c r="AL129" i="46"/>
  <c r="AK129" i="46"/>
  <c r="AJ129" i="46"/>
  <c r="AI129" i="46"/>
  <c r="AH129" i="46"/>
  <c r="AG129" i="46"/>
  <c r="AF129" i="46"/>
  <c r="AE129" i="46"/>
  <c r="AQ128" i="46"/>
  <c r="AQ126" i="46"/>
  <c r="AQ125" i="46"/>
  <c r="AQ124" i="46"/>
  <c r="AQ123" i="46"/>
  <c r="AQ122" i="46"/>
  <c r="AQ121" i="46"/>
  <c r="AP120" i="46"/>
  <c r="AO120" i="46"/>
  <c r="AN120" i="46"/>
  <c r="AM120" i="46"/>
  <c r="AL120" i="46"/>
  <c r="AK120" i="46"/>
  <c r="AJ120" i="46"/>
  <c r="AI120" i="46"/>
  <c r="AH120" i="46"/>
  <c r="AG120" i="46"/>
  <c r="AF120" i="46"/>
  <c r="AE120" i="46"/>
  <c r="AQ119" i="46"/>
  <c r="AQ118" i="46"/>
  <c r="AP117" i="46"/>
  <c r="AO117" i="46"/>
  <c r="AN117" i="46"/>
  <c r="AM117" i="46"/>
  <c r="AL117" i="46"/>
  <c r="AK117" i="46"/>
  <c r="AJ117" i="46"/>
  <c r="AI117" i="46"/>
  <c r="AH117" i="46"/>
  <c r="AG117" i="46"/>
  <c r="AF117" i="46"/>
  <c r="AE117" i="46"/>
  <c r="AE116" i="46" s="1"/>
  <c r="AQ115" i="46"/>
  <c r="AQ114" i="46"/>
  <c r="AP113" i="46"/>
  <c r="AO113" i="46"/>
  <c r="AN113" i="46"/>
  <c r="AM113" i="46"/>
  <c r="AL113" i="46"/>
  <c r="AK113" i="46"/>
  <c r="AJ113" i="46"/>
  <c r="AI113" i="46"/>
  <c r="AH113" i="46"/>
  <c r="AG113" i="46"/>
  <c r="AF113" i="46"/>
  <c r="AE113" i="46"/>
  <c r="AQ112" i="46"/>
  <c r="AQ111" i="46"/>
  <c r="AQ110" i="46"/>
  <c r="AQ108" i="46"/>
  <c r="AQ107" i="46"/>
  <c r="AQ106" i="46"/>
  <c r="AQ105" i="46"/>
  <c r="AP104" i="46"/>
  <c r="AO104" i="46"/>
  <c r="AN104" i="46"/>
  <c r="AM104" i="46"/>
  <c r="AL104" i="46"/>
  <c r="AK104" i="46"/>
  <c r="AJ104" i="46"/>
  <c r="AI104" i="46"/>
  <c r="AH104" i="46"/>
  <c r="AG104" i="46"/>
  <c r="AF104" i="46"/>
  <c r="AE104" i="46"/>
  <c r="AQ103" i="46"/>
  <c r="AQ102" i="46"/>
  <c r="AQ101" i="46"/>
  <c r="AP100" i="46"/>
  <c r="AO100" i="46"/>
  <c r="AN100" i="46"/>
  <c r="AM100" i="46"/>
  <c r="AL100" i="46"/>
  <c r="AK100" i="46"/>
  <c r="AJ100" i="46"/>
  <c r="AI100" i="46"/>
  <c r="AH100" i="46"/>
  <c r="AG100" i="46"/>
  <c r="AF100" i="46"/>
  <c r="AE100" i="46"/>
  <c r="AQ98" i="46"/>
  <c r="AQ97" i="46"/>
  <c r="AQ96" i="46"/>
  <c r="AQ95" i="46"/>
  <c r="AP94" i="46"/>
  <c r="AP92" i="46" s="1"/>
  <c r="AO94" i="46"/>
  <c r="AO92" i="46" s="1"/>
  <c r="AN94" i="46"/>
  <c r="AN92" i="46" s="1"/>
  <c r="AM94" i="46"/>
  <c r="AM92" i="46" s="1"/>
  <c r="AL94" i="46"/>
  <c r="AL92" i="46" s="1"/>
  <c r="AK94" i="46"/>
  <c r="AK92" i="46" s="1"/>
  <c r="AJ94" i="46"/>
  <c r="AJ92" i="46" s="1"/>
  <c r="AI94" i="46"/>
  <c r="AI92" i="46" s="1"/>
  <c r="AH94" i="46"/>
  <c r="AG94" i="46"/>
  <c r="AG92" i="46" s="1"/>
  <c r="AF94" i="46"/>
  <c r="AF92" i="46" s="1"/>
  <c r="AE94" i="46"/>
  <c r="AE92" i="46" s="1"/>
  <c r="AQ93" i="46"/>
  <c r="AQ90" i="46"/>
  <c r="AQ89" i="46"/>
  <c r="AQ88" i="46"/>
  <c r="BD78" i="46"/>
  <c r="BC78" i="46"/>
  <c r="BB78" i="46"/>
  <c r="BA78" i="46"/>
  <c r="AZ78" i="46"/>
  <c r="AY78" i="46"/>
  <c r="AX78" i="46"/>
  <c r="AW78" i="46"/>
  <c r="AV78" i="46"/>
  <c r="AU78" i="46"/>
  <c r="AT78" i="46"/>
  <c r="AS78" i="46"/>
  <c r="AP78" i="46"/>
  <c r="AO78" i="46"/>
  <c r="AN78" i="46"/>
  <c r="AM78" i="46"/>
  <c r="AL78" i="46"/>
  <c r="AK78" i="46"/>
  <c r="AJ78" i="46"/>
  <c r="AI78" i="46"/>
  <c r="AH78" i="46"/>
  <c r="AG78" i="46"/>
  <c r="AF78" i="46"/>
  <c r="AE78" i="46"/>
  <c r="BE77" i="46"/>
  <c r="AQ77" i="46"/>
  <c r="BE76" i="46"/>
  <c r="AQ76" i="46"/>
  <c r="BE75" i="46"/>
  <c r="AQ75" i="46"/>
  <c r="BE74" i="46"/>
  <c r="AQ74" i="46"/>
  <c r="BE73" i="46"/>
  <c r="AQ73" i="46"/>
  <c r="BE72" i="46"/>
  <c r="AQ72" i="46"/>
  <c r="BE71" i="46"/>
  <c r="AQ71" i="46"/>
  <c r="BE70" i="46"/>
  <c r="AQ70" i="46"/>
  <c r="BE69" i="46"/>
  <c r="AQ69" i="46"/>
  <c r="BE68" i="46"/>
  <c r="AQ68" i="46"/>
  <c r="BE67" i="46"/>
  <c r="AQ67" i="46"/>
  <c r="BE66" i="46"/>
  <c r="AQ66" i="46"/>
  <c r="BE65" i="46"/>
  <c r="AQ65" i="46"/>
  <c r="BE64" i="46"/>
  <c r="AQ64" i="46"/>
  <c r="BE63" i="46"/>
  <c r="AQ63" i="46"/>
  <c r="BE62" i="46"/>
  <c r="AQ62" i="46"/>
  <c r="BE61" i="46"/>
  <c r="AQ61" i="46"/>
  <c r="BE60" i="46"/>
  <c r="AQ60" i="46"/>
  <c r="BE59" i="46"/>
  <c r="AQ59" i="46"/>
  <c r="BE58" i="46"/>
  <c r="AQ58" i="46"/>
  <c r="BE57" i="46"/>
  <c r="AQ57" i="46"/>
  <c r="BD56" i="46"/>
  <c r="BC56" i="46"/>
  <c r="BB56" i="46"/>
  <c r="BA56" i="46"/>
  <c r="AZ56" i="46"/>
  <c r="AY56" i="46"/>
  <c r="AX56" i="46"/>
  <c r="AW56" i="46"/>
  <c r="AV56" i="46"/>
  <c r="AU56" i="46"/>
  <c r="AT56" i="46"/>
  <c r="AS56" i="46"/>
  <c r="AP56" i="46"/>
  <c r="AO56" i="46"/>
  <c r="AN56" i="46"/>
  <c r="AM56" i="46"/>
  <c r="AL56" i="46"/>
  <c r="AK56" i="46"/>
  <c r="AJ56" i="46"/>
  <c r="AI56" i="46"/>
  <c r="AH56" i="46"/>
  <c r="AG56" i="46"/>
  <c r="AF56" i="46"/>
  <c r="AE56" i="46"/>
  <c r="BE54" i="46"/>
  <c r="AQ54" i="46"/>
  <c r="BE53" i="46"/>
  <c r="AQ53" i="46"/>
  <c r="BE52" i="46"/>
  <c r="AQ52" i="46"/>
  <c r="BD51" i="46"/>
  <c r="BC51" i="46"/>
  <c r="BC46" i="46" s="1"/>
  <c r="BB51" i="46"/>
  <c r="BB46" i="46" s="1"/>
  <c r="BA51" i="46"/>
  <c r="BA46" i="46" s="1"/>
  <c r="AZ51" i="46"/>
  <c r="AZ46" i="46" s="1"/>
  <c r="AY51" i="46"/>
  <c r="AY46" i="46" s="1"/>
  <c r="AX51" i="46"/>
  <c r="AX46" i="46" s="1"/>
  <c r="AW51" i="46"/>
  <c r="AW46" i="46" s="1"/>
  <c r="AV51" i="46"/>
  <c r="AV46" i="46" s="1"/>
  <c r="AU51" i="46"/>
  <c r="AU46" i="46" s="1"/>
  <c r="AT51" i="46"/>
  <c r="AT46" i="46" s="1"/>
  <c r="AS51" i="46"/>
  <c r="AS46" i="46" s="1"/>
  <c r="AP51" i="46"/>
  <c r="AP46" i="46" s="1"/>
  <c r="AO51" i="46"/>
  <c r="AO46" i="46" s="1"/>
  <c r="AN51" i="46"/>
  <c r="AN46" i="46" s="1"/>
  <c r="AM51" i="46"/>
  <c r="AM46" i="46" s="1"/>
  <c r="AL51" i="46"/>
  <c r="AL46" i="46" s="1"/>
  <c r="AK51" i="46"/>
  <c r="AK46" i="46" s="1"/>
  <c r="AJ51" i="46"/>
  <c r="AJ46" i="46" s="1"/>
  <c r="AI51" i="46"/>
  <c r="AI46" i="46" s="1"/>
  <c r="AH51" i="46"/>
  <c r="AH46" i="46" s="1"/>
  <c r="AG51" i="46"/>
  <c r="AG46" i="46" s="1"/>
  <c r="AF51" i="46"/>
  <c r="AF46" i="46" s="1"/>
  <c r="AE51" i="46"/>
  <c r="AE46" i="46" s="1"/>
  <c r="BE50" i="46"/>
  <c r="AQ50" i="46"/>
  <c r="BE49" i="46"/>
  <c r="AQ49" i="46"/>
  <c r="BE48" i="46"/>
  <c r="AQ48" i="46"/>
  <c r="BE47" i="46"/>
  <c r="AQ47" i="46"/>
  <c r="BD46" i="46"/>
  <c r="AQ44" i="46"/>
  <c r="AQ43" i="46"/>
  <c r="BE42" i="46"/>
  <c r="AQ42" i="46"/>
  <c r="BE41" i="46"/>
  <c r="AQ41" i="46"/>
  <c r="BE40" i="46"/>
  <c r="AQ40" i="46"/>
  <c r="BD39" i="46"/>
  <c r="BD45" i="46" s="1"/>
  <c r="BC39" i="46"/>
  <c r="BB39" i="46"/>
  <c r="BB45" i="46" s="1"/>
  <c r="BA39" i="46"/>
  <c r="BA45" i="46" s="1"/>
  <c r="AZ39" i="46"/>
  <c r="AZ45" i="46" s="1"/>
  <c r="AY39" i="46"/>
  <c r="AY45" i="46" s="1"/>
  <c r="AX39" i="46"/>
  <c r="AX45" i="46" s="1"/>
  <c r="AW39" i="46"/>
  <c r="AV39" i="46"/>
  <c r="AV45" i="46" s="1"/>
  <c r="AU39" i="46"/>
  <c r="AU45" i="46" s="1"/>
  <c r="AT39" i="46"/>
  <c r="AT45" i="46" s="1"/>
  <c r="AS39" i="46"/>
  <c r="AS45" i="46" s="1"/>
  <c r="AP39" i="46"/>
  <c r="AP45" i="46" s="1"/>
  <c r="AO39" i="46"/>
  <c r="AO45" i="46" s="1"/>
  <c r="AN39" i="46"/>
  <c r="AN45" i="46" s="1"/>
  <c r="AM39" i="46"/>
  <c r="AM45" i="46" s="1"/>
  <c r="AL39" i="46"/>
  <c r="AL45" i="46" s="1"/>
  <c r="AK39" i="46"/>
  <c r="AK45" i="46" s="1"/>
  <c r="AJ39" i="46"/>
  <c r="AJ45" i="46" s="1"/>
  <c r="AI39" i="46"/>
  <c r="AI45" i="46" s="1"/>
  <c r="AH39" i="46"/>
  <c r="AH45" i="46" s="1"/>
  <c r="AG39" i="46"/>
  <c r="AG45" i="46" s="1"/>
  <c r="AF39" i="46"/>
  <c r="AE39" i="46"/>
  <c r="AE45" i="46" s="1"/>
  <c r="AP37" i="46"/>
  <c r="AO37" i="46"/>
  <c r="AN37" i="46"/>
  <c r="AM37" i="46"/>
  <c r="AL37" i="46"/>
  <c r="AK37" i="46"/>
  <c r="AJ37" i="46"/>
  <c r="AI37" i="46"/>
  <c r="AH37" i="46"/>
  <c r="AG37" i="46"/>
  <c r="AF37" i="46"/>
  <c r="AE37" i="46"/>
  <c r="AP36" i="46"/>
  <c r="AO36" i="46"/>
  <c r="AN36" i="46"/>
  <c r="AM36" i="46"/>
  <c r="AL36" i="46"/>
  <c r="AK36" i="46"/>
  <c r="AJ36" i="46"/>
  <c r="AI36" i="46"/>
  <c r="AH36" i="46"/>
  <c r="AG36" i="46"/>
  <c r="AF36" i="46"/>
  <c r="AE36" i="46"/>
  <c r="AP35" i="46"/>
  <c r="AO35" i="46"/>
  <c r="AN35" i="46"/>
  <c r="AM35" i="46"/>
  <c r="AL35" i="46"/>
  <c r="AK35" i="46"/>
  <c r="AJ35" i="46"/>
  <c r="AI35" i="46"/>
  <c r="AH35" i="46"/>
  <c r="AG35" i="46"/>
  <c r="AF35" i="46"/>
  <c r="AE35" i="46"/>
  <c r="BE34" i="46"/>
  <c r="AQ34" i="46"/>
  <c r="BE33" i="46"/>
  <c r="AQ33" i="46"/>
  <c r="BE32" i="46"/>
  <c r="AQ32" i="46"/>
  <c r="BE31" i="46"/>
  <c r="AQ31" i="46"/>
  <c r="BE30" i="46"/>
  <c r="AQ30" i="46"/>
  <c r="BE29" i="46"/>
  <c r="AQ29" i="46"/>
  <c r="BE28" i="46"/>
  <c r="AQ28" i="46"/>
  <c r="BE27" i="46"/>
  <c r="AQ27" i="46"/>
  <c r="BE26" i="46"/>
  <c r="AP26" i="46"/>
  <c r="AP23" i="46" s="1"/>
  <c r="AO26" i="46"/>
  <c r="AO23" i="46" s="1"/>
  <c r="AN26" i="46"/>
  <c r="AN23" i="46" s="1"/>
  <c r="AM26" i="46"/>
  <c r="AM23" i="46" s="1"/>
  <c r="AL26" i="46"/>
  <c r="AL23" i="46" s="1"/>
  <c r="AK26" i="46"/>
  <c r="AK23" i="46" s="1"/>
  <c r="AJ26" i="46"/>
  <c r="AI26" i="46"/>
  <c r="AI23" i="46" s="1"/>
  <c r="AH26" i="46"/>
  <c r="AH23" i="46" s="1"/>
  <c r="AG26" i="46"/>
  <c r="AG23" i="46" s="1"/>
  <c r="AF26" i="46"/>
  <c r="AF23" i="46" s="1"/>
  <c r="AE26" i="46"/>
  <c r="AE23" i="46" s="1"/>
  <c r="AP24" i="46"/>
  <c r="AO24" i="46"/>
  <c r="AN24" i="46"/>
  <c r="AM24" i="46"/>
  <c r="AL24" i="46"/>
  <c r="AK24" i="46"/>
  <c r="AJ24" i="46"/>
  <c r="AI24" i="46"/>
  <c r="AH24" i="46"/>
  <c r="AG24" i="46"/>
  <c r="AF24" i="46"/>
  <c r="AE24" i="46"/>
  <c r="BE22" i="46"/>
  <c r="AQ22" i="46"/>
  <c r="AQ21" i="46"/>
  <c r="AP19" i="46"/>
  <c r="AO19" i="46"/>
  <c r="AN19" i="46"/>
  <c r="AM19" i="46"/>
  <c r="AL19" i="46"/>
  <c r="AK19" i="46"/>
  <c r="AJ19" i="46"/>
  <c r="AI19" i="46"/>
  <c r="AH19" i="46"/>
  <c r="AG19" i="46"/>
  <c r="AF19" i="46"/>
  <c r="AE19" i="46"/>
  <c r="AP18" i="46"/>
  <c r="AO18" i="46"/>
  <c r="AN18" i="46"/>
  <c r="AM18" i="46"/>
  <c r="AL18" i="46"/>
  <c r="AK18" i="46"/>
  <c r="AJ18" i="46"/>
  <c r="AI18" i="46"/>
  <c r="AH18" i="46"/>
  <c r="AG18" i="46"/>
  <c r="AF18" i="46"/>
  <c r="AE18" i="46"/>
  <c r="AP17" i="46"/>
  <c r="AO17" i="46"/>
  <c r="AN17" i="46"/>
  <c r="AM17" i="46"/>
  <c r="AL17" i="46"/>
  <c r="AK17" i="46"/>
  <c r="AJ17" i="46"/>
  <c r="AI17" i="46"/>
  <c r="AH17" i="46"/>
  <c r="AG17" i="46"/>
  <c r="AF17" i="46"/>
  <c r="AE17" i="46"/>
  <c r="BE16" i="46"/>
  <c r="AQ16" i="46"/>
  <c r="BD15" i="46"/>
  <c r="BD14" i="46" s="1"/>
  <c r="BC15" i="46"/>
  <c r="BC14" i="46" s="1"/>
  <c r="BB15" i="46"/>
  <c r="BB14" i="46" s="1"/>
  <c r="BA15" i="46"/>
  <c r="BA14" i="46" s="1"/>
  <c r="AZ15" i="46"/>
  <c r="AZ14" i="46" s="1"/>
  <c r="AY15" i="46"/>
  <c r="AY14" i="46" s="1"/>
  <c r="AX15" i="46"/>
  <c r="AX14" i="46" s="1"/>
  <c r="AW15" i="46"/>
  <c r="AW14" i="46" s="1"/>
  <c r="AV15" i="46"/>
  <c r="AV14" i="46" s="1"/>
  <c r="AU15" i="46"/>
  <c r="AU14" i="46" s="1"/>
  <c r="AT15" i="46"/>
  <c r="AT14" i="46" s="1"/>
  <c r="AS15" i="46"/>
  <c r="AS14" i="46" s="1"/>
  <c r="AP15" i="46"/>
  <c r="AP14" i="46" s="1"/>
  <c r="AP13" i="46" s="1"/>
  <c r="AO15" i="46"/>
  <c r="AO14" i="46" s="1"/>
  <c r="AN15" i="46"/>
  <c r="AN14" i="46" s="1"/>
  <c r="AM15" i="46"/>
  <c r="AM14" i="46" s="1"/>
  <c r="AL15" i="46"/>
  <c r="AL14" i="46" s="1"/>
  <c r="AK15" i="46"/>
  <c r="AK14" i="46" s="1"/>
  <c r="AJ15" i="46"/>
  <c r="AJ14" i="46" s="1"/>
  <c r="AI15" i="46"/>
  <c r="AI14" i="46" s="1"/>
  <c r="AH15" i="46"/>
  <c r="AH14" i="46" s="1"/>
  <c r="AG15" i="46"/>
  <c r="AG14" i="46" s="1"/>
  <c r="AF15" i="46"/>
  <c r="AF14" i="46" s="1"/>
  <c r="AE15" i="46"/>
  <c r="AE14" i="46" s="1"/>
  <c r="BE12" i="46"/>
  <c r="AQ12" i="46"/>
  <c r="BE10" i="46"/>
  <c r="AQ10" i="46"/>
  <c r="BE8" i="46"/>
  <c r="AQ8" i="46"/>
  <c r="BD7" i="46"/>
  <c r="BD9" i="46" s="1"/>
  <c r="BC7" i="46"/>
  <c r="BB7" i="46"/>
  <c r="BB9" i="46" s="1"/>
  <c r="BA7" i="46"/>
  <c r="BA9" i="46" s="1"/>
  <c r="AZ7" i="46"/>
  <c r="AZ9" i="46" s="1"/>
  <c r="AY7" i="46"/>
  <c r="AY9" i="46" s="1"/>
  <c r="AX7" i="46"/>
  <c r="AX9" i="46" s="1"/>
  <c r="AW7" i="46"/>
  <c r="AW9" i="46" s="1"/>
  <c r="AV7" i="46"/>
  <c r="AV9" i="46" s="1"/>
  <c r="AU7" i="46"/>
  <c r="AU9" i="46" s="1"/>
  <c r="AT7" i="46"/>
  <c r="AT9" i="46" s="1"/>
  <c r="AS7" i="46"/>
  <c r="AS9" i="46" s="1"/>
  <c r="AP7" i="46"/>
  <c r="AP9" i="46" s="1"/>
  <c r="AO7" i="46"/>
  <c r="AO9" i="46" s="1"/>
  <c r="AN7" i="46"/>
  <c r="AM7" i="46"/>
  <c r="AM9" i="46" s="1"/>
  <c r="AL7" i="46"/>
  <c r="AK7" i="46"/>
  <c r="AK9" i="46" s="1"/>
  <c r="AJ7" i="46"/>
  <c r="AJ9" i="46" s="1"/>
  <c r="AI7" i="46"/>
  <c r="AI9" i="46" s="1"/>
  <c r="AH7" i="46"/>
  <c r="AH9" i="46" s="1"/>
  <c r="AG7" i="46"/>
  <c r="AG9" i="46" s="1"/>
  <c r="AF7" i="46"/>
  <c r="AE7" i="46"/>
  <c r="AE9" i="46" s="1"/>
  <c r="Q45" i="19" a="1"/>
  <c r="O51" i="20" a="1"/>
  <c r="P10" i="19" a="1"/>
  <c r="P22" i="21" a="1"/>
  <c r="P73" i="17" a="1"/>
  <c r="Q125" i="19" a="1"/>
  <c r="P109" i="16" a="1"/>
  <c r="P55" i="16" a="1"/>
  <c r="P62" i="16" a="1"/>
  <c r="N86" i="20" a="1"/>
  <c r="M105" i="20" a="1"/>
  <c r="P43" i="17" a="1"/>
  <c r="O31" i="20" a="1"/>
  <c r="P43" i="16" a="1"/>
  <c r="Q31" i="19" a="1"/>
  <c r="P16" i="16" a="1"/>
  <c r="P25" i="16" a="1"/>
  <c r="O45" i="20" a="1"/>
  <c r="O16" i="20" a="1"/>
  <c r="P64" i="16" a="1"/>
  <c r="Q142" i="19" a="1"/>
  <c r="N75" i="20" a="1"/>
  <c r="P9" i="17" a="1"/>
  <c r="M111" i="20" a="1"/>
  <c r="P100" i="17" a="1"/>
  <c r="P88" i="16" a="1"/>
  <c r="P68" i="13" a="1"/>
  <c r="P14" i="21" a="1"/>
  <c r="P34" i="19" a="1"/>
  <c r="Q128" i="19" a="1"/>
  <c r="L101" i="20" a="1"/>
  <c r="P92" i="16" a="1"/>
  <c r="Q21" i="19" a="1"/>
  <c r="P35" i="17" a="1"/>
  <c r="O19" i="20" a="1"/>
  <c r="Q143" i="19" a="1"/>
  <c r="P18" i="16" a="1"/>
  <c r="Q130" i="19" a="1"/>
  <c r="P98" i="16" a="1"/>
  <c r="L114" i="20" a="1"/>
  <c r="N64" i="20" a="1"/>
  <c r="P45" i="13" a="1"/>
  <c r="P79" i="16" a="1"/>
  <c r="P10" i="16" a="1"/>
  <c r="O20" i="20" a="1"/>
  <c r="P75" i="26" a="1"/>
  <c r="P72" i="16" a="1"/>
  <c r="Q112" i="19" a="1"/>
  <c r="O18" i="20" a="1"/>
  <c r="M100" i="20" a="1"/>
  <c r="O33" i="20" a="1"/>
  <c r="P10" i="26" a="1"/>
  <c r="Q43" i="19" a="1"/>
  <c r="O39" i="20" a="1"/>
  <c r="P82" i="26" a="1"/>
  <c r="P9" i="19" a="1"/>
  <c r="P59" i="26" a="1"/>
  <c r="P90" i="17" a="1"/>
  <c r="P38" i="16" a="1"/>
  <c r="P15" i="16" a="1"/>
  <c r="P25" i="17" a="1"/>
  <c r="N66" i="20" a="1"/>
  <c r="P120" i="19" a="1"/>
  <c r="P6" i="13" a="1"/>
  <c r="O53" i="20" a="1"/>
  <c r="L104" i="20" a="1"/>
  <c r="O6" i="20" a="1"/>
  <c r="L92" i="20" a="1"/>
  <c r="L116" i="20" a="1"/>
  <c r="P44" i="19" a="1"/>
  <c r="M93" i="20" a="1"/>
  <c r="P32" i="17" a="1"/>
  <c r="P78" i="16" a="1"/>
  <c r="P59" i="17" a="1"/>
  <c r="P49" i="17" a="1"/>
  <c r="P76" i="26" a="1"/>
  <c r="P84" i="16" a="1"/>
  <c r="P26" i="17" a="1"/>
  <c r="P144" i="19" a="1"/>
  <c r="P87" i="17" a="1"/>
  <c r="O14" i="20" a="1"/>
  <c r="P65" i="17" a="1"/>
  <c r="P37" i="17" a="1"/>
  <c r="P40" i="17" a="1"/>
  <c r="P23" i="16" a="1"/>
  <c r="P52" i="21" a="1"/>
  <c r="P94" i="16" a="1"/>
  <c r="Q30" i="19" a="1"/>
  <c r="P61" i="16" a="1"/>
  <c r="P112" i="17" a="1"/>
  <c r="P46" i="13" a="1"/>
  <c r="P19" i="13" a="1"/>
  <c r="P115" i="19" a="1"/>
  <c r="P44" i="16" a="1"/>
  <c r="P11" i="21" a="1"/>
  <c r="P21" i="13" a="1"/>
  <c r="P57" i="19" a="1"/>
  <c r="P94" i="17" a="1"/>
  <c r="Q36" i="19" a="1"/>
  <c r="O54" i="20" a="1"/>
  <c r="P38" i="19" a="1"/>
  <c r="P42" i="16" a="1"/>
  <c r="P138" i="19" a="1"/>
  <c r="P12" i="13" a="1"/>
  <c r="P58" i="13" a="1"/>
  <c r="P12" i="16" a="1"/>
  <c r="P93" i="17" a="1"/>
  <c r="P33" i="15" a="1"/>
  <c r="N80" i="20" a="1"/>
  <c r="P48" i="16" a="1"/>
  <c r="P71" i="16" a="1"/>
  <c r="Q16" i="19" a="1"/>
  <c r="P73" i="26" a="1"/>
  <c r="P105" i="17" a="1"/>
  <c r="P123" i="19" a="1"/>
  <c r="M96" i="20" a="1"/>
  <c r="P45" i="21" a="1"/>
  <c r="P127" i="19" a="1"/>
  <c r="P90" i="15" a="1"/>
  <c r="P16" i="19" a="1"/>
  <c r="P18" i="19" a="1"/>
  <c r="Q111" i="19" a="1"/>
  <c r="P25" i="19" a="1"/>
  <c r="O30" i="20" a="1"/>
  <c r="P16" i="15" a="1"/>
  <c r="P119" i="19" a="1"/>
  <c r="R120" i="19" a="1"/>
  <c r="P106" i="16" a="1"/>
  <c r="P116" i="17" a="1"/>
  <c r="Q19" i="19" a="1"/>
  <c r="P56" i="16" a="1"/>
  <c r="P70" i="16" a="1"/>
  <c r="L112" i="20" a="1"/>
  <c r="Q44" i="19" a="1"/>
  <c r="P24" i="17" a="1"/>
  <c r="P125" i="19" a="1"/>
  <c r="P48" i="21" a="1"/>
  <c r="P16" i="13" a="1"/>
  <c r="N71" i="20" a="1"/>
  <c r="M116" i="20" a="1"/>
  <c r="Q58" i="19" a="1"/>
  <c r="P26" i="16" a="1"/>
  <c r="P43" i="13" a="1"/>
  <c r="Q141" i="19" a="1"/>
  <c r="P40" i="13" a="1"/>
  <c r="P7" i="16" a="1"/>
  <c r="O17" i="20" a="1"/>
  <c r="P20" i="13" a="1"/>
  <c r="Q40" i="19" a="1"/>
  <c r="Q48" i="19" a="1"/>
  <c r="P32" i="15" a="1"/>
  <c r="P23" i="21" a="1"/>
  <c r="P33" i="19" a="1"/>
  <c r="P13" i="13" a="1"/>
  <c r="P42" i="17" a="1"/>
  <c r="P38" i="13" a="1"/>
  <c r="Q47" i="19" a="1"/>
  <c r="P46" i="19" a="1"/>
  <c r="L96" i="20" a="1"/>
  <c r="P33" i="13" a="1"/>
  <c r="P45" i="17" a="1"/>
  <c r="P100" i="16" a="1"/>
  <c r="P74" i="26" a="1"/>
  <c r="N74" i="20" a="1"/>
  <c r="P67" i="16" a="1"/>
  <c r="P39" i="16" a="1"/>
  <c r="L117" i="20" a="1"/>
  <c r="P19" i="21" a="1"/>
  <c r="N73" i="20" a="1"/>
  <c r="P34" i="21" a="1"/>
  <c r="P61" i="26" a="1"/>
  <c r="Q26" i="19" a="1"/>
  <c r="N72" i="20" a="1"/>
  <c r="P24" i="15" a="1"/>
  <c r="P43" i="21" a="1"/>
  <c r="P137" i="19" a="1"/>
  <c r="Q51" i="19" a="1"/>
  <c r="P109" i="19" a="1"/>
  <c r="P8" i="26" a="1"/>
  <c r="P10" i="21" a="1"/>
  <c r="Q115" i="19" a="1"/>
  <c r="P18" i="13" a="1"/>
  <c r="Q39" i="19" a="1"/>
  <c r="P82" i="16" a="1"/>
  <c r="M110" i="20" a="1"/>
  <c r="P104" i="16" a="1"/>
  <c r="N87" i="20" a="1"/>
  <c r="Q9" i="19" a="1"/>
  <c r="Q118" i="19" a="1"/>
  <c r="N82" i="20" a="1"/>
  <c r="M99" i="20" a="1"/>
  <c r="P13" i="17" a="1"/>
  <c r="Q14" i="19" a="1"/>
  <c r="P13" i="21" a="1"/>
  <c r="P41" i="17" a="1"/>
  <c r="P57" i="26" a="1"/>
  <c r="P63" i="16" a="1"/>
  <c r="P47" i="15" a="1"/>
  <c r="P6" i="26" a="1"/>
  <c r="P16" i="17" a="1"/>
  <c r="P78" i="17" a="1"/>
  <c r="P53" i="16" a="1"/>
  <c r="O55" i="20" a="1"/>
  <c r="P111" i="17" a="1"/>
  <c r="P117" i="19" a="1"/>
  <c r="O24" i="20" a="1"/>
  <c r="P62" i="26" a="1"/>
  <c r="O50" i="20" a="1"/>
  <c r="M113" i="20" a="1"/>
  <c r="P57" i="17" a="1"/>
  <c r="P80" i="17" a="1"/>
  <c r="N70" i="20" a="1"/>
  <c r="P134" i="19" a="1"/>
  <c r="P17" i="21" a="1"/>
  <c r="P92" i="15" a="1"/>
  <c r="L115" i="20" a="1"/>
  <c r="P10" i="17" a="1"/>
  <c r="P66" i="13" a="1"/>
  <c r="P38" i="17" a="1"/>
  <c r="P14" i="17" a="1"/>
  <c r="O21" i="20" a="1"/>
  <c r="P27" i="15" a="1"/>
  <c r="P19" i="16" a="1"/>
  <c r="Q23" i="19" a="1"/>
  <c r="P73" i="16" a="1"/>
  <c r="P79" i="17" a="1"/>
  <c r="P40" i="15" a="1"/>
  <c r="P40" i="19" a="1"/>
  <c r="P89" i="17" a="1"/>
  <c r="P103" i="16" a="1"/>
  <c r="P45" i="19" a="1"/>
  <c r="N83" i="20" a="1"/>
  <c r="P65" i="13" a="1"/>
  <c r="O56" i="20" a="1"/>
  <c r="P48" i="19" a="1"/>
  <c r="P74" i="17" a="1"/>
  <c r="P80" i="26" a="1"/>
  <c r="P99" i="16" a="1"/>
  <c r="P45" i="16" a="1"/>
  <c r="Q42" i="19" a="1"/>
  <c r="P50" i="17" a="1"/>
  <c r="P98" i="17" a="1"/>
  <c r="O42" i="20" a="1"/>
  <c r="P47" i="17" a="1"/>
  <c r="Q114" i="19" a="1"/>
  <c r="N78" i="20" a="1"/>
  <c r="Q136" i="19" a="1"/>
  <c r="P58" i="17" a="1"/>
  <c r="P22" i="15" a="1"/>
  <c r="P24" i="21" a="1"/>
  <c r="P58" i="26" a="1"/>
  <c r="P21" i="26" a="1"/>
  <c r="P18" i="15" a="1"/>
  <c r="Q55" i="19" a="1"/>
  <c r="N89" i="20" a="1"/>
  <c r="N84" i="20" a="1"/>
  <c r="Q35" i="19" a="1"/>
  <c r="P104" i="17" a="1"/>
  <c r="Q109" i="19" a="1"/>
  <c r="P92" i="17" a="1"/>
  <c r="P17" i="15" a="1"/>
  <c r="P20" i="26" a="1"/>
  <c r="P52" i="16" a="1"/>
  <c r="P121" i="19" a="1"/>
  <c r="N77" i="20" a="1"/>
  <c r="P18" i="21" a="1"/>
  <c r="O25" i="20" a="1"/>
  <c r="P31" i="13" a="1"/>
  <c r="Q110" i="19" a="1"/>
  <c r="Q41" i="19" a="1"/>
  <c r="N61" i="20" a="1"/>
  <c r="P118" i="19" a="1"/>
  <c r="P15" i="19" a="1"/>
  <c r="P59" i="16" a="1"/>
  <c r="P23" i="26" a="1"/>
  <c r="P37" i="19" a="1"/>
  <c r="Q10" i="19" a="1"/>
  <c r="P6" i="16" a="1"/>
  <c r="P74" i="16" a="1"/>
  <c r="L100" i="20" a="1"/>
  <c r="P12" i="21" a="1"/>
  <c r="P26" i="13" a="1"/>
  <c r="P60" i="16" a="1"/>
  <c r="P114" i="19" a="1"/>
  <c r="P113" i="19" a="1"/>
  <c r="N90" i="20" a="1"/>
  <c r="P107" i="17" a="1"/>
  <c r="M112" i="20" a="1"/>
  <c r="P128" i="19" a="1"/>
  <c r="L103" i="20" a="1"/>
  <c r="P75" i="16" a="1"/>
  <c r="P30" i="19" a="1"/>
  <c r="P46" i="21" a="1"/>
  <c r="P95" i="15" a="1"/>
  <c r="Q46" i="19" a="1"/>
  <c r="P30" i="17" a="1"/>
  <c r="P41" i="15" a="1"/>
  <c r="N63" i="20" a="1"/>
  <c r="Q32" i="19" a="1"/>
  <c r="N85" i="20" a="1"/>
  <c r="P16" i="21" a="1"/>
  <c r="P109" i="17" a="1"/>
  <c r="P77" i="16" a="1"/>
  <c r="P13" i="16" a="1"/>
  <c r="M94" i="20" a="1"/>
  <c r="P31" i="17" a="1"/>
  <c r="P51" i="21" a="1"/>
  <c r="Q12" i="19" a="1"/>
  <c r="M108" i="20" a="1"/>
  <c r="P59" i="13" a="1"/>
  <c r="Q38" i="19" a="1"/>
  <c r="P46" i="16" a="1"/>
  <c r="P29" i="13" a="1"/>
  <c r="O26" i="20" a="1"/>
  <c r="P85" i="17" a="1"/>
  <c r="P19" i="19" a="1"/>
  <c r="O9" i="20" a="1"/>
  <c r="L98" i="20" a="1"/>
  <c r="O29" i="20" a="1"/>
  <c r="O41" i="20" a="1"/>
  <c r="P86" i="17" a="1"/>
  <c r="P7" i="21" a="1"/>
  <c r="Q17" i="19" a="1"/>
  <c r="P71" i="26" a="1"/>
  <c r="P97" i="17" a="1"/>
  <c r="P84" i="17" a="1"/>
  <c r="L118" i="20" a="1"/>
  <c r="P126" i="19" a="1"/>
  <c r="P66" i="26" a="1"/>
  <c r="Q20" i="19" a="1"/>
  <c r="P13" i="19" a="1"/>
  <c r="P49" i="15" a="1"/>
  <c r="P91" i="15" a="1"/>
  <c r="P32" i="19" a="1"/>
  <c r="P12" i="17" a="1"/>
  <c r="P23" i="15" a="1"/>
  <c r="P67" i="17" a="1"/>
  <c r="P60" i="17" a="1"/>
  <c r="P85" i="16" a="1"/>
  <c r="Q33" i="19" a="1"/>
  <c r="P58" i="16" a="1"/>
  <c r="P130" i="19" a="1"/>
  <c r="O47" i="20" a="1"/>
  <c r="P112" i="19" a="1"/>
  <c r="M91" i="20" a="1"/>
  <c r="N69" i="20" a="1"/>
  <c r="P8" i="15" a="1"/>
  <c r="P140" i="19" a="1"/>
  <c r="P39" i="15" a="1"/>
  <c r="P72" i="17" a="1"/>
  <c r="Q57" i="19" a="1"/>
  <c r="P23" i="19" a="1"/>
  <c r="P68" i="17" a="1"/>
  <c r="O38" i="20" a="1"/>
  <c r="P103" i="17" a="1"/>
  <c r="P91" i="16" a="1"/>
  <c r="P29" i="17" a="1"/>
  <c r="Q13" i="19" a="1"/>
  <c r="P11" i="16" a="1"/>
  <c r="P11" i="13" a="1"/>
  <c r="P142" i="19" a="1"/>
  <c r="P39" i="13" a="1"/>
  <c r="Q37" i="19" a="1"/>
  <c r="P17" i="26" a="1"/>
  <c r="P66" i="16" a="1"/>
  <c r="Q53" i="19" a="1"/>
  <c r="P81" i="26" a="1"/>
  <c r="P69" i="16" a="1"/>
  <c r="M95" i="20" a="1"/>
  <c r="P36" i="15" a="1"/>
  <c r="N76" i="20" a="1"/>
  <c r="P62" i="17" a="1"/>
  <c r="O52" i="20" a="1"/>
  <c r="M114" i="20" a="1"/>
  <c r="P75" i="17" a="1"/>
  <c r="Q11" i="19" a="1"/>
  <c r="P95" i="16" a="1"/>
  <c r="P111" i="19" a="1"/>
  <c r="P39" i="19" a="1"/>
  <c r="O12" i="20" a="1"/>
  <c r="L91" i="20" a="1"/>
  <c r="P18" i="26" a="1"/>
  <c r="P122" i="19" a="1"/>
  <c r="Q124" i="19" a="1"/>
  <c r="P38" i="21" a="1"/>
  <c r="P54" i="16" a="1"/>
  <c r="L110" i="20" a="1"/>
  <c r="P48" i="17" a="1"/>
  <c r="Q119" i="19" a="1"/>
  <c r="P108" i="16" a="1"/>
  <c r="P17" i="16" a="1"/>
  <c r="P116" i="19" a="1"/>
  <c r="Q137" i="19" a="1"/>
  <c r="P6" i="21" a="1"/>
  <c r="O48" i="20" a="1"/>
  <c r="P141" i="19" a="1"/>
  <c r="Q135" i="19" a="1"/>
  <c r="P24" i="13" a="1"/>
  <c r="M103" i="20" a="1"/>
  <c r="M109" i="20" a="1"/>
  <c r="P70" i="17" a="1"/>
  <c r="P110" i="17" a="1"/>
  <c r="P28" i="21" a="1"/>
  <c r="O57" i="20" a="1"/>
  <c r="M101" i="20" a="1"/>
  <c r="P44" i="13" a="1"/>
  <c r="L95" i="20" a="1"/>
  <c r="P14" i="19" a="1"/>
  <c r="P42" i="13" a="1"/>
  <c r="L94" i="20" a="1"/>
  <c r="P8" i="16" a="1"/>
  <c r="O36" i="20" a="1"/>
  <c r="P56" i="26" a="1"/>
  <c r="P86" i="16" a="1"/>
  <c r="P25" i="21" a="1"/>
  <c r="L99" i="20" a="1"/>
  <c r="P88" i="17" a="1"/>
  <c r="P60" i="13" a="1"/>
  <c r="P21" i="16" a="1"/>
  <c r="P47" i="13" a="1"/>
  <c r="P55" i="19" a="1"/>
  <c r="P90" i="16" a="1"/>
  <c r="Q127" i="19" a="1"/>
  <c r="M107" i="20" a="1"/>
  <c r="P81" i="16" a="1"/>
  <c r="P9" i="21" a="1"/>
  <c r="P76" i="17" a="1"/>
  <c r="P58" i="19" a="1"/>
  <c r="P28" i="13" a="1"/>
  <c r="P27" i="16" a="1"/>
  <c r="Q49" i="19" a="1"/>
  <c r="Q139" i="19" a="1"/>
  <c r="P55" i="26" a="1"/>
  <c r="P136" i="19" a="1"/>
  <c r="Q22" i="19" a="1"/>
  <c r="P21" i="19" a="1"/>
  <c r="P12" i="19" a="1"/>
  <c r="Q56" i="19" a="1"/>
  <c r="P31" i="19" a="1"/>
  <c r="O58" i="20" a="1"/>
  <c r="P44" i="21" a="1"/>
  <c r="P108" i="17" a="1"/>
  <c r="Q122" i="19" a="1"/>
  <c r="P70" i="13" a="1"/>
  <c r="P82" i="17" a="1"/>
  <c r="P9" i="15" a="1"/>
  <c r="P6" i="19" a="1"/>
  <c r="P20" i="19" a="1"/>
  <c r="P50" i="21" a="1"/>
  <c r="O7" i="20" a="1"/>
  <c r="P110" i="19" a="1"/>
  <c r="L102" i="20" a="1"/>
  <c r="P143" i="19" a="1"/>
  <c r="P36" i="19" a="1"/>
  <c r="P41" i="21" a="1"/>
  <c r="P89" i="16" a="1"/>
  <c r="O11" i="20" a="1"/>
  <c r="P42" i="19" a="1"/>
  <c r="Q15" i="19" a="1"/>
  <c r="P30" i="13" a="1"/>
  <c r="P95" i="17" a="1"/>
  <c r="P42" i="15" a="1"/>
  <c r="Q117" i="19" a="1"/>
  <c r="P9" i="26" a="1"/>
  <c r="P11" i="19" a="1"/>
  <c r="L105" i="20" a="1"/>
  <c r="P93" i="16" a="1"/>
  <c r="P14" i="13" a="1"/>
  <c r="Q133" i="19" a="1"/>
  <c r="P105" i="16" a="1"/>
  <c r="Q123" i="19" a="1"/>
  <c r="Q121" i="19" a="1"/>
  <c r="P17" i="13" a="1"/>
  <c r="P34" i="15" a="1"/>
  <c r="P10" i="13" a="1"/>
  <c r="P51" i="17" a="1"/>
  <c r="P96" i="16" a="1"/>
  <c r="O13" i="20" a="1"/>
  <c r="O40" i="20" a="1"/>
  <c r="N67" i="20" a="1"/>
  <c r="P76" i="16" a="1"/>
  <c r="P26" i="15" a="1"/>
  <c r="P83" i="26" a="1"/>
  <c r="M117" i="20" a="1"/>
  <c r="O22" i="20" a="1"/>
  <c r="P61" i="13" a="1"/>
  <c r="P29" i="21" a="1"/>
  <c r="P54" i="17" a="1"/>
  <c r="P25" i="15" a="1"/>
  <c r="N62" i="20" a="1"/>
  <c r="P25" i="26" a="1"/>
  <c r="P66" i="17" a="1"/>
  <c r="P54" i="26" a="1"/>
  <c r="P52" i="17" a="1"/>
  <c r="P64" i="26" a="1"/>
  <c r="P124" i="19" a="1"/>
  <c r="M104" i="20" a="1"/>
  <c r="P43" i="19" a="1"/>
  <c r="Q18" i="19" a="1"/>
  <c r="P139" i="19" a="1"/>
  <c r="O46" i="20" a="1"/>
  <c r="P69" i="17" a="1"/>
  <c r="P115" i="17" a="1"/>
  <c r="L106" i="20" a="1"/>
  <c r="P22" i="19" a="1"/>
  <c r="P77" i="17" a="1"/>
  <c r="L109" i="20" a="1"/>
  <c r="P24" i="26" a="1"/>
  <c r="M115" i="20" a="1"/>
  <c r="P52" i="19" a="1"/>
  <c r="P47" i="21" a="1"/>
  <c r="Q140" i="19" a="1"/>
  <c r="P101" i="17" a="1"/>
  <c r="P39" i="21" a="1"/>
  <c r="N79" i="20" a="1"/>
  <c r="Q6" i="19" a="1"/>
  <c r="P87" i="16" a="1"/>
  <c r="P106" i="17" a="1"/>
  <c r="P40" i="21" a="1"/>
  <c r="P11" i="17" a="1"/>
  <c r="N88" i="20" a="1"/>
  <c r="P93" i="15" a="1"/>
  <c r="P12" i="15" a="1"/>
  <c r="P53" i="19" a="1"/>
  <c r="P63" i="26" a="1"/>
  <c r="N34" i="20" a="1"/>
  <c r="P15" i="17" a="1"/>
  <c r="P8" i="21" a="1"/>
  <c r="L107" i="20" a="1"/>
  <c r="P55" i="17" a="1"/>
  <c r="P34" i="13" a="1"/>
  <c r="P22" i="16" a="1"/>
  <c r="L111" i="20" a="1"/>
  <c r="P42" i="21" a="1"/>
  <c r="P57" i="16" a="1"/>
  <c r="P72" i="26" a="1"/>
  <c r="P10" i="15" a="1"/>
  <c r="P36" i="21" a="1"/>
  <c r="P27" i="17" a="1"/>
  <c r="P35" i="15" a="1"/>
  <c r="O10" i="20" a="1"/>
  <c r="Q50" i="19" a="1"/>
  <c r="P8" i="19" a="1"/>
  <c r="P23" i="13" a="1"/>
  <c r="P33" i="17" a="1"/>
  <c r="P26" i="19" a="1"/>
  <c r="O44" i="20" a="1"/>
  <c r="P53" i="17" a="1"/>
  <c r="P36" i="17" a="1"/>
  <c r="P28" i="15" a="1"/>
  <c r="P56" i="17" a="1"/>
  <c r="P19" i="26" a="1"/>
  <c r="P80" i="16" a="1"/>
  <c r="P129" i="19" a="1"/>
  <c r="P27" i="21" a="1"/>
  <c r="Q134" i="19" a="1"/>
  <c r="Q120" i="19" a="1"/>
  <c r="P49" i="21" a="1"/>
  <c r="O37" i="20" a="1"/>
  <c r="P9" i="16" a="1"/>
  <c r="P7" i="19" a="1"/>
  <c r="Q25" i="19" a="1"/>
  <c r="Q113" i="19" a="1"/>
  <c r="P38" i="15" a="1"/>
  <c r="N60" i="20" a="1"/>
  <c r="N65" i="20" a="1"/>
  <c r="P63" i="13" a="1"/>
  <c r="P35" i="13" a="1"/>
  <c r="P102" i="16" a="1"/>
  <c r="O15" i="20" a="1"/>
  <c r="P51" i="19" a="1"/>
  <c r="Q34" i="19" a="1"/>
  <c r="P133" i="19" a="1"/>
  <c r="Q126" i="19" a="1"/>
  <c r="P79" i="26" a="1"/>
  <c r="P47" i="19" a="1"/>
  <c r="P36" i="13" a="1"/>
  <c r="P17" i="19" a="1"/>
  <c r="P81" i="17" a="1"/>
  <c r="P28" i="17" a="1"/>
  <c r="P65" i="26" a="1"/>
  <c r="P49" i="19" a="1"/>
  <c r="P25" i="13" a="1"/>
  <c r="Q52" i="19" a="1"/>
  <c r="P96" i="17" a="1"/>
  <c r="P83" i="17" a="1"/>
  <c r="L108" i="20" a="1"/>
  <c r="P37" i="21" a="1"/>
  <c r="M98" i="20" a="1"/>
  <c r="M92" i="20" a="1"/>
  <c r="P13" i="15" a="1"/>
  <c r="P46" i="17" a="1"/>
  <c r="P14" i="16" a="1"/>
  <c r="Q116" i="19" a="1"/>
  <c r="P67" i="13" a="1"/>
  <c r="P64" i="17" a="1"/>
  <c r="P14" i="15" a="1"/>
  <c r="P24" i="16" a="1"/>
  <c r="P97" i="16" a="1"/>
  <c r="Q54" i="19" a="1"/>
  <c r="O43" i="20" a="1"/>
  <c r="P22" i="13" a="1"/>
  <c r="M118" i="20" a="1"/>
  <c r="P21" i="15" a="1"/>
  <c r="P39" i="17" a="1"/>
  <c r="L93" i="20" a="1"/>
  <c r="O27" i="20" a="1"/>
  <c r="N68" i="20" a="1"/>
  <c r="N35" i="20" a="1"/>
  <c r="P91" i="17" a="1"/>
  <c r="P15" i="21" a="1"/>
  <c r="P31" i="15" a="1"/>
  <c r="Q8" i="19" a="1"/>
  <c r="P113" i="17" a="1"/>
  <c r="P15" i="13" a="1"/>
  <c r="O8" i="20" a="1"/>
  <c r="P71" i="17" a="1"/>
  <c r="P102" i="17" a="1"/>
  <c r="P35" i="21" a="1"/>
  <c r="P11" i="15" a="1"/>
  <c r="P26" i="21" a="1"/>
  <c r="L97" i="20" a="1"/>
  <c r="P114" i="17" a="1"/>
  <c r="P22" i="26" a="1"/>
  <c r="P101" i="16" a="1"/>
  <c r="P50" i="19" a="1"/>
  <c r="M106" i="20" a="1"/>
  <c r="O28" i="20" a="1"/>
  <c r="M102" i="20" a="1"/>
  <c r="L113" i="20" a="1"/>
  <c r="P17" i="17" a="1"/>
  <c r="P54" i="19" a="1"/>
  <c r="P107" i="16" a="1"/>
  <c r="P37" i="13" a="1"/>
  <c r="P63" i="17" a="1"/>
  <c r="Q129" i="19" a="1"/>
  <c r="P20" i="16" a="1"/>
  <c r="P135" i="19" a="1"/>
  <c r="P27" i="13" a="1"/>
  <c r="Q138" i="19" a="1"/>
  <c r="P35" i="19" a="1"/>
  <c r="P64" i="13" a="1"/>
  <c r="M97" i="20" a="1"/>
  <c r="P56" i="19" a="1"/>
  <c r="P34" i="17" a="1"/>
  <c r="Q144" i="19" a="1"/>
  <c r="N81" i="20" a="1"/>
  <c r="P62" i="13" a="1"/>
  <c r="P41" i="19" a="1"/>
  <c r="P16" i="26" a="1"/>
  <c r="P41" i="13" a="1"/>
  <c r="P65" i="16" a="1"/>
  <c r="Q7" i="19" a="1"/>
  <c r="P99" i="17" a="1"/>
  <c r="P78" i="26" a="1"/>
  <c r="Q15" i="19" l="1"/>
  <c r="Q35" i="19"/>
  <c r="Q51" i="19"/>
  <c r="Q117" i="19"/>
  <c r="Q133" i="19"/>
  <c r="Q16" i="19"/>
  <c r="Q36" i="19"/>
  <c r="Q52" i="19"/>
  <c r="Q118" i="19"/>
  <c r="Q134" i="19"/>
  <c r="Q19" i="19"/>
  <c r="Q39" i="19"/>
  <c r="Q55" i="19"/>
  <c r="Q121" i="19"/>
  <c r="Q137" i="19"/>
  <c r="Q20" i="19"/>
  <c r="Q40" i="19"/>
  <c r="Q56" i="19"/>
  <c r="Q122" i="19"/>
  <c r="Q138" i="19"/>
  <c r="Q21" i="19"/>
  <c r="Q41" i="19"/>
  <c r="Q57" i="19"/>
  <c r="Q123" i="19"/>
  <c r="Q139" i="19"/>
  <c r="Q53" i="19"/>
  <c r="Q54" i="19"/>
  <c r="Q124" i="19"/>
  <c r="Q23" i="19"/>
  <c r="Q141" i="19"/>
  <c r="Q8" i="19"/>
  <c r="Q25" i="19"/>
  <c r="Q44" i="19"/>
  <c r="Q110" i="19"/>
  <c r="Q126" i="19"/>
  <c r="Q142" i="19"/>
  <c r="Q9" i="19"/>
  <c r="Q26" i="19"/>
  <c r="Q45" i="19"/>
  <c r="Q111" i="19"/>
  <c r="Q127" i="19"/>
  <c r="Q143" i="19"/>
  <c r="Q10" i="19"/>
  <c r="Q30" i="19"/>
  <c r="Q46" i="19"/>
  <c r="Q112" i="19"/>
  <c r="Q128" i="19"/>
  <c r="Q144" i="19"/>
  <c r="Q11" i="19"/>
  <c r="Q31" i="19"/>
  <c r="Q47" i="19"/>
  <c r="Q113" i="19"/>
  <c r="Q129" i="19"/>
  <c r="Q37" i="19"/>
  <c r="Q119" i="19"/>
  <c r="Q18" i="19"/>
  <c r="Q120" i="19"/>
  <c r="Q42" i="19"/>
  <c r="Q43" i="19"/>
  <c r="Q12" i="19"/>
  <c r="Q32" i="19"/>
  <c r="Q48" i="19"/>
  <c r="Q114" i="19"/>
  <c r="Q130" i="19"/>
  <c r="Q17" i="19"/>
  <c r="Q135" i="19"/>
  <c r="Q38" i="19"/>
  <c r="Q136" i="19"/>
  <c r="Q6" i="19"/>
  <c r="Q106" i="19" s="1"/>
  <c r="Q58" i="19"/>
  <c r="Q140" i="19"/>
  <c r="Q109" i="19"/>
  <c r="Q13" i="19"/>
  <c r="Q33" i="19"/>
  <c r="Q49" i="19"/>
  <c r="Q115" i="19"/>
  <c r="Q22" i="19"/>
  <c r="Q7" i="19"/>
  <c r="Q125" i="19"/>
  <c r="Q14" i="19"/>
  <c r="Q34" i="19"/>
  <c r="Q50" i="19"/>
  <c r="Q116" i="19"/>
  <c r="CK35" i="45"/>
  <c r="CK99" i="45"/>
  <c r="CK62" i="45"/>
  <c r="CK23" i="45"/>
  <c r="CK93" i="45"/>
  <c r="CK112" i="45"/>
  <c r="CK116" i="45"/>
  <c r="CK133" i="45"/>
  <c r="CK66" i="45"/>
  <c r="CK103" i="45"/>
  <c r="CK77" i="45"/>
  <c r="CK18" i="45"/>
  <c r="CK44" i="45"/>
  <c r="CK36" i="45"/>
  <c r="P7" i="21"/>
  <c r="P25" i="21"/>
  <c r="P45" i="21"/>
  <c r="P8" i="21"/>
  <c r="P26" i="21"/>
  <c r="P46" i="21"/>
  <c r="P9" i="21"/>
  <c r="P27" i="21"/>
  <c r="P47" i="21"/>
  <c r="P10" i="21"/>
  <c r="P28" i="21"/>
  <c r="P48" i="21"/>
  <c r="P11" i="21"/>
  <c r="P29" i="21"/>
  <c r="P49" i="21"/>
  <c r="P12" i="21"/>
  <c r="P34" i="21"/>
  <c r="P50" i="21"/>
  <c r="P13" i="21"/>
  <c r="P35" i="21"/>
  <c r="P51" i="21"/>
  <c r="P14" i="21"/>
  <c r="P36" i="21"/>
  <c r="P52" i="21"/>
  <c r="P15" i="21"/>
  <c r="P37" i="21"/>
  <c r="P16" i="21"/>
  <c r="P38" i="21"/>
  <c r="P17" i="21"/>
  <c r="P39" i="21"/>
  <c r="P18" i="21"/>
  <c r="P40" i="21"/>
  <c r="P19" i="21"/>
  <c r="P41" i="21"/>
  <c r="P22" i="21"/>
  <c r="P42" i="21"/>
  <c r="P23" i="21"/>
  <c r="P43" i="21"/>
  <c r="P6" i="21"/>
  <c r="P24" i="21"/>
  <c r="P44" i="21"/>
  <c r="O19" i="20"/>
  <c r="N35" i="20"/>
  <c r="O51" i="20"/>
  <c r="N67" i="20"/>
  <c r="N83" i="20"/>
  <c r="M99" i="20"/>
  <c r="L99" i="20"/>
  <c r="L115" i="20"/>
  <c r="M115" i="20"/>
  <c r="O20" i="20"/>
  <c r="O36" i="20"/>
  <c r="O52" i="20"/>
  <c r="N68" i="20"/>
  <c r="N84" i="20"/>
  <c r="M100" i="20"/>
  <c r="L100" i="20"/>
  <c r="L116" i="20"/>
  <c r="M116" i="20"/>
  <c r="O37" i="20"/>
  <c r="O6" i="20"/>
  <c r="O22" i="20"/>
  <c r="O38" i="20"/>
  <c r="O54" i="20"/>
  <c r="N70" i="20"/>
  <c r="N86" i="20"/>
  <c r="M102" i="20"/>
  <c r="L102" i="20"/>
  <c r="M118" i="20"/>
  <c r="L118" i="20"/>
  <c r="O7" i="20"/>
  <c r="O39" i="20"/>
  <c r="O55" i="20"/>
  <c r="N71" i="20"/>
  <c r="N87" i="20"/>
  <c r="L103" i="20"/>
  <c r="M103" i="20"/>
  <c r="O8" i="20"/>
  <c r="O24" i="20"/>
  <c r="O40" i="20"/>
  <c r="O56" i="20"/>
  <c r="N72" i="20"/>
  <c r="N88" i="20"/>
  <c r="L104" i="20"/>
  <c r="M104" i="20"/>
  <c r="O53" i="20"/>
  <c r="O9" i="20"/>
  <c r="O25" i="20"/>
  <c r="O41" i="20"/>
  <c r="O57" i="20"/>
  <c r="N73" i="20"/>
  <c r="N89" i="20"/>
  <c r="M105" i="20"/>
  <c r="L105" i="20"/>
  <c r="O21" i="20"/>
  <c r="O10" i="20"/>
  <c r="O26" i="20"/>
  <c r="O42" i="20"/>
  <c r="O58" i="20"/>
  <c r="N74" i="20"/>
  <c r="N90" i="20"/>
  <c r="L106" i="20"/>
  <c r="M106" i="20"/>
  <c r="N69" i="20"/>
  <c r="O11" i="20"/>
  <c r="O27" i="20"/>
  <c r="O43" i="20"/>
  <c r="N75" i="20"/>
  <c r="M91" i="20"/>
  <c r="L91" i="20"/>
  <c r="M107" i="20"/>
  <c r="L107" i="20"/>
  <c r="O12" i="20"/>
  <c r="O28" i="20"/>
  <c r="O44" i="20"/>
  <c r="N60" i="20"/>
  <c r="N76" i="20"/>
  <c r="M92" i="20"/>
  <c r="L92" i="20"/>
  <c r="L108" i="20"/>
  <c r="M108" i="20"/>
  <c r="O13" i="20"/>
  <c r="O29" i="20"/>
  <c r="O45" i="20"/>
  <c r="N61" i="20"/>
  <c r="N77" i="20"/>
  <c r="M93" i="20"/>
  <c r="L93" i="20"/>
  <c r="M109" i="20"/>
  <c r="L109" i="20"/>
  <c r="O14" i="20"/>
  <c r="O30" i="20"/>
  <c r="O46" i="20"/>
  <c r="N62" i="20"/>
  <c r="N78" i="20"/>
  <c r="L94" i="20"/>
  <c r="M94" i="20"/>
  <c r="M110" i="20"/>
  <c r="L110" i="20"/>
  <c r="O15" i="20"/>
  <c r="O31" i="20"/>
  <c r="O47" i="20"/>
  <c r="N63" i="20"/>
  <c r="N79" i="20"/>
  <c r="L95" i="20"/>
  <c r="M95" i="20"/>
  <c r="L111" i="20"/>
  <c r="M111" i="20"/>
  <c r="M101" i="20"/>
  <c r="L101" i="20"/>
  <c r="O16" i="20"/>
  <c r="O48" i="20"/>
  <c r="N64" i="20"/>
  <c r="N80" i="20"/>
  <c r="M96" i="20"/>
  <c r="L96" i="20"/>
  <c r="L112" i="20"/>
  <c r="M112" i="20"/>
  <c r="L117" i="20"/>
  <c r="M117" i="20"/>
  <c r="O17" i="20"/>
  <c r="O33" i="20"/>
  <c r="N65" i="20"/>
  <c r="N81" i="20"/>
  <c r="L97" i="20"/>
  <c r="M97" i="20"/>
  <c r="M113" i="20"/>
  <c r="L113" i="20"/>
  <c r="N85" i="20"/>
  <c r="O18" i="20"/>
  <c r="N34" i="20"/>
  <c r="O50" i="20"/>
  <c r="N66" i="20"/>
  <c r="N82" i="20"/>
  <c r="M98" i="20"/>
  <c r="L98" i="20"/>
  <c r="M114" i="20"/>
  <c r="L114" i="20"/>
  <c r="P15" i="19"/>
  <c r="P35" i="19"/>
  <c r="P51" i="19"/>
  <c r="P117" i="19"/>
  <c r="P133" i="19"/>
  <c r="P26" i="19"/>
  <c r="P16" i="19"/>
  <c r="P36" i="19"/>
  <c r="P52" i="19"/>
  <c r="P118" i="19"/>
  <c r="P134" i="19"/>
  <c r="P143" i="19"/>
  <c r="P17" i="19"/>
  <c r="P37" i="19"/>
  <c r="P53" i="19"/>
  <c r="P119" i="19"/>
  <c r="P135" i="19"/>
  <c r="P18" i="19"/>
  <c r="P38" i="19"/>
  <c r="P54" i="19"/>
  <c r="R120" i="19"/>
  <c r="P120" i="19"/>
  <c r="P136" i="19"/>
  <c r="P19" i="19"/>
  <c r="P39" i="19"/>
  <c r="P55" i="19"/>
  <c r="P121" i="19"/>
  <c r="P137" i="19"/>
  <c r="P20" i="19"/>
  <c r="P40" i="19"/>
  <c r="P56" i="19"/>
  <c r="P122" i="19"/>
  <c r="P138" i="19"/>
  <c r="P21" i="19"/>
  <c r="P41" i="19"/>
  <c r="P57" i="19"/>
  <c r="P123" i="19"/>
  <c r="P139" i="19"/>
  <c r="P6" i="19"/>
  <c r="P106" i="19" s="1"/>
  <c r="P22" i="19"/>
  <c r="P42" i="19"/>
  <c r="P58" i="19"/>
  <c r="P124" i="19"/>
  <c r="P140" i="19"/>
  <c r="P9" i="19"/>
  <c r="P7" i="19"/>
  <c r="P23" i="19"/>
  <c r="P43" i="19"/>
  <c r="P109" i="19"/>
  <c r="P125" i="19"/>
  <c r="P141" i="19"/>
  <c r="P111" i="19"/>
  <c r="P8" i="19"/>
  <c r="P25" i="19"/>
  <c r="P44" i="19"/>
  <c r="P110" i="19"/>
  <c r="P126" i="19"/>
  <c r="P142" i="19"/>
  <c r="P45" i="19"/>
  <c r="P10" i="19"/>
  <c r="P30" i="19"/>
  <c r="P46" i="19"/>
  <c r="P112" i="19"/>
  <c r="P128" i="19"/>
  <c r="P144" i="19"/>
  <c r="P127" i="19"/>
  <c r="P11" i="19"/>
  <c r="P31" i="19"/>
  <c r="P47" i="19"/>
  <c r="P113" i="19"/>
  <c r="P129" i="19"/>
  <c r="P12" i="19"/>
  <c r="P32" i="19"/>
  <c r="P48" i="19"/>
  <c r="P114" i="19"/>
  <c r="P130" i="19"/>
  <c r="P13" i="19"/>
  <c r="P33" i="19"/>
  <c r="P49" i="19"/>
  <c r="P115" i="19"/>
  <c r="P14" i="19"/>
  <c r="P34" i="19"/>
  <c r="P50" i="19"/>
  <c r="P116" i="19"/>
  <c r="P8" i="26"/>
  <c r="P18" i="26"/>
  <c r="P72" i="26"/>
  <c r="P82" i="26"/>
  <c r="P23" i="26"/>
  <c r="P57" i="26"/>
  <c r="P64" i="26"/>
  <c r="P76" i="26"/>
  <c r="P9" i="26"/>
  <c r="P61" i="26"/>
  <c r="P79" i="26"/>
  <c r="P83" i="26"/>
  <c r="P19" i="26"/>
  <c r="P73" i="26"/>
  <c r="P24" i="26"/>
  <c r="P54" i="26"/>
  <c r="P58" i="26"/>
  <c r="P10" i="26"/>
  <c r="P20" i="26"/>
  <c r="P65" i="26"/>
  <c r="P80" i="26"/>
  <c r="P25" i="26"/>
  <c r="P62" i="26"/>
  <c r="P74" i="26"/>
  <c r="P55" i="26"/>
  <c r="P16" i="26"/>
  <c r="P59" i="26"/>
  <c r="P71" i="26"/>
  <c r="P21" i="26"/>
  <c r="P66" i="26"/>
  <c r="P17" i="26"/>
  <c r="P56" i="26"/>
  <c r="P63" i="26"/>
  <c r="P75" i="26"/>
  <c r="P78" i="26"/>
  <c r="P81" i="26"/>
  <c r="P22" i="26"/>
  <c r="P6" i="26"/>
  <c r="P15" i="13"/>
  <c r="P31" i="13"/>
  <c r="P58" i="13"/>
  <c r="P30" i="13"/>
  <c r="P16" i="13"/>
  <c r="P33" i="13"/>
  <c r="P59" i="13"/>
  <c r="P14" i="13"/>
  <c r="P17" i="13"/>
  <c r="P34" i="13"/>
  <c r="P60" i="13"/>
  <c r="P18" i="13"/>
  <c r="P35" i="13"/>
  <c r="P61" i="13"/>
  <c r="P19" i="13"/>
  <c r="P36" i="13"/>
  <c r="P62" i="13"/>
  <c r="P20" i="13"/>
  <c r="P37" i="13"/>
  <c r="P63" i="13"/>
  <c r="P21" i="13"/>
  <c r="P38" i="13"/>
  <c r="P64" i="13"/>
  <c r="P6" i="13"/>
  <c r="P22" i="13"/>
  <c r="P39" i="13"/>
  <c r="P65" i="13"/>
  <c r="P23" i="13"/>
  <c r="P40" i="13"/>
  <c r="P66" i="13"/>
  <c r="P24" i="13"/>
  <c r="P41" i="13"/>
  <c r="P67" i="13"/>
  <c r="P25" i="13"/>
  <c r="P42" i="13"/>
  <c r="P68" i="13"/>
  <c r="P10" i="13"/>
  <c r="P26" i="13"/>
  <c r="P43" i="13"/>
  <c r="P70" i="13"/>
  <c r="P11" i="13"/>
  <c r="P27" i="13"/>
  <c r="P44" i="13"/>
  <c r="P47" i="13"/>
  <c r="P12" i="13"/>
  <c r="P28" i="13"/>
  <c r="P45" i="13"/>
  <c r="P13" i="13"/>
  <c r="P29" i="13"/>
  <c r="P46" i="13"/>
  <c r="P9" i="17"/>
  <c r="P30" i="17"/>
  <c r="P47" i="17"/>
  <c r="P64" i="17"/>
  <c r="P80" i="17"/>
  <c r="P96" i="17"/>
  <c r="P112" i="17"/>
  <c r="P10" i="17"/>
  <c r="P31" i="17"/>
  <c r="P48" i="17"/>
  <c r="P65" i="17"/>
  <c r="P81" i="17"/>
  <c r="P97" i="17"/>
  <c r="P113" i="17"/>
  <c r="P11" i="17"/>
  <c r="P32" i="17"/>
  <c r="P49" i="17"/>
  <c r="P66" i="17"/>
  <c r="P82" i="17"/>
  <c r="P98" i="17"/>
  <c r="P114" i="17"/>
  <c r="P12" i="17"/>
  <c r="P33" i="17"/>
  <c r="P50" i="17"/>
  <c r="P67" i="17"/>
  <c r="P83" i="17"/>
  <c r="P99" i="17"/>
  <c r="P115" i="17"/>
  <c r="P13" i="17"/>
  <c r="P34" i="17"/>
  <c r="P51" i="17"/>
  <c r="P68" i="17"/>
  <c r="P84" i="17"/>
  <c r="P100" i="17"/>
  <c r="P116" i="17"/>
  <c r="P14" i="17"/>
  <c r="P35" i="17"/>
  <c r="P52" i="17"/>
  <c r="P69" i="17"/>
  <c r="P85" i="17"/>
  <c r="P101" i="17"/>
  <c r="P15" i="17"/>
  <c r="P36" i="17"/>
  <c r="P53" i="17"/>
  <c r="P70" i="17"/>
  <c r="P86" i="17"/>
  <c r="P102" i="17"/>
  <c r="P16" i="17"/>
  <c r="P37" i="17"/>
  <c r="P54" i="17"/>
  <c r="P71" i="17"/>
  <c r="P87" i="17"/>
  <c r="P103" i="17"/>
  <c r="P17" i="17"/>
  <c r="P38" i="17"/>
  <c r="P55" i="17"/>
  <c r="P72" i="17"/>
  <c r="P88" i="17"/>
  <c r="P104" i="17"/>
  <c r="P39" i="17"/>
  <c r="P56" i="17"/>
  <c r="P73" i="17"/>
  <c r="P89" i="17"/>
  <c r="P105" i="17"/>
  <c r="P24" i="17"/>
  <c r="P40" i="17"/>
  <c r="P57" i="17"/>
  <c r="P74" i="17"/>
  <c r="P90" i="17"/>
  <c r="P106" i="17"/>
  <c r="P25" i="17"/>
  <c r="P41" i="17"/>
  <c r="P58" i="17"/>
  <c r="P75" i="17"/>
  <c r="P91" i="17"/>
  <c r="P107" i="17"/>
  <c r="P26" i="17"/>
  <c r="P42" i="17"/>
  <c r="P59" i="17"/>
  <c r="P76" i="17"/>
  <c r="P92" i="17"/>
  <c r="P108" i="17"/>
  <c r="P27" i="17"/>
  <c r="P43" i="17"/>
  <c r="P60" i="17"/>
  <c r="P77" i="17"/>
  <c r="P93" i="17"/>
  <c r="P109" i="17"/>
  <c r="P28" i="17"/>
  <c r="P45" i="17"/>
  <c r="P62" i="17"/>
  <c r="P78" i="17"/>
  <c r="P94" i="17"/>
  <c r="P110" i="17"/>
  <c r="P29" i="17"/>
  <c r="P46" i="17"/>
  <c r="P63" i="17"/>
  <c r="P79" i="17"/>
  <c r="P95" i="17"/>
  <c r="P111" i="17"/>
  <c r="AY13" i="46"/>
  <c r="AI116" i="46"/>
  <c r="P108" i="16"/>
  <c r="P92" i="16"/>
  <c r="P15" i="16"/>
  <c r="P55" i="16"/>
  <c r="P63" i="16"/>
  <c r="P72" i="16"/>
  <c r="P80" i="16"/>
  <c r="P94" i="16"/>
  <c r="P109" i="16"/>
  <c r="P107" i="16"/>
  <c r="P16" i="16"/>
  <c r="P38" i="16"/>
  <c r="P95" i="16"/>
  <c r="P54" i="16"/>
  <c r="P93" i="16"/>
  <c r="P17" i="16"/>
  <c r="P39" i="16"/>
  <c r="P33" i="16" s="1"/>
  <c r="P56" i="16"/>
  <c r="P64" i="16"/>
  <c r="P73" i="16"/>
  <c r="P81" i="16"/>
  <c r="P96" i="16"/>
  <c r="P18" i="16"/>
  <c r="P42" i="16"/>
  <c r="P97" i="16"/>
  <c r="P71" i="16"/>
  <c r="P19" i="16"/>
  <c r="P43" i="16"/>
  <c r="P57" i="16"/>
  <c r="P65" i="16"/>
  <c r="P74" i="16"/>
  <c r="P82" i="16"/>
  <c r="P98" i="16"/>
  <c r="P13" i="16"/>
  <c r="P20" i="16"/>
  <c r="P44" i="16"/>
  <c r="P99" i="16"/>
  <c r="P21" i="16"/>
  <c r="P45" i="16"/>
  <c r="P58" i="16"/>
  <c r="P66" i="16"/>
  <c r="P75" i="16"/>
  <c r="P84" i="16"/>
  <c r="P6" i="16"/>
  <c r="P22" i="16"/>
  <c r="P46" i="16"/>
  <c r="P85" i="16"/>
  <c r="P100" i="16"/>
  <c r="P7" i="16"/>
  <c r="P23" i="16"/>
  <c r="P48" i="16"/>
  <c r="P59" i="16"/>
  <c r="P67" i="16"/>
  <c r="P76" i="16"/>
  <c r="P86" i="16"/>
  <c r="P101" i="16"/>
  <c r="P79" i="16"/>
  <c r="P8" i="16"/>
  <c r="P24" i="16"/>
  <c r="P87" i="16"/>
  <c r="P102" i="16"/>
  <c r="P14" i="16"/>
  <c r="P9" i="16"/>
  <c r="P25" i="16"/>
  <c r="P52" i="16"/>
  <c r="P60" i="16"/>
  <c r="P69" i="16"/>
  <c r="P77" i="16"/>
  <c r="P88" i="16"/>
  <c r="P103" i="16"/>
  <c r="P10" i="16"/>
  <c r="P26" i="16"/>
  <c r="P89" i="16"/>
  <c r="P104" i="16"/>
  <c r="P62" i="16"/>
  <c r="P11" i="16"/>
  <c r="P27" i="16"/>
  <c r="P53" i="16"/>
  <c r="P61" i="16"/>
  <c r="P70" i="16"/>
  <c r="P78" i="16"/>
  <c r="P90" i="16"/>
  <c r="P105" i="16"/>
  <c r="P12" i="16"/>
  <c r="P91" i="16"/>
  <c r="P106" i="16"/>
  <c r="P10" i="15"/>
  <c r="P27" i="15"/>
  <c r="P47" i="15"/>
  <c r="P48" i="15" s="1"/>
  <c r="P11" i="15"/>
  <c r="P28" i="15"/>
  <c r="P33" i="15"/>
  <c r="P12" i="15"/>
  <c r="P49" i="15"/>
  <c r="P13" i="15"/>
  <c r="P17" i="15"/>
  <c r="P14" i="15"/>
  <c r="P31" i="15"/>
  <c r="P90" i="15"/>
  <c r="P16" i="15"/>
  <c r="P32" i="15"/>
  <c r="P91" i="15"/>
  <c r="P18" i="15"/>
  <c r="P34" i="15"/>
  <c r="P93" i="15"/>
  <c r="P35" i="15"/>
  <c r="P95" i="15"/>
  <c r="P36" i="15"/>
  <c r="P21" i="15"/>
  <c r="P38" i="15"/>
  <c r="P22" i="15"/>
  <c r="P39" i="15"/>
  <c r="P23" i="15"/>
  <c r="P40" i="15"/>
  <c r="P24" i="15"/>
  <c r="P41" i="15"/>
  <c r="P8" i="15"/>
  <c r="P25" i="15"/>
  <c r="P42" i="15"/>
  <c r="P92" i="15"/>
  <c r="P9" i="15"/>
  <c r="P26" i="15"/>
  <c r="BN128" i="45"/>
  <c r="CF130" i="45"/>
  <c r="AT13" i="46"/>
  <c r="AT11" i="46" s="1"/>
  <c r="AO145" i="46"/>
  <c r="AO83" i="46" s="1"/>
  <c r="AF20" i="54"/>
  <c r="AX13" i="46"/>
  <c r="AN25" i="46"/>
  <c r="AV13" i="46"/>
  <c r="AO116" i="46"/>
  <c r="AO127" i="46" s="1"/>
  <c r="AO82" i="46" s="1"/>
  <c r="AP116" i="46"/>
  <c r="AP127" i="46" s="1"/>
  <c r="AP82" i="46" s="1"/>
  <c r="CF38" i="45"/>
  <c r="DB133" i="45"/>
  <c r="DB138" i="45"/>
  <c r="DD138" i="45" s="1"/>
  <c r="AM145" i="46"/>
  <c r="AM83" i="46" s="1"/>
  <c r="AJ116" i="46"/>
  <c r="AJ127" i="46" s="1"/>
  <c r="AJ82" i="46" s="1"/>
  <c r="AM25" i="46"/>
  <c r="AM116" i="46"/>
  <c r="AM127" i="46" s="1"/>
  <c r="AM82" i="46" s="1"/>
  <c r="AF99" i="46"/>
  <c r="AF109" i="46" s="1"/>
  <c r="AF81" i="46" s="1"/>
  <c r="AG99" i="46"/>
  <c r="AG109" i="46" s="1"/>
  <c r="AG81" i="46" s="1"/>
  <c r="AN38" i="46"/>
  <c r="AP38" i="46"/>
  <c r="CF116" i="45"/>
  <c r="CF66" i="45"/>
  <c r="CF133" i="45"/>
  <c r="CF62" i="45"/>
  <c r="CF23" i="45"/>
  <c r="CF93" i="45"/>
  <c r="CF182" i="45" s="1"/>
  <c r="CF18" i="45"/>
  <c r="BK8" i="45"/>
  <c r="BK171" i="45" s="1"/>
  <c r="CF6" i="45"/>
  <c r="CF170" i="45" s="1"/>
  <c r="CF36" i="45"/>
  <c r="CF17" i="45"/>
  <c r="CF24" i="45"/>
  <c r="CF35" i="45"/>
  <c r="CF138" i="45"/>
  <c r="CF191" i="45" s="1"/>
  <c r="CF77" i="45"/>
  <c r="CF179" i="45" s="1"/>
  <c r="CF16" i="45"/>
  <c r="CF8" i="45"/>
  <c r="AH116" i="46"/>
  <c r="AH127" i="46" s="1"/>
  <c r="AH82" i="46" s="1"/>
  <c r="AA20" i="33"/>
  <c r="AF26" i="33"/>
  <c r="AX26" i="33" s="1"/>
  <c r="AE26" i="33"/>
  <c r="AF28" i="33"/>
  <c r="AX28" i="33" s="1"/>
  <c r="AE8" i="33"/>
  <c r="AP25" i="46"/>
  <c r="AO38" i="46"/>
  <c r="AK145" i="46"/>
  <c r="AK83" i="46" s="1"/>
  <c r="AH38" i="46"/>
  <c r="AH20" i="46"/>
  <c r="AL20" i="46"/>
  <c r="AL116" i="46"/>
  <c r="AL127" i="46" s="1"/>
  <c r="AL82" i="46" s="1"/>
  <c r="AW13" i="46"/>
  <c r="AW11" i="46" s="1"/>
  <c r="AE25" i="46"/>
  <c r="AG25" i="46"/>
  <c r="AK38" i="46"/>
  <c r="AK25" i="46"/>
  <c r="AO13" i="46"/>
  <c r="AO11" i="46" s="1"/>
  <c r="AF25" i="46"/>
  <c r="AN116" i="46"/>
  <c r="AN127" i="46" s="1"/>
  <c r="AN82" i="46" s="1"/>
  <c r="AI38" i="46"/>
  <c r="AH25" i="46"/>
  <c r="AI25" i="46"/>
  <c r="AS13" i="46"/>
  <c r="AS11" i="46" s="1"/>
  <c r="BE15" i="46"/>
  <c r="AO25" i="46"/>
  <c r="AK99" i="46"/>
  <c r="AK109" i="46" s="1"/>
  <c r="AK81" i="46" s="1"/>
  <c r="AO99" i="46"/>
  <c r="AO109" i="46" s="1"/>
  <c r="AO81" i="46" s="1"/>
  <c r="W9" i="55"/>
  <c r="AE17" i="55"/>
  <c r="AD59" i="55"/>
  <c r="AD10" i="55" s="1"/>
  <c r="Y9" i="55"/>
  <c r="AE59" i="55"/>
  <c r="AC28" i="55"/>
  <c r="U84" i="55"/>
  <c r="Z9" i="55"/>
  <c r="Y84" i="55"/>
  <c r="AC56" i="55"/>
  <c r="T98" i="55"/>
  <c r="Y11" i="55"/>
  <c r="AC77" i="55"/>
  <c r="AB84" i="55"/>
  <c r="Z11" i="55"/>
  <c r="AA11" i="55"/>
  <c r="T42" i="55"/>
  <c r="AA70" i="55"/>
  <c r="Y12" i="55"/>
  <c r="AC64" i="55"/>
  <c r="AA9" i="55"/>
  <c r="AG34" i="55"/>
  <c r="AA35" i="55"/>
  <c r="AE62" i="55"/>
  <c r="AF78" i="55"/>
  <c r="AI78" i="55"/>
  <c r="R61" i="55"/>
  <c r="S61" i="55"/>
  <c r="AB11" i="55"/>
  <c r="AF85" i="55"/>
  <c r="AI85" i="55"/>
  <c r="BL99" i="55"/>
  <c r="BN99" i="55"/>
  <c r="AI98" i="55"/>
  <c r="BN98" i="55" s="1"/>
  <c r="AI70" i="55"/>
  <c r="Z64" i="55"/>
  <c r="T77" i="55"/>
  <c r="X70" i="55"/>
  <c r="U77" i="55"/>
  <c r="W28" i="55"/>
  <c r="Y70" i="55"/>
  <c r="V77" i="55"/>
  <c r="Z70" i="55"/>
  <c r="W77" i="55"/>
  <c r="V84" i="55"/>
  <c r="Y35" i="55"/>
  <c r="AI99" i="46"/>
  <c r="AI109" i="46" s="1"/>
  <c r="AI81" i="46" s="1"/>
  <c r="K223" i="24"/>
  <c r="M205" i="24"/>
  <c r="I129" i="24"/>
  <c r="E206" i="24"/>
  <c r="J204" i="24"/>
  <c r="AU6" i="24"/>
  <c r="BN6" i="24" s="1"/>
  <c r="G222" i="24"/>
  <c r="N205" i="24"/>
  <c r="J222" i="24"/>
  <c r="P88" i="22"/>
  <c r="Q88" i="22" s="1"/>
  <c r="P126" i="22"/>
  <c r="Q126" i="22" s="1"/>
  <c r="AT73" i="22"/>
  <c r="AU11" i="22"/>
  <c r="BO11" i="22" s="1"/>
  <c r="AU124" i="22"/>
  <c r="F67" i="22"/>
  <c r="E68" i="22"/>
  <c r="X68" i="22"/>
  <c r="AF74" i="22"/>
  <c r="AE71" i="22"/>
  <c r="H66" i="22"/>
  <c r="AE28" i="22"/>
  <c r="Z67" i="22"/>
  <c r="F68" i="22"/>
  <c r="Y68" i="22"/>
  <c r="J65" i="22"/>
  <c r="AB66" i="22"/>
  <c r="AT69" i="22"/>
  <c r="G66" i="22"/>
  <c r="Q75" i="22"/>
  <c r="AF70" i="22"/>
  <c r="AU107" i="22"/>
  <c r="AT70" i="22"/>
  <c r="Q71" i="22"/>
  <c r="I67" i="22"/>
  <c r="AB67" i="22"/>
  <c r="L68" i="22"/>
  <c r="AE74" i="22"/>
  <c r="AE11" i="22"/>
  <c r="AF11" i="22" s="1"/>
  <c r="N67" i="22"/>
  <c r="M68" i="22"/>
  <c r="AI68" i="22"/>
  <c r="L60" i="22"/>
  <c r="AD67" i="22"/>
  <c r="AL66" i="22"/>
  <c r="O67" i="22"/>
  <c r="AK67" i="22"/>
  <c r="M60" i="22"/>
  <c r="P11" i="22"/>
  <c r="Q11" i="22" s="1"/>
  <c r="O60" i="22"/>
  <c r="AK60" i="22"/>
  <c r="U65" i="22"/>
  <c r="AO65" i="22"/>
  <c r="T66" i="22"/>
  <c r="AM66" i="22"/>
  <c r="S67" i="22"/>
  <c r="AL67" i="22"/>
  <c r="AK68" i="22"/>
  <c r="AE72" i="22"/>
  <c r="J60" i="22"/>
  <c r="AC60" i="22"/>
  <c r="Q24" i="22"/>
  <c r="Q62" i="22" s="1"/>
  <c r="M64" i="22"/>
  <c r="AI64" i="22"/>
  <c r="AU27" i="22"/>
  <c r="BO27" i="22" s="1"/>
  <c r="J66" i="22"/>
  <c r="AC66" i="22"/>
  <c r="AA67" i="22"/>
  <c r="G68" i="22"/>
  <c r="Z68" i="22"/>
  <c r="AF39" i="22"/>
  <c r="AF77" i="22" s="1"/>
  <c r="AT41" i="22"/>
  <c r="BN41" i="22"/>
  <c r="AU71" i="22"/>
  <c r="BO71" i="22" s="1"/>
  <c r="AU85" i="22"/>
  <c r="AE99" i="22"/>
  <c r="AF99" i="22" s="1"/>
  <c r="P99" i="22"/>
  <c r="Q99" i="22" s="1"/>
  <c r="AE62" i="22"/>
  <c r="P26" i="22"/>
  <c r="AJ64" i="22"/>
  <c r="BN64" i="22" s="1"/>
  <c r="BN26" i="22"/>
  <c r="M65" i="22"/>
  <c r="AI65" i="22"/>
  <c r="K66" i="22"/>
  <c r="AD66" i="22"/>
  <c r="P45" i="22"/>
  <c r="Q45" i="22" s="1"/>
  <c r="AU49" i="22"/>
  <c r="BO49" i="22" s="1"/>
  <c r="P71" i="22"/>
  <c r="AU80" i="22"/>
  <c r="AE86" i="22"/>
  <c r="AF86" i="22" s="1"/>
  <c r="AE103" i="22"/>
  <c r="AF103" i="22" s="1"/>
  <c r="AU41" i="22"/>
  <c r="BO41" i="22" s="1"/>
  <c r="P28" i="22"/>
  <c r="AU22" i="22"/>
  <c r="BO22" i="22" s="1"/>
  <c r="AH60" i="22"/>
  <c r="O64" i="22"/>
  <c r="AK64" i="22"/>
  <c r="AJ65" i="22"/>
  <c r="BN65" i="22" s="1"/>
  <c r="BN27" i="22"/>
  <c r="AH66" i="22"/>
  <c r="AU28" i="22"/>
  <c r="BO28" i="22" s="1"/>
  <c r="I68" i="22"/>
  <c r="AB68" i="22"/>
  <c r="AE41" i="22"/>
  <c r="AF41" i="22" s="1"/>
  <c r="AE46" i="22"/>
  <c r="AF46" i="22" s="1"/>
  <c r="AU61" i="22"/>
  <c r="BO61" i="22" s="1"/>
  <c r="AU72" i="22"/>
  <c r="BO72" i="22" s="1"/>
  <c r="AU86" i="22"/>
  <c r="AU103" i="22"/>
  <c r="Q77" i="22"/>
  <c r="AF35" i="22"/>
  <c r="AF73" i="22" s="1"/>
  <c r="P84" i="22"/>
  <c r="Q84" i="22" s="1"/>
  <c r="AT104" i="22"/>
  <c r="AI60" i="22"/>
  <c r="P63" i="22"/>
  <c r="O65" i="22"/>
  <c r="M66" i="22"/>
  <c r="K67" i="22"/>
  <c r="J68" i="22"/>
  <c r="AC68" i="22"/>
  <c r="P49" i="22"/>
  <c r="Q49" i="22" s="1"/>
  <c r="P78" i="22"/>
  <c r="P86" i="22"/>
  <c r="Q86" i="22" s="1"/>
  <c r="P103" i="22"/>
  <c r="Q103" i="22" s="1"/>
  <c r="AU125" i="22"/>
  <c r="AH64" i="22"/>
  <c r="AU26" i="22"/>
  <c r="BO26" i="22" s="1"/>
  <c r="AJ60" i="22"/>
  <c r="BN60" i="22" s="1"/>
  <c r="BN22" i="22"/>
  <c r="AE63" i="22"/>
  <c r="T64" i="22"/>
  <c r="AM64" i="22"/>
  <c r="AL65" i="22"/>
  <c r="N66" i="22"/>
  <c r="L67" i="22"/>
  <c r="AH67" i="22"/>
  <c r="AU29" i="22"/>
  <c r="BO29" i="22" s="1"/>
  <c r="AT74" i="22"/>
  <c r="P46" i="22"/>
  <c r="Q46" i="22" s="1"/>
  <c r="Q78" i="22"/>
  <c r="AU62" i="22"/>
  <c r="BO62" i="22" s="1"/>
  <c r="AH65" i="22"/>
  <c r="AU73" i="22"/>
  <c r="BO73" i="22" s="1"/>
  <c r="AT85" i="22"/>
  <c r="AU87" i="22"/>
  <c r="P123" i="22"/>
  <c r="Q123" i="22" s="1"/>
  <c r="U64" i="22"/>
  <c r="AH68" i="22"/>
  <c r="AU30" i="22"/>
  <c r="BO30" i="22" s="1"/>
  <c r="P75" i="22"/>
  <c r="AT78" i="22"/>
  <c r="S68" i="22"/>
  <c r="AU104" i="22"/>
  <c r="AE122" i="22"/>
  <c r="AF122" i="22" s="1"/>
  <c r="AJ67" i="22"/>
  <c r="BN67" i="22" s="1"/>
  <c r="BN29" i="22"/>
  <c r="P41" i="22"/>
  <c r="Q41" i="22" s="1"/>
  <c r="AU63" i="22"/>
  <c r="BO63" i="22" s="1"/>
  <c r="AE85" i="22"/>
  <c r="AF85" i="22" s="1"/>
  <c r="AU99" i="22"/>
  <c r="AE125" i="22"/>
  <c r="AF125" i="22" s="1"/>
  <c r="AU126" i="22"/>
  <c r="AJ68" i="22"/>
  <c r="BN68" i="22" s="1"/>
  <c r="BN30" i="22"/>
  <c r="AT48" i="22"/>
  <c r="AU74" i="22"/>
  <c r="BO74" i="22" s="1"/>
  <c r="AU88" i="22"/>
  <c r="P122" i="22"/>
  <c r="Q122" i="22" s="1"/>
  <c r="P27" i="22"/>
  <c r="P65" i="22" s="1"/>
  <c r="AU69" i="22"/>
  <c r="BO69" i="22" s="1"/>
  <c r="P85" i="22"/>
  <c r="Q85" i="22" s="1"/>
  <c r="AU105" i="22"/>
  <c r="AT27" i="22"/>
  <c r="AU45" i="22"/>
  <c r="BO45" i="22" s="1"/>
  <c r="P48" i="22"/>
  <c r="Q48" i="22" s="1"/>
  <c r="AU75" i="22"/>
  <c r="BO75" i="22" s="1"/>
  <c r="AE107" i="22"/>
  <c r="AF107" i="22" s="1"/>
  <c r="AU122" i="22"/>
  <c r="AE124" i="22"/>
  <c r="AF124" i="22" s="1"/>
  <c r="P125" i="22"/>
  <c r="Q125" i="22" s="1"/>
  <c r="AT28" i="22"/>
  <c r="AU46" i="22"/>
  <c r="BO46" i="22" s="1"/>
  <c r="AU70" i="22"/>
  <c r="BO70" i="22" s="1"/>
  <c r="AU76" i="22"/>
  <c r="BO76" i="22" s="1"/>
  <c r="AE88" i="22"/>
  <c r="AF88" i="22" s="1"/>
  <c r="P105" i="22"/>
  <c r="Q105" i="22" s="1"/>
  <c r="AU106" i="22"/>
  <c r="P107" i="22"/>
  <c r="Q107" i="22" s="1"/>
  <c r="P73" i="22"/>
  <c r="AT87" i="22"/>
  <c r="AE105" i="22"/>
  <c r="AF105" i="22" s="1"/>
  <c r="AU118" i="22"/>
  <c r="AU123" i="22"/>
  <c r="AU48" i="22"/>
  <c r="BO48" i="22" s="1"/>
  <c r="AU78" i="22"/>
  <c r="BO78" i="22" s="1"/>
  <c r="G60" i="22"/>
  <c r="Z60" i="22"/>
  <c r="I65" i="22"/>
  <c r="Z66" i="22"/>
  <c r="E67" i="22"/>
  <c r="D68" i="22"/>
  <c r="W68" i="22"/>
  <c r="AQ68" i="22"/>
  <c r="Q35" i="22"/>
  <c r="Q73" i="22" s="1"/>
  <c r="AE45" i="22"/>
  <c r="AF45" i="22" s="1"/>
  <c r="P47" i="22"/>
  <c r="Q47" i="22" s="1"/>
  <c r="AU47" i="22"/>
  <c r="BO47" i="22" s="1"/>
  <c r="J67" i="22"/>
  <c r="AC67" i="22"/>
  <c r="AU77" i="22"/>
  <c r="BO77" i="22" s="1"/>
  <c r="AE84" i="22"/>
  <c r="AF84" i="22" s="1"/>
  <c r="AE126" i="22"/>
  <c r="AF126" i="22" s="1"/>
  <c r="AF283" i="24"/>
  <c r="AU283" i="24"/>
  <c r="BN283" i="24" s="1"/>
  <c r="AC61" i="24"/>
  <c r="L204" i="24"/>
  <c r="D206" i="24"/>
  <c r="L129" i="24"/>
  <c r="M208" i="24"/>
  <c r="M206" i="24"/>
  <c r="H204" i="24"/>
  <c r="L205" i="24"/>
  <c r="F222" i="24"/>
  <c r="O208" i="24"/>
  <c r="M222" i="24"/>
  <c r="D205" i="24"/>
  <c r="H206" i="24"/>
  <c r="K206" i="24"/>
  <c r="E223" i="24"/>
  <c r="O205" i="24"/>
  <c r="G207" i="24"/>
  <c r="N206" i="24"/>
  <c r="D222" i="24"/>
  <c r="O206" i="24"/>
  <c r="E222" i="24"/>
  <c r="I223" i="24"/>
  <c r="AN99" i="46"/>
  <c r="AN109" i="46" s="1"/>
  <c r="AN81" i="46" s="1"/>
  <c r="AL99" i="46"/>
  <c r="AL109" i="46" s="1"/>
  <c r="AL81" i="46" s="1"/>
  <c r="AJ99" i="46"/>
  <c r="AJ109" i="46" s="1"/>
  <c r="AJ81" i="46" s="1"/>
  <c r="AM99" i="46"/>
  <c r="AM109" i="46" s="1"/>
  <c r="AM81" i="46" s="1"/>
  <c r="AQ19" i="46"/>
  <c r="AG38" i="46"/>
  <c r="AQ120" i="46"/>
  <c r="AE38" i="46"/>
  <c r="BD13" i="46"/>
  <c r="BD11" i="46" s="1"/>
  <c r="AQ18" i="46"/>
  <c r="AQ139" i="46"/>
  <c r="AZ13" i="46"/>
  <c r="AZ11" i="46" s="1"/>
  <c r="AQ24" i="46"/>
  <c r="AQ104" i="46"/>
  <c r="AG116" i="46"/>
  <c r="AG127" i="46" s="1"/>
  <c r="AG82" i="46" s="1"/>
  <c r="AQ100" i="46"/>
  <c r="AF116" i="46"/>
  <c r="AF127" i="46" s="1"/>
  <c r="AF82" i="46" s="1"/>
  <c r="BE46" i="46"/>
  <c r="AQ17" i="46"/>
  <c r="AL38" i="46"/>
  <c r="BE39" i="46"/>
  <c r="BE78" i="46"/>
  <c r="BA13" i="46"/>
  <c r="BA11" i="46" s="1"/>
  <c r="AQ26" i="46"/>
  <c r="AM38" i="46"/>
  <c r="AQ39" i="46"/>
  <c r="AK116" i="46"/>
  <c r="AK127" i="46" s="1"/>
  <c r="AK82" i="46" s="1"/>
  <c r="BE56" i="46"/>
  <c r="AP99" i="46"/>
  <c r="AP109" i="46" s="1"/>
  <c r="AP81" i="46" s="1"/>
  <c r="AL25" i="46"/>
  <c r="AQ56" i="46"/>
  <c r="BC13" i="46"/>
  <c r="BC11" i="46" s="1"/>
  <c r="BC45" i="46"/>
  <c r="AQ7" i="46"/>
  <c r="AL13" i="46"/>
  <c r="AL11" i="46" s="1"/>
  <c r="AQ78" i="46"/>
  <c r="BB13" i="46"/>
  <c r="BB11" i="46" s="1"/>
  <c r="AF38" i="46"/>
  <c r="AJ38" i="46"/>
  <c r="AQ94" i="46"/>
  <c r="AX19" i="36"/>
  <c r="AE8" i="36"/>
  <c r="AX20" i="36"/>
  <c r="AE16" i="36"/>
  <c r="AX35" i="36"/>
  <c r="AE15" i="36"/>
  <c r="AX36" i="36"/>
  <c r="AE4" i="36"/>
  <c r="AF31" i="36"/>
  <c r="AX31" i="36" s="1"/>
  <c r="AE10" i="36"/>
  <c r="AF37" i="36"/>
  <c r="AX37" i="36" s="1"/>
  <c r="AX21" i="36"/>
  <c r="AX32" i="36"/>
  <c r="AF18" i="36"/>
  <c r="AX18" i="36" s="1"/>
  <c r="AE6" i="36"/>
  <c r="AF28" i="36"/>
  <c r="AX28" i="36" s="1"/>
  <c r="AX22" i="36"/>
  <c r="AE7" i="36"/>
  <c r="AE13" i="36"/>
  <c r="AX39" i="36"/>
  <c r="AE9" i="36"/>
  <c r="AE18" i="36"/>
  <c r="AE5" i="36"/>
  <c r="AE14" i="36"/>
  <c r="AE28" i="36"/>
  <c r="AX23" i="36"/>
  <c r="AE11" i="36"/>
  <c r="AE24" i="36"/>
  <c r="AX34" i="36"/>
  <c r="AE12" i="36"/>
  <c r="BC26" i="43"/>
  <c r="BC27" i="43"/>
  <c r="BC28" i="43"/>
  <c r="BL44" i="25"/>
  <c r="BL54" i="25"/>
  <c r="W74" i="26"/>
  <c r="Z42" i="55"/>
  <c r="BM41" i="54"/>
  <c r="BM39" i="54"/>
  <c r="BM19" i="54"/>
  <c r="U42" i="55"/>
  <c r="BM38" i="54"/>
  <c r="BM18" i="54"/>
  <c r="BM43" i="54"/>
  <c r="BM8" i="54"/>
  <c r="BM65" i="54"/>
  <c r="BM69" i="54"/>
  <c r="Z98" i="55"/>
  <c r="AA98" i="55"/>
  <c r="AD9" i="55"/>
  <c r="T64" i="55"/>
  <c r="U64" i="55"/>
  <c r="V64" i="55"/>
  <c r="X64" i="55"/>
  <c r="U98" i="55"/>
  <c r="U63" i="55" s="1"/>
  <c r="X9" i="55"/>
  <c r="T22" i="55"/>
  <c r="V11" i="55"/>
  <c r="W22" i="55"/>
  <c r="R18" i="55"/>
  <c r="X42" i="55"/>
  <c r="U20" i="55"/>
  <c r="AD22" i="55"/>
  <c r="AE22" i="55"/>
  <c r="AF19" i="55"/>
  <c r="AA42" i="55"/>
  <c r="AF27" i="55"/>
  <c r="AB9" i="55"/>
  <c r="Z28" i="55"/>
  <c r="F5" i="25"/>
  <c r="M5" i="25"/>
  <c r="G29" i="25"/>
  <c r="AT25" i="25"/>
  <c r="AF24" i="54"/>
  <c r="AF28" i="54"/>
  <c r="AE12" i="55"/>
  <c r="AG27" i="55"/>
  <c r="AA28" i="55"/>
  <c r="AF17" i="55"/>
  <c r="T35" i="55"/>
  <c r="W64" i="55"/>
  <c r="AB20" i="55"/>
  <c r="X11" i="55"/>
  <c r="V35" i="55"/>
  <c r="AG60" i="55"/>
  <c r="AC98" i="55"/>
  <c r="Z17" i="55"/>
  <c r="AG16" i="55"/>
  <c r="AA17" i="55"/>
  <c r="AA10" i="55" s="1"/>
  <c r="AE28" i="55"/>
  <c r="X35" i="55"/>
  <c r="AU41" i="55"/>
  <c r="AC70" i="55"/>
  <c r="Z59" i="55"/>
  <c r="Z35" i="55"/>
  <c r="AC84" i="55"/>
  <c r="V42" i="55"/>
  <c r="X77" i="55"/>
  <c r="AD84" i="55"/>
  <c r="W42" i="55"/>
  <c r="AD56" i="55"/>
  <c r="T70" i="55"/>
  <c r="T63" i="55" s="1"/>
  <c r="Y64" i="55"/>
  <c r="AB12" i="55"/>
  <c r="X28" i="55"/>
  <c r="Y42" i="55"/>
  <c r="AF55" i="55"/>
  <c r="AF56" i="55" s="1"/>
  <c r="V70" i="55"/>
  <c r="AA64" i="55"/>
  <c r="AC9" i="55"/>
  <c r="W70" i="55"/>
  <c r="AA62" i="55"/>
  <c r="AD98" i="55"/>
  <c r="AD62" i="55"/>
  <c r="AE70" i="55"/>
  <c r="S19" i="55"/>
  <c r="U35" i="55"/>
  <c r="X22" i="55"/>
  <c r="R60" i="55"/>
  <c r="AF61" i="55"/>
  <c r="BO376" i="55"/>
  <c r="AG29" i="55"/>
  <c r="AF41" i="55"/>
  <c r="AF42" i="55" s="1"/>
  <c r="Z22" i="55"/>
  <c r="AG61" i="55"/>
  <c r="AU18" i="55"/>
  <c r="Z20" i="55"/>
  <c r="W35" i="55"/>
  <c r="AG19" i="55"/>
  <c r="AG94" i="55"/>
  <c r="AG59" i="55" s="1"/>
  <c r="AV18" i="55"/>
  <c r="AA22" i="55"/>
  <c r="AB42" i="55"/>
  <c r="W10" i="55"/>
  <c r="AV16" i="55"/>
  <c r="BM16" i="55" s="1"/>
  <c r="AC20" i="55"/>
  <c r="AF69" i="55"/>
  <c r="AF76" i="55"/>
  <c r="AF77" i="55" s="1"/>
  <c r="Y17" i="55"/>
  <c r="Y10" i="55" s="1"/>
  <c r="T20" i="55"/>
  <c r="AF34" i="55"/>
  <c r="AC35" i="55"/>
  <c r="R19" i="55"/>
  <c r="AD42" i="55"/>
  <c r="AG69" i="55"/>
  <c r="AG76" i="55"/>
  <c r="AG77" i="55" s="1"/>
  <c r="AF18" i="55"/>
  <c r="AV34" i="55"/>
  <c r="BM34" i="55" s="1"/>
  <c r="AE42" i="55"/>
  <c r="AU94" i="55"/>
  <c r="AG18" i="55"/>
  <c r="AE35" i="55"/>
  <c r="AG55" i="55"/>
  <c r="AG56" i="55" s="1"/>
  <c r="Z56" i="55"/>
  <c r="T56" i="55"/>
  <c r="X84" i="55"/>
  <c r="AV36" i="55"/>
  <c r="AB56" i="55"/>
  <c r="U56" i="55"/>
  <c r="AF58" i="55"/>
  <c r="AF9" i="55" s="1"/>
  <c r="S16" i="55"/>
  <c r="AD35" i="55"/>
  <c r="R58" i="55"/>
  <c r="Y77" i="55"/>
  <c r="Z84" i="55"/>
  <c r="S18" i="55"/>
  <c r="Y28" i="55"/>
  <c r="AC12" i="55"/>
  <c r="S58" i="55"/>
  <c r="AF60" i="55"/>
  <c r="AA84" i="55"/>
  <c r="AA77" i="55"/>
  <c r="AU29" i="55"/>
  <c r="AU34" i="55"/>
  <c r="BO370" i="55" s="1"/>
  <c r="AG36" i="55"/>
  <c r="AG35" i="55" s="1"/>
  <c r="AG17" i="55"/>
  <c r="AG10" i="55" s="1"/>
  <c r="U22" i="55"/>
  <c r="Y22" i="55"/>
  <c r="AG71" i="55"/>
  <c r="AB70" i="55"/>
  <c r="AB77" i="55"/>
  <c r="AV94" i="55"/>
  <c r="BM94" i="55" s="1"/>
  <c r="AG99" i="55"/>
  <c r="BO375" i="55"/>
  <c r="AB28" i="55"/>
  <c r="AV29" i="55"/>
  <c r="BM29" i="55" s="1"/>
  <c r="V22" i="55"/>
  <c r="AD70" i="55"/>
  <c r="AV17" i="55"/>
  <c r="Z9" i="54"/>
  <c r="BE45" i="45"/>
  <c r="BE176" i="45" s="1"/>
  <c r="X25" i="54"/>
  <c r="R86" i="54"/>
  <c r="AB25" i="54"/>
  <c r="BM31" i="54"/>
  <c r="AG26" i="54"/>
  <c r="BM29" i="54"/>
  <c r="S86" i="54"/>
  <c r="Y14" i="54"/>
  <c r="X42" i="54"/>
  <c r="X22" i="54" s="1"/>
  <c r="AG29" i="54"/>
  <c r="Z11" i="54"/>
  <c r="T12" i="54"/>
  <c r="AF18" i="54"/>
  <c r="V91" i="54"/>
  <c r="V32" i="54" s="1"/>
  <c r="AC9" i="54"/>
  <c r="AD11" i="54"/>
  <c r="W12" i="54"/>
  <c r="AD9" i="54"/>
  <c r="X10" i="54"/>
  <c r="Z12" i="54"/>
  <c r="AC25" i="54"/>
  <c r="AF30" i="54"/>
  <c r="AF33" i="54"/>
  <c r="Y10" i="54"/>
  <c r="R96" i="54"/>
  <c r="Z10" i="54"/>
  <c r="AC11" i="54"/>
  <c r="V12" i="54"/>
  <c r="V27" i="54"/>
  <c r="V8" i="54" s="1"/>
  <c r="AA12" i="54"/>
  <c r="T14" i="54"/>
  <c r="AG30" i="54"/>
  <c r="AG33" i="54"/>
  <c r="T9" i="54"/>
  <c r="AB10" i="54"/>
  <c r="AD12" i="54"/>
  <c r="W14" i="54"/>
  <c r="U9" i="54"/>
  <c r="AC10" i="54"/>
  <c r="V11" i="54"/>
  <c r="T35" i="54"/>
  <c r="W9" i="54"/>
  <c r="AE10" i="54"/>
  <c r="R26" i="54"/>
  <c r="AF31" i="54"/>
  <c r="BM27" i="54"/>
  <c r="V7" i="54"/>
  <c r="X9" i="54"/>
  <c r="AB42" i="54"/>
  <c r="AB22" i="54" s="1"/>
  <c r="BM33" i="54"/>
  <c r="AF29" i="54"/>
  <c r="T91" i="54"/>
  <c r="T32" i="54" s="1"/>
  <c r="X35" i="54"/>
  <c r="AB9" i="54"/>
  <c r="T10" i="54"/>
  <c r="Y35" i="54"/>
  <c r="R37" i="54"/>
  <c r="Z35" i="54"/>
  <c r="AA35" i="54"/>
  <c r="AB35" i="54"/>
  <c r="AG18" i="54"/>
  <c r="R16" i="54"/>
  <c r="AC35" i="54"/>
  <c r="AD35" i="54"/>
  <c r="BM30" i="54"/>
  <c r="BM59" i="54"/>
  <c r="AG20" i="54"/>
  <c r="S37" i="54"/>
  <c r="V9" i="54"/>
  <c r="AD10" i="54"/>
  <c r="BD188" i="45"/>
  <c r="CF119" i="45"/>
  <c r="BD177" i="45"/>
  <c r="AD22" i="45"/>
  <c r="BD174" i="45"/>
  <c r="BD185" i="45"/>
  <c r="CF103" i="45"/>
  <c r="CF185" i="45" s="1"/>
  <c r="BD184" i="45"/>
  <c r="CF99" i="45"/>
  <c r="CF184" i="45" s="1"/>
  <c r="BD186" i="45"/>
  <c r="CF112" i="45"/>
  <c r="CF186" i="45" s="1"/>
  <c r="BD170" i="45"/>
  <c r="BD13" i="45"/>
  <c r="BD175" i="45"/>
  <c r="BL55" i="45"/>
  <c r="BL178" i="45" s="1"/>
  <c r="BE55" i="45"/>
  <c r="BE178" i="45" s="1"/>
  <c r="BF55" i="45"/>
  <c r="BF178" i="45" s="1"/>
  <c r="BN45" i="45"/>
  <c r="BN176" i="45" s="1"/>
  <c r="BI115" i="45"/>
  <c r="BI187" i="45" s="1"/>
  <c r="AU22" i="45"/>
  <c r="P10" i="45"/>
  <c r="BK22" i="45"/>
  <c r="Q10" i="45"/>
  <c r="AK167" i="45"/>
  <c r="AI22" i="45"/>
  <c r="CC179" i="45"/>
  <c r="BI6" i="45"/>
  <c r="BI170" i="45" s="1"/>
  <c r="BN55" i="45"/>
  <c r="BN178" i="45" s="1"/>
  <c r="BG98" i="45"/>
  <c r="BG108" i="45" s="1"/>
  <c r="BG80" i="45" s="1"/>
  <c r="BF173" i="45"/>
  <c r="BF12" i="45"/>
  <c r="BF10" i="45" s="1"/>
  <c r="BG173" i="45"/>
  <c r="BG12" i="45"/>
  <c r="BG10" i="45" s="1"/>
  <c r="AR22" i="45"/>
  <c r="AS22" i="45"/>
  <c r="BD115" i="45"/>
  <c r="BD45" i="45"/>
  <c r="CE190" i="45"/>
  <c r="AH173" i="45"/>
  <c r="P169" i="45"/>
  <c r="BM55" i="45"/>
  <c r="BM178" i="45" s="1"/>
  <c r="Q169" i="45"/>
  <c r="W72" i="26"/>
  <c r="Y7" i="26"/>
  <c r="X7" i="26"/>
  <c r="AW21" i="32"/>
  <c r="AU97" i="24"/>
  <c r="BN97" i="24" s="1"/>
  <c r="AU109" i="24"/>
  <c r="BN109" i="24" s="1"/>
  <c r="AU68" i="24"/>
  <c r="BN68" i="24" s="1"/>
  <c r="AU80" i="24"/>
  <c r="BN80" i="24" s="1"/>
  <c r="AU92" i="24"/>
  <c r="BN92" i="24" s="1"/>
  <c r="AU104" i="24"/>
  <c r="BN104" i="24" s="1"/>
  <c r="AU75" i="24"/>
  <c r="BN75" i="24" s="1"/>
  <c r="AU98" i="24"/>
  <c r="BN98" i="24" s="1"/>
  <c r="AU110" i="24"/>
  <c r="BN110" i="24" s="1"/>
  <c r="AU81" i="24"/>
  <c r="BN81" i="24" s="1"/>
  <c r="AU93" i="24"/>
  <c r="BN93" i="24" s="1"/>
  <c r="AU105" i="24"/>
  <c r="BN105" i="24" s="1"/>
  <c r="AU76" i="24"/>
  <c r="BN76" i="24" s="1"/>
  <c r="AU111" i="24"/>
  <c r="BN111" i="24" s="1"/>
  <c r="AU82" i="24"/>
  <c r="BN82" i="24" s="1"/>
  <c r="AU94" i="24"/>
  <c r="BN94" i="24" s="1"/>
  <c r="AU106" i="24"/>
  <c r="BN106" i="24" s="1"/>
  <c r="AU77" i="24"/>
  <c r="BN77" i="24" s="1"/>
  <c r="AU89" i="24"/>
  <c r="BN89" i="24" s="1"/>
  <c r="AU83" i="24"/>
  <c r="BN83" i="24" s="1"/>
  <c r="AU95" i="24"/>
  <c r="BN95" i="24" s="1"/>
  <c r="AU107" i="24"/>
  <c r="BN107" i="24" s="1"/>
  <c r="AU78" i="24"/>
  <c r="BN78" i="24" s="1"/>
  <c r="AU90" i="24"/>
  <c r="BN90" i="24" s="1"/>
  <c r="AU96" i="24"/>
  <c r="BN96" i="24" s="1"/>
  <c r="AU108" i="24"/>
  <c r="BN108" i="24" s="1"/>
  <c r="AU74" i="24"/>
  <c r="BN74" i="24" s="1"/>
  <c r="AU79" i="24"/>
  <c r="BN79" i="24" s="1"/>
  <c r="AU91" i="24"/>
  <c r="BN91" i="24" s="1"/>
  <c r="W8" i="26"/>
  <c r="T7" i="54"/>
  <c r="W91" i="54"/>
  <c r="W35" i="54"/>
  <c r="T8" i="54"/>
  <c r="U8" i="54"/>
  <c r="W8" i="54"/>
  <c r="Y8" i="54"/>
  <c r="Z8" i="54"/>
  <c r="AF7" i="54"/>
  <c r="AC7" i="54"/>
  <c r="AE7" i="54"/>
  <c r="AF19" i="54"/>
  <c r="W25" i="54"/>
  <c r="AG19" i="54"/>
  <c r="AD91" i="54"/>
  <c r="AD32" i="54" s="1"/>
  <c r="W7" i="54"/>
  <c r="AG16" i="54"/>
  <c r="BM26" i="54"/>
  <c r="Y91" i="54"/>
  <c r="Y32" i="54" s="1"/>
  <c r="Z7" i="54"/>
  <c r="AA91" i="54"/>
  <c r="AA32" i="54" s="1"/>
  <c r="AB91" i="54"/>
  <c r="AB32" i="54" s="1"/>
  <c r="AA7" i="54"/>
  <c r="AF174" i="45"/>
  <c r="AY22" i="45"/>
  <c r="BC128" i="45"/>
  <c r="AW174" i="45"/>
  <c r="BM174" i="45"/>
  <c r="BH20" i="45"/>
  <c r="AI173" i="45"/>
  <c r="G169" i="45"/>
  <c r="AZ22" i="45"/>
  <c r="AH22" i="45"/>
  <c r="CZ44" i="45"/>
  <c r="BI37" i="45"/>
  <c r="BM115" i="45"/>
  <c r="BM126" i="45" s="1"/>
  <c r="BM81" i="45" s="1"/>
  <c r="BF189" i="45"/>
  <c r="CE188" i="45"/>
  <c r="AD5" i="45"/>
  <c r="AD169" i="45" s="1"/>
  <c r="BB22" i="45"/>
  <c r="M167" i="45"/>
  <c r="AF5" i="45"/>
  <c r="AF169" i="45" s="1"/>
  <c r="AJ22" i="45"/>
  <c r="I172" i="45"/>
  <c r="AH5" i="45"/>
  <c r="AH169" i="45" s="1"/>
  <c r="AH8" i="45"/>
  <c r="AH171" i="45" s="1"/>
  <c r="H10" i="45"/>
  <c r="BG20" i="45"/>
  <c r="AK22" i="45"/>
  <c r="BF22" i="45"/>
  <c r="G170" i="45"/>
  <c r="AI170" i="45"/>
  <c r="J172" i="45"/>
  <c r="BG189" i="45"/>
  <c r="BN115" i="45"/>
  <c r="BL37" i="45"/>
  <c r="BM37" i="45"/>
  <c r="BD189" i="45"/>
  <c r="AG5" i="45"/>
  <c r="AG169" i="45" s="1"/>
  <c r="J10" i="45"/>
  <c r="AL22" i="45"/>
  <c r="H170" i="45"/>
  <c r="BD8" i="45"/>
  <c r="M10" i="45"/>
  <c r="AM22" i="45"/>
  <c r="BH22" i="45"/>
  <c r="BG55" i="45"/>
  <c r="BG178" i="45" s="1"/>
  <c r="BL115" i="45"/>
  <c r="BL187" i="45" s="1"/>
  <c r="I170" i="45"/>
  <c r="L172" i="45"/>
  <c r="AD173" i="45"/>
  <c r="BI189" i="45"/>
  <c r="BJ91" i="45"/>
  <c r="BA22" i="45"/>
  <c r="BM169" i="45"/>
  <c r="AE5" i="45"/>
  <c r="AE169" i="45" s="1"/>
  <c r="AE8" i="45"/>
  <c r="AE171" i="45" s="1"/>
  <c r="BN169" i="45"/>
  <c r="AF8" i="45"/>
  <c r="AF171" i="45" s="1"/>
  <c r="BD22" i="45"/>
  <c r="BE189" i="45"/>
  <c r="AG8" i="45"/>
  <c r="AG171" i="45" s="1"/>
  <c r="BE22" i="45"/>
  <c r="K172" i="45"/>
  <c r="N10" i="45"/>
  <c r="BC10" i="45"/>
  <c r="AN22" i="45"/>
  <c r="BI22" i="45"/>
  <c r="BD55" i="45"/>
  <c r="BH55" i="45"/>
  <c r="BH178" i="45" s="1"/>
  <c r="J170" i="45"/>
  <c r="AE173" i="45"/>
  <c r="BN186" i="45"/>
  <c r="CE179" i="45"/>
  <c r="BM91" i="45"/>
  <c r="BM181" i="45" s="1"/>
  <c r="AD8" i="45"/>
  <c r="AD171" i="45" s="1"/>
  <c r="BC22" i="45"/>
  <c r="AI5" i="45"/>
  <c r="AI169" i="45" s="1"/>
  <c r="BK20" i="45"/>
  <c r="BG22" i="45"/>
  <c r="BH189" i="45"/>
  <c r="O10" i="45"/>
  <c r="AO22" i="45"/>
  <c r="BJ55" i="45"/>
  <c r="BJ178" i="45" s="1"/>
  <c r="BI55" i="45"/>
  <c r="BI178" i="45" s="1"/>
  <c r="AF173" i="45"/>
  <c r="BJ37" i="45"/>
  <c r="AQ22" i="45"/>
  <c r="BK55" i="45"/>
  <c r="BK178" i="45" s="1"/>
  <c r="AG173" i="45"/>
  <c r="Y167" i="45"/>
  <c r="K10" i="45"/>
  <c r="K169" i="45"/>
  <c r="K170" i="45"/>
  <c r="BN13" i="45"/>
  <c r="BN20" i="45" s="1"/>
  <c r="BE98" i="45"/>
  <c r="BE108" i="45" s="1"/>
  <c r="BE80" i="45" s="1"/>
  <c r="BE181" i="45"/>
  <c r="BE170" i="45"/>
  <c r="BE8" i="45"/>
  <c r="L10" i="45"/>
  <c r="L169" i="45"/>
  <c r="L170" i="45"/>
  <c r="N173" i="45"/>
  <c r="N172" i="45"/>
  <c r="BF98" i="45"/>
  <c r="BF108" i="45" s="1"/>
  <c r="BF80" i="45" s="1"/>
  <c r="BF181" i="45"/>
  <c r="BF170" i="45"/>
  <c r="BF8" i="45"/>
  <c r="BF171" i="45" s="1"/>
  <c r="BG170" i="45"/>
  <c r="BG8" i="45"/>
  <c r="BG171" i="45" s="1"/>
  <c r="BL184" i="45"/>
  <c r="AE174" i="45"/>
  <c r="BM184" i="45"/>
  <c r="BE185" i="45"/>
  <c r="BD179" i="45"/>
  <c r="AV174" i="45"/>
  <c r="BE173" i="45"/>
  <c r="BH186" i="45"/>
  <c r="BE190" i="45"/>
  <c r="BE144" i="45"/>
  <c r="BL22" i="45"/>
  <c r="BN191" i="45"/>
  <c r="CE191" i="45"/>
  <c r="CZ45" i="45"/>
  <c r="CZ50" i="45"/>
  <c r="BH173" i="45"/>
  <c r="BH12" i="45"/>
  <c r="BH10" i="45" s="1"/>
  <c r="BE115" i="45"/>
  <c r="BE126" i="45" s="1"/>
  <c r="BE81" i="45" s="1"/>
  <c r="BI12" i="45"/>
  <c r="BI10" i="45" s="1"/>
  <c r="CZ14" i="45"/>
  <c r="BF177" i="45"/>
  <c r="BF45" i="45"/>
  <c r="BF115" i="45"/>
  <c r="BF126" i="45" s="1"/>
  <c r="BF81" i="45" s="1"/>
  <c r="BE12" i="45"/>
  <c r="BJ12" i="45"/>
  <c r="BJ10" i="45" s="1"/>
  <c r="BG177" i="45"/>
  <c r="BG45" i="45"/>
  <c r="BG176" i="45" s="1"/>
  <c r="BI173" i="45"/>
  <c r="BG186" i="45"/>
  <c r="M173" i="45"/>
  <c r="CZ6" i="45"/>
  <c r="BM13" i="45"/>
  <c r="BJ173" i="45"/>
  <c r="O173" i="45"/>
  <c r="P173" i="45"/>
  <c r="BI45" i="45"/>
  <c r="BI176" i="45" s="1"/>
  <c r="BF37" i="45"/>
  <c r="BG37" i="45"/>
  <c r="BK45" i="45"/>
  <c r="BK176" i="45" s="1"/>
  <c r="BH91" i="45"/>
  <c r="CE186" i="45"/>
  <c r="BK115" i="45"/>
  <c r="BK187" i="45" s="1"/>
  <c r="BH170" i="45"/>
  <c r="Q172" i="45"/>
  <c r="BJ177" i="45"/>
  <c r="AF178" i="45"/>
  <c r="BF182" i="45"/>
  <c r="BJ189" i="45"/>
  <c r="BJ115" i="45"/>
  <c r="BJ187" i="45" s="1"/>
  <c r="BE182" i="45"/>
  <c r="BH37" i="45"/>
  <c r="BL45" i="45"/>
  <c r="BL176" i="45" s="1"/>
  <c r="BI91" i="45"/>
  <c r="BN98" i="45"/>
  <c r="BN108" i="45" s="1"/>
  <c r="BN80" i="45" s="1"/>
  <c r="I169" i="45"/>
  <c r="BK177" i="45"/>
  <c r="BG182" i="45"/>
  <c r="BK189" i="45"/>
  <c r="BN174" i="45"/>
  <c r="BM45" i="45"/>
  <c r="BM176" i="45" s="1"/>
  <c r="CE185" i="45"/>
  <c r="M170" i="45"/>
  <c r="BJ170" i="45"/>
  <c r="F173" i="45"/>
  <c r="BL177" i="45"/>
  <c r="BL189" i="45"/>
  <c r="AG174" i="45"/>
  <c r="BG115" i="45"/>
  <c r="BG187" i="45" s="1"/>
  <c r="BL20" i="45"/>
  <c r="BH115" i="45"/>
  <c r="BH187" i="45" s="1"/>
  <c r="BK172" i="45"/>
  <c r="BL172" i="45"/>
  <c r="AT22" i="45"/>
  <c r="BJ22" i="45"/>
  <c r="BK91" i="45"/>
  <c r="N170" i="45"/>
  <c r="BK170" i="45"/>
  <c r="G173" i="45"/>
  <c r="BM189" i="45"/>
  <c r="BI20" i="45"/>
  <c r="AX174" i="45"/>
  <c r="BJ20" i="45"/>
  <c r="CE184" i="45"/>
  <c r="AF179" i="45"/>
  <c r="BH177" i="45"/>
  <c r="BD182" i="45"/>
  <c r="CE170" i="45"/>
  <c r="BJ8" i="45"/>
  <c r="BJ171" i="45" s="1"/>
  <c r="BK37" i="45"/>
  <c r="BL91" i="45"/>
  <c r="O170" i="45"/>
  <c r="BL170" i="45"/>
  <c r="H173" i="45"/>
  <c r="BN189" i="45"/>
  <c r="BD37" i="45"/>
  <c r="BM44" i="45"/>
  <c r="CF44" i="45" s="1"/>
  <c r="AD77" i="45"/>
  <c r="AD179" i="45" s="1"/>
  <c r="BM170" i="45"/>
  <c r="BD91" i="45"/>
  <c r="BE37" i="45"/>
  <c r="BE20" i="45"/>
  <c r="AE77" i="45"/>
  <c r="AE179" i="45" s="1"/>
  <c r="BN170" i="45"/>
  <c r="BF20" i="45"/>
  <c r="BN37" i="45"/>
  <c r="BD144" i="45"/>
  <c r="AE20" i="55"/>
  <c r="AE56" i="55"/>
  <c r="W20" i="55"/>
  <c r="W56" i="55"/>
  <c r="AU99" i="55"/>
  <c r="AV99" i="55"/>
  <c r="BM99" i="55" s="1"/>
  <c r="Y20" i="55"/>
  <c r="Y56" i="55"/>
  <c r="AD20" i="55"/>
  <c r="AA20" i="55"/>
  <c r="AA13" i="55" s="1"/>
  <c r="AA56" i="55"/>
  <c r="AG85" i="55"/>
  <c r="AU19" i="55"/>
  <c r="T28" i="55"/>
  <c r="AV41" i="55"/>
  <c r="BM41" i="55" s="1"/>
  <c r="AG58" i="55"/>
  <c r="AE77" i="55"/>
  <c r="V97" i="55"/>
  <c r="V98" i="55" s="1"/>
  <c r="AV19" i="55"/>
  <c r="U28" i="55"/>
  <c r="AU57" i="55"/>
  <c r="AB64" i="55"/>
  <c r="AE84" i="55"/>
  <c r="W97" i="55"/>
  <c r="W98" i="55" s="1"/>
  <c r="AF99" i="55"/>
  <c r="AE9" i="55"/>
  <c r="V28" i="55"/>
  <c r="V55" i="55"/>
  <c r="V56" i="55" s="1"/>
  <c r="AV57" i="55"/>
  <c r="BM57" i="55" s="1"/>
  <c r="V59" i="55"/>
  <c r="V10" i="55" s="1"/>
  <c r="T62" i="55"/>
  <c r="AU76" i="55"/>
  <c r="X97" i="55"/>
  <c r="AE10" i="55"/>
  <c r="AG41" i="55"/>
  <c r="AG42" i="55" s="1"/>
  <c r="U62" i="55"/>
  <c r="U13" i="55" s="1"/>
  <c r="AD64" i="55"/>
  <c r="AV76" i="55"/>
  <c r="BM76" i="55" s="1"/>
  <c r="AU83" i="55"/>
  <c r="AF94" i="55"/>
  <c r="AF59" i="55" s="1"/>
  <c r="Y97" i="55"/>
  <c r="Y98" i="55" s="1"/>
  <c r="T11" i="55"/>
  <c r="AB22" i="55"/>
  <c r="BO367" i="55"/>
  <c r="X55" i="55"/>
  <c r="AE64" i="55"/>
  <c r="AV83" i="55"/>
  <c r="BM83" i="55" s="1"/>
  <c r="U11" i="55"/>
  <c r="AC22" i="55"/>
  <c r="AC15" i="55" s="1"/>
  <c r="AE98" i="55"/>
  <c r="AU36" i="55"/>
  <c r="AF83" i="55"/>
  <c r="AB97" i="55"/>
  <c r="AU43" i="55"/>
  <c r="AG83" i="55"/>
  <c r="AU16" i="55"/>
  <c r="AF29" i="55"/>
  <c r="AV43" i="55"/>
  <c r="BM43" i="55" s="1"/>
  <c r="Z62" i="55"/>
  <c r="AF36" i="55"/>
  <c r="AU55" i="55"/>
  <c r="AU17" i="55"/>
  <c r="AD28" i="55"/>
  <c r="AV55" i="55"/>
  <c r="BM55" i="55" s="1"/>
  <c r="AF71" i="55"/>
  <c r="AU78" i="55"/>
  <c r="AC42" i="55"/>
  <c r="AC62" i="55"/>
  <c r="AV27" i="55"/>
  <c r="U12" i="54"/>
  <c r="AA25" i="54"/>
  <c r="Z25" i="54"/>
  <c r="X7" i="54"/>
  <c r="Z14" i="54"/>
  <c r="AC91" i="54"/>
  <c r="AC32" i="54" s="1"/>
  <c r="W10" i="54"/>
  <c r="AA14" i="54"/>
  <c r="AC22" i="54"/>
  <c r="X8" i="54"/>
  <c r="AB14" i="54"/>
  <c r="BM97" i="54"/>
  <c r="Q7" i="54"/>
  <c r="AC14" i="54"/>
  <c r="AD25" i="54"/>
  <c r="V22" i="54"/>
  <c r="Y12" i="54"/>
  <c r="U7" i="54"/>
  <c r="AA27" i="54"/>
  <c r="AA8" i="54" s="1"/>
  <c r="U11" i="54"/>
  <c r="AB12" i="54"/>
  <c r="BM21" i="54"/>
  <c r="U91" i="54"/>
  <c r="U32" i="54" s="1"/>
  <c r="W11" i="54"/>
  <c r="V25" i="54"/>
  <c r="Y9" i="54"/>
  <c r="X11" i="54"/>
  <c r="AF21" i="54"/>
  <c r="X91" i="54"/>
  <c r="X32" i="54" s="1"/>
  <c r="AG21" i="54"/>
  <c r="V14" i="54"/>
  <c r="U35" i="54"/>
  <c r="AF23" i="54"/>
  <c r="AG17" i="54"/>
  <c r="AE12" i="54"/>
  <c r="AE25" i="54"/>
  <c r="AE8" i="54"/>
  <c r="AA9" i="54"/>
  <c r="Y11" i="54"/>
  <c r="AF94" i="54"/>
  <c r="S96" i="54"/>
  <c r="S45" i="54"/>
  <c r="V10" i="54"/>
  <c r="AB11" i="54"/>
  <c r="U10" i="54"/>
  <c r="AA11" i="54"/>
  <c r="AD71" i="54"/>
  <c r="AD22" i="54" s="1"/>
  <c r="BM84" i="54"/>
  <c r="Y22" i="54"/>
  <c r="Y25" i="54"/>
  <c r="AG94" i="54"/>
  <c r="AB7" i="54"/>
  <c r="X14" i="54"/>
  <c r="Y7" i="54"/>
  <c r="V35" i="54"/>
  <c r="W61" i="54"/>
  <c r="AG61" i="54" s="1"/>
  <c r="AF74" i="54"/>
  <c r="AG84" i="54"/>
  <c r="BM104" i="54"/>
  <c r="AE11" i="54"/>
  <c r="BM34" i="54"/>
  <c r="BM64" i="54"/>
  <c r="W22" i="54"/>
  <c r="R76" i="54"/>
  <c r="AA10" i="54"/>
  <c r="X12" i="54"/>
  <c r="AG28" i="54"/>
  <c r="AD7" i="54"/>
  <c r="AD14" i="54"/>
  <c r="AG45" i="54"/>
  <c r="AF45" i="54"/>
  <c r="AG23" i="54"/>
  <c r="S76" i="54"/>
  <c r="AF17" i="54"/>
  <c r="AB8" i="54"/>
  <c r="T11" i="54"/>
  <c r="AG64" i="54"/>
  <c r="Z91" i="54"/>
  <c r="Z32" i="54" s="1"/>
  <c r="AE35" i="54"/>
  <c r="AG104" i="54"/>
  <c r="BM17" i="54"/>
  <c r="AD8" i="54"/>
  <c r="AC12" i="54"/>
  <c r="R45" i="54"/>
  <c r="AE9" i="54"/>
  <c r="AC27" i="54"/>
  <c r="AC8" i="54" s="1"/>
  <c r="BM28" i="54"/>
  <c r="BM94" i="54"/>
  <c r="AF104" i="54"/>
  <c r="BM20" i="54"/>
  <c r="T42" i="54"/>
  <c r="T71" i="54"/>
  <c r="T81" i="54"/>
  <c r="BM86" i="54"/>
  <c r="AE91" i="54"/>
  <c r="AE101" i="54"/>
  <c r="U14" i="54"/>
  <c r="T25" i="54"/>
  <c r="AG31" i="54"/>
  <c r="U42" i="54"/>
  <c r="U22" i="54" s="1"/>
  <c r="AF64" i="54"/>
  <c r="AG74" i="54"/>
  <c r="U25" i="54"/>
  <c r="AF86" i="54"/>
  <c r="AG86" i="54"/>
  <c r="Z42" i="54"/>
  <c r="Z22" i="54" s="1"/>
  <c r="AA22" i="54"/>
  <c r="AE71" i="54"/>
  <c r="AF84" i="54"/>
  <c r="J119" i="34"/>
  <c r="L119" i="34"/>
  <c r="D103" i="34"/>
  <c r="F119" i="34"/>
  <c r="I119" i="34"/>
  <c r="M31" i="34"/>
  <c r="L4" i="34"/>
  <c r="H119" i="34"/>
  <c r="K119" i="34"/>
  <c r="Y31" i="34"/>
  <c r="AA31" i="34"/>
  <c r="Q65" i="32"/>
  <c r="AF43" i="32"/>
  <c r="Q21" i="32"/>
  <c r="Q43" i="32"/>
  <c r="AF80" i="32"/>
  <c r="AE80" i="32"/>
  <c r="Q80" i="32"/>
  <c r="AF32" i="32"/>
  <c r="P32" i="32"/>
  <c r="AE21" i="32"/>
  <c r="P65" i="32"/>
  <c r="Y33" i="36"/>
  <c r="AE31" i="36"/>
  <c r="AE32" i="36"/>
  <c r="AE37" i="36"/>
  <c r="Z29" i="36"/>
  <c r="Z33" i="36" s="1"/>
  <c r="AE35" i="36"/>
  <c r="L34" i="53"/>
  <c r="L36" i="53" s="1"/>
  <c r="N34" i="53"/>
  <c r="AF15" i="53"/>
  <c r="AX15" i="53" s="1"/>
  <c r="O34" i="53"/>
  <c r="O36" i="53" s="1"/>
  <c r="J34" i="53"/>
  <c r="J36" i="53" s="1"/>
  <c r="AF75" i="53"/>
  <c r="AX75" i="53" s="1"/>
  <c r="AF13" i="53"/>
  <c r="AX13" i="53" s="1"/>
  <c r="E34" i="53"/>
  <c r="E36" i="53" s="1"/>
  <c r="X34" i="53"/>
  <c r="AE119" i="53"/>
  <c r="AF22" i="53"/>
  <c r="AX22" i="53" s="1"/>
  <c r="AF83" i="53"/>
  <c r="AX83" i="53" s="1"/>
  <c r="AF31" i="53"/>
  <c r="AX31" i="53" s="1"/>
  <c r="AF21" i="53"/>
  <c r="AX21" i="53" s="1"/>
  <c r="AF89" i="53"/>
  <c r="AX89" i="53" s="1"/>
  <c r="P57" i="53"/>
  <c r="Q57" i="53"/>
  <c r="H34" i="53"/>
  <c r="H36" i="53" s="1"/>
  <c r="AF91" i="53"/>
  <c r="AX91" i="53" s="1"/>
  <c r="F34" i="53"/>
  <c r="F36" i="53" s="1"/>
  <c r="AE63" i="53"/>
  <c r="AF87" i="53"/>
  <c r="AX87" i="53" s="1"/>
  <c r="AF96" i="53"/>
  <c r="AX96" i="53" s="1"/>
  <c r="AF71" i="53"/>
  <c r="AX71" i="53" s="1"/>
  <c r="AF82" i="53"/>
  <c r="AX82" i="53" s="1"/>
  <c r="AE6" i="53"/>
  <c r="AF6" i="53" s="1"/>
  <c r="AX6" i="53" s="1"/>
  <c r="P48" i="53"/>
  <c r="P37" i="53"/>
  <c r="Q48" i="53"/>
  <c r="K34" i="53"/>
  <c r="K36" i="53" s="1"/>
  <c r="AF73" i="53"/>
  <c r="AX73" i="53" s="1"/>
  <c r="AF48" i="53"/>
  <c r="AX48" i="53" s="1"/>
  <c r="AF90" i="53"/>
  <c r="AX90" i="53" s="1"/>
  <c r="AF37" i="53"/>
  <c r="AX37" i="53" s="1"/>
  <c r="AF109" i="53"/>
  <c r="AX109" i="53" s="1"/>
  <c r="D34" i="53"/>
  <c r="D36" i="53" s="1"/>
  <c r="AF57" i="53"/>
  <c r="AX57" i="53" s="1"/>
  <c r="N36" i="53"/>
  <c r="AF10" i="53"/>
  <c r="AX10" i="53" s="1"/>
  <c r="AF26" i="53"/>
  <c r="AX26" i="53" s="1"/>
  <c r="AF68" i="53"/>
  <c r="AX68" i="53" s="1"/>
  <c r="AF84" i="53"/>
  <c r="AX84" i="53" s="1"/>
  <c r="AE96" i="53"/>
  <c r="AF118" i="53"/>
  <c r="AX118" i="53" s="1"/>
  <c r="AF7" i="53"/>
  <c r="AX7" i="53" s="1"/>
  <c r="AF23" i="53"/>
  <c r="AX23" i="53" s="1"/>
  <c r="AF81" i="53"/>
  <c r="AX81" i="53" s="1"/>
  <c r="AF20" i="53"/>
  <c r="AX20" i="53" s="1"/>
  <c r="AF78" i="53"/>
  <c r="AX78" i="53" s="1"/>
  <c r="AF17" i="53"/>
  <c r="AX17" i="53" s="1"/>
  <c r="AE94" i="53"/>
  <c r="AE48" i="53"/>
  <c r="AF85" i="53"/>
  <c r="AX85" i="53" s="1"/>
  <c r="AE37" i="53"/>
  <c r="AF18" i="53"/>
  <c r="AX18" i="53" s="1"/>
  <c r="AF32" i="53"/>
  <c r="AX32" i="53" s="1"/>
  <c r="AE57" i="53"/>
  <c r="AF76" i="53"/>
  <c r="AX76" i="53" s="1"/>
  <c r="AF12" i="53"/>
  <c r="AX12" i="53" s="1"/>
  <c r="W36" i="53"/>
  <c r="AF70" i="53"/>
  <c r="AX70" i="53" s="1"/>
  <c r="AF86" i="53"/>
  <c r="AX86" i="53" s="1"/>
  <c r="AF95" i="53"/>
  <c r="AX95" i="53" s="1"/>
  <c r="AF9" i="53"/>
  <c r="AX9" i="53" s="1"/>
  <c r="AF25" i="53"/>
  <c r="AX25" i="53" s="1"/>
  <c r="Q37" i="53"/>
  <c r="AE108" i="53"/>
  <c r="N4" i="34"/>
  <c r="O4" i="34"/>
  <c r="S4" i="34"/>
  <c r="I31" i="34"/>
  <c r="T4" i="34"/>
  <c r="M4" i="34"/>
  <c r="F103" i="34"/>
  <c r="AB31" i="34"/>
  <c r="E31" i="34"/>
  <c r="K4" i="34"/>
  <c r="O31" i="34"/>
  <c r="S31" i="34"/>
  <c r="L103" i="34"/>
  <c r="H4" i="34"/>
  <c r="J31" i="34"/>
  <c r="W31" i="34"/>
  <c r="AF22" i="34"/>
  <c r="X31" i="34"/>
  <c r="AF108" i="34"/>
  <c r="G4" i="34"/>
  <c r="G31" i="34"/>
  <c r="Z4" i="34"/>
  <c r="M103" i="34"/>
  <c r="N103" i="34"/>
  <c r="I4" i="34"/>
  <c r="F31" i="34"/>
  <c r="Q52" i="34"/>
  <c r="K103" i="34"/>
  <c r="J4" i="34"/>
  <c r="Z31" i="34"/>
  <c r="AF47" i="34"/>
  <c r="H31" i="34"/>
  <c r="O103" i="34"/>
  <c r="U4" i="34"/>
  <c r="AF104" i="34"/>
  <c r="L31" i="34"/>
  <c r="W4" i="34"/>
  <c r="E4" i="34"/>
  <c r="X4" i="34"/>
  <c r="G119" i="34"/>
  <c r="G103" i="34"/>
  <c r="O119" i="34"/>
  <c r="AF32" i="34"/>
  <c r="Y4" i="34"/>
  <c r="Q121" i="34"/>
  <c r="AA4" i="34"/>
  <c r="N119" i="34"/>
  <c r="M119" i="34"/>
  <c r="W59" i="26"/>
  <c r="W18" i="26"/>
  <c r="V54" i="26"/>
  <c r="W61" i="26"/>
  <c r="W71" i="26"/>
  <c r="Q26" i="22"/>
  <c r="P64" i="22"/>
  <c r="Q74" i="22"/>
  <c r="AF61" i="22"/>
  <c r="W57" i="26"/>
  <c r="AF28" i="22"/>
  <c r="P66" i="22"/>
  <c r="Q28" i="22"/>
  <c r="Q66" i="22" s="1"/>
  <c r="W20" i="26"/>
  <c r="W22" i="26"/>
  <c r="W55" i="26"/>
  <c r="W81" i="26"/>
  <c r="AT62" i="22"/>
  <c r="F64" i="22"/>
  <c r="W64" i="22"/>
  <c r="AO64" i="22"/>
  <c r="L65" i="22"/>
  <c r="AC65" i="22"/>
  <c r="S66" i="22"/>
  <c r="AJ66" i="22"/>
  <c r="BN66" i="22" s="1"/>
  <c r="H67" i="22"/>
  <c r="Y67" i="22"/>
  <c r="AQ67" i="22"/>
  <c r="AE30" i="22"/>
  <c r="P69" i="22"/>
  <c r="Q76" i="22"/>
  <c r="P74" i="22"/>
  <c r="AT99" i="22"/>
  <c r="AT122" i="22"/>
  <c r="AT124" i="22"/>
  <c r="AT7" i="22"/>
  <c r="G64" i="22"/>
  <c r="X64" i="22"/>
  <c r="AP64" i="22"/>
  <c r="AK66" i="22"/>
  <c r="AT29" i="22"/>
  <c r="Q69" i="22"/>
  <c r="AE76" i="22"/>
  <c r="AT45" i="22"/>
  <c r="N64" i="22"/>
  <c r="AK65" i="22"/>
  <c r="AE70" i="22"/>
  <c r="AE106" i="22"/>
  <c r="AF106" i="22" s="1"/>
  <c r="AE22" i="22"/>
  <c r="AE27" i="22"/>
  <c r="P30" i="22"/>
  <c r="AE69" i="22"/>
  <c r="AF76" i="22"/>
  <c r="AE78" i="22"/>
  <c r="AT46" i="22"/>
  <c r="D65" i="22"/>
  <c r="AT26" i="22"/>
  <c r="AF31" i="22"/>
  <c r="AF40" i="22"/>
  <c r="AA66" i="22"/>
  <c r="P77" i="22"/>
  <c r="AT84" i="22"/>
  <c r="AT105" i="22"/>
  <c r="AT107" i="22"/>
  <c r="P124" i="22"/>
  <c r="Q124" i="22" s="1"/>
  <c r="P22" i="22"/>
  <c r="Q23" i="22"/>
  <c r="Q61" i="22" s="1"/>
  <c r="AE61" i="22"/>
  <c r="AM68" i="22"/>
  <c r="AE80" i="22"/>
  <c r="AF80" i="22" s="1"/>
  <c r="AT118" i="22"/>
  <c r="AT9" i="22"/>
  <c r="AE87" i="22"/>
  <c r="AF87" i="22" s="1"/>
  <c r="P106" i="22"/>
  <c r="Q106" i="22" s="1"/>
  <c r="AE118" i="22"/>
  <c r="AF118" i="22" s="1"/>
  <c r="S60" i="22"/>
  <c r="Q25" i="22"/>
  <c r="Q63" i="22" s="1"/>
  <c r="AE29" i="22"/>
  <c r="AE48" i="22"/>
  <c r="AF48" i="22" s="1"/>
  <c r="AE104" i="22"/>
  <c r="AF104" i="22" s="1"/>
  <c r="W25" i="26"/>
  <c r="W82" i="26"/>
  <c r="AE49" i="22"/>
  <c r="AF49" i="22" s="1"/>
  <c r="P87" i="22"/>
  <c r="Q87" i="22" s="1"/>
  <c r="AT88" i="22"/>
  <c r="P118" i="22"/>
  <c r="Q118" i="22" s="1"/>
  <c r="AF354" i="22"/>
  <c r="AF63" i="22"/>
  <c r="AE26" i="22"/>
  <c r="P29" i="22"/>
  <c r="P80" i="22"/>
  <c r="Q80" i="22" s="1"/>
  <c r="P104" i="22"/>
  <c r="Q104" i="22" s="1"/>
  <c r="U54" i="26"/>
  <c r="W66" i="26"/>
  <c r="AT11" i="22"/>
  <c r="AF37" i="22"/>
  <c r="AT49" i="22"/>
  <c r="AE123" i="22"/>
  <c r="AF123" i="22" s="1"/>
  <c r="W17" i="26"/>
  <c r="Q32" i="22"/>
  <c r="Q70" i="22" s="1"/>
  <c r="AT47" i="22"/>
  <c r="AT66" i="22" s="1"/>
  <c r="I66" i="22"/>
  <c r="AT30" i="22"/>
  <c r="U73" i="26"/>
  <c r="W73" i="26" s="1"/>
  <c r="Q34" i="22"/>
  <c r="Q72" i="22" s="1"/>
  <c r="AT65" i="22"/>
  <c r="AT86" i="22"/>
  <c r="AT103" i="22"/>
  <c r="AT22" i="22"/>
  <c r="AF34" i="22"/>
  <c r="AE47" i="22"/>
  <c r="AF47" i="22" s="1"/>
  <c r="W24" i="26"/>
  <c r="U75" i="26"/>
  <c r="W75" i="26" s="1"/>
  <c r="AF24" i="22"/>
  <c r="AF62" i="22" s="1"/>
  <c r="K65" i="22"/>
  <c r="AB65" i="22"/>
  <c r="AI66" i="22"/>
  <c r="G67" i="22"/>
  <c r="X67" i="22"/>
  <c r="P76" i="22"/>
  <c r="AT106" i="22"/>
  <c r="F340" i="22"/>
  <c r="W340" i="22"/>
  <c r="AT280" i="22"/>
  <c r="AE361" i="22"/>
  <c r="AE295" i="22"/>
  <c r="AF295" i="22" s="1"/>
  <c r="AF363" i="22" s="1"/>
  <c r="T306" i="22"/>
  <c r="AM306" i="22"/>
  <c r="AT263" i="22"/>
  <c r="X340" i="22"/>
  <c r="AE344" i="22"/>
  <c r="AE278" i="22"/>
  <c r="AF278" i="22" s="1"/>
  <c r="AF346" i="22" s="1"/>
  <c r="P347" i="22"/>
  <c r="AT294" i="22"/>
  <c r="U306" i="22"/>
  <c r="P313" i="22"/>
  <c r="Q313" i="22" s="1"/>
  <c r="AT123" i="22"/>
  <c r="AT246" i="22"/>
  <c r="H340" i="22"/>
  <c r="Y340" i="22"/>
  <c r="AK344" i="22"/>
  <c r="AT277" i="22"/>
  <c r="AT289" i="22"/>
  <c r="P361" i="22"/>
  <c r="P295" i="22"/>
  <c r="Q295" i="22" s="1"/>
  <c r="Q363" i="22" s="1"/>
  <c r="AH363" i="22"/>
  <c r="AT295" i="22"/>
  <c r="P365" i="22"/>
  <c r="V306" i="22"/>
  <c r="AT313" i="22"/>
  <c r="AE80" i="26"/>
  <c r="AT260" i="22"/>
  <c r="I340" i="22"/>
  <c r="Z340" i="22"/>
  <c r="AT272" i="22"/>
  <c r="P344" i="22"/>
  <c r="AA345" i="22"/>
  <c r="AE345" i="22" s="1"/>
  <c r="P278" i="22"/>
  <c r="Q278" i="22" s="1"/>
  <c r="Q346" i="22" s="1"/>
  <c r="AF352" i="22"/>
  <c r="Q354" i="22"/>
  <c r="AF373" i="22"/>
  <c r="AA306" i="22"/>
  <c r="P310" i="22"/>
  <c r="Q310" i="22" s="1"/>
  <c r="D306" i="22"/>
  <c r="W306" i="22"/>
  <c r="AE83" i="26"/>
  <c r="AT125" i="22"/>
  <c r="AT243" i="22"/>
  <c r="AT255" i="22"/>
  <c r="AA340" i="22"/>
  <c r="AE363" i="22"/>
  <c r="AD364" i="22"/>
  <c r="AF371" i="22"/>
  <c r="E306" i="22"/>
  <c r="AT310" i="22"/>
  <c r="AT238" i="22"/>
  <c r="K340" i="22"/>
  <c r="AB340" i="22"/>
  <c r="L345" i="22"/>
  <c r="AC345" i="22"/>
  <c r="S346" i="22"/>
  <c r="AE346" i="22" s="1"/>
  <c r="AJ346" i="22"/>
  <c r="AE280" i="22"/>
  <c r="AF280" i="22" s="1"/>
  <c r="AF348" i="22" s="1"/>
  <c r="AE296" i="22"/>
  <c r="AF296" i="22" s="1"/>
  <c r="AF364" i="22" s="1"/>
  <c r="F306" i="22"/>
  <c r="AB64" i="26"/>
  <c r="L340" i="22"/>
  <c r="AC340" i="22"/>
  <c r="AK346" i="22"/>
  <c r="AT279" i="22"/>
  <c r="AE294" i="22"/>
  <c r="AF294" i="22" s="1"/>
  <c r="AF362" i="22" s="1"/>
  <c r="P363" i="22"/>
  <c r="AT364" i="22"/>
  <c r="AT297" i="22"/>
  <c r="P311" i="22"/>
  <c r="Q311" i="22" s="1"/>
  <c r="AD340" i="22"/>
  <c r="AE277" i="22"/>
  <c r="AF277" i="22" s="1"/>
  <c r="AF345" i="22" s="1"/>
  <c r="P346" i="22"/>
  <c r="P280" i="22"/>
  <c r="Q280" i="22" s="1"/>
  <c r="Q348" i="22" s="1"/>
  <c r="AT348" i="22"/>
  <c r="AT293" i="22"/>
  <c r="N340" i="22"/>
  <c r="Q351" i="22"/>
  <c r="P294" i="22"/>
  <c r="Q294" i="22" s="1"/>
  <c r="Q362" i="22" s="1"/>
  <c r="AT362" i="22"/>
  <c r="AT312" i="22"/>
  <c r="AH306" i="22"/>
  <c r="AH340" i="22" s="1"/>
  <c r="AT323" i="22"/>
  <c r="P277" i="22"/>
  <c r="Q277" i="22" s="1"/>
  <c r="AT345" i="22"/>
  <c r="AE348" i="22"/>
  <c r="AE364" i="22"/>
  <c r="AE279" i="22"/>
  <c r="AF279" i="22" s="1"/>
  <c r="AF347" i="22" s="1"/>
  <c r="S357" i="22"/>
  <c r="AE357" i="22" s="1"/>
  <c r="AE297" i="22"/>
  <c r="AF297" i="22" s="1"/>
  <c r="AF365" i="22" s="1"/>
  <c r="AT278" i="22"/>
  <c r="T357" i="22"/>
  <c r="AK357" i="22"/>
  <c r="AT357" i="22" s="1"/>
  <c r="AE293" i="22"/>
  <c r="AF293" i="22" s="1"/>
  <c r="P362" i="22"/>
  <c r="AT126" i="22"/>
  <c r="T340" i="22"/>
  <c r="AE276" i="22"/>
  <c r="AF276" i="22" s="1"/>
  <c r="P345" i="22"/>
  <c r="P279" i="22"/>
  <c r="Q279" i="22" s="1"/>
  <c r="Q347" i="22" s="1"/>
  <c r="AT347" i="22"/>
  <c r="D357" i="22"/>
  <c r="P357" i="22" s="1"/>
  <c r="P296" i="22"/>
  <c r="Q296" i="22" s="1"/>
  <c r="Q364" i="22" s="1"/>
  <c r="D364" i="22"/>
  <c r="P364" i="22" s="1"/>
  <c r="AT365" i="22"/>
  <c r="D340" i="22"/>
  <c r="U340" i="22"/>
  <c r="P293" i="22"/>
  <c r="Q293" i="22" s="1"/>
  <c r="Q361" i="22" s="1"/>
  <c r="AT361" i="22"/>
  <c r="P297" i="22"/>
  <c r="Q297" i="22" s="1"/>
  <c r="Q365" i="22" s="1"/>
  <c r="AE82" i="26"/>
  <c r="E340" i="22"/>
  <c r="V340" i="22"/>
  <c r="AM340" i="22"/>
  <c r="P276" i="22"/>
  <c r="Q276" i="22" s="1"/>
  <c r="Q344" i="22" s="1"/>
  <c r="AT344" i="22"/>
  <c r="AE347" i="22"/>
  <c r="W357" i="22"/>
  <c r="AO357" i="22"/>
  <c r="AD363" i="22"/>
  <c r="AT296" i="22"/>
  <c r="AE365" i="22"/>
  <c r="AE310" i="22"/>
  <c r="AF310" i="22" s="1"/>
  <c r="S306" i="22"/>
  <c r="AE306" i="22" s="1"/>
  <c r="AF306" i="22" s="1"/>
  <c r="AF340" i="22" s="1"/>
  <c r="AL306" i="22"/>
  <c r="AL340" i="22" s="1"/>
  <c r="AB66" i="26"/>
  <c r="S323" i="22"/>
  <c r="AE323" i="22" s="1"/>
  <c r="AF323" i="22" s="1"/>
  <c r="AF357" i="22" s="1"/>
  <c r="AT329" i="22"/>
  <c r="AT341" i="22"/>
  <c r="AT349" i="22"/>
  <c r="AT373" i="22"/>
  <c r="T323" i="22"/>
  <c r="AK323" i="22"/>
  <c r="D323" i="22"/>
  <c r="P323" i="22" s="1"/>
  <c r="Q323" i="22" s="1"/>
  <c r="Q357" i="22" s="1"/>
  <c r="AT354" i="22"/>
  <c r="AT370" i="22"/>
  <c r="AT331" i="22"/>
  <c r="AT343" i="22"/>
  <c r="AT351" i="22"/>
  <c r="AT359" i="22"/>
  <c r="AT367" i="22"/>
  <c r="AT353" i="22"/>
  <c r="AT369" i="22"/>
  <c r="AT330" i="22"/>
  <c r="AT342" i="22"/>
  <c r="AT350" i="22"/>
  <c r="AT358" i="22"/>
  <c r="AT366" i="22"/>
  <c r="AT327" i="22"/>
  <c r="AT355" i="22"/>
  <c r="AT371" i="22"/>
  <c r="AE32" i="32"/>
  <c r="P43" i="32"/>
  <c r="Q54" i="32"/>
  <c r="P21" i="32"/>
  <c r="P4" i="32"/>
  <c r="Q32" i="32"/>
  <c r="AF21" i="32"/>
  <c r="AX21" i="32" s="1"/>
  <c r="AE65" i="32"/>
  <c r="P54" i="32"/>
  <c r="AF65" i="32"/>
  <c r="AE4" i="32"/>
  <c r="AE54" i="32"/>
  <c r="P80" i="32"/>
  <c r="AF4" i="32"/>
  <c r="AF54" i="32"/>
  <c r="Q4" i="32"/>
  <c r="AE43" i="32"/>
  <c r="BB6" i="43"/>
  <c r="BC6" i="43" s="1"/>
  <c r="BB13" i="43"/>
  <c r="BC13" i="43" s="1"/>
  <c r="BB20" i="43"/>
  <c r="BC20" i="43" s="1"/>
  <c r="N219" i="24"/>
  <c r="AT4" i="24"/>
  <c r="AU4" i="24" s="1"/>
  <c r="BN4" i="24" s="1"/>
  <c r="D208" i="24"/>
  <c r="E208" i="24"/>
  <c r="H207" i="24"/>
  <c r="I207" i="24"/>
  <c r="T58" i="24"/>
  <c r="S61" i="24"/>
  <c r="J208" i="24"/>
  <c r="I219" i="24"/>
  <c r="M219" i="24"/>
  <c r="AT435" i="24"/>
  <c r="AU435" i="24" s="1"/>
  <c r="P484" i="24"/>
  <c r="Q484" i="24" s="1"/>
  <c r="O219" i="24"/>
  <c r="H208" i="24"/>
  <c r="K207" i="24"/>
  <c r="H219" i="24"/>
  <c r="AT85" i="24"/>
  <c r="L219" i="24"/>
  <c r="H223" i="24"/>
  <c r="AT84" i="24"/>
  <c r="I208" i="24"/>
  <c r="AE222" i="24"/>
  <c r="AF222" i="24" s="1"/>
  <c r="P439" i="24"/>
  <c r="Q439" i="24" s="1"/>
  <c r="AT451" i="24"/>
  <c r="AU451" i="24" s="1"/>
  <c r="AT71" i="24"/>
  <c r="P182" i="24"/>
  <c r="Q182" i="24" s="1"/>
  <c r="AE438" i="24"/>
  <c r="AF438" i="24" s="1"/>
  <c r="P103" i="24"/>
  <c r="Q103" i="24" s="1"/>
  <c r="Z129" i="24"/>
  <c r="AT141" i="24"/>
  <c r="AU141" i="24" s="1"/>
  <c r="BN141" i="24" s="1"/>
  <c r="AT453" i="24"/>
  <c r="AU453" i="24" s="1"/>
  <c r="P102" i="24"/>
  <c r="Q102" i="24" s="1"/>
  <c r="AE422" i="24"/>
  <c r="AF422" i="24" s="1"/>
  <c r="AT61" i="24"/>
  <c r="AU61" i="24" s="1"/>
  <c r="BN61" i="24" s="1"/>
  <c r="N207" i="24"/>
  <c r="AT437" i="24"/>
  <c r="AU437" i="24" s="1"/>
  <c r="AE452" i="24"/>
  <c r="AF452" i="24" s="1"/>
  <c r="AT454" i="24"/>
  <c r="AU454" i="24" s="1"/>
  <c r="O207" i="24"/>
  <c r="AT421" i="24"/>
  <c r="AU421" i="24" s="1"/>
  <c r="AE85" i="24"/>
  <c r="AF85" i="24" s="1"/>
  <c r="M129" i="24"/>
  <c r="AT135" i="24"/>
  <c r="AU135" i="24" s="1"/>
  <c r="BN135" i="24" s="1"/>
  <c r="L222" i="24"/>
  <c r="AT438" i="24"/>
  <c r="AU438" i="24" s="1"/>
  <c r="M223" i="24"/>
  <c r="AT422" i="24"/>
  <c r="AU422" i="24" s="1"/>
  <c r="P435" i="24"/>
  <c r="Q435" i="24" s="1"/>
  <c r="F205" i="24"/>
  <c r="F206" i="24"/>
  <c r="D207" i="24"/>
  <c r="AT498" i="24"/>
  <c r="AU498" i="24" s="1"/>
  <c r="AT501" i="24"/>
  <c r="AU501" i="24" s="1"/>
  <c r="K129" i="24"/>
  <c r="AT179" i="24"/>
  <c r="AU179" i="24" s="1"/>
  <c r="BN179" i="24" s="1"/>
  <c r="N223" i="24"/>
  <c r="AT252" i="24"/>
  <c r="AU252" i="24" s="1"/>
  <c r="BN252" i="24" s="1"/>
  <c r="AT101" i="24"/>
  <c r="AT411" i="24"/>
  <c r="AU411" i="24" s="1"/>
  <c r="P150" i="24"/>
  <c r="Q150" i="24" s="1"/>
  <c r="AE199" i="24"/>
  <c r="AF199" i="24" s="1"/>
  <c r="I206" i="24"/>
  <c r="AT301" i="24"/>
  <c r="AU301" i="24" s="1"/>
  <c r="BN301" i="24" s="1"/>
  <c r="AT485" i="24"/>
  <c r="AU485" i="24" s="1"/>
  <c r="J206" i="24"/>
  <c r="F208" i="24"/>
  <c r="P499" i="24"/>
  <c r="Q499" i="24" s="1"/>
  <c r="AT86" i="24"/>
  <c r="AT151" i="24"/>
  <c r="AU151" i="24" s="1"/>
  <c r="BN151" i="24" s="1"/>
  <c r="M204" i="24"/>
  <c r="G208" i="24"/>
  <c r="AE454" i="24"/>
  <c r="AF454" i="24" s="1"/>
  <c r="P483" i="24"/>
  <c r="Q483" i="24" s="1"/>
  <c r="AT487" i="24"/>
  <c r="AU487" i="24" s="1"/>
  <c r="N129" i="24"/>
  <c r="P4" i="24"/>
  <c r="Q4" i="24" s="1"/>
  <c r="AE4" i="24"/>
  <c r="AF4" i="24" s="1"/>
  <c r="AA58" i="24"/>
  <c r="AE73" i="24"/>
  <c r="AF73" i="24" s="1"/>
  <c r="AT73" i="24"/>
  <c r="AE100" i="24"/>
  <c r="AF100" i="24" s="1"/>
  <c r="AE101" i="24"/>
  <c r="AF101" i="24" s="1"/>
  <c r="AE152" i="24"/>
  <c r="AF152" i="24" s="1"/>
  <c r="P180" i="24"/>
  <c r="Q180" i="24" s="1"/>
  <c r="AE205" i="24"/>
  <c r="AF205" i="24" s="1"/>
  <c r="AE220" i="24"/>
  <c r="AF220" i="24" s="1"/>
  <c r="P237" i="24"/>
  <c r="Q237" i="24" s="1"/>
  <c r="AT253" i="24"/>
  <c r="AU253" i="24" s="1"/>
  <c r="BN253" i="24" s="1"/>
  <c r="AT269" i="24"/>
  <c r="AU269" i="24" s="1"/>
  <c r="BN269" i="24" s="1"/>
  <c r="AT302" i="24"/>
  <c r="AU302" i="24" s="1"/>
  <c r="BN302" i="24" s="1"/>
  <c r="P437" i="24"/>
  <c r="Q437" i="24" s="1"/>
  <c r="AE478" i="24"/>
  <c r="AF478" i="24" s="1"/>
  <c r="AE72" i="24"/>
  <c r="AF72" i="24" s="1"/>
  <c r="Y129" i="24"/>
  <c r="J207" i="24"/>
  <c r="K219" i="24"/>
  <c r="P254" i="24"/>
  <c r="Q254" i="24" s="1"/>
  <c r="AT267" i="24"/>
  <c r="AU267" i="24" s="1"/>
  <c r="BN267" i="24" s="1"/>
  <c r="P304" i="24"/>
  <c r="Q304" i="24" s="1"/>
  <c r="AT315" i="24"/>
  <c r="AU315" i="24" s="1"/>
  <c r="BN315" i="24" s="1"/>
  <c r="P317" i="24"/>
  <c r="Q317" i="24" s="1"/>
  <c r="AE423" i="24"/>
  <c r="AF423" i="24" s="1"/>
  <c r="P453" i="24"/>
  <c r="Q453" i="24" s="1"/>
  <c r="AT483" i="24"/>
  <c r="AU483" i="24" s="1"/>
  <c r="AE499" i="24"/>
  <c r="AF499" i="24" s="1"/>
  <c r="P69" i="24"/>
  <c r="Q69" i="24" s="1"/>
  <c r="P86" i="24"/>
  <c r="Q86" i="24" s="1"/>
  <c r="AE87" i="24"/>
  <c r="AF87" i="24" s="1"/>
  <c r="AB129" i="24"/>
  <c r="AE149" i="24"/>
  <c r="AF149" i="24" s="1"/>
  <c r="AT164" i="24"/>
  <c r="AU164" i="24" s="1"/>
  <c r="BN164" i="24" s="1"/>
  <c r="AT165" i="24"/>
  <c r="AU165" i="24" s="1"/>
  <c r="BN165" i="24" s="1"/>
  <c r="F204" i="24"/>
  <c r="AT219" i="24"/>
  <c r="AU219" i="24" s="1"/>
  <c r="BN219" i="24" s="1"/>
  <c r="H222" i="24"/>
  <c r="AT285" i="24"/>
  <c r="AU285" i="24" s="1"/>
  <c r="BN285" i="24" s="1"/>
  <c r="AE439" i="24"/>
  <c r="AF439" i="24" s="1"/>
  <c r="P71" i="24"/>
  <c r="Q71" i="24" s="1"/>
  <c r="P99" i="24"/>
  <c r="Q99" i="24" s="1"/>
  <c r="AC129" i="24"/>
  <c r="P183" i="24"/>
  <c r="Q183" i="24" s="1"/>
  <c r="G204" i="24"/>
  <c r="P210" i="24"/>
  <c r="Q210" i="24" s="1"/>
  <c r="L207" i="24"/>
  <c r="K208" i="24"/>
  <c r="F223" i="24"/>
  <c r="P269" i="24"/>
  <c r="Q269" i="24" s="1"/>
  <c r="P478" i="24"/>
  <c r="Q478" i="24" s="1"/>
  <c r="AT499" i="24"/>
  <c r="AU499" i="24" s="1"/>
  <c r="AT56" i="24"/>
  <c r="AU56" i="24" s="1"/>
  <c r="BN56" i="24" s="1"/>
  <c r="P73" i="24"/>
  <c r="Q73" i="24" s="1"/>
  <c r="AE102" i="24"/>
  <c r="AF102" i="24" s="1"/>
  <c r="P152" i="24"/>
  <c r="Q152" i="24" s="1"/>
  <c r="AT167" i="24"/>
  <c r="AU167" i="24" s="1"/>
  <c r="BN167" i="24" s="1"/>
  <c r="AE192" i="24"/>
  <c r="AF192" i="24" s="1"/>
  <c r="E205" i="24"/>
  <c r="M207" i="24"/>
  <c r="L208" i="24"/>
  <c r="AE219" i="24"/>
  <c r="AF219" i="24" s="1"/>
  <c r="G223" i="24"/>
  <c r="P285" i="24"/>
  <c r="Q285" i="24" s="1"/>
  <c r="AT318" i="24"/>
  <c r="AU318" i="24" s="1"/>
  <c r="BN318" i="24" s="1"/>
  <c r="AT352" i="24"/>
  <c r="AU352" i="24" s="1"/>
  <c r="BN352" i="24" s="1"/>
  <c r="AE498" i="24"/>
  <c r="AF498" i="24" s="1"/>
  <c r="P100" i="24"/>
  <c r="Q100" i="24" s="1"/>
  <c r="I204" i="24"/>
  <c r="AT316" i="24"/>
  <c r="AU316" i="24" s="1"/>
  <c r="BN316" i="24" s="1"/>
  <c r="P423" i="24"/>
  <c r="Q423" i="24" s="1"/>
  <c r="AT424" i="24"/>
  <c r="AU424" i="24" s="1"/>
  <c r="AT500" i="24"/>
  <c r="AU500" i="24" s="1"/>
  <c r="P56" i="24"/>
  <c r="Q56" i="24" s="1"/>
  <c r="AT256" i="24"/>
  <c r="AU256" i="24" s="1"/>
  <c r="BN256" i="24" s="1"/>
  <c r="AE84" i="24"/>
  <c r="AF84" i="24" s="1"/>
  <c r="O129" i="24"/>
  <c r="AT149" i="24"/>
  <c r="AU149" i="24" s="1"/>
  <c r="BN149" i="24" s="1"/>
  <c r="AE167" i="24"/>
  <c r="AF167" i="24" s="1"/>
  <c r="P192" i="24"/>
  <c r="Q192" i="24" s="1"/>
  <c r="AT208" i="24"/>
  <c r="AU208" i="24" s="1"/>
  <c r="BN208" i="24" s="1"/>
  <c r="K204" i="24"/>
  <c r="H205" i="24"/>
  <c r="N222" i="24"/>
  <c r="J223" i="24"/>
  <c r="AT286" i="24"/>
  <c r="AU286" i="24" s="1"/>
  <c r="BN286" i="24" s="1"/>
  <c r="AT288" i="24"/>
  <c r="AU288" i="24" s="1"/>
  <c r="BN288" i="24" s="1"/>
  <c r="P318" i="24"/>
  <c r="Q318" i="24" s="1"/>
  <c r="AT452" i="24"/>
  <c r="AU452" i="24" s="1"/>
  <c r="AT206" i="24"/>
  <c r="AU206" i="24" s="1"/>
  <c r="BN206" i="24" s="1"/>
  <c r="AE207" i="24"/>
  <c r="AF207" i="24" s="1"/>
  <c r="G205" i="24"/>
  <c r="N208" i="24"/>
  <c r="O222" i="24"/>
  <c r="P256" i="24"/>
  <c r="Q256" i="24" s="1"/>
  <c r="AT268" i="24"/>
  <c r="AU268" i="24" s="1"/>
  <c r="BN268" i="24" s="1"/>
  <c r="AT270" i="24"/>
  <c r="AU270" i="24" s="1"/>
  <c r="BN270" i="24" s="1"/>
  <c r="P301" i="24"/>
  <c r="Q301" i="24" s="1"/>
  <c r="AE352" i="24"/>
  <c r="AF352" i="24" s="1"/>
  <c r="AT486" i="24"/>
  <c r="AU486" i="24" s="1"/>
  <c r="P498" i="24"/>
  <c r="Q498" i="24" s="1"/>
  <c r="P502" i="24"/>
  <c r="Q502" i="24" s="1"/>
  <c r="P70" i="24"/>
  <c r="Q70" i="24" s="1"/>
  <c r="AT87" i="24"/>
  <c r="AT166" i="24"/>
  <c r="AU166" i="24" s="1"/>
  <c r="BN166" i="24" s="1"/>
  <c r="AE204" i="24"/>
  <c r="AF204" i="24" s="1"/>
  <c r="AE206" i="24"/>
  <c r="AF206" i="24" s="1"/>
  <c r="P288" i="24"/>
  <c r="Q288" i="24" s="1"/>
  <c r="P303" i="24"/>
  <c r="Q303" i="24" s="1"/>
  <c r="AE420" i="24"/>
  <c r="AF420" i="24" s="1"/>
  <c r="AE485" i="24"/>
  <c r="AF485" i="24" s="1"/>
  <c r="AE500" i="24"/>
  <c r="AF500" i="24" s="1"/>
  <c r="U129" i="24"/>
  <c r="P165" i="24"/>
  <c r="Q165" i="24" s="1"/>
  <c r="AT204" i="24"/>
  <c r="AU204" i="24" s="1"/>
  <c r="BN204" i="24" s="1"/>
  <c r="AE208" i="24"/>
  <c r="AF208" i="24" s="1"/>
  <c r="K205" i="24"/>
  <c r="E207" i="24"/>
  <c r="F219" i="24"/>
  <c r="D219" i="24"/>
  <c r="L223" i="24"/>
  <c r="AT254" i="24"/>
  <c r="AU254" i="24" s="1"/>
  <c r="BN254" i="24" s="1"/>
  <c r="P268" i="24"/>
  <c r="Q268" i="24" s="1"/>
  <c r="P286" i="24"/>
  <c r="Q286" i="24" s="1"/>
  <c r="AE436" i="24"/>
  <c r="AF436" i="24" s="1"/>
  <c r="P486" i="24"/>
  <c r="Q486" i="24" s="1"/>
  <c r="AT502" i="24"/>
  <c r="AU502" i="24" s="1"/>
  <c r="AT70" i="24"/>
  <c r="P72" i="24"/>
  <c r="Q72" i="24" s="1"/>
  <c r="AT132" i="24"/>
  <c r="AU132" i="24" s="1"/>
  <c r="BN132" i="24" s="1"/>
  <c r="P167" i="24"/>
  <c r="Q167" i="24" s="1"/>
  <c r="O204" i="24"/>
  <c r="F207" i="24"/>
  <c r="G219" i="24"/>
  <c r="E219" i="24"/>
  <c r="P226" i="24"/>
  <c r="Q226" i="24" s="1"/>
  <c r="AT240" i="24"/>
  <c r="AU240" i="24" s="1"/>
  <c r="BN240" i="24" s="1"/>
  <c r="P270" i="24"/>
  <c r="Q270" i="24" s="1"/>
  <c r="AT303" i="24"/>
  <c r="AU303" i="24" s="1"/>
  <c r="BN303" i="24" s="1"/>
  <c r="AT72" i="24"/>
  <c r="P85" i="24"/>
  <c r="Q85" i="24" s="1"/>
  <c r="AE86" i="24"/>
  <c r="AF86" i="24" s="1"/>
  <c r="AT99" i="24"/>
  <c r="AT100" i="24"/>
  <c r="W129" i="24"/>
  <c r="V129" i="24"/>
  <c r="AE201" i="24"/>
  <c r="AF201" i="24" s="1"/>
  <c r="P216" i="24"/>
  <c r="Q216" i="24" s="1"/>
  <c r="P451" i="24"/>
  <c r="Q451" i="24" s="1"/>
  <c r="AT478" i="24"/>
  <c r="AU478" i="24" s="1"/>
  <c r="AE486" i="24"/>
  <c r="AF486" i="24" s="1"/>
  <c r="AE88" i="24"/>
  <c r="AF88" i="24" s="1"/>
  <c r="P166" i="24"/>
  <c r="Q166" i="24" s="1"/>
  <c r="AE180" i="24"/>
  <c r="AF180" i="24" s="1"/>
  <c r="P220" i="24"/>
  <c r="Q220" i="24" s="1"/>
  <c r="O223" i="24"/>
  <c r="P420" i="24"/>
  <c r="Q420" i="24" s="1"/>
  <c r="AE435" i="24"/>
  <c r="AF435" i="24" s="1"/>
  <c r="U58" i="24"/>
  <c r="AE69" i="24"/>
  <c r="AF69" i="24" s="1"/>
  <c r="P84" i="24"/>
  <c r="Q84" i="24" s="1"/>
  <c r="AT103" i="24"/>
  <c r="AT207" i="24"/>
  <c r="AU207" i="24" s="1"/>
  <c r="BN207" i="24" s="1"/>
  <c r="L206" i="24"/>
  <c r="J219" i="24"/>
  <c r="AT241" i="24"/>
  <c r="AU241" i="24" s="1"/>
  <c r="BN241" i="24" s="1"/>
  <c r="P319" i="24"/>
  <c r="Q319" i="24" s="1"/>
  <c r="P436" i="24"/>
  <c r="Q436" i="24" s="1"/>
  <c r="AE437" i="24"/>
  <c r="AF437" i="24" s="1"/>
  <c r="AT439" i="24"/>
  <c r="AU439" i="24" s="1"/>
  <c r="AE451" i="24"/>
  <c r="AF451" i="24" s="1"/>
  <c r="AE502" i="24"/>
  <c r="AF502" i="24" s="1"/>
  <c r="V58" i="24"/>
  <c r="AE70" i="24"/>
  <c r="AF70" i="24" s="1"/>
  <c r="AE71" i="24"/>
  <c r="AF71" i="24" s="1"/>
  <c r="AE99" i="24"/>
  <c r="AF99" i="24" s="1"/>
  <c r="AE141" i="24"/>
  <c r="AF141" i="24" s="1"/>
  <c r="AT221" i="24"/>
  <c r="AU221" i="24" s="1"/>
  <c r="BN221" i="24" s="1"/>
  <c r="P239" i="24"/>
  <c r="Q239" i="24" s="1"/>
  <c r="P241" i="24"/>
  <c r="Q241" i="24" s="1"/>
  <c r="AT255" i="24"/>
  <c r="AU255" i="24" s="1"/>
  <c r="BN255" i="24" s="1"/>
  <c r="AT287" i="24"/>
  <c r="AU287" i="24" s="1"/>
  <c r="BN287" i="24" s="1"/>
  <c r="AT304" i="24"/>
  <c r="AU304" i="24" s="1"/>
  <c r="BN304" i="24" s="1"/>
  <c r="AT317" i="24"/>
  <c r="AU317" i="24" s="1"/>
  <c r="BN317" i="24" s="1"/>
  <c r="P421" i="24"/>
  <c r="Q421" i="24" s="1"/>
  <c r="P452" i="24"/>
  <c r="Q452" i="24" s="1"/>
  <c r="AE483" i="24"/>
  <c r="AF483" i="24" s="1"/>
  <c r="P501" i="24"/>
  <c r="Q501" i="24" s="1"/>
  <c r="AT130" i="24"/>
  <c r="AU130" i="24" s="1"/>
  <c r="BN130" i="24" s="1"/>
  <c r="AE56" i="24"/>
  <c r="AF57" i="24"/>
  <c r="AE103" i="24"/>
  <c r="AF103" i="24" s="1"/>
  <c r="T131" i="24"/>
  <c r="AE135" i="24"/>
  <c r="AF135" i="24" s="1"/>
  <c r="P149" i="24"/>
  <c r="Q149" i="24" s="1"/>
  <c r="AT152" i="24"/>
  <c r="AU152" i="24" s="1"/>
  <c r="BN152" i="24" s="1"/>
  <c r="AT180" i="24"/>
  <c r="AU180" i="24" s="1"/>
  <c r="BN180" i="24" s="1"/>
  <c r="AT192" i="24"/>
  <c r="AU192" i="24" s="1"/>
  <c r="BN192" i="24" s="1"/>
  <c r="P201" i="24"/>
  <c r="Q201" i="24" s="1"/>
  <c r="F129" i="24"/>
  <c r="X129" i="24"/>
  <c r="P199" i="24"/>
  <c r="Q199" i="24" s="1"/>
  <c r="W61" i="24"/>
  <c r="G129" i="24"/>
  <c r="AE165" i="24"/>
  <c r="AF165" i="24" s="1"/>
  <c r="AT223" i="24"/>
  <c r="AU223" i="24" s="1"/>
  <c r="BN223" i="24" s="1"/>
  <c r="D129" i="24"/>
  <c r="P130" i="24"/>
  <c r="X61" i="24"/>
  <c r="H129" i="24"/>
  <c r="P151" i="24"/>
  <c r="Q151" i="24" s="1"/>
  <c r="AE151" i="24"/>
  <c r="AF151" i="24" s="1"/>
  <c r="AT153" i="24"/>
  <c r="AU153" i="24" s="1"/>
  <c r="BN153" i="24" s="1"/>
  <c r="P164" i="24"/>
  <c r="Q164" i="24" s="1"/>
  <c r="P179" i="24"/>
  <c r="Q179" i="24" s="1"/>
  <c r="AT181" i="24"/>
  <c r="AU181" i="24" s="1"/>
  <c r="BN181" i="24" s="1"/>
  <c r="Z61" i="24"/>
  <c r="P87" i="24"/>
  <c r="Q87" i="24" s="1"/>
  <c r="AA129" i="24"/>
  <c r="E131" i="24"/>
  <c r="P135" i="24"/>
  <c r="Q135" i="24" s="1"/>
  <c r="AE164" i="24"/>
  <c r="AF164" i="24" s="1"/>
  <c r="AE166" i="24"/>
  <c r="AF166" i="24" s="1"/>
  <c r="AE179" i="24"/>
  <c r="AF179" i="24" s="1"/>
  <c r="AT484" i="24"/>
  <c r="AU484" i="24" s="1"/>
  <c r="AB61" i="24"/>
  <c r="AT69" i="24"/>
  <c r="J129" i="24"/>
  <c r="AE153" i="24"/>
  <c r="AF153" i="24" s="1"/>
  <c r="AT168" i="24"/>
  <c r="AU168" i="24" s="1"/>
  <c r="BN168" i="24" s="1"/>
  <c r="AE181" i="24"/>
  <c r="AF181" i="24" s="1"/>
  <c r="AT239" i="24"/>
  <c r="AU239" i="24" s="1"/>
  <c r="BN239" i="24" s="1"/>
  <c r="AT58" i="24"/>
  <c r="AU58" i="24" s="1"/>
  <c r="BN58" i="24" s="1"/>
  <c r="AT88" i="24"/>
  <c r="AT182" i="24"/>
  <c r="AU182" i="24" s="1"/>
  <c r="BN182" i="24" s="1"/>
  <c r="AT183" i="24"/>
  <c r="AU183" i="24" s="1"/>
  <c r="BN183" i="24" s="1"/>
  <c r="G206" i="24"/>
  <c r="P213" i="24"/>
  <c r="Q213" i="24" s="1"/>
  <c r="AD61" i="24"/>
  <c r="P101" i="24"/>
  <c r="Q101" i="24" s="1"/>
  <c r="AT102" i="24"/>
  <c r="P141" i="24"/>
  <c r="Q141" i="24" s="1"/>
  <c r="Y61" i="24"/>
  <c r="Y58" i="24"/>
  <c r="P88" i="24"/>
  <c r="Q88" i="24" s="1"/>
  <c r="AD131" i="24"/>
  <c r="P153" i="24"/>
  <c r="Q153" i="24" s="1"/>
  <c r="AE168" i="24"/>
  <c r="AF168" i="24" s="1"/>
  <c r="P181" i="24"/>
  <c r="Q181" i="24" s="1"/>
  <c r="D223" i="24"/>
  <c r="P231" i="24"/>
  <c r="Q231" i="24" s="1"/>
  <c r="AE132" i="24"/>
  <c r="AF132" i="24" s="1"/>
  <c r="AT150" i="24"/>
  <c r="AU150" i="24" s="1"/>
  <c r="BN150" i="24" s="1"/>
  <c r="AE183" i="24"/>
  <c r="AF183" i="24" s="1"/>
  <c r="AE130" i="24"/>
  <c r="P168" i="24"/>
  <c r="Q168" i="24" s="1"/>
  <c r="BN199" i="24"/>
  <c r="AE202" i="24"/>
  <c r="AF202" i="24" s="1"/>
  <c r="E204" i="24"/>
  <c r="K222" i="24"/>
  <c r="P229" i="24"/>
  <c r="Q229" i="24" s="1"/>
  <c r="S129" i="24"/>
  <c r="P132" i="24"/>
  <c r="Q132" i="24" s="1"/>
  <c r="AE150" i="24"/>
  <c r="AF150" i="24" s="1"/>
  <c r="P218" i="24"/>
  <c r="Q218" i="24" s="1"/>
  <c r="AT220" i="24"/>
  <c r="AU220" i="24" s="1"/>
  <c r="BN220" i="24" s="1"/>
  <c r="J205" i="24"/>
  <c r="AT271" i="24"/>
  <c r="AU271" i="24" s="1"/>
  <c r="BN271" i="24" s="1"/>
  <c r="AT289" i="24"/>
  <c r="AU289" i="24" s="1"/>
  <c r="BN289" i="24" s="1"/>
  <c r="AT450" i="24"/>
  <c r="AU450" i="24" s="1"/>
  <c r="P221" i="24"/>
  <c r="Q221" i="24" s="1"/>
  <c r="P230" i="24"/>
  <c r="Q230" i="24" s="1"/>
  <c r="P252" i="24"/>
  <c r="Q252" i="24" s="1"/>
  <c r="P300" i="24"/>
  <c r="Q300" i="24" s="1"/>
  <c r="P315" i="24"/>
  <c r="Q315" i="24" s="1"/>
  <c r="AE411" i="24"/>
  <c r="AF411" i="24" s="1"/>
  <c r="P422" i="24"/>
  <c r="Q422" i="24" s="1"/>
  <c r="AT436" i="24"/>
  <c r="AU436" i="24" s="1"/>
  <c r="P454" i="24"/>
  <c r="Q454" i="24" s="1"/>
  <c r="P487" i="24"/>
  <c r="Q487" i="24" s="1"/>
  <c r="P202" i="24"/>
  <c r="Q202" i="24" s="1"/>
  <c r="AT205" i="24"/>
  <c r="AU205" i="24" s="1"/>
  <c r="BN205" i="24" s="1"/>
  <c r="D204" i="24"/>
  <c r="P209" i="24"/>
  <c r="Q209" i="24" s="1"/>
  <c r="P217" i="24"/>
  <c r="Q217" i="24" s="1"/>
  <c r="AE223" i="24"/>
  <c r="AF223" i="24" s="1"/>
  <c r="P267" i="24"/>
  <c r="Q267" i="24" s="1"/>
  <c r="P271" i="24"/>
  <c r="Q271" i="24" s="1"/>
  <c r="P287" i="24"/>
  <c r="Q287" i="24" s="1"/>
  <c r="P289" i="24"/>
  <c r="Q289" i="24" s="1"/>
  <c r="P302" i="24"/>
  <c r="Q302" i="24" s="1"/>
  <c r="AT319" i="24"/>
  <c r="AU319" i="24" s="1"/>
  <c r="BN319" i="24" s="1"/>
  <c r="P352" i="24"/>
  <c r="Q352" i="24" s="1"/>
  <c r="P424" i="24"/>
  <c r="Q424" i="24" s="1"/>
  <c r="AE450" i="24"/>
  <c r="AF450" i="24" s="1"/>
  <c r="P215" i="24"/>
  <c r="Q215" i="24" s="1"/>
  <c r="AT237" i="24"/>
  <c r="AU237" i="24" s="1"/>
  <c r="BN237" i="24" s="1"/>
  <c r="AE484" i="24"/>
  <c r="AF484" i="24" s="1"/>
  <c r="P211" i="24"/>
  <c r="Q211" i="24" s="1"/>
  <c r="P214" i="24"/>
  <c r="Q214" i="24" s="1"/>
  <c r="P227" i="24"/>
  <c r="Q227" i="24" s="1"/>
  <c r="P411" i="24"/>
  <c r="Q411" i="24" s="1"/>
  <c r="AE421" i="24"/>
  <c r="AF421" i="24" s="1"/>
  <c r="AT423" i="24"/>
  <c r="AU423" i="24" s="1"/>
  <c r="P450" i="24"/>
  <c r="Q450" i="24" s="1"/>
  <c r="AE182" i="24"/>
  <c r="AF182" i="24" s="1"/>
  <c r="P224" i="24"/>
  <c r="Q224" i="24" s="1"/>
  <c r="P225" i="24"/>
  <c r="Q225" i="24" s="1"/>
  <c r="AE501" i="24"/>
  <c r="AF501" i="24" s="1"/>
  <c r="P228" i="24"/>
  <c r="Q228" i="24" s="1"/>
  <c r="P253" i="24"/>
  <c r="Q253" i="24" s="1"/>
  <c r="P316" i="24"/>
  <c r="Q316" i="24" s="1"/>
  <c r="P485" i="24"/>
  <c r="Q485" i="24" s="1"/>
  <c r="BN201" i="24"/>
  <c r="N204" i="24"/>
  <c r="AE424" i="24"/>
  <c r="AF424" i="24" s="1"/>
  <c r="AE453" i="24"/>
  <c r="AF453" i="24" s="1"/>
  <c r="P500" i="24"/>
  <c r="Q500" i="24" s="1"/>
  <c r="P212" i="24"/>
  <c r="Q212" i="24" s="1"/>
  <c r="AT238" i="24"/>
  <c r="AU238" i="24" s="1"/>
  <c r="BN238" i="24" s="1"/>
  <c r="P240" i="24"/>
  <c r="Q240" i="24" s="1"/>
  <c r="P255" i="24"/>
  <c r="Q255" i="24" s="1"/>
  <c r="AT420" i="24"/>
  <c r="AU420" i="24" s="1"/>
  <c r="P438" i="24"/>
  <c r="Q438" i="24" s="1"/>
  <c r="I205" i="24"/>
  <c r="AE221" i="24"/>
  <c r="AF221" i="24" s="1"/>
  <c r="AT222" i="24"/>
  <c r="AU222" i="24" s="1"/>
  <c r="BN222" i="24" s="1"/>
  <c r="I222" i="24"/>
  <c r="P238" i="24"/>
  <c r="Q238" i="24" s="1"/>
  <c r="AT300" i="24"/>
  <c r="AU300" i="24" s="1"/>
  <c r="BN300" i="24" s="1"/>
  <c r="AE487" i="24"/>
  <c r="AF487" i="24" s="1"/>
  <c r="L19" i="25"/>
  <c r="L10" i="25" s="1"/>
  <c r="Q46" i="25"/>
  <c r="R46" i="25" s="1"/>
  <c r="AE4" i="25"/>
  <c r="N29" i="25"/>
  <c r="N10" i="25" s="1"/>
  <c r="AT38" i="25"/>
  <c r="N49" i="25"/>
  <c r="AU4" i="25"/>
  <c r="BM4" i="25" s="1"/>
  <c r="AT19" i="25"/>
  <c r="O29" i="25"/>
  <c r="O49" i="25"/>
  <c r="P49" i="25"/>
  <c r="AJ49" i="25"/>
  <c r="M29" i="25"/>
  <c r="AE44" i="25"/>
  <c r="AF44" i="25" s="1"/>
  <c r="AT22" i="25"/>
  <c r="AF43" i="25"/>
  <c r="AL49" i="25"/>
  <c r="E47" i="25"/>
  <c r="Q38" i="25"/>
  <c r="R38" i="25" s="1"/>
  <c r="AT8" i="25"/>
  <c r="Q22" i="25"/>
  <c r="R22" i="25" s="1"/>
  <c r="W49" i="25"/>
  <c r="AE63" i="25"/>
  <c r="AF63" i="25" s="1"/>
  <c r="G19" i="25"/>
  <c r="G10" i="25" s="1"/>
  <c r="Y10" i="25"/>
  <c r="H29" i="25"/>
  <c r="H49" i="25"/>
  <c r="Y49" i="25"/>
  <c r="AT46" i="25"/>
  <c r="AE56" i="25"/>
  <c r="AF56" i="25" s="1"/>
  <c r="AE9" i="25"/>
  <c r="AF9" i="25" s="1"/>
  <c r="AT11" i="25"/>
  <c r="AE25" i="25"/>
  <c r="AF25" i="25" s="1"/>
  <c r="Z49" i="25"/>
  <c r="J29" i="25"/>
  <c r="J10" i="25" s="1"/>
  <c r="J19" i="25"/>
  <c r="AC49" i="25"/>
  <c r="AJ62" i="25"/>
  <c r="AJ47" i="25"/>
  <c r="AL55" i="25"/>
  <c r="AL48" i="25" s="1"/>
  <c r="AL47" i="25"/>
  <c r="T47" i="25"/>
  <c r="T55" i="25"/>
  <c r="T48" i="25" s="1"/>
  <c r="AM55" i="25"/>
  <c r="AM48" i="25" s="1"/>
  <c r="AM47" i="25"/>
  <c r="U55" i="25"/>
  <c r="U48" i="25" s="1"/>
  <c r="U47" i="25"/>
  <c r="V55" i="25"/>
  <c r="V48" i="25" s="1"/>
  <c r="V47" i="25"/>
  <c r="W55" i="25"/>
  <c r="W48" i="25" s="1"/>
  <c r="W47" i="25"/>
  <c r="F55" i="25"/>
  <c r="F48" i="25" s="1"/>
  <c r="F47" i="25"/>
  <c r="AJ48" i="25"/>
  <c r="AT16" i="25"/>
  <c r="BM16" i="25" s="1"/>
  <c r="H19" i="25"/>
  <c r="H10" i="25" s="1"/>
  <c r="Z10" i="25"/>
  <c r="Q24" i="25"/>
  <c r="R24" i="25" s="1"/>
  <c r="AT12" i="25"/>
  <c r="BM12" i="25" s="1"/>
  <c r="I19" i="25"/>
  <c r="I10" i="25" s="1"/>
  <c r="AA10" i="25"/>
  <c r="E37" i="25"/>
  <c r="K49" i="25"/>
  <c r="AA49" i="25"/>
  <c r="AI47" i="25"/>
  <c r="G54" i="25"/>
  <c r="W12" i="25"/>
  <c r="AB10" i="25"/>
  <c r="AE32" i="25"/>
  <c r="AF32" i="25" s="1"/>
  <c r="AT32" i="25"/>
  <c r="AD49" i="25"/>
  <c r="AF4" i="25"/>
  <c r="K19" i="25"/>
  <c r="K10" i="25" s="1"/>
  <c r="AC10" i="25"/>
  <c r="AT26" i="25"/>
  <c r="L45" i="25"/>
  <c r="AK47" i="25"/>
  <c r="S54" i="25"/>
  <c r="U12" i="25"/>
  <c r="Z12" i="25"/>
  <c r="M19" i="25"/>
  <c r="M10" i="25" s="1"/>
  <c r="V12" i="25"/>
  <c r="AH49" i="25"/>
  <c r="AT44" i="25"/>
  <c r="AU44" i="25" s="1"/>
  <c r="BM44" i="25" s="1"/>
  <c r="AE46" i="25"/>
  <c r="AF46" i="25" s="1"/>
  <c r="Q32" i="25"/>
  <c r="R32" i="25" s="1"/>
  <c r="AI49" i="25"/>
  <c r="AL45" i="25"/>
  <c r="Q56" i="25"/>
  <c r="R56" i="25" s="1"/>
  <c r="AE59" i="25"/>
  <c r="AF59" i="25" s="1"/>
  <c r="AT6" i="25"/>
  <c r="AE7" i="25"/>
  <c r="AF7" i="25" s="1"/>
  <c r="F12" i="25"/>
  <c r="AI37" i="25"/>
  <c r="AT37" i="25" s="1"/>
  <c r="Q11" i="25"/>
  <c r="R11" i="25" s="1"/>
  <c r="Q52" i="25"/>
  <c r="R52" i="25" s="1"/>
  <c r="AE22" i="25"/>
  <c r="AF22" i="25" s="1"/>
  <c r="AE8" i="25"/>
  <c r="AF8" i="25" s="1"/>
  <c r="H12" i="25"/>
  <c r="N5" i="25"/>
  <c r="E19" i="25"/>
  <c r="T49" i="25"/>
  <c r="AM49" i="25"/>
  <c r="Q63" i="25"/>
  <c r="R63" i="25" s="1"/>
  <c r="AT9" i="25"/>
  <c r="O10" i="25"/>
  <c r="AT43" i="25"/>
  <c r="P10" i="25"/>
  <c r="R43" i="25"/>
  <c r="V49" i="25"/>
  <c r="AU43" i="25"/>
  <c r="Q44" i="25"/>
  <c r="R44" i="25" s="1"/>
  <c r="X10" i="25"/>
  <c r="G49" i="25"/>
  <c r="X49" i="25"/>
  <c r="Y55" i="25"/>
  <c r="Y48" i="25" s="1"/>
  <c r="Y47" i="25"/>
  <c r="Z55" i="25"/>
  <c r="Z48" i="25" s="1"/>
  <c r="Z47" i="25"/>
  <c r="I55" i="25"/>
  <c r="I48" i="25" s="1"/>
  <c r="I47" i="25"/>
  <c r="AA55" i="25"/>
  <c r="AA48" i="25" s="1"/>
  <c r="AA47" i="25"/>
  <c r="J55" i="25"/>
  <c r="J48" i="25" s="1"/>
  <c r="J47" i="25"/>
  <c r="AB55" i="25"/>
  <c r="AB48" i="25" s="1"/>
  <c r="AB47" i="25"/>
  <c r="H48" i="25"/>
  <c r="K55" i="25"/>
  <c r="K48" i="25" s="1"/>
  <c r="K47" i="25"/>
  <c r="AC55" i="25"/>
  <c r="AC48" i="25" s="1"/>
  <c r="AC47" i="25"/>
  <c r="Q61" i="25"/>
  <c r="R61" i="25" s="1"/>
  <c r="L55" i="25"/>
  <c r="L48" i="25" s="1"/>
  <c r="L47" i="25"/>
  <c r="AH55" i="25"/>
  <c r="AH47" i="25"/>
  <c r="AT54" i="25"/>
  <c r="N55" i="25"/>
  <c r="N48" i="25" s="1"/>
  <c r="N47" i="25"/>
  <c r="M55" i="25"/>
  <c r="M48" i="25" s="1"/>
  <c r="M47" i="25"/>
  <c r="BM6" i="25"/>
  <c r="O55" i="25"/>
  <c r="O48" i="25" s="1"/>
  <c r="O47" i="25"/>
  <c r="AT61" i="25"/>
  <c r="AH62" i="25"/>
  <c r="AT62" i="25" s="1"/>
  <c r="AU62" i="25" s="1"/>
  <c r="Q37" i="25"/>
  <c r="R37" i="25" s="1"/>
  <c r="BM8" i="25"/>
  <c r="AE19" i="25"/>
  <c r="AF19" i="25" s="1"/>
  <c r="BM24" i="25"/>
  <c r="M12" i="25"/>
  <c r="AC12" i="25"/>
  <c r="BM14" i="25"/>
  <c r="AE16" i="25"/>
  <c r="AF16" i="25" s="1"/>
  <c r="E55" i="25"/>
  <c r="E62" i="25"/>
  <c r="Q62" i="25" s="1"/>
  <c r="R62" i="25" s="1"/>
  <c r="AP47" i="25"/>
  <c r="X47" i="25"/>
  <c r="O5" i="25"/>
  <c r="AE38" i="25"/>
  <c r="AF38" i="25" s="1"/>
  <c r="H47" i="25"/>
  <c r="Q59" i="25"/>
  <c r="R59" i="25" s="1"/>
  <c r="P5" i="25"/>
  <c r="S29" i="25"/>
  <c r="AT10" i="25"/>
  <c r="S49" i="25"/>
  <c r="AU51" i="25"/>
  <c r="BM51" i="25" s="1"/>
  <c r="L12" i="25"/>
  <c r="P45" i="25"/>
  <c r="AB12" i="25"/>
  <c r="AT4" i="25"/>
  <c r="E29" i="25"/>
  <c r="U29" i="25"/>
  <c r="U10" i="25" s="1"/>
  <c r="AE43" i="25"/>
  <c r="E49" i="25"/>
  <c r="AH45" i="25"/>
  <c r="AT45" i="25" s="1"/>
  <c r="BM15" i="25"/>
  <c r="F29" i="25"/>
  <c r="F10" i="25" s="1"/>
  <c r="V29" i="25"/>
  <c r="V10" i="25" s="1"/>
  <c r="AD54" i="25"/>
  <c r="AD61" i="25"/>
  <c r="S12" i="25"/>
  <c r="BM21" i="25"/>
  <c r="AT52" i="25"/>
  <c r="AT59" i="25"/>
  <c r="E5" i="25"/>
  <c r="BM11" i="25"/>
  <c r="P54" i="25"/>
  <c r="AU56" i="25"/>
  <c r="E12" i="25"/>
  <c r="Q12" i="25" s="1"/>
  <c r="R12" i="25" s="1"/>
  <c r="AD37" i="25"/>
  <c r="J49" i="25"/>
  <c r="AU46" i="25"/>
  <c r="AU60" i="25"/>
  <c r="BM31" i="25"/>
  <c r="AE45" i="25"/>
  <c r="AF45" i="25" s="1"/>
  <c r="AE52" i="25"/>
  <c r="AF52" i="25" s="1"/>
  <c r="AT146" i="22"/>
  <c r="AU198" i="22"/>
  <c r="AU179" i="22"/>
  <c r="AU201" i="22"/>
  <c r="AU182" i="22"/>
  <c r="AU199" i="22"/>
  <c r="AU180" i="22"/>
  <c r="AU178" i="22"/>
  <c r="AU197" i="22"/>
  <c r="AU200" i="22"/>
  <c r="AU181" i="22"/>
  <c r="AT185" i="22"/>
  <c r="AT209" i="22"/>
  <c r="AT191" i="22"/>
  <c r="AT206" i="22"/>
  <c r="AT202" i="22"/>
  <c r="AE25" i="26"/>
  <c r="AT207" i="22"/>
  <c r="AT210" i="22"/>
  <c r="AE24" i="26"/>
  <c r="AE23" i="26"/>
  <c r="AE19" i="26"/>
  <c r="AT187" i="22"/>
  <c r="AT189" i="22"/>
  <c r="AE17" i="26"/>
  <c r="AT183" i="22"/>
  <c r="AT186" i="22"/>
  <c r="AT188" i="22"/>
  <c r="AT190" i="22"/>
  <c r="AT205" i="22"/>
  <c r="AT208" i="22"/>
  <c r="AT184" i="22"/>
  <c r="AT192" i="22"/>
  <c r="AT211" i="22"/>
  <c r="AT204" i="22"/>
  <c r="AT203" i="22"/>
  <c r="AT163" i="22"/>
  <c r="AT159" i="22"/>
  <c r="AT167" i="22"/>
  <c r="AT171" i="22"/>
  <c r="AB20" i="26"/>
  <c r="AT165" i="22"/>
  <c r="AB18" i="26"/>
  <c r="AB21" i="26"/>
  <c r="AB17" i="26"/>
  <c r="AT168" i="22"/>
  <c r="AT170" i="22"/>
  <c r="AT164" i="22"/>
  <c r="AT162" i="22"/>
  <c r="AT145" i="22"/>
  <c r="AB23" i="26"/>
  <c r="AB19" i="26"/>
  <c r="AB24" i="26"/>
  <c r="AB16" i="26"/>
  <c r="AB22" i="26"/>
  <c r="AT169" i="22"/>
  <c r="AT154" i="22"/>
  <c r="AT166" i="22"/>
  <c r="AT147" i="22"/>
  <c r="AT155" i="22"/>
  <c r="AT158" i="22"/>
  <c r="AB11" i="26" s="1"/>
  <c r="BN185" i="45"/>
  <c r="BN181" i="45"/>
  <c r="BN190" i="45"/>
  <c r="BL144" i="45"/>
  <c r="BM144" i="45"/>
  <c r="BD190" i="45"/>
  <c r="BF144" i="45"/>
  <c r="BG144" i="45"/>
  <c r="BH144" i="45"/>
  <c r="BH191" i="45"/>
  <c r="BJ144" i="45"/>
  <c r="BL191" i="45"/>
  <c r="BK144" i="45"/>
  <c r="BN144" i="45"/>
  <c r="BM191" i="45"/>
  <c r="BD191" i="45"/>
  <c r="BF191" i="45"/>
  <c r="BI144" i="45"/>
  <c r="BG191" i="45"/>
  <c r="K31" i="34"/>
  <c r="U31" i="34"/>
  <c r="E103" i="34"/>
  <c r="E119" i="34"/>
  <c r="Q37" i="34"/>
  <c r="Q12" i="34"/>
  <c r="N31" i="34"/>
  <c r="H103" i="34"/>
  <c r="AF12" i="34"/>
  <c r="Q22" i="34"/>
  <c r="J103" i="34"/>
  <c r="AF106" i="34"/>
  <c r="Q105" i="34"/>
  <c r="Q123" i="34"/>
  <c r="Q6" i="34"/>
  <c r="V31" i="34"/>
  <c r="Q47" i="34"/>
  <c r="AF107" i="34"/>
  <c r="Q124" i="34"/>
  <c r="AF42" i="34"/>
  <c r="Q42" i="34"/>
  <c r="AF52" i="34"/>
  <c r="F4" i="34"/>
  <c r="D4" i="34"/>
  <c r="V4" i="34"/>
  <c r="Y103" i="34"/>
  <c r="Q107" i="34"/>
  <c r="Z103" i="34"/>
  <c r="AF37" i="34"/>
  <c r="AF105" i="34"/>
  <c r="Q32" i="34"/>
  <c r="T31" i="34"/>
  <c r="Q108" i="34"/>
  <c r="Q120" i="34"/>
  <c r="D119" i="34"/>
  <c r="X103" i="34"/>
  <c r="X119" i="34"/>
  <c r="AF119" i="34" s="1"/>
  <c r="I103" i="34"/>
  <c r="AF6" i="34"/>
  <c r="D31" i="34"/>
  <c r="Q104" i="34"/>
  <c r="V67" i="26"/>
  <c r="W9" i="26"/>
  <c r="U56" i="26"/>
  <c r="W56" i="26" s="1"/>
  <c r="W83" i="26"/>
  <c r="V58" i="26"/>
  <c r="W58" i="26" s="1"/>
  <c r="AF24" i="33"/>
  <c r="AX24" i="33" s="1"/>
  <c r="AE24" i="33"/>
  <c r="AE20" i="33"/>
  <c r="AF20" i="33"/>
  <c r="AX20" i="33" s="1"/>
  <c r="AF20" i="46"/>
  <c r="AF13" i="46"/>
  <c r="AF11" i="46" s="1"/>
  <c r="AX11" i="46"/>
  <c r="AX6" i="46"/>
  <c r="AX80" i="46" s="1"/>
  <c r="AG20" i="46"/>
  <c r="AG13" i="46"/>
  <c r="AE99" i="46"/>
  <c r="AJ13" i="46"/>
  <c r="AJ20" i="46"/>
  <c r="AK13" i="46"/>
  <c r="AK20" i="46"/>
  <c r="AE127" i="46"/>
  <c r="AI20" i="46"/>
  <c r="AI13" i="46"/>
  <c r="AE83" i="46"/>
  <c r="AM13" i="46"/>
  <c r="AM11" i="46" s="1"/>
  <c r="AM20" i="46"/>
  <c r="AN13" i="46"/>
  <c r="AN11" i="46" s="1"/>
  <c r="AN20" i="46"/>
  <c r="AI127" i="46"/>
  <c r="AI82" i="46" s="1"/>
  <c r="AP6" i="46"/>
  <c r="AP80" i="46" s="1"/>
  <c r="AP11" i="46"/>
  <c r="AY6" i="46"/>
  <c r="AY80" i="46" s="1"/>
  <c r="AY11" i="46"/>
  <c r="BE14" i="46"/>
  <c r="AU13" i="46"/>
  <c r="AV11" i="46"/>
  <c r="AV6" i="46"/>
  <c r="AV80" i="46" s="1"/>
  <c r="AQ14" i="46"/>
  <c r="AE20" i="46"/>
  <c r="AE13" i="46"/>
  <c r="AE6" i="46" s="1"/>
  <c r="AQ46" i="46"/>
  <c r="AJ23" i="46"/>
  <c r="AL9" i="46"/>
  <c r="BC9" i="46"/>
  <c r="BE9" i="46" s="1"/>
  <c r="AF45" i="46"/>
  <c r="AQ45" i="46" s="1"/>
  <c r="AW45" i="46"/>
  <c r="AH92" i="46"/>
  <c r="AH99" i="46" s="1"/>
  <c r="AH109" i="46" s="1"/>
  <c r="AH81" i="46" s="1"/>
  <c r="AQ134" i="46"/>
  <c r="AQ15" i="46"/>
  <c r="AN9" i="46"/>
  <c r="AO20" i="46"/>
  <c r="AQ117" i="46"/>
  <c r="AP20" i="46"/>
  <c r="AH13" i="46"/>
  <c r="BE51" i="46"/>
  <c r="BE7" i="46"/>
  <c r="AQ113" i="46"/>
  <c r="AQ51" i="46"/>
  <c r="AF9" i="46"/>
  <c r="BM24" i="54"/>
  <c r="BM23" i="54"/>
  <c r="AE14" i="54"/>
  <c r="AU63" i="25"/>
  <c r="AU58" i="25"/>
  <c r="AU53" i="25"/>
  <c r="AU52" i="25"/>
  <c r="BO368" i="55"/>
  <c r="BO369" i="55"/>
  <c r="BO373" i="55"/>
  <c r="AU27" i="55"/>
  <c r="BO366" i="55"/>
  <c r="BM36" i="25"/>
  <c r="BM38" i="25"/>
  <c r="BM35" i="25"/>
  <c r="BM22" i="25"/>
  <c r="BM28" i="25"/>
  <c r="BM30" i="25"/>
  <c r="BM27" i="25"/>
  <c r="BM19" i="25"/>
  <c r="BM17" i="25"/>
  <c r="BM20" i="25"/>
  <c r="BM18" i="25"/>
  <c r="BM25" i="25"/>
  <c r="BM16" i="54"/>
  <c r="CC170" i="45"/>
  <c r="CE182" i="45"/>
  <c r="CC175" i="45"/>
  <c r="P15" i="15" l="1"/>
  <c r="P14" i="26"/>
  <c r="CK115" i="45"/>
  <c r="CK45" i="45"/>
  <c r="CK91" i="45"/>
  <c r="BD187" i="45"/>
  <c r="CK144" i="45"/>
  <c r="CK6" i="45"/>
  <c r="CK55" i="45"/>
  <c r="CK8" i="45"/>
  <c r="P15" i="26"/>
  <c r="P7" i="26"/>
  <c r="P50" i="26"/>
  <c r="P67" i="26"/>
  <c r="P11" i="26"/>
  <c r="P13" i="26"/>
  <c r="P12" i="26"/>
  <c r="AQ83" i="46"/>
  <c r="AW6" i="46"/>
  <c r="AW80" i="46" s="1"/>
  <c r="AT6" i="46"/>
  <c r="AT80" i="46" s="1"/>
  <c r="P41" i="16"/>
  <c r="P30" i="16"/>
  <c r="P32" i="16"/>
  <c r="P35" i="16"/>
  <c r="BC6" i="46"/>
  <c r="BC80" i="46" s="1"/>
  <c r="CF175" i="45"/>
  <c r="X36" i="53"/>
  <c r="AQ145" i="46"/>
  <c r="DB144" i="45"/>
  <c r="DD144" i="45" s="1"/>
  <c r="CH152" i="45"/>
  <c r="CK152" i="45" s="1"/>
  <c r="CF152" i="45"/>
  <c r="CH151" i="45"/>
  <c r="CK151" i="45" s="1"/>
  <c r="CF151" i="45"/>
  <c r="CH137" i="45"/>
  <c r="CK137" i="45" s="1"/>
  <c r="CF137" i="45"/>
  <c r="AZ6" i="46"/>
  <c r="AZ80" i="46" s="1"/>
  <c r="AL6" i="46"/>
  <c r="AL80" i="46" s="1"/>
  <c r="BB6" i="46"/>
  <c r="BB80" i="46" s="1"/>
  <c r="AO6" i="46"/>
  <c r="AO80" i="46" s="1"/>
  <c r="BD6" i="46"/>
  <c r="BD80" i="46" s="1"/>
  <c r="BA6" i="46"/>
  <c r="BA80" i="46" s="1"/>
  <c r="CF144" i="45"/>
  <c r="CF55" i="45"/>
  <c r="CF178" i="45" s="1"/>
  <c r="CF115" i="45"/>
  <c r="CF187" i="45" s="1"/>
  <c r="AS6" i="46"/>
  <c r="AS80" i="46" s="1"/>
  <c r="AQ116" i="46"/>
  <c r="BE45" i="46"/>
  <c r="Z15" i="55"/>
  <c r="Z63" i="55"/>
  <c r="AF12" i="55"/>
  <c r="AA63" i="55"/>
  <c r="AC63" i="55"/>
  <c r="T15" i="55"/>
  <c r="AF84" i="55"/>
  <c r="Y62" i="55"/>
  <c r="AF10" i="55"/>
  <c r="Z10" i="55"/>
  <c r="AI64" i="55"/>
  <c r="AI15" i="55" s="1"/>
  <c r="V63" i="55"/>
  <c r="U15" i="55"/>
  <c r="V15" i="55"/>
  <c r="Y63" i="55"/>
  <c r="W63" i="55"/>
  <c r="BN85" i="55"/>
  <c r="AI84" i="55"/>
  <c r="BN84" i="55" s="1"/>
  <c r="X15" i="55"/>
  <c r="BN78" i="55"/>
  <c r="AI77" i="55"/>
  <c r="BN77" i="55" s="1"/>
  <c r="AG70" i="55"/>
  <c r="Z13" i="55"/>
  <c r="AD63" i="55"/>
  <c r="Y15" i="54"/>
  <c r="P206" i="24"/>
  <c r="Q206" i="24" s="1"/>
  <c r="Q64" i="22"/>
  <c r="Q27" i="22"/>
  <c r="Q65" i="22" s="1"/>
  <c r="AU65" i="22"/>
  <c r="BO65" i="22" s="1"/>
  <c r="AU66" i="22"/>
  <c r="BO66" i="22" s="1"/>
  <c r="AU64" i="22"/>
  <c r="BO64" i="22" s="1"/>
  <c r="AU60" i="22"/>
  <c r="BO60" i="22" s="1"/>
  <c r="AU67" i="22"/>
  <c r="BO67" i="22" s="1"/>
  <c r="AU68" i="22"/>
  <c r="BO68" i="22" s="1"/>
  <c r="AQ9" i="46"/>
  <c r="AM6" i="46"/>
  <c r="AM80" i="46" s="1"/>
  <c r="AF6" i="46"/>
  <c r="AF80" i="46" s="1"/>
  <c r="AN6" i="46"/>
  <c r="AN80" i="46" s="1"/>
  <c r="AF29" i="36"/>
  <c r="AF33" i="36"/>
  <c r="BL47" i="25"/>
  <c r="BL55" i="25"/>
  <c r="W54" i="26"/>
  <c r="AD21" i="55"/>
  <c r="BM45" i="54"/>
  <c r="W15" i="55"/>
  <c r="AF20" i="55"/>
  <c r="AV42" i="55"/>
  <c r="BM42" i="55" s="1"/>
  <c r="AE21" i="55"/>
  <c r="BM74" i="54"/>
  <c r="AG64" i="55"/>
  <c r="Y15" i="55"/>
  <c r="AA15" i="55"/>
  <c r="AU56" i="55"/>
  <c r="Z21" i="55"/>
  <c r="Z14" i="55" s="1"/>
  <c r="AV56" i="55"/>
  <c r="BM56" i="55" s="1"/>
  <c r="AD15" i="55"/>
  <c r="AC21" i="55"/>
  <c r="AC14" i="55" s="1"/>
  <c r="AG12" i="55"/>
  <c r="AF35" i="55"/>
  <c r="AC13" i="55"/>
  <c r="BO372" i="55"/>
  <c r="E10" i="25"/>
  <c r="AT7" i="25"/>
  <c r="BM7" i="25" s="1"/>
  <c r="BL7" i="25"/>
  <c r="X15" i="54"/>
  <c r="AG14" i="54"/>
  <c r="AF9" i="54"/>
  <c r="AB15" i="54"/>
  <c r="AG11" i="54"/>
  <c r="BM61" i="54"/>
  <c r="T15" i="54"/>
  <c r="AA21" i="55"/>
  <c r="AD13" i="55"/>
  <c r="Y21" i="55"/>
  <c r="Y14" i="55" s="1"/>
  <c r="AG22" i="55"/>
  <c r="V62" i="55"/>
  <c r="AG11" i="55"/>
  <c r="AV35" i="55"/>
  <c r="BM35" i="55" s="1"/>
  <c r="AV20" i="55"/>
  <c r="T13" i="55"/>
  <c r="AF11" i="55"/>
  <c r="BO374" i="55"/>
  <c r="U21" i="55"/>
  <c r="U14" i="55" s="1"/>
  <c r="AB21" i="55"/>
  <c r="AG97" i="55"/>
  <c r="AG62" i="55" s="1"/>
  <c r="AF22" i="55"/>
  <c r="W21" i="55"/>
  <c r="AG84" i="55"/>
  <c r="AF97" i="55"/>
  <c r="AV78" i="55"/>
  <c r="BM78" i="55" s="1"/>
  <c r="Y13" i="55"/>
  <c r="W62" i="55"/>
  <c r="W13" i="55" s="1"/>
  <c r="AU42" i="55"/>
  <c r="AU35" i="55"/>
  <c r="V20" i="55"/>
  <c r="V13" i="55" s="1"/>
  <c r="AU20" i="55"/>
  <c r="BI126" i="45"/>
  <c r="BI81" i="45" s="1"/>
  <c r="BD126" i="45"/>
  <c r="CK126" i="45" s="1"/>
  <c r="AF11" i="54"/>
  <c r="AC15" i="54"/>
  <c r="AD15" i="54"/>
  <c r="AG7" i="54"/>
  <c r="AG10" i="54"/>
  <c r="AE22" i="54"/>
  <c r="W15" i="54"/>
  <c r="AF14" i="54"/>
  <c r="R7" i="54"/>
  <c r="AG9" i="54"/>
  <c r="AC13" i="54"/>
  <c r="AC4" i="54" s="1"/>
  <c r="W32" i="54"/>
  <c r="W13" i="54" s="1"/>
  <c r="W4" i="54" s="1"/>
  <c r="AF61" i="54"/>
  <c r="AF12" i="54"/>
  <c r="BM101" i="54"/>
  <c r="Z15" i="54"/>
  <c r="AA15" i="54"/>
  <c r="AF10" i="54"/>
  <c r="BD20" i="45"/>
  <c r="BD173" i="45"/>
  <c r="BD12" i="45"/>
  <c r="BD172" i="45" s="1"/>
  <c r="BI8" i="45"/>
  <c r="BI171" i="45" s="1"/>
  <c r="CF45" i="45"/>
  <c r="CF176" i="45" s="1"/>
  <c r="CF91" i="45"/>
  <c r="CF181" i="45" s="1"/>
  <c r="BM82" i="45"/>
  <c r="BI82" i="45"/>
  <c r="BL82" i="45"/>
  <c r="BN82" i="45"/>
  <c r="BE82" i="45"/>
  <c r="BE89" i="45" s="1"/>
  <c r="BJ82" i="45"/>
  <c r="BH82" i="45"/>
  <c r="BK82" i="45"/>
  <c r="BG82" i="45"/>
  <c r="BF82" i="45"/>
  <c r="BF89" i="45" s="1"/>
  <c r="BF180" i="45" s="1"/>
  <c r="CE187" i="45"/>
  <c r="BF5" i="45"/>
  <c r="BF169" i="45" s="1"/>
  <c r="CF189" i="45"/>
  <c r="CF188" i="45"/>
  <c r="BM187" i="45"/>
  <c r="CE189" i="45"/>
  <c r="BG172" i="45"/>
  <c r="BG5" i="45"/>
  <c r="BG169" i="45" s="1"/>
  <c r="BF172" i="45"/>
  <c r="BD82" i="45"/>
  <c r="BD176" i="45"/>
  <c r="BG126" i="45"/>
  <c r="BG81" i="45" s="1"/>
  <c r="BD178" i="45"/>
  <c r="CC178" i="45"/>
  <c r="BM98" i="45"/>
  <c r="BM108" i="45" s="1"/>
  <c r="BM80" i="45" s="1"/>
  <c r="BD171" i="45"/>
  <c r="CF171" i="45"/>
  <c r="CE181" i="45"/>
  <c r="CE171" i="45"/>
  <c r="AU103" i="24"/>
  <c r="BN103" i="24" s="1"/>
  <c r="AU99" i="24"/>
  <c r="BN99" i="24" s="1"/>
  <c r="AU70" i="24"/>
  <c r="BN70" i="24" s="1"/>
  <c r="AU84" i="24"/>
  <c r="BN84" i="24" s="1"/>
  <c r="AU102" i="24"/>
  <c r="BN102" i="24" s="1"/>
  <c r="AU69" i="24"/>
  <c r="BN69" i="24" s="1"/>
  <c r="AU85" i="24"/>
  <c r="BN85" i="24" s="1"/>
  <c r="AU73" i="24"/>
  <c r="BN73" i="24" s="1"/>
  <c r="AU72" i="24"/>
  <c r="BN72" i="24" s="1"/>
  <c r="AU101" i="24"/>
  <c r="BN101" i="24" s="1"/>
  <c r="AU87" i="24"/>
  <c r="BN87" i="24" s="1"/>
  <c r="AU100" i="24"/>
  <c r="BN100" i="24" s="1"/>
  <c r="AU88" i="24"/>
  <c r="BN88" i="24" s="1"/>
  <c r="AU71" i="24"/>
  <c r="BN71" i="24" s="1"/>
  <c r="AU86" i="24"/>
  <c r="BN86" i="24" s="1"/>
  <c r="V7" i="26"/>
  <c r="W7" i="26" s="1"/>
  <c r="AE15" i="54"/>
  <c r="X13" i="54"/>
  <c r="X4" i="54" s="1"/>
  <c r="AF35" i="54"/>
  <c r="AD13" i="54"/>
  <c r="AD4" i="54" s="1"/>
  <c r="BM25" i="54"/>
  <c r="V15" i="54"/>
  <c r="AB13" i="54"/>
  <c r="AB4" i="54" s="1"/>
  <c r="AB3" i="54" s="1"/>
  <c r="AG71" i="54"/>
  <c r="V13" i="54"/>
  <c r="V4" i="54" s="1"/>
  <c r="BH5" i="45"/>
  <c r="BH169" i="45" s="1"/>
  <c r="BI172" i="45"/>
  <c r="BJ126" i="45"/>
  <c r="BJ81" i="45" s="1"/>
  <c r="CC171" i="45"/>
  <c r="BN187" i="45"/>
  <c r="BL126" i="45"/>
  <c r="BL81" i="45" s="1"/>
  <c r="BJ172" i="45"/>
  <c r="CC176" i="45"/>
  <c r="AP5" i="45"/>
  <c r="BN126" i="45"/>
  <c r="BJ181" i="45"/>
  <c r="BJ98" i="45"/>
  <c r="BJ108" i="45" s="1"/>
  <c r="BJ80" i="45" s="1"/>
  <c r="BK126" i="45"/>
  <c r="BK81" i="45" s="1"/>
  <c r="BH172" i="45"/>
  <c r="CE178" i="45"/>
  <c r="BK98" i="45"/>
  <c r="BK108" i="45" s="1"/>
  <c r="BK80" i="45" s="1"/>
  <c r="BK181" i="45"/>
  <c r="BM173" i="45"/>
  <c r="BM172" i="45"/>
  <c r="BD98" i="45"/>
  <c r="BD181" i="45"/>
  <c r="CZ8" i="45"/>
  <c r="BE10" i="45"/>
  <c r="BE5" i="45"/>
  <c r="BH126" i="45"/>
  <c r="BH81" i="45" s="1"/>
  <c r="BN173" i="45"/>
  <c r="BN172" i="45"/>
  <c r="BF187" i="45"/>
  <c r="BF176" i="45"/>
  <c r="BE172" i="45"/>
  <c r="BE171" i="45"/>
  <c r="BM20" i="45"/>
  <c r="BL181" i="45"/>
  <c r="BL98" i="45"/>
  <c r="BL108" i="45" s="1"/>
  <c r="BL80" i="45" s="1"/>
  <c r="CZ13" i="45"/>
  <c r="BJ5" i="45"/>
  <c r="BJ169" i="45" s="1"/>
  <c r="BI181" i="45"/>
  <c r="BI98" i="45"/>
  <c r="BI108" i="45" s="1"/>
  <c r="BI80" i="45" s="1"/>
  <c r="BM175" i="45"/>
  <c r="CZ12" i="45"/>
  <c r="CZ10" i="45" s="1"/>
  <c r="BH181" i="45"/>
  <c r="BH98" i="45"/>
  <c r="BH108" i="45" s="1"/>
  <c r="BH80" i="45" s="1"/>
  <c r="BE187" i="45"/>
  <c r="BI5" i="45"/>
  <c r="BI169" i="45" s="1"/>
  <c r="AB62" i="55"/>
  <c r="AB13" i="55" s="1"/>
  <c r="AB98" i="55"/>
  <c r="AB63" i="55" s="1"/>
  <c r="X20" i="55"/>
  <c r="X56" i="55"/>
  <c r="X21" i="55" s="1"/>
  <c r="X98" i="55"/>
  <c r="X62" i="55"/>
  <c r="AG9" i="55"/>
  <c r="AU97" i="55"/>
  <c r="AF64" i="55"/>
  <c r="AV97" i="55"/>
  <c r="BM97" i="55" s="1"/>
  <c r="AU22" i="55"/>
  <c r="AB15" i="55"/>
  <c r="AV85" i="55"/>
  <c r="BM85" i="55" s="1"/>
  <c r="AU85" i="55"/>
  <c r="AU98" i="55"/>
  <c r="AG20" i="55"/>
  <c r="BO379" i="55"/>
  <c r="AG28" i="55"/>
  <c r="AG21" i="55" s="1"/>
  <c r="AF28" i="55"/>
  <c r="AF21" i="55" s="1"/>
  <c r="T21" i="55"/>
  <c r="T14" i="55" s="1"/>
  <c r="AD14" i="55"/>
  <c r="AE63" i="55"/>
  <c r="AU28" i="55"/>
  <c r="AV28" i="55"/>
  <c r="AF62" i="55"/>
  <c r="AE13" i="55"/>
  <c r="V21" i="55"/>
  <c r="V14" i="55" s="1"/>
  <c r="AF70" i="55"/>
  <c r="AE15" i="55"/>
  <c r="AV22" i="55"/>
  <c r="BM22" i="55" s="1"/>
  <c r="BM12" i="54"/>
  <c r="AF8" i="54"/>
  <c r="U15" i="54"/>
  <c r="AF71" i="54"/>
  <c r="AG35" i="54"/>
  <c r="BM9" i="54"/>
  <c r="AA13" i="54"/>
  <c r="AA4" i="54" s="1"/>
  <c r="Y13" i="54"/>
  <c r="Y4" i="54" s="1"/>
  <c r="AF25" i="54"/>
  <c r="Z13" i="54"/>
  <c r="Z4" i="54" s="1"/>
  <c r="AG101" i="54"/>
  <c r="AG25" i="54"/>
  <c r="BM35" i="54"/>
  <c r="AG81" i="54"/>
  <c r="AF81" i="54"/>
  <c r="AG27" i="54"/>
  <c r="AG8" i="54"/>
  <c r="AE32" i="54"/>
  <c r="BM10" i="54"/>
  <c r="U13" i="54"/>
  <c r="U4" i="54" s="1"/>
  <c r="AF42" i="54"/>
  <c r="T22" i="54"/>
  <c r="T13" i="54" s="1"/>
  <c r="T4" i="54" s="1"/>
  <c r="AG42" i="54"/>
  <c r="AF101" i="54"/>
  <c r="BM81" i="54"/>
  <c r="AF91" i="54"/>
  <c r="AG12" i="54"/>
  <c r="AG91" i="54"/>
  <c r="AG32" i="54" s="1"/>
  <c r="BM11" i="54"/>
  <c r="AF27" i="54"/>
  <c r="AF4" i="34"/>
  <c r="AX29" i="36"/>
  <c r="AE29" i="36"/>
  <c r="AX33" i="36"/>
  <c r="AE33" i="36"/>
  <c r="AF34" i="53"/>
  <c r="AE34" i="53"/>
  <c r="AE36" i="53" s="1"/>
  <c r="P34" i="53"/>
  <c r="P36" i="53" s="1"/>
  <c r="AF119" i="53"/>
  <c r="AX119" i="53" s="1"/>
  <c r="Q34" i="53"/>
  <c r="Q36" i="53" s="1"/>
  <c r="AF63" i="53"/>
  <c r="AX63" i="53" s="1"/>
  <c r="AF94" i="53"/>
  <c r="AX94" i="53" s="1"/>
  <c r="Q4" i="34"/>
  <c r="Q31" i="34"/>
  <c r="Q103" i="34"/>
  <c r="AF31" i="34"/>
  <c r="U67" i="26"/>
  <c r="W67" i="26" s="1"/>
  <c r="AT340" i="22"/>
  <c r="BK199" i="22"/>
  <c r="BK180" i="22"/>
  <c r="BJ180" i="22"/>
  <c r="BP180" i="22" s="1"/>
  <c r="BK146" i="22"/>
  <c r="BJ146" i="22"/>
  <c r="BP146" i="22" s="1"/>
  <c r="Q29" i="22"/>
  <c r="Q67" i="22" s="1"/>
  <c r="P67" i="22"/>
  <c r="AE67" i="22"/>
  <c r="AF29" i="22"/>
  <c r="AF67" i="22" s="1"/>
  <c r="AE65" i="22"/>
  <c r="AF27" i="22"/>
  <c r="BK145" i="22"/>
  <c r="BJ145" i="22"/>
  <c r="BP145" i="22" s="1"/>
  <c r="P306" i="22"/>
  <c r="Q306" i="22" s="1"/>
  <c r="Q340" i="22" s="1"/>
  <c r="BK162" i="22"/>
  <c r="BJ162" i="22"/>
  <c r="BP162" i="22" s="1"/>
  <c r="AE64" i="22"/>
  <c r="AF26" i="22"/>
  <c r="AF64" i="22" s="1"/>
  <c r="AE60" i="22"/>
  <c r="AF22" i="22"/>
  <c r="AF60" i="22" s="1"/>
  <c r="BK161" i="22"/>
  <c r="BJ161" i="22"/>
  <c r="BP161" i="22" s="1"/>
  <c r="Q345" i="22"/>
  <c r="AF66" i="22"/>
  <c r="BK182" i="22"/>
  <c r="BJ182" i="22"/>
  <c r="BP182" i="22" s="1"/>
  <c r="AE66" i="22"/>
  <c r="AF361" i="22"/>
  <c r="BK201" i="22"/>
  <c r="BJ201" i="22"/>
  <c r="BP201" i="22" s="1"/>
  <c r="BK179" i="22"/>
  <c r="BJ179" i="22"/>
  <c r="BP179" i="22" s="1"/>
  <c r="BK143" i="22"/>
  <c r="BJ143" i="22"/>
  <c r="BP143" i="22" s="1"/>
  <c r="AF78" i="22"/>
  <c r="BJ198" i="22"/>
  <c r="BP198" i="22" s="1"/>
  <c r="BK198" i="22"/>
  <c r="BJ159" i="22"/>
  <c r="BP159" i="22" s="1"/>
  <c r="BK159" i="22"/>
  <c r="AF75" i="22"/>
  <c r="AF69" i="22"/>
  <c r="AF344" i="22"/>
  <c r="AT306" i="22"/>
  <c r="AT346" i="22"/>
  <c r="P60" i="22"/>
  <c r="Q22" i="22"/>
  <c r="Q60" i="22" s="1"/>
  <c r="W11" i="26"/>
  <c r="AT64" i="22"/>
  <c r="S340" i="22"/>
  <c r="AE340" i="22" s="1"/>
  <c r="BK200" i="22"/>
  <c r="BJ200" i="22"/>
  <c r="BP200" i="22" s="1"/>
  <c r="AF72" i="22"/>
  <c r="P340" i="22"/>
  <c r="BK181" i="22"/>
  <c r="BJ181" i="22"/>
  <c r="BP181" i="22" s="1"/>
  <c r="AT60" i="22"/>
  <c r="AT68" i="22"/>
  <c r="W12" i="26"/>
  <c r="AT67" i="22"/>
  <c r="W14" i="26"/>
  <c r="BK178" i="22"/>
  <c r="BJ178" i="22"/>
  <c r="BP178" i="22" s="1"/>
  <c r="BK197" i="22"/>
  <c r="BJ197" i="22"/>
  <c r="BP197" i="22" s="1"/>
  <c r="BK160" i="22"/>
  <c r="BJ160" i="22"/>
  <c r="BP160" i="22" s="1"/>
  <c r="BK144" i="22"/>
  <c r="BJ144" i="22"/>
  <c r="BP144" i="22" s="1"/>
  <c r="AT363" i="22"/>
  <c r="W13" i="26"/>
  <c r="P68" i="22"/>
  <c r="Q30" i="22"/>
  <c r="Q68" i="22" s="1"/>
  <c r="AE68" i="22"/>
  <c r="AF30" i="22"/>
  <c r="P222" i="24"/>
  <c r="Q222" i="24" s="1"/>
  <c r="P208" i="24"/>
  <c r="Q208" i="24" s="1"/>
  <c r="P223" i="24"/>
  <c r="Q223" i="24" s="1"/>
  <c r="AT131" i="24"/>
  <c r="AU131" i="24" s="1"/>
  <c r="BN131" i="24" s="1"/>
  <c r="P205" i="24"/>
  <c r="Q205" i="24" s="1"/>
  <c r="P219" i="24"/>
  <c r="Q219" i="24" s="1"/>
  <c r="P207" i="24"/>
  <c r="Q207" i="24" s="1"/>
  <c r="E129" i="24"/>
  <c r="P131" i="24"/>
  <c r="Q131" i="24" s="1"/>
  <c r="AE61" i="24"/>
  <c r="AF56" i="24"/>
  <c r="AF61" i="24" s="1"/>
  <c r="P204" i="24"/>
  <c r="Q204" i="24" s="1"/>
  <c r="AE131" i="24"/>
  <c r="AF131" i="24" s="1"/>
  <c r="T129" i="24"/>
  <c r="AF130" i="24"/>
  <c r="AD129" i="24"/>
  <c r="Q130" i="24"/>
  <c r="BK202" i="24"/>
  <c r="AE58" i="24"/>
  <c r="BM32" i="25"/>
  <c r="Q45" i="25"/>
  <c r="R45" i="25" s="1"/>
  <c r="AU59" i="25"/>
  <c r="AE54" i="25"/>
  <c r="AF54" i="25" s="1"/>
  <c r="Q19" i="25"/>
  <c r="R19" i="25" s="1"/>
  <c r="G55" i="25"/>
  <c r="G48" i="25" s="1"/>
  <c r="G47" i="25"/>
  <c r="AE12" i="25"/>
  <c r="AF12" i="25" s="1"/>
  <c r="S47" i="25"/>
  <c r="S55" i="25"/>
  <c r="S48" i="25" s="1"/>
  <c r="AE49" i="25"/>
  <c r="AF49" i="25" s="1"/>
  <c r="Q54" i="25"/>
  <c r="R54" i="25" s="1"/>
  <c r="BM26" i="25"/>
  <c r="Q5" i="25"/>
  <c r="R5" i="25" s="1"/>
  <c r="AT47" i="25"/>
  <c r="AU47" i="25" s="1"/>
  <c r="BM47" i="25" s="1"/>
  <c r="AT49" i="25"/>
  <c r="AU49" i="25" s="1"/>
  <c r="BM10" i="25"/>
  <c r="AU45" i="25"/>
  <c r="Q29" i="25"/>
  <c r="R29" i="25" s="1"/>
  <c r="AT29" i="25"/>
  <c r="AD62" i="25"/>
  <c r="AE37" i="25"/>
  <c r="AF37" i="25" s="1"/>
  <c r="AD55" i="25"/>
  <c r="AD47" i="25"/>
  <c r="BM37" i="25"/>
  <c r="E48" i="25"/>
  <c r="AU54" i="25"/>
  <c r="BM54" i="25" s="1"/>
  <c r="AU61" i="25"/>
  <c r="AH48" i="25"/>
  <c r="AT55" i="25"/>
  <c r="AE61" i="25"/>
  <c r="AF61" i="25" s="1"/>
  <c r="Q49" i="25"/>
  <c r="R49" i="25" s="1"/>
  <c r="AE29" i="25"/>
  <c r="AF29" i="25" s="1"/>
  <c r="S10" i="25"/>
  <c r="AE10" i="25" s="1"/>
  <c r="AF10" i="25" s="1"/>
  <c r="P55" i="25"/>
  <c r="P48" i="25" s="1"/>
  <c r="P47" i="25"/>
  <c r="Q10" i="25"/>
  <c r="R10" i="25" s="1"/>
  <c r="AU138" i="22"/>
  <c r="AT144" i="22"/>
  <c r="AT143" i="22"/>
  <c r="AT181" i="22"/>
  <c r="AU193" i="22"/>
  <c r="AU174" i="22"/>
  <c r="AE18" i="26"/>
  <c r="AE21" i="26"/>
  <c r="AE22" i="26"/>
  <c r="AT182" i="22"/>
  <c r="AT178" i="22"/>
  <c r="AE20" i="26"/>
  <c r="AT201" i="22"/>
  <c r="AT197" i="22"/>
  <c r="AT198" i="22"/>
  <c r="AE16" i="26"/>
  <c r="AT179" i="22"/>
  <c r="AT199" i="22"/>
  <c r="AT180" i="22"/>
  <c r="AT200" i="22"/>
  <c r="AB25" i="26"/>
  <c r="AT161" i="22"/>
  <c r="AT160" i="22"/>
  <c r="AF103" i="34"/>
  <c r="Q119" i="34"/>
  <c r="V50" i="26"/>
  <c r="U50" i="26"/>
  <c r="AU11" i="46"/>
  <c r="BE11" i="46" s="1"/>
  <c r="AU6" i="46"/>
  <c r="AJ6" i="46"/>
  <c r="AJ80" i="46" s="1"/>
  <c r="AJ11" i="46"/>
  <c r="AE80" i="46"/>
  <c r="AJ25" i="46"/>
  <c r="AQ25" i="46" s="1"/>
  <c r="AQ23" i="46"/>
  <c r="AQ92" i="46"/>
  <c r="AI6" i="46"/>
  <c r="AI80" i="46" s="1"/>
  <c r="AI11" i="46"/>
  <c r="AE109" i="46"/>
  <c r="AQ99" i="46"/>
  <c r="AQ127" i="46"/>
  <c r="AE82" i="46"/>
  <c r="AQ82" i="46" s="1"/>
  <c r="AG11" i="46"/>
  <c r="AG6" i="46"/>
  <c r="AG80" i="46" s="1"/>
  <c r="BE13" i="46"/>
  <c r="AK11" i="46"/>
  <c r="AK6" i="46"/>
  <c r="AK80" i="46" s="1"/>
  <c r="AE11" i="46"/>
  <c r="AQ13" i="46"/>
  <c r="AQ20" i="46"/>
  <c r="AH11" i="46"/>
  <c r="AH6" i="46"/>
  <c r="AH80" i="46" s="1"/>
  <c r="BM14" i="54"/>
  <c r="O85" i="16" a="1"/>
  <c r="O30" i="17" a="1"/>
  <c r="M41" i="19" a="1"/>
  <c r="N95" i="15" a="1"/>
  <c r="K83" i="20" a="1"/>
  <c r="N68" i="17" a="1"/>
  <c r="M79" i="26" a="1"/>
  <c r="N34" i="21" a="1"/>
  <c r="O26" i="13" a="1"/>
  <c r="N100" i="16" a="1"/>
  <c r="N39" i="15" a="1"/>
  <c r="M13" i="16" a="1"/>
  <c r="L72" i="20" a="1"/>
  <c r="N89" i="16" a="1"/>
  <c r="N17" i="20" a="1"/>
  <c r="N13" i="15" a="1"/>
  <c r="O39" i="15" a="1"/>
  <c r="L96" i="16" a="1"/>
  <c r="O22" i="21" a="1"/>
  <c r="N27" i="20" a="1"/>
  <c r="N55" i="20" a="1"/>
  <c r="O17" i="17" a="1"/>
  <c r="M95" i="17" a="1"/>
  <c r="M39" i="15" a="1"/>
  <c r="O89" i="16" a="1"/>
  <c r="L58" i="16" a="1"/>
  <c r="L74" i="26" a="1"/>
  <c r="M76" i="20" a="1"/>
  <c r="M58" i="19" a="1"/>
  <c r="N110" i="17" a="1"/>
  <c r="L57" i="26" a="1"/>
  <c r="K91" i="20" a="1"/>
  <c r="N91" i="15" a="1"/>
  <c r="O15" i="16" a="1"/>
  <c r="M17" i="26" a="1"/>
  <c r="M86" i="20" a="1"/>
  <c r="N37" i="19" a="1"/>
  <c r="N74" i="16" a="1"/>
  <c r="N12" i="17" a="1"/>
  <c r="O60" i="17" a="1"/>
  <c r="O111" i="17" a="1"/>
  <c r="N109" i="16" a="1"/>
  <c r="M71" i="26" a="1"/>
  <c r="O12" i="15" a="1"/>
  <c r="Q95" i="15" a="1"/>
  <c r="O20" i="13" a="1"/>
  <c r="N44" i="13" a="1"/>
  <c r="L12" i="16" a="1"/>
  <c r="N92" i="15" a="1"/>
  <c r="M114" i="17" a="1"/>
  <c r="L9" i="15" a="1"/>
  <c r="O93" i="15" a="1"/>
  <c r="O110" i="17" a="1"/>
  <c r="M57" i="26" a="1"/>
  <c r="O34" i="19" a="1"/>
  <c r="J95" i="20" a="1"/>
  <c r="L21" i="15" a="1"/>
  <c r="M6" i="16" a="1"/>
  <c r="M54" i="17" a="1"/>
  <c r="O90" i="15" a="1"/>
  <c r="J109" i="20" a="1"/>
  <c r="M113" i="19" a="1"/>
  <c r="O17" i="21" a="1"/>
  <c r="O46" i="16" a="1"/>
  <c r="O101" i="16" a="1"/>
  <c r="L79" i="16" a="1"/>
  <c r="O84" i="16" a="1"/>
  <c r="N129" i="19" a="1"/>
  <c r="N42" i="13" a="1"/>
  <c r="M129" i="19" a="1"/>
  <c r="N44" i="19" a="1"/>
  <c r="O25" i="19" a="1"/>
  <c r="K103" i="20" a="1"/>
  <c r="L33" i="15" a="1"/>
  <c r="M25" i="20" a="1"/>
  <c r="M18" i="13" a="1"/>
  <c r="L67" i="20" a="1"/>
  <c r="M17" i="21" a="1"/>
  <c r="L60" i="16" a="1"/>
  <c r="M16" i="20" a="1"/>
  <c r="O49" i="21" a="1"/>
  <c r="O45" i="19" a="1"/>
  <c r="O9" i="21" a="1"/>
  <c r="N24" i="13" a="1"/>
  <c r="K70" i="20" a="1"/>
  <c r="Q17" i="15" a="1"/>
  <c r="M13" i="21" a="1"/>
  <c r="N14" i="13" a="1"/>
  <c r="M120" i="19" a="1"/>
  <c r="O86" i="16" a="1"/>
  <c r="M8" i="20" a="1"/>
  <c r="O91" i="17" a="1"/>
  <c r="M39" i="21" a="1"/>
  <c r="N58" i="16" a="1"/>
  <c r="N42" i="20" a="1"/>
  <c r="N82" i="16" a="1"/>
  <c r="N79" i="26" a="1"/>
  <c r="M9" i="21" a="1"/>
  <c r="K105" i="20" a="1"/>
  <c r="N35" i="21" a="1"/>
  <c r="O26" i="16" a="1"/>
  <c r="O11" i="17" a="1"/>
  <c r="O82" i="17" a="1"/>
  <c r="L83" i="20" a="1"/>
  <c r="O71" i="17" a="1"/>
  <c r="N75" i="17" a="1"/>
  <c r="N26" i="15" a="1"/>
  <c r="N55" i="17" a="1"/>
  <c r="O52" i="16" a="1"/>
  <c r="N45" i="19" a="1"/>
  <c r="N20" i="20" a="1"/>
  <c r="L34" i="15" a="1"/>
  <c r="L59" i="16" a="1"/>
  <c r="O73" i="26" a="1"/>
  <c r="N9" i="17" a="1"/>
  <c r="M44" i="20" a="1"/>
  <c r="J99" i="20" a="1"/>
  <c r="O65" i="16" a="1"/>
  <c r="M11" i="15" a="1"/>
  <c r="M43" i="16" a="1"/>
  <c r="O22" i="16" a="1"/>
  <c r="O17" i="19" a="1"/>
  <c r="O34" i="13" a="1"/>
  <c r="K97" i="20" a="1"/>
  <c r="M108" i="16" a="1"/>
  <c r="N40" i="17" a="1"/>
  <c r="L21" i="16" a="1"/>
  <c r="M10" i="13" a="1"/>
  <c r="N120" i="19" a="1"/>
  <c r="N40" i="19" a="1"/>
  <c r="M9" i="15" a="1"/>
  <c r="N42" i="16" a="1"/>
  <c r="M51" i="17" a="1"/>
  <c r="M75" i="16" a="1"/>
  <c r="O49" i="17" a="1"/>
  <c r="O93" i="17" a="1"/>
  <c r="N31" i="17" a="1"/>
  <c r="N38" i="16" a="1"/>
  <c r="O82" i="16" a="1"/>
  <c r="L23" i="26" a="1"/>
  <c r="N11" i="20" a="1"/>
  <c r="N54" i="17" a="1"/>
  <c r="O34" i="21" a="1"/>
  <c r="O33" i="13" a="1"/>
  <c r="M43" i="21" a="1"/>
  <c r="O48" i="16" a="1"/>
  <c r="L25" i="16" a="1"/>
  <c r="L78" i="26" a="1"/>
  <c r="N30" i="19" a="1"/>
  <c r="O66" i="26" a="1"/>
  <c r="N67" i="16" a="1"/>
  <c r="L27" i="15" a="1"/>
  <c r="M34" i="19" a="1"/>
  <c r="M65" i="16" a="1"/>
  <c r="O41" i="17" a="1"/>
  <c r="M29" i="21" a="1"/>
  <c r="J97" i="20" a="1"/>
  <c r="N26" i="20" a="1"/>
  <c r="N18" i="20" a="1"/>
  <c r="L28" i="15" a="1"/>
  <c r="L52" i="16" a="1"/>
  <c r="M61" i="13" a="1"/>
  <c r="O58" i="13" a="1"/>
  <c r="J100" i="20" a="1"/>
  <c r="M66" i="20" a="1"/>
  <c r="O6" i="26" a="1"/>
  <c r="M136" i="19" a="1"/>
  <c r="M72" i="17" a="1"/>
  <c r="L71" i="20" a="1"/>
  <c r="O59" i="26" a="1"/>
  <c r="M75" i="20" a="1"/>
  <c r="M56" i="17" a="1"/>
  <c r="O43" i="17" a="1"/>
  <c r="N49" i="15" a="1"/>
  <c r="M10" i="21" a="1"/>
  <c r="O78" i="26" a="1"/>
  <c r="N102" i="16" a="1"/>
  <c r="N49" i="21" a="1"/>
  <c r="M111" i="19" a="1"/>
  <c r="M85" i="20" a="1"/>
  <c r="O13" i="19" a="1"/>
  <c r="O72" i="26" a="1"/>
  <c r="O27" i="15" a="1"/>
  <c r="N61" i="16" a="1"/>
  <c r="J110" i="20" a="1"/>
  <c r="N8" i="21" a="1"/>
  <c r="L55" i="16" a="1"/>
  <c r="K88" i="20" a="1"/>
  <c r="L20" i="26" a="1"/>
  <c r="O75" i="26" a="1"/>
  <c r="N116" i="17" a="1"/>
  <c r="O90" i="16" a="1"/>
  <c r="N73" i="17" a="1"/>
  <c r="N89" i="17" a="1"/>
  <c r="O58" i="16" a="1"/>
  <c r="N29" i="20" a="1"/>
  <c r="O64" i="17" a="1"/>
  <c r="L65" i="26" a="1"/>
  <c r="M37" i="19" a="1"/>
  <c r="N14" i="16" a="1"/>
  <c r="M14" i="15" a="1"/>
  <c r="L8" i="26" a="1"/>
  <c r="O112" i="17" a="1"/>
  <c r="O94" i="16" a="1"/>
  <c r="O27" i="21" a="1"/>
  <c r="N22" i="20" a="1"/>
  <c r="N104" i="16" a="1"/>
  <c r="N12" i="21" a="1"/>
  <c r="O63" i="17" a="1"/>
  <c r="M16" i="15" a="1"/>
  <c r="L85" i="16" a="1"/>
  <c r="L68" i="20" a="1"/>
  <c r="N40" i="20" a="1"/>
  <c r="O57" i="17" a="1"/>
  <c r="O24" i="26" a="1"/>
  <c r="O44" i="13" a="1"/>
  <c r="M45" i="13" a="1"/>
  <c r="M21" i="20" a="1"/>
  <c r="M23" i="13" a="1"/>
  <c r="M23" i="15" a="1"/>
  <c r="N55" i="19" a="1"/>
  <c r="M47" i="21" a="1"/>
  <c r="L10" i="15" a="1"/>
  <c r="M100" i="16" a="1"/>
  <c r="N20" i="19" a="1"/>
  <c r="O43" i="16" a="1"/>
  <c r="N24" i="21" a="1"/>
  <c r="Q91" i="15" a="1"/>
  <c r="O62" i="16" a="1"/>
  <c r="M54" i="16" a="1"/>
  <c r="N17" i="17" a="1"/>
  <c r="M66" i="16" a="1"/>
  <c r="J106" i="20" a="1"/>
  <c r="N20" i="16" a="1"/>
  <c r="M29" i="17" a="1"/>
  <c r="N25" i="15" a="1"/>
  <c r="M83" i="17" a="1"/>
  <c r="O41" i="21" a="1"/>
  <c r="N9" i="20" a="1"/>
  <c r="O57" i="26" a="1"/>
  <c r="L61" i="16" a="1"/>
  <c r="K69" i="20" a="1"/>
  <c r="N62" i="26" a="1"/>
  <c r="L67" i="16" a="1"/>
  <c r="N58" i="13" a="1"/>
  <c r="M11" i="16" a="1"/>
  <c r="K99" i="20" a="1"/>
  <c r="M63" i="20" a="1"/>
  <c r="O24" i="21" a="1"/>
  <c r="N98" i="17" a="1"/>
  <c r="O52" i="21" a="1"/>
  <c r="O46" i="17" a="1"/>
  <c r="M25" i="15" a="1"/>
  <c r="M50" i="21" a="1"/>
  <c r="N42" i="19" a="1"/>
  <c r="K68" i="20" a="1"/>
  <c r="Q40" i="15" a="1"/>
  <c r="M7" i="19" a="1"/>
  <c r="N66" i="26" a="1"/>
  <c r="N43" i="19" a="1"/>
  <c r="N14" i="20" a="1"/>
  <c r="O75" i="16" a="1"/>
  <c r="N124" i="19" a="1"/>
  <c r="M65" i="13" a="1"/>
  <c r="O14" i="13" a="1"/>
  <c r="L79" i="26" a="1"/>
  <c r="N113" i="19" a="1"/>
  <c r="O45" i="16" a="1"/>
  <c r="O115" i="17" a="1"/>
  <c r="K74" i="20" a="1"/>
  <c r="M130" i="19" a="1"/>
  <c r="M55" i="20" a="1"/>
  <c r="O35" i="17" a="1"/>
  <c r="M6" i="26" a="1"/>
  <c r="N94" i="17" a="1"/>
  <c r="O43" i="21" a="1"/>
  <c r="O19" i="13" a="1"/>
  <c r="K106" i="20" a="1"/>
  <c r="L61" i="20" a="1"/>
  <c r="M86" i="16" a="1"/>
  <c r="M14" i="16" a="1"/>
  <c r="K95" i="20" a="1"/>
  <c r="M66" i="17" a="1"/>
  <c r="O25" i="21" a="1"/>
  <c r="M87" i="17" a="1"/>
  <c r="M21" i="13" a="1"/>
  <c r="N139" i="19" a="1"/>
  <c r="Q11" i="15" a="1"/>
  <c r="O144" i="19" a="1"/>
  <c r="K64" i="20" a="1"/>
  <c r="O57" i="19" a="1"/>
  <c r="N25" i="17" a="1"/>
  <c r="L91" i="15" a="1"/>
  <c r="M95" i="16" a="1"/>
  <c r="N29" i="17" a="1"/>
  <c r="O58" i="26" a="1"/>
  <c r="N22" i="19" a="1"/>
  <c r="O9" i="17" a="1"/>
  <c r="Q22" i="15" a="1"/>
  <c r="Q39" i="15" a="1"/>
  <c r="O19" i="16" a="1"/>
  <c r="M39" i="16" a="1"/>
  <c r="N35" i="17" a="1"/>
  <c r="M105" i="16" a="1"/>
  <c r="L74" i="16" a="1"/>
  <c r="L39" i="16" a="1"/>
  <c r="L42" i="15" a="1"/>
  <c r="N29" i="13" a="1"/>
  <c r="N118" i="19" a="1"/>
  <c r="N11" i="21" a="1"/>
  <c r="O66" i="13" a="1"/>
  <c r="N63" i="17" a="1"/>
  <c r="M27" i="17" a="1"/>
  <c r="N31" i="20" a="1"/>
  <c r="O107" i="17" a="1"/>
  <c r="M17" i="13" a="1"/>
  <c r="M11" i="13" a="1"/>
  <c r="O36" i="15" a="1"/>
  <c r="O48" i="19" a="1"/>
  <c r="O6" i="21" a="1"/>
  <c r="K100" i="20" a="1"/>
  <c r="M57" i="16" a="1"/>
  <c r="M20" i="13" a="1"/>
  <c r="N42" i="17" a="1"/>
  <c r="O65" i="17" a="1"/>
  <c r="O20" i="26" a="1"/>
  <c r="M38" i="19" a="1"/>
  <c r="L92" i="16" a="1"/>
  <c r="O47" i="17" a="1"/>
  <c r="M59" i="16" a="1"/>
  <c r="L9" i="26" a="1"/>
  <c r="L58" i="26" a="1"/>
  <c r="M48" i="20" a="1"/>
  <c r="N6" i="21" a="1"/>
  <c r="N16" i="26" a="1"/>
  <c r="N100" i="17" a="1"/>
  <c r="N115" i="17" a="1"/>
  <c r="M79" i="16" a="1"/>
  <c r="M38" i="13" a="1"/>
  <c r="N38" i="15" a="1"/>
  <c r="O34" i="15" a="1"/>
  <c r="M64" i="16" a="1"/>
  <c r="N22" i="26" a="1"/>
  <c r="N133" i="19" a="1"/>
  <c r="O22" i="19" a="1"/>
  <c r="L94" i="16" a="1"/>
  <c r="O105" i="16" a="1"/>
  <c r="M73" i="26" a="1"/>
  <c r="N136" i="19" a="1"/>
  <c r="O48" i="17" a="1"/>
  <c r="N22" i="16" a="1"/>
  <c r="L76" i="20" a="1"/>
  <c r="M60" i="20" a="1"/>
  <c r="M35" i="15" a="1"/>
  <c r="O28" i="17" a="1"/>
  <c r="L23" i="16" a="1"/>
  <c r="M43" i="13" a="1"/>
  <c r="N55" i="16" a="1"/>
  <c r="M53" i="16" a="1"/>
  <c r="O71" i="26" a="1"/>
  <c r="M110" i="19" a="1"/>
  <c r="M63" i="13" a="1"/>
  <c r="M13" i="15" a="1"/>
  <c r="N60" i="16" a="1"/>
  <c r="N105" i="17" a="1"/>
  <c r="L16" i="15" a="1"/>
  <c r="O77" i="16" a="1"/>
  <c r="M84" i="17" a="1"/>
  <c r="O73" i="17" a="1"/>
  <c r="O8" i="21" a="1"/>
  <c r="L24" i="16" a="1"/>
  <c r="L88" i="20" a="1"/>
  <c r="N98" i="16" a="1"/>
  <c r="L95" i="15" a="1"/>
  <c r="M107" i="17" a="1"/>
  <c r="O14" i="15" a="1"/>
  <c r="O76" i="26" a="1"/>
  <c r="L15" i="16" a="1"/>
  <c r="Q34" i="15" a="1"/>
  <c r="M21" i="26" a="1"/>
  <c r="J113" i="20" a="1"/>
  <c r="M109" i="16" a="1"/>
  <c r="M66" i="26" a="1"/>
  <c r="N59" i="16" a="1"/>
  <c r="M94" i="16" a="1"/>
  <c r="M39" i="13" a="1"/>
  <c r="L14" i="16" a="1"/>
  <c r="N127" i="19" a="1"/>
  <c r="K116" i="20" a="1"/>
  <c r="O54" i="17" a="1"/>
  <c r="N50" i="19" a="1"/>
  <c r="M89" i="16" a="1"/>
  <c r="M64" i="17" a="1"/>
  <c r="M32" i="15" a="1"/>
  <c r="O97" i="16" a="1"/>
  <c r="O23" i="13" a="1"/>
  <c r="M40" i="13" a="1"/>
  <c r="M19" i="20" a="1"/>
  <c r="M118" i="19" a="1"/>
  <c r="J102" i="20" a="1"/>
  <c r="M47" i="20" a="1"/>
  <c r="N28" i="21" a="1"/>
  <c r="N79" i="17" a="1"/>
  <c r="N48" i="20" a="1"/>
  <c r="O62" i="17" a="1"/>
  <c r="M41" i="20" a="1"/>
  <c r="M26" i="21" a="1"/>
  <c r="M138" i="19" a="1"/>
  <c r="M85" i="16" a="1"/>
  <c r="O70" i="17" a="1"/>
  <c r="M67" i="17" a="1"/>
  <c r="N9" i="16" a="1"/>
  <c r="M57" i="19" a="1"/>
  <c r="N9" i="21" a="1"/>
  <c r="O28" i="13" a="1"/>
  <c r="M54" i="19" a="1"/>
  <c r="L75" i="16" a="1"/>
  <c r="L41" i="15" a="1"/>
  <c r="O28" i="21" a="1"/>
  <c r="M47" i="15" a="1"/>
  <c r="M116" i="19" a="1"/>
  <c r="L42" i="16" a="1"/>
  <c r="O27" i="17" a="1"/>
  <c r="M73" i="17" a="1"/>
  <c r="O17" i="16" a="1"/>
  <c r="M62" i="26" a="1"/>
  <c r="O18" i="15" a="1"/>
  <c r="M33" i="17" a="1"/>
  <c r="N75" i="16" a="1"/>
  <c r="M80" i="17" a="1"/>
  <c r="L104" i="16" a="1"/>
  <c r="M16" i="26" a="1"/>
  <c r="M66" i="13" a="1"/>
  <c r="N128" i="19" a="1"/>
  <c r="L78" i="20" a="1"/>
  <c r="L91" i="16" a="1"/>
  <c r="N93" i="17" a="1"/>
  <c r="N27" i="17" a="1"/>
  <c r="O36" i="21" a="1"/>
  <c r="L81" i="20" a="1"/>
  <c r="O59" i="13" a="1"/>
  <c r="M37" i="21" a="1"/>
  <c r="M96" i="16" a="1"/>
  <c r="M22" i="26" a="1"/>
  <c r="L80" i="26" a="1"/>
  <c r="L18" i="26" a="1"/>
  <c r="M22" i="16" a="1"/>
  <c r="L65" i="16" a="1"/>
  <c r="M46" i="19" a="1"/>
  <c r="O114" i="17" a="1"/>
  <c r="N144" i="19" a="1"/>
  <c r="N58" i="17" a="1"/>
  <c r="K61" i="20" a="1"/>
  <c r="M46" i="17" a="1"/>
  <c r="O17" i="13" a="1"/>
  <c r="M107" i="16" a="1"/>
  <c r="M15" i="17" a="1"/>
  <c r="K110" i="20" a="1"/>
  <c r="L71" i="26" a="1"/>
  <c r="N63" i="16" a="1"/>
  <c r="L64" i="16" a="1"/>
  <c r="M31" i="19" a="1"/>
  <c r="J93" i="20" a="1"/>
  <c r="L71" i="16" a="1"/>
  <c r="M18" i="20" a="1"/>
  <c r="M67" i="16" a="1"/>
  <c r="N45" i="13" a="1"/>
  <c r="M90" i="20" a="1"/>
  <c r="L17" i="15" a="1"/>
  <c r="O44" i="19" a="1"/>
  <c r="N46" i="19" a="1"/>
  <c r="M13" i="13" a="1"/>
  <c r="N134" i="19" a="1"/>
  <c r="M17" i="15" a="1"/>
  <c r="L18" i="16" a="1"/>
  <c r="N26" i="19" a="1"/>
  <c r="N73" i="26" a="1"/>
  <c r="K115" i="20" a="1"/>
  <c r="M92" i="17" a="1"/>
  <c r="M14" i="20" a="1"/>
  <c r="L92" i="15" a="1"/>
  <c r="O143" i="19" a="1"/>
  <c r="M70" i="17" a="1"/>
  <c r="N52" i="19" a="1"/>
  <c r="M96" i="17" a="1"/>
  <c r="N56" i="19" a="1"/>
  <c r="O105" i="17" a="1"/>
  <c r="N76" i="26" a="1"/>
  <c r="O50" i="17" a="1"/>
  <c r="O10" i="13" a="1"/>
  <c r="L73" i="26" a="1"/>
  <c r="J91" i="20" a="1"/>
  <c r="M30" i="13" a="1"/>
  <c r="M48" i="17" a="1"/>
  <c r="M100" i="17" a="1"/>
  <c r="M31" i="13" a="1"/>
  <c r="N91" i="17" a="1"/>
  <c r="L13" i="15" a="1"/>
  <c r="Q10" i="15" a="1"/>
  <c r="M135" i="19" a="1"/>
  <c r="M42" i="13" a="1"/>
  <c r="M97" i="16" a="1"/>
  <c r="M27" i="13" a="1"/>
  <c r="M25" i="13" a="1"/>
  <c r="M60" i="13" a="1"/>
  <c r="N112" i="19" a="1"/>
  <c r="N26" i="17" a="1"/>
  <c r="M37" i="17" a="1"/>
  <c r="N23" i="16" a="1"/>
  <c r="O66" i="16" a="1"/>
  <c r="O6" i="13" a="1"/>
  <c r="L72" i="16" a="1"/>
  <c r="N50" i="21" a="1"/>
  <c r="O81" i="16" a="1"/>
  <c r="M25" i="21" a="1"/>
  <c r="J114" i="20" a="1"/>
  <c r="N19" i="20" a="1"/>
  <c r="L105" i="16" a="1"/>
  <c r="L60" i="20" a="1"/>
  <c r="O35" i="15" a="1"/>
  <c r="O22" i="26" a="1"/>
  <c r="M39" i="17" a="1"/>
  <c r="O24" i="16" a="1"/>
  <c r="L66" i="20" a="1"/>
  <c r="L74" i="20" a="1"/>
  <c r="N67" i="13" a="1"/>
  <c r="O38" i="17" a="1"/>
  <c r="O37" i="19" a="1"/>
  <c r="M56" i="16" a="1"/>
  <c r="O80" i="16" a="1"/>
  <c r="N23" i="21" a="1"/>
  <c r="M56" i="26" a="1"/>
  <c r="M6" i="20" a="1"/>
  <c r="N48" i="19" a="1"/>
  <c r="M73" i="16" a="1"/>
  <c r="O49" i="19" a="1"/>
  <c r="M28" i="17" a="1"/>
  <c r="N12" i="16" a="1"/>
  <c r="L86" i="20" a="1"/>
  <c r="K118" i="20" a="1"/>
  <c r="L73" i="20" a="1"/>
  <c r="N16" i="21" a="1"/>
  <c r="N112" i="17" a="1"/>
  <c r="M63" i="17" a="1"/>
  <c r="M9" i="19" a="1"/>
  <c r="N46" i="16" a="1"/>
  <c r="K67" i="20" a="1"/>
  <c r="M32" i="19" a="1"/>
  <c r="M58" i="17" a="1"/>
  <c r="O46" i="21" a="1"/>
  <c r="O116" i="17" a="1"/>
  <c r="J92" i="20" a="1"/>
  <c r="M45" i="16" a="1"/>
  <c r="N16" i="17" a="1"/>
  <c r="O37" i="13" a="1"/>
  <c r="M142" i="19" a="1"/>
  <c r="O43" i="19" a="1"/>
  <c r="M10" i="19" a="1"/>
  <c r="O125" i="19" a="1"/>
  <c r="N109" i="19" a="1"/>
  <c r="N97" i="17" a="1"/>
  <c r="O103" i="16" a="1"/>
  <c r="O39" i="13" a="1"/>
  <c r="Q92" i="15" a="1"/>
  <c r="L49" i="15" a="1"/>
  <c r="N13" i="16" a="1"/>
  <c r="N143" i="19" a="1"/>
  <c r="N58" i="19" a="1"/>
  <c r="O12" i="13" a="1"/>
  <c r="N21" i="16" a="1"/>
  <c r="O134" i="19" a="1"/>
  <c r="N69" i="16" a="1"/>
  <c r="N25" i="21" a="1"/>
  <c r="O16" i="13" a="1"/>
  <c r="M98" i="17" a="1"/>
  <c r="N61" i="13" a="1"/>
  <c r="M10" i="15" a="1"/>
  <c r="L82" i="16" a="1"/>
  <c r="M64" i="20" a="1"/>
  <c r="N19" i="26" a="1"/>
  <c r="M139" i="19" a="1"/>
  <c r="M29" i="13" a="1"/>
  <c r="O61" i="26" a="1"/>
  <c r="M18" i="15" a="1"/>
  <c r="M13" i="19" a="1"/>
  <c r="N9" i="19" a="1"/>
  <c r="N65" i="13" a="1"/>
  <c r="M80" i="16" a="1"/>
  <c r="N6" i="20" a="1"/>
  <c r="O37" i="17" a="1"/>
  <c r="M111" i="17" a="1"/>
  <c r="M24" i="16" a="1"/>
  <c r="O73" i="16" a="1"/>
  <c r="N37" i="17" a="1"/>
  <c r="M14" i="13" a="1"/>
  <c r="O101" i="17" a="1"/>
  <c r="L7" i="16" a="1"/>
  <c r="N53" i="17" a="1"/>
  <c r="M80" i="26" a="1"/>
  <c r="O27" i="16" a="1"/>
  <c r="M63" i="26" a="1"/>
  <c r="N77" i="16" a="1"/>
  <c r="L43" i="16" a="1"/>
  <c r="K62" i="20" a="1"/>
  <c r="O28" i="15" a="1"/>
  <c r="N32" i="17" a="1"/>
  <c r="M88" i="16" a="1"/>
  <c r="M77" i="20" a="1"/>
  <c r="M41" i="21" a="1"/>
  <c r="L90" i="16" a="1"/>
  <c r="M116" i="17" a="1"/>
  <c r="N51" i="19" a="1"/>
  <c r="O121" i="19" a="1"/>
  <c r="O25" i="26" a="1"/>
  <c r="M51" i="19" a="1"/>
  <c r="M8" i="15" a="1"/>
  <c r="N13" i="21" a="1"/>
  <c r="M27" i="16" a="1"/>
  <c r="O94" i="17" a="1"/>
  <c r="O120" i="19" a="1"/>
  <c r="L88" i="16" a="1"/>
  <c r="M46" i="20" a="1"/>
  <c r="N10" i="26" a="1"/>
  <c r="M61" i="16" a="1"/>
  <c r="O64" i="16" a="1"/>
  <c r="M125" i="19" a="1"/>
  <c r="L44" i="16" a="1"/>
  <c r="N88" i="16" a="1"/>
  <c r="O138" i="19" a="1"/>
  <c r="M9" i="16" a="1"/>
  <c r="N41" i="17" a="1"/>
  <c r="M23" i="21" a="1"/>
  <c r="O69" i="16" a="1"/>
  <c r="M35" i="17" a="1"/>
  <c r="N18" i="15" a="1"/>
  <c r="M48" i="21" a="1"/>
  <c r="N10" i="17" a="1"/>
  <c r="L65" i="20" a="1"/>
  <c r="O51" i="17" a="1"/>
  <c r="O68" i="13" a="1"/>
  <c r="O36" i="19" a="1"/>
  <c r="O12" i="16" a="1"/>
  <c r="N55" i="26" a="1"/>
  <c r="N49" i="17" a="1"/>
  <c r="M24" i="21" a="1"/>
  <c r="O115" i="19" a="1"/>
  <c r="M106" i="16" a="1"/>
  <c r="N47" i="19" a="1"/>
  <c r="O42" i="21" a="1"/>
  <c r="O76" i="17" a="1"/>
  <c r="O106" i="16" a="1"/>
  <c r="N47" i="17" a="1"/>
  <c r="Q41" i="15" a="1"/>
  <c r="L90" i="20" a="1"/>
  <c r="M24" i="17" a="1"/>
  <c r="J101" i="20" a="1"/>
  <c r="M90" i="17" a="1"/>
  <c r="O25" i="16" a="1"/>
  <c r="Q47" i="15" a="1"/>
  <c r="M106" i="17" a="1"/>
  <c r="M76" i="16" a="1"/>
  <c r="O21" i="19" a="1"/>
  <c r="L22" i="16" a="1"/>
  <c r="M11" i="20" a="1"/>
  <c r="M102" i="16" a="1"/>
  <c r="M19" i="13" a="1"/>
  <c r="N10" i="21" a="1"/>
  <c r="O31" i="15" a="1"/>
  <c r="M65" i="17" a="1"/>
  <c r="L55" i="26" a="1"/>
  <c r="M33" i="13" a="1"/>
  <c r="N39" i="17" a="1"/>
  <c r="O133" i="19" a="1"/>
  <c r="O22" i="13" a="1"/>
  <c r="O14" i="19" a="1"/>
  <c r="M45" i="20" a="1"/>
  <c r="L76" i="26" a="1"/>
  <c r="L85" i="20" a="1"/>
  <c r="M89" i="20" a="1"/>
  <c r="N108" i="17" a="1"/>
  <c r="N38" i="20" a="1"/>
  <c r="N28" i="13" a="1"/>
  <c r="M77" i="17" a="1"/>
  <c r="N20" i="26" a="1"/>
  <c r="N64" i="26" a="1"/>
  <c r="N41" i="21" a="1"/>
  <c r="O74" i="16" a="1"/>
  <c r="M97" i="17" a="1"/>
  <c r="N81" i="16" a="1"/>
  <c r="M50" i="20" a="1"/>
  <c r="N36" i="17" a="1"/>
  <c r="L64" i="26" a="1"/>
  <c r="L106" i="16" a="1"/>
  <c r="N26" i="16" a="1"/>
  <c r="O7" i="21" a="1"/>
  <c r="O14" i="16" a="1"/>
  <c r="M52" i="21" a="1"/>
  <c r="M25" i="17" a="1"/>
  <c r="M23" i="16" a="1"/>
  <c r="O112" i="19" a="1"/>
  <c r="M36" i="19" a="1"/>
  <c r="L22" i="15" a="1"/>
  <c r="M31" i="15" a="1"/>
  <c r="O25" i="13" a="1"/>
  <c r="O40" i="13" a="1"/>
  <c r="N11" i="17" a="1"/>
  <c r="Q24" i="15" a="1"/>
  <c r="M84" i="20" a="1"/>
  <c r="L39" i="15" a="1"/>
  <c r="M52" i="19" a="1"/>
  <c r="M51" i="21" a="1"/>
  <c r="N11" i="19" a="1"/>
  <c r="O29" i="13" a="1"/>
  <c r="N15" i="17" a="1"/>
  <c r="N66" i="17" a="1"/>
  <c r="N58" i="20" a="1"/>
  <c r="N93" i="16" a="1"/>
  <c r="M34" i="15" a="1"/>
  <c r="N125" i="19" a="1"/>
  <c r="N24" i="16" a="1"/>
  <c r="M90" i="15" a="1"/>
  <c r="O40" i="19" a="1"/>
  <c r="O6" i="19" a="1"/>
  <c r="M50" i="17" a="1"/>
  <c r="M10" i="17" a="1"/>
  <c r="O11" i="21" a="1"/>
  <c r="N135" i="19" a="1"/>
  <c r="N47" i="21" a="1"/>
  <c r="L99" i="16" a="1"/>
  <c r="O70" i="16" a="1"/>
  <c r="M19" i="26" a="1"/>
  <c r="M99" i="16" a="1"/>
  <c r="O126" i="19" a="1"/>
  <c r="N18" i="13" a="1"/>
  <c r="L87" i="20" a="1"/>
  <c r="M6" i="19" a="1"/>
  <c r="M17" i="17" a="1"/>
  <c r="M11" i="21" a="1"/>
  <c r="N38" i="13" a="1"/>
  <c r="O11" i="19" a="1"/>
  <c r="M13" i="17" a="1"/>
  <c r="K60" i="20" a="1"/>
  <c r="O38" i="16" a="1"/>
  <c r="O38" i="19" a="1"/>
  <c r="O91" i="15" a="1"/>
  <c r="N45" i="20" a="1"/>
  <c r="K96" i="20" a="1"/>
  <c r="M25" i="16" a="1"/>
  <c r="M36" i="21" a="1"/>
  <c r="O104" i="17" a="1"/>
  <c r="O86" i="17" a="1"/>
  <c r="O109" i="16" a="1"/>
  <c r="M31" i="20" a="1"/>
  <c r="N122" i="19" a="1"/>
  <c r="N81" i="26" a="1"/>
  <c r="O38" i="21" a="1"/>
  <c r="O95" i="17" a="1"/>
  <c r="N140" i="19" a="1"/>
  <c r="L81" i="26" a="1"/>
  <c r="O102" i="17" a="1"/>
  <c r="O22" i="15" a="1"/>
  <c r="N117" i="19" a="1"/>
  <c r="Q28" i="15" a="1"/>
  <c r="O55" i="19" a="1"/>
  <c r="O55" i="26" a="1"/>
  <c r="O11" i="16" a="1"/>
  <c r="O79" i="16" a="1"/>
  <c r="N17" i="26" a="1"/>
  <c r="O21" i="26" a="1"/>
  <c r="O23" i="21" a="1"/>
  <c r="M49" i="19" a="1"/>
  <c r="K72" i="20" a="1"/>
  <c r="N90" i="17" a="1"/>
  <c r="N54" i="26" a="1"/>
  <c r="M35" i="21" a="1"/>
  <c r="L69" i="16" a="1"/>
  <c r="O63" i="16" a="1"/>
  <c r="N24" i="20" a="1"/>
  <c r="N24" i="17" a="1"/>
  <c r="N80" i="16" a="1"/>
  <c r="O74" i="26" a="1"/>
  <c r="O87" i="17" a="1"/>
  <c r="K108" i="20" a="1"/>
  <c r="M16" i="19" a="1"/>
  <c r="M86" i="17" a="1"/>
  <c r="K84" i="20" a="1"/>
  <c r="O23" i="15" a="1"/>
  <c r="O71" i="16" a="1"/>
  <c r="O108" i="16" a="1"/>
  <c r="N11" i="16" a="1"/>
  <c r="O99" i="16" a="1"/>
  <c r="M15" i="19" a="1"/>
  <c r="O16" i="26" a="1"/>
  <c r="N84" i="16" a="1"/>
  <c r="Q21" i="15" a="1"/>
  <c r="M17" i="20" a="1"/>
  <c r="O52" i="17" a="1"/>
  <c r="N46" i="13" a="1"/>
  <c r="O31" i="19" a="1"/>
  <c r="N72" i="17" a="1"/>
  <c r="M127" i="19" a="1"/>
  <c r="M91" i="15" a="1"/>
  <c r="O42" i="16" a="1"/>
  <c r="O17" i="15" a="1"/>
  <c r="N46" i="20" a="1"/>
  <c r="M15" i="20" a="1"/>
  <c r="M74" i="26" a="1"/>
  <c r="O35" i="19" a="1"/>
  <c r="N77" i="17" a="1"/>
  <c r="O8" i="26" a="1"/>
  <c r="M79" i="20" a="1"/>
  <c r="M12" i="20" a="1"/>
  <c r="K78" i="20" a="1"/>
  <c r="N83" i="17" a="1"/>
  <c r="N10" i="15" a="1"/>
  <c r="M103" i="17" a="1"/>
  <c r="O56" i="26" a="1"/>
  <c r="L70" i="16" a="1"/>
  <c r="M137" i="19" a="1"/>
  <c r="M70" i="13" a="1"/>
  <c r="K65" i="20" a="1"/>
  <c r="L84" i="16" a="1"/>
  <c r="N39" i="19" a="1"/>
  <c r="L82" i="20" a="1"/>
  <c r="K85" i="20" a="1"/>
  <c r="O140" i="19" a="1"/>
  <c r="N71" i="17" a="1"/>
  <c r="M128" i="19" a="1"/>
  <c r="N22" i="13" a="1"/>
  <c r="L31" i="15" a="1"/>
  <c r="N82" i="17" a="1"/>
  <c r="N14" i="15" a="1"/>
  <c r="M41" i="15" a="1"/>
  <c r="O56" i="17" a="1"/>
  <c r="Q93" i="15" a="1"/>
  <c r="M40" i="15" a="1"/>
  <c r="N11" i="15" a="1"/>
  <c r="M56" i="19" a="1"/>
  <c r="N75" i="26" a="1"/>
  <c r="N52" i="17" a="1"/>
  <c r="O26" i="21" a="1"/>
  <c r="M34" i="21" a="1"/>
  <c r="M26" i="15" a="1"/>
  <c r="N15" i="20" a="1"/>
  <c r="O95" i="15" a="1"/>
  <c r="O25" i="15" a="1"/>
  <c r="N33" i="19" a="1"/>
  <c r="N101" i="16" a="1"/>
  <c r="K113" i="20" a="1"/>
  <c r="M69" i="17" a="1"/>
  <c r="N9" i="26" a="1"/>
  <c r="L34" i="20" a="1"/>
  <c r="J108" i="20" a="1"/>
  <c r="L62" i="16" a="1"/>
  <c r="N16" i="20" a="1"/>
  <c r="L62" i="26" a="1"/>
  <c r="M39" i="19" a="1"/>
  <c r="M83" i="26" a="1"/>
  <c r="O98" i="16" a="1"/>
  <c r="M34" i="20" a="1"/>
  <c r="M95" i="15" a="1"/>
  <c r="N107" i="17" a="1"/>
  <c r="O33" i="19" a="1"/>
  <c r="N25" i="13" a="1"/>
  <c r="O24" i="15" a="1"/>
  <c r="M34" i="17" a="1"/>
  <c r="Q38" i="15" a="1"/>
  <c r="Q25" i="15" a="1"/>
  <c r="M102" i="17" a="1"/>
  <c r="O104" i="16" a="1"/>
  <c r="O19" i="21" a="1"/>
  <c r="J103" i="20" a="1"/>
  <c r="O39" i="21" a="1"/>
  <c r="O8" i="15" a="1"/>
  <c r="L17" i="26" a="1"/>
  <c r="N62" i="16" a="1"/>
  <c r="K73" i="20" a="1"/>
  <c r="M56" i="20" a="1"/>
  <c r="L72" i="26" a="1"/>
  <c r="L17" i="16" a="1"/>
  <c r="O65" i="26" a="1"/>
  <c r="L89" i="16" a="1"/>
  <c r="O85" i="17" a="1"/>
  <c r="O75" i="17" a="1"/>
  <c r="N47" i="13" a="1"/>
  <c r="K63" i="20" a="1"/>
  <c r="M22" i="19" a="1"/>
  <c r="M141" i="19" a="1"/>
  <c r="M15" i="21" a="1"/>
  <c r="M80" i="20" a="1"/>
  <c r="L53" i="16" a="1"/>
  <c r="M8" i="26" a="1"/>
  <c r="N34" i="13" a="1"/>
  <c r="N90" i="15" a="1"/>
  <c r="M44" i="19" a="1"/>
  <c r="N12" i="13" a="1"/>
  <c r="M94" i="17" a="1"/>
  <c r="M17" i="16" a="1"/>
  <c r="N10" i="20" a="1"/>
  <c r="M12" i="17" a="1"/>
  <c r="O82" i="26" a="1"/>
  <c r="K101" i="20" a="1"/>
  <c r="N35" i="13" a="1"/>
  <c r="K75" i="20" a="1"/>
  <c r="M89" i="17" a="1"/>
  <c r="N13" i="17" a="1"/>
  <c r="O40" i="17" a="1"/>
  <c r="N69" i="17" a="1"/>
  <c r="Q14" i="15" a="1"/>
  <c r="M47" i="13" a="1"/>
  <c r="O36" i="17" a="1"/>
  <c r="O15" i="21" a="1"/>
  <c r="N59" i="26" a="1"/>
  <c r="O29" i="17" a="1"/>
  <c r="K66" i="20" a="1"/>
  <c r="L24" i="26" a="1"/>
  <c r="N33" i="15" a="1"/>
  <c r="O111" i="19" a="1"/>
  <c r="O54" i="19" a="1"/>
  <c r="M43" i="20" a="1"/>
  <c r="M134" i="19" a="1"/>
  <c r="L77" i="16" a="1"/>
  <c r="N15" i="16" a="1"/>
  <c r="N87" i="17" a="1"/>
  <c r="N59" i="13" a="1"/>
  <c r="N57" i="17" a="1"/>
  <c r="M93" i="15" a="1"/>
  <c r="O108" i="17" a="1"/>
  <c r="L10" i="26" a="1"/>
  <c r="N42" i="21" a="1"/>
  <c r="M88" i="20" a="1"/>
  <c r="L63" i="16" a="1"/>
  <c r="O16" i="19" a="1"/>
  <c r="M115" i="17" a="1"/>
  <c r="N17" i="21" a="1"/>
  <c r="K112" i="20" a="1"/>
  <c r="N47" i="15" a="1"/>
  <c r="N46" i="17" a="1"/>
  <c r="N26" i="13" a="1"/>
  <c r="N19" i="13" a="1"/>
  <c r="O93" i="16" a="1"/>
  <c r="M21" i="19" a="1"/>
  <c r="O74" i="17" a="1"/>
  <c r="O113" i="19" a="1"/>
  <c r="O89" i="17" a="1"/>
  <c r="N33" i="20" a="1"/>
  <c r="L35" i="20" a="1"/>
  <c r="O91" i="16" a="1"/>
  <c r="N80" i="26" a="1"/>
  <c r="L77" i="20" a="1"/>
  <c r="M71" i="16" a="1"/>
  <c r="M57" i="20" a="1"/>
  <c r="N48" i="17" a="1"/>
  <c r="L36" i="15" a="1"/>
  <c r="N40" i="13" a="1"/>
  <c r="O87" i="16" a="1"/>
  <c r="N78" i="17" a="1"/>
  <c r="O100" i="17" a="1"/>
  <c r="N13" i="19" a="1"/>
  <c r="M7" i="21" a="1"/>
  <c r="J118" i="20" a="1"/>
  <c r="M18" i="21" a="1"/>
  <c r="N28" i="15" a="1"/>
  <c r="N54" i="16" a="1"/>
  <c r="K114" i="20" a="1"/>
  <c r="N110" i="19" a="1"/>
  <c r="M28" i="21" a="1"/>
  <c r="N104" i="17" a="1"/>
  <c r="M71" i="17" a="1"/>
  <c r="Q35" i="15" a="1"/>
  <c r="N14" i="19" a="1"/>
  <c r="O7" i="16" a="1"/>
  <c r="L75" i="20" a="1"/>
  <c r="M10" i="26" a="1"/>
  <c r="O9" i="15" a="1"/>
  <c r="N142" i="19" a="1"/>
  <c r="M65" i="26" a="1"/>
  <c r="N35" i="19" a="1"/>
  <c r="O67" i="17" a="1"/>
  <c r="O60" i="16" a="1"/>
  <c r="O13" i="21" a="1"/>
  <c r="N30" i="17" a="1"/>
  <c r="L90" i="15" a="1"/>
  <c r="K82" i="20" a="1"/>
  <c r="N61" i="26" a="1"/>
  <c r="O79" i="17" a="1"/>
  <c r="O9" i="26" a="1"/>
  <c r="N23" i="15" a="1"/>
  <c r="O15" i="17" a="1"/>
  <c r="N83" i="26" a="1"/>
  <c r="N35" i="15" a="1"/>
  <c r="N62" i="13" a="1"/>
  <c r="L24" i="15" a="1"/>
  <c r="N36" i="15" a="1"/>
  <c r="M27" i="20" a="1"/>
  <c r="M81" i="20" a="1"/>
  <c r="O63" i="13" a="1"/>
  <c r="M108" i="17" a="1"/>
  <c r="M42" i="20" a="1"/>
  <c r="M23" i="26" a="1"/>
  <c r="M68" i="20" a="1"/>
  <c r="O92" i="16" a="1"/>
  <c r="M16" i="13" a="1"/>
  <c r="K104" i="20" a="1"/>
  <c r="M74" i="17" a="1"/>
  <c r="Q23" i="15" a="1"/>
  <c r="M42" i="19" a="1"/>
  <c r="N16" i="15" a="1"/>
  <c r="O47" i="15" a="1"/>
  <c r="O23" i="19" a="1"/>
  <c r="N101" i="17" a="1"/>
  <c r="O12" i="21" a="1"/>
  <c r="M7" i="20" a="1"/>
  <c r="M48" i="19" a="1"/>
  <c r="N68" i="13" a="1"/>
  <c r="N19" i="19" a="1"/>
  <c r="M38" i="17" a="1"/>
  <c r="O76" i="16" a="1"/>
  <c r="N99" i="17" a="1"/>
  <c r="M33" i="19" a="1"/>
  <c r="O27" i="13" a="1"/>
  <c r="N65" i="16" a="1"/>
  <c r="M88" i="17" a="1"/>
  <c r="N17" i="13" a="1"/>
  <c r="O99" i="17" a="1"/>
  <c r="O15" i="19" a="1"/>
  <c r="M99" i="17" a="1"/>
  <c r="L82" i="26" a="1"/>
  <c r="O53" i="19" a="1"/>
  <c r="O39" i="17" a="1"/>
  <c r="N86" i="16" a="1"/>
  <c r="M28" i="15" a="1"/>
  <c r="M62" i="13" a="1"/>
  <c r="M101" i="16" a="1"/>
  <c r="M75" i="17" a="1"/>
  <c r="M22" i="15" a="1"/>
  <c r="M82" i="17" a="1"/>
  <c r="O18" i="21" a="1"/>
  <c r="M7" i="16" a="1"/>
  <c r="N45" i="16" a="1"/>
  <c r="L100" i="16" a="1"/>
  <c r="O90" i="17" a="1"/>
  <c r="O41" i="13" a="1"/>
  <c r="M28" i="20" a="1"/>
  <c r="J105" i="20" a="1"/>
  <c r="M59" i="13" a="1"/>
  <c r="N49" i="19" a="1"/>
  <c r="M29" i="20" a="1"/>
  <c r="N72" i="16" a="1"/>
  <c r="M133" i="19" a="1"/>
  <c r="N44" i="16" a="1"/>
  <c r="N97" i="16" a="1"/>
  <c r="N86" i="17" a="1"/>
  <c r="N45" i="17" a="1"/>
  <c r="L12" i="15" a="1"/>
  <c r="O96" i="16" a="1"/>
  <c r="N26" i="21" a="1"/>
  <c r="M36" i="13" a="1"/>
  <c r="M36" i="20" a="1"/>
  <c r="N79" i="16" a="1"/>
  <c r="N93" i="15" a="1"/>
  <c r="N16" i="19" a="1"/>
  <c r="O18" i="19" a="1"/>
  <c r="N31" i="15" a="1"/>
  <c r="M31" i="17" a="1"/>
  <c r="M53" i="17" a="1"/>
  <c r="M15" i="13" a="1"/>
  <c r="O106" i="17" a="1"/>
  <c r="N85" i="17" a="1"/>
  <c r="O56" i="16" a="1"/>
  <c r="M35" i="19" a="1"/>
  <c r="Q32" i="15" a="1"/>
  <c r="N65" i="17" a="1"/>
  <c r="O54" i="26" a="1"/>
  <c r="N53" i="20" a="1"/>
  <c r="L54" i="16" a="1"/>
  <c r="O72" i="16" a="1"/>
  <c r="L54" i="26" a="1"/>
  <c r="Q26" i="15" a="1"/>
  <c r="L97" i="16" a="1"/>
  <c r="N12" i="19" a="1"/>
  <c r="M35" i="20" a="1"/>
  <c r="M22" i="21" a="1"/>
  <c r="O42" i="13" a="1"/>
  <c r="N90" i="16" a="1"/>
  <c r="M92" i="15" a="1"/>
  <c r="N37" i="20" a="1"/>
  <c r="N66" i="13" a="1"/>
  <c r="N30" i="20" a="1"/>
  <c r="M37" i="20" a="1"/>
  <c r="O11" i="15" a="1"/>
  <c r="L83" i="26" a="1"/>
  <c r="N126" i="19" a="1"/>
  <c r="M110" i="17" a="1"/>
  <c r="N54" i="20" a="1"/>
  <c r="O18" i="26" a="1"/>
  <c r="N46" i="21" a="1"/>
  <c r="O129" i="19" a="1"/>
  <c r="J107" i="20" a="1"/>
  <c r="O67" i="13" a="1"/>
  <c r="O88" i="17" a="1"/>
  <c r="M90" i="16" a="1"/>
  <c r="L80" i="16" a="1"/>
  <c r="N92" i="16" a="1"/>
  <c r="M73" i="20" a="1"/>
  <c r="O109" i="19" a="1"/>
  <c r="N123" i="19" a="1"/>
  <c r="L62" i="20" a="1"/>
  <c r="O30" i="13" a="1"/>
  <c r="N21" i="13" a="1"/>
  <c r="M10" i="16" a="1"/>
  <c r="N18" i="21" a="1"/>
  <c r="M112" i="19" a="1"/>
  <c r="L63" i="20" a="1"/>
  <c r="N51" i="20" a="1"/>
  <c r="L81" i="16" a="1"/>
  <c r="O21" i="16" a="1"/>
  <c r="O37" i="21" a="1"/>
  <c r="M24" i="13" a="1"/>
  <c r="O128" i="19" a="1"/>
  <c r="O64" i="26" a="1"/>
  <c r="M62" i="20" a="1"/>
  <c r="M9" i="20" a="1"/>
  <c r="O16" i="15" a="1"/>
  <c r="N121" i="19" a="1"/>
  <c r="N99" i="16" a="1"/>
  <c r="O78" i="17" a="1"/>
  <c r="O17" i="26" a="1"/>
  <c r="M59" i="26" a="1"/>
  <c r="N25" i="16" a="1"/>
  <c r="M54" i="26" a="1"/>
  <c r="M25" i="26" a="1"/>
  <c r="M82" i="20" a="1"/>
  <c r="M81" i="26" a="1"/>
  <c r="N57" i="20" a="1"/>
  <c r="M61" i="20" a="1"/>
  <c r="N76" i="17" a="1"/>
  <c r="O109" i="17" a="1"/>
  <c r="M12" i="19" a="1"/>
  <c r="O39" i="19" a="1"/>
  <c r="O72" i="17" a="1"/>
  <c r="N34" i="15" a="1"/>
  <c r="O59" i="17" a="1"/>
  <c r="N88" i="17" a="1"/>
  <c r="O80" i="26" a="1"/>
  <c r="O139" i="19" a="1"/>
  <c r="O8" i="19" a="1"/>
  <c r="N106" i="17" a="1"/>
  <c r="N15" i="21" a="1"/>
  <c r="M21" i="16" a="1"/>
  <c r="M74" i="20" a="1"/>
  <c r="O65" i="13" a="1"/>
  <c r="M124" i="19" a="1"/>
  <c r="O60" i="13" a="1"/>
  <c r="M75" i="26" a="1"/>
  <c r="M40" i="21" a="1"/>
  <c r="O141" i="19" a="1"/>
  <c r="N10" i="19" a="1"/>
  <c r="N102" i="17" a="1"/>
  <c r="O78" i="16" a="1"/>
  <c r="O24" i="13" a="1"/>
  <c r="M28" i="13" a="1"/>
  <c r="N57" i="16" a="1"/>
  <c r="N57" i="19" a="1"/>
  <c r="N109" i="17" a="1"/>
  <c r="Q8" i="15" a="1"/>
  <c r="L95" i="16" a="1"/>
  <c r="M57" i="17" a="1"/>
  <c r="M34" i="13" a="1"/>
  <c r="M44" i="21" a="1"/>
  <c r="O19" i="19" a="1"/>
  <c r="Q13" i="15" a="1"/>
  <c r="L19" i="16" a="1"/>
  <c r="M19" i="19" a="1"/>
  <c r="O70" i="13" a="1"/>
  <c r="M140" i="19" a="1"/>
  <c r="O42" i="19" a="1"/>
  <c r="N70" i="17" a="1"/>
  <c r="O20" i="19" a="1"/>
  <c r="N7" i="21" a="1"/>
  <c r="N8" i="16" a="1"/>
  <c r="M12" i="21" a="1"/>
  <c r="M52" i="16" a="1"/>
  <c r="O47" i="19" a="1"/>
  <c r="N27" i="15" a="1"/>
  <c r="N114" i="17" a="1"/>
  <c r="L11" i="15" a="1"/>
  <c r="Q31" i="15" a="1"/>
  <c r="M45" i="17" a="1"/>
  <c r="O68" i="17" a="1"/>
  <c r="M69" i="20" a="1"/>
  <c r="N70" i="16" a="1"/>
  <c r="N36" i="13" a="1"/>
  <c r="O38" i="13" a="1"/>
  <c r="N115" i="19" a="1"/>
  <c r="M18" i="26" a="1"/>
  <c r="N66" i="16" a="1"/>
  <c r="M42" i="15" a="1"/>
  <c r="O81" i="26" a="1"/>
  <c r="M20" i="16" a="1"/>
  <c r="O123" i="19" a="1"/>
  <c r="O11" i="13" a="1"/>
  <c r="M20" i="20" a="1"/>
  <c r="N31" i="13" a="1"/>
  <c r="M103" i="16" a="1"/>
  <c r="O14" i="21" a="1"/>
  <c r="M42" i="16" a="1"/>
  <c r="L16" i="26" a="1"/>
  <c r="N32" i="15" a="1"/>
  <c r="N12" i="20" a="1"/>
  <c r="O83" i="17" a="1"/>
  <c r="O118" i="19" a="1"/>
  <c r="N16" i="13" a="1"/>
  <c r="L56" i="16" a="1"/>
  <c r="M78" i="16" a="1"/>
  <c r="M40" i="20" a="1"/>
  <c r="M10" i="20" a="1"/>
  <c r="L6" i="16" a="1"/>
  <c r="O137" i="19" a="1"/>
  <c r="O84" i="17" a="1"/>
  <c r="O41" i="19" a="1"/>
  <c r="O103" i="17" a="1"/>
  <c r="N39" i="21" a="1"/>
  <c r="L10" i="16" a="1"/>
  <c r="O58" i="17" a="1"/>
  <c r="O51" i="19" a="1"/>
  <c r="M101" i="17" a="1"/>
  <c r="N60" i="17" a="1"/>
  <c r="O39" i="16" a="1"/>
  <c r="O25" i="17" a="1"/>
  <c r="N16" i="16" a="1"/>
  <c r="O18" i="13" a="1"/>
  <c r="J115" i="20" a="1"/>
  <c r="Q12" i="15" a="1"/>
  <c r="O18" i="16" a="1"/>
  <c r="Q90" i="15" a="1"/>
  <c r="L76" i="16" a="1"/>
  <c r="L8" i="16" a="1"/>
  <c r="M87" i="16" a="1"/>
  <c r="O55" i="16" a="1"/>
  <c r="N22" i="21" a="1"/>
  <c r="N18" i="26" a="1"/>
  <c r="M33" i="20" a="1"/>
  <c r="M15" i="16" a="1"/>
  <c r="N11" i="13" a="1"/>
  <c r="N23" i="13" a="1"/>
  <c r="L27" i="16" a="1"/>
  <c r="N65" i="26" a="1"/>
  <c r="O130" i="19" a="1"/>
  <c r="M38" i="15" a="1"/>
  <c r="M52" i="17" a="1"/>
  <c r="D7" i="16" a="1"/>
  <c r="O45" i="17" a="1"/>
  <c r="O122" i="19" a="1"/>
  <c r="M65" i="20" a="1"/>
  <c r="M60" i="16" a="1"/>
  <c r="O53" i="17" a="1"/>
  <c r="K107" i="20" a="1"/>
  <c r="N51" i="17" a="1"/>
  <c r="L64" i="20" a="1"/>
  <c r="L38" i="16" a="1"/>
  <c r="O10" i="19" a="1"/>
  <c r="M8" i="19" a="1"/>
  <c r="L102" i="16" a="1"/>
  <c r="M93" i="17" a="1"/>
  <c r="M55" i="19" a="1"/>
  <c r="O16" i="21" a="1"/>
  <c r="L59" i="26" a="1"/>
  <c r="L32" i="15" a="1"/>
  <c r="N52" i="21" a="1"/>
  <c r="N45" i="21" a="1"/>
  <c r="M109" i="17" a="1"/>
  <c r="N50" i="20" a="1"/>
  <c r="K77" i="20" a="1"/>
  <c r="N52" i="16" a="1"/>
  <c r="M50" i="19" a="1"/>
  <c r="M18" i="16" a="1"/>
  <c r="Q36" i="15" a="1"/>
  <c r="M11" i="17" a="1"/>
  <c r="M68" i="13" a="1"/>
  <c r="L57" i="16" a="1"/>
  <c r="O10" i="15" a="1"/>
  <c r="L20" i="16" a="1"/>
  <c r="L14" i="15" a="1"/>
  <c r="M30" i="17" a="1"/>
  <c r="N72" i="26" a="1"/>
  <c r="O92" i="17" a="1"/>
  <c r="M62" i="16" a="1"/>
  <c r="O13" i="16" a="1"/>
  <c r="N38" i="17" a="1"/>
  <c r="O31" i="13" a="1"/>
  <c r="N27" i="16" a="1"/>
  <c r="L109" i="16" a="1"/>
  <c r="O61" i="16" a="1"/>
  <c r="O13" i="17" a="1"/>
  <c r="M83" i="20" a="1"/>
  <c r="M49" i="15" a="1"/>
  <c r="M16" i="16" a="1"/>
  <c r="N17" i="19" a="1"/>
  <c r="O100" i="16" a="1"/>
  <c r="N21" i="20" a="1"/>
  <c r="O33" i="15" a="1"/>
  <c r="M91" i="16" a="1"/>
  <c r="O6" i="16" a="1"/>
  <c r="O114" i="19" a="1"/>
  <c r="M98" i="16" a="1"/>
  <c r="N71" i="26" a="1"/>
  <c r="J96" i="20" a="1"/>
  <c r="M46" i="13" a="1"/>
  <c r="N40" i="15" a="1"/>
  <c r="O46" i="19" a="1"/>
  <c r="O19" i="26" a="1"/>
  <c r="L22" i="26" a="1"/>
  <c r="M12" i="15" a="1"/>
  <c r="N51" i="21" a="1"/>
  <c r="O15" i="13" a="1"/>
  <c r="N44" i="21" a="1"/>
  <c r="K109" i="20" a="1"/>
  <c r="N85" i="16" a="1"/>
  <c r="M115" i="19" a="1"/>
  <c r="M14" i="19" a="1"/>
  <c r="M38" i="21" a="1"/>
  <c r="K117" i="20" a="1"/>
  <c r="N37" i="21" a="1"/>
  <c r="N30" i="13" a="1"/>
  <c r="N27" i="21" a="1"/>
  <c r="O136" i="19" a="1"/>
  <c r="N25" i="19" a="1"/>
  <c r="L66" i="16" a="1"/>
  <c r="O16" i="16" a="1"/>
  <c r="L79" i="20" a="1"/>
  <c r="O12" i="17" a="1"/>
  <c r="M41" i="13" a="1"/>
  <c r="O48" i="21" a="1"/>
  <c r="O10" i="16" a="1"/>
  <c r="O13" i="15" a="1"/>
  <c r="M37" i="13" a="1"/>
  <c r="O63" i="26" a="1"/>
  <c r="M6" i="13" a="1"/>
  <c r="L80" i="20" a="1"/>
  <c r="N34" i="17" a="1"/>
  <c r="M49" i="21" a="1"/>
  <c r="M72" i="26" a="1"/>
  <c r="M55" i="26" a="1"/>
  <c r="L19" i="26" a="1"/>
  <c r="Q27" i="15" a="1"/>
  <c r="L56" i="26" a="1"/>
  <c r="M72" i="16" a="1"/>
  <c r="M19" i="16" a="1"/>
  <c r="M6" i="21" a="1"/>
  <c r="M78" i="17" a="1"/>
  <c r="N6" i="16" a="1"/>
  <c r="M62" i="17" a="1"/>
  <c r="N39" i="20" a="1"/>
  <c r="M26" i="19" a="1"/>
  <c r="O124" i="19" a="1"/>
  <c r="L16" i="16" a="1"/>
  <c r="O13" i="13" a="1"/>
  <c r="M46" i="16" a="1"/>
  <c r="O44" i="16" a="1"/>
  <c r="L84" i="20" a="1"/>
  <c r="N25" i="26" a="1"/>
  <c r="M12" i="13" a="1"/>
  <c r="N32" i="19" a="1"/>
  <c r="M12" i="16" a="1"/>
  <c r="M67" i="13" a="1"/>
  <c r="O24" i="17" a="1"/>
  <c r="O64" i="13" a="1"/>
  <c r="N62" i="17" a="1"/>
  <c r="L26" i="16" a="1"/>
  <c r="L93" i="15" a="1"/>
  <c r="M45" i="19" a="1"/>
  <c r="N105" i="16" a="1"/>
  <c r="N56" i="20" a="1"/>
  <c r="N74" i="26" a="1"/>
  <c r="K80" i="20" a="1"/>
  <c r="N17" i="16" a="1"/>
  <c r="Q16" i="15" a="1"/>
  <c r="O40" i="15" a="1"/>
  <c r="O42" i="17" a="1"/>
  <c r="O66" i="17" a="1"/>
  <c r="N36" i="21" a="1"/>
  <c r="L6" i="26" a="1"/>
  <c r="J117" i="20" a="1"/>
  <c r="N56" i="16" a="1"/>
  <c r="N41" i="19" a="1"/>
  <c r="K102" i="20" a="1"/>
  <c r="L61" i="26" a="1"/>
  <c r="N38" i="19" a="1"/>
  <c r="N23" i="26" a="1"/>
  <c r="M24" i="15" a="1"/>
  <c r="M11" i="19" a="1"/>
  <c r="N78" i="26" a="1"/>
  <c r="O32" i="17" a="1"/>
  <c r="L107" i="16" a="1"/>
  <c r="M69" i="16" a="1"/>
  <c r="N114" i="19" a="1"/>
  <c r="N8" i="15" a="1"/>
  <c r="M59" i="17" a="1"/>
  <c r="L46" i="16" a="1"/>
  <c r="M144" i="19" a="1"/>
  <c r="O127" i="19" a="1"/>
  <c r="M51" i="20" a="1"/>
  <c r="K94" i="20" a="1"/>
  <c r="K87" i="20" a="1"/>
  <c r="N25" i="20" a="1"/>
  <c r="M8" i="21" a="1"/>
  <c r="O81" i="17" a="1"/>
  <c r="M58" i="20" a="1"/>
  <c r="Q42" i="15" a="1"/>
  <c r="M92" i="16" a="1"/>
  <c r="M22" i="20" a="1"/>
  <c r="M26" i="20" a="1"/>
  <c r="O54" i="16" a="1"/>
  <c r="N116" i="19" a="1"/>
  <c r="M67" i="20" a="1"/>
  <c r="M79" i="17" a="1"/>
  <c r="M40" i="19" a="1"/>
  <c r="L66" i="26" a="1"/>
  <c r="K81" i="20" a="1"/>
  <c r="M93" i="16" a="1"/>
  <c r="M47" i="19" a="1"/>
  <c r="O79" i="26" a="1"/>
  <c r="N42" i="15" a="1"/>
  <c r="N94" i="16" a="1"/>
  <c r="N95" i="17" a="1"/>
  <c r="M26" i="16" a="1"/>
  <c r="O62" i="26" a="1"/>
  <c r="M38" i="20" a="1"/>
  <c r="M35" i="13" a="1"/>
  <c r="N111" i="17" a="1"/>
  <c r="K93" i="20" a="1"/>
  <c r="L101" i="16" a="1"/>
  <c r="M61" i="26" a="1"/>
  <c r="M91" i="17" a="1"/>
  <c r="N38" i="21" a="1"/>
  <c r="J98" i="20" a="1"/>
  <c r="N67" i="17" a="1"/>
  <c r="M48" i="16" a="1"/>
  <c r="N111" i="19" a="1"/>
  <c r="M40" i="17" a="1"/>
  <c r="N108" i="16" a="1"/>
  <c r="M25" i="19" a="1"/>
  <c r="N103" i="17" a="1"/>
  <c r="V46" i="15" a="1"/>
  <c r="N57" i="26" a="1"/>
  <c r="O33" i="17" a="1"/>
  <c r="M58" i="13" a="1"/>
  <c r="N63" i="13" a="1"/>
  <c r="N59" i="17" a="1"/>
  <c r="M123" i="19" a="1"/>
  <c r="N74" i="17" a="1"/>
  <c r="O14" i="17" a="1"/>
  <c r="M87" i="20" a="1"/>
  <c r="N58" i="26" a="1"/>
  <c r="N80" i="17" a="1"/>
  <c r="M58" i="26" a="1"/>
  <c r="M84" i="16" a="1"/>
  <c r="N82" i="26" a="1"/>
  <c r="O56" i="19" a="1"/>
  <c r="N36" i="20" a="1"/>
  <c r="O53" i="16" a="1"/>
  <c r="M41" i="17" a="1"/>
  <c r="O44" i="21" a="1"/>
  <c r="M22" i="13" a="1"/>
  <c r="N64" i="16" a="1"/>
  <c r="M122" i="19" a="1"/>
  <c r="O32" i="15" a="1"/>
  <c r="M49" i="17" a="1"/>
  <c r="L87" i="16" a="1"/>
  <c r="K89" i="20" a="1"/>
  <c r="O45" i="13" a="1"/>
  <c r="K90" i="20" a="1"/>
  <c r="O41" i="15" a="1"/>
  <c r="N48" i="16" a="1"/>
  <c r="L93" i="16" a="1"/>
  <c r="O21" i="15" a="1"/>
  <c r="M16" i="21" a="1"/>
  <c r="M24" i="26" a="1"/>
  <c r="O107" i="16" a="1"/>
  <c r="M119" i="19" a="1"/>
  <c r="M64" i="26" a="1"/>
  <c r="N44" i="20" a="1"/>
  <c r="M104" i="16" a="1"/>
  <c r="N43" i="17" a="1"/>
  <c r="N107" i="16" a="1"/>
  <c r="N6" i="19" a="1"/>
  <c r="N6" i="26" a="1"/>
  <c r="O117" i="19" a="1"/>
  <c r="M109" i="19" a="1"/>
  <c r="M46" i="21" a="1"/>
  <c r="O55" i="17" a="1"/>
  <c r="O40" i="21" a="1"/>
  <c r="N37" i="13" a="1"/>
  <c r="J111" i="20" a="1"/>
  <c r="M54" i="20" a="1"/>
  <c r="M63" i="16" a="1"/>
  <c r="O88" i="16" a="1"/>
  <c r="O8" i="16" a="1"/>
  <c r="L63" i="26" a="1"/>
  <c r="N73" i="16" a="1"/>
  <c r="M70" i="20" a="1"/>
  <c r="M55" i="17" a="1"/>
  <c r="K86" i="20" a="1"/>
  <c r="O23" i="26" a="1"/>
  <c r="L13" i="16" a="1"/>
  <c r="O110" i="19" a="1"/>
  <c r="M68" i="17" a="1"/>
  <c r="O69" i="17" a="1"/>
  <c r="O26" i="19" a="1"/>
  <c r="O116" i="19" a="1"/>
  <c r="L25" i="15" a="1"/>
  <c r="O119" i="19" a="1"/>
  <c r="N96" i="16" a="1"/>
  <c r="N36" i="19" a="1"/>
  <c r="O23" i="16" a="1"/>
  <c r="M52" i="20" a="1"/>
  <c r="N41" i="15" a="1"/>
  <c r="L75" i="26" a="1"/>
  <c r="L78" i="16" a="1"/>
  <c r="M78" i="26" a="1"/>
  <c r="N13" i="13" a="1"/>
  <c r="O52" i="19" a="1"/>
  <c r="O12" i="19" a="1"/>
  <c r="Q9" i="15" a="1"/>
  <c r="N14" i="21" a="1"/>
  <c r="L69" i="20" a="1"/>
  <c r="M64" i="13" a="1"/>
  <c r="M81" i="16" a="1"/>
  <c r="O26" i="17" a="1"/>
  <c r="N63" i="26" a="1"/>
  <c r="M14" i="21" a="1"/>
  <c r="O142" i="19" a="1"/>
  <c r="N84" i="17" a="1"/>
  <c r="N41" i="20" a="1"/>
  <c r="O50" i="19" a="1"/>
  <c r="M21" i="15" a="1"/>
  <c r="N56" i="17" a="1"/>
  <c r="O83" i="26" a="1"/>
  <c r="O10" i="26" a="1"/>
  <c r="J94" i="20" a="1"/>
  <c r="O49" i="15" a="1"/>
  <c r="L35" i="15" a="1"/>
  <c r="L26" i="15" a="1"/>
  <c r="J116" i="20" a="1"/>
  <c r="O95" i="16" a="1"/>
  <c r="N27" i="13" a="1"/>
  <c r="M38" i="16" a="1"/>
  <c r="J104" i="20" a="1"/>
  <c r="O77" i="17" a="1"/>
  <c r="L11" i="16" a="1"/>
  <c r="N43" i="13" a="1"/>
  <c r="M53" i="19" a="1"/>
  <c r="M113" i="17" a="1"/>
  <c r="N6" i="13" a="1"/>
  <c r="N7" i="19" a="1"/>
  <c r="N40" i="21" a="1"/>
  <c r="N52" i="20" a="1"/>
  <c r="O38" i="15" a="1"/>
  <c r="M27" i="15" a="1"/>
  <c r="O62" i="13" a="1"/>
  <c r="M45" i="21" a="1"/>
  <c r="N95" i="16" a="1"/>
  <c r="O50" i="21" a="1"/>
  <c r="N22" i="15" a="1"/>
  <c r="M43" i="19" a="1"/>
  <c r="N21" i="15" a="1"/>
  <c r="N71" i="16" a="1"/>
  <c r="M44" i="16" a="1"/>
  <c r="O32" i="19" a="1"/>
  <c r="N64" i="17" a="1"/>
  <c r="O42" i="15" a="1"/>
  <c r="O7" i="19" a="1"/>
  <c r="M143" i="19" a="1"/>
  <c r="N60" i="13" a="1"/>
  <c r="O30" i="19" a="1"/>
  <c r="N17" i="15" a="1"/>
  <c r="M77" i="16" a="1"/>
  <c r="M117" i="19" a="1"/>
  <c r="M112" i="17" a="1"/>
  <c r="N54" i="19" a="1"/>
  <c r="O46" i="13" a="1"/>
  <c r="K111" i="20" a="1"/>
  <c r="L47" i="15" a="1"/>
  <c r="L9" i="16" a="1"/>
  <c r="K98" i="20" a="1"/>
  <c r="N7" i="16" a="1"/>
  <c r="M39" i="20" a="1"/>
  <c r="M32" i="17" a="1"/>
  <c r="O47" i="21" a="1"/>
  <c r="O102" i="16" a="1"/>
  <c r="Q33" i="15" a="1"/>
  <c r="O47" i="13" a="1"/>
  <c r="N113" i="17" a="1"/>
  <c r="N96" i="17" a="1"/>
  <c r="M20" i="19" a="1"/>
  <c r="M36" i="15" a="1"/>
  <c r="M36" i="17" a="1"/>
  <c r="O21" i="13" a="1"/>
  <c r="N10" i="16" a="1"/>
  <c r="N15" i="19" a="1"/>
  <c r="N15" i="13" a="1"/>
  <c r="M44" i="13" a="1"/>
  <c r="O9" i="19" a="1"/>
  <c r="N23" i="19" a="1"/>
  <c r="N28" i="20" a="1"/>
  <c r="M33" i="15" a="1"/>
  <c r="M47" i="17" a="1"/>
  <c r="N31" i="19" a="1"/>
  <c r="M72" i="20" a="1"/>
  <c r="M121" i="19" a="1"/>
  <c r="N81" i="17" a="1"/>
  <c r="O9" i="16" a="1"/>
  <c r="N20" i="13" a="1"/>
  <c r="N24" i="15" a="1"/>
  <c r="N41" i="13" a="1"/>
  <c r="O113" i="17" a="1"/>
  <c r="L89" i="20" a="1"/>
  <c r="M42" i="17" a="1"/>
  <c r="M74" i="16" a="1"/>
  <c r="N106" i="16" a="1"/>
  <c r="N8" i="26" a="1"/>
  <c r="O51" i="21" a="1"/>
  <c r="L48" i="16" a="1"/>
  <c r="O34" i="17" a="1"/>
  <c r="M70" i="16" a="1"/>
  <c r="N64" i="13" a="1"/>
  <c r="K71" i="20" a="1"/>
  <c r="M26" i="13" a="1"/>
  <c r="N130" i="19" a="1"/>
  <c r="L21" i="26" a="1"/>
  <c r="L108" i="16" a="1"/>
  <c r="N21" i="19" a="1"/>
  <c r="N43" i="16" a="1"/>
  <c r="O135" i="19" a="1"/>
  <c r="O26" i="15" a="1"/>
  <c r="M16" i="17" a="1"/>
  <c r="O98" i="17" a="1"/>
  <c r="L23" i="15" a="1"/>
  <c r="N10" i="13" a="1"/>
  <c r="M42" i="21" a="1"/>
  <c r="N48" i="21" a="1"/>
  <c r="O96" i="17" a="1"/>
  <c r="M126" i="19" a="1"/>
  <c r="N33" i="17" a="1"/>
  <c r="N91" i="16" a="1"/>
  <c r="N92" i="17" a="1"/>
  <c r="L70" i="20" a="1"/>
  <c r="L18" i="15" a="1"/>
  <c r="N141" i="19" a="1"/>
  <c r="N19" i="16" a="1"/>
  <c r="N24" i="26" a="1"/>
  <c r="M20" i="26" a="1"/>
  <c r="N19" i="21" a="1"/>
  <c r="O92" i="15" a="1"/>
  <c r="N119" i="19" a="1"/>
  <c r="M114" i="19" a="1"/>
  <c r="M55" i="16" a="1"/>
  <c r="N13" i="20" a="1"/>
  <c r="N8" i="20" a="1"/>
  <c r="O20" i="16" a="1"/>
  <c r="M24" i="20" a="1"/>
  <c r="N34" i="19" a="1"/>
  <c r="O36" i="13" a="1"/>
  <c r="N21" i="26" a="1"/>
  <c r="O10" i="21" a="1"/>
  <c r="N18" i="19" a="1"/>
  <c r="N78" i="16" a="1"/>
  <c r="M30" i="20" a="1"/>
  <c r="L40" i="15" a="1"/>
  <c r="O43" i="13" a="1"/>
  <c r="O35" i="13" a="1"/>
  <c r="M26" i="17" a="1"/>
  <c r="K76" i="20" a="1"/>
  <c r="M9" i="26" a="1"/>
  <c r="M76" i="17" a="1"/>
  <c r="N28" i="17" a="1"/>
  <c r="O80" i="17" a="1"/>
  <c r="L8" i="15" a="1"/>
  <c r="O57" i="16" a="1"/>
  <c r="L45" i="16" a="1"/>
  <c r="O59" i="16" a="1"/>
  <c r="M71" i="20" a="1"/>
  <c r="N12" i="15" a="1"/>
  <c r="L86" i="16" a="1"/>
  <c r="K92" i="20" a="1"/>
  <c r="N33" i="13" a="1"/>
  <c r="N137" i="19" a="1"/>
  <c r="N138" i="19" a="1"/>
  <c r="M53" i="20" a="1"/>
  <c r="N29" i="21" a="1"/>
  <c r="Q49" i="15" a="1"/>
  <c r="N39" i="16" a="1"/>
  <c r="O10" i="17" a="1"/>
  <c r="N14" i="17" a="1"/>
  <c r="N9" i="15" a="1"/>
  <c r="Q18" i="15" a="1"/>
  <c r="O61" i="13" a="1"/>
  <c r="O67" i="16" a="1"/>
  <c r="M78" i="20" a="1"/>
  <c r="N103" i="16" a="1"/>
  <c r="N39" i="13" a="1"/>
  <c r="M105" i="17" a="1"/>
  <c r="M104" i="17" a="1"/>
  <c r="M76" i="26" a="1"/>
  <c r="N53" i="19" a="1"/>
  <c r="M18" i="19" a="1"/>
  <c r="M17" i="19" a="1"/>
  <c r="M14" i="17" a="1"/>
  <c r="M23" i="19" a="1"/>
  <c r="N53" i="16" a="1"/>
  <c r="M85" i="17" a="1"/>
  <c r="L73" i="16" a="1"/>
  <c r="M43" i="17" a="1"/>
  <c r="M30" i="19" a="1"/>
  <c r="N18" i="16" a="1"/>
  <c r="M19" i="21" a="1"/>
  <c r="M9" i="17" a="1"/>
  <c r="N76" i="16" a="1"/>
  <c r="M82" i="26" a="1"/>
  <c r="O58" i="19" a="1"/>
  <c r="M60" i="17" a="1"/>
  <c r="M81" i="17" a="1"/>
  <c r="M82" i="16" a="1"/>
  <c r="J112" i="20" a="1"/>
  <c r="N87" i="16" a="1"/>
  <c r="N50" i="17" a="1"/>
  <c r="O97" i="17" a="1"/>
  <c r="K79" i="20" a="1"/>
  <c r="M58" i="16" a="1"/>
  <c r="J34" i="20" a="1"/>
  <c r="M13" i="20" a="1"/>
  <c r="L38" i="15" a="1"/>
  <c r="L98" i="16" a="1"/>
  <c r="M27" i="21" a="1"/>
  <c r="N43" i="21" a="1"/>
  <c r="O45" i="21" a="1"/>
  <c r="N43" i="20" a="1"/>
  <c r="O16" i="17" a="1"/>
  <c r="N8" i="19" a="1"/>
  <c r="O31" i="17" a="1"/>
  <c r="L103" i="16" a="1"/>
  <c r="N7" i="20" a="1"/>
  <c r="N70" i="13" a="1"/>
  <c r="N56" i="26" a="1"/>
  <c r="M8" i="16" a="1"/>
  <c r="L25" i="26" a="1"/>
  <c r="O35" i="21" a="1"/>
  <c r="O29" i="21" a="1"/>
  <c r="N47" i="20" a="1"/>
  <c r="CK98" i="45" l="1"/>
  <c r="CK82" i="45"/>
  <c r="O6" i="19"/>
  <c r="O106" i="19" s="1"/>
  <c r="N89" i="17"/>
  <c r="N56" i="16"/>
  <c r="M37" i="13"/>
  <c r="N37" i="17"/>
  <c r="M48" i="16"/>
  <c r="O86" i="17"/>
  <c r="O33" i="19"/>
  <c r="M15" i="21"/>
  <c r="O39" i="15"/>
  <c r="N12" i="13"/>
  <c r="O29" i="21"/>
  <c r="M99" i="17"/>
  <c r="L52" i="16"/>
  <c r="O42" i="13"/>
  <c r="M15" i="13"/>
  <c r="N113" i="17"/>
  <c r="O30" i="17"/>
  <c r="M17" i="21"/>
  <c r="N34" i="17"/>
  <c r="M82" i="17"/>
  <c r="N76" i="17"/>
  <c r="N13" i="19"/>
  <c r="O41" i="19"/>
  <c r="M13" i="17"/>
  <c r="M11" i="17"/>
  <c r="M19" i="26"/>
  <c r="M54" i="20"/>
  <c r="M37" i="20"/>
  <c r="O8" i="26"/>
  <c r="N16" i="21"/>
  <c r="M15" i="17"/>
  <c r="L103" i="16"/>
  <c r="N43" i="17"/>
  <c r="O58" i="19"/>
  <c r="M114" i="19"/>
  <c r="O27" i="16"/>
  <c r="L35" i="15"/>
  <c r="K104" i="20"/>
  <c r="N11" i="20"/>
  <c r="N90" i="16"/>
  <c r="N43" i="19"/>
  <c r="O41" i="15"/>
  <c r="N15" i="21"/>
  <c r="M83" i="26"/>
  <c r="N86" i="17"/>
  <c r="O18" i="19"/>
  <c r="O85" i="16"/>
  <c r="N19" i="21"/>
  <c r="L79" i="26"/>
  <c r="N36" i="15"/>
  <c r="O28" i="21"/>
  <c r="M38" i="17"/>
  <c r="M116" i="17"/>
  <c r="L17" i="16"/>
  <c r="M113" i="17"/>
  <c r="N20" i="16"/>
  <c r="N11" i="13"/>
  <c r="N6" i="20"/>
  <c r="N121" i="19"/>
  <c r="O43" i="13"/>
  <c r="M128" i="19"/>
  <c r="M8" i="15"/>
  <c r="O83" i="17"/>
  <c r="O56" i="17"/>
  <c r="N28" i="21"/>
  <c r="N97" i="17"/>
  <c r="O60" i="13"/>
  <c r="M144" i="19"/>
  <c r="N32" i="19"/>
  <c r="M30" i="13"/>
  <c r="M28" i="15"/>
  <c r="M24" i="17"/>
  <c r="N113" i="19"/>
  <c r="N116" i="17"/>
  <c r="M49" i="15"/>
  <c r="N65" i="26"/>
  <c r="N50" i="20"/>
  <c r="O47" i="19"/>
  <c r="N108" i="16"/>
  <c r="Q34" i="15"/>
  <c r="L20" i="26"/>
  <c r="N43" i="13"/>
  <c r="N127" i="19"/>
  <c r="O90" i="16"/>
  <c r="O22" i="26"/>
  <c r="N48" i="20"/>
  <c r="L44" i="16"/>
  <c r="N54" i="20"/>
  <c r="O12" i="16"/>
  <c r="K87" i="20"/>
  <c r="N49" i="15"/>
  <c r="M18" i="13"/>
  <c r="K105" i="20"/>
  <c r="L48" i="16"/>
  <c r="N50" i="19"/>
  <c r="L24" i="15"/>
  <c r="N137" i="19"/>
  <c r="N17" i="21"/>
  <c r="O52" i="16"/>
  <c r="O22" i="19"/>
  <c r="N39" i="17"/>
  <c r="N55" i="26"/>
  <c r="O55" i="19"/>
  <c r="M55" i="16"/>
  <c r="O9" i="16"/>
  <c r="L16" i="16"/>
  <c r="O52" i="19"/>
  <c r="L32" i="15"/>
  <c r="O124" i="19"/>
  <c r="O80" i="17"/>
  <c r="M19" i="19"/>
  <c r="Q91" i="15"/>
  <c r="O54" i="26"/>
  <c r="N17" i="19"/>
  <c r="N9" i="16"/>
  <c r="N58" i="16"/>
  <c r="O25" i="21"/>
  <c r="O20" i="19"/>
  <c r="M56" i="16"/>
  <c r="M86" i="20"/>
  <c r="M139" i="19"/>
  <c r="N96" i="16"/>
  <c r="N68" i="13"/>
  <c r="M50" i="19"/>
  <c r="N80" i="26"/>
  <c r="O36" i="13"/>
  <c r="O74" i="17"/>
  <c r="Q40" i="15"/>
  <c r="M81" i="26"/>
  <c r="M59" i="26"/>
  <c r="N53" i="17"/>
  <c r="O27" i="17"/>
  <c r="N139" i="19"/>
  <c r="O22" i="16"/>
  <c r="O41" i="21"/>
  <c r="L64" i="16"/>
  <c r="O25" i="19"/>
  <c r="J99" i="20"/>
  <c r="L99" i="16"/>
  <c r="N19" i="20"/>
  <c r="N126" i="19"/>
  <c r="N62" i="16"/>
  <c r="M20" i="13"/>
  <c r="O81" i="16"/>
  <c r="K107" i="20"/>
  <c r="M141" i="19"/>
  <c r="O43" i="19"/>
  <c r="M65" i="26"/>
  <c r="N104" i="16"/>
  <c r="Q32" i="15"/>
  <c r="O19" i="13"/>
  <c r="K112" i="20"/>
  <c r="M81" i="20"/>
  <c r="M71" i="20"/>
  <c r="N44" i="16"/>
  <c r="O120" i="19"/>
  <c r="M27" i="13"/>
  <c r="L66" i="20"/>
  <c r="M41" i="21"/>
  <c r="O128" i="19"/>
  <c r="M22" i="26"/>
  <c r="M138" i="19"/>
  <c r="M27" i="16"/>
  <c r="N18" i="15"/>
  <c r="O63" i="26"/>
  <c r="M101" i="17"/>
  <c r="N35" i="19"/>
  <c r="N144" i="19"/>
  <c r="M115" i="19"/>
  <c r="J115" i="20"/>
  <c r="O135" i="19"/>
  <c r="L39" i="16"/>
  <c r="L33" i="16" s="1"/>
  <c r="O11" i="16"/>
  <c r="M31" i="15"/>
  <c r="N66" i="16"/>
  <c r="K103" i="20"/>
  <c r="O60" i="17"/>
  <c r="M66" i="13"/>
  <c r="M94" i="17"/>
  <c r="N38" i="16"/>
  <c r="O97" i="16"/>
  <c r="M106" i="17"/>
  <c r="O28" i="13"/>
  <c r="N55" i="16"/>
  <c r="M35" i="20"/>
  <c r="O38" i="17"/>
  <c r="M104" i="17"/>
  <c r="M23" i="15"/>
  <c r="M92" i="17"/>
  <c r="N40" i="21"/>
  <c r="M58" i="13"/>
  <c r="M140" i="19"/>
  <c r="M38" i="16"/>
  <c r="M116" i="19"/>
  <c r="N20" i="13"/>
  <c r="L7" i="16"/>
  <c r="K94" i="20"/>
  <c r="O53" i="19"/>
  <c r="L65" i="16"/>
  <c r="M53" i="19"/>
  <c r="N92" i="17"/>
  <c r="M14" i="16"/>
  <c r="M70" i="20"/>
  <c r="L93" i="16"/>
  <c r="N105" i="17"/>
  <c r="M93" i="16"/>
  <c r="N47" i="13"/>
  <c r="N24" i="15"/>
  <c r="K91" i="20"/>
  <c r="N79" i="16"/>
  <c r="N90" i="15"/>
  <c r="O16" i="15"/>
  <c r="M18" i="15"/>
  <c r="N14" i="21"/>
  <c r="O62" i="17"/>
  <c r="Q23" i="15"/>
  <c r="Q41" i="15"/>
  <c r="N108" i="17"/>
  <c r="M65" i="16"/>
  <c r="N56" i="20"/>
  <c r="O14" i="13"/>
  <c r="M23" i="21"/>
  <c r="N112" i="19"/>
  <c r="O134" i="19"/>
  <c r="O47" i="13"/>
  <c r="O95" i="16"/>
  <c r="L80" i="26"/>
  <c r="N87" i="17"/>
  <c r="M32" i="19"/>
  <c r="J100" i="20"/>
  <c r="N60" i="13"/>
  <c r="M18" i="20"/>
  <c r="M77" i="17"/>
  <c r="M59" i="13"/>
  <c r="N116" i="19"/>
  <c r="J94" i="20"/>
  <c r="M18" i="16"/>
  <c r="M20" i="26"/>
  <c r="N32" i="15"/>
  <c r="M96" i="16"/>
  <c r="N6" i="26"/>
  <c r="O100" i="17"/>
  <c r="O45" i="13"/>
  <c r="O70" i="16"/>
  <c r="O18" i="15"/>
  <c r="M82" i="26"/>
  <c r="O19" i="26"/>
  <c r="M29" i="20"/>
  <c r="M51" i="20"/>
  <c r="M25" i="19"/>
  <c r="N38" i="19"/>
  <c r="M38" i="13"/>
  <c r="O9" i="21"/>
  <c r="L61" i="16"/>
  <c r="N55" i="19"/>
  <c r="L12" i="16"/>
  <c r="M57" i="19"/>
  <c r="M40" i="21"/>
  <c r="N43" i="16"/>
  <c r="O140" i="19"/>
  <c r="O87" i="17"/>
  <c r="K80" i="20"/>
  <c r="N47" i="19"/>
  <c r="N14" i="16"/>
  <c r="L42" i="15"/>
  <c r="L104" i="16"/>
  <c r="O66" i="13"/>
  <c r="M29" i="13"/>
  <c r="O101" i="16"/>
  <c r="M33" i="17"/>
  <c r="O16" i="13"/>
  <c r="L31" i="15"/>
  <c r="O104" i="17"/>
  <c r="M120" i="19"/>
  <c r="K71" i="20"/>
  <c r="L53" i="16"/>
  <c r="N40" i="13"/>
  <c r="L58" i="26"/>
  <c r="N91" i="17"/>
  <c r="O11" i="13"/>
  <c r="M17" i="13"/>
  <c r="M72" i="20"/>
  <c r="Q14" i="15"/>
  <c r="Q16" i="15"/>
  <c r="M109" i="19"/>
  <c r="N75" i="26"/>
  <c r="O23" i="16"/>
  <c r="O40" i="17"/>
  <c r="M33" i="19"/>
  <c r="O44" i="16"/>
  <c r="K114" i="20"/>
  <c r="M55" i="26"/>
  <c r="M35" i="21"/>
  <c r="L8" i="15"/>
  <c r="O28" i="17"/>
  <c r="O71" i="26"/>
  <c r="M70" i="16"/>
  <c r="O23" i="19"/>
  <c r="O51" i="17"/>
  <c r="M10" i="16"/>
  <c r="M9" i="15"/>
  <c r="N59" i="26"/>
  <c r="N19" i="16"/>
  <c r="N53" i="19"/>
  <c r="O8" i="16"/>
  <c r="M6" i="13"/>
  <c r="N79" i="17"/>
  <c r="M63" i="13"/>
  <c r="M34" i="20"/>
  <c r="O64" i="16"/>
  <c r="O42" i="19"/>
  <c r="M57" i="20"/>
  <c r="N28" i="17"/>
  <c r="N26" i="15"/>
  <c r="M58" i="26"/>
  <c r="M23" i="16"/>
  <c r="M27" i="21"/>
  <c r="N48" i="21"/>
  <c r="O10" i="15"/>
  <c r="O54" i="16"/>
  <c r="N41" i="20"/>
  <c r="O31" i="17"/>
  <c r="M24" i="20"/>
  <c r="M35" i="19"/>
  <c r="L91" i="16"/>
  <c r="M115" i="17"/>
  <c r="N33" i="15"/>
  <c r="N9" i="17"/>
  <c r="N13" i="13"/>
  <c r="O67" i="16"/>
  <c r="M100" i="16"/>
  <c r="M25" i="26"/>
  <c r="N45" i="16"/>
  <c r="N24" i="21"/>
  <c r="M21" i="19"/>
  <c r="M86" i="17"/>
  <c r="L63" i="26"/>
  <c r="M79" i="26"/>
  <c r="O114" i="17"/>
  <c r="N46" i="16"/>
  <c r="N30" i="16" s="1"/>
  <c r="M67" i="20"/>
  <c r="M22" i="19"/>
  <c r="M16" i="19"/>
  <c r="O79" i="16"/>
  <c r="M24" i="15"/>
  <c r="M11" i="19"/>
  <c r="L96" i="16"/>
  <c r="N22" i="21"/>
  <c r="K76" i="20"/>
  <c r="Q13" i="15"/>
  <c r="Q24" i="15"/>
  <c r="N79" i="26"/>
  <c r="M7" i="16"/>
  <c r="N27" i="21"/>
  <c r="N9" i="21"/>
  <c r="M12" i="21"/>
  <c r="N119" i="19"/>
  <c r="L21" i="16"/>
  <c r="M63" i="20"/>
  <c r="O17" i="15"/>
  <c r="M62" i="20"/>
  <c r="N82" i="17"/>
  <c r="O117" i="19"/>
  <c r="O64" i="13"/>
  <c r="L97" i="16"/>
  <c r="N82" i="16"/>
  <c r="M43" i="19"/>
  <c r="O66" i="16"/>
  <c r="N21" i="26"/>
  <c r="M28" i="20"/>
  <c r="O38" i="16"/>
  <c r="M110" i="17"/>
  <c r="L54" i="26"/>
  <c r="N97" i="16"/>
  <c r="N22" i="13"/>
  <c r="O17" i="16"/>
  <c r="M77" i="16"/>
  <c r="N7" i="19"/>
  <c r="M58" i="20"/>
  <c r="M72" i="26"/>
  <c r="M64" i="13"/>
  <c r="M6" i="20"/>
  <c r="V46" i="15"/>
  <c r="N15" i="13"/>
  <c r="M21" i="20"/>
  <c r="O27" i="21"/>
  <c r="O14" i="17"/>
  <c r="L10" i="16"/>
  <c r="N25" i="20"/>
  <c r="O10" i="21"/>
  <c r="N35" i="15"/>
  <c r="N136" i="19"/>
  <c r="O50" i="17"/>
  <c r="N37" i="13"/>
  <c r="N68" i="17"/>
  <c r="L14" i="15"/>
  <c r="N48" i="17"/>
  <c r="L87" i="20"/>
  <c r="N15" i="16"/>
  <c r="O10" i="17"/>
  <c r="N14" i="13"/>
  <c r="M50" i="17"/>
  <c r="O14" i="19"/>
  <c r="M37" i="21"/>
  <c r="N128" i="19"/>
  <c r="N64" i="13"/>
  <c r="N11" i="16"/>
  <c r="N44" i="19"/>
  <c r="M46" i="13"/>
  <c r="M110" i="19"/>
  <c r="K83" i="20"/>
  <c r="M46" i="19"/>
  <c r="O84" i="17"/>
  <c r="N26" i="19"/>
  <c r="K86" i="20"/>
  <c r="N81" i="26"/>
  <c r="N36" i="13"/>
  <c r="M6" i="21"/>
  <c r="L49" i="15"/>
  <c r="N60" i="16"/>
  <c r="M88" i="17"/>
  <c r="N26" i="17"/>
  <c r="M41" i="17"/>
  <c r="N40" i="15"/>
  <c r="O68" i="17"/>
  <c r="O23" i="21"/>
  <c r="N89" i="16"/>
  <c r="O92" i="16"/>
  <c r="L71" i="16"/>
  <c r="N70" i="17"/>
  <c r="J118" i="20"/>
  <c r="M54" i="26"/>
  <c r="L16" i="15"/>
  <c r="O13" i="15"/>
  <c r="K98" i="20"/>
  <c r="O65" i="17"/>
  <c r="M12" i="19"/>
  <c r="O67" i="17"/>
  <c r="N107" i="17"/>
  <c r="N22" i="26"/>
  <c r="N25" i="15"/>
  <c r="J112" i="20"/>
  <c r="L90" i="15"/>
  <c r="O15" i="13"/>
  <c r="L66" i="16"/>
  <c r="M20" i="20"/>
  <c r="M48" i="19"/>
  <c r="N36" i="19"/>
  <c r="N25" i="26"/>
  <c r="N36" i="21"/>
  <c r="J91" i="20"/>
  <c r="O68" i="13"/>
  <c r="N31" i="15"/>
  <c r="L98" i="16"/>
  <c r="L18" i="16"/>
  <c r="O12" i="17"/>
  <c r="N51" i="20"/>
  <c r="M102" i="17"/>
  <c r="K113" i="20"/>
  <c r="M7" i="19"/>
  <c r="O40" i="13"/>
  <c r="M26" i="15"/>
  <c r="M59" i="16"/>
  <c r="M31" i="17"/>
  <c r="L72" i="20"/>
  <c r="M47" i="21"/>
  <c r="L38" i="15"/>
  <c r="L25" i="16"/>
  <c r="K72" i="20"/>
  <c r="M104" i="16"/>
  <c r="K111" i="20"/>
  <c r="M54" i="16"/>
  <c r="N23" i="16"/>
  <c r="M65" i="17"/>
  <c r="N63" i="16"/>
  <c r="K70" i="20"/>
  <c r="O7" i="21"/>
  <c r="O103" i="17"/>
  <c r="O24" i="26"/>
  <c r="M39" i="21"/>
  <c r="N59" i="16"/>
  <c r="L78" i="16"/>
  <c r="O54" i="19"/>
  <c r="O71" i="16"/>
  <c r="M29" i="17"/>
  <c r="M134" i="19"/>
  <c r="K77" i="20"/>
  <c r="M16" i="13"/>
  <c r="L74" i="26"/>
  <c r="Q95" i="15"/>
  <c r="L74" i="20"/>
  <c r="M8" i="20"/>
  <c r="M89" i="16"/>
  <c r="M51" i="19"/>
  <c r="M92" i="15"/>
  <c r="L21" i="26"/>
  <c r="O46" i="17"/>
  <c r="M64" i="17"/>
  <c r="M14" i="19"/>
  <c r="O24" i="21"/>
  <c r="O11" i="17"/>
  <c r="O94" i="16"/>
  <c r="M45" i="21"/>
  <c r="M62" i="26"/>
  <c r="N106" i="16"/>
  <c r="N30" i="13"/>
  <c r="O99" i="16"/>
  <c r="N66" i="13"/>
  <c r="O89" i="16"/>
  <c r="M133" i="19"/>
  <c r="M16" i="17"/>
  <c r="N58" i="20"/>
  <c r="O34" i="13"/>
  <c r="M30" i="20"/>
  <c r="L47" i="15"/>
  <c r="L48" i="15" s="1"/>
  <c r="M119" i="19"/>
  <c r="M61" i="13"/>
  <c r="J103" i="20"/>
  <c r="N92" i="15"/>
  <c r="M40" i="13"/>
  <c r="J116" i="20"/>
  <c r="M16" i="26"/>
  <c r="N17" i="15"/>
  <c r="N142" i="19"/>
  <c r="N61" i="26"/>
  <c r="L89" i="16"/>
  <c r="O106" i="17"/>
  <c r="N23" i="15"/>
  <c r="N17" i="17"/>
  <c r="M45" i="19"/>
  <c r="M85" i="20"/>
  <c r="O47" i="17"/>
  <c r="O10" i="16"/>
  <c r="M22" i="21"/>
  <c r="M39" i="15"/>
  <c r="N130" i="19"/>
  <c r="N39" i="21"/>
  <c r="N75" i="16"/>
  <c r="M11" i="16"/>
  <c r="J98" i="20"/>
  <c r="J107" i="20"/>
  <c r="N23" i="26"/>
  <c r="N18" i="16"/>
  <c r="O38" i="19"/>
  <c r="K95" i="20"/>
  <c r="N52" i="20"/>
  <c r="M45" i="20"/>
  <c r="N9" i="15"/>
  <c r="L33" i="15"/>
  <c r="O6" i="21"/>
  <c r="N138" i="19"/>
  <c r="N133" i="19"/>
  <c r="L76" i="16"/>
  <c r="M40" i="15"/>
  <c r="O40" i="19"/>
  <c r="Q28" i="15"/>
  <c r="O30" i="19"/>
  <c r="O91" i="15"/>
  <c r="N24" i="26"/>
  <c r="O13" i="19"/>
  <c r="M106" i="16"/>
  <c r="O102" i="16"/>
  <c r="N57" i="17"/>
  <c r="N22" i="15"/>
  <c r="M68" i="20"/>
  <c r="N38" i="15"/>
  <c r="M84" i="20"/>
  <c r="L85" i="20"/>
  <c r="O17" i="19"/>
  <c r="L76" i="20"/>
  <c r="L80" i="20"/>
  <c r="J109" i="20"/>
  <c r="N18" i="13"/>
  <c r="O57" i="16"/>
  <c r="N59" i="13"/>
  <c r="L100" i="16"/>
  <c r="K90" i="20"/>
  <c r="N58" i="17"/>
  <c r="N10" i="16"/>
  <c r="J96" i="20"/>
  <c r="O26" i="17"/>
  <c r="Q9" i="15"/>
  <c r="N39" i="19"/>
  <c r="O21" i="19"/>
  <c r="O102" i="17"/>
  <c r="N66" i="26"/>
  <c r="M103" i="17"/>
  <c r="L86" i="20"/>
  <c r="M17" i="20"/>
  <c r="L23" i="16"/>
  <c r="M10" i="26"/>
  <c r="K116" i="20"/>
  <c r="L59" i="26"/>
  <c r="O46" i="16"/>
  <c r="O30" i="16" s="1"/>
  <c r="N58" i="13"/>
  <c r="M26" i="19"/>
  <c r="N26" i="20"/>
  <c r="M17" i="16"/>
  <c r="N22" i="20"/>
  <c r="N11" i="17"/>
  <c r="M67" i="13"/>
  <c r="M22" i="13"/>
  <c r="M63" i="16"/>
  <c r="N7" i="20"/>
  <c r="N141" i="19"/>
  <c r="N18" i="21"/>
  <c r="N45" i="17"/>
  <c r="L36" i="15"/>
  <c r="O43" i="21"/>
  <c r="K81" i="20"/>
  <c r="M114" i="17"/>
  <c r="L16" i="26"/>
  <c r="O18" i="16"/>
  <c r="N25" i="13"/>
  <c r="M24" i="21"/>
  <c r="N19" i="13"/>
  <c r="L87" i="16"/>
  <c r="M121" i="19"/>
  <c r="M23" i="19"/>
  <c r="O13" i="16"/>
  <c r="N29" i="20"/>
  <c r="N6" i="19"/>
  <c r="N106" i="19" s="1"/>
  <c r="N125" i="19"/>
  <c r="M54" i="17"/>
  <c r="O96" i="16"/>
  <c r="N64" i="16"/>
  <c r="M85" i="17"/>
  <c r="N63" i="26"/>
  <c r="M16" i="16"/>
  <c r="L14" i="16"/>
  <c r="M109" i="16"/>
  <c r="N48" i="16"/>
  <c r="N6" i="13"/>
  <c r="M6" i="26"/>
  <c r="O54" i="17"/>
  <c r="L102" i="16"/>
  <c r="M103" i="16"/>
  <c r="M28" i="21"/>
  <c r="O69" i="17"/>
  <c r="O16" i="26"/>
  <c r="O15" i="17"/>
  <c r="L72" i="26"/>
  <c r="M69" i="20"/>
  <c r="M14" i="20"/>
  <c r="N74" i="17"/>
  <c r="L34" i="20"/>
  <c r="O133" i="19"/>
  <c r="O41" i="17"/>
  <c r="M15" i="20"/>
  <c r="M66" i="16"/>
  <c r="N124" i="19"/>
  <c r="O12" i="21"/>
  <c r="M91" i="16"/>
  <c r="O17" i="13"/>
  <c r="O65" i="13"/>
  <c r="N47" i="21"/>
  <c r="M27" i="17"/>
  <c r="L9" i="26"/>
  <c r="N46" i="19"/>
  <c r="N39" i="20"/>
  <c r="O114" i="19"/>
  <c r="N33" i="20"/>
  <c r="O58" i="16"/>
  <c r="O92" i="15"/>
  <c r="Q31" i="15"/>
  <c r="O20" i="16"/>
  <c r="M46" i="21"/>
  <c r="N51" i="19"/>
  <c r="O49" i="17"/>
  <c r="M19" i="13"/>
  <c r="N90" i="17"/>
  <c r="M47" i="17"/>
  <c r="O34" i="21"/>
  <c r="N41" i="17"/>
  <c r="N17" i="16"/>
  <c r="O12" i="19"/>
  <c r="N64" i="17"/>
  <c r="N67" i="13"/>
  <c r="M107" i="16"/>
  <c r="O76" i="26"/>
  <c r="M87" i="16"/>
  <c r="N36" i="20"/>
  <c r="N31" i="13"/>
  <c r="O43" i="17"/>
  <c r="L69" i="16"/>
  <c r="N42" i="17"/>
  <c r="M71" i="26"/>
  <c r="M18" i="19"/>
  <c r="M64" i="16"/>
  <c r="N39" i="16"/>
  <c r="N33" i="16" s="1"/>
  <c r="L106" i="16"/>
  <c r="N117" i="19"/>
  <c r="N21" i="15"/>
  <c r="N99" i="17"/>
  <c r="L86" i="16"/>
  <c r="N31" i="19"/>
  <c r="Q38" i="15"/>
  <c r="M26" i="17"/>
  <c r="M33" i="13"/>
  <c r="L67" i="20"/>
  <c r="N94" i="16"/>
  <c r="M123" i="19"/>
  <c r="M23" i="26"/>
  <c r="N49" i="17"/>
  <c r="M61" i="26"/>
  <c r="L83" i="26"/>
  <c r="O79" i="17"/>
  <c r="N25" i="16"/>
  <c r="O116" i="17"/>
  <c r="O89" i="17"/>
  <c r="L77" i="20"/>
  <c r="N52" i="17"/>
  <c r="M59" i="17"/>
  <c r="O113" i="19"/>
  <c r="N32" i="17"/>
  <c r="J105" i="20"/>
  <c r="M80" i="26"/>
  <c r="O33" i="17"/>
  <c r="Q33" i="15"/>
  <c r="N100" i="16"/>
  <c r="M36" i="13"/>
  <c r="M73" i="26"/>
  <c r="O25" i="16"/>
  <c r="N93" i="15"/>
  <c r="M6" i="19"/>
  <c r="M106" i="19" s="1"/>
  <c r="O46" i="21"/>
  <c r="M125" i="19"/>
  <c r="O17" i="17"/>
  <c r="M79" i="17"/>
  <c r="O83" i="26"/>
  <c r="N95" i="17"/>
  <c r="O14" i="15"/>
  <c r="L90" i="20"/>
  <c r="M18" i="26"/>
  <c r="M14" i="13"/>
  <c r="O27" i="13"/>
  <c r="N12" i="17"/>
  <c r="N14" i="15"/>
  <c r="M30" i="19"/>
  <c r="M33" i="20"/>
  <c r="M24" i="13"/>
  <c r="M25" i="15"/>
  <c r="L27" i="15"/>
  <c r="N35" i="21"/>
  <c r="O11" i="21"/>
  <c r="M54" i="19"/>
  <c r="O26" i="13"/>
  <c r="M15" i="19"/>
  <c r="O45" i="19"/>
  <c r="M38" i="20"/>
  <c r="K62" i="20"/>
  <c r="M11" i="15"/>
  <c r="M63" i="17"/>
  <c r="M49" i="19"/>
  <c r="O105" i="17"/>
  <c r="N22" i="16"/>
  <c r="N109" i="17"/>
  <c r="O55" i="17"/>
  <c r="N19" i="19"/>
  <c r="N64" i="26"/>
  <c r="N107" i="16"/>
  <c r="M23" i="13"/>
  <c r="O136" i="19"/>
  <c r="M24" i="26"/>
  <c r="M13" i="21"/>
  <c r="O35" i="13"/>
  <c r="N39" i="13"/>
  <c r="M60" i="13"/>
  <c r="M13" i="13"/>
  <c r="M67" i="16"/>
  <c r="N41" i="15"/>
  <c r="N42" i="15"/>
  <c r="M47" i="19"/>
  <c r="O118" i="19"/>
  <c r="L19" i="16"/>
  <c r="O14" i="16"/>
  <c r="N67" i="17"/>
  <c r="O37" i="21"/>
  <c r="M27" i="15"/>
  <c r="M75" i="17"/>
  <c r="O45" i="17"/>
  <c r="O16" i="19"/>
  <c r="N99" i="16"/>
  <c r="M80" i="16"/>
  <c r="N13" i="20"/>
  <c r="M143" i="19"/>
  <c r="O137" i="19"/>
  <c r="L73" i="20"/>
  <c r="M86" i="16"/>
  <c r="N12" i="15"/>
  <c r="N10" i="20"/>
  <c r="M40" i="20"/>
  <c r="O36" i="19"/>
  <c r="N111" i="17"/>
  <c r="O57" i="19"/>
  <c r="M53" i="16"/>
  <c r="L41" i="15"/>
  <c r="L91" i="15"/>
  <c r="O49" i="19"/>
  <c r="L77" i="16"/>
  <c r="K92" i="20"/>
  <c r="N12" i="16"/>
  <c r="O13" i="21"/>
  <c r="M32" i="15"/>
  <c r="O23" i="15"/>
  <c r="K68" i="20"/>
  <c r="N23" i="19"/>
  <c r="J113" i="20"/>
  <c r="Q26" i="15"/>
  <c r="O97" i="17"/>
  <c r="N100" i="17"/>
  <c r="N37" i="20"/>
  <c r="K100" i="20"/>
  <c r="N78" i="26"/>
  <c r="K108" i="20"/>
  <c r="Q11" i="15"/>
  <c r="L20" i="16"/>
  <c r="M79" i="16"/>
  <c r="N114" i="17"/>
  <c r="N44" i="20"/>
  <c r="O33" i="15"/>
  <c r="M57" i="17"/>
  <c r="M14" i="21"/>
  <c r="O46" i="19"/>
  <c r="N8" i="15"/>
  <c r="O76" i="17"/>
  <c r="M38" i="19"/>
  <c r="M34" i="19"/>
  <c r="M129" i="19"/>
  <c r="N41" i="13"/>
  <c r="N42" i="19"/>
  <c r="M47" i="13"/>
  <c r="N30" i="20"/>
  <c r="M89" i="17"/>
  <c r="N18" i="19"/>
  <c r="O47" i="15"/>
  <c r="O48" i="15" s="1"/>
  <c r="M57" i="26"/>
  <c r="L65" i="20"/>
  <c r="M36" i="19"/>
  <c r="N8" i="26"/>
  <c r="O93" i="17"/>
  <c r="O119" i="19"/>
  <c r="D7" i="16"/>
  <c r="N101" i="17"/>
  <c r="L26" i="16"/>
  <c r="L64" i="26"/>
  <c r="M98" i="17"/>
  <c r="M50" i="20"/>
  <c r="O56" i="16"/>
  <c r="N12" i="19"/>
  <c r="M13" i="15"/>
  <c r="N9" i="26"/>
  <c r="K66" i="20"/>
  <c r="M94" i="16"/>
  <c r="M113" i="19"/>
  <c r="N122" i="19"/>
  <c r="N27" i="15"/>
  <c r="N74" i="16"/>
  <c r="O44" i="19"/>
  <c r="L108" i="16"/>
  <c r="O126" i="19"/>
  <c r="K78" i="20"/>
  <c r="M36" i="17"/>
  <c r="O32" i="19"/>
  <c r="M98" i="16"/>
  <c r="O46" i="13"/>
  <c r="L22" i="26"/>
  <c r="Q27" i="15"/>
  <c r="N85" i="17"/>
  <c r="M95" i="17"/>
  <c r="O123" i="19"/>
  <c r="M78" i="20"/>
  <c r="M16" i="21"/>
  <c r="O23" i="26"/>
  <c r="N118" i="19"/>
  <c r="L57" i="26"/>
  <c r="M42" i="19"/>
  <c r="O17" i="26"/>
  <c r="L13" i="16"/>
  <c r="L109" i="16"/>
  <c r="K99" i="20"/>
  <c r="N8" i="19"/>
  <c r="K118" i="20"/>
  <c r="L92" i="15"/>
  <c r="N22" i="19"/>
  <c r="M107" i="17"/>
  <c r="M93" i="17"/>
  <c r="M90" i="15"/>
  <c r="O41" i="13"/>
  <c r="M105" i="16"/>
  <c r="M36" i="21"/>
  <c r="O57" i="17"/>
  <c r="O10" i="13"/>
  <c r="O93" i="16"/>
  <c r="M10" i="21"/>
  <c r="N51" i="21"/>
  <c r="M12" i="15"/>
  <c r="N49" i="21"/>
  <c r="M25" i="13"/>
  <c r="M64" i="26"/>
  <c r="M92" i="16"/>
  <c r="M90" i="20"/>
  <c r="Q8" i="15"/>
  <c r="M66" i="26"/>
  <c r="O25" i="13"/>
  <c r="N81" i="17"/>
  <c r="M46" i="17"/>
  <c r="L23" i="15"/>
  <c r="O66" i="26"/>
  <c r="M95" i="16"/>
  <c r="N27" i="13"/>
  <c r="K73" i="20"/>
  <c r="O69" i="16"/>
  <c r="M47" i="20"/>
  <c r="O73" i="26"/>
  <c r="O34" i="15"/>
  <c r="M44" i="20"/>
  <c r="K79" i="20"/>
  <c r="O12" i="13"/>
  <c r="M16" i="15"/>
  <c r="N95" i="16"/>
  <c r="M49" i="17"/>
  <c r="L34" i="15"/>
  <c r="M19" i="16"/>
  <c r="O25" i="17"/>
  <c r="K63" i="20"/>
  <c r="L88" i="16"/>
  <c r="N88" i="16"/>
  <c r="N21" i="16"/>
  <c r="N54" i="19"/>
  <c r="M41" i="13"/>
  <c r="M20" i="19"/>
  <c r="M40" i="17"/>
  <c r="N12" i="21"/>
  <c r="O19" i="19"/>
  <c r="M9" i="26"/>
  <c r="N38" i="20"/>
  <c r="M8" i="16"/>
  <c r="M72" i="16"/>
  <c r="M111" i="19"/>
  <c r="O62" i="16"/>
  <c r="N21" i="13"/>
  <c r="O40" i="21"/>
  <c r="N63" i="13"/>
  <c r="O38" i="15"/>
  <c r="N67" i="16"/>
  <c r="L78" i="20"/>
  <c r="N10" i="15"/>
  <c r="M60" i="16"/>
  <c r="M13" i="16"/>
  <c r="K96" i="20"/>
  <c r="O17" i="21"/>
  <c r="O34" i="19"/>
  <c r="N134" i="19"/>
  <c r="Q90" i="15"/>
  <c r="O61" i="26"/>
  <c r="N85" i="16"/>
  <c r="L18" i="15"/>
  <c r="M52" i="16"/>
  <c r="N16" i="16"/>
  <c r="N114" i="19"/>
  <c r="M52" i="19"/>
  <c r="O7" i="16"/>
  <c r="M51" i="17"/>
  <c r="N73" i="16"/>
  <c r="M109" i="17"/>
  <c r="N45" i="20"/>
  <c r="M91" i="15"/>
  <c r="M44" i="13"/>
  <c r="O91" i="17"/>
  <c r="M43" i="13"/>
  <c r="L61" i="20"/>
  <c r="O59" i="13"/>
  <c r="O37" i="13"/>
  <c r="O70" i="13"/>
  <c r="M64" i="20"/>
  <c r="N42" i="16"/>
  <c r="M9" i="19"/>
  <c r="M7" i="21"/>
  <c r="O32" i="17"/>
  <c r="M87" i="20"/>
  <c r="M39" i="19"/>
  <c r="O20" i="26"/>
  <c r="O55" i="16"/>
  <c r="M74" i="26"/>
  <c r="N16" i="13"/>
  <c r="L89" i="20"/>
  <c r="M50" i="21"/>
  <c r="M12" i="20"/>
  <c r="O35" i="17"/>
  <c r="N106" i="17"/>
  <c r="M77" i="20"/>
  <c r="O21" i="13"/>
  <c r="N123" i="19"/>
  <c r="N40" i="19"/>
  <c r="N92" i="16"/>
  <c r="N27" i="16"/>
  <c r="O13" i="17"/>
  <c r="N87" i="16"/>
  <c r="N13" i="16"/>
  <c r="L60" i="20"/>
  <c r="M69" i="17"/>
  <c r="O72" i="26"/>
  <c r="M22" i="20"/>
  <c r="J111" i="20"/>
  <c r="M11" i="21"/>
  <c r="O78" i="17"/>
  <c r="N16" i="17"/>
  <c r="O45" i="16"/>
  <c r="N93" i="16"/>
  <c r="M31" i="19"/>
  <c r="O92" i="17"/>
  <c r="M26" i="13"/>
  <c r="N17" i="20"/>
  <c r="O115" i="19"/>
  <c r="M97" i="17"/>
  <c r="M56" i="26"/>
  <c r="O139" i="19"/>
  <c r="N16" i="19"/>
  <c r="L17" i="26"/>
  <c r="M69" i="16"/>
  <c r="L70" i="20"/>
  <c r="O49" i="15"/>
  <c r="N31" i="17"/>
  <c r="O73" i="16"/>
  <c r="O63" i="13"/>
  <c r="O29" i="13"/>
  <c r="M43" i="20"/>
  <c r="O109" i="19"/>
  <c r="N75" i="17"/>
  <c r="N23" i="21"/>
  <c r="O6" i="13"/>
  <c r="N24" i="17"/>
  <c r="N129" i="19"/>
  <c r="L63" i="20"/>
  <c r="O15" i="19"/>
  <c r="N83" i="17"/>
  <c r="M84" i="17"/>
  <c r="O104" i="16"/>
  <c r="O75" i="17"/>
  <c r="O71" i="17"/>
  <c r="M10" i="15"/>
  <c r="N65" i="17"/>
  <c r="L82" i="16"/>
  <c r="N84" i="17"/>
  <c r="O53" i="17"/>
  <c r="N19" i="26"/>
  <c r="M21" i="13"/>
  <c r="L23" i="26"/>
  <c r="M43" i="16"/>
  <c r="O35" i="21"/>
  <c r="N30" i="17"/>
  <c r="M12" i="17"/>
  <c r="M29" i="21"/>
  <c r="O14" i="21"/>
  <c r="N43" i="20"/>
  <c r="O50" i="19"/>
  <c r="O31" i="15"/>
  <c r="M60" i="20"/>
  <c r="O60" i="16"/>
  <c r="N41" i="21"/>
  <c r="O16" i="16"/>
  <c r="O9" i="15"/>
  <c r="Q35" i="15"/>
  <c r="N61" i="13"/>
  <c r="M41" i="20"/>
  <c r="M76" i="17"/>
  <c r="L105" i="16"/>
  <c r="M45" i="16"/>
  <c r="M122" i="19"/>
  <c r="M42" i="15"/>
  <c r="O6" i="16"/>
  <c r="N30" i="19"/>
  <c r="N94" i="17"/>
  <c r="L10" i="26"/>
  <c r="M7" i="20"/>
  <c r="M66" i="20"/>
  <c r="M124" i="19"/>
  <c r="N51" i="17"/>
  <c r="N86" i="16"/>
  <c r="N46" i="13"/>
  <c r="O72" i="17"/>
  <c r="N71" i="17"/>
  <c r="N33" i="17"/>
  <c r="M142" i="19"/>
  <c r="L38" i="16"/>
  <c r="M12" i="16"/>
  <c r="M48" i="17"/>
  <c r="M52" i="17"/>
  <c r="O24" i="15"/>
  <c r="M28" i="17"/>
  <c r="L79" i="20"/>
  <c r="M8" i="19"/>
  <c r="M88" i="20"/>
  <c r="N27" i="17"/>
  <c r="O87" i="16"/>
  <c r="N55" i="17"/>
  <c r="M73" i="16"/>
  <c r="O88" i="16"/>
  <c r="Q39" i="15"/>
  <c r="Q93" i="15"/>
  <c r="M101" i="16"/>
  <c r="O51" i="21"/>
  <c r="O90" i="17"/>
  <c r="L35" i="20"/>
  <c r="M17" i="19"/>
  <c r="O90" i="15"/>
  <c r="O22" i="21"/>
  <c r="L82" i="26"/>
  <c r="M55" i="17"/>
  <c r="N48" i="19"/>
  <c r="O98" i="16"/>
  <c r="M31" i="13"/>
  <c r="M91" i="17"/>
  <c r="M75" i="20"/>
  <c r="N120" i="19"/>
  <c r="L95" i="15"/>
  <c r="M34" i="15"/>
  <c r="N47" i="20"/>
  <c r="O34" i="17"/>
  <c r="O99" i="17"/>
  <c r="N17" i="26"/>
  <c r="O18" i="13"/>
  <c r="N73" i="17"/>
  <c r="N57" i="16"/>
  <c r="O6" i="26"/>
  <c r="O49" i="21"/>
  <c r="M99" i="16"/>
  <c r="O94" i="17"/>
  <c r="L72" i="16"/>
  <c r="M41" i="19"/>
  <c r="O125" i="19"/>
  <c r="M56" i="19"/>
  <c r="O58" i="17"/>
  <c r="O51" i="19"/>
  <c r="M81" i="16"/>
  <c r="L78" i="26"/>
  <c r="L24" i="26"/>
  <c r="K109" i="20"/>
  <c r="L83" i="20"/>
  <c r="M51" i="21"/>
  <c r="O42" i="16"/>
  <c r="M26" i="20"/>
  <c r="O50" i="21"/>
  <c r="L15" i="16"/>
  <c r="N115" i="17"/>
  <c r="M62" i="13"/>
  <c r="N56" i="19"/>
  <c r="L75" i="20"/>
  <c r="M63" i="26"/>
  <c r="O36" i="15"/>
  <c r="M62" i="16"/>
  <c r="N16" i="26"/>
  <c r="O22" i="15"/>
  <c r="O24" i="13"/>
  <c r="N77" i="16"/>
  <c r="M10" i="17"/>
  <c r="N29" i="13"/>
  <c r="L93" i="15"/>
  <c r="M16" i="20"/>
  <c r="K75" i="20"/>
  <c r="O29" i="17"/>
  <c r="O82" i="26"/>
  <c r="O18" i="21"/>
  <c r="M58" i="19"/>
  <c r="L73" i="16"/>
  <c r="N17" i="13"/>
  <c r="M13" i="20"/>
  <c r="J117" i="20"/>
  <c r="N76" i="26"/>
  <c r="O39" i="21"/>
  <c r="N110" i="17"/>
  <c r="N93" i="17"/>
  <c r="L101" i="16"/>
  <c r="M41" i="15"/>
  <c r="N102" i="17"/>
  <c r="M70" i="17"/>
  <c r="N10" i="21"/>
  <c r="O144" i="19"/>
  <c r="N25" i="21"/>
  <c r="O38" i="13"/>
  <c r="O93" i="15"/>
  <c r="N16" i="15"/>
  <c r="N20" i="26"/>
  <c r="M118" i="19"/>
  <c r="L70" i="16"/>
  <c r="O36" i="17"/>
  <c r="L64" i="20"/>
  <c r="O59" i="17"/>
  <c r="M10" i="19"/>
  <c r="O58" i="26"/>
  <c r="N52" i="21"/>
  <c r="N38" i="13"/>
  <c r="M76" i="26"/>
  <c r="O33" i="13"/>
  <c r="O25" i="15"/>
  <c r="N34" i="15"/>
  <c r="N140" i="19"/>
  <c r="M24" i="16"/>
  <c r="O78" i="16"/>
  <c r="K65" i="20"/>
  <c r="L71" i="26"/>
  <c r="L6" i="26"/>
  <c r="M47" i="15"/>
  <c r="M48" i="15" s="1"/>
  <c r="N11" i="19"/>
  <c r="M44" i="19"/>
  <c r="M84" i="16"/>
  <c r="O10" i="26"/>
  <c r="Q17" i="15"/>
  <c r="Q47" i="15"/>
  <c r="Q48" i="15" s="1"/>
  <c r="O26" i="15"/>
  <c r="M14" i="17"/>
  <c r="M100" i="17"/>
  <c r="K115" i="20"/>
  <c r="M10" i="13"/>
  <c r="O11" i="19"/>
  <c r="O8" i="15"/>
  <c r="M17" i="17"/>
  <c r="N71" i="26"/>
  <c r="M26" i="21"/>
  <c r="L43" i="16"/>
  <c r="O142" i="19"/>
  <c r="M31" i="20"/>
  <c r="O38" i="21"/>
  <c r="N83" i="26"/>
  <c r="O112" i="19"/>
  <c r="K82" i="20"/>
  <c r="M76" i="16"/>
  <c r="N10" i="26"/>
  <c r="O109" i="16"/>
  <c r="N14" i="20"/>
  <c r="O109" i="17"/>
  <c r="M11" i="20"/>
  <c r="M105" i="17"/>
  <c r="O67" i="13"/>
  <c r="N6" i="21"/>
  <c r="L22" i="15"/>
  <c r="O16" i="21"/>
  <c r="N14" i="19"/>
  <c r="K117" i="20"/>
  <c r="J106" i="20"/>
  <c r="L25" i="26"/>
  <c r="M39" i="17"/>
  <c r="N37" i="19"/>
  <c r="N91" i="16"/>
  <c r="L55" i="26"/>
  <c r="L24" i="16"/>
  <c r="N15" i="17"/>
  <c r="N104" i="17"/>
  <c r="L18" i="26"/>
  <c r="N112" i="17"/>
  <c r="N31" i="20"/>
  <c r="M130" i="19"/>
  <c r="N13" i="15"/>
  <c r="L65" i="26"/>
  <c r="N55" i="20"/>
  <c r="O23" i="13"/>
  <c r="M75" i="26"/>
  <c r="M39" i="20"/>
  <c r="N84" i="16"/>
  <c r="M35" i="17"/>
  <c r="N91" i="15"/>
  <c r="M10" i="20"/>
  <c r="N54" i="17"/>
  <c r="N33" i="19"/>
  <c r="K89" i="20"/>
  <c r="M21" i="26"/>
  <c r="O74" i="16"/>
  <c r="O31" i="19"/>
  <c r="O7" i="19"/>
  <c r="M36" i="15"/>
  <c r="M55" i="19"/>
  <c r="M27" i="20"/>
  <c r="M58" i="16"/>
  <c r="M35" i="15"/>
  <c r="O28" i="15"/>
  <c r="M108" i="16"/>
  <c r="L11" i="16"/>
  <c r="M117" i="19"/>
  <c r="L90" i="16"/>
  <c r="N45" i="21"/>
  <c r="O37" i="17"/>
  <c r="O58" i="13"/>
  <c r="M74" i="16"/>
  <c r="M136" i="19"/>
  <c r="O111" i="17"/>
  <c r="N40" i="17"/>
  <c r="M53" i="20"/>
  <c r="N24" i="16"/>
  <c r="N45" i="19"/>
  <c r="N29" i="17"/>
  <c r="L75" i="26"/>
  <c r="O72" i="16"/>
  <c r="L81" i="16"/>
  <c r="L82" i="20"/>
  <c r="N41" i="19"/>
  <c r="N78" i="16"/>
  <c r="N10" i="19"/>
  <c r="M38" i="21"/>
  <c r="L54" i="16"/>
  <c r="N6" i="16"/>
  <c r="N36" i="17"/>
  <c r="N80" i="17"/>
  <c r="N111" i="19"/>
  <c r="M78" i="26"/>
  <c r="O20" i="13"/>
  <c r="O39" i="17"/>
  <c r="N143" i="19"/>
  <c r="O42" i="15"/>
  <c r="M95" i="15"/>
  <c r="N53" i="16"/>
  <c r="J97" i="20"/>
  <c r="L62" i="16"/>
  <c r="M17" i="15"/>
  <c r="L69" i="20"/>
  <c r="L56" i="26"/>
  <c r="K97" i="20"/>
  <c r="Q22" i="15"/>
  <c r="Q92" i="15"/>
  <c r="M79" i="20"/>
  <c r="L19" i="26"/>
  <c r="N24" i="20"/>
  <c r="M68" i="17"/>
  <c r="L13" i="15"/>
  <c r="M56" i="20"/>
  <c r="N8" i="20"/>
  <c r="O64" i="17"/>
  <c r="M71" i="17"/>
  <c r="N47" i="15"/>
  <c r="N48" i="15" s="1"/>
  <c r="M34" i="17"/>
  <c r="K110" i="20"/>
  <c r="O100" i="16"/>
  <c r="O15" i="16"/>
  <c r="N44" i="13"/>
  <c r="O106" i="16"/>
  <c r="O98" i="17"/>
  <c r="N20" i="19"/>
  <c r="M21" i="15"/>
  <c r="K93" i="20"/>
  <c r="O61" i="16"/>
  <c r="N11" i="21"/>
  <c r="O127" i="19"/>
  <c r="N52" i="19"/>
  <c r="M85" i="16"/>
  <c r="O105" i="16"/>
  <c r="M37" i="17"/>
  <c r="M56" i="17"/>
  <c r="N23" i="13"/>
  <c r="O10" i="19"/>
  <c r="O19" i="21"/>
  <c r="O80" i="16"/>
  <c r="N40" i="20"/>
  <c r="M52" i="21"/>
  <c r="O32" i="15"/>
  <c r="N61" i="16"/>
  <c r="O13" i="13"/>
  <c r="N60" i="17"/>
  <c r="N101" i="16"/>
  <c r="K60" i="20"/>
  <c r="O74" i="26"/>
  <c r="O107" i="17"/>
  <c r="N13" i="21"/>
  <c r="O73" i="17"/>
  <c r="N72" i="17"/>
  <c r="M74" i="17"/>
  <c r="M30" i="17"/>
  <c r="O75" i="26"/>
  <c r="Q42" i="15"/>
  <c r="M70" i="13"/>
  <c r="L61" i="26"/>
  <c r="O77" i="17"/>
  <c r="M126" i="19"/>
  <c r="O26" i="19"/>
  <c r="O65" i="26"/>
  <c r="O8" i="21"/>
  <c r="O95" i="17"/>
  <c r="N8" i="16"/>
  <c r="L28" i="15"/>
  <c r="O70" i="17"/>
  <c r="M25" i="21"/>
  <c r="M9" i="21"/>
  <c r="O43" i="16"/>
  <c r="O130" i="19"/>
  <c r="N43" i="21"/>
  <c r="L9" i="16"/>
  <c r="N76" i="16"/>
  <c r="M93" i="15"/>
  <c r="M20" i="16"/>
  <c r="O36" i="21"/>
  <c r="M8" i="26"/>
  <c r="N50" i="17"/>
  <c r="O101" i="17"/>
  <c r="N11" i="15"/>
  <c r="M102" i="16"/>
  <c r="N110" i="19"/>
  <c r="O12" i="15"/>
  <c r="M48" i="21"/>
  <c r="L21" i="15"/>
  <c r="O65" i="16"/>
  <c r="N13" i="17"/>
  <c r="L76" i="26"/>
  <c r="O16" i="17"/>
  <c r="O56" i="19"/>
  <c r="L62" i="20"/>
  <c r="M42" i="21"/>
  <c r="O86" i="16"/>
  <c r="L42" i="16"/>
  <c r="J92" i="20"/>
  <c r="N28" i="13"/>
  <c r="O138" i="19"/>
  <c r="N46" i="17"/>
  <c r="M38" i="15"/>
  <c r="L81" i="20"/>
  <c r="O116" i="19"/>
  <c r="M61" i="16"/>
  <c r="J102" i="20"/>
  <c r="N96" i="17"/>
  <c r="J108" i="20"/>
  <c r="N34" i="19"/>
  <c r="L58" i="16"/>
  <c r="L57" i="16"/>
  <c r="N57" i="19"/>
  <c r="M71" i="16"/>
  <c r="Q18" i="15"/>
  <c r="N77" i="17"/>
  <c r="M21" i="16"/>
  <c r="N78" i="17"/>
  <c r="O66" i="17"/>
  <c r="N29" i="21"/>
  <c r="L92" i="16"/>
  <c r="N44" i="21"/>
  <c r="M25" i="20"/>
  <c r="O35" i="19"/>
  <c r="L94" i="16"/>
  <c r="K69" i="20"/>
  <c r="O21" i="16"/>
  <c r="N70" i="16"/>
  <c r="O52" i="21"/>
  <c r="O37" i="19"/>
  <c r="L67" i="16"/>
  <c r="O48" i="16"/>
  <c r="M55" i="20"/>
  <c r="M89" i="20"/>
  <c r="N42" i="21"/>
  <c r="M75" i="16"/>
  <c r="N35" i="13"/>
  <c r="N57" i="26"/>
  <c r="L46" i="16"/>
  <c r="L30" i="16" s="1"/>
  <c r="O110" i="19"/>
  <c r="M112" i="19"/>
  <c r="O24" i="16"/>
  <c r="M127" i="19"/>
  <c r="M108" i="17"/>
  <c r="N8" i="21"/>
  <c r="N103" i="16"/>
  <c r="N54" i="16"/>
  <c r="M45" i="13"/>
  <c r="N14" i="17"/>
  <c r="O22" i="13"/>
  <c r="O143" i="19"/>
  <c r="M83" i="17"/>
  <c r="K102" i="20"/>
  <c r="M49" i="21"/>
  <c r="L56" i="16"/>
  <c r="N39" i="15"/>
  <c r="O81" i="26"/>
  <c r="O82" i="17"/>
  <c r="L10" i="15"/>
  <c r="N70" i="13"/>
  <c r="M78" i="16"/>
  <c r="N73" i="26"/>
  <c r="N38" i="21"/>
  <c r="O11" i="15"/>
  <c r="L25" i="15"/>
  <c r="O85" i="17"/>
  <c r="N26" i="21"/>
  <c r="O53" i="16"/>
  <c r="O8" i="19"/>
  <c r="M62" i="17"/>
  <c r="O21" i="15"/>
  <c r="O30" i="13"/>
  <c r="N45" i="13"/>
  <c r="M35" i="13"/>
  <c r="N50" i="21"/>
  <c r="O112" i="17"/>
  <c r="O107" i="16"/>
  <c r="K88" i="20"/>
  <c r="N33" i="13"/>
  <c r="M111" i="17"/>
  <c r="L60" i="16"/>
  <c r="L81" i="26"/>
  <c r="N10" i="13"/>
  <c r="M12" i="13"/>
  <c r="O115" i="17"/>
  <c r="M9" i="17"/>
  <c r="N42" i="20"/>
  <c r="L11" i="15"/>
  <c r="M33" i="15"/>
  <c r="N98" i="16"/>
  <c r="N81" i="16"/>
  <c r="O81" i="17"/>
  <c r="O35" i="15"/>
  <c r="L66" i="26"/>
  <c r="M65" i="20"/>
  <c r="N28" i="20"/>
  <c r="N49" i="19"/>
  <c r="N21" i="20"/>
  <c r="O111" i="19"/>
  <c r="N62" i="13"/>
  <c r="N46" i="20"/>
  <c r="J104" i="20"/>
  <c r="L45" i="16"/>
  <c r="N26" i="16"/>
  <c r="J93" i="20"/>
  <c r="N53" i="20"/>
  <c r="O110" i="17"/>
  <c r="O95" i="15"/>
  <c r="O62" i="26"/>
  <c r="O19" i="16"/>
  <c r="L107" i="16"/>
  <c r="L80" i="16"/>
  <c r="K61" i="20"/>
  <c r="O27" i="15"/>
  <c r="M46" i="20"/>
  <c r="O26" i="16"/>
  <c r="N88" i="17"/>
  <c r="M19" i="21"/>
  <c r="M36" i="20"/>
  <c r="K64" i="20"/>
  <c r="L27" i="16"/>
  <c r="N98" i="17"/>
  <c r="Q12" i="15"/>
  <c r="Q10" i="15"/>
  <c r="O9" i="19"/>
  <c r="O59" i="26"/>
  <c r="O47" i="21"/>
  <c r="N105" i="16"/>
  <c r="L68" i="20"/>
  <c r="M42" i="17"/>
  <c r="N42" i="13"/>
  <c r="M44" i="16"/>
  <c r="K85" i="20"/>
  <c r="O121" i="19"/>
  <c r="M37" i="19"/>
  <c r="L39" i="15"/>
  <c r="J34" i="20"/>
  <c r="N54" i="26"/>
  <c r="O59" i="16"/>
  <c r="M45" i="17"/>
  <c r="O48" i="19"/>
  <c r="O84" i="16"/>
  <c r="M112" i="17"/>
  <c r="M34" i="21"/>
  <c r="L71" i="20"/>
  <c r="M25" i="17"/>
  <c r="N57" i="20"/>
  <c r="L88" i="20"/>
  <c r="N18" i="26"/>
  <c r="O24" i="17"/>
  <c r="J101" i="20"/>
  <c r="M67" i="17"/>
  <c r="N56" i="17"/>
  <c r="M97" i="16"/>
  <c r="M76" i="20"/>
  <c r="M61" i="20"/>
  <c r="L12" i="15"/>
  <c r="N47" i="17"/>
  <c r="M73" i="20"/>
  <c r="L9" i="15"/>
  <c r="O80" i="26"/>
  <c r="M83" i="20"/>
  <c r="M42" i="20"/>
  <c r="M135" i="19"/>
  <c r="O76" i="16"/>
  <c r="O78" i="26"/>
  <c r="M90" i="16"/>
  <c r="N9" i="19"/>
  <c r="M14" i="15"/>
  <c r="O9" i="26"/>
  <c r="M13" i="19"/>
  <c r="O40" i="15"/>
  <c r="O42" i="17"/>
  <c r="N25" i="17"/>
  <c r="M74" i="20"/>
  <c r="N59" i="17"/>
  <c r="N74" i="26"/>
  <c r="Q49" i="15"/>
  <c r="O122" i="19"/>
  <c r="N12" i="20"/>
  <c r="N109" i="16"/>
  <c r="O129" i="19"/>
  <c r="L75" i="16"/>
  <c r="M15" i="16"/>
  <c r="N62" i="17"/>
  <c r="M17" i="26"/>
  <c r="O77" i="16"/>
  <c r="O52" i="17"/>
  <c r="O75" i="16"/>
  <c r="O62" i="13"/>
  <c r="O55" i="26"/>
  <c r="M96" i="17"/>
  <c r="M9" i="16"/>
  <c r="N58" i="19"/>
  <c r="L85" i="16"/>
  <c r="N80" i="16"/>
  <c r="N21" i="19"/>
  <c r="M42" i="13"/>
  <c r="M60" i="17"/>
  <c r="M39" i="16"/>
  <c r="M33" i="16" s="1"/>
  <c r="N10" i="17"/>
  <c r="O113" i="17"/>
  <c r="O31" i="13"/>
  <c r="O15" i="21"/>
  <c r="O44" i="13"/>
  <c r="O96" i="17"/>
  <c r="O82" i="16"/>
  <c r="L8" i="26"/>
  <c r="M58" i="17"/>
  <c r="N135" i="19"/>
  <c r="M82" i="20"/>
  <c r="M8" i="21"/>
  <c r="M88" i="16"/>
  <c r="M78" i="17"/>
  <c r="N58" i="26"/>
  <c r="O39" i="16"/>
  <c r="O33" i="16" s="1"/>
  <c r="M19" i="20"/>
  <c r="O39" i="19"/>
  <c r="N34" i="21"/>
  <c r="O42" i="21"/>
  <c r="N26" i="13"/>
  <c r="O103" i="16"/>
  <c r="L74" i="16"/>
  <c r="N103" i="17"/>
  <c r="L6" i="16"/>
  <c r="N56" i="26"/>
  <c r="L62" i="26"/>
  <c r="N9" i="20"/>
  <c r="O45" i="21"/>
  <c r="N34" i="13"/>
  <c r="Q21" i="15"/>
  <c r="N16" i="20"/>
  <c r="M43" i="21"/>
  <c r="N28" i="15"/>
  <c r="J114" i="20"/>
  <c r="O26" i="21"/>
  <c r="O56" i="26"/>
  <c r="O39" i="13"/>
  <c r="O61" i="13"/>
  <c r="L22" i="16"/>
  <c r="M80" i="20"/>
  <c r="N69" i="17"/>
  <c r="M18" i="21"/>
  <c r="L40" i="15"/>
  <c r="M52" i="20"/>
  <c r="N66" i="17"/>
  <c r="M65" i="13"/>
  <c r="L95" i="16"/>
  <c r="L59" i="16"/>
  <c r="M26" i="16"/>
  <c r="M40" i="19"/>
  <c r="K101" i="20"/>
  <c r="N65" i="16"/>
  <c r="M68" i="13"/>
  <c r="M57" i="16"/>
  <c r="L8" i="16"/>
  <c r="L63" i="16"/>
  <c r="N27" i="20"/>
  <c r="K74" i="20"/>
  <c r="K84" i="20"/>
  <c r="M81" i="17"/>
  <c r="M72" i="17"/>
  <c r="L73" i="26"/>
  <c r="M66" i="17"/>
  <c r="N25" i="19"/>
  <c r="N72" i="16"/>
  <c r="M32" i="17"/>
  <c r="N71" i="16"/>
  <c r="M90" i="17"/>
  <c r="O25" i="26"/>
  <c r="N62" i="26"/>
  <c r="L84" i="16"/>
  <c r="N46" i="21"/>
  <c r="O48" i="21"/>
  <c r="M6" i="16"/>
  <c r="M39" i="13"/>
  <c r="N69" i="16"/>
  <c r="M46" i="16"/>
  <c r="M30" i="16" s="1"/>
  <c r="O48" i="17"/>
  <c r="O108" i="16"/>
  <c r="M22" i="16"/>
  <c r="O79" i="26"/>
  <c r="N72" i="26"/>
  <c r="N7" i="16"/>
  <c r="M11" i="13"/>
  <c r="M42" i="16"/>
  <c r="O141" i="19"/>
  <c r="M82" i="16"/>
  <c r="O44" i="21"/>
  <c r="N15" i="20"/>
  <c r="L84" i="20"/>
  <c r="O88" i="17"/>
  <c r="O57" i="26"/>
  <c r="N95" i="15"/>
  <c r="N52" i="16"/>
  <c r="N82" i="26"/>
  <c r="M80" i="17"/>
  <c r="M43" i="17"/>
  <c r="M87" i="17"/>
  <c r="O64" i="26"/>
  <c r="L55" i="16"/>
  <c r="J95" i="20"/>
  <c r="M25" i="16"/>
  <c r="O63" i="17"/>
  <c r="L26" i="15"/>
  <c r="K106" i="20"/>
  <c r="J110" i="20"/>
  <c r="N20" i="20"/>
  <c r="M73" i="17"/>
  <c r="M9" i="20"/>
  <c r="N38" i="17"/>
  <c r="L17" i="15"/>
  <c r="M44" i="21"/>
  <c r="N35" i="17"/>
  <c r="M53" i="17"/>
  <c r="O9" i="17"/>
  <c r="M34" i="13"/>
  <c r="N18" i="20"/>
  <c r="N24" i="13"/>
  <c r="N63" i="17"/>
  <c r="O21" i="26"/>
  <c r="O18" i="26"/>
  <c r="N7" i="21"/>
  <c r="N37" i="21"/>
  <c r="L79" i="16"/>
  <c r="M22" i="15"/>
  <c r="M28" i="13"/>
  <c r="O63" i="16"/>
  <c r="N115" i="19"/>
  <c r="N65" i="13"/>
  <c r="N102" i="16"/>
  <c r="N15" i="19"/>
  <c r="N109" i="19"/>
  <c r="O91" i="16"/>
  <c r="M48" i="20"/>
  <c r="M137" i="19"/>
  <c r="O108" i="17"/>
  <c r="K67" i="20"/>
  <c r="Q36" i="15"/>
  <c r="Q25" i="15"/>
  <c r="P29" i="16"/>
  <c r="BI89" i="45"/>
  <c r="BI180" i="45" s="1"/>
  <c r="CH127" i="45"/>
  <c r="CK127" i="45" s="1"/>
  <c r="CF127" i="45"/>
  <c r="BD5" i="45"/>
  <c r="CK5" i="45" s="1"/>
  <c r="BD10" i="45"/>
  <c r="CK10" i="45" s="1"/>
  <c r="BD81" i="45"/>
  <c r="BG89" i="45"/>
  <c r="BG180" i="45" s="1"/>
  <c r="CH136" i="45"/>
  <c r="CK136" i="45" s="1"/>
  <c r="CF136" i="45"/>
  <c r="CH50" i="45"/>
  <c r="CK50" i="45" s="1"/>
  <c r="CD50" i="45"/>
  <c r="CC50" i="45"/>
  <c r="CF50" i="45"/>
  <c r="CH12" i="45"/>
  <c r="CK12" i="45" s="1"/>
  <c r="CC12" i="45"/>
  <c r="CD12" i="45"/>
  <c r="BY172" i="45"/>
  <c r="BY169" i="45"/>
  <c r="CF98" i="45"/>
  <c r="BM89" i="45"/>
  <c r="BM180" i="45" s="1"/>
  <c r="CF12" i="45"/>
  <c r="CF10" i="45"/>
  <c r="CF126" i="45"/>
  <c r="CF82" i="45"/>
  <c r="CE177" i="45"/>
  <c r="CH51" i="45"/>
  <c r="CK51" i="45" s="1"/>
  <c r="CF51" i="45"/>
  <c r="CC51" i="45"/>
  <c r="BX177" i="45"/>
  <c r="Y3" i="54"/>
  <c r="BV173" i="45"/>
  <c r="AA14" i="55"/>
  <c r="W14" i="55"/>
  <c r="AI63" i="55"/>
  <c r="AG15" i="55"/>
  <c r="AI14" i="55"/>
  <c r="AI4" i="55"/>
  <c r="AF36" i="53"/>
  <c r="AX36" i="53" s="1"/>
  <c r="AX34" i="53"/>
  <c r="T3" i="54"/>
  <c r="BE169" i="45"/>
  <c r="AT48" i="25"/>
  <c r="Z15" i="26"/>
  <c r="BO146" i="22"/>
  <c r="Z12" i="26"/>
  <c r="BO143" i="22"/>
  <c r="AC13" i="26"/>
  <c r="BO180" i="22"/>
  <c r="AC12" i="26"/>
  <c r="BO179" i="22"/>
  <c r="AC11" i="26"/>
  <c r="BO178" i="22"/>
  <c r="Z14" i="26"/>
  <c r="BO145" i="22"/>
  <c r="AC15" i="26"/>
  <c r="BO182" i="22"/>
  <c r="AC14" i="26"/>
  <c r="BO181" i="22"/>
  <c r="Z13" i="26"/>
  <c r="BO144" i="22"/>
  <c r="AF13" i="55"/>
  <c r="AB14" i="55"/>
  <c r="AF15" i="55"/>
  <c r="BM42" i="54"/>
  <c r="AF32" i="54"/>
  <c r="BM71" i="54"/>
  <c r="BM7" i="54"/>
  <c r="AD12" i="26"/>
  <c r="BO198" i="22"/>
  <c r="AE12" i="26" s="1"/>
  <c r="AD14" i="26"/>
  <c r="BO200" i="22"/>
  <c r="AE14" i="26" s="1"/>
  <c r="AD13" i="26"/>
  <c r="BO199" i="22"/>
  <c r="AE13" i="26" s="1"/>
  <c r="AD15" i="26"/>
  <c r="BO201" i="22"/>
  <c r="AE15" i="26" s="1"/>
  <c r="AD11" i="26"/>
  <c r="BO197" i="22"/>
  <c r="AE11" i="26" s="1"/>
  <c r="AA12" i="26"/>
  <c r="BO159" i="22"/>
  <c r="AB12" i="26" s="1"/>
  <c r="AA15" i="26"/>
  <c r="BO162" i="22"/>
  <c r="AB15" i="26" s="1"/>
  <c r="AA14" i="26"/>
  <c r="BO161" i="22"/>
  <c r="AB14" i="26" s="1"/>
  <c r="AA13" i="26"/>
  <c r="BO160" i="22"/>
  <c r="AB13" i="26" s="1"/>
  <c r="AF15" i="54"/>
  <c r="X3" i="54"/>
  <c r="Z3" i="54"/>
  <c r="AD3" i="54"/>
  <c r="AA3" i="54"/>
  <c r="AT129" i="24"/>
  <c r="AU129" i="24" s="1"/>
  <c r="BN129" i="24" s="1"/>
  <c r="AC3" i="54"/>
  <c r="AV21" i="55"/>
  <c r="AU21" i="55"/>
  <c r="AV98" i="55"/>
  <c r="BM98" i="55" s="1"/>
  <c r="BO371" i="55"/>
  <c r="AF98" i="55"/>
  <c r="AF63" i="55" s="1"/>
  <c r="AF14" i="55" s="1"/>
  <c r="X13" i="55"/>
  <c r="AU77" i="55"/>
  <c r="AV77" i="55"/>
  <c r="BM77" i="55" s="1"/>
  <c r="W3" i="54"/>
  <c r="BH89" i="45"/>
  <c r="BH180" i="45" s="1"/>
  <c r="BJ89" i="45"/>
  <c r="BJ180" i="45" s="1"/>
  <c r="BD108" i="45"/>
  <c r="CF108" i="45" s="1"/>
  <c r="BL89" i="45"/>
  <c r="BL180" i="45" s="1"/>
  <c r="W50" i="26"/>
  <c r="V3" i="54"/>
  <c r="AG15" i="54"/>
  <c r="BN81" i="45"/>
  <c r="CF81" i="45" s="1"/>
  <c r="BK89" i="45"/>
  <c r="BK180" i="45" s="1"/>
  <c r="CZ5" i="45"/>
  <c r="BO378" i="55"/>
  <c r="BO377" i="55"/>
  <c r="AU84" i="55"/>
  <c r="AV84" i="55"/>
  <c r="BM84" i="55" s="1"/>
  <c r="AE14" i="55"/>
  <c r="AG98" i="55"/>
  <c r="AG63" i="55" s="1"/>
  <c r="AG14" i="55" s="1"/>
  <c r="X63" i="55"/>
  <c r="X14" i="55" s="1"/>
  <c r="AG13" i="55"/>
  <c r="U3" i="54"/>
  <c r="AG22" i="54"/>
  <c r="AG13" i="54" s="1"/>
  <c r="AG4" i="54" s="1"/>
  <c r="AF22" i="54"/>
  <c r="BM22" i="54"/>
  <c r="AE13" i="54"/>
  <c r="W15" i="26"/>
  <c r="BJ193" i="22"/>
  <c r="BP193" i="22" s="1"/>
  <c r="BK193" i="22"/>
  <c r="BK174" i="22"/>
  <c r="BJ174" i="22"/>
  <c r="BP174" i="22" s="1"/>
  <c r="AF65" i="22"/>
  <c r="BK157" i="22"/>
  <c r="BJ157" i="22"/>
  <c r="BP157" i="22" s="1"/>
  <c r="Z7" i="26"/>
  <c r="BJ138" i="22"/>
  <c r="BP138" i="22" s="1"/>
  <c r="AF68" i="22"/>
  <c r="AE129" i="24"/>
  <c r="AF129" i="24" s="1"/>
  <c r="P129" i="24"/>
  <c r="Q129" i="24" s="1"/>
  <c r="BK201" i="24"/>
  <c r="AF58" i="24"/>
  <c r="Q47" i="25"/>
  <c r="R47" i="25" s="1"/>
  <c r="AD48" i="25"/>
  <c r="AU55" i="25"/>
  <c r="BM55" i="25" s="1"/>
  <c r="AU48" i="25"/>
  <c r="BM48" i="25" s="1"/>
  <c r="AE62" i="25"/>
  <c r="AF62" i="25" s="1"/>
  <c r="BM29" i="25"/>
  <c r="Q48" i="25"/>
  <c r="R48" i="25" s="1"/>
  <c r="Q55" i="25"/>
  <c r="R55" i="25" s="1"/>
  <c r="AE55" i="25"/>
  <c r="AF55" i="25" s="1"/>
  <c r="AE47" i="25"/>
  <c r="AF47" i="25" s="1"/>
  <c r="AT174" i="22"/>
  <c r="AT193" i="22"/>
  <c r="AT138" i="22"/>
  <c r="AT157" i="22"/>
  <c r="BE180" i="45"/>
  <c r="AQ109" i="46"/>
  <c r="AE81" i="46"/>
  <c r="AQ81" i="46" s="1"/>
  <c r="AQ11" i="46"/>
  <c r="AQ6" i="46"/>
  <c r="AQ80" i="46"/>
  <c r="AU80" i="46"/>
  <c r="BE80" i="46" s="1"/>
  <c r="BE6" i="46"/>
  <c r="AC6" i="46" a="1"/>
  <c r="L15" i="15" l="1"/>
  <c r="M15" i="15"/>
  <c r="Q15" i="15"/>
  <c r="O15" i="15"/>
  <c r="N15" i="15"/>
  <c r="L15" i="26"/>
  <c r="O41" i="16"/>
  <c r="O32" i="16"/>
  <c r="L11" i="26"/>
  <c r="O7" i="26"/>
  <c r="L67" i="26"/>
  <c r="M14" i="26"/>
  <c r="N15" i="26"/>
  <c r="BD169" i="45"/>
  <c r="CK81" i="45"/>
  <c r="N50" i="26"/>
  <c r="M15" i="26"/>
  <c r="O13" i="26"/>
  <c r="L32" i="16"/>
  <c r="L13" i="26"/>
  <c r="N11" i="26"/>
  <c r="L12" i="26"/>
  <c r="O11" i="26"/>
  <c r="M13" i="26"/>
  <c r="M32" i="16"/>
  <c r="N32" i="16"/>
  <c r="O12" i="26"/>
  <c r="N13" i="26"/>
  <c r="N67" i="26"/>
  <c r="M67" i="26"/>
  <c r="O50" i="26"/>
  <c r="M12" i="26"/>
  <c r="L41" i="16"/>
  <c r="N35" i="16"/>
  <c r="M35" i="16"/>
  <c r="O67" i="26"/>
  <c r="N12" i="26"/>
  <c r="M41" i="16"/>
  <c r="M50" i="26"/>
  <c r="O15" i="26"/>
  <c r="N14" i="26"/>
  <c r="L7" i="26"/>
  <c r="L14" i="26"/>
  <c r="M7" i="26"/>
  <c r="N7" i="26"/>
  <c r="L50" i="26"/>
  <c r="O14" i="26"/>
  <c r="M11" i="26"/>
  <c r="O35" i="16"/>
  <c r="N41" i="16"/>
  <c r="L35" i="16"/>
  <c r="AC6" i="46"/>
  <c r="CH128" i="45"/>
  <c r="CK128" i="45" s="1"/>
  <c r="CF128" i="45"/>
  <c r="CH153" i="45"/>
  <c r="CK153" i="45" s="1"/>
  <c r="CF153" i="45"/>
  <c r="CC177" i="45"/>
  <c r="CC169" i="45"/>
  <c r="CF169" i="45"/>
  <c r="CF177" i="45"/>
  <c r="CJ50" i="45"/>
  <c r="CI50" i="45"/>
  <c r="CJ12" i="45"/>
  <c r="CI12" i="45"/>
  <c r="CH21" i="45"/>
  <c r="CK21" i="45" s="1"/>
  <c r="CC21" i="45"/>
  <c r="CF21" i="45"/>
  <c r="CD21" i="45"/>
  <c r="BX174" i="45"/>
  <c r="CH14" i="45"/>
  <c r="CK14" i="45" s="1"/>
  <c r="CD14" i="45"/>
  <c r="CC14" i="45"/>
  <c r="CF14" i="45"/>
  <c r="CI51" i="45"/>
  <c r="AI6" i="55"/>
  <c r="AF13" i="54"/>
  <c r="AF4" i="54" s="1"/>
  <c r="AF3" i="54" s="1"/>
  <c r="AC7" i="26"/>
  <c r="BO174" i="22"/>
  <c r="AD7" i="26"/>
  <c r="BO193" i="22"/>
  <c r="AE7" i="26" s="1"/>
  <c r="AG3" i="54"/>
  <c r="BM91" i="54"/>
  <c r="BM32" i="54"/>
  <c r="BO138" i="22"/>
  <c r="AA7" i="26"/>
  <c r="BO157" i="22"/>
  <c r="AB7" i="26" s="1"/>
  <c r="BD80" i="45"/>
  <c r="CK80" i="45" s="1"/>
  <c r="CZ79" i="45"/>
  <c r="AE4" i="54"/>
  <c r="AE3" i="54" s="1"/>
  <c r="AE48" i="25"/>
  <c r="AF48" i="25" s="1"/>
  <c r="BN89" i="45"/>
  <c r="BN180" i="45" s="1"/>
  <c r="O29" i="16" l="1"/>
  <c r="L29" i="16"/>
  <c r="M29" i="16"/>
  <c r="N29" i="16"/>
  <c r="CF80" i="45"/>
  <c r="CI14" i="45"/>
  <c r="CJ14" i="45"/>
  <c r="CJ21" i="45"/>
  <c r="CI21" i="45"/>
  <c r="CE172" i="45"/>
  <c r="CH13" i="45"/>
  <c r="CK13" i="45" s="1"/>
  <c r="CD13" i="45"/>
  <c r="CC13" i="45"/>
  <c r="CC172" i="45" s="1"/>
  <c r="BX172" i="45"/>
  <c r="CF13" i="45"/>
  <c r="CF172" i="45" s="1"/>
  <c r="CE174" i="45"/>
  <c r="CH25" i="45"/>
  <c r="CK25" i="45" s="1"/>
  <c r="CF25" i="45"/>
  <c r="CF174" i="45" s="1"/>
  <c r="CH37" i="45"/>
  <c r="CK37" i="45" s="1"/>
  <c r="CF37" i="45"/>
  <c r="BD89" i="45"/>
  <c r="CK89" i="45" s="1"/>
  <c r="BM13" i="54"/>
  <c r="CE180" i="45"/>
  <c r="CH148" i="45" l="1"/>
  <c r="CK148" i="45" s="1"/>
  <c r="CF148" i="45"/>
  <c r="CH149" i="45"/>
  <c r="CK149" i="45" s="1"/>
  <c r="CF149" i="45"/>
  <c r="CF89" i="45"/>
  <c r="CF180" i="45" s="1"/>
  <c r="CH22" i="45"/>
  <c r="CK22" i="45" s="1"/>
  <c r="CF22" i="45"/>
  <c r="CI13" i="45"/>
  <c r="CJ13" i="45"/>
  <c r="BD180" i="45"/>
  <c r="CH19" i="45" l="1"/>
  <c r="CK19" i="45" s="1"/>
  <c r="CF19" i="45"/>
  <c r="BY177" i="45"/>
  <c r="AT80" i="22"/>
  <c r="AS82" i="22"/>
  <c r="AU82" i="22" s="1"/>
  <c r="CH20" i="45" l="1"/>
  <c r="CK20" i="45" s="1"/>
  <c r="CF20" i="45"/>
  <c r="CE173" i="45"/>
  <c r="CD15" i="45"/>
  <c r="CF15" i="45"/>
  <c r="CF173" i="45" s="1"/>
  <c r="CC15" i="45"/>
  <c r="CC173" i="45" s="1"/>
  <c r="BX173" i="45"/>
  <c r="AT82" i="22"/>
  <c r="CA173" i="45" l="1"/>
  <c r="CH15" i="45"/>
  <c r="CK15" i="45" s="1"/>
  <c r="CH150" i="45"/>
  <c r="CK150" i="45" s="1"/>
  <c r="CF150" i="45"/>
  <c r="CH135" i="45"/>
  <c r="CK135" i="45" s="1"/>
  <c r="CF135" i="45"/>
  <c r="CF190" i="45" s="1"/>
  <c r="BZ190" i="45"/>
  <c r="CJ15" i="45"/>
  <c r="CI15" i="45"/>
  <c r="U7" i="15"/>
  <c r="AU65" i="55" l="1"/>
  <c r="AV65" i="55"/>
  <c r="AU66" i="55"/>
  <c r="AV66" i="55"/>
  <c r="AV10" i="55" l="1"/>
  <c r="AU10" i="55"/>
  <c r="AV64" i="55"/>
  <c r="AU64" i="55"/>
  <c r="AU58" i="55"/>
  <c r="AV58" i="55"/>
  <c r="AV71" i="55"/>
  <c r="AU71" i="55"/>
  <c r="AV59" i="55"/>
  <c r="AU59" i="55"/>
  <c r="AV9" i="55" l="1"/>
  <c r="AU9" i="55"/>
  <c r="BO360" i="55"/>
  <c r="AU15" i="55"/>
  <c r="AV15" i="55"/>
  <c r="BO365" i="55" l="1"/>
  <c r="BO359" i="55"/>
  <c r="AV68" i="55"/>
  <c r="AV67" i="55"/>
  <c r="AU60" i="55" l="1"/>
  <c r="AV60" i="55"/>
  <c r="AV69" i="55"/>
  <c r="AU61" i="55"/>
  <c r="AV61" i="55"/>
  <c r="AU69" i="55"/>
  <c r="AU11" i="55" l="1"/>
  <c r="AV11" i="55"/>
  <c r="AU12" i="55"/>
  <c r="AV12" i="55"/>
  <c r="AU63" i="55"/>
  <c r="AV70" i="55"/>
  <c r="AU62" i="55"/>
  <c r="AV62" i="55"/>
  <c r="AV14" i="55"/>
  <c r="AU14" i="55"/>
  <c r="AU70" i="55"/>
  <c r="BO361" i="55"/>
  <c r="AV63" i="55"/>
  <c r="AV13" i="55" l="1"/>
  <c r="AU13" i="55"/>
  <c r="BO362" i="55"/>
  <c r="BO364" i="55"/>
  <c r="BO363" i="55" l="1"/>
  <c r="CH108" i="45" l="1"/>
  <c r="CK108" i="45" s="1"/>
  <c r="CF111" i="45" l="1"/>
  <c r="CH111" i="45" l="1"/>
  <c r="CK111" i="45" s="1"/>
  <c r="BJ24" i="55" l="1"/>
  <c r="BM24" i="55" s="1"/>
  <c r="BI24" i="55"/>
  <c r="BL24" i="55"/>
  <c r="BN24" i="55"/>
  <c r="AX17" i="55"/>
  <c r="AW17" i="55"/>
  <c r="AZ17" i="55"/>
  <c r="BA17" i="55"/>
  <c r="BB17" i="55"/>
  <c r="BN17" i="55" s="1"/>
  <c r="BL17" i="55" l="1"/>
  <c r="BI17" i="55"/>
  <c r="BJ17" i="55"/>
  <c r="BM17" i="55" s="1"/>
  <c r="AZ20" i="55" l="1"/>
  <c r="BI25" i="55"/>
  <c r="BI27" i="55" s="1"/>
  <c r="BN27" i="55"/>
  <c r="BJ25" i="55"/>
  <c r="BM25" i="55" s="1"/>
  <c r="BL19" i="55"/>
  <c r="BN25" i="55"/>
  <c r="AX18" i="55"/>
  <c r="AW18" i="55"/>
  <c r="BL26" i="55"/>
  <c r="BA19" i="55"/>
  <c r="AZ19" i="55"/>
  <c r="AX19" i="55"/>
  <c r="BL25" i="55"/>
  <c r="BB18" i="55"/>
  <c r="BI26" i="55"/>
  <c r="BJ26" i="55"/>
  <c r="AW19" i="55"/>
  <c r="BA18" i="55"/>
  <c r="AZ18" i="55"/>
  <c r="BB19" i="55"/>
  <c r="BN19" i="55" s="1"/>
  <c r="F64" i="13" a="1"/>
  <c r="L124" i="19" a="1"/>
  <c r="K35" i="13" a="1"/>
  <c r="L26" i="13" a="1"/>
  <c r="J34" i="15" a="1"/>
  <c r="Y33" i="16" a="1"/>
  <c r="L37" i="21" a="1"/>
  <c r="G67" i="13" a="1"/>
  <c r="F37" i="13" a="1"/>
  <c r="L13" i="17" a="1"/>
  <c r="L62" i="17" a="1"/>
  <c r="I45" i="13" a="1"/>
  <c r="I98" i="20" a="1"/>
  <c r="I108" i="20" a="1"/>
  <c r="T38" i="13" a="1"/>
  <c r="U59" i="16" a="1"/>
  <c r="J65" i="13" a="1"/>
  <c r="F35" i="13" a="1"/>
  <c r="U44" i="13" a="1"/>
  <c r="W24" i="16" a="1"/>
  <c r="L52" i="19" a="1"/>
  <c r="J14" i="20" a="1"/>
  <c r="J76" i="20" a="1"/>
  <c r="L91" i="17" a="1"/>
  <c r="J8" i="15" a="1"/>
  <c r="H23" i="15" a="1"/>
  <c r="L6" i="21" a="1"/>
  <c r="W40" i="13" a="1"/>
  <c r="L78" i="17" a="1"/>
  <c r="K77" i="16" a="1"/>
  <c r="U88" i="16" a="1"/>
  <c r="I68" i="13" a="1"/>
  <c r="L18" i="20" a="1"/>
  <c r="R20" i="13" a="1"/>
  <c r="V10" i="16" a="1"/>
  <c r="Q25" i="20" a="1"/>
  <c r="I8" i="16" a="1"/>
  <c r="G24" i="15" a="1"/>
  <c r="H19" i="13" a="1"/>
  <c r="R18" i="13" a="1"/>
  <c r="K44" i="16" a="1"/>
  <c r="I111" i="20" a="1"/>
  <c r="K35" i="20" a="1"/>
  <c r="J35" i="13" a="1"/>
  <c r="Z98" i="16" a="1"/>
  <c r="Z39" i="16" a="1"/>
  <c r="L33" i="13" a="1"/>
  <c r="H10" i="13" a="1"/>
  <c r="L47" i="19" a="1"/>
  <c r="L19" i="19" a="1"/>
  <c r="H26" i="16" a="1"/>
  <c r="K27" i="21" a="1"/>
  <c r="V79" i="16" a="1"/>
  <c r="L30" i="17" a="1"/>
  <c r="K70" i="16" a="1"/>
  <c r="K15" i="19" a="1"/>
  <c r="Z85" i="16" a="1"/>
  <c r="G25" i="15" a="1"/>
  <c r="J19" i="16" a="1"/>
  <c r="V109" i="16" a="1"/>
  <c r="U91" i="16" a="1"/>
  <c r="K86" i="16" a="1"/>
  <c r="H105" i="20" a="1"/>
  <c r="V39" i="16" a="1"/>
  <c r="Z89" i="16" a="1"/>
  <c r="L23" i="19" a="1"/>
  <c r="V7" i="13" a="1"/>
  <c r="K124" i="19" a="1"/>
  <c r="J29" i="13" a="1"/>
  <c r="K65" i="16" a="1"/>
  <c r="R7" i="13" a="1"/>
  <c r="W13" i="16" a="1"/>
  <c r="K98" i="16" a="1"/>
  <c r="G61" i="13" a="1"/>
  <c r="J17" i="13" a="1"/>
  <c r="L23" i="21" a="1"/>
  <c r="R15" i="13" a="1"/>
  <c r="W31" i="13" a="1"/>
  <c r="L74" i="17" a="1"/>
  <c r="K30" i="20" a="1"/>
  <c r="L24" i="21" a="1"/>
  <c r="K18" i="26" a="1"/>
  <c r="E15" i="13" a="1"/>
  <c r="W33" i="13" a="1"/>
  <c r="K62" i="26" a="1"/>
  <c r="U100" i="16" a="1"/>
  <c r="H108" i="20" a="1"/>
  <c r="V16" i="16" a="1"/>
  <c r="J15" i="20" a="1"/>
  <c r="K46" i="16" a="1"/>
  <c r="V47" i="16" a="1"/>
  <c r="J25" i="16" a="1"/>
  <c r="Z97" i="16" a="1"/>
  <c r="K24" i="21" a="1"/>
  <c r="I96" i="20" a="1"/>
  <c r="AB57" i="16" a="1"/>
  <c r="V37" i="13" a="1"/>
  <c r="W22" i="16" a="1"/>
  <c r="Q36" i="20" a="1"/>
  <c r="S42" i="13" a="1"/>
  <c r="V18" i="13" a="1"/>
  <c r="K37" i="13" a="1"/>
  <c r="K31" i="13" a="1"/>
  <c r="K140" i="19" a="1"/>
  <c r="K127" i="19" a="1"/>
  <c r="Z79" i="16" a="1"/>
  <c r="L16" i="21" a="1"/>
  <c r="L101" i="17" a="1"/>
  <c r="I24" i="16" a="1"/>
  <c r="L42" i="17" a="1"/>
  <c r="T65" i="13" a="1"/>
  <c r="L82" i="17" a="1"/>
  <c r="I93" i="20" a="1"/>
  <c r="L20" i="19" a="1"/>
  <c r="L26" i="19" a="1"/>
  <c r="J47" i="13" a="1"/>
  <c r="L19" i="20" a="1"/>
  <c r="G8" i="15" a="1"/>
  <c r="L10" i="20" a="1"/>
  <c r="J25" i="15" a="1"/>
  <c r="K45" i="13" a="1"/>
  <c r="Q56" i="20" a="1"/>
  <c r="G60" i="13" a="1"/>
  <c r="V20" i="13" a="1"/>
  <c r="Z105" i="16" a="1"/>
  <c r="I24" i="15" a="1"/>
  <c r="L45" i="19" a="1"/>
  <c r="E70" i="13" a="1"/>
  <c r="G17" i="15" a="1"/>
  <c r="E35" i="13" a="1"/>
  <c r="G6" i="26" a="1"/>
  <c r="U67" i="16" a="1"/>
  <c r="I64" i="20" a="1"/>
  <c r="L37" i="20" a="1"/>
  <c r="K39" i="19" a="1"/>
  <c r="V24" i="15" a="1"/>
  <c r="W16" i="13" a="1"/>
  <c r="AA91" i="15" a="1"/>
  <c r="H35" i="15" a="1"/>
  <c r="I43" i="13" a="1"/>
  <c r="G66" i="13" a="1"/>
  <c r="V42" i="13" a="1"/>
  <c r="G64" i="13" a="1"/>
  <c r="V65" i="16" a="1"/>
  <c r="X151" i="46" a="1"/>
  <c r="L23" i="13" a="1"/>
  <c r="K16" i="21" a="1"/>
  <c r="K9" i="19" a="1"/>
  <c r="F44" i="13" a="1"/>
  <c r="I26" i="13" a="1"/>
  <c r="K39" i="15" a="1"/>
  <c r="Z96" i="16" a="1"/>
  <c r="J36" i="13" a="1"/>
  <c r="W8" i="16" a="1"/>
  <c r="Q10" i="20" a="1"/>
  <c r="H66" i="13" a="1"/>
  <c r="L75" i="17" a="1"/>
  <c r="G116" i="17" a="1"/>
  <c r="J43" i="13" a="1"/>
  <c r="J18" i="16" a="1"/>
  <c r="K121" i="19" a="1"/>
  <c r="I17" i="16" a="1"/>
  <c r="R10" i="13" a="1"/>
  <c r="G40" i="15" a="1"/>
  <c r="T29" i="13" a="1"/>
  <c r="H36" i="15" a="1"/>
  <c r="L49" i="17" a="1"/>
  <c r="V12" i="16" a="1"/>
  <c r="G6" i="19" a="1"/>
  <c r="K48" i="16" a="1"/>
  <c r="K115" i="19" a="1"/>
  <c r="I74" i="20" a="1"/>
  <c r="U72" i="16" a="1"/>
  <c r="U98" i="16" a="1"/>
  <c r="K72" i="26" a="1"/>
  <c r="L34" i="21" a="1"/>
  <c r="L32" i="19" a="1"/>
  <c r="L41" i="17" a="1"/>
  <c r="W151" i="46" a="1"/>
  <c r="F47" i="13" a="1"/>
  <c r="V67" i="13" a="1"/>
  <c r="I23" i="15" a="1"/>
  <c r="I83" i="20" a="1"/>
  <c r="L86" i="17" a="1"/>
  <c r="AA22" i="44" a="1"/>
  <c r="R26" i="13" a="1"/>
  <c r="K116" i="19" a="1"/>
  <c r="K47" i="13" a="1"/>
  <c r="J20" i="20" a="1"/>
  <c r="E65" i="13" a="1"/>
  <c r="D43" i="26" a="1"/>
  <c r="K42" i="16" a="1"/>
  <c r="J37" i="20" a="1"/>
  <c r="U70" i="16" a="1"/>
  <c r="K82" i="26" a="1"/>
  <c r="Z61" i="16" a="1"/>
  <c r="F6" i="26" a="1"/>
  <c r="L8" i="20" a="1"/>
  <c r="V11" i="13" a="1"/>
  <c r="D33" i="26" a="1"/>
  <c r="K65" i="26" a="1"/>
  <c r="I27" i="16" a="1"/>
  <c r="U34" i="13" a="1"/>
  <c r="I33" i="15" a="1"/>
  <c r="W26" i="13" a="1"/>
  <c r="L18" i="13" a="1"/>
  <c r="J56" i="20" a="1"/>
  <c r="K21" i="19" a="1"/>
  <c r="K54" i="26" a="1"/>
  <c r="G113" i="20" a="1"/>
  <c r="D40" i="26" a="1"/>
  <c r="R27" i="13" a="1"/>
  <c r="K111" i="19" a="1"/>
  <c r="F42" i="13" a="1"/>
  <c r="K41" i="13" a="1"/>
  <c r="AB96" i="15" a="1"/>
  <c r="K10" i="19" a="1"/>
  <c r="L39" i="19" a="1"/>
  <c r="L26" i="21" a="1"/>
  <c r="K35" i="21" a="1"/>
  <c r="I23" i="13" a="1"/>
  <c r="L136" i="19" a="1"/>
  <c r="J44" i="13" a="1"/>
  <c r="K38" i="26" a="1"/>
  <c r="K54" i="20" a="1"/>
  <c r="V41" i="15" a="1"/>
  <c r="K50" i="19" a="1"/>
  <c r="Z58" i="16" a="1"/>
  <c r="K38" i="21" a="1"/>
  <c r="S29" i="13" a="1"/>
  <c r="L69" i="17" a="1"/>
  <c r="Z73" i="16" a="1"/>
  <c r="K12" i="15" a="1"/>
  <c r="J22" i="16" a="1"/>
  <c r="Q54" i="20" a="1"/>
  <c r="K11" i="16" a="1"/>
  <c r="I11" i="15" a="1"/>
  <c r="G22" i="16" a="1"/>
  <c r="J9" i="16" a="1"/>
  <c r="U90" i="16" a="1"/>
  <c r="K49" i="21" a="1"/>
  <c r="U54" i="16" a="1"/>
  <c r="K19" i="13" a="1"/>
  <c r="K71" i="16" a="1"/>
  <c r="R40" i="13" a="1"/>
  <c r="H63" i="13" a="1"/>
  <c r="Z107" i="16" a="1"/>
  <c r="K16" i="15" a="1"/>
  <c r="K100" i="16" a="1"/>
  <c r="I60" i="13" a="1"/>
  <c r="U38" i="13" a="1"/>
  <c r="L41" i="20" a="1"/>
  <c r="K97" i="16" a="1"/>
  <c r="Z47" i="16" a="1"/>
  <c r="J46" i="20" a="1"/>
  <c r="U22" i="16" a="1"/>
  <c r="L59" i="17" a="1"/>
  <c r="W29" i="13" a="1"/>
  <c r="L45" i="20" a="1"/>
  <c r="L68" i="13" a="1"/>
  <c r="I65" i="20" a="1"/>
  <c r="V106" i="16" a="1"/>
  <c r="R8" i="26" a="1"/>
  <c r="W12" i="13" a="1"/>
  <c r="L43" i="13" a="1"/>
  <c r="H98" i="20" a="1"/>
  <c r="M15" i="46" a="1"/>
  <c r="H64" i="13" a="1"/>
  <c r="AA23" i="44" a="1"/>
  <c r="AA24" i="44" a="1"/>
  <c r="S41" i="13" a="1"/>
  <c r="K13" i="19" a="1"/>
  <c r="K16" i="26" a="1"/>
  <c r="J58" i="13" a="1"/>
  <c r="K80" i="16" a="1"/>
  <c r="K133" i="19" a="1"/>
  <c r="I41" i="13" a="1"/>
  <c r="Q33" i="20" a="1"/>
  <c r="J58" i="20" a="1"/>
  <c r="U27" i="16" a="1"/>
  <c r="L112" i="19" a="1"/>
  <c r="G10" i="15" a="1"/>
  <c r="U33" i="13" a="1"/>
  <c r="W52" i="21" a="1"/>
  <c r="G8" i="16" a="1"/>
  <c r="V9" i="15" a="1"/>
  <c r="J33" i="20" a="1"/>
  <c r="V66" i="13" a="1"/>
  <c r="K24" i="13" a="1"/>
  <c r="K45" i="21" a="1"/>
  <c r="J81" i="20" a="1"/>
  <c r="J13" i="15" a="1"/>
  <c r="I110" i="20" a="1"/>
  <c r="L26" i="17" a="1"/>
  <c r="R11" i="13" a="1"/>
  <c r="I99" i="20" a="1"/>
  <c r="V87" i="16" a="1"/>
  <c r="W22" i="13" a="1"/>
  <c r="U14" i="13" a="1"/>
  <c r="L67" i="17" a="1"/>
  <c r="E29" i="13" a="1"/>
  <c r="J13" i="16" a="1"/>
  <c r="E30" i="13" a="1"/>
  <c r="V80" i="16" a="1"/>
  <c r="L22" i="20" a="1"/>
  <c r="J90" i="20" a="1"/>
  <c r="J29" i="20" a="1"/>
  <c r="L35" i="13" a="1"/>
  <c r="U24" i="13" a="1"/>
  <c r="L53" i="17" a="1"/>
  <c r="Z48" i="15" a="1"/>
  <c r="I31" i="15" a="1"/>
  <c r="G9" i="16" a="1"/>
  <c r="L11" i="21" a="1"/>
  <c r="J67" i="13" a="1"/>
  <c r="Z52" i="16" a="1"/>
  <c r="H70" i="13" a="1"/>
  <c r="L24" i="20" a="1"/>
  <c r="G106" i="20" a="1"/>
  <c r="H43" i="13" a="1"/>
  <c r="J30" i="20" a="1"/>
  <c r="R12" i="13" a="1"/>
  <c r="H110" i="20" a="1"/>
  <c r="H61" i="13" a="1"/>
  <c r="I29" i="13" a="1"/>
  <c r="K55" i="19" a="1"/>
  <c r="K18" i="15" a="1"/>
  <c r="Z71" i="16" a="1"/>
  <c r="V17" i="16" a="1"/>
  <c r="V26" i="13" a="1"/>
  <c r="L36" i="19" a="1"/>
  <c r="J59" i="13" a="1"/>
  <c r="L15" i="17" a="1"/>
  <c r="J46" i="13" a="1"/>
  <c r="J64" i="20" a="1"/>
  <c r="K44" i="20" a="1"/>
  <c r="L61" i="13" a="1"/>
  <c r="T11" i="13" a="1"/>
  <c r="K40" i="19" a="1"/>
  <c r="I40" i="15" a="1"/>
  <c r="H103" i="20" a="1"/>
  <c r="K116" i="17" a="1"/>
  <c r="J41" i="13" a="1"/>
  <c r="K61" i="16" a="1"/>
  <c r="W49" i="13" a="1"/>
  <c r="H8" i="16" a="1"/>
  <c r="F23" i="13" a="1"/>
  <c r="U18" i="13" a="1"/>
  <c r="G70" i="13" a="1"/>
  <c r="W7" i="16" a="1"/>
  <c r="U82" i="16" a="1"/>
  <c r="K57" i="16" a="1"/>
  <c r="K66" i="13" a="1"/>
  <c r="I18" i="16" a="1"/>
  <c r="J17" i="20" a="1"/>
  <c r="I32" i="15" a="1"/>
  <c r="H18" i="15" a="1"/>
  <c r="Z46" i="15" a="1"/>
  <c r="K14" i="20" a="1"/>
  <c r="G93" i="20" a="1"/>
  <c r="L58" i="13" a="1"/>
  <c r="K60" i="26" a="1"/>
  <c r="K25" i="16" a="1"/>
  <c r="J14" i="16" a="1"/>
  <c r="J79" i="20" a="1"/>
  <c r="L62" i="13" a="1"/>
  <c r="M16" i="46" a="1"/>
  <c r="K34" i="20" a="1"/>
  <c r="G44" i="13" a="1"/>
  <c r="I12" i="15" a="1"/>
  <c r="L6" i="13" a="1"/>
  <c r="J12" i="13" a="1"/>
  <c r="K9" i="21" a="1"/>
  <c r="V23" i="16" a="1"/>
  <c r="K77" i="26" a="1"/>
  <c r="L113" i="19" a="1"/>
  <c r="L66" i="13" a="1"/>
  <c r="J13" i="20" a="1"/>
  <c r="H118" i="20" a="1"/>
  <c r="W8" i="13" a="1"/>
  <c r="K8" i="21" a="1"/>
  <c r="F62" i="13" a="1"/>
  <c r="T23" i="13" a="1"/>
  <c r="U21" i="13" a="1"/>
  <c r="J19" i="20" a="1"/>
  <c r="K38" i="19" a="1"/>
  <c r="K52" i="21" a="1"/>
  <c r="L33" i="20" a="1"/>
  <c r="T70" i="13" a="1"/>
  <c r="I41" i="15" a="1"/>
  <c r="U7" i="13" a="1"/>
  <c r="K42" i="15" a="1"/>
  <c r="Z102" i="16" a="1"/>
  <c r="K64" i="16" a="1"/>
  <c r="L89" i="17" a="1"/>
  <c r="K21" i="13" a="1"/>
  <c r="V72" i="16" a="1"/>
  <c r="W22" i="21" a="1"/>
  <c r="K91" i="16" a="1"/>
  <c r="I25" i="13" a="1"/>
  <c r="V42" i="15" a="1"/>
  <c r="I112" i="20" a="1"/>
  <c r="G14" i="16" a="1"/>
  <c r="F29" i="13" a="1"/>
  <c r="V103" i="16" a="1"/>
  <c r="J70" i="20" a="1"/>
  <c r="L13" i="20" a="1"/>
  <c r="G111" i="20" a="1"/>
  <c r="I86" i="20" a="1"/>
  <c r="K34" i="13" a="1"/>
  <c r="U53" i="16" a="1"/>
  <c r="V88" i="16" a="1"/>
  <c r="J22" i="20" a="1"/>
  <c r="K63" i="13" a="1"/>
  <c r="V63" i="16" a="1"/>
  <c r="K63" i="26" a="1"/>
  <c r="H23" i="13" a="1"/>
  <c r="T35" i="13" a="1"/>
  <c r="Z108" i="16" a="1"/>
  <c r="K37" i="19" a="1"/>
  <c r="K144" i="19" a="1"/>
  <c r="I39" i="13" a="1"/>
  <c r="K19" i="21" a="1"/>
  <c r="L48" i="17" a="1"/>
  <c r="L48" i="19" a="1"/>
  <c r="Q44" i="20" a="1"/>
  <c r="Q58" i="20" a="1"/>
  <c r="L104" i="17" a="1"/>
  <c r="E21" i="13" a="1"/>
  <c r="I20" i="13" a="1"/>
  <c r="L51" i="17" a="1"/>
  <c r="W13" i="13" a="1"/>
  <c r="L17" i="20" a="1"/>
  <c r="L27" i="13" a="1"/>
  <c r="G59" i="13" a="1"/>
  <c r="K41" i="26" a="1"/>
  <c r="V17" i="15" a="1"/>
  <c r="K118" i="19" a="1"/>
  <c r="K22" i="13" a="1"/>
  <c r="H99" i="20" a="1"/>
  <c r="K29" i="21" a="1"/>
  <c r="D36" i="26" a="1"/>
  <c r="H107" i="20" a="1"/>
  <c r="Q18" i="20" a="1"/>
  <c r="I72" i="20" a="1"/>
  <c r="G46" i="13" a="1"/>
  <c r="K87" i="16" a="1"/>
  <c r="L35" i="21" a="1"/>
  <c r="T41" i="13" a="1"/>
  <c r="F36" i="13" a="1"/>
  <c r="J60" i="20" a="1"/>
  <c r="L115" i="19" a="1"/>
  <c r="U74" i="16" a="1"/>
  <c r="I21" i="13" a="1"/>
  <c r="L18" i="19" a="1"/>
  <c r="L14" i="17" a="1"/>
  <c r="U18" i="16" a="1"/>
  <c r="V45" i="13" a="1"/>
  <c r="K45" i="26" a="1"/>
  <c r="J14" i="13" a="1"/>
  <c r="G36" i="13" a="1"/>
  <c r="L40" i="21" a="1"/>
  <c r="U30" i="13" a="1"/>
  <c r="U11" i="16" a="1"/>
  <c r="H35" i="13" a="1"/>
  <c r="S20" i="13" a="1"/>
  <c r="L19" i="21" a="1"/>
  <c r="R29" i="26" a="1"/>
  <c r="L12" i="21" a="1"/>
  <c r="V61" i="16" a="1"/>
  <c r="W44" i="13" a="1"/>
  <c r="K52" i="19" a="1"/>
  <c r="K56" i="20" a="1"/>
  <c r="K72" i="16" a="1"/>
  <c r="G38" i="13" a="1"/>
  <c r="L33" i="17" a="1"/>
  <c r="Z45" i="16" a="1"/>
  <c r="G22" i="15" a="1"/>
  <c r="K53" i="16" a="1"/>
  <c r="V56" i="16" a="1"/>
  <c r="R16" i="13" a="1"/>
  <c r="L53" i="20" a="1"/>
  <c r="J39" i="20" a="1"/>
  <c r="J54" i="20" a="1"/>
  <c r="K40" i="15" a="1"/>
  <c r="F22" i="13" a="1"/>
  <c r="N149" i="46" a="1"/>
  <c r="D38" i="26" a="1"/>
  <c r="R37" i="13" a="1"/>
  <c r="K6" i="20" a="1"/>
  <c r="L58" i="19" a="1"/>
  <c r="L120" i="19" a="1"/>
  <c r="V7" i="16" a="1"/>
  <c r="E107" i="19" a="1"/>
  <c r="K22" i="15" a="1"/>
  <c r="R60" i="13" a="1"/>
  <c r="L114" i="19" a="1"/>
  <c r="L40" i="19" a="1"/>
  <c r="W50" i="13" a="1"/>
  <c r="V14" i="15" a="1"/>
  <c r="G28" i="15" a="1"/>
  <c r="K23" i="13" a="1"/>
  <c r="Q29" i="20" a="1"/>
  <c r="U9" i="13" a="1"/>
  <c r="Q30" i="20" a="1"/>
  <c r="L14" i="19" a="1"/>
  <c r="H31" i="13" a="1"/>
  <c r="U105" i="16" a="1"/>
  <c r="D34" i="26" a="1"/>
  <c r="K138" i="19" a="1"/>
  <c r="D39" i="26" a="1"/>
  <c r="I16" i="16" a="1"/>
  <c r="K85" i="16" a="1"/>
  <c r="U38" i="16" a="1"/>
  <c r="K20" i="13" a="1"/>
  <c r="I20" i="16" a="1"/>
  <c r="J60" i="13" a="1"/>
  <c r="K60" i="16" a="1"/>
  <c r="F6" i="19" a="1"/>
  <c r="F34" i="13" a="1"/>
  <c r="V38" i="16" a="1"/>
  <c r="I22" i="13" a="1"/>
  <c r="H24" i="13" a="1"/>
  <c r="R67" i="13" a="1"/>
  <c r="V40" i="13" a="1"/>
  <c r="J10" i="15" a="1"/>
  <c r="K43" i="21" a="1"/>
  <c r="J77" i="20" a="1"/>
  <c r="V28" i="13" a="1"/>
  <c r="L51" i="20" a="1"/>
  <c r="V102" i="16" a="1"/>
  <c r="G10" i="13" a="1"/>
  <c r="K21" i="26" a="1"/>
  <c r="I78" i="20" a="1"/>
  <c r="T43" i="13" a="1"/>
  <c r="U24" i="16" a="1"/>
  <c r="K36" i="19" a="1"/>
  <c r="R8" i="13" a="1"/>
  <c r="E17" i="13" a="1"/>
  <c r="L122" i="19" a="1"/>
  <c r="L83" i="17" a="1"/>
  <c r="K17" i="20" a="1"/>
  <c r="H27" i="15" a="1"/>
  <c r="K18" i="19" a="1"/>
  <c r="I35" i="15" a="1"/>
  <c r="S7" i="13" a="1"/>
  <c r="U35" i="13" a="1"/>
  <c r="H19" i="16" a="1"/>
  <c r="F15" i="13" a="1"/>
  <c r="Z150" i="46" a="1"/>
  <c r="U19" i="13" a="1"/>
  <c r="J53" i="20" a="1"/>
  <c r="L11" i="19" a="1"/>
  <c r="L46" i="19" a="1"/>
  <c r="W19" i="16" a="1"/>
  <c r="L27" i="17" a="1"/>
  <c r="S15" i="13" a="1"/>
  <c r="T37" i="13" a="1"/>
  <c r="Q9" i="20" a="1"/>
  <c r="Z93" i="15" a="1"/>
  <c r="H16" i="15" a="1"/>
  <c r="Z151" i="46" a="1"/>
  <c r="H45" i="13" a="1"/>
  <c r="Z99" i="16" a="1"/>
  <c r="R86" i="15" a="1"/>
  <c r="K78" i="26" a="1"/>
  <c r="G34" i="15" a="1"/>
  <c r="Y31" i="16" a="1"/>
  <c r="K22" i="26" a="1"/>
  <c r="D44" i="26" a="1"/>
  <c r="W34" i="13" a="1"/>
  <c r="J69" i="20" a="1"/>
  <c r="V68" i="13" a="1"/>
  <c r="H10" i="15" a="1"/>
  <c r="G10" i="16" a="1"/>
  <c r="L64" i="13" a="1"/>
  <c r="Z42" i="16" a="1"/>
  <c r="W19" i="13" a="1"/>
  <c r="L15" i="19" a="1"/>
  <c r="I118" i="20" a="1"/>
  <c r="G12" i="16" a="1"/>
  <c r="V12" i="13" a="1"/>
  <c r="K28" i="15" a="1"/>
  <c r="K143" i="19" a="1"/>
  <c r="J25" i="13" a="1"/>
  <c r="V91" i="16" a="1"/>
  <c r="L81" i="17" a="1"/>
  <c r="F19" i="13" a="1"/>
  <c r="J41" i="20" a="1"/>
  <c r="J12" i="16" a="1"/>
  <c r="L25" i="20" a="1"/>
  <c r="I27" i="15" a="1"/>
  <c r="J15" i="16" a="1"/>
  <c r="J36" i="15" a="1"/>
  <c r="G39" i="13" a="1"/>
  <c r="K63" i="16" a="1"/>
  <c r="G21" i="13" a="1"/>
  <c r="Z70" i="16" a="1"/>
  <c r="Q42" i="20" a="1"/>
  <c r="D60" i="20" a="1"/>
  <c r="L15" i="13" a="1"/>
  <c r="Z95" i="16" a="1"/>
  <c r="K17" i="21" a="1"/>
  <c r="L118" i="19" a="1"/>
  <c r="I103" i="20" a="1"/>
  <c r="V108" i="16" a="1"/>
  <c r="J89" i="20" a="1"/>
  <c r="V61" i="13" a="1"/>
  <c r="D30" i="26" a="1"/>
  <c r="T27" i="13" a="1"/>
  <c r="I35" i="13" a="1"/>
  <c r="V90" i="16" a="1"/>
  <c r="I94" i="20" a="1"/>
  <c r="W21" i="13" a="1"/>
  <c r="R13" i="13" a="1"/>
  <c r="J39" i="15" a="1"/>
  <c r="L63" i="13" a="1"/>
  <c r="J116" i="17" a="1"/>
  <c r="H9" i="15" a="1"/>
  <c r="L40" i="13" a="1"/>
  <c r="W7" i="13" a="1"/>
  <c r="L6" i="19" a="1"/>
  <c r="F30" i="13" a="1"/>
  <c r="G47" i="13" a="1"/>
  <c r="L44" i="19" a="1"/>
  <c r="L79" i="17" a="1"/>
  <c r="K44" i="19" a="1"/>
  <c r="U104" i="16" a="1"/>
  <c r="Z82" i="16" a="1"/>
  <c r="V31" i="13" a="1"/>
  <c r="K66" i="16" a="1"/>
  <c r="G38" i="15" a="1"/>
  <c r="K8" i="16" a="1"/>
  <c r="L28" i="21" a="1"/>
  <c r="K47" i="16" a="1"/>
  <c r="L113" i="17" a="1"/>
  <c r="I58" i="13" a="1"/>
  <c r="L8" i="21" a="1"/>
  <c r="K30" i="19" a="1"/>
  <c r="Q47" i="20" a="1"/>
  <c r="I115" i="20" a="1"/>
  <c r="T63" i="13" a="1"/>
  <c r="H25" i="16" a="1"/>
  <c r="V97" i="16" a="1"/>
  <c r="J21" i="16" a="1"/>
  <c r="Z149" i="46" a="1"/>
  <c r="L37" i="19" a="1"/>
  <c r="Q53" i="20" a="1"/>
  <c r="R45" i="13" a="1"/>
  <c r="L7" i="20" a="1"/>
  <c r="K28" i="13" a="1"/>
  <c r="L29" i="17" a="1"/>
  <c r="G98" i="20" a="1"/>
  <c r="F116" i="17" a="1"/>
  <c r="H60" i="13" a="1"/>
  <c r="V98" i="16" a="1"/>
  <c r="H17" i="13" a="1"/>
  <c r="I16" i="15" a="1"/>
  <c r="K73" i="16" a="1"/>
  <c r="I63" i="20" a="1"/>
  <c r="K9" i="16" a="1"/>
  <c r="Z44" i="16" a="1"/>
  <c r="J43" i="20" a="1"/>
  <c r="J61" i="13" a="1"/>
  <c r="T7" i="13" a="1"/>
  <c r="H6" i="13" a="1"/>
  <c r="K53" i="20" a="1"/>
  <c r="U33" i="26" a="1"/>
  <c r="J23" i="13" a="1"/>
  <c r="Q11" i="20" a="1"/>
  <c r="U97" i="16" a="1"/>
  <c r="J70" i="13" a="1"/>
  <c r="L138" i="19" a="1"/>
  <c r="H97" i="20" a="1"/>
  <c r="G92" i="20" a="1"/>
  <c r="T7" i="19" a="1"/>
  <c r="S14" i="13" a="1"/>
  <c r="F28" i="13" a="1"/>
  <c r="K9" i="15" a="1"/>
  <c r="R65" i="13" a="1"/>
  <c r="I42" i="13" a="1"/>
  <c r="L139" i="19" a="1"/>
  <c r="H10" i="16" a="1"/>
  <c r="K8" i="15" a="1"/>
  <c r="F27" i="13" a="1"/>
  <c r="I9" i="15" a="1"/>
  <c r="I106" i="20" a="1"/>
  <c r="K36" i="13" a="1"/>
  <c r="R43" i="13" a="1"/>
  <c r="V75" i="16" a="1"/>
  <c r="L35" i="17" a="1"/>
  <c r="J30" i="13" a="1"/>
  <c r="E18" i="13" a="1"/>
  <c r="F6" i="20" a="1"/>
  <c r="W9" i="13" a="1"/>
  <c r="G7" i="16" a="1"/>
  <c r="X149" i="46" a="1"/>
  <c r="U42" i="13" a="1"/>
  <c r="K17" i="16" a="1"/>
  <c r="E28" i="19" a="1"/>
  <c r="I66" i="20" a="1"/>
  <c r="H27" i="16" a="1"/>
  <c r="K26" i="21" a="1"/>
  <c r="Z62" i="16" a="1"/>
  <c r="K109" i="16" a="1"/>
  <c r="Z59" i="16" a="1"/>
  <c r="L39" i="17" a="1"/>
  <c r="E28" i="13" a="1"/>
  <c r="V95" i="16" a="1"/>
  <c r="G19" i="13" a="1"/>
  <c r="Q12" i="20" a="1"/>
  <c r="F9" i="13" a="1"/>
  <c r="L87" i="17" a="1"/>
  <c r="H13" i="13" a="1"/>
  <c r="G6" i="21" a="1"/>
  <c r="Z100" i="16" a="1"/>
  <c r="U42" i="16" a="1"/>
  <c r="H21" i="13" a="1"/>
  <c r="R35" i="13" a="1"/>
  <c r="I36" i="15" a="1"/>
  <c r="H26" i="13" a="1"/>
  <c r="L135" i="19" a="1"/>
  <c r="V39" i="13" a="1"/>
  <c r="I79" i="20" a="1"/>
  <c r="I26" i="16" a="1"/>
  <c r="T59" i="13" a="1"/>
  <c r="K30" i="13" a="1"/>
  <c r="H11" i="13" a="1"/>
  <c r="V36" i="16" a="1"/>
  <c r="V94" i="16" a="1"/>
  <c r="J23" i="15" a="1"/>
  <c r="V73" i="16" a="1"/>
  <c r="V54" i="16" a="1"/>
  <c r="V99" i="16" a="1"/>
  <c r="K54" i="19" a="1"/>
  <c r="H92" i="20" a="1"/>
  <c r="K71" i="26" a="1"/>
  <c r="K61" i="26" a="1"/>
  <c r="V10" i="13" a="1"/>
  <c r="T33" i="13" a="1"/>
  <c r="L50" i="17" a="1"/>
  <c r="V96" i="16" a="1"/>
  <c r="Z55" i="16" a="1"/>
  <c r="K128" i="19" a="1"/>
  <c r="L98" i="17" a="1"/>
  <c r="L128" i="19" a="1"/>
  <c r="N150" i="46" a="1"/>
  <c r="I44" i="13" a="1"/>
  <c r="W27" i="13" a="1"/>
  <c r="F31" i="13" a="1"/>
  <c r="I70" i="13" a="1"/>
  <c r="Z88" i="16" a="1"/>
  <c r="K37" i="21" a="1"/>
  <c r="K123" i="19" a="1"/>
  <c r="I107" i="20" a="1"/>
  <c r="J67" i="20" a="1"/>
  <c r="L12" i="17" a="1"/>
  <c r="Q26" i="20" a="1"/>
  <c r="L55" i="17" a="1"/>
  <c r="W149" i="46" a="1"/>
  <c r="U85" i="16" a="1"/>
  <c r="K13" i="20" a="1"/>
  <c r="I15" i="13" a="1"/>
  <c r="AA84" i="16" a="1"/>
  <c r="K19" i="16" a="1"/>
  <c r="I63" i="13" a="1"/>
  <c r="H11" i="15" a="1"/>
  <c r="L44" i="21" a="1"/>
  <c r="L129" i="19" a="1"/>
  <c r="U56" i="16" a="1"/>
  <c r="K24" i="16" a="1"/>
  <c r="K19" i="19" a="1"/>
  <c r="I89" i="20" a="1"/>
  <c r="L11" i="17" a="1"/>
  <c r="G19" i="16" a="1"/>
  <c r="T34" i="13" a="1"/>
  <c r="H114" i="20" a="1"/>
  <c r="V62" i="13" a="1"/>
  <c r="U79" i="16" a="1"/>
  <c r="E25" i="13" a="1"/>
  <c r="V64" i="16" a="1"/>
  <c r="G33" i="13" a="1"/>
  <c r="H94" i="20" a="1"/>
  <c r="K141" i="19" a="1"/>
  <c r="K20" i="26" a="1"/>
  <c r="K99" i="16" a="1"/>
  <c r="I25" i="16" a="1"/>
  <c r="U101" i="16" a="1"/>
  <c r="Z109" i="16" a="1"/>
  <c r="S21" i="13" a="1"/>
  <c r="L14" i="21" a="1"/>
  <c r="L32" i="17" a="1"/>
  <c r="S22" i="13" a="1"/>
  <c r="H16" i="13" a="1"/>
  <c r="U22" i="13" a="1"/>
  <c r="H42" i="13" a="1"/>
  <c r="U10" i="13" a="1"/>
  <c r="K12" i="13" a="1"/>
  <c r="V16" i="13" a="1"/>
  <c r="S46" i="13" a="1"/>
  <c r="E45" i="13" a="1"/>
  <c r="W24" i="13" a="1"/>
  <c r="G17" i="13" a="1"/>
  <c r="L46" i="13" a="1"/>
  <c r="U39" i="16" a="1"/>
  <c r="Z43" i="16" a="1"/>
  <c r="I73" i="20" a="1"/>
  <c r="W16" i="16" a="1"/>
  <c r="K35" i="26" a="1"/>
  <c r="H20" i="16" a="1"/>
  <c r="V92" i="16" a="1"/>
  <c r="G16" i="16" a="1"/>
  <c r="K45" i="16" a="1"/>
  <c r="G23" i="13" a="1"/>
  <c r="K17" i="26" a="1"/>
  <c r="V24" i="16" a="1"/>
  <c r="E33" i="13" a="1"/>
  <c r="G99" i="20" a="1"/>
  <c r="I23" i="16" a="1"/>
  <c r="H13" i="15" a="1"/>
  <c r="R62" i="13" a="1"/>
  <c r="J31" i="15" a="1"/>
  <c r="H26" i="15" a="1"/>
  <c r="T42" i="13" a="1"/>
  <c r="J24" i="16" a="1"/>
  <c r="L67" i="13" a="1"/>
  <c r="L141" i="19" a="1"/>
  <c r="I36" i="13" a="1"/>
  <c r="K41" i="21" a="1"/>
  <c r="K96" i="16" a="1"/>
  <c r="W54" i="13" a="1"/>
  <c r="J82" i="20" a="1"/>
  <c r="D107" i="19" a="1"/>
  <c r="L9" i="17" a="1"/>
  <c r="L41" i="21" a="1"/>
  <c r="U9" i="16" a="1"/>
  <c r="L56" i="17" a="1"/>
  <c r="Z64" i="16" a="1"/>
  <c r="K25" i="26" a="1"/>
  <c r="I46" i="13" a="1"/>
  <c r="K26" i="16" a="1"/>
  <c r="J87" i="20" a="1"/>
  <c r="K27" i="16" a="1"/>
  <c r="R25" i="13" a="1"/>
  <c r="K64" i="26" a="1"/>
  <c r="K42" i="20" a="1"/>
  <c r="I28" i="15" a="1"/>
  <c r="K9" i="20" a="1"/>
  <c r="X30" i="16" a="1"/>
  <c r="L9" i="21" a="1"/>
  <c r="K47" i="19" a="1"/>
  <c r="J7" i="20" a="1"/>
  <c r="U31" i="13" a="1"/>
  <c r="Z69" i="16" a="1"/>
  <c r="U57" i="16" a="1"/>
  <c r="W23" i="16" a="1"/>
  <c r="F65" i="13" a="1"/>
  <c r="V14" i="16" a="1"/>
  <c r="G23" i="16" a="1"/>
  <c r="F66" i="13" a="1"/>
  <c r="G35" i="15" a="1"/>
  <c r="L90" i="17" a="1"/>
  <c r="T67" i="13" a="1"/>
  <c r="K20" i="16" a="1"/>
  <c r="L46" i="17" a="1"/>
  <c r="L47" i="21" a="1"/>
  <c r="U75" i="16" a="1"/>
  <c r="J18" i="13" a="1"/>
  <c r="K17" i="19" a="1"/>
  <c r="U86" i="16" a="1"/>
  <c r="H39" i="13" a="1"/>
  <c r="K24" i="15" a="1"/>
  <c r="J17" i="16" a="1"/>
  <c r="W9" i="15" a="1"/>
  <c r="K37" i="16" a="1"/>
  <c r="W51" i="13" a="1"/>
  <c r="L88" i="17" a="1"/>
  <c r="H32" i="15" a="1"/>
  <c r="K60" i="13" a="1"/>
  <c r="S27" i="13" a="1"/>
  <c r="K126" i="19" a="1"/>
  <c r="L28" i="17" a="1"/>
  <c r="G104" i="20" a="1"/>
  <c r="Q37" i="20" a="1"/>
  <c r="V34" i="15" a="1"/>
  <c r="Z93" i="16" a="1"/>
  <c r="J63" i="13" a="1"/>
  <c r="U108" i="16" a="1"/>
  <c r="K36" i="15" a="1"/>
  <c r="J27" i="20" a="1"/>
  <c r="Z152" i="46" a="1"/>
  <c r="K13" i="15" a="1"/>
  <c r="J68" i="13" a="1"/>
  <c r="F38" i="13" a="1"/>
  <c r="U47" i="13" a="1"/>
  <c r="U16" i="16" a="1"/>
  <c r="J19" i="13" a="1"/>
  <c r="Q48" i="20" a="1"/>
  <c r="V10" i="15" a="1"/>
  <c r="W41" i="13" a="1"/>
  <c r="H59" i="13" a="1"/>
  <c r="V8" i="15" a="1"/>
  <c r="L45" i="21" a="1"/>
  <c r="U39" i="13" a="1"/>
  <c r="S47" i="13" a="1"/>
  <c r="I100" i="20" a="1"/>
  <c r="G14" i="15" a="1"/>
  <c r="V81" i="16" a="1"/>
  <c r="K59" i="13" a="1"/>
  <c r="T9" i="13" a="1"/>
  <c r="X32" i="16" a="1"/>
  <c r="G45" i="13" a="1"/>
  <c r="L47" i="13" a="1"/>
  <c r="H11" i="16" a="1"/>
  <c r="J9" i="15" a="1"/>
  <c r="G14" i="13" a="1"/>
  <c r="V67" i="16" a="1"/>
  <c r="F7" i="13" a="1"/>
  <c r="V22" i="13" a="1"/>
  <c r="J36" i="20" a="1"/>
  <c r="S30" i="13" a="1"/>
  <c r="K59" i="16" a="1"/>
  <c r="G103" i="20" a="1"/>
  <c r="L11" i="13" a="1"/>
  <c r="K48" i="20" a="1"/>
  <c r="G62" i="13" a="1"/>
  <c r="T46" i="13" a="1"/>
  <c r="AC150" i="46" a="1"/>
  <c r="V40" i="15" a="1"/>
  <c r="V36" i="13" a="1"/>
  <c r="R14" i="13" a="1"/>
  <c r="G42" i="15" a="1"/>
  <c r="K101" i="16" a="1"/>
  <c r="I6" i="20" a="1"/>
  <c r="V100" i="16" a="1"/>
  <c r="S9" i="26" a="1"/>
  <c r="L22" i="13" a="1"/>
  <c r="F17" i="13" a="1"/>
  <c r="L31" i="17" a="1"/>
  <c r="K14" i="15" a="1"/>
  <c r="L125" i="19" a="1"/>
  <c r="J37" i="13" a="1"/>
  <c r="H40" i="13" a="1"/>
  <c r="F46" i="13" a="1"/>
  <c r="U10" i="16" a="1"/>
  <c r="S17" i="13" a="1"/>
  <c r="I14" i="13" a="1"/>
  <c r="Z56" i="16" a="1"/>
  <c r="G21" i="15" a="1"/>
  <c r="G109" i="20" a="1"/>
  <c r="F11" i="13" a="1"/>
  <c r="I77" i="20" a="1"/>
  <c r="J72" i="20" a="1"/>
  <c r="K40" i="21" a="1"/>
  <c r="L29" i="21" a="1"/>
  <c r="L77" i="17" a="1"/>
  <c r="L31" i="19" a="1"/>
  <c r="L9" i="19" a="1"/>
  <c r="Z76" i="16" a="1"/>
  <c r="J48" i="20" a="1"/>
  <c r="H28" i="15" a="1"/>
  <c r="J6" i="19" a="1"/>
  <c r="L33" i="19" a="1"/>
  <c r="K36" i="21" a="1"/>
  <c r="I11" i="16" a="1"/>
  <c r="Z60" i="16" a="1"/>
  <c r="K22" i="16" a="1"/>
  <c r="W53" i="13" a="1"/>
  <c r="K11" i="21" a="1"/>
  <c r="J62" i="20" a="1"/>
  <c r="G110" i="20" a="1"/>
  <c r="L37" i="13" a="1"/>
  <c r="K80" i="26" a="1"/>
  <c r="K16" i="16" a="1"/>
  <c r="R19" i="13" a="1"/>
  <c r="K7" i="21" a="1"/>
  <c r="K74" i="26" a="1"/>
  <c r="H33" i="13" a="1"/>
  <c r="W17" i="16" a="1"/>
  <c r="V85" i="16" a="1"/>
  <c r="K11" i="20" a="1"/>
  <c r="K10" i="26" a="1"/>
  <c r="Q14" i="20" a="1"/>
  <c r="U12" i="13" a="1"/>
  <c r="G40" i="13" a="1"/>
  <c r="L54" i="20" a="1"/>
  <c r="L12" i="19" a="1"/>
  <c r="V19" i="13" a="1"/>
  <c r="E22" i="13" a="1"/>
  <c r="L36" i="20" a="1"/>
  <c r="H17" i="15" a="1"/>
  <c r="I92" i="20" a="1"/>
  <c r="L57" i="17" a="1"/>
  <c r="F10" i="13" a="1"/>
  <c r="L80" i="17" a="1"/>
  <c r="I19" i="16" a="1"/>
  <c r="U80" i="16" a="1"/>
  <c r="U93" i="16" a="1"/>
  <c r="F58" i="13" a="1"/>
  <c r="T28" i="13" a="1"/>
  <c r="E46" i="13" a="1"/>
  <c r="K7" i="19" a="1"/>
  <c r="G24" i="16" a="1"/>
  <c r="Q41" i="20" a="1"/>
  <c r="V74" i="16" a="1"/>
  <c r="L30" i="20" a="1"/>
  <c r="L29" i="13" a="1"/>
  <c r="U19" i="16" a="1"/>
  <c r="L126" i="19" a="1"/>
  <c r="F24" i="13" a="1"/>
  <c r="H101" i="20" a="1"/>
  <c r="N151" i="46" a="1"/>
  <c r="Z86" i="16" a="1"/>
  <c r="J21" i="13" a="1"/>
  <c r="I105" i="20" a="1"/>
  <c r="Q8" i="20" a="1"/>
  <c r="G41" i="13" a="1"/>
  <c r="Z81" i="16" a="1"/>
  <c r="V60" i="13" a="1"/>
  <c r="G27" i="15" a="1"/>
  <c r="K50" i="21" a="1"/>
  <c r="L103" i="17" a="1"/>
  <c r="R12" i="26" a="1"/>
  <c r="W37" i="13" a="1"/>
  <c r="H34" i="13" a="1"/>
  <c r="K67" i="13" a="1"/>
  <c r="V35" i="13" a="1"/>
  <c r="Q45" i="20" a="1"/>
  <c r="K74" i="16" a="1"/>
  <c r="Q22" i="20" a="1"/>
  <c r="L73" i="17" a="1"/>
  <c r="T60" i="13" a="1"/>
  <c r="L14" i="13" a="1"/>
  <c r="L16" i="19" a="1"/>
  <c r="K56" i="19" a="1"/>
  <c r="K104" i="16" a="1"/>
  <c r="I67" i="13" a="1"/>
  <c r="U92" i="16" a="1"/>
  <c r="L41" i="13" a="1"/>
  <c r="W10" i="13" a="1"/>
  <c r="R23" i="13" a="1"/>
  <c r="Q17" i="20" a="1"/>
  <c r="H91" i="20" a="1"/>
  <c r="H6" i="19" a="1"/>
  <c r="V25" i="16" a="1"/>
  <c r="J66" i="20" a="1"/>
  <c r="K25" i="20" a="1"/>
  <c r="H21" i="16" a="1"/>
  <c r="R30" i="13" a="1"/>
  <c r="G20" i="16" a="1"/>
  <c r="J45" i="20" a="1"/>
  <c r="G13" i="15" a="1"/>
  <c r="G18" i="16" a="1"/>
  <c r="J18" i="15" a="1"/>
  <c r="S40" i="13" a="1"/>
  <c r="J63" i="20" a="1"/>
  <c r="G25" i="16" a="1"/>
  <c r="U45" i="16" a="1"/>
  <c r="V57" i="16" a="1"/>
  <c r="K67" i="16" a="1"/>
  <c r="R9" i="13" a="1"/>
  <c r="K31" i="26" a="1"/>
  <c r="K55" i="26" a="1"/>
  <c r="I116" i="17" a="1"/>
  <c r="L123" i="19" a="1"/>
  <c r="L41" i="19" a="1"/>
  <c r="Z23" i="44" a="1"/>
  <c r="U20" i="16" a="1"/>
  <c r="T17" i="13" a="1"/>
  <c r="H68" i="13" a="1"/>
  <c r="K17" i="13" a="1"/>
  <c r="R64" i="13" a="1"/>
  <c r="K19" i="26" a="1"/>
  <c r="K31" i="19" a="1"/>
  <c r="S36" i="13" a="1"/>
  <c r="T13" i="13" a="1"/>
  <c r="R28" i="13" a="1"/>
  <c r="K36" i="26" a="1"/>
  <c r="F43" i="13" a="1"/>
  <c r="V33" i="15" a="1"/>
  <c r="U20" i="13" a="1"/>
  <c r="K34" i="19" a="1"/>
  <c r="R36" i="13" a="1"/>
  <c r="K45" i="20" a="1"/>
  <c r="AA54" i="16" a="1"/>
  <c r="U66" i="16" a="1"/>
  <c r="I84" i="20" a="1"/>
  <c r="Z77" i="16" a="1"/>
  <c r="K7" i="16" a="1"/>
  <c r="R59" i="13" a="1"/>
  <c r="K58" i="19" a="1"/>
  <c r="S24" i="13" a="1"/>
  <c r="Q7" i="20" a="1"/>
  <c r="Q57" i="20" a="1"/>
  <c r="H111" i="20" a="1"/>
  <c r="U11" i="13" a="1"/>
  <c r="K23" i="21" a="1"/>
  <c r="D42" i="26" a="1"/>
  <c r="H30" i="13" a="1"/>
  <c r="L15" i="20" a="1"/>
  <c r="T8" i="13" a="1"/>
  <c r="K6" i="26" a="1"/>
  <c r="L55" i="20" a="1"/>
  <c r="L16" i="17" a="1"/>
  <c r="G117" i="20" a="1"/>
  <c r="H65" i="13" a="1"/>
  <c r="L134" i="19" a="1"/>
  <c r="T25" i="13" a="1"/>
  <c r="U43" i="13" a="1"/>
  <c r="K78" i="16" a="1"/>
  <c r="V9" i="13" a="1"/>
  <c r="V22" i="16" a="1"/>
  <c r="E36" i="13" a="1"/>
  <c r="V15" i="13" a="1"/>
  <c r="I65" i="13" a="1"/>
  <c r="K93" i="16" a="1"/>
  <c r="U89" i="16" a="1"/>
  <c r="H112" i="20" a="1"/>
  <c r="U8" i="16" a="1"/>
  <c r="H6" i="20" a="1"/>
  <c r="K50" i="20" a="1"/>
  <c r="I90" i="20" a="1"/>
  <c r="J85" i="20" a="1"/>
  <c r="J8" i="20" a="1"/>
  <c r="U76" i="16" a="1"/>
  <c r="W48" i="13" a="1"/>
  <c r="I11" i="13" a="1"/>
  <c r="K52" i="20" a="1"/>
  <c r="V9" i="16" a="1"/>
  <c r="J40" i="20" a="1"/>
  <c r="D60" i="19" a="1"/>
  <c r="K15" i="16" a="1"/>
  <c r="V44" i="13" a="1"/>
  <c r="K6" i="16" a="1"/>
  <c r="L102" i="17" a="1"/>
  <c r="S12" i="13" a="1"/>
  <c r="L34" i="17" a="1"/>
  <c r="L18" i="21" a="1"/>
  <c r="K18" i="13" a="1"/>
  <c r="J40" i="13" a="1"/>
  <c r="Q50" i="20" a="1"/>
  <c r="I80" i="20" a="1"/>
  <c r="S29" i="16" a="1"/>
  <c r="W17" i="13" a="1"/>
  <c r="I6" i="19" a="1"/>
  <c r="K33" i="26" a="1"/>
  <c r="V25" i="13" a="1"/>
  <c r="H106" i="20" a="1"/>
  <c r="W14" i="13" a="1"/>
  <c r="V28" i="15" a="1"/>
  <c r="L65" i="13" a="1"/>
  <c r="K37" i="20" a="1"/>
  <c r="T21" i="13" a="1"/>
  <c r="J17" i="15" a="1"/>
  <c r="K46" i="26" a="1"/>
  <c r="Z75" i="16" a="1"/>
  <c r="V31" i="15" a="1"/>
  <c r="J40" i="15" a="1"/>
  <c r="K12" i="21" a="1"/>
  <c r="T16" i="13" a="1"/>
  <c r="J27" i="16" a="1"/>
  <c r="K73" i="26" a="1"/>
  <c r="U58" i="16" a="1"/>
  <c r="K107" i="16" a="1"/>
  <c r="E42" i="13" a="1"/>
  <c r="L63" i="17" a="1"/>
  <c r="V23" i="13" a="1"/>
  <c r="L27" i="20" a="1"/>
  <c r="H62" i="13" a="1"/>
  <c r="V12" i="15" a="1"/>
  <c r="Q31" i="20" a="1"/>
  <c r="G22" i="13" a="1"/>
  <c r="J10" i="13" a="1"/>
  <c r="K18" i="20" a="1"/>
  <c r="V70" i="13" a="1"/>
  <c r="L20" i="20" a="1"/>
  <c r="E64" i="13" a="1"/>
  <c r="J80" i="20" a="1"/>
  <c r="G11" i="16" a="1"/>
  <c r="U36" i="16" a="1"/>
  <c r="U107" i="19" a="1"/>
  <c r="K105" i="16" a="1"/>
  <c r="Z104" i="16" a="1"/>
  <c r="G29" i="13" a="1"/>
  <c r="S34" i="13" a="1"/>
  <c r="K106" i="16" a="1"/>
  <c r="H22" i="13" a="1"/>
  <c r="I62" i="13" a="1"/>
  <c r="G6" i="20" a="1"/>
  <c r="L8" i="19" a="1"/>
  <c r="S38" i="13" a="1"/>
  <c r="V42" i="16" a="1"/>
  <c r="I21" i="16" a="1"/>
  <c r="U78" i="16" a="1"/>
  <c r="L14" i="20" a="1"/>
  <c r="L76" i="17" a="1"/>
  <c r="W20" i="13" a="1"/>
  <c r="L116" i="17" a="1"/>
  <c r="H117" i="20" a="1"/>
  <c r="S10" i="13" a="1"/>
  <c r="Z36" i="16" a="1"/>
  <c r="J7" i="16" a="1"/>
  <c r="I28" i="13" a="1"/>
  <c r="V13" i="16" a="1"/>
  <c r="K122" i="19" a="1"/>
  <c r="L7" i="21" a="1"/>
  <c r="Q39" i="20" a="1"/>
  <c r="J31" i="20" a="1"/>
  <c r="I40" i="13" a="1"/>
  <c r="R41" i="13" a="1"/>
  <c r="Z154" i="46" a="1"/>
  <c r="R33" i="13" a="1"/>
  <c r="E37" i="13" a="1"/>
  <c r="AB8" i="15" a="1"/>
  <c r="R42" i="13" a="1"/>
  <c r="G27" i="16" a="1"/>
  <c r="K39" i="16" a="1"/>
  <c r="J39" i="13" a="1"/>
  <c r="W42" i="13" a="1"/>
  <c r="E16" i="13" a="1"/>
  <c r="K135" i="19" a="1"/>
  <c r="R68" i="13" a="1"/>
  <c r="I114" i="20" a="1"/>
  <c r="W11" i="16" a="1"/>
  <c r="I17" i="15" a="1"/>
  <c r="H100" i="20" a="1"/>
  <c r="L107" i="17" a="1"/>
  <c r="K46" i="21" a="1"/>
  <c r="U94" i="16" a="1"/>
  <c r="G101" i="20" a="1"/>
  <c r="K34" i="26" a="1"/>
  <c r="I6" i="13" a="1"/>
  <c r="Y30" i="16" a="1"/>
  <c r="J42" i="20" a="1"/>
  <c r="K10" i="15" a="1"/>
  <c r="L93" i="17" a="1"/>
  <c r="L42" i="21" a="1"/>
  <c r="Q52" i="20" a="1"/>
  <c r="T14" i="13" a="1"/>
  <c r="W35" i="13" a="1"/>
  <c r="K25" i="19" a="1"/>
  <c r="L12" i="20" a="1"/>
  <c r="L54" i="17" a="1"/>
  <c r="K44" i="21" a="1"/>
  <c r="K48" i="19" a="1"/>
  <c r="U102" i="16" a="1"/>
  <c r="J11" i="16" a="1"/>
  <c r="J27" i="13" a="1"/>
  <c r="K47" i="20" a="1"/>
  <c r="K64" i="13" a="1"/>
  <c r="H102" i="20" a="1"/>
  <c r="K15" i="21" a="1"/>
  <c r="L112" i="17" a="1"/>
  <c r="K26" i="19" a="1"/>
  <c r="Z74" i="16" a="1"/>
  <c r="K103" i="16" a="1"/>
  <c r="K22" i="20" a="1"/>
  <c r="L58" i="20" a="1"/>
  <c r="V58" i="16" a="1"/>
  <c r="Q35" i="20" a="1"/>
  <c r="L65" i="17" a="1"/>
  <c r="J50" i="20" a="1"/>
  <c r="L95" i="17" a="1"/>
  <c r="F70" i="13" a="1"/>
  <c r="K24" i="20" a="1"/>
  <c r="Y32" i="16" a="1"/>
  <c r="L46" i="20" a="1"/>
  <c r="J88" i="20" a="1"/>
  <c r="L52" i="17" a="1"/>
  <c r="G34" i="13" a="1"/>
  <c r="I117" i="20" a="1"/>
  <c r="K38" i="15" a="1"/>
  <c r="Z67" i="16" a="1"/>
  <c r="W30" i="13" a="1"/>
  <c r="V89" i="16" a="1"/>
  <c r="E11" i="13" a="1"/>
  <c r="K46" i="13" a="1"/>
  <c r="K142" i="19" a="1"/>
  <c r="J12" i="20" a="1"/>
  <c r="R29" i="13" a="1"/>
  <c r="K113" i="19" a="1"/>
  <c r="Z101" i="16" a="1"/>
  <c r="I18" i="15" a="1"/>
  <c r="G65" i="13" a="1"/>
  <c r="L13" i="13" a="1"/>
  <c r="H115" i="20" a="1"/>
  <c r="K40" i="20" a="1"/>
  <c r="K59" i="26" a="1"/>
  <c r="I47" i="13" a="1"/>
  <c r="I10" i="15" a="1"/>
  <c r="T12" i="13" a="1"/>
  <c r="L26" i="20" a="1"/>
  <c r="K29" i="20" a="1"/>
  <c r="V29" i="13" a="1"/>
  <c r="U13" i="16" a="1"/>
  <c r="I6" i="21" a="1"/>
  <c r="V37" i="16" a="1"/>
  <c r="V105" i="16" a="1"/>
  <c r="T26" i="13" a="1"/>
  <c r="G12" i="13" a="1"/>
  <c r="Z63" i="16" a="1"/>
  <c r="H29" i="13" a="1"/>
  <c r="F33" i="13" a="1"/>
  <c r="Z103" i="16" a="1"/>
  <c r="H24" i="16" a="1"/>
  <c r="Z78" i="16" a="1"/>
  <c r="J14" i="15" a="1"/>
  <c r="U12" i="16" a="1"/>
  <c r="E63" i="13" a="1"/>
  <c r="H31" i="15" a="1"/>
  <c r="U84" i="16" a="1"/>
  <c r="Z65" i="16" a="1"/>
  <c r="T31" i="16" a="1"/>
  <c r="I60" i="20" a="1"/>
  <c r="D41" i="26" a="1"/>
  <c r="L42" i="20" a="1"/>
  <c r="W52" i="13" a="1"/>
  <c r="J23" i="16" a="1"/>
  <c r="K28" i="21" a="1"/>
  <c r="K108" i="16" a="1"/>
  <c r="J35" i="15" a="1"/>
  <c r="K20" i="20" a="1"/>
  <c r="I75" i="20" a="1"/>
  <c r="H109" i="20" a="1"/>
  <c r="E19" i="13" a="1"/>
  <c r="V13" i="13" a="1"/>
  <c r="L57" i="19" a="1"/>
  <c r="L31" i="13" a="1"/>
  <c r="G28" i="13" a="1"/>
  <c r="V8" i="13" a="1"/>
  <c r="G37" i="13" a="1"/>
  <c r="J33" i="15" a="1"/>
  <c r="Q34" i="20" a="1"/>
  <c r="Z90" i="16" a="1"/>
  <c r="K62" i="16" a="1"/>
  <c r="K51" i="19" a="1"/>
  <c r="V52" i="16" a="1"/>
  <c r="T39" i="13" a="1"/>
  <c r="K136" i="19" a="1"/>
  <c r="I13" i="16" a="1"/>
  <c r="L16" i="13" a="1"/>
  <c r="G9" i="15" a="1"/>
  <c r="F67" i="13" a="1"/>
  <c r="G100" i="20" a="1"/>
  <c r="K56" i="16" a="1"/>
  <c r="G63" i="13" a="1"/>
  <c r="E41" i="13" a="1"/>
  <c r="Z22" i="44" a="1"/>
  <c r="V76" i="16" a="1"/>
  <c r="K139" i="19" a="1"/>
  <c r="H12" i="16" a="1"/>
  <c r="H44" i="13" a="1"/>
  <c r="L56" i="20" a="1"/>
  <c r="L38" i="20" a="1"/>
  <c r="K92" i="16" a="1"/>
  <c r="U23" i="16" a="1"/>
  <c r="H13" i="16" a="1"/>
  <c r="V11" i="16" a="1"/>
  <c r="J6" i="26" a="1"/>
  <c r="L96" i="17" a="1"/>
  <c r="E7" i="13" a="1"/>
  <c r="E10" i="13" a="1"/>
  <c r="R34" i="13" a="1"/>
  <c r="V44" i="16" a="1"/>
  <c r="H12" i="13" a="1"/>
  <c r="F39" i="13" a="1"/>
  <c r="K11" i="13" a="1"/>
  <c r="T68" i="13" a="1"/>
  <c r="L38" i="19" a="1"/>
  <c r="J61" i="20" a="1"/>
  <c r="R38" i="13" a="1"/>
  <c r="K27" i="13" a="1"/>
  <c r="K37" i="26" a="1"/>
  <c r="H37" i="13" a="1"/>
  <c r="L38" i="17" a="1"/>
  <c r="K46" i="19" a="1"/>
  <c r="J6" i="20" a="1"/>
  <c r="J73" i="20" a="1"/>
  <c r="J84" i="20" a="1"/>
  <c r="L70" i="13" a="1"/>
  <c r="T22" i="13" a="1"/>
  <c r="W21" i="16" a="1"/>
  <c r="V26" i="15" a="1"/>
  <c r="U73" i="16" a="1"/>
  <c r="R24" i="13" a="1"/>
  <c r="U62" i="16" a="1"/>
  <c r="F68" i="13" a="1"/>
  <c r="S13" i="13" a="1"/>
  <c r="U27" i="13" a="1"/>
  <c r="L52" i="21" a="1"/>
  <c r="F45" i="13" a="1"/>
  <c r="K38" i="20" a="1"/>
  <c r="H22" i="16" a="1"/>
  <c r="J23" i="20" a="1"/>
  <c r="E20" i="13" a="1"/>
  <c r="L143" i="19" a="1"/>
  <c r="J11" i="20" a="1"/>
  <c r="I71" i="20" a="1"/>
  <c r="Q15" i="20" a="1"/>
  <c r="K28" i="20" a="1"/>
  <c r="U47" i="16" a="1"/>
  <c r="J21" i="15" a="1"/>
  <c r="L43" i="17" a="1"/>
  <c r="H15" i="16" a="1"/>
  <c r="V25" i="15" a="1"/>
  <c r="V34" i="13" a="1"/>
  <c r="E61" i="13" a="1"/>
  <c r="F16" i="13" a="1"/>
  <c r="K132" i="19" a="1"/>
  <c r="I38" i="15" a="1"/>
  <c r="H116" i="20" a="1"/>
  <c r="L48" i="21" a="1"/>
  <c r="K125" i="19" a="1"/>
  <c r="U16" i="13" a="1"/>
  <c r="L72" i="17" a="1"/>
  <c r="E34" i="13" a="1"/>
  <c r="V38" i="15" a="1"/>
  <c r="Z24" i="44" a="1"/>
  <c r="G32" i="15" a="1"/>
  <c r="L9" i="20" a="1"/>
  <c r="L64" i="17" a="1"/>
  <c r="V33" i="13" a="1"/>
  <c r="K41" i="15" a="1"/>
  <c r="E43" i="13" a="1"/>
  <c r="Q28" i="20" a="1"/>
  <c r="G30" i="13" a="1"/>
  <c r="L117" i="19" a="1"/>
  <c r="G96" i="20" a="1"/>
  <c r="H116" i="17" a="1"/>
  <c r="L52" i="20" a="1"/>
  <c r="T64" i="13" a="1"/>
  <c r="K39" i="13" a="1"/>
  <c r="H33" i="15" a="1"/>
  <c r="J21" i="20" a="1"/>
  <c r="J20" i="13" a="1"/>
  <c r="K31" i="20" a="1"/>
  <c r="K61" i="13" a="1"/>
  <c r="H27" i="13" a="1"/>
  <c r="W11" i="13" a="1"/>
  <c r="I25" i="15" a="1"/>
  <c r="W38" i="13" a="1"/>
  <c r="S28" i="13" a="1"/>
  <c r="J28" i="13" a="1"/>
  <c r="I95" i="20" a="1"/>
  <c r="F14" i="13" a="1"/>
  <c r="L25" i="17" a="1"/>
  <c r="L43" i="21" a="1"/>
  <c r="E23" i="13" a="1"/>
  <c r="V8" i="16" a="1"/>
  <c r="G25" i="13" a="1"/>
  <c r="S11" i="13" a="1"/>
  <c r="K12" i="16" a="1"/>
  <c r="V30" i="13" a="1"/>
  <c r="V60" i="16" a="1"/>
  <c r="L51" i="19" a="1"/>
  <c r="J28" i="15" a="1"/>
  <c r="K21" i="20" a="1"/>
  <c r="W15" i="13" a="1"/>
  <c r="J83" i="20" a="1"/>
  <c r="D45" i="26" a="1"/>
  <c r="E66" i="13" a="1"/>
  <c r="Q24" i="20" a="1"/>
  <c r="V27" i="13" a="1"/>
  <c r="Z72" i="16" a="1"/>
  <c r="W25" i="13" a="1"/>
  <c r="K27" i="20" a="1"/>
  <c r="R56" i="26" a="1"/>
  <c r="J16" i="20" a="1"/>
  <c r="J25" i="20" a="1"/>
  <c r="K14" i="21" a="1"/>
  <c r="G13" i="16" a="1"/>
  <c r="K39" i="26" a="1"/>
  <c r="J31" i="13" a="1"/>
  <c r="T44" i="13" a="1"/>
  <c r="E59" i="13" a="1"/>
  <c r="K35" i="15" a="1"/>
  <c r="J11" i="15" a="1"/>
  <c r="K38" i="13" a="1"/>
  <c r="H67" i="13" a="1"/>
  <c r="H14" i="13" a="1"/>
  <c r="K10" i="20" a="1"/>
  <c r="T36" i="13" a="1"/>
  <c r="L111" i="17" a="1"/>
  <c r="W50" i="21" a="1"/>
  <c r="R70" i="13" a="1"/>
  <c r="K68" i="13" a="1"/>
  <c r="V27" i="15" a="1"/>
  <c r="J38" i="13" a="1"/>
  <c r="K49" i="19" a="1"/>
  <c r="K23" i="26" a="1"/>
  <c r="J9" i="20" a="1"/>
  <c r="I34" i="13" a="1"/>
  <c r="U29" i="13" a="1"/>
  <c r="V22" i="15" a="1"/>
  <c r="W90" i="15" a="1"/>
  <c r="L105" i="17" a="1"/>
  <c r="K66" i="26" a="1"/>
  <c r="U25" i="13" a="1"/>
  <c r="K47" i="21" a="1"/>
  <c r="J75" i="20" a="1"/>
  <c r="J55" i="20" a="1"/>
  <c r="G26" i="16" a="1"/>
  <c r="H39" i="15" a="1"/>
  <c r="L133" i="19" a="1"/>
  <c r="I9" i="16" a="1"/>
  <c r="T10" i="13" a="1"/>
  <c r="K137" i="19" a="1"/>
  <c r="L17" i="21" a="1"/>
  <c r="H42" i="15" a="1"/>
  <c r="K27" i="15" a="1"/>
  <c r="J8" i="16" a="1"/>
  <c r="F21" i="13" a="1"/>
  <c r="Z84" i="16" a="1"/>
  <c r="D46" i="26" a="1"/>
  <c r="U23" i="13" a="1"/>
  <c r="F6" i="13" a="1"/>
  <c r="H24" i="15" a="1"/>
  <c r="K14" i="19" a="1"/>
  <c r="L37" i="17" a="1"/>
  <c r="R61" i="13" a="1"/>
  <c r="L22" i="21" a="1"/>
  <c r="J18" i="20" a="1"/>
  <c r="K82" i="16" a="1"/>
  <c r="V20" i="15" a="1"/>
  <c r="E13" i="13" a="1"/>
  <c r="L17" i="13" a="1"/>
  <c r="I69" i="20" a="1"/>
  <c r="R17" i="13" a="1"/>
  <c r="K16" i="13" a="1"/>
  <c r="K88" i="16" a="1"/>
  <c r="L58" i="17" a="1"/>
  <c r="L106" i="17" a="1"/>
  <c r="I82" i="20" a="1"/>
  <c r="I10" i="16" a="1"/>
  <c r="G95" i="20" a="1"/>
  <c r="V24" i="13" a="1"/>
  <c r="V86" i="16" a="1"/>
  <c r="V77" i="16" a="1"/>
  <c r="H28" i="13" a="1"/>
  <c r="K51" i="21" a="1"/>
  <c r="K58" i="26" a="1"/>
  <c r="E40" i="13" a="1"/>
  <c r="H58" i="13" a="1"/>
  <c r="Q16" i="20" a="1"/>
  <c r="V18" i="15" a="1"/>
  <c r="E9" i="13" a="1"/>
  <c r="V70" i="16" a="1"/>
  <c r="K94" i="16" a="1"/>
  <c r="J35" i="20" a="1"/>
  <c r="Q21" i="20" a="1"/>
  <c r="H95" i="20" a="1"/>
  <c r="E49" i="16" a="1"/>
  <c r="J49" i="20" a="1"/>
  <c r="K18" i="16" a="1"/>
  <c r="L20" i="13" a="1"/>
  <c r="I85" i="20" a="1"/>
  <c r="V47" i="13" a="1"/>
  <c r="K76" i="16" a="1"/>
  <c r="V64" i="13" a="1"/>
  <c r="L51" i="21" a="1"/>
  <c r="L24" i="13" a="1"/>
  <c r="S45" i="13" a="1"/>
  <c r="V59" i="16" a="1"/>
  <c r="V82" i="16" a="1"/>
  <c r="K46" i="20" a="1"/>
  <c r="X152" i="46" a="1"/>
  <c r="K69" i="16" a="1"/>
  <c r="L111" i="19" a="1"/>
  <c r="G115" i="20" a="1"/>
  <c r="K62" i="13" a="1"/>
  <c r="L57" i="20" a="1"/>
  <c r="V43" i="16" a="1"/>
  <c r="V13" i="15" a="1"/>
  <c r="K16" i="19" a="1"/>
  <c r="H41" i="15" a="1"/>
  <c r="G91" i="20" a="1"/>
  <c r="R66" i="13" a="1"/>
  <c r="G114" i="20" a="1"/>
  <c r="I31" i="13" a="1"/>
  <c r="K42" i="21" a="1"/>
  <c r="AB7" i="15" a="1"/>
  <c r="L144" i="19" a="1"/>
  <c r="K7" i="20" a="1"/>
  <c r="W39" i="13" a="1"/>
  <c r="G33" i="15" a="1"/>
  <c r="L36" i="13" a="1"/>
  <c r="U41" i="13" a="1"/>
  <c r="G39" i="15" a="1"/>
  <c r="G18" i="13" a="1"/>
  <c r="K26" i="20" a="1"/>
  <c r="T61" i="13" a="1"/>
  <c r="Z48" i="16" a="1"/>
  <c r="L60" i="13" a="1"/>
  <c r="J26" i="16" a="1"/>
  <c r="K119" i="19" a="1"/>
  <c r="Z49" i="15" a="1"/>
  <c r="K9" i="26" a="1"/>
  <c r="L39" i="20" a="1"/>
  <c r="U17" i="13" a="1"/>
  <c r="Z37" i="16" a="1"/>
  <c r="L11" i="20" a="1"/>
  <c r="R63" i="13" a="1"/>
  <c r="G26" i="15" a="1"/>
  <c r="AC153" i="46" a="1"/>
  <c r="K17" i="15" a="1"/>
  <c r="J32" i="15" a="1"/>
  <c r="Q43" i="20" a="1"/>
  <c r="K10" i="16" a="1"/>
  <c r="K114" i="19" a="1"/>
  <c r="V45" i="16" a="1"/>
  <c r="U37" i="16" a="1"/>
  <c r="W45" i="13" a="1"/>
  <c r="E31" i="13" a="1"/>
  <c r="V104" i="16" a="1"/>
  <c r="V23" i="15" a="1"/>
  <c r="AC154" i="46" a="1"/>
  <c r="H41" i="13" a="1"/>
  <c r="H12" i="15" a="1"/>
  <c r="F40" i="13" a="1"/>
  <c r="F26" i="13" a="1"/>
  <c r="F12" i="13" a="1"/>
  <c r="E27" i="13" a="1"/>
  <c r="S18" i="13" a="1"/>
  <c r="J16" i="16" a="1"/>
  <c r="L142" i="19" a="1"/>
  <c r="K109" i="19" a="1"/>
  <c r="I33" i="13" a="1"/>
  <c r="Z91" i="15" a="1"/>
  <c r="Z92" i="16" a="1"/>
  <c r="J15" i="13" a="1"/>
  <c r="V38" i="13" a="1"/>
  <c r="E26" i="13" a="1"/>
  <c r="V101" i="16" a="1"/>
  <c r="U26" i="13" a="1"/>
  <c r="U7" i="16" a="1"/>
  <c r="K16" i="20" a="1"/>
  <c r="L27" i="21" a="1"/>
  <c r="G12" i="15" a="1"/>
  <c r="H18" i="13" a="1"/>
  <c r="H38" i="15" a="1"/>
  <c r="K102" i="16" a="1"/>
  <c r="K53" i="19" a="1"/>
  <c r="J12" i="15" a="1"/>
  <c r="D35" i="26" a="1"/>
  <c r="L22" i="19" a="1"/>
  <c r="K32" i="15" a="1"/>
  <c r="I10" i="13" a="1"/>
  <c r="L7" i="19" a="1"/>
  <c r="L94" i="17" a="1"/>
  <c r="U52" i="16" a="1"/>
  <c r="L109" i="17" a="1"/>
  <c r="L50" i="20" a="1"/>
  <c r="U63" i="16" a="1"/>
  <c r="J22" i="13" a="1"/>
  <c r="K11" i="19" a="1"/>
  <c r="Q27" i="20" a="1"/>
  <c r="L30" i="13" a="1"/>
  <c r="Q55" i="20" a="1"/>
  <c r="L42" i="13" a="1"/>
  <c r="V14" i="13" a="1"/>
  <c r="R31" i="13" a="1"/>
  <c r="J10" i="16" a="1"/>
  <c r="H38" i="13" a="1"/>
  <c r="K15" i="20" a="1"/>
  <c r="G105" i="20" a="1"/>
  <c r="W28" i="13" a="1"/>
  <c r="V16" i="15" a="1"/>
  <c r="I38" i="13" a="1"/>
  <c r="L43" i="20" a="1"/>
  <c r="U15" i="16" a="1"/>
  <c r="J38" i="20" a="1"/>
  <c r="D45" i="20" a="1"/>
  <c r="K18" i="21" a="1"/>
  <c r="K130" i="19" a="1"/>
  <c r="D37" i="26" a="1"/>
  <c r="V65" i="13" a="1"/>
  <c r="H6" i="26" a="1"/>
  <c r="K19" i="20" a="1"/>
  <c r="W25" i="16" a="1"/>
  <c r="L17" i="19" a="1"/>
  <c r="L45" i="17" a="1"/>
  <c r="L28" i="13" a="1"/>
  <c r="U65" i="16" a="1"/>
  <c r="K40" i="13" a="1"/>
  <c r="J74" i="20" a="1"/>
  <c r="K43" i="19" a="1"/>
  <c r="I61" i="20" a="1"/>
  <c r="T62" i="13" a="1"/>
  <c r="L49" i="21" a="1"/>
  <c r="G36" i="15" a="1"/>
  <c r="K117" i="19" a="1"/>
  <c r="G41" i="15" a="1"/>
  <c r="S26" i="13" a="1"/>
  <c r="J16" i="13" a="1"/>
  <c r="K58" i="16" a="1"/>
  <c r="V71" i="16" a="1"/>
  <c r="AC149" i="46" a="1"/>
  <c r="K29" i="26" a="1"/>
  <c r="Z54" i="16" a="1"/>
  <c r="V21" i="15" a="1"/>
  <c r="V26" i="16" a="1"/>
  <c r="G97" i="20" a="1"/>
  <c r="V20" i="16" a="1"/>
  <c r="H21" i="15" a="1"/>
  <c r="J38" i="15" a="1"/>
  <c r="K57" i="20" a="1"/>
  <c r="Z92" i="15" a="1"/>
  <c r="S31" i="13" a="1"/>
  <c r="K131" i="19" a="1"/>
  <c r="L110" i="19" a="1"/>
  <c r="E38" i="13" a="1"/>
  <c r="F8" i="13" a="1"/>
  <c r="E67" i="13" a="1"/>
  <c r="H93" i="20" a="1"/>
  <c r="U26" i="16" a="1"/>
  <c r="L55" i="19" a="1"/>
  <c r="W20" i="16" a="1"/>
  <c r="G18" i="15" a="1"/>
  <c r="E14" i="13" a="1"/>
  <c r="T47" i="13" a="1"/>
  <c r="K58" i="20" a="1"/>
  <c r="U21" i="16" a="1"/>
  <c r="J24" i="15" a="1"/>
  <c r="V19" i="15" a="1"/>
  <c r="I116" i="20" a="1"/>
  <c r="J45" i="13" a="1"/>
  <c r="L38" i="13" a="1"/>
  <c r="U14" i="16" a="1"/>
  <c r="Q46" i="20" a="1"/>
  <c r="G102" i="20" a="1"/>
  <c r="K65" i="13" a="1"/>
  <c r="K58" i="13" a="1"/>
  <c r="L45" i="13" a="1"/>
  <c r="L50" i="21" a="1"/>
  <c r="U45" i="13" a="1"/>
  <c r="K40" i="26" a="1"/>
  <c r="W18" i="16" a="1"/>
  <c r="Q51" i="20" a="1"/>
  <c r="I66" i="13" a="1"/>
  <c r="K33" i="13" a="1"/>
  <c r="I102" i="20" a="1"/>
  <c r="V59" i="13" a="1"/>
  <c r="L39" i="21" a="1"/>
  <c r="K25" i="15" a="1"/>
  <c r="L34" i="19" a="1"/>
  <c r="L49" i="19" a="1"/>
  <c r="K43" i="13" a="1"/>
  <c r="Z47" i="15" a="1"/>
  <c r="J24" i="20" a="1"/>
  <c r="L40" i="20" a="1"/>
  <c r="Q19" i="20" a="1"/>
  <c r="Z66" i="16" a="1"/>
  <c r="L21" i="19" a="1"/>
  <c r="AB91" i="15" a="1"/>
  <c r="K8" i="19" a="1"/>
  <c r="V46" i="16" a="1"/>
  <c r="K13" i="21" a="1"/>
  <c r="L28" i="20" a="1"/>
  <c r="I17" i="13" a="1"/>
  <c r="H14" i="16" a="1"/>
  <c r="J20" i="16" a="1"/>
  <c r="G43" i="13" a="1"/>
  <c r="L108" i="17" a="1"/>
  <c r="G112" i="20" a="1"/>
  <c r="U55" i="16" a="1"/>
  <c r="J57" i="20" a="1"/>
  <c r="J28" i="20" a="1"/>
  <c r="X150" i="46" a="1"/>
  <c r="J71" i="20" a="1"/>
  <c r="Q13" i="20" a="1"/>
  <c r="T31" i="13" a="1"/>
  <c r="I22" i="16" a="1"/>
  <c r="V43" i="13" a="1"/>
  <c r="L46" i="21" a="1"/>
  <c r="L47" i="20" a="1"/>
  <c r="I16" i="13" a="1"/>
  <c r="K36" i="16" a="1"/>
  <c r="V107" i="16" a="1"/>
  <c r="F13" i="13" a="1"/>
  <c r="H40" i="15" a="1"/>
  <c r="V21" i="16" a="1"/>
  <c r="W9" i="16" a="1"/>
  <c r="L31" i="20" a="1"/>
  <c r="D32" i="26" a="1"/>
  <c r="S9" i="13" a="1"/>
  <c r="Z38" i="16" a="1"/>
  <c r="R44" i="13" a="1"/>
  <c r="U46" i="16" a="1"/>
  <c r="K12" i="20" a="1"/>
  <c r="H23" i="16" a="1"/>
  <c r="G68" i="13" a="1"/>
  <c r="L54" i="19" a="1"/>
  <c r="I26" i="15" a="1"/>
  <c r="H25" i="15" a="1"/>
  <c r="G58" i="13" a="1"/>
  <c r="S8" i="26" a="1"/>
  <c r="K54" i="16" a="1"/>
  <c r="K14" i="13" a="1"/>
  <c r="L114" i="17" a="1"/>
  <c r="H7" i="16" a="1"/>
  <c r="U13" i="13" a="1"/>
  <c r="G118" i="20" a="1"/>
  <c r="J78" i="20" a="1"/>
  <c r="J65" i="20" a="1"/>
  <c r="G42" i="13" a="1"/>
  <c r="Q38" i="20" a="1"/>
  <c r="F25" i="13" a="1"/>
  <c r="K31" i="15" a="1"/>
  <c r="K90" i="16" a="1"/>
  <c r="K24" i="26" a="1"/>
  <c r="Z87" i="16" a="1"/>
  <c r="J24" i="13" a="1"/>
  <c r="K110" i="19" a="1"/>
  <c r="U8" i="13" a="1"/>
  <c r="J16" i="15" a="1"/>
  <c r="U96" i="16" a="1"/>
  <c r="H46" i="13" a="1"/>
  <c r="G35" i="13" a="1"/>
  <c r="L19" i="13" a="1"/>
  <c r="K26" i="15" a="1"/>
  <c r="K29" i="13" a="1"/>
  <c r="I6" i="26" a="1"/>
  <c r="K83" i="26" a="1"/>
  <c r="L13" i="21" a="1"/>
  <c r="K84" i="16" a="1"/>
  <c r="K56" i="26" a="1"/>
  <c r="K21" i="15" a="1"/>
  <c r="L36" i="21" a="1"/>
  <c r="U71" i="16" a="1"/>
  <c r="L21" i="13" a="1"/>
  <c r="H47" i="13" a="1"/>
  <c r="L53" i="19" a="1"/>
  <c r="H36" i="13" a="1"/>
  <c r="I104" i="20" a="1"/>
  <c r="R46" i="13" a="1"/>
  <c r="V53" i="16" a="1"/>
  <c r="K33" i="15" a="1"/>
  <c r="J86" i="20" a="1"/>
  <c r="J27" i="15" a="1"/>
  <c r="Q20" i="20" a="1"/>
  <c r="T40" i="13" a="1"/>
  <c r="L110" i="17" a="1"/>
  <c r="L36" i="17" a="1"/>
  <c r="U107" i="16" a="1"/>
  <c r="V66" i="16" a="1"/>
  <c r="K8" i="26" a="1"/>
  <c r="I39" i="15" a="1"/>
  <c r="S19" i="13" a="1"/>
  <c r="AC152" i="46" a="1"/>
  <c r="V55" i="16" a="1"/>
  <c r="K26" i="13" a="1"/>
  <c r="L17" i="17" a="1"/>
  <c r="H113" i="20" a="1"/>
  <c r="J22" i="15" a="1"/>
  <c r="K32" i="19" a="1"/>
  <c r="K52" i="16" a="1"/>
  <c r="Z95" i="15" a="1"/>
  <c r="V41" i="13" a="1"/>
  <c r="E60" i="13" a="1"/>
  <c r="L71" i="17" a="1"/>
  <c r="U15" i="13" a="1"/>
  <c r="K6" i="13" a="1"/>
  <c r="U106" i="16" a="1"/>
  <c r="U95" i="16" a="1"/>
  <c r="F61" i="13" a="1"/>
  <c r="L115" i="17" a="1"/>
  <c r="J26" i="20" a="1"/>
  <c r="I42" i="15" a="1"/>
  <c r="K22" i="21" a="1"/>
  <c r="S33" i="13" a="1"/>
  <c r="W12" i="16" a="1"/>
  <c r="V93" i="16" a="1"/>
  <c r="L140" i="19" a="1"/>
  <c r="U46" i="13" a="1"/>
  <c r="L100" i="17" a="1"/>
  <c r="K42" i="19" a="1"/>
  <c r="I97" i="20" a="1"/>
  <c r="K42" i="26" a="1"/>
  <c r="K75" i="26" a="1"/>
  <c r="L48" i="20" a="1"/>
  <c r="K11" i="15" a="1"/>
  <c r="J10" i="20" a="1"/>
  <c r="L121" i="19" a="1"/>
  <c r="V46" i="13" a="1"/>
  <c r="G116" i="20" a="1"/>
  <c r="L97" i="17" a="1"/>
  <c r="J51" i="20" a="1"/>
  <c r="H8" i="15" a="1"/>
  <c r="D28" i="19" a="1"/>
  <c r="K35" i="19" a="1"/>
  <c r="AC151" i="46" a="1"/>
  <c r="G31" i="15" a="1"/>
  <c r="K23" i="19" a="1"/>
  <c r="J44" i="20" a="1"/>
  <c r="Z90" i="15" a="1"/>
  <c r="L16" i="20" a="1"/>
  <c r="L66" i="17" a="1"/>
  <c r="V11" i="15" a="1"/>
  <c r="K57" i="19" a="1"/>
  <c r="L25" i="21" a="1"/>
  <c r="L42" i="19" a="1"/>
  <c r="J42" i="15" a="1"/>
  <c r="I21" i="15" a="1"/>
  <c r="I76" i="20" a="1"/>
  <c r="G107" i="20" a="1"/>
  <c r="G6" i="13" a="1"/>
  <c r="K55" i="16" a="1"/>
  <c r="R58" i="13" a="1"/>
  <c r="I113" i="20" a="1"/>
  <c r="I15" i="16" a="1"/>
  <c r="E58" i="13" a="1"/>
  <c r="G24" i="13" a="1"/>
  <c r="I24" i="13" a="1"/>
  <c r="R21" i="13" a="1"/>
  <c r="J13" i="13" a="1"/>
  <c r="G16" i="15" a="1"/>
  <c r="I91" i="20" a="1"/>
  <c r="J42" i="13" a="1"/>
  <c r="I88" i="20" a="1"/>
  <c r="K57" i="26" a="1"/>
  <c r="R9" i="26" a="1"/>
  <c r="Z46" i="16" a="1"/>
  <c r="K48" i="21" a="1"/>
  <c r="L99" i="17" a="1"/>
  <c r="H15" i="13" a="1"/>
  <c r="H20" i="13" a="1"/>
  <c r="I19" i="13" a="1"/>
  <c r="K10" i="21" a="1"/>
  <c r="J33" i="13" a="1"/>
  <c r="I12" i="13" a="1"/>
  <c r="I81" i="20" a="1"/>
  <c r="K13" i="13" a="1"/>
  <c r="K23" i="16" a="1"/>
  <c r="T30" i="13" a="1"/>
  <c r="L130" i="19" a="1"/>
  <c r="I68" i="20" a="1"/>
  <c r="D29" i="26" a="1"/>
  <c r="W46" i="13" a="1"/>
  <c r="G15" i="16" a="1"/>
  <c r="E62" i="13" a="1"/>
  <c r="I8" i="15" a="1"/>
  <c r="L50" i="19" a="1"/>
  <c r="U37" i="13" a="1"/>
  <c r="K81" i="16" a="1"/>
  <c r="L85" i="17" a="1"/>
  <c r="H18" i="16" a="1"/>
  <c r="H25" i="13" a="1"/>
  <c r="U77" i="16" a="1"/>
  <c r="E44" i="13" a="1"/>
  <c r="J34" i="13" a="1"/>
  <c r="I22" i="15" a="1"/>
  <c r="R39" i="13" a="1"/>
  <c r="K45" i="19" a="1"/>
  <c r="J52" i="20" a="1"/>
  <c r="K129" i="19" a="1"/>
  <c r="V15" i="16" a="1"/>
  <c r="F18" i="13" a="1"/>
  <c r="T15" i="13" a="1"/>
  <c r="U36" i="13" a="1"/>
  <c r="K32" i="26" a="1"/>
  <c r="K30" i="26" a="1"/>
  <c r="Q40" i="20" a="1"/>
  <c r="W18" i="13" a="1"/>
  <c r="R47" i="13" a="1"/>
  <c r="F60" i="13" a="1"/>
  <c r="L92" i="17" a="1"/>
  <c r="G16" i="13" a="1"/>
  <c r="K13" i="16" a="1"/>
  <c r="Z94" i="15" a="1"/>
  <c r="E29" i="19" a="1"/>
  <c r="T45" i="13" a="1"/>
  <c r="S23" i="13" a="1"/>
  <c r="L21" i="20" a="1"/>
  <c r="L44" i="20" a="1"/>
  <c r="T58" i="13" a="1"/>
  <c r="V35" i="15" a="1"/>
  <c r="D31" i="26" a="1"/>
  <c r="U109" i="16" a="1"/>
  <c r="L30" i="19" a="1"/>
  <c r="I13" i="15" a="1"/>
  <c r="K38" i="16" a="1"/>
  <c r="U64" i="16" a="1"/>
  <c r="L24" i="17" a="1"/>
  <c r="L10" i="19" a="1"/>
  <c r="L25" i="13" a="1"/>
  <c r="V84" i="16" a="1"/>
  <c r="G15" i="13" a="1"/>
  <c r="H36" i="16" a="1"/>
  <c r="L10" i="13" a="1"/>
  <c r="U17" i="16" a="1"/>
  <c r="W14" i="16" a="1"/>
  <c r="Z106" i="16" a="1"/>
  <c r="I87" i="20" a="1"/>
  <c r="L40" i="17" a="1"/>
  <c r="T24" i="13" a="1"/>
  <c r="K70" i="13" a="1"/>
  <c r="K41" i="19" a="1"/>
  <c r="K79" i="26" a="1"/>
  <c r="K89" i="16" a="1"/>
  <c r="Z94" i="16" a="1"/>
  <c r="V30" i="15" a="1"/>
  <c r="L29" i="20" a="1"/>
  <c r="E24" i="13" a="1"/>
  <c r="L84" i="17" a="1"/>
  <c r="K81" i="26" a="1"/>
  <c r="R22" i="13" a="1"/>
  <c r="L116" i="19" a="1"/>
  <c r="J68" i="20" a="1"/>
  <c r="V36" i="15" a="1"/>
  <c r="V19" i="16" a="1"/>
  <c r="L59" i="13" a="1"/>
  <c r="V18" i="16" a="1"/>
  <c r="K55" i="20" a="1"/>
  <c r="K39" i="21" a="1"/>
  <c r="S44" i="13" a="1"/>
  <c r="L109" i="19" a="1"/>
  <c r="E47" i="13" a="1"/>
  <c r="L25" i="19" a="1"/>
  <c r="G21" i="16" a="1"/>
  <c r="F20" i="13" a="1"/>
  <c r="V58" i="13" a="1"/>
  <c r="W43" i="13" a="1"/>
  <c r="I13" i="13" a="1"/>
  <c r="K42" i="13" a="1"/>
  <c r="K43" i="16" a="1"/>
  <c r="K44" i="13" a="1"/>
  <c r="L44" i="13" a="1"/>
  <c r="K41" i="20" a="1"/>
  <c r="T18" i="13" a="1"/>
  <c r="K43" i="20" a="1"/>
  <c r="U40" i="13" a="1"/>
  <c r="G94" i="20" a="1"/>
  <c r="J26" i="13" a="1"/>
  <c r="L10" i="17" a="1"/>
  <c r="U81" i="16" a="1"/>
  <c r="K20" i="19" a="1"/>
  <c r="U25" i="16" a="1"/>
  <c r="V69" i="16" a="1"/>
  <c r="H104" i="20" a="1"/>
  <c r="K33" i="19" a="1"/>
  <c r="K8" i="20" a="1"/>
  <c r="J66" i="13" a="1"/>
  <c r="J11" i="13" a="1"/>
  <c r="W15" i="16" a="1"/>
  <c r="T19" i="13" a="1"/>
  <c r="E60" i="19" a="1"/>
  <c r="I12" i="16" a="1"/>
  <c r="V39" i="15" a="1"/>
  <c r="Z53" i="16" a="1"/>
  <c r="L47" i="17" a="1"/>
  <c r="E39" i="13" a="1"/>
  <c r="U28" i="13" a="1"/>
  <c r="G27" i="13" a="1"/>
  <c r="J62" i="13" a="1"/>
  <c r="K25" i="21" a="1"/>
  <c r="K43" i="26" a="1"/>
  <c r="K79" i="16" a="1"/>
  <c r="U99" i="16" a="1"/>
  <c r="I14" i="15" a="1"/>
  <c r="S43" i="13" a="1"/>
  <c r="L43" i="19" a="1"/>
  <c r="I67" i="20" a="1"/>
  <c r="Z91" i="16" a="1"/>
  <c r="G108" i="20" a="1"/>
  <c r="L127" i="19" a="1"/>
  <c r="L12" i="13" a="1"/>
  <c r="J6" i="21" a="1"/>
  <c r="H96" i="20" a="1"/>
  <c r="J26" i="15" a="1"/>
  <c r="V29" i="15" a="1"/>
  <c r="K36" i="20" a="1"/>
  <c r="F63" i="13" a="1"/>
  <c r="I59" i="13" a="1"/>
  <c r="U61" i="16" a="1"/>
  <c r="L6" i="20" a="1"/>
  <c r="U87" i="16" a="1"/>
  <c r="H34" i="15" a="1"/>
  <c r="S25" i="13" a="1"/>
  <c r="H9" i="16" a="1"/>
  <c r="D49" i="16" a="1"/>
  <c r="I34" i="15" a="1"/>
  <c r="K23" i="15" a="1"/>
  <c r="I109" i="20" a="1"/>
  <c r="I7" i="16" a="1"/>
  <c r="K22" i="19" a="1"/>
  <c r="U43" i="16" a="1"/>
  <c r="W150" i="46" a="1"/>
  <c r="H22" i="15" a="1"/>
  <c r="L39" i="13" a="1"/>
  <c r="G11" i="13" a="1"/>
  <c r="I62" i="20" a="1"/>
  <c r="G31" i="13" a="1"/>
  <c r="K76" i="26" a="1"/>
  <c r="L60" i="17" a="1"/>
  <c r="K33" i="20" a="1"/>
  <c r="K15" i="13" a="1"/>
  <c r="H17" i="16" a="1"/>
  <c r="K112" i="19" a="1"/>
  <c r="K6" i="21" a="1"/>
  <c r="U60" i="16" a="1"/>
  <c r="I30" i="13" a="1"/>
  <c r="I37" i="13" a="1"/>
  <c r="S16" i="13" a="1"/>
  <c r="K75" i="16" a="1"/>
  <c r="X31" i="16" a="1"/>
  <c r="V32" i="15" a="1"/>
  <c r="J41" i="15" a="1"/>
  <c r="W26" i="16" a="1"/>
  <c r="K34" i="21" a="1"/>
  <c r="T20" i="13" a="1"/>
  <c r="X33" i="16" a="1"/>
  <c r="G20" i="13" a="1"/>
  <c r="V78" i="16" a="1"/>
  <c r="L119" i="19" a="1"/>
  <c r="L68" i="17" a="1"/>
  <c r="W47" i="13" a="1"/>
  <c r="Z29" i="16" a="1"/>
  <c r="I70" i="20" a="1"/>
  <c r="L38" i="21" a="1"/>
  <c r="H16" i="16" a="1"/>
  <c r="Z57" i="16" a="1"/>
  <c r="J64" i="13" a="1"/>
  <c r="W23" i="13" a="1"/>
  <c r="V63" i="13" a="1"/>
  <c r="K39" i="20" a="1"/>
  <c r="E8" i="13" a="1"/>
  <c r="K6" i="19" a="1"/>
  <c r="W36" i="13" a="1"/>
  <c r="L35" i="19" a="1"/>
  <c r="G13" i="13" a="1"/>
  <c r="J6" i="13" a="1"/>
  <c r="U48" i="16" a="1"/>
  <c r="U69" i="16" a="1"/>
  <c r="L70" i="17" a="1"/>
  <c r="S39" i="13" a="1"/>
  <c r="F59" i="13" a="1"/>
  <c r="K12" i="19" a="1"/>
  <c r="I64" i="13" a="1"/>
  <c r="I18" i="13" a="1"/>
  <c r="L34" i="13" a="1"/>
  <c r="K14" i="16" a="1"/>
  <c r="V17" i="13" a="1"/>
  <c r="E12" i="13" a="1"/>
  <c r="K10" i="13" a="1"/>
  <c r="L13" i="19" a="1"/>
  <c r="L10" i="21" a="1"/>
  <c r="Z153" i="46" a="1"/>
  <c r="I27" i="13" a="1"/>
  <c r="G23" i="15" a="1"/>
  <c r="K134" i="19" a="1"/>
  <c r="T66" i="13" a="1"/>
  <c r="G17" i="16" a="1"/>
  <c r="K51" i="20" a="1"/>
  <c r="S37" i="13" a="1"/>
  <c r="K25" i="13" a="1"/>
  <c r="H14" i="15" a="1"/>
  <c r="I101" i="20" a="1"/>
  <c r="V48" i="16" a="1"/>
  <c r="L137" i="19" a="1"/>
  <c r="G26" i="13" a="1"/>
  <c r="X154" i="46" a="1"/>
  <c r="S8" i="13" a="1"/>
  <c r="J47" i="20" a="1"/>
  <c r="K120" i="19" a="1"/>
  <c r="V21" i="13" a="1"/>
  <c r="Z80" i="16" a="1"/>
  <c r="G11" i="15" a="1"/>
  <c r="W52" i="16" a="1"/>
  <c r="U44" i="16" a="1"/>
  <c r="V62" i="16" a="1"/>
  <c r="X153" i="46" a="1"/>
  <c r="I14" i="16" a="1"/>
  <c r="H6" i="21" a="1"/>
  <c r="I61" i="13" a="1"/>
  <c r="L15" i="21" a="1"/>
  <c r="W10" i="16" a="1"/>
  <c r="S35" i="13" a="1"/>
  <c r="K95" i="16" a="1"/>
  <c r="L56" i="19" a="1"/>
  <c r="K21" i="16" a="1"/>
  <c r="K34" i="15" a="1"/>
  <c r="U103" i="16" a="1"/>
  <c r="F41" i="13" a="1"/>
  <c r="S24" i="13" l="1"/>
  <c r="I11" i="16"/>
  <c r="K57" i="19"/>
  <c r="L84" i="17"/>
  <c r="E39" i="13"/>
  <c r="L17" i="19"/>
  <c r="G16" i="13"/>
  <c r="L100" i="17"/>
  <c r="K17" i="15"/>
  <c r="V43" i="13"/>
  <c r="J38" i="20"/>
  <c r="L57" i="17"/>
  <c r="Z72" i="16"/>
  <c r="G101" i="20"/>
  <c r="L15" i="20"/>
  <c r="K39" i="16"/>
  <c r="K33" i="16" s="1"/>
  <c r="K58" i="19"/>
  <c r="K36" i="21"/>
  <c r="K95" i="16"/>
  <c r="K10" i="13"/>
  <c r="T20" i="13"/>
  <c r="I104" i="20"/>
  <c r="K10" i="21"/>
  <c r="L39" i="13"/>
  <c r="AC153" i="46"/>
  <c r="Z87" i="16"/>
  <c r="T58" i="13"/>
  <c r="K25" i="19"/>
  <c r="V27" i="13"/>
  <c r="T25" i="13"/>
  <c r="K28" i="21"/>
  <c r="G27" i="16"/>
  <c r="R59" i="13"/>
  <c r="L33" i="19"/>
  <c r="R22" i="13"/>
  <c r="K35" i="19"/>
  <c r="L47" i="17"/>
  <c r="V21" i="16"/>
  <c r="K42" i="26"/>
  <c r="U46" i="13"/>
  <c r="G26" i="15"/>
  <c r="I22" i="16"/>
  <c r="U15" i="16"/>
  <c r="U8" i="16"/>
  <c r="Q24" i="20"/>
  <c r="J35" i="15"/>
  <c r="G110" i="20"/>
  <c r="R42" i="13"/>
  <c r="K7" i="16"/>
  <c r="J6" i="19"/>
  <c r="J106" i="19" s="1"/>
  <c r="S35" i="13"/>
  <c r="E12" i="13"/>
  <c r="E47" i="13"/>
  <c r="K58" i="13"/>
  <c r="K21" i="15"/>
  <c r="K26" i="15"/>
  <c r="R63" i="13"/>
  <c r="R21" i="13"/>
  <c r="U61" i="16"/>
  <c r="T10" i="13"/>
  <c r="E66" i="13"/>
  <c r="V85" i="16"/>
  <c r="I114" i="20"/>
  <c r="AB8" i="15"/>
  <c r="Z77" i="16"/>
  <c r="H28" i="15"/>
  <c r="L12" i="13"/>
  <c r="T62" i="13"/>
  <c r="Z53" i="16"/>
  <c r="L121" i="19"/>
  <c r="I16" i="13"/>
  <c r="L140" i="19"/>
  <c r="L11" i="20"/>
  <c r="T31" i="13"/>
  <c r="L43" i="20"/>
  <c r="I92" i="20"/>
  <c r="D45" i="26"/>
  <c r="U94" i="16"/>
  <c r="H30" i="13"/>
  <c r="E37" i="13"/>
  <c r="I84" i="20"/>
  <c r="J48" i="20"/>
  <c r="W10" i="16"/>
  <c r="V17" i="13"/>
  <c r="L25" i="13"/>
  <c r="I37" i="13"/>
  <c r="K15" i="13"/>
  <c r="L30" i="19"/>
  <c r="Z37" i="16"/>
  <c r="Z35" i="16" s="1"/>
  <c r="L110" i="19"/>
  <c r="V20" i="16"/>
  <c r="W35" i="13"/>
  <c r="J83" i="20"/>
  <c r="L134" i="19"/>
  <c r="R68" i="13"/>
  <c r="R33" i="13"/>
  <c r="U66" i="16"/>
  <c r="Z76" i="16"/>
  <c r="V71" i="16"/>
  <c r="I14" i="15"/>
  <c r="V39" i="15"/>
  <c r="W25" i="16"/>
  <c r="K130" i="19"/>
  <c r="V93" i="16"/>
  <c r="U17" i="13"/>
  <c r="Q13" i="20"/>
  <c r="I38" i="13"/>
  <c r="H112" i="20"/>
  <c r="W15" i="13"/>
  <c r="W17" i="16"/>
  <c r="J62" i="20"/>
  <c r="Z154" i="46"/>
  <c r="AA54" i="16"/>
  <c r="L9" i="19"/>
  <c r="L15" i="21"/>
  <c r="K14" i="16"/>
  <c r="T40" i="13"/>
  <c r="I68" i="20"/>
  <c r="I116" i="20"/>
  <c r="G18" i="15"/>
  <c r="L39" i="20"/>
  <c r="K23" i="15"/>
  <c r="J78" i="20"/>
  <c r="H17" i="15"/>
  <c r="U17" i="15" s="1"/>
  <c r="K21" i="20"/>
  <c r="H65" i="13"/>
  <c r="D42" i="26"/>
  <c r="R41" i="13"/>
  <c r="K45" i="20"/>
  <c r="L31" i="19"/>
  <c r="S8" i="26"/>
  <c r="K12" i="20"/>
  <c r="I12" i="16"/>
  <c r="H40" i="15"/>
  <c r="I97" i="20"/>
  <c r="W12" i="16"/>
  <c r="K9" i="26"/>
  <c r="J71" i="20"/>
  <c r="S12" i="13"/>
  <c r="T14" i="13"/>
  <c r="J28" i="15"/>
  <c r="K46" i="21"/>
  <c r="K135" i="19"/>
  <c r="I40" i="13"/>
  <c r="R36" i="13"/>
  <c r="L77" i="17"/>
  <c r="V16" i="15"/>
  <c r="I61" i="13"/>
  <c r="L34" i="13"/>
  <c r="L50" i="19"/>
  <c r="S44" i="13"/>
  <c r="K55" i="20"/>
  <c r="K8" i="21"/>
  <c r="Z47" i="16"/>
  <c r="L45" i="19"/>
  <c r="Z49" i="15"/>
  <c r="K57" i="26"/>
  <c r="L58" i="20"/>
  <c r="I9" i="16"/>
  <c r="L51" i="19"/>
  <c r="H33" i="13"/>
  <c r="G104" i="20"/>
  <c r="K23" i="21"/>
  <c r="J31" i="20"/>
  <c r="K34" i="19"/>
  <c r="J67" i="20"/>
  <c r="L29" i="21"/>
  <c r="H31" i="13"/>
  <c r="W8" i="13"/>
  <c r="K97" i="16"/>
  <c r="I24" i="15"/>
  <c r="U24" i="15" s="1"/>
  <c r="I24" i="13"/>
  <c r="G6" i="13"/>
  <c r="V11" i="15"/>
  <c r="D28" i="19"/>
  <c r="E60" i="19"/>
  <c r="L29" i="20"/>
  <c r="L28" i="17"/>
  <c r="K119" i="19"/>
  <c r="L47" i="20"/>
  <c r="F24" i="13"/>
  <c r="I107" i="20"/>
  <c r="L36" i="20"/>
  <c r="L14" i="19"/>
  <c r="H118" i="20"/>
  <c r="L41" i="20"/>
  <c r="Z105" i="16"/>
  <c r="V60" i="16"/>
  <c r="K108" i="16"/>
  <c r="K11" i="21"/>
  <c r="Q39" i="20"/>
  <c r="U20" i="13"/>
  <c r="K40" i="21"/>
  <c r="K126" i="19"/>
  <c r="S33" i="13"/>
  <c r="X150" i="46"/>
  <c r="W28" i="13"/>
  <c r="K123" i="19"/>
  <c r="H6" i="21"/>
  <c r="Q30" i="20"/>
  <c r="J13" i="20"/>
  <c r="U38" i="13"/>
  <c r="V20" i="13"/>
  <c r="I18" i="13"/>
  <c r="F41" i="13"/>
  <c r="J26" i="16"/>
  <c r="H36" i="13"/>
  <c r="V20" i="15"/>
  <c r="U89" i="16"/>
  <c r="S27" i="13"/>
  <c r="V30" i="13"/>
  <c r="G117" i="20"/>
  <c r="E16" i="13"/>
  <c r="K37" i="21"/>
  <c r="L7" i="21"/>
  <c r="U9" i="13"/>
  <c r="L66" i="13"/>
  <c r="I60" i="13"/>
  <c r="G60" i="13"/>
  <c r="V33" i="15"/>
  <c r="J72" i="20"/>
  <c r="I19" i="13"/>
  <c r="H22" i="15"/>
  <c r="U22" i="15" s="1"/>
  <c r="K24" i="26"/>
  <c r="K15" i="26" s="1"/>
  <c r="I59" i="13"/>
  <c r="K60" i="13"/>
  <c r="K58" i="16"/>
  <c r="I61" i="20"/>
  <c r="L60" i="13"/>
  <c r="Z88" i="16"/>
  <c r="T19" i="13"/>
  <c r="Q29" i="20"/>
  <c r="L113" i="19"/>
  <c r="K100" i="16"/>
  <c r="Q56" i="20"/>
  <c r="L102" i="17"/>
  <c r="Q52" i="20"/>
  <c r="K12" i="16"/>
  <c r="L70" i="13"/>
  <c r="U11" i="13"/>
  <c r="K122" i="19"/>
  <c r="H32" i="15"/>
  <c r="F43" i="13"/>
  <c r="I77" i="20"/>
  <c r="J10" i="20"/>
  <c r="I70" i="13"/>
  <c r="Z82" i="16"/>
  <c r="K23" i="13"/>
  <c r="K77" i="26"/>
  <c r="K16" i="15"/>
  <c r="K45" i="13"/>
  <c r="K18" i="21"/>
  <c r="K22" i="21"/>
  <c r="J28" i="20"/>
  <c r="G105" i="20"/>
  <c r="I14" i="16"/>
  <c r="Z48" i="16"/>
  <c r="L88" i="17"/>
  <c r="I64" i="13"/>
  <c r="K22" i="20"/>
  <c r="E22" i="13"/>
  <c r="F31" i="13"/>
  <c r="U104" i="16"/>
  <c r="G28" i="15"/>
  <c r="V23" i="16"/>
  <c r="Z107" i="16"/>
  <c r="J25" i="15"/>
  <c r="S11" i="13"/>
  <c r="K74" i="26"/>
  <c r="J23" i="16"/>
  <c r="V13" i="16"/>
  <c r="K36" i="26"/>
  <c r="F11" i="13"/>
  <c r="W51" i="13"/>
  <c r="I66" i="13"/>
  <c r="K34" i="15"/>
  <c r="K38" i="16"/>
  <c r="W27" i="13"/>
  <c r="K44" i="19"/>
  <c r="V14" i="15"/>
  <c r="K9" i="21"/>
  <c r="H63" i="13"/>
  <c r="L10" i="20"/>
  <c r="L19" i="13"/>
  <c r="K131" i="19"/>
  <c r="J68" i="20"/>
  <c r="T61" i="13"/>
  <c r="L127" i="19"/>
  <c r="L126" i="19"/>
  <c r="K37" i="16"/>
  <c r="K93" i="16"/>
  <c r="G25" i="13"/>
  <c r="L107" i="17"/>
  <c r="I44" i="13"/>
  <c r="L79" i="17"/>
  <c r="W50" i="13"/>
  <c r="J12" i="13"/>
  <c r="R40" i="13"/>
  <c r="G8" i="15"/>
  <c r="W53" i="13"/>
  <c r="I28" i="13"/>
  <c r="R28" i="13"/>
  <c r="G109" i="20"/>
  <c r="U46" i="16"/>
  <c r="W15" i="16"/>
  <c r="W9" i="15"/>
  <c r="K19" i="20"/>
  <c r="K42" i="19"/>
  <c r="I42" i="15"/>
  <c r="N150" i="46"/>
  <c r="L44" i="19"/>
  <c r="L40" i="19"/>
  <c r="L6" i="13"/>
  <c r="K71" i="16"/>
  <c r="L19" i="20"/>
  <c r="J57" i="20"/>
  <c r="K26" i="20"/>
  <c r="K15" i="20"/>
  <c r="K82" i="16"/>
  <c r="L133" i="19"/>
  <c r="V8" i="16"/>
  <c r="J17" i="16"/>
  <c r="K7" i="21"/>
  <c r="H111" i="20"/>
  <c r="J7" i="16"/>
  <c r="L128" i="19"/>
  <c r="G47" i="13"/>
  <c r="L114" i="19"/>
  <c r="I12" i="15"/>
  <c r="K19" i="13"/>
  <c r="J47" i="13"/>
  <c r="T13" i="13"/>
  <c r="G21" i="15"/>
  <c r="X153" i="46"/>
  <c r="K12" i="19"/>
  <c r="K34" i="21"/>
  <c r="K65" i="13"/>
  <c r="K24" i="15"/>
  <c r="K56" i="26"/>
  <c r="L59" i="13"/>
  <c r="G18" i="13"/>
  <c r="L98" i="17"/>
  <c r="F30" i="13"/>
  <c r="R60" i="13"/>
  <c r="G44" i="13"/>
  <c r="U54" i="16"/>
  <c r="L26" i="19"/>
  <c r="D31" i="26"/>
  <c r="K6" i="16"/>
  <c r="W21" i="16"/>
  <c r="E23" i="13"/>
  <c r="L16" i="17"/>
  <c r="W42" i="13"/>
  <c r="H39" i="13"/>
  <c r="Z36" i="16"/>
  <c r="S36" i="13"/>
  <c r="Z56" i="16"/>
  <c r="K128" i="19"/>
  <c r="L6" i="19"/>
  <c r="L106" i="19" s="1"/>
  <c r="K22" i="15"/>
  <c r="K34" i="20"/>
  <c r="K49" i="21"/>
  <c r="L20" i="19"/>
  <c r="G97" i="20"/>
  <c r="J16" i="13"/>
  <c r="U99" i="16"/>
  <c r="J11" i="13"/>
  <c r="F13" i="13"/>
  <c r="L92" i="17"/>
  <c r="U86" i="16"/>
  <c r="G39" i="15"/>
  <c r="J26" i="20"/>
  <c r="U19" i="16"/>
  <c r="Z55" i="16"/>
  <c r="W7" i="13"/>
  <c r="E107" i="19"/>
  <c r="M16" i="46"/>
  <c r="U90" i="16"/>
  <c r="I93" i="20"/>
  <c r="V19" i="13"/>
  <c r="L43" i="21"/>
  <c r="R19" i="13"/>
  <c r="K22" i="16"/>
  <c r="S10" i="13"/>
  <c r="K31" i="19"/>
  <c r="K17" i="19"/>
  <c r="I14" i="13"/>
  <c r="U55" i="16"/>
  <c r="H38" i="13"/>
  <c r="V96" i="16"/>
  <c r="L40" i="13"/>
  <c r="V7" i="16"/>
  <c r="L62" i="13"/>
  <c r="J9" i="16"/>
  <c r="L82" i="17"/>
  <c r="V62" i="16"/>
  <c r="F59" i="13"/>
  <c r="Q20" i="20"/>
  <c r="L24" i="17"/>
  <c r="U41" i="13"/>
  <c r="K33" i="20"/>
  <c r="J18" i="13"/>
  <c r="K103" i="16"/>
  <c r="L42" i="21"/>
  <c r="L25" i="17"/>
  <c r="L50" i="17"/>
  <c r="H9" i="15"/>
  <c r="U9" i="15" s="1"/>
  <c r="L120" i="19"/>
  <c r="J79" i="20"/>
  <c r="G22" i="16"/>
  <c r="T65" i="13"/>
  <c r="H100" i="20"/>
  <c r="Q57" i="20"/>
  <c r="H117" i="20"/>
  <c r="K19" i="26"/>
  <c r="K12" i="26" s="1"/>
  <c r="S17" i="13"/>
  <c r="W20" i="16"/>
  <c r="U75" i="16"/>
  <c r="I34" i="15"/>
  <c r="G118" i="20"/>
  <c r="G58" i="13"/>
  <c r="T33" i="13"/>
  <c r="J116" i="17"/>
  <c r="L58" i="19"/>
  <c r="J14" i="16"/>
  <c r="I11" i="15"/>
  <c r="I15" i="15" s="1"/>
  <c r="L42" i="17"/>
  <c r="H8" i="15"/>
  <c r="J66" i="13"/>
  <c r="L36" i="13"/>
  <c r="K13" i="16"/>
  <c r="J18" i="20"/>
  <c r="I65" i="13"/>
  <c r="L47" i="21"/>
  <c r="F14" i="13"/>
  <c r="L55" i="20"/>
  <c r="W52" i="13"/>
  <c r="V10" i="13"/>
  <c r="L63" i="13"/>
  <c r="K6" i="20"/>
  <c r="K25" i="16"/>
  <c r="K11" i="16"/>
  <c r="I24" i="16"/>
  <c r="L116" i="17"/>
  <c r="R64" i="13"/>
  <c r="U10" i="16"/>
  <c r="L46" i="21"/>
  <c r="L115" i="17"/>
  <c r="G112" i="20"/>
  <c r="L46" i="17"/>
  <c r="J10" i="16"/>
  <c r="U44" i="16"/>
  <c r="S39" i="13"/>
  <c r="K61" i="26"/>
  <c r="J39" i="15"/>
  <c r="R37" i="13"/>
  <c r="K60" i="26"/>
  <c r="Q54" i="20"/>
  <c r="L101" i="17"/>
  <c r="G33" i="15"/>
  <c r="I8" i="15"/>
  <c r="U8" i="15" s="1"/>
  <c r="V44" i="13"/>
  <c r="H39" i="15"/>
  <c r="I95" i="20"/>
  <c r="K16" i="16"/>
  <c r="K20" i="16"/>
  <c r="L42" i="20"/>
  <c r="W20" i="13"/>
  <c r="K17" i="13"/>
  <c r="K71" i="26"/>
  <c r="R13" i="13"/>
  <c r="D38" i="26"/>
  <c r="L58" i="13"/>
  <c r="J22" i="16"/>
  <c r="L16" i="21"/>
  <c r="F46" i="13"/>
  <c r="I30" i="13"/>
  <c r="H20" i="13"/>
  <c r="G35" i="13"/>
  <c r="V36" i="15"/>
  <c r="F63" i="13"/>
  <c r="T67" i="13"/>
  <c r="L66" i="17"/>
  <c r="W39" i="13"/>
  <c r="K43" i="19"/>
  <c r="H92" i="20"/>
  <c r="W21" i="13"/>
  <c r="N149" i="46"/>
  <c r="G93" i="20"/>
  <c r="K12" i="15"/>
  <c r="Z79" i="16"/>
  <c r="L29" i="13"/>
  <c r="L12" i="19"/>
  <c r="J28" i="13"/>
  <c r="J84" i="20"/>
  <c r="Q7" i="20"/>
  <c r="L76" i="17"/>
  <c r="L90" i="17"/>
  <c r="H68" i="13"/>
  <c r="H40" i="13"/>
  <c r="K8" i="20"/>
  <c r="K54" i="19"/>
  <c r="I94" i="20"/>
  <c r="F22" i="13"/>
  <c r="K14" i="20"/>
  <c r="Z73" i="16"/>
  <c r="K127" i="19"/>
  <c r="K11" i="15"/>
  <c r="K15" i="15" s="1"/>
  <c r="D45" i="20"/>
  <c r="F61" i="13"/>
  <c r="L108" i="17"/>
  <c r="R31" i="13"/>
  <c r="K7" i="20"/>
  <c r="G35" i="15"/>
  <c r="W52" i="16"/>
  <c r="L22" i="21"/>
  <c r="L93" i="17"/>
  <c r="V99" i="16"/>
  <c r="V90" i="16"/>
  <c r="K40" i="15"/>
  <c r="Z46" i="15"/>
  <c r="L69" i="17"/>
  <c r="K140" i="19"/>
  <c r="S28" i="13"/>
  <c r="K6" i="26"/>
  <c r="Z60" i="16"/>
  <c r="L14" i="20"/>
  <c r="T17" i="13"/>
  <c r="J37" i="13"/>
  <c r="F66" i="13"/>
  <c r="L70" i="17"/>
  <c r="Q51" i="20"/>
  <c r="L130" i="19"/>
  <c r="V54" i="16"/>
  <c r="I35" i="13"/>
  <c r="J54" i="20"/>
  <c r="H18" i="15"/>
  <c r="U18" i="15" s="1"/>
  <c r="S29" i="13"/>
  <c r="K31" i="13"/>
  <c r="V19" i="15"/>
  <c r="I88" i="20"/>
  <c r="G24" i="13"/>
  <c r="L144" i="19"/>
  <c r="G107" i="20"/>
  <c r="Z74" i="16"/>
  <c r="G23" i="16"/>
  <c r="V15" i="13"/>
  <c r="W38" i="13"/>
  <c r="I17" i="15"/>
  <c r="V73" i="16"/>
  <c r="T27" i="13"/>
  <c r="J39" i="20"/>
  <c r="I32" i="15"/>
  <c r="U32" i="15" s="1"/>
  <c r="K38" i="21"/>
  <c r="K37" i="13"/>
  <c r="J39" i="13"/>
  <c r="U78" i="16"/>
  <c r="U20" i="16"/>
  <c r="L125" i="19"/>
  <c r="S23" i="13"/>
  <c r="R44" i="13"/>
  <c r="V14" i="16"/>
  <c r="K33" i="19"/>
  <c r="H6" i="26"/>
  <c r="F60" i="13"/>
  <c r="J23" i="15"/>
  <c r="D30" i="26"/>
  <c r="L53" i="20"/>
  <c r="J17" i="20"/>
  <c r="Z58" i="16"/>
  <c r="V18" i="13"/>
  <c r="U95" i="16"/>
  <c r="AB7" i="15"/>
  <c r="G43" i="13"/>
  <c r="L30" i="20"/>
  <c r="I75" i="20"/>
  <c r="I25" i="15"/>
  <c r="F65" i="13"/>
  <c r="K80" i="26"/>
  <c r="D41" i="26"/>
  <c r="I21" i="16"/>
  <c r="V94" i="16"/>
  <c r="V61" i="13"/>
  <c r="R16" i="13"/>
  <c r="I18" i="16"/>
  <c r="K50" i="19"/>
  <c r="S42" i="13"/>
  <c r="Z23" i="44"/>
  <c r="K14" i="15"/>
  <c r="V14" i="13"/>
  <c r="G11" i="15"/>
  <c r="G15" i="15" s="1"/>
  <c r="U69" i="16"/>
  <c r="W26" i="16"/>
  <c r="W23" i="16"/>
  <c r="T30" i="13"/>
  <c r="K84" i="16"/>
  <c r="K42" i="21"/>
  <c r="V36" i="16"/>
  <c r="J89" i="20"/>
  <c r="V56" i="16"/>
  <c r="K66" i="13"/>
  <c r="V41" i="15"/>
  <c r="Q36" i="20"/>
  <c r="W150" i="46"/>
  <c r="K15" i="16"/>
  <c r="G26" i="16"/>
  <c r="W11" i="13"/>
  <c r="J73" i="20"/>
  <c r="I60" i="20"/>
  <c r="U57" i="16"/>
  <c r="V42" i="16"/>
  <c r="L41" i="19"/>
  <c r="L31" i="17"/>
  <c r="H11" i="13"/>
  <c r="V108" i="16"/>
  <c r="K53" i="16"/>
  <c r="K57" i="16"/>
  <c r="K54" i="20"/>
  <c r="W22" i="16"/>
  <c r="K90" i="16"/>
  <c r="V26" i="16"/>
  <c r="S26" i="13"/>
  <c r="E29" i="19"/>
  <c r="H104" i="20"/>
  <c r="V107" i="16"/>
  <c r="Z69" i="16"/>
  <c r="I31" i="13"/>
  <c r="R47" i="13"/>
  <c r="U106" i="16"/>
  <c r="K30" i="13"/>
  <c r="I103" i="20"/>
  <c r="G22" i="15"/>
  <c r="U82" i="16"/>
  <c r="K38" i="26"/>
  <c r="V37" i="13"/>
  <c r="L54" i="20"/>
  <c r="H27" i="13"/>
  <c r="T8" i="13"/>
  <c r="T31" i="16"/>
  <c r="S38" i="13"/>
  <c r="L123" i="19"/>
  <c r="U31" i="13"/>
  <c r="F17" i="13"/>
  <c r="J20" i="16"/>
  <c r="L42" i="13"/>
  <c r="T59" i="13"/>
  <c r="L118" i="19"/>
  <c r="Z45" i="16"/>
  <c r="W7" i="16"/>
  <c r="J44" i="13"/>
  <c r="AB57" i="16"/>
  <c r="Z80" i="16"/>
  <c r="U48" i="16"/>
  <c r="J27" i="15"/>
  <c r="L53" i="19"/>
  <c r="G114" i="20"/>
  <c r="L60" i="17"/>
  <c r="J7" i="20"/>
  <c r="R61" i="13"/>
  <c r="E36" i="13"/>
  <c r="K61" i="13"/>
  <c r="I26" i="16"/>
  <c r="K17" i="21"/>
  <c r="L33" i="17"/>
  <c r="G70" i="13"/>
  <c r="L136" i="19"/>
  <c r="I96" i="20"/>
  <c r="L37" i="13"/>
  <c r="Z65" i="16"/>
  <c r="L8" i="19"/>
  <c r="I116" i="17"/>
  <c r="L22" i="13"/>
  <c r="L55" i="19"/>
  <c r="K47" i="19"/>
  <c r="S31" i="13"/>
  <c r="L44" i="20"/>
  <c r="G108" i="20"/>
  <c r="I79" i="20"/>
  <c r="Z95" i="16"/>
  <c r="G38" i="13"/>
  <c r="U18" i="13"/>
  <c r="I23" i="13"/>
  <c r="K24" i="21"/>
  <c r="K79" i="16"/>
  <c r="V69" i="16"/>
  <c r="R66" i="13"/>
  <c r="L48" i="20"/>
  <c r="V74" i="16"/>
  <c r="K10" i="15"/>
  <c r="L9" i="21"/>
  <c r="K31" i="20"/>
  <c r="W11" i="16"/>
  <c r="U84" i="16"/>
  <c r="V39" i="13"/>
  <c r="L15" i="13"/>
  <c r="K72" i="16"/>
  <c r="F23" i="13"/>
  <c r="K35" i="21"/>
  <c r="Z97" i="16"/>
  <c r="G6" i="20"/>
  <c r="K55" i="26"/>
  <c r="S9" i="26"/>
  <c r="W18" i="13"/>
  <c r="K6" i="13"/>
  <c r="H14" i="16"/>
  <c r="X30" i="16"/>
  <c r="Q55" i="20"/>
  <c r="V21" i="13"/>
  <c r="J6" i="13"/>
  <c r="L135" i="19"/>
  <c r="D60" i="20"/>
  <c r="K56" i="20"/>
  <c r="H8" i="16"/>
  <c r="L26" i="21"/>
  <c r="J25" i="16"/>
  <c r="G91" i="20"/>
  <c r="E62" i="13"/>
  <c r="K26" i="19"/>
  <c r="J55" i="20"/>
  <c r="J20" i="13"/>
  <c r="J6" i="20"/>
  <c r="K9" i="20"/>
  <c r="H31" i="15"/>
  <c r="I62" i="13"/>
  <c r="K31" i="26"/>
  <c r="H26" i="13"/>
  <c r="Q42" i="20"/>
  <c r="K52" i="19"/>
  <c r="W49" i="13"/>
  <c r="L39" i="19"/>
  <c r="V47" i="16"/>
  <c r="V100" i="16"/>
  <c r="G102" i="20"/>
  <c r="H15" i="13"/>
  <c r="H46" i="13"/>
  <c r="D49" i="16"/>
  <c r="U13" i="13"/>
  <c r="I28" i="15"/>
  <c r="H25" i="15"/>
  <c r="H41" i="15"/>
  <c r="J74" i="20"/>
  <c r="I36" i="15"/>
  <c r="Z70" i="16"/>
  <c r="W44" i="13"/>
  <c r="K61" i="16"/>
  <c r="K10" i="19"/>
  <c r="K46" i="16"/>
  <c r="K41" i="16" s="1"/>
  <c r="D60" i="19"/>
  <c r="G40" i="13"/>
  <c r="J21" i="20"/>
  <c r="K46" i="19"/>
  <c r="E63" i="13"/>
  <c r="H22" i="13"/>
  <c r="K42" i="20"/>
  <c r="R9" i="13"/>
  <c r="I6" i="20"/>
  <c r="U25" i="16"/>
  <c r="R35" i="13"/>
  <c r="G21" i="13"/>
  <c r="V61" i="16"/>
  <c r="J41" i="13"/>
  <c r="AB96" i="15"/>
  <c r="J15" i="20"/>
  <c r="V65" i="13"/>
  <c r="Q40" i="20"/>
  <c r="U15" i="13"/>
  <c r="I17" i="13"/>
  <c r="L30" i="13"/>
  <c r="K16" i="19"/>
  <c r="K64" i="26"/>
  <c r="K120" i="19"/>
  <c r="L37" i="17"/>
  <c r="V22" i="16"/>
  <c r="H21" i="13"/>
  <c r="K63" i="16"/>
  <c r="L12" i="21"/>
  <c r="K116" i="17"/>
  <c r="K41" i="13"/>
  <c r="V16" i="16"/>
  <c r="H33" i="15"/>
  <c r="L38" i="17"/>
  <c r="U12" i="16"/>
  <c r="K106" i="16"/>
  <c r="K67" i="16"/>
  <c r="K101" i="16"/>
  <c r="R25" i="13"/>
  <c r="G13" i="13"/>
  <c r="W18" i="16"/>
  <c r="U60" i="16"/>
  <c r="U42" i="16"/>
  <c r="G39" i="13"/>
  <c r="R29" i="26"/>
  <c r="H103" i="20"/>
  <c r="F42" i="13"/>
  <c r="H108" i="20"/>
  <c r="J24" i="15"/>
  <c r="J42" i="13"/>
  <c r="E58" i="13"/>
  <c r="V13" i="15"/>
  <c r="K36" i="20"/>
  <c r="Q41" i="20"/>
  <c r="K27" i="16"/>
  <c r="J75" i="20"/>
  <c r="K39" i="13"/>
  <c r="H37" i="13"/>
  <c r="Z100" i="16"/>
  <c r="J36" i="15"/>
  <c r="L19" i="21"/>
  <c r="I40" i="15"/>
  <c r="U40" i="15" s="1"/>
  <c r="K111" i="19"/>
  <c r="U100" i="16"/>
  <c r="J14" i="15"/>
  <c r="S34" i="13"/>
  <c r="V57" i="16"/>
  <c r="G42" i="15"/>
  <c r="L16" i="20"/>
  <c r="Z38" i="16"/>
  <c r="J87" i="20"/>
  <c r="K20" i="19"/>
  <c r="V30" i="15"/>
  <c r="K30" i="26"/>
  <c r="G6" i="21"/>
  <c r="J15" i="16"/>
  <c r="S20" i="13"/>
  <c r="K40" i="19"/>
  <c r="R27" i="13"/>
  <c r="K62" i="26"/>
  <c r="L71" i="17"/>
  <c r="V43" i="16"/>
  <c r="L28" i="20"/>
  <c r="E19" i="13"/>
  <c r="U12" i="13"/>
  <c r="T64" i="13"/>
  <c r="K26" i="16"/>
  <c r="K37" i="26"/>
  <c r="Z78" i="16"/>
  <c r="G29" i="13"/>
  <c r="H13" i="13"/>
  <c r="I27" i="15"/>
  <c r="H35" i="13"/>
  <c r="T11" i="13"/>
  <c r="D40" i="26"/>
  <c r="W33" i="13"/>
  <c r="U45" i="16"/>
  <c r="R14" i="13"/>
  <c r="Q27" i="20"/>
  <c r="J47" i="20"/>
  <c r="L35" i="19"/>
  <c r="J41" i="15"/>
  <c r="I46" i="13"/>
  <c r="K23" i="16"/>
  <c r="L13" i="21"/>
  <c r="L57" i="20"/>
  <c r="L87" i="17"/>
  <c r="L25" i="20"/>
  <c r="U11" i="16"/>
  <c r="L61" i="13"/>
  <c r="G113" i="20"/>
  <c r="E15" i="13"/>
  <c r="U43" i="16"/>
  <c r="L112" i="17"/>
  <c r="J42" i="20"/>
  <c r="L52" i="20"/>
  <c r="K27" i="13"/>
  <c r="H24" i="16"/>
  <c r="K25" i="26"/>
  <c r="Z104" i="16"/>
  <c r="G25" i="16"/>
  <c r="V36" i="13"/>
  <c r="F9" i="13"/>
  <c r="J12" i="16"/>
  <c r="U30" i="13"/>
  <c r="K44" i="20"/>
  <c r="K54" i="26"/>
  <c r="K18" i="26"/>
  <c r="K31" i="15"/>
  <c r="I76" i="20"/>
  <c r="G41" i="15"/>
  <c r="J51" i="20"/>
  <c r="U81" i="16"/>
  <c r="K75" i="26"/>
  <c r="Z64" i="16"/>
  <c r="K62" i="13"/>
  <c r="K32" i="26"/>
  <c r="J40" i="20"/>
  <c r="Q12" i="20"/>
  <c r="J41" i="20"/>
  <c r="L40" i="21"/>
  <c r="J64" i="20"/>
  <c r="K21" i="19"/>
  <c r="L24" i="21"/>
  <c r="K47" i="21"/>
  <c r="H116" i="17"/>
  <c r="R38" i="13"/>
  <c r="Z103" i="16"/>
  <c r="K105" i="16"/>
  <c r="J63" i="20"/>
  <c r="L56" i="17"/>
  <c r="V40" i="15"/>
  <c r="E60" i="13"/>
  <c r="K13" i="21"/>
  <c r="G19" i="13"/>
  <c r="F19" i="13"/>
  <c r="G36" i="13"/>
  <c r="J46" i="13"/>
  <c r="J56" i="20"/>
  <c r="K30" i="20"/>
  <c r="K11" i="19"/>
  <c r="S8" i="13"/>
  <c r="W36" i="13"/>
  <c r="J86" i="20"/>
  <c r="G115" i="20"/>
  <c r="H47" i="13"/>
  <c r="U9" i="16"/>
  <c r="K14" i="19"/>
  <c r="U25" i="13"/>
  <c r="G96" i="20"/>
  <c r="V95" i="16"/>
  <c r="L81" i="17"/>
  <c r="J14" i="13"/>
  <c r="L15" i="17"/>
  <c r="L18" i="13"/>
  <c r="L74" i="17"/>
  <c r="J61" i="20"/>
  <c r="F33" i="13"/>
  <c r="U107" i="19"/>
  <c r="S40" i="13"/>
  <c r="AC150" i="46"/>
  <c r="K76" i="26"/>
  <c r="L41" i="21"/>
  <c r="U26" i="16"/>
  <c r="H9" i="16"/>
  <c r="V21" i="15"/>
  <c r="E28" i="13"/>
  <c r="V91" i="16"/>
  <c r="K45" i="26"/>
  <c r="J59" i="13"/>
  <c r="W26" i="13"/>
  <c r="W31" i="13"/>
  <c r="Z91" i="16"/>
  <c r="K40" i="13"/>
  <c r="L111" i="19"/>
  <c r="L10" i="17"/>
  <c r="G24" i="16"/>
  <c r="V9" i="13"/>
  <c r="L9" i="17"/>
  <c r="L117" i="19"/>
  <c r="L38" i="19"/>
  <c r="H29" i="13"/>
  <c r="L39" i="17"/>
  <c r="J25" i="13"/>
  <c r="V45" i="13"/>
  <c r="L36" i="19"/>
  <c r="I33" i="15"/>
  <c r="R15" i="13"/>
  <c r="U36" i="16"/>
  <c r="J18" i="15"/>
  <c r="T46" i="13"/>
  <c r="Z94" i="16"/>
  <c r="U36" i="13"/>
  <c r="V41" i="13"/>
  <c r="D107" i="19"/>
  <c r="V46" i="16"/>
  <c r="J22" i="13"/>
  <c r="X154" i="46"/>
  <c r="Z59" i="16"/>
  <c r="K143" i="19"/>
  <c r="U18" i="16"/>
  <c r="V26" i="13"/>
  <c r="U34" i="13"/>
  <c r="L23" i="21"/>
  <c r="K69" i="16"/>
  <c r="K6" i="19"/>
  <c r="K106" i="19" s="1"/>
  <c r="K15" i="21"/>
  <c r="Q14" i="20"/>
  <c r="G30" i="13"/>
  <c r="T68" i="13"/>
  <c r="J82" i="20"/>
  <c r="Z63" i="16"/>
  <c r="G11" i="16"/>
  <c r="G18" i="16"/>
  <c r="K109" i="16"/>
  <c r="K28" i="15"/>
  <c r="L14" i="17"/>
  <c r="V17" i="16"/>
  <c r="I27" i="16"/>
  <c r="J17" i="13"/>
  <c r="G62" i="13"/>
  <c r="K40" i="26"/>
  <c r="Q46" i="20"/>
  <c r="U21" i="16"/>
  <c r="U96" i="16"/>
  <c r="I15" i="16"/>
  <c r="W54" i="13"/>
  <c r="H7" i="16"/>
  <c r="X152" i="46"/>
  <c r="I26" i="15"/>
  <c r="Z62" i="16"/>
  <c r="V12" i="13"/>
  <c r="L18" i="19"/>
  <c r="Z71" i="16"/>
  <c r="K65" i="26"/>
  <c r="G61" i="13"/>
  <c r="V9" i="16"/>
  <c r="K66" i="26"/>
  <c r="Q28" i="20"/>
  <c r="K11" i="13"/>
  <c r="G12" i="13"/>
  <c r="J80" i="20"/>
  <c r="K96" i="16"/>
  <c r="G13" i="15"/>
  <c r="K48" i="20"/>
  <c r="K43" i="26"/>
  <c r="K26" i="21"/>
  <c r="G12" i="16"/>
  <c r="I21" i="13"/>
  <c r="K18" i="15"/>
  <c r="D33" i="26"/>
  <c r="K98" i="16"/>
  <c r="J26" i="13"/>
  <c r="D37" i="26"/>
  <c r="T15" i="13"/>
  <c r="Z95" i="15"/>
  <c r="K8" i="19"/>
  <c r="K46" i="20"/>
  <c r="K41" i="21"/>
  <c r="U63" i="16"/>
  <c r="H24" i="15"/>
  <c r="Y30" i="16"/>
  <c r="H27" i="16"/>
  <c r="I118" i="20"/>
  <c r="U74" i="16"/>
  <c r="K55" i="19"/>
  <c r="V11" i="13"/>
  <c r="W13" i="16"/>
  <c r="E43" i="13"/>
  <c r="F39" i="13"/>
  <c r="T26" i="13"/>
  <c r="E64" i="13"/>
  <c r="J45" i="20"/>
  <c r="L11" i="13"/>
  <c r="I36" i="13"/>
  <c r="G26" i="13"/>
  <c r="E8" i="13"/>
  <c r="G15" i="16"/>
  <c r="I66" i="20"/>
  <c r="L15" i="19"/>
  <c r="L115" i="19"/>
  <c r="I29" i="13"/>
  <c r="L8" i="20"/>
  <c r="R7" i="13"/>
  <c r="K6" i="21"/>
  <c r="L99" i="17"/>
  <c r="I91" i="20"/>
  <c r="V82" i="16"/>
  <c r="Z92" i="15"/>
  <c r="K7" i="19"/>
  <c r="L141" i="19"/>
  <c r="L105" i="17"/>
  <c r="K41" i="15"/>
  <c r="H12" i="13"/>
  <c r="E28" i="19"/>
  <c r="W19" i="13"/>
  <c r="J60" i="20"/>
  <c r="H61" i="13"/>
  <c r="F6" i="26"/>
  <c r="K65" i="16"/>
  <c r="V105" i="16"/>
  <c r="L20" i="20"/>
  <c r="G20" i="16"/>
  <c r="G103" i="20"/>
  <c r="V29" i="15"/>
  <c r="Z90" i="15"/>
  <c r="L67" i="13"/>
  <c r="S9" i="13"/>
  <c r="G94" i="20"/>
  <c r="K36" i="16"/>
  <c r="K17" i="16"/>
  <c r="Z42" i="16"/>
  <c r="F36" i="13"/>
  <c r="H110" i="20"/>
  <c r="Z61" i="16"/>
  <c r="J29" i="13"/>
  <c r="F18" i="13"/>
  <c r="V59" i="16"/>
  <c r="K52" i="16"/>
  <c r="H102" i="20"/>
  <c r="W90" i="15"/>
  <c r="V33" i="13"/>
  <c r="J24" i="16"/>
  <c r="V44" i="16"/>
  <c r="V37" i="16"/>
  <c r="V70" i="13"/>
  <c r="U42" i="13"/>
  <c r="L64" i="13"/>
  <c r="T41" i="13"/>
  <c r="R12" i="13"/>
  <c r="K82" i="26"/>
  <c r="K124" i="19"/>
  <c r="R30" i="13"/>
  <c r="K59" i="16"/>
  <c r="AB91" i="15"/>
  <c r="L50" i="20"/>
  <c r="L137" i="19"/>
  <c r="K39" i="20"/>
  <c r="T42" i="13"/>
  <c r="V32" i="15"/>
  <c r="K13" i="13"/>
  <c r="S45" i="13"/>
  <c r="X149" i="46"/>
  <c r="G10" i="16"/>
  <c r="L35" i="21"/>
  <c r="J30" i="20"/>
  <c r="U70" i="16"/>
  <c r="V7" i="13"/>
  <c r="G31" i="13"/>
  <c r="K52" i="20"/>
  <c r="V22" i="15"/>
  <c r="L64" i="17"/>
  <c r="R34" i="13"/>
  <c r="I6" i="21"/>
  <c r="H26" i="15"/>
  <c r="K18" i="20"/>
  <c r="H21" i="16"/>
  <c r="S30" i="13"/>
  <c r="G7" i="16"/>
  <c r="H10" i="15"/>
  <c r="K87" i="16"/>
  <c r="H43" i="13"/>
  <c r="J37" i="20"/>
  <c r="L23" i="19"/>
  <c r="H93" i="20"/>
  <c r="F25" i="13"/>
  <c r="I21" i="15"/>
  <c r="K117" i="19"/>
  <c r="E24" i="13"/>
  <c r="U40" i="13"/>
  <c r="J31" i="15"/>
  <c r="L24" i="13"/>
  <c r="K89" i="16"/>
  <c r="F6" i="13"/>
  <c r="W9" i="13"/>
  <c r="V68" i="13"/>
  <c r="G46" i="13"/>
  <c r="G106" i="20"/>
  <c r="K42" i="16"/>
  <c r="Z89" i="16"/>
  <c r="K78" i="16"/>
  <c r="L9" i="20"/>
  <c r="E10" i="13"/>
  <c r="U13" i="16"/>
  <c r="J10" i="13"/>
  <c r="K25" i="20"/>
  <c r="R62" i="13"/>
  <c r="J36" i="20"/>
  <c r="V15" i="16"/>
  <c r="K32" i="19"/>
  <c r="F6" i="20"/>
  <c r="J69" i="20"/>
  <c r="I72" i="20"/>
  <c r="L24" i="20"/>
  <c r="D43" i="26"/>
  <c r="V39" i="16"/>
  <c r="L21" i="19"/>
  <c r="L109" i="17"/>
  <c r="V48" i="16"/>
  <c r="V63" i="13"/>
  <c r="L51" i="21"/>
  <c r="K33" i="15"/>
  <c r="H13" i="15"/>
  <c r="E46" i="13"/>
  <c r="K10" i="26"/>
  <c r="G32" i="15"/>
  <c r="E18" i="13"/>
  <c r="W34" i="13"/>
  <c r="Q18" i="20"/>
  <c r="H70" i="13"/>
  <c r="E65" i="13"/>
  <c r="H105" i="20"/>
  <c r="E7" i="13"/>
  <c r="V29" i="13"/>
  <c r="G22" i="13"/>
  <c r="J66" i="20"/>
  <c r="V22" i="13"/>
  <c r="L21" i="13"/>
  <c r="I23" i="16"/>
  <c r="K83" i="26"/>
  <c r="J16" i="15"/>
  <c r="S25" i="13"/>
  <c r="J30" i="13"/>
  <c r="D44" i="26"/>
  <c r="H107" i="20"/>
  <c r="Z52" i="16"/>
  <c r="J20" i="20"/>
  <c r="K86" i="16"/>
  <c r="Z54" i="16"/>
  <c r="J44" i="20"/>
  <c r="V64" i="13"/>
  <c r="L97" i="17"/>
  <c r="K64" i="13"/>
  <c r="U29" i="13"/>
  <c r="G99" i="20"/>
  <c r="Z24" i="44"/>
  <c r="L96" i="17"/>
  <c r="K29" i="20"/>
  <c r="L35" i="17"/>
  <c r="K22" i="26"/>
  <c r="D36" i="26"/>
  <c r="J67" i="13"/>
  <c r="K47" i="13"/>
  <c r="U91" i="16"/>
  <c r="Q31" i="20"/>
  <c r="V25" i="16"/>
  <c r="F7" i="13"/>
  <c r="K43" i="20"/>
  <c r="K79" i="26"/>
  <c r="K129" i="19"/>
  <c r="E33" i="13"/>
  <c r="J22" i="15"/>
  <c r="Z66" i="16"/>
  <c r="U52" i="16"/>
  <c r="V75" i="16"/>
  <c r="Y31" i="16"/>
  <c r="K29" i="21"/>
  <c r="L11" i="21"/>
  <c r="K116" i="19"/>
  <c r="V109" i="16"/>
  <c r="K76" i="16"/>
  <c r="I101" i="20"/>
  <c r="I11" i="13"/>
  <c r="I6" i="13"/>
  <c r="V38" i="15"/>
  <c r="J6" i="26"/>
  <c r="V24" i="16"/>
  <c r="L26" i="20"/>
  <c r="V12" i="15"/>
  <c r="H6" i="19"/>
  <c r="H106" i="19" s="1"/>
  <c r="R43" i="13"/>
  <c r="G34" i="15"/>
  <c r="H99" i="20"/>
  <c r="G9" i="16"/>
  <c r="R26" i="13"/>
  <c r="J19" i="16"/>
  <c r="V67" i="16"/>
  <c r="W23" i="13"/>
  <c r="U45" i="13"/>
  <c r="U14" i="16"/>
  <c r="V18" i="16"/>
  <c r="K22" i="19"/>
  <c r="K17" i="26"/>
  <c r="I113" i="20"/>
  <c r="V47" i="13"/>
  <c r="J26" i="15"/>
  <c r="K36" i="13"/>
  <c r="K78" i="26"/>
  <c r="K22" i="13"/>
  <c r="I31" i="15"/>
  <c r="U31" i="15" s="1"/>
  <c r="AA22" i="44"/>
  <c r="G25" i="15"/>
  <c r="U23" i="13"/>
  <c r="I34" i="13"/>
  <c r="E34" i="13"/>
  <c r="V11" i="16"/>
  <c r="T12" i="13"/>
  <c r="H62" i="13"/>
  <c r="G23" i="13"/>
  <c r="H91" i="20"/>
  <c r="G14" i="13"/>
  <c r="I67" i="20"/>
  <c r="I106" i="20"/>
  <c r="R86" i="15"/>
  <c r="K118" i="19"/>
  <c r="Z48" i="15"/>
  <c r="L86" i="17"/>
  <c r="Z85" i="16"/>
  <c r="U65" i="16"/>
  <c r="T18" i="13"/>
  <c r="K41" i="19"/>
  <c r="J52" i="20"/>
  <c r="L27" i="21"/>
  <c r="I85" i="20"/>
  <c r="K45" i="16"/>
  <c r="H113" i="20"/>
  <c r="T28" i="13"/>
  <c r="J9" i="20"/>
  <c r="I9" i="15"/>
  <c r="Z99" i="16"/>
  <c r="V17" i="15"/>
  <c r="L53" i="17"/>
  <c r="I83" i="20"/>
  <c r="K15" i="19"/>
  <c r="L72" i="17"/>
  <c r="H13" i="16"/>
  <c r="I10" i="15"/>
  <c r="U10" i="15" s="1"/>
  <c r="L27" i="20"/>
  <c r="Q17" i="20"/>
  <c r="J9" i="15"/>
  <c r="G16" i="16"/>
  <c r="Q19" i="20"/>
  <c r="L94" i="17"/>
  <c r="H14" i="15"/>
  <c r="F27" i="13"/>
  <c r="H45" i="13"/>
  <c r="K41" i="26"/>
  <c r="U24" i="13"/>
  <c r="I23" i="15"/>
  <c r="K70" i="16"/>
  <c r="J64" i="13"/>
  <c r="X31" i="16"/>
  <c r="K16" i="20"/>
  <c r="L20" i="13"/>
  <c r="I81" i="20"/>
  <c r="K47" i="20"/>
  <c r="V92" i="16"/>
  <c r="K23" i="26"/>
  <c r="U16" i="13"/>
  <c r="U23" i="16"/>
  <c r="K8" i="15"/>
  <c r="Z151" i="46"/>
  <c r="G59" i="13"/>
  <c r="L35" i="13"/>
  <c r="V67" i="13"/>
  <c r="L30" i="17"/>
  <c r="I47" i="13"/>
  <c r="V23" i="13"/>
  <c r="R23" i="13"/>
  <c r="H11" i="16"/>
  <c r="L56" i="19"/>
  <c r="E67" i="13"/>
  <c r="H20" i="16"/>
  <c r="K57" i="20"/>
  <c r="L114" i="17"/>
  <c r="L54" i="19"/>
  <c r="H10" i="16"/>
  <c r="H16" i="15"/>
  <c r="L27" i="13"/>
  <c r="J29" i="20"/>
  <c r="F47" i="13"/>
  <c r="V79" i="16"/>
  <c r="U7" i="16"/>
  <c r="K18" i="16"/>
  <c r="K25" i="21"/>
  <c r="W48" i="13"/>
  <c r="K49" i="19"/>
  <c r="K125" i="19"/>
  <c r="K35" i="26"/>
  <c r="K92" i="16"/>
  <c r="K59" i="26"/>
  <c r="L63" i="17"/>
  <c r="L139" i="19"/>
  <c r="Z93" i="15"/>
  <c r="L17" i="20"/>
  <c r="J90" i="20"/>
  <c r="W151" i="46"/>
  <c r="K27" i="21"/>
  <c r="W10" i="13"/>
  <c r="L47" i="13"/>
  <c r="K41" i="20"/>
  <c r="K70" i="13"/>
  <c r="K45" i="19"/>
  <c r="L17" i="17"/>
  <c r="W16" i="16"/>
  <c r="L40" i="20"/>
  <c r="U26" i="13"/>
  <c r="J49" i="20"/>
  <c r="I42" i="13"/>
  <c r="Q9" i="20"/>
  <c r="W13" i="13"/>
  <c r="L22" i="20"/>
  <c r="L41" i="17"/>
  <c r="H26" i="16"/>
  <c r="L7" i="19"/>
  <c r="D46" i="26"/>
  <c r="J38" i="13"/>
  <c r="L48" i="21"/>
  <c r="L38" i="20"/>
  <c r="K40" i="20"/>
  <c r="I73" i="20"/>
  <c r="E42" i="13"/>
  <c r="L41" i="13"/>
  <c r="G45" i="13"/>
  <c r="R65" i="13"/>
  <c r="T37" i="13"/>
  <c r="L51" i="17"/>
  <c r="V80" i="16"/>
  <c r="L32" i="19"/>
  <c r="L19" i="19"/>
  <c r="K25" i="13"/>
  <c r="Z57" i="16"/>
  <c r="W46" i="13"/>
  <c r="K112" i="19"/>
  <c r="K58" i="20"/>
  <c r="V101" i="16"/>
  <c r="Z43" i="16"/>
  <c r="E49" i="16"/>
  <c r="U8" i="13"/>
  <c r="F58" i="13"/>
  <c r="K9" i="15"/>
  <c r="S15" i="13"/>
  <c r="I20" i="13"/>
  <c r="E30" i="13"/>
  <c r="L34" i="21"/>
  <c r="L47" i="19"/>
  <c r="V27" i="15"/>
  <c r="H116" i="20"/>
  <c r="L56" i="20"/>
  <c r="H115" i="20"/>
  <c r="K107" i="16"/>
  <c r="U92" i="16"/>
  <c r="U39" i="16"/>
  <c r="X32" i="16"/>
  <c r="Q38" i="20"/>
  <c r="J42" i="15"/>
  <c r="F28" i="13"/>
  <c r="L27" i="17"/>
  <c r="E21" i="13"/>
  <c r="J13" i="16"/>
  <c r="K72" i="26"/>
  <c r="H10" i="13"/>
  <c r="G36" i="15"/>
  <c r="D32" i="26"/>
  <c r="L44" i="13"/>
  <c r="E26" i="13"/>
  <c r="H95" i="20"/>
  <c r="T24" i="13"/>
  <c r="L46" i="13"/>
  <c r="J27" i="13"/>
  <c r="K68" i="13"/>
  <c r="I38" i="15"/>
  <c r="S14" i="13"/>
  <c r="W19" i="16"/>
  <c r="L104" i="17"/>
  <c r="E29" i="13"/>
  <c r="U98" i="16"/>
  <c r="L33" i="13"/>
  <c r="H44" i="13"/>
  <c r="L13" i="13"/>
  <c r="U58" i="16"/>
  <c r="I67" i="13"/>
  <c r="T9" i="13"/>
  <c r="R39" i="13"/>
  <c r="G17" i="13"/>
  <c r="K26" i="13"/>
  <c r="J24" i="20"/>
  <c r="I10" i="13"/>
  <c r="T7" i="19"/>
  <c r="L46" i="19"/>
  <c r="Q58" i="20"/>
  <c r="L67" i="17"/>
  <c r="U72" i="16"/>
  <c r="Z39" i="16"/>
  <c r="Z33" i="16" s="1"/>
  <c r="S37" i="13"/>
  <c r="V38" i="13"/>
  <c r="Q21" i="20"/>
  <c r="H16" i="16"/>
  <c r="U76" i="16"/>
  <c r="R70" i="13"/>
  <c r="W24" i="13"/>
  <c r="K132" i="19"/>
  <c r="H12" i="16"/>
  <c r="G65" i="13"/>
  <c r="G92" i="20"/>
  <c r="L11" i="19"/>
  <c r="Q44" i="20"/>
  <c r="U14" i="13"/>
  <c r="I74" i="20"/>
  <c r="Z98" i="16"/>
  <c r="K73" i="26"/>
  <c r="K104" i="16"/>
  <c r="K59" i="13"/>
  <c r="L109" i="19"/>
  <c r="U71" i="16"/>
  <c r="K48" i="21"/>
  <c r="E45" i="13"/>
  <c r="G16" i="15"/>
  <c r="H34" i="15"/>
  <c r="J15" i="13"/>
  <c r="H97" i="20"/>
  <c r="J53" i="20"/>
  <c r="L48" i="19"/>
  <c r="W22" i="13"/>
  <c r="K115" i="19"/>
  <c r="J35" i="13"/>
  <c r="J35" i="20"/>
  <c r="L116" i="19"/>
  <c r="Z84" i="16"/>
  <c r="T22" i="13"/>
  <c r="F16" i="13"/>
  <c r="K139" i="19"/>
  <c r="S46" i="13"/>
  <c r="I18" i="15"/>
  <c r="J27" i="16"/>
  <c r="K56" i="19"/>
  <c r="L138" i="19"/>
  <c r="U19" i="13"/>
  <c r="L48" i="17"/>
  <c r="V87" i="16"/>
  <c r="K48" i="16"/>
  <c r="K32" i="16" s="1"/>
  <c r="K35" i="20"/>
  <c r="V81" i="16"/>
  <c r="K23" i="19"/>
  <c r="J62" i="13"/>
  <c r="K44" i="13"/>
  <c r="L40" i="17"/>
  <c r="I22" i="15"/>
  <c r="V16" i="13"/>
  <c r="Z92" i="16"/>
  <c r="K94" i="16"/>
  <c r="V55" i="16"/>
  <c r="J70" i="13"/>
  <c r="Z150" i="46"/>
  <c r="K19" i="21"/>
  <c r="I99" i="20"/>
  <c r="G6" i="19"/>
  <c r="G106" i="19" s="1"/>
  <c r="I111" i="20"/>
  <c r="U93" i="16"/>
  <c r="W50" i="21"/>
  <c r="E61" i="13"/>
  <c r="V76" i="16"/>
  <c r="Z101" i="16"/>
  <c r="T16" i="13"/>
  <c r="K12" i="13"/>
  <c r="L16" i="19"/>
  <c r="G14" i="15"/>
  <c r="Z47" i="15"/>
  <c r="U97" i="16"/>
  <c r="F15" i="13"/>
  <c r="I39" i="13"/>
  <c r="R11" i="13"/>
  <c r="V12" i="16"/>
  <c r="K44" i="16"/>
  <c r="K32" i="15"/>
  <c r="K51" i="20"/>
  <c r="L38" i="21"/>
  <c r="V53" i="16"/>
  <c r="Z91" i="15"/>
  <c r="V70" i="16"/>
  <c r="U10" i="13"/>
  <c r="L38" i="13"/>
  <c r="J11" i="16"/>
  <c r="L111" i="17"/>
  <c r="Q11" i="20"/>
  <c r="H19" i="16"/>
  <c r="K144" i="19"/>
  <c r="L26" i="17"/>
  <c r="L49" i="17"/>
  <c r="R18" i="13"/>
  <c r="V34" i="13"/>
  <c r="Z22" i="44"/>
  <c r="K113" i="19"/>
  <c r="K12" i="21"/>
  <c r="L14" i="13"/>
  <c r="I100" i="20"/>
  <c r="H42" i="13"/>
  <c r="I62" i="20"/>
  <c r="I7" i="16"/>
  <c r="R58" i="13"/>
  <c r="J23" i="13"/>
  <c r="U35" i="13"/>
  <c r="K37" i="19"/>
  <c r="I110" i="20"/>
  <c r="H36" i="15"/>
  <c r="U36" i="15" s="1"/>
  <c r="H19" i="13"/>
  <c r="K29" i="26"/>
  <c r="L43" i="19"/>
  <c r="I33" i="13"/>
  <c r="E9" i="13"/>
  <c r="G116" i="20"/>
  <c r="J8" i="20"/>
  <c r="U22" i="13"/>
  <c r="T36" i="13"/>
  <c r="V25" i="15"/>
  <c r="E41" i="13"/>
  <c r="U33" i="26"/>
  <c r="S7" i="13"/>
  <c r="Z108" i="16"/>
  <c r="J13" i="15"/>
  <c r="T29" i="13"/>
  <c r="G24" i="15"/>
  <c r="R29" i="13"/>
  <c r="J40" i="15"/>
  <c r="T60" i="13"/>
  <c r="S47" i="13"/>
  <c r="K43" i="16"/>
  <c r="I87" i="20"/>
  <c r="H16" i="13"/>
  <c r="J34" i="13"/>
  <c r="AC152" i="46"/>
  <c r="K43" i="13"/>
  <c r="K53" i="20"/>
  <c r="I35" i="15"/>
  <c r="T35" i="13"/>
  <c r="J81" i="20"/>
  <c r="G40" i="15"/>
  <c r="I8" i="16"/>
  <c r="K109" i="19"/>
  <c r="V18" i="15"/>
  <c r="L22" i="19"/>
  <c r="F21" i="13"/>
  <c r="K10" i="20"/>
  <c r="H15" i="16"/>
  <c r="S22" i="13"/>
  <c r="G63" i="13"/>
  <c r="J12" i="20"/>
  <c r="V31" i="15"/>
  <c r="H6" i="13"/>
  <c r="K18" i="19"/>
  <c r="H23" i="13"/>
  <c r="K45" i="21"/>
  <c r="R10" i="13"/>
  <c r="Q25" i="20"/>
  <c r="L73" i="17"/>
  <c r="U39" i="13"/>
  <c r="G17" i="16"/>
  <c r="I70" i="20"/>
  <c r="L50" i="21"/>
  <c r="I12" i="13"/>
  <c r="L32" i="17"/>
  <c r="I13" i="15"/>
  <c r="U13" i="15" s="1"/>
  <c r="L142" i="19"/>
  <c r="Q16" i="20"/>
  <c r="T7" i="13"/>
  <c r="H27" i="15"/>
  <c r="K63" i="26"/>
  <c r="K24" i="13"/>
  <c r="I17" i="16"/>
  <c r="V10" i="16"/>
  <c r="U109" i="16"/>
  <c r="U80" i="16"/>
  <c r="H14" i="13"/>
  <c r="L43" i="17"/>
  <c r="K56" i="16"/>
  <c r="K142" i="19"/>
  <c r="L14" i="21"/>
  <c r="Z75" i="16"/>
  <c r="Q22" i="20"/>
  <c r="L45" i="21"/>
  <c r="J61" i="13"/>
  <c r="K17" i="20"/>
  <c r="V63" i="16"/>
  <c r="V66" i="13"/>
  <c r="K121" i="19"/>
  <c r="R20" i="13"/>
  <c r="G42" i="13"/>
  <c r="H96" i="20"/>
  <c r="K81" i="26"/>
  <c r="L28" i="13"/>
  <c r="K42" i="13"/>
  <c r="J16" i="16"/>
  <c r="S21" i="13"/>
  <c r="H58" i="13"/>
  <c r="Z106" i="16"/>
  <c r="U102" i="16"/>
  <c r="J43" i="20"/>
  <c r="L83" i="17"/>
  <c r="K63" i="13"/>
  <c r="J33" i="20"/>
  <c r="J18" i="16"/>
  <c r="L18" i="20"/>
  <c r="H67" i="13"/>
  <c r="J21" i="15"/>
  <c r="G100" i="20"/>
  <c r="K46" i="13"/>
  <c r="K46" i="26"/>
  <c r="K74" i="16"/>
  <c r="Z109" i="16"/>
  <c r="V8" i="15"/>
  <c r="E44" i="13"/>
  <c r="S19" i="13"/>
  <c r="Z44" i="16"/>
  <c r="L122" i="19"/>
  <c r="J22" i="20"/>
  <c r="V9" i="15"/>
  <c r="J43" i="13"/>
  <c r="I68" i="13"/>
  <c r="L49" i="19"/>
  <c r="D35" i="26"/>
  <c r="T66" i="13"/>
  <c r="S18" i="13"/>
  <c r="E40" i="13"/>
  <c r="Z29" i="16"/>
  <c r="U101" i="16"/>
  <c r="J8" i="16"/>
  <c r="K38" i="13"/>
  <c r="U47" i="16"/>
  <c r="K9" i="16"/>
  <c r="E17" i="13"/>
  <c r="V88" i="16"/>
  <c r="G8" i="16"/>
  <c r="G116" i="17"/>
  <c r="U88" i="16"/>
  <c r="F67" i="13"/>
  <c r="E11" i="13"/>
  <c r="J17" i="15"/>
  <c r="Q45" i="20"/>
  <c r="H59" i="13"/>
  <c r="K75" i="16"/>
  <c r="I25" i="16"/>
  <c r="U64" i="16"/>
  <c r="I6" i="26"/>
  <c r="F8" i="13"/>
  <c r="I63" i="20"/>
  <c r="R8" i="13"/>
  <c r="U53" i="16"/>
  <c r="W52" i="21"/>
  <c r="L75" i="17"/>
  <c r="K77" i="16"/>
  <c r="J38" i="15"/>
  <c r="E27" i="13"/>
  <c r="K58" i="26"/>
  <c r="L42" i="19"/>
  <c r="J85" i="20"/>
  <c r="J11" i="15"/>
  <c r="K99" i="16"/>
  <c r="K28" i="20"/>
  <c r="G9" i="15"/>
  <c r="V89" i="16"/>
  <c r="K73" i="16"/>
  <c r="K36" i="19"/>
  <c r="K34" i="13"/>
  <c r="U33" i="13"/>
  <c r="H66" i="13"/>
  <c r="L78" i="17"/>
  <c r="T21" i="13"/>
  <c r="V35" i="13"/>
  <c r="W41" i="13"/>
  <c r="G68" i="13"/>
  <c r="L31" i="20"/>
  <c r="I13" i="13"/>
  <c r="K20" i="26"/>
  <c r="K13" i="26" s="1"/>
  <c r="W14" i="16"/>
  <c r="U77" i="16"/>
  <c r="F12" i="13"/>
  <c r="I16" i="15"/>
  <c r="U24" i="16"/>
  <c r="I86" i="20"/>
  <c r="G10" i="15"/>
  <c r="Q10" i="20"/>
  <c r="W40" i="13"/>
  <c r="K51" i="21"/>
  <c r="I39" i="15"/>
  <c r="I19" i="16"/>
  <c r="K35" i="15"/>
  <c r="Q15" i="20"/>
  <c r="L16" i="13"/>
  <c r="K141" i="19"/>
  <c r="W30" i="13"/>
  <c r="K37" i="20"/>
  <c r="K67" i="13"/>
  <c r="H17" i="13"/>
  <c r="T43" i="13"/>
  <c r="G111" i="20"/>
  <c r="L112" i="19"/>
  <c r="W8" i="16"/>
  <c r="L6" i="21"/>
  <c r="V10" i="15"/>
  <c r="L34" i="19"/>
  <c r="J12" i="15"/>
  <c r="K134" i="19"/>
  <c r="W47" i="13"/>
  <c r="U103" i="16"/>
  <c r="H94" i="20"/>
  <c r="F26" i="13"/>
  <c r="H28" i="13"/>
  <c r="K21" i="16"/>
  <c r="V98" i="16"/>
  <c r="I78" i="20"/>
  <c r="L13" i="20"/>
  <c r="U27" i="16"/>
  <c r="J36" i="13"/>
  <c r="H23" i="15"/>
  <c r="K48" i="19"/>
  <c r="E59" i="13"/>
  <c r="I71" i="20"/>
  <c r="I13" i="16"/>
  <c r="Z67" i="16"/>
  <c r="L65" i="13"/>
  <c r="G33" i="13"/>
  <c r="H34" i="13"/>
  <c r="Q48" i="20"/>
  <c r="Z46" i="16"/>
  <c r="H60" i="13"/>
  <c r="K21" i="26"/>
  <c r="J70" i="20"/>
  <c r="J58" i="20"/>
  <c r="Z96" i="16"/>
  <c r="J8" i="15"/>
  <c r="K110" i="19"/>
  <c r="U87" i="16"/>
  <c r="K14" i="13"/>
  <c r="G31" i="15"/>
  <c r="F40" i="13"/>
  <c r="V77" i="16"/>
  <c r="V64" i="16"/>
  <c r="G27" i="13"/>
  <c r="K27" i="15"/>
  <c r="T44" i="13"/>
  <c r="F116" i="17"/>
  <c r="G10" i="13"/>
  <c r="V103" i="16"/>
  <c r="Q33" i="20"/>
  <c r="K39" i="15"/>
  <c r="L91" i="17"/>
  <c r="J11" i="20"/>
  <c r="K136" i="19"/>
  <c r="K38" i="15"/>
  <c r="V28" i="15"/>
  <c r="W37" i="13"/>
  <c r="J19" i="13"/>
  <c r="E25" i="13"/>
  <c r="W43" i="13"/>
  <c r="U17" i="16"/>
  <c r="H25" i="13"/>
  <c r="G98" i="20"/>
  <c r="V102" i="16"/>
  <c r="F29" i="13"/>
  <c r="I41" i="13"/>
  <c r="I26" i="13"/>
  <c r="J76" i="20"/>
  <c r="K8" i="26"/>
  <c r="K7" i="26" s="1"/>
  <c r="K25" i="15"/>
  <c r="H12" i="15"/>
  <c r="V86" i="16"/>
  <c r="K53" i="19"/>
  <c r="I90" i="20"/>
  <c r="U79" i="16"/>
  <c r="K20" i="20"/>
  <c r="L143" i="19"/>
  <c r="T39" i="13"/>
  <c r="L29" i="17"/>
  <c r="L51" i="20"/>
  <c r="G14" i="16"/>
  <c r="K133" i="19"/>
  <c r="F44" i="13"/>
  <c r="J14" i="20"/>
  <c r="I117" i="20"/>
  <c r="W14" i="13"/>
  <c r="R12" i="26"/>
  <c r="U16" i="16"/>
  <c r="G23" i="15"/>
  <c r="L68" i="17"/>
  <c r="V62" i="13"/>
  <c r="L10" i="19"/>
  <c r="K39" i="21"/>
  <c r="T47" i="13"/>
  <c r="K28" i="13"/>
  <c r="V28" i="13"/>
  <c r="I112" i="20"/>
  <c r="K80" i="16"/>
  <c r="K9" i="19"/>
  <c r="L52" i="19"/>
  <c r="H41" i="13"/>
  <c r="V24" i="13"/>
  <c r="J24" i="13"/>
  <c r="L80" i="17"/>
  <c r="K34" i="26"/>
  <c r="E20" i="13"/>
  <c r="H114" i="20"/>
  <c r="V52" i="16"/>
  <c r="G34" i="13"/>
  <c r="H106" i="20"/>
  <c r="L7" i="20"/>
  <c r="J77" i="20"/>
  <c r="V42" i="15"/>
  <c r="J58" i="13"/>
  <c r="K16" i="21"/>
  <c r="W24" i="16"/>
  <c r="L103" i="17"/>
  <c r="U47" i="13"/>
  <c r="V35" i="15"/>
  <c r="L21" i="20"/>
  <c r="T45" i="13"/>
  <c r="Z94" i="15"/>
  <c r="T34" i="13"/>
  <c r="V58" i="13"/>
  <c r="AC154" i="46"/>
  <c r="G95" i="20"/>
  <c r="R45" i="13"/>
  <c r="K43" i="21"/>
  <c r="I25" i="13"/>
  <c r="K16" i="26"/>
  <c r="K11" i="26" s="1"/>
  <c r="L23" i="13"/>
  <c r="U44" i="13"/>
  <c r="L10" i="13"/>
  <c r="K44" i="21"/>
  <c r="J31" i="13"/>
  <c r="J23" i="20"/>
  <c r="K51" i="19"/>
  <c r="L52" i="17"/>
  <c r="G19" i="16"/>
  <c r="V25" i="13"/>
  <c r="K50" i="21"/>
  <c r="F38" i="13"/>
  <c r="Q53" i="20"/>
  <c r="J10" i="15"/>
  <c r="K91" i="16"/>
  <c r="K13" i="19"/>
  <c r="X151" i="46"/>
  <c r="F35" i="13"/>
  <c r="H18" i="16"/>
  <c r="V66" i="16"/>
  <c r="L39" i="21"/>
  <c r="K102" i="16"/>
  <c r="I27" i="13"/>
  <c r="V23" i="15"/>
  <c r="L11" i="17"/>
  <c r="I10" i="16"/>
  <c r="L119" i="19"/>
  <c r="H42" i="15"/>
  <c r="U42" i="15" s="1"/>
  <c r="L37" i="19"/>
  <c r="V40" i="13"/>
  <c r="W22" i="21"/>
  <c r="S41" i="13"/>
  <c r="V65" i="16"/>
  <c r="J65" i="13"/>
  <c r="K11" i="20"/>
  <c r="H22" i="16"/>
  <c r="K62" i="16"/>
  <c r="J88" i="20"/>
  <c r="K33" i="26"/>
  <c r="G27" i="15"/>
  <c r="I89" i="20"/>
  <c r="J68" i="13"/>
  <c r="R46" i="13"/>
  <c r="J33" i="13"/>
  <c r="Z149" i="46"/>
  <c r="R67" i="13"/>
  <c r="V72" i="16"/>
  <c r="AA24" i="44"/>
  <c r="G64" i="13"/>
  <c r="U59" i="16"/>
  <c r="G11" i="13"/>
  <c r="E38" i="13"/>
  <c r="L6" i="20"/>
  <c r="V104" i="16"/>
  <c r="I82" i="20"/>
  <c r="L25" i="21"/>
  <c r="K19" i="19"/>
  <c r="K50" i="20"/>
  <c r="U43" i="13"/>
  <c r="K38" i="20"/>
  <c r="J21" i="16"/>
  <c r="H24" i="13"/>
  <c r="K21" i="13"/>
  <c r="AA23" i="44"/>
  <c r="V42" i="13"/>
  <c r="T38" i="13"/>
  <c r="Z90" i="16"/>
  <c r="L46" i="20"/>
  <c r="I6" i="19"/>
  <c r="I106" i="19" s="1"/>
  <c r="V60" i="13"/>
  <c r="K13" i="15"/>
  <c r="AC151" i="46"/>
  <c r="K24" i="16"/>
  <c r="L45" i="17"/>
  <c r="F20" i="13"/>
  <c r="H36" i="16"/>
  <c r="V97" i="16"/>
  <c r="I22" i="13"/>
  <c r="L89" i="17"/>
  <c r="H64" i="13"/>
  <c r="G66" i="13"/>
  <c r="I108" i="20"/>
  <c r="L85" i="17"/>
  <c r="E31" i="13"/>
  <c r="L106" i="17"/>
  <c r="U107" i="16"/>
  <c r="F10" i="13"/>
  <c r="K39" i="26"/>
  <c r="U56" i="16"/>
  <c r="F45" i="13"/>
  <c r="Q34" i="20"/>
  <c r="Y32" i="16"/>
  <c r="H25" i="16"/>
  <c r="V38" i="16"/>
  <c r="K64" i="16"/>
  <c r="M15" i="46"/>
  <c r="I43" i="13"/>
  <c r="I98" i="20"/>
  <c r="W17" i="13"/>
  <c r="Z81" i="16"/>
  <c r="Z152" i="46"/>
  <c r="V59" i="13"/>
  <c r="H38" i="15"/>
  <c r="U38" i="15" s="1"/>
  <c r="Z153" i="46"/>
  <c r="L129" i="19"/>
  <c r="V78" i="16"/>
  <c r="S16" i="13"/>
  <c r="W45" i="13"/>
  <c r="T63" i="13"/>
  <c r="F34" i="13"/>
  <c r="Z102" i="16"/>
  <c r="H98" i="20"/>
  <c r="H35" i="15"/>
  <c r="U35" i="15" s="1"/>
  <c r="I45" i="13"/>
  <c r="L58" i="17"/>
  <c r="L36" i="21"/>
  <c r="L54" i="17"/>
  <c r="G13" i="16"/>
  <c r="L52" i="21"/>
  <c r="J33" i="15"/>
  <c r="L44" i="21"/>
  <c r="K24" i="20"/>
  <c r="S29" i="16"/>
  <c r="G41" i="13"/>
  <c r="I115" i="20"/>
  <c r="F6" i="19"/>
  <c r="K42" i="15"/>
  <c r="L43" i="13"/>
  <c r="AA91" i="15"/>
  <c r="L62" i="17"/>
  <c r="J27" i="20"/>
  <c r="R9" i="26"/>
  <c r="V19" i="16"/>
  <c r="J65" i="20"/>
  <c r="J6" i="21"/>
  <c r="S43" i="13"/>
  <c r="H11" i="15"/>
  <c r="U37" i="16"/>
  <c r="K88" i="16"/>
  <c r="W9" i="16"/>
  <c r="Q47" i="20"/>
  <c r="K60" i="16"/>
  <c r="U7" i="13"/>
  <c r="W12" i="13"/>
  <c r="W16" i="13"/>
  <c r="L13" i="17"/>
  <c r="L17" i="21"/>
  <c r="K14" i="21"/>
  <c r="U27" i="13"/>
  <c r="G37" i="13"/>
  <c r="F70" i="13"/>
  <c r="I80" i="20"/>
  <c r="I63" i="13"/>
  <c r="Q8" i="20"/>
  <c r="K36" i="15"/>
  <c r="G21" i="16"/>
  <c r="K30" i="19"/>
  <c r="J60" i="13"/>
  <c r="I41" i="15"/>
  <c r="U41" i="15" s="1"/>
  <c r="R8" i="26"/>
  <c r="T8" i="26" s="1"/>
  <c r="V24" i="15"/>
  <c r="F37" i="13"/>
  <c r="G15" i="13"/>
  <c r="K81" i="16"/>
  <c r="L36" i="17"/>
  <c r="I102" i="20"/>
  <c r="V45" i="16"/>
  <c r="K16" i="13"/>
  <c r="K19" i="16"/>
  <c r="H18" i="13"/>
  <c r="H109" i="20"/>
  <c r="J25" i="20"/>
  <c r="L8" i="21"/>
  <c r="I20" i="16"/>
  <c r="T70" i="13"/>
  <c r="V106" i="16"/>
  <c r="K39" i="19"/>
  <c r="G67" i="13"/>
  <c r="S13" i="13"/>
  <c r="V8" i="13"/>
  <c r="L95" i="17"/>
  <c r="Q50" i="20"/>
  <c r="I105" i="20"/>
  <c r="U108" i="16"/>
  <c r="AA84" i="16"/>
  <c r="L10" i="21"/>
  <c r="G20" i="13"/>
  <c r="L45" i="13"/>
  <c r="I58" i="13"/>
  <c r="K20" i="13"/>
  <c r="L33" i="20"/>
  <c r="I65" i="20"/>
  <c r="L37" i="20"/>
  <c r="L37" i="21"/>
  <c r="H17" i="16"/>
  <c r="E14" i="13"/>
  <c r="K114" i="19"/>
  <c r="R17" i="13"/>
  <c r="J13" i="13"/>
  <c r="V26" i="15"/>
  <c r="I15" i="13"/>
  <c r="J16" i="20"/>
  <c r="F68" i="13"/>
  <c r="G28" i="13"/>
  <c r="L113" i="17"/>
  <c r="U38" i="16"/>
  <c r="K52" i="21"/>
  <c r="L68" i="13"/>
  <c r="I64" i="20"/>
  <c r="Y33" i="16"/>
  <c r="J50" i="20"/>
  <c r="J40" i="13"/>
  <c r="J21" i="13"/>
  <c r="J63" i="13"/>
  <c r="H21" i="15"/>
  <c r="AC149" i="46"/>
  <c r="K13" i="20"/>
  <c r="L49" i="21"/>
  <c r="V46" i="13"/>
  <c r="L25" i="19"/>
  <c r="K47" i="16"/>
  <c r="K85" i="16"/>
  <c r="K38" i="19"/>
  <c r="L45" i="20"/>
  <c r="U67" i="16"/>
  <c r="J34" i="15"/>
  <c r="K10" i="16"/>
  <c r="I69" i="20"/>
  <c r="V84" i="16"/>
  <c r="L12" i="20"/>
  <c r="R56" i="26"/>
  <c r="U62" i="16"/>
  <c r="U85" i="16"/>
  <c r="L31" i="13"/>
  <c r="L65" i="17"/>
  <c r="K18" i="13"/>
  <c r="L28" i="21"/>
  <c r="I16" i="16"/>
  <c r="J19" i="20"/>
  <c r="W29" i="13"/>
  <c r="G6" i="26"/>
  <c r="L26" i="13"/>
  <c r="Z86" i="16"/>
  <c r="Z93" i="16"/>
  <c r="U37" i="13"/>
  <c r="L110" i="17"/>
  <c r="K33" i="13"/>
  <c r="G12" i="15"/>
  <c r="W149" i="46"/>
  <c r="L13" i="19"/>
  <c r="Q43" i="20"/>
  <c r="L17" i="13"/>
  <c r="K8" i="16"/>
  <c r="D39" i="26"/>
  <c r="U21" i="13"/>
  <c r="L59" i="17"/>
  <c r="E35" i="13"/>
  <c r="K35" i="13"/>
  <c r="X33" i="16"/>
  <c r="K137" i="19"/>
  <c r="K27" i="20"/>
  <c r="R24" i="13"/>
  <c r="L57" i="19"/>
  <c r="Q35" i="20"/>
  <c r="L55" i="17"/>
  <c r="L18" i="21"/>
  <c r="N151" i="46"/>
  <c r="V34" i="15"/>
  <c r="G38" i="15"/>
  <c r="K138" i="19"/>
  <c r="T23" i="13"/>
  <c r="U22" i="16"/>
  <c r="G17" i="15"/>
  <c r="L124" i="19"/>
  <c r="D29" i="26"/>
  <c r="J45" i="13"/>
  <c r="K29" i="13"/>
  <c r="I109" i="20"/>
  <c r="K55" i="16"/>
  <c r="J32" i="15"/>
  <c r="Q26" i="20"/>
  <c r="E13" i="13"/>
  <c r="K54" i="16"/>
  <c r="H6" i="20"/>
  <c r="K66" i="16"/>
  <c r="D34" i="26"/>
  <c r="F62" i="13"/>
  <c r="J46" i="20"/>
  <c r="E70" i="13"/>
  <c r="F64" i="13"/>
  <c r="W25" i="13"/>
  <c r="U73" i="16"/>
  <c r="V13" i="13"/>
  <c r="V58" i="16"/>
  <c r="L34" i="17"/>
  <c r="H101" i="20"/>
  <c r="L12" i="17"/>
  <c r="Q37" i="20"/>
  <c r="H23" i="16"/>
  <c r="U28" i="13"/>
  <c r="V31" i="13"/>
  <c r="U105" i="16"/>
  <c r="Z30" i="16"/>
  <c r="U27" i="15"/>
  <c r="K14" i="26"/>
  <c r="J15" i="15"/>
  <c r="U25" i="15"/>
  <c r="U34" i="15"/>
  <c r="U14" i="15"/>
  <c r="U26" i="15"/>
  <c r="U28" i="15"/>
  <c r="Z32" i="16"/>
  <c r="H15" i="15"/>
  <c r="BI19" i="55"/>
  <c r="BJ27" i="55"/>
  <c r="BM27" i="55" s="1"/>
  <c r="AX20" i="55"/>
  <c r="BJ19" i="55"/>
  <c r="BM19" i="55" s="1"/>
  <c r="BN18" i="55"/>
  <c r="BA20" i="55"/>
  <c r="BJ18" i="55"/>
  <c r="BM18" i="55" s="1"/>
  <c r="BL18" i="55"/>
  <c r="BB20" i="55"/>
  <c r="BI18" i="55"/>
  <c r="BL27" i="55"/>
  <c r="Z31" i="16" l="1"/>
  <c r="K50" i="26"/>
  <c r="K67" i="26"/>
  <c r="Z41" i="16"/>
  <c r="U11" i="15"/>
  <c r="U23" i="15"/>
  <c r="U33" i="15"/>
  <c r="U21" i="15"/>
  <c r="T9" i="26"/>
  <c r="U39" i="15"/>
  <c r="U12" i="15"/>
  <c r="U16" i="15"/>
  <c r="K31" i="16"/>
  <c r="K30" i="16"/>
  <c r="K35" i="16"/>
  <c r="K29" i="16" s="1"/>
  <c r="X90" i="15"/>
  <c r="Y90" i="15"/>
  <c r="BJ20" i="55"/>
  <c r="BM20" i="55" s="1"/>
  <c r="BI20" i="55"/>
  <c r="BN20" i="55"/>
  <c r="BL20" i="55"/>
  <c r="BL28" i="55" l="1"/>
  <c r="BN28" i="55"/>
  <c r="BJ28" i="55"/>
  <c r="BM28" i="55" s="1"/>
  <c r="BI28" i="55"/>
  <c r="AW21" i="55"/>
  <c r="AX21" i="55"/>
  <c r="AZ21" i="55"/>
  <c r="BA21" i="55"/>
  <c r="BB21" i="55"/>
  <c r="BN21" i="55" l="1"/>
  <c r="BJ21" i="55"/>
  <c r="BM21" i="55" s="1"/>
  <c r="BI21" i="55"/>
  <c r="BL21" i="55"/>
  <c r="BJ65" i="55"/>
  <c r="BM65" i="55" s="1"/>
  <c r="BA71" i="55"/>
  <c r="AW64" i="55"/>
  <c r="AW15" i="55" s="1"/>
  <c r="BL65" i="55"/>
  <c r="BN65" i="55"/>
  <c r="AW71" i="55"/>
  <c r="BI65" i="55"/>
  <c r="AX71" i="55"/>
  <c r="AX64" i="55"/>
  <c r="BB71" i="55"/>
  <c r="BL71" i="55"/>
  <c r="AW58" i="55"/>
  <c r="AW9" i="55" s="1"/>
  <c r="BI58" i="55"/>
  <c r="AZ58" i="55"/>
  <c r="AZ9" i="55" s="1"/>
  <c r="AZ15" i="55" s="1"/>
  <c r="AZ71" i="55"/>
  <c r="AZ64" i="55"/>
  <c r="AX58" i="55"/>
  <c r="AX9" i="55" s="1"/>
  <c r="AY71" i="55"/>
  <c r="AY70" i="55" s="1"/>
  <c r="BA58" i="55"/>
  <c r="BA9" i="55"/>
  <c r="BN58" i="55"/>
  <c r="BB58" i="55"/>
  <c r="BB9" i="55" s="1"/>
  <c r="BL58" i="55"/>
  <c r="BA15" i="55" l="1"/>
  <c r="BA64" i="55"/>
  <c r="BB64" i="55"/>
  <c r="BI64" i="55"/>
  <c r="BJ71" i="55"/>
  <c r="BM71" i="55" s="1"/>
  <c r="AX15" i="55"/>
  <c r="AY15" i="55"/>
  <c r="BI9" i="55"/>
  <c r="BJ9" i="55"/>
  <c r="BM9" i="55" s="1"/>
  <c r="BL9" i="55"/>
  <c r="BN9" i="55"/>
  <c r="BN71" i="55"/>
  <c r="BJ58" i="55"/>
  <c r="BM58" i="55" s="1"/>
  <c r="BJ64" i="55"/>
  <c r="BI71" i="55"/>
  <c r="BB15" i="55" l="1"/>
  <c r="BL64" i="55"/>
  <c r="BJ15" i="55"/>
  <c r="BM15" i="55" s="1"/>
  <c r="BN15" i="55" l="1"/>
  <c r="BL15" i="55"/>
  <c r="BI15" i="55"/>
  <c r="BJ66" i="55"/>
  <c r="BM66" i="55" s="1"/>
  <c r="BI66" i="55"/>
  <c r="AW59" i="55"/>
  <c r="AW10" i="55" s="1"/>
  <c r="AZ59" i="55"/>
  <c r="AZ10" i="55" s="1"/>
  <c r="BL66" i="55"/>
  <c r="BN66" i="55"/>
  <c r="AX59" i="55"/>
  <c r="AX10" i="55" s="1"/>
  <c r="BA59" i="55"/>
  <c r="BA10" i="55" s="1"/>
  <c r="BB59" i="55"/>
  <c r="BB10" i="55" s="1"/>
  <c r="BN59" i="55" l="1"/>
  <c r="BI59" i="55"/>
  <c r="BL59" i="55"/>
  <c r="BJ59" i="55"/>
  <c r="BM59" i="55" s="1"/>
  <c r="BJ10" i="55"/>
  <c r="BM10" i="55" s="1"/>
  <c r="BI10" i="55"/>
  <c r="BL10" i="55"/>
  <c r="BN10" i="55"/>
  <c r="AX70" i="55"/>
  <c r="AX63" i="55" s="1"/>
  <c r="AW69" i="55"/>
  <c r="AW62" i="55" s="1"/>
  <c r="AW13" i="55" s="1"/>
  <c r="AZ69" i="55"/>
  <c r="AZ62" i="55" s="1"/>
  <c r="AZ13" i="55" s="1"/>
  <c r="AW63" i="55"/>
  <c r="BA69" i="55"/>
  <c r="BA62" i="55" s="1"/>
  <c r="AX69" i="55"/>
  <c r="BB69" i="55"/>
  <c r="BB62" i="55" s="1"/>
  <c r="BN69" i="55"/>
  <c r="BB70" i="55"/>
  <c r="BB63" i="55" s="1"/>
  <c r="BJ67" i="55"/>
  <c r="BM67" i="55" s="1"/>
  <c r="BN67" i="55"/>
  <c r="BL67" i="55"/>
  <c r="BA70" i="55"/>
  <c r="BA63" i="55" s="1"/>
  <c r="BA14" i="55" s="1"/>
  <c r="AZ70" i="55"/>
  <c r="BJ70" i="55" s="1"/>
  <c r="BM70" i="55" s="1"/>
  <c r="BI67" i="55"/>
  <c r="AW60" i="55"/>
  <c r="AW11" i="55" s="1"/>
  <c r="AX60" i="55"/>
  <c r="AX11" i="55"/>
  <c r="AZ60" i="55"/>
  <c r="AZ11" i="55" s="1"/>
  <c r="BA60" i="55"/>
  <c r="BA11" i="55" s="1"/>
  <c r="BB60" i="55"/>
  <c r="BB11" i="55" s="1"/>
  <c r="BN60" i="55"/>
  <c r="AX62" i="55" l="1"/>
  <c r="AX13" i="55" s="1"/>
  <c r="BJ69" i="55"/>
  <c r="BM69" i="55" s="1"/>
  <c r="BI60" i="55"/>
  <c r="AW14" i="55"/>
  <c r="AX4" i="55"/>
  <c r="AX14" i="55"/>
  <c r="BN63" i="55"/>
  <c r="BL62" i="55"/>
  <c r="BN62" i="55"/>
  <c r="BB4" i="55"/>
  <c r="BB13" i="55"/>
  <c r="AW4" i="55"/>
  <c r="BN11" i="55"/>
  <c r="BL11" i="55"/>
  <c r="BL63" i="55"/>
  <c r="BB14" i="55"/>
  <c r="BJ11" i="55"/>
  <c r="BM11" i="55" s="1"/>
  <c r="BI11" i="55"/>
  <c r="BA13" i="55"/>
  <c r="BA4" i="55"/>
  <c r="AZ63" i="55"/>
  <c r="AZ14" i="55" s="1"/>
  <c r="BI70" i="55"/>
  <c r="BI62" i="55"/>
  <c r="BN70" i="55"/>
  <c r="BL60" i="55"/>
  <c r="BJ62" i="55"/>
  <c r="BM62" i="55" s="1"/>
  <c r="BL70" i="55"/>
  <c r="BI69" i="55"/>
  <c r="BL69" i="55"/>
  <c r="BJ60" i="55"/>
  <c r="BM60" i="55" s="1"/>
  <c r="BN13" i="55" l="1"/>
  <c r="BL13" i="55"/>
  <c r="BI63" i="55"/>
  <c r="BL14" i="55"/>
  <c r="BN14" i="55"/>
  <c r="BJ63" i="55"/>
  <c r="BM63" i="55" s="1"/>
  <c r="BJ13" i="55"/>
  <c r="BM13" i="55" s="1"/>
  <c r="BI13" i="55"/>
  <c r="BJ14" i="55"/>
  <c r="BM14" i="55" s="1"/>
  <c r="BI14" i="55"/>
  <c r="BJ68" i="55"/>
  <c r="BM68" i="55" s="1"/>
  <c r="BI68" i="55"/>
  <c r="BL68" i="55"/>
  <c r="BN68" i="55"/>
  <c r="AW61" i="55"/>
  <c r="AX61" i="55"/>
  <c r="AX12" i="55" s="1"/>
  <c r="AZ61" i="55"/>
  <c r="AZ12" i="55" s="1"/>
  <c r="BA61" i="55"/>
  <c r="BA12" i="55" s="1"/>
  <c r="BL61" i="55"/>
  <c r="BB61" i="55"/>
  <c r="BB12" i="55" s="1"/>
  <c r="BN61" i="55"/>
  <c r="BI61" i="55" l="1"/>
  <c r="BJ61" i="55"/>
  <c r="BM61" i="55" s="1"/>
  <c r="BL12" i="55"/>
  <c r="BN12" i="55"/>
  <c r="AW12" i="55"/>
  <c r="F106" i="19" l="1"/>
  <c r="BI12" i="55"/>
  <c r="BJ12" i="55"/>
  <c r="BM12" i="55" s="1"/>
  <c r="D74" i="17" l="1" a="1"/>
  <c r="D72" i="17" a="1"/>
  <c r="Z75" i="46" a="1"/>
  <c r="F61" i="26" a="1"/>
  <c r="S60" i="16" a="1"/>
  <c r="D7" i="20" a="1"/>
  <c r="H134" i="19" a="1"/>
  <c r="U13" i="50" a="1"/>
  <c r="AC76" i="46" a="1"/>
  <c r="BH72" i="46" a="1"/>
  <c r="G14" i="19" a="1"/>
  <c r="E106" i="16" a="1"/>
  <c r="AA97" i="16" a="1"/>
  <c r="S37" i="48" a="1"/>
  <c r="T86" i="17" a="1"/>
  <c r="K13" i="46" a="1"/>
  <c r="I144" i="19" a="1"/>
  <c r="L41" i="46" a="1"/>
  <c r="D58" i="17" a="1"/>
  <c r="F7" i="17" a="1"/>
  <c r="K81" i="46" a="1"/>
  <c r="J69" i="46" a="1"/>
  <c r="U62" i="46" a="1"/>
  <c r="E37" i="21" a="1"/>
  <c r="D7" i="19" a="1"/>
  <c r="W93" i="16" a="1"/>
  <c r="AB10" i="46" a="1"/>
  <c r="S60" i="20" a="1"/>
  <c r="H19" i="46" a="1"/>
  <c r="H112" i="19" a="1"/>
  <c r="H87" i="20" a="1"/>
  <c r="G110" i="19" a="1"/>
  <c r="AA16" i="16" a="1"/>
  <c r="BK91" i="46" a="1"/>
  <c r="T18" i="20" a="1"/>
  <c r="T34" i="21" a="1"/>
  <c r="E86" i="15" a="1"/>
  <c r="T21" i="20" a="1"/>
  <c r="V24" i="19" a="1"/>
  <c r="I117" i="19" a="1"/>
  <c r="I80" i="16" a="1"/>
  <c r="X108" i="17" a="1"/>
  <c r="F90" i="17" a="1"/>
  <c r="U139" i="19" a="1"/>
  <c r="R71" i="20" a="1"/>
  <c r="J134" i="46" a="1"/>
  <c r="H8" i="19" a="1"/>
  <c r="U30" i="19" a="1"/>
  <c r="BI36" i="46" a="1"/>
  <c r="I9" i="19" a="1"/>
  <c r="R41" i="19" a="1"/>
  <c r="BJ130" i="46" a="1"/>
  <c r="E48" i="17" a="1"/>
  <c r="J73" i="16" a="1"/>
  <c r="D61" i="26" a="1"/>
  <c r="D59" i="19" a="1"/>
  <c r="AB93" i="16" a="1"/>
  <c r="D103" i="20" a="1"/>
  <c r="W88" i="46" a="1"/>
  <c r="D25" i="16" a="1"/>
  <c r="D83" i="26" a="1"/>
  <c r="E20" i="16" a="1"/>
  <c r="AB41" i="15" a="1"/>
  <c r="Z140" i="46" a="1"/>
  <c r="X72" i="16" a="1"/>
  <c r="BG36" i="46" a="1"/>
  <c r="BH71" i="46" a="1"/>
  <c r="BK26" i="46" a="1"/>
  <c r="W73" i="17" a="1"/>
  <c r="W22" i="48" a="1"/>
  <c r="J29" i="21" a="1"/>
  <c r="T118" i="20" a="1"/>
  <c r="AC140" i="46" a="1"/>
  <c r="D93" i="15" a="1"/>
  <c r="E37" i="50" a="1"/>
  <c r="T36" i="50" a="1"/>
  <c r="U28" i="21" a="1"/>
  <c r="I12" i="50" a="1"/>
  <c r="S80" i="15" a="1"/>
  <c r="D114" i="19" a="1"/>
  <c r="J104" i="17" a="1"/>
  <c r="BG138" i="46" a="1"/>
  <c r="I38" i="50" a="1"/>
  <c r="W74" i="46" a="1"/>
  <c r="AC19" i="46" a="1"/>
  <c r="T17" i="50" a="1"/>
  <c r="BG28" i="46" a="1"/>
  <c r="R73" i="26" a="1"/>
  <c r="U37" i="50" a="1"/>
  <c r="I18" i="46" a="1"/>
  <c r="AA65" i="16" a="1"/>
  <c r="H6" i="46" a="1"/>
  <c r="W42" i="16" a="1"/>
  <c r="T19" i="21" a="1"/>
  <c r="Z10" i="48" a="1"/>
  <c r="H77" i="16" a="1"/>
  <c r="J37" i="46" a="1"/>
  <c r="J122" i="19" a="1"/>
  <c r="W60" i="17" a="1"/>
  <c r="F113" i="20" a="1"/>
  <c r="S29" i="17" a="1"/>
  <c r="F114" i="20" a="1"/>
  <c r="BJ7" i="46" a="1"/>
  <c r="D95" i="15" a="1"/>
  <c r="J31" i="48" a="1"/>
  <c r="AC128" i="46" a="1"/>
  <c r="D14" i="21" a="1"/>
  <c r="F40" i="50" a="1"/>
  <c r="E11" i="26" a="1"/>
  <c r="F22" i="20" a="1"/>
  <c r="H52" i="16" a="1"/>
  <c r="X141" i="46" a="1"/>
  <c r="V59" i="19" a="1"/>
  <c r="I30" i="19" a="1"/>
  <c r="G25" i="21" a="1"/>
  <c r="D34" i="17" a="1"/>
  <c r="S27" i="20" a="1"/>
  <c r="BK76" i="46" a="1"/>
  <c r="F19" i="21" a="1"/>
  <c r="Y34" i="46" a="1"/>
  <c r="F38" i="26" a="1"/>
  <c r="AC63" i="46" a="1"/>
  <c r="U23" i="19" a="1"/>
  <c r="E61" i="26" a="1"/>
  <c r="V18" i="21" a="1"/>
  <c r="U109" i="19" a="1"/>
  <c r="J134" i="19" a="1"/>
  <c r="H53" i="20" a="1"/>
  <c r="W49" i="17" a="1"/>
  <c r="K71" i="17" a="1"/>
  <c r="R9" i="44" a="1"/>
  <c r="V89" i="20" a="1"/>
  <c r="V59" i="46" a="1"/>
  <c r="S17" i="26" a="1"/>
  <c r="Z138" i="46" a="1"/>
  <c r="H146" i="46" a="1"/>
  <c r="X14" i="17" a="1"/>
  <c r="D49" i="20" a="1"/>
  <c r="F74" i="26" a="1"/>
  <c r="BK28" i="46" a="1"/>
  <c r="F73" i="20" a="1"/>
  <c r="W9" i="46" a="1"/>
  <c r="V9" i="46" a="1"/>
  <c r="T32" i="26" a="1"/>
  <c r="S56" i="26" a="1"/>
  <c r="R54" i="20" a="1"/>
  <c r="F23" i="15" a="1"/>
  <c r="J65" i="17" a="1"/>
  <c r="T109" i="20" a="1"/>
  <c r="I74" i="46" a="1"/>
  <c r="BH109" i="46" a="1"/>
  <c r="D23" i="26" a="1"/>
  <c r="F113" i="46" a="1"/>
  <c r="W107" i="17" a="1"/>
  <c r="Y71" i="15" a="1"/>
  <c r="V57" i="20" a="1"/>
  <c r="J38" i="19" a="1"/>
  <c r="F81" i="26" a="1"/>
  <c r="U32" i="19" a="1"/>
  <c r="T111" i="17" a="1"/>
  <c r="S65" i="20" a="1"/>
  <c r="I22" i="46" a="1"/>
  <c r="H18" i="21" a="1"/>
  <c r="BJ14" i="46" a="1"/>
  <c r="Z20" i="48" a="1"/>
  <c r="G113" i="46" a="1"/>
  <c r="F131" i="19" a="1"/>
  <c r="W46" i="46" a="1"/>
  <c r="S79" i="20" a="1"/>
  <c r="K83" i="46" a="1"/>
  <c r="G78" i="17" a="1"/>
  <c r="E45" i="16" a="1"/>
  <c r="I127" i="46" a="1"/>
  <c r="D41" i="17" a="1"/>
  <c r="E77" i="17" a="1"/>
  <c r="E16" i="26" a="1"/>
  <c r="H84" i="20" a="1"/>
  <c r="L32" i="46" a="1"/>
  <c r="AA46" i="16" a="1"/>
  <c r="V90" i="20" a="1"/>
  <c r="X87" i="17" a="1"/>
  <c r="W52" i="46" a="1"/>
  <c r="W47" i="17" a="1"/>
  <c r="T72" i="15" a="1"/>
  <c r="V143" i="19" a="1"/>
  <c r="AA52" i="46" a="1"/>
  <c r="J11" i="48" a="1"/>
  <c r="D88" i="15" a="1"/>
  <c r="S77" i="15" a="1"/>
  <c r="U45" i="26" a="1"/>
  <c r="E44" i="20" a="1"/>
  <c r="Z65" i="46" a="1"/>
  <c r="W50" i="15" a="1"/>
  <c r="Y69" i="16" a="1"/>
  <c r="R127" i="19" a="1"/>
  <c r="Y114" i="17" a="1"/>
  <c r="H28" i="50" a="1"/>
  <c r="F71" i="17" a="1"/>
  <c r="G76" i="16" a="1"/>
  <c r="X107" i="46" a="1"/>
  <c r="F108" i="19" a="1"/>
  <c r="T53" i="15" a="1"/>
  <c r="F29" i="44" a="1"/>
  <c r="K67" i="46" a="1"/>
  <c r="I98" i="16" a="1"/>
  <c r="T33" i="26" a="1"/>
  <c r="E36" i="21" a="1"/>
  <c r="R110" i="19" a="1"/>
  <c r="I95" i="46" a="1"/>
  <c r="AC49" i="46" a="1"/>
  <c r="R34" i="26" a="1"/>
  <c r="I96" i="17" a="1"/>
  <c r="J32" i="19" a="1"/>
  <c r="V120" i="19" a="1"/>
  <c r="I23" i="21" a="1"/>
  <c r="R16" i="20" a="1"/>
  <c r="I79" i="17" a="1"/>
  <c r="S22" i="20" a="1"/>
  <c r="G38" i="21" a="1"/>
  <c r="T49" i="19" a="1"/>
  <c r="S33" i="50" a="1"/>
  <c r="X58" i="16" a="1"/>
  <c r="D26" i="44" a="1"/>
  <c r="AE29" i="26" a="1"/>
  <c r="F44" i="26" a="1"/>
  <c r="H9" i="44" a="1"/>
  <c r="E20" i="50" a="1"/>
  <c r="D65" i="15" a="1"/>
  <c r="AC99" i="46" a="1"/>
  <c r="D120" i="19" a="1"/>
  <c r="X49" i="46" a="1"/>
  <c r="S19" i="20" a="1"/>
  <c r="F29" i="20" a="1"/>
  <c r="BG18" i="46" a="1"/>
  <c r="V108" i="19" a="1"/>
  <c r="K108" i="46" a="1"/>
  <c r="BG99" i="46" a="1"/>
  <c r="E41" i="21" a="1"/>
  <c r="Y51" i="17" a="1"/>
  <c r="J9" i="19" a="1"/>
  <c r="D46" i="16" a="1"/>
  <c r="W20" i="46" a="1"/>
  <c r="J38" i="48" a="1"/>
  <c r="J60" i="26" a="1"/>
  <c r="X67" i="46" a="1"/>
  <c r="D26" i="19" a="1"/>
  <c r="R63" i="16" a="1"/>
  <c r="Z27" i="15" a="1"/>
  <c r="X30" i="46" a="1"/>
  <c r="G43" i="48" a="1"/>
  <c r="F13" i="19" a="1"/>
  <c r="X29" i="17" a="1"/>
  <c r="J82" i="17" a="1"/>
  <c r="S24" i="50" a="1"/>
  <c r="T65" i="17" a="1"/>
  <c r="T53" i="19" a="1"/>
  <c r="H77" i="15" a="1"/>
  <c r="G53" i="15" a="1"/>
  <c r="T15" i="46" a="1"/>
  <c r="H69" i="16" a="1"/>
  <c r="I10" i="48" a="1"/>
  <c r="G12" i="46" a="1"/>
  <c r="X51" i="46" a="1"/>
  <c r="AC69" i="46" a="1"/>
  <c r="Z38" i="46" a="1"/>
  <c r="W46" i="16" a="1"/>
  <c r="AB42" i="15" a="1"/>
  <c r="I81" i="16" a="1"/>
  <c r="BG34" i="46" a="1"/>
  <c r="I80" i="46" a="1"/>
  <c r="I34" i="17" a="1"/>
  <c r="W29" i="26" a="1"/>
  <c r="S107" i="20" a="1"/>
  <c r="H99" i="46" a="1"/>
  <c r="H43" i="20" a="1"/>
  <c r="X115" i="46" a="1"/>
  <c r="T115" i="17" a="1"/>
  <c r="F45" i="17" a="1"/>
  <c r="H61" i="15" a="1"/>
  <c r="S91" i="20" a="1"/>
  <c r="V66" i="20" a="1"/>
  <c r="X92" i="17" a="1"/>
  <c r="K88" i="46" a="1"/>
  <c r="H120" i="19" a="1"/>
  <c r="E52" i="15" a="1"/>
  <c r="BK19" i="46" a="1"/>
  <c r="S20" i="50" a="1"/>
  <c r="S50" i="17" a="1"/>
  <c r="I51" i="21" a="1"/>
  <c r="E140" i="19" a="1"/>
  <c r="AB64" i="15" a="1"/>
  <c r="I36" i="17" a="1"/>
  <c r="E44" i="21" a="1"/>
  <c r="AB9" i="16" a="1"/>
  <c r="G85" i="17" a="1"/>
  <c r="S64" i="26" a="1"/>
  <c r="W18" i="48" a="1"/>
  <c r="W28" i="21" a="1"/>
  <c r="R72" i="15" a="1"/>
  <c r="D72" i="16" a="1"/>
  <c r="K134" i="46" a="1"/>
  <c r="S26" i="19" a="1"/>
  <c r="J12" i="17" a="1"/>
  <c r="J19" i="26" a="1"/>
  <c r="H59" i="19" a="1"/>
  <c r="BH65" i="46" a="1"/>
  <c r="X84" i="46" a="1"/>
  <c r="E30" i="19" a="1"/>
  <c r="G58" i="16" a="1"/>
  <c r="X25" i="46" a="1"/>
  <c r="X131" i="46" a="1"/>
  <c r="G48" i="46" a="1"/>
  <c r="X82" i="15" a="1"/>
  <c r="J16" i="44" a="1"/>
  <c r="H84" i="17" a="1"/>
  <c r="S8" i="50" a="1"/>
  <c r="BJ118" i="46" a="1"/>
  <c r="U39" i="21" a="1"/>
  <c r="BI63" i="46" a="1"/>
  <c r="R81" i="26" a="1"/>
  <c r="U79" i="20" a="1"/>
  <c r="Z124" i="46" a="1"/>
  <c r="G69" i="46" a="1"/>
  <c r="X72" i="15" a="1"/>
  <c r="Z38" i="15" a="1"/>
  <c r="H126" i="46" a="1"/>
  <c r="L33" i="46" a="1"/>
  <c r="I109" i="46" a="1"/>
  <c r="E47" i="21" a="1"/>
  <c r="W11" i="17" a="1"/>
  <c r="AA82" i="15" a="1"/>
  <c r="W21" i="15" a="1"/>
  <c r="L69" i="46" a="1"/>
  <c r="U36" i="26" a="1"/>
  <c r="F90" i="46" a="1"/>
  <c r="R25" i="26" a="1"/>
  <c r="R57" i="26" a="1"/>
  <c r="BH20" i="46" a="1"/>
  <c r="J101" i="16" a="1"/>
  <c r="L31" i="48" a="1"/>
  <c r="D114" i="17" a="1"/>
  <c r="V55" i="15" a="1"/>
  <c r="H123" i="19" a="1"/>
  <c r="AA50" i="46" a="1"/>
  <c r="AA39" i="26" a="1"/>
  <c r="F75" i="26" a="1"/>
  <c r="G68" i="20" a="1"/>
  <c r="I60" i="26" a="1"/>
  <c r="K86" i="17" a="1"/>
  <c r="X73" i="46" a="1"/>
  <c r="Y65" i="16" a="1"/>
  <c r="J46" i="16" a="1"/>
  <c r="T79" i="15" a="1"/>
  <c r="I73" i="15" a="1"/>
  <c r="J77" i="26" a="1"/>
  <c r="H14" i="50" a="1"/>
  <c r="BH58" i="46" a="1"/>
  <c r="R61" i="26" a="1"/>
  <c r="H54" i="17" a="1"/>
  <c r="BJ18" i="46" a="1"/>
  <c r="D47" i="21" a="1"/>
  <c r="E11" i="15" a="1"/>
  <c r="E38" i="21" a="1"/>
  <c r="AC109" i="46" a="1"/>
  <c r="E7" i="21" a="1"/>
  <c r="R64" i="26" a="1"/>
  <c r="L66" i="46" a="1"/>
  <c r="X92" i="46" a="1"/>
  <c r="T19" i="44" a="1"/>
  <c r="R34" i="17" a="1"/>
  <c r="I60" i="46" a="1"/>
  <c r="G25" i="50" a="1"/>
  <c r="D18" i="16" a="1"/>
  <c r="T71" i="16" a="1"/>
  <c r="I8" i="46" a="1"/>
  <c r="E17" i="50" a="1"/>
  <c r="K15" i="17" a="1"/>
  <c r="BI132" i="46" a="1"/>
  <c r="G12" i="19" a="1"/>
  <c r="AB77" i="15" a="1"/>
  <c r="H24" i="50" a="1"/>
  <c r="I37" i="50" a="1"/>
  <c r="J31" i="26" a="1"/>
  <c r="F118" i="19" a="1"/>
  <c r="F15" i="21" a="1"/>
  <c r="AA70" i="15" a="1"/>
  <c r="W36" i="15" a="1"/>
  <c r="AC102" i="46" a="1"/>
  <c r="I30" i="17" a="1"/>
  <c r="T89" i="17" a="1"/>
  <c r="W84" i="15" a="1"/>
  <c r="E21" i="50" a="1"/>
  <c r="Y36" i="46" a="1"/>
  <c r="J6" i="16" a="1"/>
  <c r="E49" i="19" a="1"/>
  <c r="R22" i="21" a="1"/>
  <c r="G96" i="17" a="1"/>
  <c r="T25" i="19" a="1"/>
  <c r="F26" i="48" a="1"/>
  <c r="I71" i="16" a="1"/>
  <c r="J84" i="15" a="1"/>
  <c r="I64" i="26" a="1"/>
  <c r="T40" i="26" a="1"/>
  <c r="F9" i="48" a="1"/>
  <c r="L54" i="46" a="1"/>
  <c r="J142" i="19" a="1"/>
  <c r="AC33" i="26" a="1"/>
  <c r="BG62" i="46" a="1"/>
  <c r="BK140" i="46" a="1"/>
  <c r="K61" i="15" a="1"/>
  <c r="G94" i="15" a="1"/>
  <c r="F13" i="21" a="1"/>
  <c r="R80" i="20" a="1"/>
  <c r="R80" i="26" a="1"/>
  <c r="G79" i="26" a="1"/>
  <c r="J22" i="48" a="1"/>
  <c r="S54" i="16" a="1"/>
  <c r="BG144" i="46" a="1"/>
  <c r="K100" i="17" a="1"/>
  <c r="T76" i="20" a="1"/>
  <c r="G37" i="16" a="1"/>
  <c r="F66" i="46" a="1"/>
  <c r="R76" i="26" a="1"/>
  <c r="H31" i="17" a="1"/>
  <c r="W7" i="50" a="1"/>
  <c r="AE38" i="26" a="1"/>
  <c r="V29" i="26" a="1"/>
  <c r="H44" i="16" a="1"/>
  <c r="H23" i="46" a="1"/>
  <c r="W32" i="50" a="1"/>
  <c r="Z122" i="46" a="1"/>
  <c r="S112" i="19" a="1"/>
  <c r="Y19" i="46" a="1"/>
  <c r="X59" i="15" a="1"/>
  <c r="W110" i="17" a="1"/>
  <c r="BG24" i="46" a="1"/>
  <c r="I29" i="48" a="1"/>
  <c r="F64" i="16" a="1"/>
  <c r="U49" i="46" a="1"/>
  <c r="G58" i="20" a="1"/>
  <c r="D37" i="17" a="1"/>
  <c r="AA15" i="46" a="1"/>
  <c r="X26" i="48" a="1"/>
  <c r="D22" i="20" a="1"/>
  <c r="W100" i="16" a="1"/>
  <c r="T17" i="19" a="1"/>
  <c r="L18" i="48" a="1"/>
  <c r="Y99" i="17" a="1"/>
  <c r="S41" i="19" a="1"/>
  <c r="J8" i="50" a="1"/>
  <c r="F42" i="48" a="1"/>
  <c r="BI67" i="46" a="1"/>
  <c r="AC72" i="46" a="1"/>
  <c r="U9" i="48" a="1"/>
  <c r="U16" i="21" a="1"/>
  <c r="I80" i="26" a="1"/>
  <c r="G40" i="26" a="1"/>
  <c r="V97" i="20" a="1"/>
  <c r="F35" i="46" a="1"/>
  <c r="H68" i="17" a="1"/>
  <c r="E44" i="15" a="1"/>
  <c r="F11" i="50" a="1"/>
  <c r="G22" i="44" a="1"/>
  <c r="H124" i="19" a="1"/>
  <c r="BJ145" i="46" a="1"/>
  <c r="T24" i="48" a="1"/>
  <c r="AA19" i="44" a="1"/>
  <c r="W36" i="46" a="1"/>
  <c r="G124" i="46" a="1"/>
  <c r="H102" i="46" a="1"/>
  <c r="G128" i="19" a="1"/>
  <c r="BG9" i="46" a="1"/>
  <c r="Y114" i="46" a="1"/>
  <c r="F63" i="26" a="1"/>
  <c r="I84" i="16" a="1"/>
  <c r="AC42" i="46" a="1"/>
  <c r="I118" i="46" a="1"/>
  <c r="D62" i="20" a="1"/>
  <c r="E89" i="17" a="1"/>
  <c r="D60" i="16" a="1"/>
  <c r="K103" i="46" a="1"/>
  <c r="F30" i="46" a="1"/>
  <c r="H36" i="21" a="1"/>
  <c r="H89" i="20" a="1"/>
  <c r="X29" i="48" a="1"/>
  <c r="Z45" i="46" a="1"/>
  <c r="J110" i="17" a="1"/>
  <c r="J139" i="46" a="1"/>
  <c r="S12" i="20" a="1"/>
  <c r="H42" i="20" a="1"/>
  <c r="T108" i="19" a="1"/>
  <c r="I46" i="26" a="1"/>
  <c r="R107" i="20" a="1"/>
  <c r="T46" i="26" a="1"/>
  <c r="D62" i="15" a="1"/>
  <c r="R45" i="26" a="1"/>
  <c r="G108" i="19" a="1"/>
  <c r="W100" i="46" a="1"/>
  <c r="E87" i="20" a="1"/>
  <c r="AB92" i="16" a="1"/>
  <c r="AB26" i="15" a="1"/>
  <c r="J102" i="17" a="1"/>
  <c r="J20" i="48" a="1"/>
  <c r="BG87" i="46" a="1"/>
  <c r="BI107" i="46" a="1"/>
  <c r="E112" i="20" a="1"/>
  <c r="S109" i="19" a="1"/>
  <c r="I97" i="15" a="1"/>
  <c r="X116" i="46" a="1"/>
  <c r="H60" i="17" a="1"/>
  <c r="R113" i="20" a="1"/>
  <c r="I76" i="26" a="1"/>
  <c r="I42" i="19" a="1"/>
  <c r="BI66" i="46" a="1"/>
  <c r="S91" i="17" a="1"/>
  <c r="R24" i="26" a="1"/>
  <c r="G18" i="50" a="1"/>
  <c r="D74" i="16" a="1"/>
  <c r="I105" i="46" a="1"/>
  <c r="D55" i="15" a="1"/>
  <c r="G131" i="46" a="1"/>
  <c r="D62" i="17" a="1"/>
  <c r="F79" i="26" a="1"/>
  <c r="V80" i="15" a="1"/>
  <c r="Y100" i="17" a="1"/>
  <c r="F66" i="15" a="1"/>
  <c r="J12" i="48" a="1"/>
  <c r="R77" i="15" a="1"/>
  <c r="BK84" i="46" a="1"/>
  <c r="J125" i="46" a="1"/>
  <c r="F95" i="17" a="1"/>
  <c r="S27" i="48" a="1"/>
  <c r="Z31" i="26" a="1"/>
  <c r="R59" i="15" a="1"/>
  <c r="G15" i="19" a="1"/>
  <c r="E26" i="20" a="1"/>
  <c r="H115" i="17" a="1"/>
  <c r="M109" i="46" a="1"/>
  <c r="D52" i="20" a="1"/>
  <c r="K96" i="15" a="1"/>
  <c r="S10" i="19" a="1"/>
  <c r="R94" i="20" a="1"/>
  <c r="I8" i="26" a="1"/>
  <c r="Y93" i="46" a="1"/>
  <c r="G45" i="17" a="1"/>
  <c r="W92" i="16" a="1"/>
  <c r="W69" i="15" a="1"/>
  <c r="BH115" i="46" a="1"/>
  <c r="D64" i="26" a="1"/>
  <c r="K43" i="46" a="1"/>
  <c r="H68" i="20" a="1"/>
  <c r="E52" i="16" a="1"/>
  <c r="T72" i="16" a="1"/>
  <c r="D56" i="16" a="1"/>
  <c r="G65" i="46" a="1"/>
  <c r="K145" i="46" a="1"/>
  <c r="L50" i="46" a="1"/>
  <c r="I14" i="21" a="1"/>
  <c r="BJ13" i="46" a="1"/>
  <c r="H62" i="16" a="1"/>
  <c r="R91" i="17" a="1"/>
  <c r="I81" i="17" a="1"/>
  <c r="H73" i="46" a="1"/>
  <c r="Y29" i="26" a="1"/>
  <c r="T104" i="17" a="1"/>
  <c r="I87" i="16" a="1"/>
  <c r="G61" i="15" a="1"/>
  <c r="J81" i="17" a="1"/>
  <c r="D34" i="15" a="1"/>
  <c r="AA72" i="46" a="1"/>
  <c r="F85" i="16" a="1"/>
  <c r="BK52" i="46" a="1"/>
  <c r="K16" i="17" a="1"/>
  <c r="R83" i="15" a="1"/>
  <c r="R30" i="20" a="1"/>
  <c r="I12" i="20" a="1"/>
  <c r="V34" i="21" a="1"/>
  <c r="K109" i="46" a="1"/>
  <c r="D71" i="20" a="1"/>
  <c r="D97" i="16" a="1"/>
  <c r="F108" i="17" a="1"/>
  <c r="F101" i="17" a="1"/>
  <c r="T51" i="15" a="1"/>
  <c r="U52" i="20" a="1"/>
  <c r="E133" i="19" a="1"/>
  <c r="G17" i="17" a="1"/>
  <c r="AA13" i="15" a="1"/>
  <c r="H11" i="20" a="1"/>
  <c r="R32" i="26" a="1"/>
  <c r="BG122" i="46" a="1"/>
  <c r="Y121" i="46" a="1"/>
  <c r="D109" i="16" a="1"/>
  <c r="J39" i="21" a="1"/>
  <c r="D93" i="17" a="1"/>
  <c r="S37" i="19" a="1"/>
  <c r="T111" i="20" a="1"/>
  <c r="BG64" i="46" a="1"/>
  <c r="Y98" i="46" a="1"/>
  <c r="L21" i="46" a="1"/>
  <c r="V20" i="19" a="1"/>
  <c r="E25" i="48" a="1"/>
  <c r="F88" i="16" a="1"/>
  <c r="X29" i="46" a="1"/>
  <c r="D103" i="17" a="1"/>
  <c r="J20" i="50" a="1"/>
  <c r="E80" i="15" a="1"/>
  <c r="U96" i="20" a="1"/>
  <c r="I41" i="17" a="1"/>
  <c r="K53" i="46" a="1"/>
  <c r="U27" i="21" a="1"/>
  <c r="W86" i="16" a="1"/>
  <c r="D142" i="19" a="1"/>
  <c r="H72" i="17" a="1"/>
  <c r="F47" i="19" a="1"/>
  <c r="H65" i="46" a="1"/>
  <c r="F101" i="46" a="1"/>
  <c r="F13" i="46" a="1"/>
  <c r="G71" i="16" a="1"/>
  <c r="Y20" i="48" a="1"/>
  <c r="E79" i="20" a="1"/>
  <c r="R51" i="15" a="1"/>
  <c r="J67" i="16" a="1"/>
  <c r="BJ27" i="46" a="1"/>
  <c r="BJ68" i="46" a="1"/>
  <c r="AA25" i="16" a="1"/>
  <c r="R99" i="17" a="1"/>
  <c r="U40" i="50" a="1"/>
  <c r="V49" i="19" a="1"/>
  <c r="G10" i="48" a="1"/>
  <c r="T90" i="20" a="1"/>
  <c r="T45" i="46" a="1"/>
  <c r="I10" i="46" a="1"/>
  <c r="BG116" i="46" a="1"/>
  <c r="AA38" i="16" a="1"/>
  <c r="V114" i="19" a="1"/>
  <c r="F14" i="15" a="1"/>
  <c r="G104" i="17" a="1"/>
  <c r="E92" i="15" a="1"/>
  <c r="U91" i="20" a="1"/>
  <c r="Y57" i="16" a="1"/>
  <c r="E24" i="20" a="1"/>
  <c r="BJ37" i="46" a="1"/>
  <c r="H125" i="46" a="1"/>
  <c r="F57" i="46" a="1"/>
  <c r="T27" i="20" a="1"/>
  <c r="AB93" i="15" a="1"/>
  <c r="D48" i="20" a="1"/>
  <c r="H112" i="46" a="1"/>
  <c r="F58" i="26" a="1"/>
  <c r="D106" i="16" a="1"/>
  <c r="E22" i="26" a="1"/>
  <c r="E56" i="19" a="1"/>
  <c r="H50" i="20" a="1"/>
  <c r="BK7" i="46" a="1"/>
  <c r="AA68" i="15" a="1"/>
  <c r="H35" i="21" a="1"/>
  <c r="R62" i="26" a="1"/>
  <c r="J27" i="17" a="1"/>
  <c r="Y92" i="17" a="1"/>
  <c r="K45" i="46" a="1"/>
  <c r="E47" i="48" a="1"/>
  <c r="E9" i="48" a="1"/>
  <c r="Z26" i="16" a="1"/>
  <c r="W72" i="17" a="1"/>
  <c r="X78" i="17" a="1"/>
  <c r="G85" i="15" a="1"/>
  <c r="R54" i="19" a="1"/>
  <c r="U8" i="46" a="1"/>
  <c r="G33" i="17" a="1"/>
  <c r="I115" i="17" a="1"/>
  <c r="G33" i="20" a="1"/>
  <c r="I75" i="17" a="1"/>
  <c r="G52" i="15" a="1"/>
  <c r="T47" i="48" a="1"/>
  <c r="I23" i="19" a="1"/>
  <c r="Y15" i="46" a="1"/>
  <c r="I118" i="19" a="1"/>
  <c r="K128" i="46" a="1"/>
  <c r="D44" i="16" a="1"/>
  <c r="R102" i="17" a="1"/>
  <c r="K135" i="46" a="1"/>
  <c r="R83" i="17" a="1"/>
  <c r="E38" i="16" a="1"/>
  <c r="BJ96" i="46" a="1"/>
  <c r="AB84" i="15" a="1"/>
  <c r="G93" i="17" a="1"/>
  <c r="S36" i="50" a="1"/>
  <c r="BJ144" i="46" a="1"/>
  <c r="T76" i="15" a="1"/>
  <c r="S29" i="48" a="1"/>
  <c r="BK123" i="46" a="1"/>
  <c r="H9" i="21" a="1"/>
  <c r="H42" i="16" a="1"/>
  <c r="Z44" i="46" a="1"/>
  <c r="AB28" i="15" a="1"/>
  <c r="R10" i="17" a="1"/>
  <c r="G61" i="26" a="1"/>
  <c r="V10" i="20" a="1"/>
  <c r="BG126" i="46" a="1"/>
  <c r="Z7" i="48" a="1"/>
  <c r="Z31" i="15" a="1"/>
  <c r="F60" i="26" a="1"/>
  <c r="H91" i="15" a="1"/>
  <c r="S40" i="20" a="1"/>
  <c r="I54" i="19" a="1"/>
  <c r="T45" i="20" a="1"/>
  <c r="I70" i="16" a="1"/>
  <c r="S20" i="19" a="1"/>
  <c r="V43" i="21" a="1"/>
  <c r="T41" i="19" a="1"/>
  <c r="L7" i="48" a="1"/>
  <c r="I27" i="20" a="1"/>
  <c r="U112" i="19" a="1"/>
  <c r="T70" i="20" a="1"/>
  <c r="Y62" i="16" a="1"/>
  <c r="V40" i="20" a="1"/>
  <c r="K28" i="48" a="1"/>
  <c r="T19" i="48" a="1"/>
  <c r="V78" i="46" a="1"/>
  <c r="G17" i="19" a="1"/>
  <c r="T32" i="17" a="1"/>
  <c r="D69" i="17" a="1"/>
  <c r="F35" i="20" a="1"/>
  <c r="I52" i="17" a="1"/>
  <c r="H81" i="15" a="1"/>
  <c r="R108" i="19" a="1"/>
  <c r="J16" i="48" a="1"/>
  <c r="V14" i="21" a="1"/>
  <c r="I138" i="46" a="1"/>
  <c r="Y62" i="15" a="1"/>
  <c r="D67" i="16" a="1"/>
  <c r="J73" i="26" a="1"/>
  <c r="BI100" i="46" a="1"/>
  <c r="AB79" i="15" a="1"/>
  <c r="S27" i="17" a="1"/>
  <c r="E29" i="50" a="1"/>
  <c r="I128" i="19" a="1"/>
  <c r="U16" i="48" a="1"/>
  <c r="T42" i="26" a="1"/>
  <c r="U19" i="19" a="1"/>
  <c r="S85" i="15" a="1"/>
  <c r="H83" i="15" a="1"/>
  <c r="AC88" i="46" a="1"/>
  <c r="X63" i="46" a="1"/>
  <c r="E80" i="26" a="1"/>
  <c r="G59" i="46" a="1"/>
  <c r="T31" i="20" a="1"/>
  <c r="Y34" i="26" a="1"/>
  <c r="I20" i="20" a="1"/>
  <c r="BJ132" i="46" a="1"/>
  <c r="BH74" i="46" a="1"/>
  <c r="H109" i="16" a="1"/>
  <c r="H77" i="20" a="1"/>
  <c r="U15" i="19" a="1"/>
  <c r="K112" i="46" a="1"/>
  <c r="H89" i="16" a="1"/>
  <c r="J8" i="44" a="1"/>
  <c r="D18" i="15" a="1"/>
  <c r="K29" i="48" a="1"/>
  <c r="G45" i="19" a="1"/>
  <c r="W24" i="50" a="1"/>
  <c r="S19" i="26" a="1"/>
  <c r="D94" i="20" a="1"/>
  <c r="F110" i="17" a="1"/>
  <c r="I109" i="19" a="1"/>
  <c r="J41" i="21" a="1"/>
  <c r="X21" i="46" a="1"/>
  <c r="L67" i="46" a="1"/>
  <c r="W30" i="48" a="1"/>
  <c r="S78" i="16" a="1"/>
  <c r="G32" i="26" a="1"/>
  <c r="X110" i="46" a="1"/>
  <c r="S32" i="17" a="1"/>
  <c r="Y47" i="46" a="1"/>
  <c r="BI77" i="46" a="1"/>
  <c r="J127" i="46" a="1"/>
  <c r="F95" i="15" a="1"/>
  <c r="E45" i="20" a="1"/>
  <c r="V16" i="19" a="1"/>
  <c r="E42" i="20" a="1"/>
  <c r="K108" i="17" a="1"/>
  <c r="J90" i="46" a="1"/>
  <c r="R46" i="21" a="1"/>
  <c r="F39" i="19" a="1"/>
  <c r="G92" i="15" a="1"/>
  <c r="Y88" i="17" a="1"/>
  <c r="F23" i="16" a="1"/>
  <c r="V14" i="46" a="1"/>
  <c r="I10" i="19" a="1"/>
  <c r="T37" i="19" a="1"/>
  <c r="S40" i="48" a="1"/>
  <c r="W34" i="15" a="1"/>
  <c r="X71" i="46" a="1"/>
  <c r="AB53" i="16" a="1"/>
  <c r="Y52" i="46" a="1"/>
  <c r="R49" i="21" a="1"/>
  <c r="L11" i="48" a="1"/>
  <c r="G106" i="17" a="1"/>
  <c r="H118" i="46" a="1"/>
  <c r="T56" i="19" a="1"/>
  <c r="V42" i="20" a="1"/>
  <c r="R29" i="20" a="1"/>
  <c r="BG102" i="46" a="1"/>
  <c r="X70" i="17" a="1"/>
  <c r="J13" i="21" a="1"/>
  <c r="G31" i="20" a="1"/>
  <c r="V62" i="46" a="1"/>
  <c r="G15" i="17" a="1"/>
  <c r="BK143" i="46" a="1"/>
  <c r="D67" i="17" a="1"/>
  <c r="AB40" i="15" a="1"/>
  <c r="R44" i="21" a="1"/>
  <c r="S76" i="17" a="1"/>
  <c r="G18" i="26" a="1"/>
  <c r="AC144" i="46" a="1"/>
  <c r="G60" i="17" a="1"/>
  <c r="F129" i="19" a="1"/>
  <c r="AC16" i="46" a="1"/>
  <c r="E72" i="17" a="1"/>
  <c r="E19" i="19" a="1"/>
  <c r="H101" i="46" a="1"/>
  <c r="E25" i="26" a="1"/>
  <c r="H53" i="15" a="1"/>
  <c r="D39" i="17" a="1"/>
  <c r="S31" i="50" a="1"/>
  <c r="H32" i="50" a="1"/>
  <c r="J63" i="15" a="1"/>
  <c r="BK80" i="46" a="1"/>
  <c r="R40" i="21" a="1"/>
  <c r="Y101" i="17" a="1"/>
  <c r="H90" i="17" a="1"/>
  <c r="E99" i="17" a="1"/>
  <c r="I78" i="16" a="1"/>
  <c r="I142" i="46" a="1"/>
  <c r="BJ78" i="46" a="1"/>
  <c r="G27" i="46" a="1"/>
  <c r="W40" i="15" a="1"/>
  <c r="AB47" i="46" a="1"/>
  <c r="W26" i="48" a="1"/>
  <c r="AE34" i="26" a="1"/>
  <c r="W95" i="16" a="1"/>
  <c r="Z13" i="46" a="1"/>
  <c r="J89" i="16" a="1"/>
  <c r="U31" i="48" a="1"/>
  <c r="X28" i="46" a="1"/>
  <c r="Z16" i="44" a="1"/>
  <c r="T116" i="20" a="1"/>
  <c r="J131" i="19" a="1"/>
  <c r="R62" i="16" a="1"/>
  <c r="BK83" i="46" a="1"/>
  <c r="G22" i="20" a="1"/>
  <c r="G130" i="46" a="1"/>
  <c r="T25" i="50" a="1"/>
  <c r="L38" i="48" a="1"/>
  <c r="R24" i="17" a="1"/>
  <c r="BI29" i="46" a="1"/>
  <c r="G56" i="15" a="1"/>
  <c r="F77" i="15" a="1"/>
  <c r="K35" i="46" a="1"/>
  <c r="H39" i="17" a="1"/>
  <c r="I82" i="17" a="1"/>
  <c r="I17" i="17" a="1"/>
  <c r="BH45" i="46" a="1"/>
  <c r="G45" i="15" a="1"/>
  <c r="J129" i="46" a="1"/>
  <c r="E42" i="16" a="1"/>
  <c r="T59" i="17" a="1"/>
  <c r="Y31" i="17" a="1"/>
  <c r="AA43" i="46" a="1"/>
  <c r="W12" i="46" a="1"/>
  <c r="F104" i="20" a="1"/>
  <c r="J90" i="15" a="1"/>
  <c r="K68" i="17" a="1"/>
  <c r="X48" i="17" a="1"/>
  <c r="E106" i="17" a="1"/>
  <c r="E60" i="16" a="1"/>
  <c r="I53" i="15" a="1"/>
  <c r="Y107" i="46" a="1"/>
  <c r="F87" i="17" a="1"/>
  <c r="Z98" i="15" a="1"/>
  <c r="E73" i="17" a="1"/>
  <c r="I115" i="19" a="1"/>
  <c r="F28" i="50" a="1"/>
  <c r="D20" i="20" a="1"/>
  <c r="I6" i="15" a="1"/>
  <c r="W8" i="15" a="1"/>
  <c r="G75" i="26" a="1"/>
  <c r="I8" i="21" a="1"/>
  <c r="AD32" i="26" a="1"/>
  <c r="H88" i="46" a="1"/>
  <c r="G54" i="16" a="1"/>
  <c r="G24" i="44" a="1"/>
  <c r="H14" i="46" a="1"/>
  <c r="H88" i="20" a="1"/>
  <c r="AB23" i="15" a="1"/>
  <c r="X34" i="46" a="1"/>
  <c r="Y117" i="46" a="1"/>
  <c r="G22" i="26" a="1"/>
  <c r="K89" i="17" a="1"/>
  <c r="AB72" i="46" a="1"/>
  <c r="G31" i="17" a="1"/>
  <c r="S8" i="20" a="1"/>
  <c r="K127" i="46" a="1"/>
  <c r="AB18" i="16" a="1"/>
  <c r="AB21" i="16" a="1"/>
  <c r="U65" i="20" a="1"/>
  <c r="BJ143" i="46" a="1"/>
  <c r="G129" i="19" a="1"/>
  <c r="BI74" i="46" a="1"/>
  <c r="V12" i="50" a="1"/>
  <c r="E12" i="20" a="1"/>
  <c r="Y57" i="46" a="1"/>
  <c r="I74" i="17" a="1"/>
  <c r="D101" i="20" a="1"/>
  <c r="I56" i="26" a="1"/>
  <c r="D81" i="20" a="1"/>
  <c r="K107" i="17" a="1"/>
  <c r="H10" i="46" a="1"/>
  <c r="U73" i="46" a="1"/>
  <c r="AC138" i="46" a="1"/>
  <c r="T58" i="16" a="1"/>
  <c r="U86" i="20" a="1"/>
  <c r="T58" i="20" a="1"/>
  <c r="Y91" i="17" a="1"/>
  <c r="G88" i="46" a="1"/>
  <c r="V11" i="50" a="1"/>
  <c r="J93" i="16" a="1"/>
  <c r="G38" i="50" a="1"/>
  <c r="W71" i="16" a="1"/>
  <c r="T38" i="17" a="1"/>
  <c r="D60" i="17" a="1"/>
  <c r="I87" i="15" a="1"/>
  <c r="Z80" i="46" a="1"/>
  <c r="I50" i="46" a="1"/>
  <c r="BK9" i="46" a="1"/>
  <c r="W94" i="16" a="1"/>
  <c r="BK11" i="46" a="1"/>
  <c r="T9" i="17" a="1"/>
  <c r="G52" i="20" a="1"/>
  <c r="T70" i="17" a="1"/>
  <c r="G59" i="26" a="1"/>
  <c r="D65" i="26" a="1"/>
  <c r="H33" i="17" a="1"/>
  <c r="AE31" i="26" a="1"/>
  <c r="J90" i="17" a="1"/>
  <c r="Y80" i="17" a="1"/>
  <c r="W69" i="17" a="1"/>
  <c r="G120" i="19" a="1"/>
  <c r="AB82" i="15" a="1"/>
  <c r="R21" i="19" a="1"/>
  <c r="Y98" i="17" a="1"/>
  <c r="J31" i="17" a="1"/>
  <c r="V45" i="21" a="1"/>
  <c r="G29" i="50" a="1"/>
  <c r="S43" i="19" a="1"/>
  <c r="S36" i="19" a="1"/>
  <c r="S70" i="20" a="1"/>
  <c r="E66" i="17" a="1"/>
  <c r="I103" i="17" a="1"/>
  <c r="I88" i="17" a="1"/>
  <c r="E56" i="26" a="1"/>
  <c r="S87" i="17" a="1"/>
  <c r="D69" i="16" a="1"/>
  <c r="S32" i="50" a="1"/>
  <c r="AC62" i="46" a="1"/>
  <c r="W30" i="26" a="1"/>
  <c r="H59" i="17" a="1"/>
  <c r="H9" i="17" a="1"/>
  <c r="H96" i="16" a="1"/>
  <c r="F14" i="20" a="1"/>
  <c r="G122" i="19" a="1"/>
  <c r="G57" i="26" a="1"/>
  <c r="U11" i="20" a="1"/>
  <c r="K9" i="44" a="1"/>
  <c r="L77" i="46" a="1"/>
  <c r="J61" i="46" a="1"/>
  <c r="D36" i="16" a="1"/>
  <c r="X133" i="46" a="1"/>
  <c r="Y79" i="16" a="1"/>
  <c r="BI92" i="46" a="1"/>
  <c r="R8" i="19" a="1"/>
  <c r="K18" i="46" a="1"/>
  <c r="I13" i="19" a="1"/>
  <c r="U114" i="19" a="1"/>
  <c r="E10" i="20" a="1"/>
  <c r="BH22" i="46" a="1"/>
  <c r="G125" i="46" a="1"/>
  <c r="I59" i="26" a="1"/>
  <c r="L30" i="48" a="1"/>
  <c r="I38" i="20" a="1"/>
  <c r="H85" i="15" a="1"/>
  <c r="AA102" i="16" a="1"/>
  <c r="I46" i="16" a="1"/>
  <c r="AC51" i="46" a="1"/>
  <c r="K85" i="15" a="1"/>
  <c r="W18" i="50" a="1"/>
  <c r="BI45" i="46" a="1"/>
  <c r="D21" i="50" a="1"/>
  <c r="R68" i="17" a="1"/>
  <c r="V14" i="19" a="1"/>
  <c r="I38" i="17" a="1"/>
  <c r="G66" i="17" a="1"/>
  <c r="Y14" i="48" a="1"/>
  <c r="U69" i="20" a="1"/>
  <c r="J66" i="17" a="1"/>
  <c r="E43" i="26" a="1"/>
  <c r="U35" i="50" a="1"/>
  <c r="K70" i="17" a="1"/>
  <c r="F104" i="46" a="1"/>
  <c r="L36" i="48" a="1"/>
  <c r="F16" i="48" a="1"/>
  <c r="T39" i="21" a="1"/>
  <c r="R40" i="19" a="1"/>
  <c r="V7" i="44" a="1"/>
  <c r="S31" i="16" a="1"/>
  <c r="J75" i="17" a="1"/>
  <c r="BH139" i="46" a="1"/>
  <c r="S57" i="19" a="1"/>
  <c r="H109" i="17" a="1"/>
  <c r="D70" i="20" a="1"/>
  <c r="F34" i="17" a="1"/>
  <c r="D118" i="19" a="1"/>
  <c r="E60" i="17" a="1"/>
  <c r="AB72" i="16" a="1"/>
  <c r="D90" i="15" a="1"/>
  <c r="U103" i="20" a="1"/>
  <c r="R28" i="20" a="1"/>
  <c r="W16" i="17" a="1"/>
  <c r="BJ28" i="46" a="1"/>
  <c r="I69" i="46" a="1"/>
  <c r="K97" i="46" a="1"/>
  <c r="J78" i="46" a="1"/>
  <c r="W43" i="21" a="1"/>
  <c r="T84" i="15" a="1"/>
  <c r="E46" i="16" a="1"/>
  <c r="S85" i="20" a="1"/>
  <c r="F64" i="17" a="1"/>
  <c r="R8" i="44" a="1"/>
  <c r="E26" i="48" a="1"/>
  <c r="G45" i="48" a="1"/>
  <c r="S13" i="20" a="1"/>
  <c r="V96" i="15" a="1"/>
  <c r="T127" i="19" a="1"/>
  <c r="BG111" i="46" a="1"/>
  <c r="S34" i="50" a="1"/>
  <c r="L14" i="48" a="1"/>
  <c r="BK133" i="46" a="1"/>
  <c r="I37" i="20" a="1"/>
  <c r="H58" i="26" a="1"/>
  <c r="J57" i="16" a="1"/>
  <c r="U12" i="21" a="1"/>
  <c r="E35" i="26" a="1"/>
  <c r="G48" i="16" a="1"/>
  <c r="H25" i="17" a="1"/>
  <c r="H66" i="16" a="1"/>
  <c r="W59" i="16" a="1"/>
  <c r="AA8" i="16" a="1"/>
  <c r="H60" i="16" a="1"/>
  <c r="J69" i="17" a="1"/>
  <c r="I57" i="17" a="1"/>
  <c r="K60" i="46" a="1"/>
  <c r="X80" i="15" a="1"/>
  <c r="E75" i="16" a="1"/>
  <c r="F42" i="15" a="1"/>
  <c r="H25" i="19" a="1"/>
  <c r="Y74" i="16" a="1"/>
  <c r="H76" i="15" a="1"/>
  <c r="G26" i="44" a="1"/>
  <c r="H108" i="17" a="1"/>
  <c r="AB76" i="16" a="1"/>
  <c r="D35" i="15" a="1"/>
  <c r="J133" i="46" a="1"/>
  <c r="S79" i="26" a="1"/>
  <c r="E32" i="17" a="1"/>
  <c r="K117" i="46" a="1"/>
  <c r="J84" i="16" a="1"/>
  <c r="H60" i="15" a="1"/>
  <c r="S63" i="16" a="1"/>
  <c r="X27" i="48" a="1"/>
  <c r="AE30" i="26" a="1"/>
  <c r="Z132" i="46" a="1"/>
  <c r="V32" i="26" a="1"/>
  <c r="F46" i="20" a="1"/>
  <c r="F15" i="16" a="1"/>
  <c r="D33" i="20" a="1"/>
  <c r="BJ22" i="46" a="1"/>
  <c r="D83" i="20" a="1"/>
  <c r="W32" i="26" a="1"/>
  <c r="G80" i="20" a="1"/>
  <c r="W24" i="48" a="1"/>
  <c r="AB98" i="16" a="1"/>
  <c r="Z38" i="26" a="1"/>
  <c r="I45" i="48" a="1"/>
  <c r="J113" i="17" a="1"/>
  <c r="G76" i="15" a="1"/>
  <c r="H90" i="15" a="1"/>
  <c r="U122" i="19" a="1"/>
  <c r="H79" i="16" a="1"/>
  <c r="Y72" i="16" a="1"/>
  <c r="G67" i="17" a="1"/>
  <c r="AB104" i="16" a="1"/>
  <c r="I15" i="17" a="1"/>
  <c r="AB105" i="16" a="1"/>
  <c r="AA76" i="46" a="1"/>
  <c r="T47" i="20" a="1"/>
  <c r="W139" i="46" a="1"/>
  <c r="Z114" i="46" a="1"/>
  <c r="X31" i="48" a="1"/>
  <c r="W15" i="17" a="1"/>
  <c r="I62" i="26" a="1"/>
  <c r="T38" i="48" a="1"/>
  <c r="L22" i="46" a="1"/>
  <c r="I53" i="20" a="1"/>
  <c r="K95" i="46" a="1"/>
  <c r="R48" i="19" a="1"/>
  <c r="X32" i="17" a="1"/>
  <c r="X39" i="17" a="1"/>
  <c r="F93" i="17" a="1"/>
  <c r="D18" i="20" a="1"/>
  <c r="D27" i="16" a="1"/>
  <c r="J46" i="26" a="1"/>
  <c r="D31" i="17" a="1"/>
  <c r="H105" i="46" a="1"/>
  <c r="T78" i="17" a="1"/>
  <c r="R59" i="17" a="1"/>
  <c r="J51" i="15" a="1"/>
  <c r="E104" i="16" a="1"/>
  <c r="J18" i="26" a="1"/>
  <c r="J28" i="44" a="1"/>
  <c r="H51" i="20" a="1"/>
  <c r="G109" i="46" a="1"/>
  <c r="I22" i="48" a="1"/>
  <c r="E40" i="50" a="1"/>
  <c r="F139" i="46" a="1"/>
  <c r="BH62" i="46" a="1"/>
  <c r="G102" i="46" a="1"/>
  <c r="AA66" i="46" a="1"/>
  <c r="AA40" i="15" a="1"/>
  <c r="E69" i="15" a="1"/>
  <c r="X114" i="46" a="1"/>
  <c r="BK89" i="46" a="1"/>
  <c r="K62" i="17" a="1"/>
  <c r="E87" i="15" a="1"/>
  <c r="F51" i="19" a="1"/>
  <c r="I69" i="15" a="1"/>
  <c r="E29" i="26" a="1"/>
  <c r="H80" i="17" a="1"/>
  <c r="BK88" i="46" a="1"/>
  <c r="G121" i="46" a="1"/>
  <c r="J144" i="19" a="1"/>
  <c r="E113" i="19" a="1"/>
  <c r="J98" i="46" a="1"/>
  <c r="X142" i="46" a="1"/>
  <c r="V87" i="20" a="1"/>
  <c r="F89" i="17" a="1"/>
  <c r="J78" i="17" a="1"/>
  <c r="H33" i="50" a="1"/>
  <c r="I58" i="19" a="1"/>
  <c r="U107" i="20" a="1"/>
  <c r="E81" i="20" a="1"/>
  <c r="R7" i="21" a="1"/>
  <c r="D29" i="50" a="1"/>
  <c r="E41" i="15" a="1"/>
  <c r="V29" i="20" a="1"/>
  <c r="V35" i="50" a="1"/>
  <c r="AB12" i="16" a="1"/>
  <c r="F137" i="46" a="1"/>
  <c r="T23" i="21" a="1"/>
  <c r="F24" i="16" a="1"/>
  <c r="U41" i="20" a="1"/>
  <c r="BJ17" i="46" a="1"/>
  <c r="R75" i="26" a="1"/>
  <c r="J10" i="19" a="1"/>
  <c r="I14" i="17" a="1"/>
  <c r="BK42" i="46" a="1"/>
  <c r="BG98" i="46" a="1"/>
  <c r="S110" i="20" a="1"/>
  <c r="I16" i="17" a="1"/>
  <c r="R55" i="15" a="1"/>
  <c r="S33" i="20" a="1"/>
  <c r="K115" i="17" a="1"/>
  <c r="R118" i="19" a="1"/>
  <c r="G66" i="26" a="1"/>
  <c r="F40" i="26" a="1"/>
  <c r="AB87" i="15" a="1"/>
  <c r="G25" i="48" a="1"/>
  <c r="G143" i="46" a="1"/>
  <c r="D104" i="16" a="1"/>
  <c r="V77" i="20" a="1"/>
  <c r="I9" i="44" a="1"/>
  <c r="W37" i="50" a="1"/>
  <c r="G86" i="17" a="1"/>
  <c r="W29" i="48" a="1"/>
  <c r="R81" i="15" a="1"/>
  <c r="R80" i="16" a="1"/>
  <c r="I30" i="20" a="1"/>
  <c r="E30" i="50" a="1"/>
  <c r="R81" i="17" a="1"/>
  <c r="I45" i="20" a="1"/>
  <c r="U45" i="21" a="1"/>
  <c r="V39" i="46" a="1"/>
  <c r="H33" i="19" a="1"/>
  <c r="Z71" i="46" a="1"/>
  <c r="J64" i="46" a="1"/>
  <c r="BI89" i="46" a="1"/>
  <c r="BK145" i="46" a="1"/>
  <c r="D54" i="16" a="1"/>
  <c r="D25" i="50" a="1"/>
  <c r="I63" i="16" a="1"/>
  <c r="S18" i="20" a="1"/>
  <c r="R71" i="26" a="1"/>
  <c r="W41" i="15" a="1"/>
  <c r="H20" i="26" a="1"/>
  <c r="T112" i="20" a="1"/>
  <c r="BH12" i="46" a="1"/>
  <c r="S23" i="21" a="1"/>
  <c r="E44" i="26" a="1"/>
  <c r="W40" i="21" a="1"/>
  <c r="F8" i="21" a="1"/>
  <c r="X47" i="17" a="1"/>
  <c r="S14" i="50" a="1"/>
  <c r="V44" i="21" a="1"/>
  <c r="S93" i="17" a="1"/>
  <c r="Y52" i="16" a="1"/>
  <c r="L7" i="46" a="1"/>
  <c r="G16" i="21" a="1"/>
  <c r="T24" i="19" a="1"/>
  <c r="S58" i="17" a="1"/>
  <c r="BI103" i="46" a="1"/>
  <c r="Y53" i="46" a="1"/>
  <c r="D71" i="26" a="1"/>
  <c r="T18" i="50" a="1"/>
  <c r="F27" i="48" a="1"/>
  <c r="G42" i="17" a="1"/>
  <c r="H50" i="17" a="1"/>
  <c r="BK54" i="46" a="1"/>
  <c r="AC43" i="46" a="1"/>
  <c r="J13" i="17" a="1"/>
  <c r="D17" i="19" a="1"/>
  <c r="BI23" i="46" a="1"/>
  <c r="R20" i="26" a="1"/>
  <c r="E24" i="16" a="1"/>
  <c r="F75" i="20" a="1"/>
  <c r="G11" i="19" a="1"/>
  <c r="I46" i="19" a="1"/>
  <c r="F28" i="46" a="1"/>
  <c r="H57" i="26" a="1"/>
  <c r="F115" i="17" a="1"/>
  <c r="V7" i="21" a="1"/>
  <c r="AC15" i="46" a="1"/>
  <c r="I40" i="46" a="1"/>
  <c r="W18" i="46" a="1"/>
  <c r="V53" i="46" a="1"/>
  <c r="H94" i="16" a="1"/>
  <c r="E76" i="20" a="1"/>
  <c r="BI137" i="46" a="1"/>
  <c r="V65" i="46" a="1"/>
  <c r="Y86" i="17" a="1"/>
  <c r="AA103" i="16" a="1"/>
  <c r="J71" i="15" a="1"/>
  <c r="H14" i="19" a="1"/>
  <c r="I125" i="46" a="1"/>
  <c r="I18" i="21" a="1"/>
  <c r="D29" i="21" a="1"/>
  <c r="E91" i="20" a="1"/>
  <c r="H16" i="26" a="1"/>
  <c r="H90" i="46" a="1"/>
  <c r="S7" i="48" a="1"/>
  <c r="U74" i="46" a="1"/>
  <c r="Y12" i="48" a="1"/>
  <c r="W27" i="16" a="1"/>
  <c r="W125" i="46" a="1"/>
  <c r="AB48" i="46" a="1"/>
  <c r="AC136" i="46" a="1"/>
  <c r="G13" i="17" a="1"/>
  <c r="H20" i="19" a="1"/>
  <c r="W64" i="16" a="1"/>
  <c r="R25" i="21" a="1"/>
  <c r="S70" i="15" a="1"/>
  <c r="AA41" i="46" a="1"/>
  <c r="W49" i="15" a="1"/>
  <c r="T112" i="19" a="1"/>
  <c r="BG15" i="46" a="1"/>
  <c r="V41" i="50" a="1"/>
  <c r="Y12" i="46" a="1"/>
  <c r="E71" i="15" a="1"/>
  <c r="S40" i="21" a="1"/>
  <c r="G43" i="46" a="1"/>
  <c r="H37" i="46" a="1"/>
  <c r="J44" i="48" a="1"/>
  <c r="Z21" i="16" a="1"/>
  <c r="R102" i="20" a="1"/>
  <c r="H67" i="15" a="1"/>
  <c r="T124" i="19" a="1"/>
  <c r="I19" i="20" a="1"/>
  <c r="J15" i="19" a="1"/>
  <c r="G46" i="48" a="1"/>
  <c r="F92" i="16" a="1"/>
  <c r="J26" i="46" a="1"/>
  <c r="F111" i="19" a="1"/>
  <c r="I99" i="46" a="1"/>
  <c r="S72" i="26" a="1"/>
  <c r="U32" i="26" a="1"/>
  <c r="D70" i="17" a="1"/>
  <c r="F12" i="48" a="1"/>
  <c r="H36" i="50" a="1"/>
  <c r="X35" i="46" a="1"/>
  <c r="X132" i="46" a="1"/>
  <c r="G73" i="26" a="1"/>
  <c r="H24" i="26" a="1"/>
  <c r="T96" i="17" a="1"/>
  <c r="Y76" i="16" a="1"/>
  <c r="D26" i="20" a="1"/>
  <c r="Z19" i="46" a="1"/>
  <c r="F27" i="50" a="1"/>
  <c r="H135" i="46" a="1"/>
  <c r="BG100" i="46" a="1"/>
  <c r="S26" i="21" a="1"/>
  <c r="I90" i="46" a="1"/>
  <c r="K36" i="46" a="1"/>
  <c r="W37" i="16" a="1"/>
  <c r="U20" i="19" a="1"/>
  <c r="H101" i="17" a="1"/>
  <c r="I37" i="46" a="1"/>
  <c r="J58" i="16" a="1"/>
  <c r="V27" i="16" a="1"/>
  <c r="G57" i="20" a="1"/>
  <c r="U29" i="21" a="1"/>
  <c r="J30" i="26" a="1"/>
  <c r="R13" i="21" a="1"/>
  <c r="F47" i="46" a="1"/>
  <c r="W67" i="17" a="1"/>
  <c r="T40" i="19" a="1"/>
  <c r="BH118" i="46" a="1"/>
  <c r="F39" i="15" a="1"/>
  <c r="BK36" i="46" a="1"/>
  <c r="Z21" i="46" a="1"/>
  <c r="G54" i="17" a="1"/>
  <c r="X109" i="17" a="1"/>
  <c r="J44" i="46" a="1"/>
  <c r="G51" i="15" a="1"/>
  <c r="BJ49" i="46" a="1"/>
  <c r="E32" i="19" a="1"/>
  <c r="S39" i="17" a="1"/>
  <c r="G74" i="17" a="1"/>
  <c r="AB16" i="16" a="1"/>
  <c r="K20" i="46" a="1"/>
  <c r="U80" i="20" a="1"/>
  <c r="H52" i="20" a="1"/>
  <c r="F69" i="46" a="1"/>
  <c r="Y130" i="46" a="1"/>
  <c r="S24" i="21" a="1"/>
  <c r="S101" i="17" a="1"/>
  <c r="D85" i="20" a="1"/>
  <c r="I25" i="20" a="1"/>
  <c r="E30" i="26" a="1"/>
  <c r="G90" i="15" a="1"/>
  <c r="X41" i="26" a="1"/>
  <c r="I16" i="46" a="1"/>
  <c r="G54" i="15" a="1"/>
  <c r="E94" i="20" a="1"/>
  <c r="T57" i="46" a="1"/>
  <c r="E43" i="21" a="1"/>
  <c r="U7" i="20" a="1"/>
  <c r="H9" i="19" a="1"/>
  <c r="H24" i="17" a="1"/>
  <c r="E14" i="26" a="1"/>
  <c r="Z120" i="46" a="1"/>
  <c r="V15" i="20" a="1"/>
  <c r="D32" i="17" a="1"/>
  <c r="AA69" i="15" a="1"/>
  <c r="AB44" i="46" a="1"/>
  <c r="J57" i="26" a="1"/>
  <c r="D47" i="20" a="1"/>
  <c r="X93" i="46" a="1"/>
  <c r="U31" i="20" a="1"/>
  <c r="X29" i="16" a="1"/>
  <c r="BI52" i="46" a="1"/>
  <c r="S56" i="20" a="1"/>
  <c r="D79" i="16" a="1"/>
  <c r="V18" i="20" a="1"/>
  <c r="H13" i="46" a="1"/>
  <c r="BG43" i="46" a="1"/>
  <c r="G40" i="19" a="1"/>
  <c r="H44" i="46" a="1"/>
  <c r="BH34" i="46" a="1"/>
  <c r="H139" i="19" a="1"/>
  <c r="X85" i="17" a="1"/>
  <c r="S53" i="15" a="1"/>
  <c r="AB36" i="26" a="1"/>
  <c r="E61" i="20" a="1"/>
  <c r="W61" i="16" a="1"/>
  <c r="W115" i="17" a="1"/>
  <c r="V72" i="20" a="1"/>
  <c r="T41" i="46" a="1"/>
  <c r="S11" i="48" a="1"/>
  <c r="H24" i="48" a="1"/>
  <c r="AE33" i="26" a="1"/>
  <c r="BG125" i="46" a="1"/>
  <c r="G18" i="48" a="1"/>
  <c r="BI109" i="46" a="1"/>
  <c r="Y111" i="46" a="1"/>
  <c r="D33" i="17" a="1"/>
  <c r="J52" i="16" a="1"/>
  <c r="BH18" i="46" a="1"/>
  <c r="V33" i="50" a="1"/>
  <c r="I59" i="19" a="1"/>
  <c r="R23" i="26" a="1"/>
  <c r="I121" i="46" a="1"/>
  <c r="W39" i="26" a="1"/>
  <c r="AB71" i="15" a="1"/>
  <c r="D75" i="16" a="1"/>
  <c r="F30" i="20" a="1"/>
  <c r="F114" i="17" a="1"/>
  <c r="I11" i="50" a="1"/>
  <c r="J81" i="16" a="1"/>
  <c r="F97" i="15" a="1"/>
  <c r="I36" i="50" a="1"/>
  <c r="L70" i="46" a="1"/>
  <c r="S110" i="17" a="1"/>
  <c r="AB11" i="16" a="1"/>
  <c r="D106" i="17" a="1"/>
  <c r="S41" i="21" a="1"/>
  <c r="X65" i="46" a="1"/>
  <c r="U135" i="19" a="1"/>
  <c r="I7" i="20" a="1"/>
  <c r="E107" i="16" a="1"/>
  <c r="S28" i="17" a="1"/>
  <c r="W96" i="16" a="1"/>
  <c r="F58" i="16" a="1"/>
  <c r="J30" i="50" a="1"/>
  <c r="E100" i="16" a="1"/>
  <c r="X26" i="17" a="1"/>
  <c r="V119" i="19" a="1"/>
  <c r="W23" i="21" a="1"/>
  <c r="BK77" i="46" a="1"/>
  <c r="S94" i="20" a="1"/>
  <c r="J24" i="21" a="1"/>
  <c r="G111" i="17" a="1"/>
  <c r="G35" i="19" a="1"/>
  <c r="BG16" i="46" a="1"/>
  <c r="K31" i="17" a="1"/>
  <c r="L98" i="46" a="1"/>
  <c r="K60" i="15" a="1"/>
  <c r="X71" i="16" a="1"/>
  <c r="W56" i="15" a="1"/>
  <c r="E122" i="19" a="1"/>
  <c r="J64" i="17" a="1"/>
  <c r="W95" i="15" a="1"/>
  <c r="T42" i="17" a="1"/>
  <c r="D47" i="19" a="1"/>
  <c r="U14" i="46" a="1"/>
  <c r="AA61" i="16" a="1"/>
  <c r="D17" i="21" a="1"/>
  <c r="R126" i="19" a="1"/>
  <c r="J19" i="21" a="1"/>
  <c r="H67" i="20" a="1"/>
  <c r="E13" i="21" a="1"/>
  <c r="E13" i="50" a="1"/>
  <c r="V48" i="20" a="1"/>
  <c r="V7" i="46" a="1"/>
  <c r="G30" i="17" a="1"/>
  <c r="S28" i="48" a="1"/>
  <c r="BG110" i="46" a="1"/>
  <c r="F127" i="19" a="1"/>
  <c r="J39" i="26" a="1"/>
  <c r="BI70" i="46" a="1"/>
  <c r="BG92" i="46" a="1"/>
  <c r="S16" i="44" a="1"/>
  <c r="E13" i="19" a="1"/>
  <c r="V46" i="19" a="1"/>
  <c r="Y25" i="17" a="1"/>
  <c r="J115" i="46" a="1"/>
  <c r="R44" i="26" a="1"/>
  <c r="K28" i="46" a="1"/>
  <c r="X32" i="46" a="1"/>
  <c r="AB12" i="15" a="1"/>
  <c r="BI30" i="46" a="1"/>
  <c r="I79" i="26" a="1"/>
  <c r="D27" i="19" a="1"/>
  <c r="J86" i="16" a="1"/>
  <c r="J41" i="26" a="1"/>
  <c r="X105" i="17" a="1"/>
  <c r="T11" i="21" a="1"/>
  <c r="U82" i="20" a="1"/>
  <c r="J113" i="46" a="1"/>
  <c r="AA45" i="15" a="1"/>
  <c r="AE32" i="26" a="1"/>
  <c r="R117" i="19" a="1"/>
  <c r="AA61" i="15" a="1"/>
  <c r="I18" i="50" a="1"/>
  <c r="H106" i="17" a="1"/>
  <c r="W38" i="26" a="1"/>
  <c r="G114" i="46" a="1"/>
  <c r="H71" i="15" a="1"/>
  <c r="R42" i="17" a="1"/>
  <c r="W109" i="16" a="1"/>
  <c r="H38" i="20" a="1"/>
  <c r="U44" i="20" a="1"/>
  <c r="D52" i="16" a="1"/>
  <c r="D107" i="17" a="1"/>
  <c r="X37" i="17" a="1"/>
  <c r="I55" i="20" a="1"/>
  <c r="E34" i="50" a="1"/>
  <c r="AC77" i="46" a="1"/>
  <c r="Z119" i="46" a="1"/>
  <c r="I47" i="19" a="1"/>
  <c r="S81" i="15" a="1"/>
  <c r="J94" i="46" a="1"/>
  <c r="S18" i="21" a="1"/>
  <c r="S114" i="19" a="1"/>
  <c r="L47" i="46" a="1"/>
  <c r="W62" i="16" a="1"/>
  <c r="AB7" i="16" a="1"/>
  <c r="F29" i="26" a="1"/>
  <c r="Y30" i="46" a="1"/>
  <c r="W69" i="46" a="1"/>
  <c r="H37" i="19" a="1"/>
  <c r="F36" i="50" a="1"/>
  <c r="J119" i="46" a="1"/>
  <c r="AB16" i="15" a="1"/>
  <c r="BH83" i="46" a="1"/>
  <c r="I28" i="46" a="1"/>
  <c r="I42" i="48" a="1"/>
  <c r="H46" i="46" a="1"/>
  <c r="E61" i="16" a="1"/>
  <c r="G25" i="19" a="1"/>
  <c r="E49" i="15" a="1"/>
  <c r="Y67" i="17" a="1"/>
  <c r="D91" i="16" a="1"/>
  <c r="D71" i="17" a="1"/>
  <c r="D11" i="21" a="1"/>
  <c r="E105" i="16" a="1"/>
  <c r="F111" i="46" a="1"/>
  <c r="J7" i="21" a="1"/>
  <c r="W63" i="46" a="1"/>
  <c r="G16" i="17" a="1"/>
  <c r="D41" i="50" a="1"/>
  <c r="F59" i="16" a="1"/>
  <c r="BI68" i="46" a="1"/>
  <c r="I36" i="21" a="1"/>
  <c r="F37" i="17" a="1"/>
  <c r="G98" i="16" a="1"/>
  <c r="BG146" i="46" a="1"/>
  <c r="Z18" i="44" a="1"/>
  <c r="F28" i="15" a="1"/>
  <c r="I50" i="21" a="1"/>
  <c r="I60" i="17" a="1"/>
  <c r="AA16" i="15" a="1"/>
  <c r="AA86" i="16" a="1"/>
  <c r="W15" i="44" a="1"/>
  <c r="G16" i="19" a="1"/>
  <c r="AA67" i="46" a="1"/>
  <c r="R118" i="20" a="1"/>
  <c r="X68" i="15" a="1"/>
  <c r="T11" i="46" a="1"/>
  <c r="H77" i="46" a="1"/>
  <c r="U10" i="20" a="1"/>
  <c r="S66" i="17" a="1"/>
  <c r="AA14" i="15" a="1"/>
  <c r="I51" i="15" a="1"/>
  <c r="AC24" i="46" a="1"/>
  <c r="T24" i="17" a="1"/>
  <c r="W36" i="17" a="1"/>
  <c r="L25" i="48" a="1"/>
  <c r="X58" i="46" a="1"/>
  <c r="BJ88" i="46" a="1"/>
  <c r="AC64" i="46" a="1"/>
  <c r="J34" i="21" a="1"/>
  <c r="I87" i="17" a="1"/>
  <c r="H10" i="50" a="1"/>
  <c r="X27" i="17" a="1"/>
  <c r="S23" i="26" a="1"/>
  <c r="BJ6" i="46" a="1"/>
  <c r="T23" i="19" a="1"/>
  <c r="H18" i="44" a="1"/>
  <c r="S71" i="16" a="1"/>
  <c r="G9" i="26" a="1"/>
  <c r="G38" i="16" a="1"/>
  <c r="D43" i="17" a="1"/>
  <c r="I46" i="20" a="1"/>
  <c r="X38" i="17" a="1"/>
  <c r="K139" i="46" a="1"/>
  <c r="F40" i="20" a="1"/>
  <c r="X136" i="46" a="1"/>
  <c r="F52" i="16" a="1"/>
  <c r="L75" i="46" a="1"/>
  <c r="U60" i="20" a="1"/>
  <c r="G113" i="17" a="1"/>
  <c r="S80" i="16" a="1"/>
  <c r="Y105" i="46" a="1"/>
  <c r="D22" i="15" a="1"/>
  <c r="T43" i="17" a="1"/>
  <c r="D35" i="21" a="1"/>
  <c r="X66" i="46" a="1"/>
  <c r="BI97" i="46" a="1"/>
  <c r="U104" i="20" a="1"/>
  <c r="D41" i="15" a="1"/>
  <c r="E16" i="15" a="1"/>
  <c r="H128" i="46" a="1"/>
  <c r="R112" i="19" a="1"/>
  <c r="I67" i="17" a="1"/>
  <c r="T37" i="48" a="1"/>
  <c r="U43" i="19" a="1"/>
  <c r="I77" i="26" a="1"/>
  <c r="E86" i="20" a="1"/>
  <c r="AA12" i="15" a="1"/>
  <c r="E39" i="19" a="1"/>
  <c r="BH14" i="46" a="1"/>
  <c r="F106" i="46" a="1"/>
  <c r="D10" i="20" a="1"/>
  <c r="I47" i="20" a="1"/>
  <c r="BJ9" i="46" a="1"/>
  <c r="BJ70" i="46" a="1"/>
  <c r="H9" i="50" a="1"/>
  <c r="E112" i="17" a="1"/>
  <c r="J27" i="19" a="1"/>
  <c r="X69" i="17" a="1"/>
  <c r="F20" i="19" a="1"/>
  <c r="AA10" i="46" a="1"/>
  <c r="F12" i="16" a="1"/>
  <c r="E114" i="19" a="1"/>
  <c r="F91" i="16" a="1"/>
  <c r="F80" i="20" a="1"/>
  <c r="G52" i="17" a="1"/>
  <c r="J43" i="48" a="1"/>
  <c r="F49" i="20" a="1"/>
  <c r="V118" i="20" a="1"/>
  <c r="D11" i="19" a="1"/>
  <c r="F94" i="16" a="1"/>
  <c r="D29" i="20" a="1"/>
  <c r="W41" i="17" a="1"/>
  <c r="T28" i="21" a="1"/>
  <c r="F17" i="21" a="1"/>
  <c r="Z14" i="48" a="1"/>
  <c r="H97" i="17" a="1"/>
  <c r="F35" i="15" a="1"/>
  <c r="H16" i="19" a="1"/>
  <c r="J95" i="16" a="1"/>
  <c r="BK72" i="46" a="1"/>
  <c r="BI105" i="46" a="1"/>
  <c r="E128" i="19" a="1"/>
  <c r="E123" i="19" a="1"/>
  <c r="I38" i="21" a="1"/>
  <c r="I42" i="21" a="1"/>
  <c r="BH142" i="46" a="1"/>
  <c r="G63" i="17" a="1"/>
  <c r="D108" i="19" a="1"/>
  <c r="G13" i="19" a="1"/>
  <c r="BI138" i="46" a="1"/>
  <c r="G105" i="17" a="1"/>
  <c r="BK100" i="46" a="1"/>
  <c r="S17" i="21" a="1"/>
  <c r="G25" i="44" a="1"/>
  <c r="BG106" i="46" a="1"/>
  <c r="I121" i="19" a="1"/>
  <c r="K89" i="46" a="1"/>
  <c r="T93" i="20" a="1"/>
  <c r="H138" i="19" a="1"/>
  <c r="I50" i="17" a="1"/>
  <c r="AC47" i="46" a="1"/>
  <c r="J56" i="46" a="1"/>
  <c r="AB12" i="46" a="1"/>
  <c r="E29" i="20" a="1"/>
  <c r="H144" i="19" a="1"/>
  <c r="W44" i="21" a="1"/>
  <c r="F37" i="19" a="1"/>
  <c r="G22" i="46" a="1"/>
  <c r="AD30" i="26" a="1"/>
  <c r="E47" i="16" a="1"/>
  <c r="I45" i="21" a="1"/>
  <c r="L9" i="48" a="1"/>
  <c r="BK27" i="46" a="1"/>
  <c r="Y69" i="17" a="1"/>
  <c r="E20" i="19" a="1"/>
  <c r="BJ20" i="46" a="1"/>
  <c r="BJ127" i="46" a="1"/>
  <c r="E10" i="17" a="1"/>
  <c r="G89" i="16" a="1"/>
  <c r="T46" i="19" a="1"/>
  <c r="W17" i="17" a="1"/>
  <c r="U71" i="20" a="1"/>
  <c r="G48" i="17" a="1"/>
  <c r="Z37" i="26" a="1"/>
  <c r="S77" i="17" a="1"/>
  <c r="Z12" i="15" a="1"/>
  <c r="G52" i="21" a="1"/>
  <c r="J16" i="46" a="1"/>
  <c r="T9" i="50" a="1"/>
  <c r="G79" i="17" a="1"/>
  <c r="AB45" i="16" a="1"/>
  <c r="S22" i="21" a="1"/>
  <c r="D88" i="20" a="1"/>
  <c r="H136" i="19" a="1"/>
  <c r="E63" i="26" a="1"/>
  <c r="W18" i="15" a="1"/>
  <c r="S8" i="21" a="1"/>
  <c r="I25" i="17" a="1"/>
  <c r="S50" i="19" a="1"/>
  <c r="AB107" i="16" a="1"/>
  <c r="F65" i="46" a="1"/>
  <c r="G70" i="20" a="1"/>
  <c r="G23" i="26" a="1"/>
  <c r="Z145" i="46" a="1"/>
  <c r="F115" i="46" a="1"/>
  <c r="E76" i="15" a="1"/>
  <c r="F67" i="17" a="1"/>
  <c r="Y88" i="46" a="1"/>
  <c r="F39" i="21" a="1"/>
  <c r="F26" i="44" a="1"/>
  <c r="H47" i="19" a="1"/>
  <c r="S51" i="15" a="1"/>
  <c r="G8" i="50" a="1"/>
  <c r="F52" i="19" a="1"/>
  <c r="F55" i="20" a="1"/>
  <c r="H55" i="26" a="1"/>
  <c r="AB69" i="46" a="1"/>
  <c r="H36" i="19" a="1"/>
  <c r="Z109" i="46" a="1"/>
  <c r="I53" i="46" a="1"/>
  <c r="U58" i="20" a="1"/>
  <c r="V91" i="15" a="1"/>
  <c r="S128" i="19" a="1"/>
  <c r="G8" i="19" a="1"/>
  <c r="S71" i="26" a="1"/>
  <c r="R81" i="16" a="1"/>
  <c r="X112" i="46" a="1"/>
  <c r="R13" i="17" a="1"/>
  <c r="AA87" i="15" a="1"/>
  <c r="E52" i="20" a="1"/>
  <c r="BK113" i="46" a="1"/>
  <c r="E29" i="21" a="1"/>
  <c r="J83" i="17" a="1"/>
  <c r="R11" i="20" a="1"/>
  <c r="AA97" i="15" a="1"/>
  <c r="R71" i="15" a="1"/>
  <c r="G96" i="15" a="1"/>
  <c r="W27" i="21" a="1"/>
  <c r="BG91" i="46" a="1"/>
  <c r="G18" i="46" a="1"/>
  <c r="H21" i="19" a="1"/>
  <c r="F42" i="21" a="1"/>
  <c r="X89" i="46" a="1"/>
  <c r="AC114" i="46" a="1"/>
  <c r="AA37" i="16" a="1"/>
  <c r="S34" i="17" a="1"/>
  <c r="S16" i="21" a="1"/>
  <c r="H45" i="21" a="1"/>
  <c r="T43" i="19" a="1"/>
  <c r="U46" i="20" a="1"/>
  <c r="R125" i="19" a="1"/>
  <c r="D12" i="15" a="1"/>
  <c r="F46" i="17" a="1"/>
  <c r="F21" i="16" a="1"/>
  <c r="H51" i="21" a="1"/>
  <c r="U61" i="46" a="1"/>
  <c r="Y60" i="46" a="1"/>
  <c r="Y12" i="17" a="1"/>
  <c r="Y106" i="17" a="1"/>
  <c r="E24" i="17" a="1"/>
  <c r="F54" i="26" a="1"/>
  <c r="AB46" i="26" a="1"/>
  <c r="R77" i="16" a="1"/>
  <c r="J42" i="46" a="1"/>
  <c r="K10" i="48" a="1"/>
  <c r="H52" i="21" a="1"/>
  <c r="U57" i="20" a="1"/>
  <c r="T42" i="46" a="1"/>
  <c r="Z103" i="46" a="1"/>
  <c r="G12" i="21" a="1"/>
  <c r="H37" i="26" a="1"/>
  <c r="V23" i="50" a="1"/>
  <c r="D13" i="21" a="1"/>
  <c r="BJ90" i="46" a="1"/>
  <c r="R28" i="17" a="1"/>
  <c r="BI25" i="46" a="1"/>
  <c r="T26" i="19" a="1"/>
  <c r="K53" i="15" a="1"/>
  <c r="I129" i="46" a="1"/>
  <c r="K15" i="44" a="1"/>
  <c r="W56" i="17" a="1"/>
  <c r="E58" i="20" a="1"/>
  <c r="T121" i="19" a="1"/>
  <c r="S29" i="50" a="1"/>
  <c r="E31" i="20" a="1"/>
  <c r="E31" i="17" a="1"/>
  <c r="J24" i="46" a="1"/>
  <c r="G6" i="15" a="1"/>
  <c r="W52" i="15" a="1"/>
  <c r="F23" i="20" a="1"/>
  <c r="AC37" i="26" a="1"/>
  <c r="J38" i="16" a="1"/>
  <c r="E40" i="48" a="1"/>
  <c r="T43" i="48" a="1"/>
  <c r="K45" i="17" a="1"/>
  <c r="J33" i="19" a="1"/>
  <c r="F14" i="21" a="1"/>
  <c r="AA22" i="16" a="1"/>
  <c r="D43" i="16" a="1"/>
  <c r="U56" i="19" a="1"/>
  <c r="Y28" i="48" a="1"/>
  <c r="T26" i="17" a="1"/>
  <c r="G36" i="19" a="1"/>
  <c r="R55" i="17" a="1"/>
  <c r="K93" i="46" a="1"/>
  <c r="V86" i="20" a="1"/>
  <c r="T76" i="46" a="1"/>
  <c r="D80" i="17" a="1"/>
  <c r="W39" i="46" a="1"/>
  <c r="Y11" i="46" a="1"/>
  <c r="U77" i="46" a="1"/>
  <c r="AC111" i="46" a="1"/>
  <c r="BK138" i="46" a="1"/>
  <c r="U52" i="19" a="1"/>
  <c r="D91" i="17" a="1"/>
  <c r="Y6" i="46" a="1"/>
  <c r="X63" i="15" a="1"/>
  <c r="H19" i="50" a="1"/>
  <c r="E85" i="20" a="1"/>
  <c r="E89" i="20" a="1"/>
  <c r="BK32" i="46" a="1"/>
  <c r="K106" i="46" a="1"/>
  <c r="E51" i="17" a="1"/>
  <c r="J37" i="19" a="1"/>
  <c r="D87" i="20" a="1"/>
  <c r="Z97" i="15" a="1"/>
  <c r="R21" i="26" a="1"/>
  <c r="G46" i="19" a="1"/>
  <c r="R36" i="19" a="1"/>
  <c r="Z25" i="46" a="1"/>
  <c r="J63" i="17" a="1"/>
  <c r="J123" i="46" a="1"/>
  <c r="AC100" i="46" a="1"/>
  <c r="E9" i="50" a="1"/>
  <c r="AD42" i="26" a="1"/>
  <c r="V64" i="46" a="1"/>
  <c r="W37" i="46" a="1"/>
  <c r="I65" i="17" a="1"/>
  <c r="T64" i="15" a="1"/>
  <c r="W48" i="46" a="1"/>
  <c r="E90" i="15" a="1"/>
  <c r="E15" i="17" a="1"/>
  <c r="D10" i="19" a="1"/>
  <c r="F31" i="48" a="1"/>
  <c r="F129" i="46" a="1"/>
  <c r="V35" i="20" a="1"/>
  <c r="T53" i="46" a="1"/>
  <c r="T28" i="17" a="1"/>
  <c r="X54" i="17" a="1"/>
  <c r="R48" i="17" a="1"/>
  <c r="G76" i="17" a="1"/>
  <c r="R26" i="17" a="1"/>
  <c r="F88" i="46" a="1"/>
  <c r="AC36" i="46" a="1"/>
  <c r="H116" i="19" a="1"/>
  <c r="H110" i="17" a="1"/>
  <c r="BI91" i="46" a="1"/>
  <c r="G111" i="46" a="1"/>
  <c r="V57" i="19" a="1"/>
  <c r="D78" i="26" a="1"/>
  <c r="Z7" i="16" a="1"/>
  <c r="H30" i="50" a="1"/>
  <c r="F53" i="15" a="1"/>
  <c r="F66" i="16" a="1"/>
  <c r="V88" i="15" a="1"/>
  <c r="F41" i="21" a="1"/>
  <c r="X66" i="16" a="1"/>
  <c r="I27" i="17" a="1"/>
  <c r="G71" i="15" a="1"/>
  <c r="E26" i="21" a="1"/>
  <c r="BK109" i="46" a="1"/>
  <c r="F40" i="48" a="1"/>
  <c r="I40" i="17" a="1"/>
  <c r="F85" i="20" a="1"/>
  <c r="BK135" i="46" a="1"/>
  <c r="L23" i="46" a="1"/>
  <c r="H139" i="46" a="1"/>
  <c r="J29" i="17" a="1"/>
  <c r="K99" i="17" a="1"/>
  <c r="K75" i="17" a="1"/>
  <c r="T51" i="19" a="1"/>
  <c r="G36" i="16" a="1"/>
  <c r="F12" i="17" a="1"/>
  <c r="I55" i="17" a="1"/>
  <c r="G29" i="48" a="1"/>
  <c r="R39" i="21" a="1"/>
  <c r="J19" i="50" a="1"/>
  <c r="D72" i="15" a="1"/>
  <c r="I24" i="48" a="1"/>
  <c r="G44" i="19" a="1"/>
  <c r="BH106" i="46" a="1"/>
  <c r="AB65" i="16" a="1"/>
  <c r="BK73" i="46" a="1"/>
  <c r="E51" i="20" a="1"/>
  <c r="I102" i="46" a="1"/>
  <c r="E17" i="16" a="1"/>
  <c r="S34" i="19" a="1"/>
  <c r="I48" i="20" a="1"/>
  <c r="K29" i="44" a="1"/>
  <c r="E45" i="48" a="1"/>
  <c r="BJ64" i="46" a="1"/>
  <c r="D26" i="21" a="1"/>
  <c r="J24" i="26" a="1"/>
  <c r="E20" i="20" a="1"/>
  <c r="V51" i="20" a="1"/>
  <c r="Y45" i="15" a="1"/>
  <c r="Y49" i="17" a="1"/>
  <c r="G14" i="20" a="1"/>
  <c r="R50" i="21" a="1"/>
  <c r="J46" i="48" a="1"/>
  <c r="E16" i="48" a="1"/>
  <c r="W46" i="26" a="1"/>
  <c r="S42" i="21" a="1"/>
  <c r="U19" i="44" a="1"/>
  <c r="T50" i="46" a="1"/>
  <c r="AA12" i="46" a="1"/>
  <c r="H65" i="15" a="1"/>
  <c r="U36" i="21" a="1"/>
  <c r="K102" i="46" a="1"/>
  <c r="K87" i="17" a="1"/>
  <c r="Y38" i="46" a="1"/>
  <c r="AC106" i="46" a="1"/>
  <c r="W57" i="46" a="1"/>
  <c r="U27" i="19" a="1"/>
  <c r="U95" i="20" a="1"/>
  <c r="F27" i="46" a="1"/>
  <c r="I99" i="17" a="1"/>
  <c r="BJ73" i="46" a="1"/>
  <c r="S45" i="20" a="1"/>
  <c r="V21" i="20" a="1"/>
  <c r="BH39" i="46" a="1"/>
  <c r="I31" i="46" a="1"/>
  <c r="G63" i="15" a="1"/>
  <c r="D82" i="17" a="1"/>
  <c r="X94" i="46" a="1"/>
  <c r="T48" i="20" a="1"/>
  <c r="BJ41" i="46" a="1"/>
  <c r="BG143" i="46" a="1"/>
  <c r="K114" i="17" a="1"/>
  <c r="Z13" i="16" a="1"/>
  <c r="T57" i="16" a="1"/>
  <c r="V25" i="20" a="1"/>
  <c r="E17" i="20" a="1"/>
  <c r="R39" i="19" a="1"/>
  <c r="D106" i="20" a="1"/>
  <c r="U22" i="48" a="1"/>
  <c r="X84" i="15" a="1"/>
  <c r="S24" i="26" a="1"/>
  <c r="H94" i="15" a="1"/>
  <c r="E77" i="20" a="1"/>
  <c r="BG140" i="46" a="1"/>
  <c r="R109" i="19" a="1"/>
  <c r="R109" i="17" a="1"/>
  <c r="V85" i="20" a="1"/>
  <c r="E24" i="15" a="1"/>
  <c r="U38" i="26" a="1"/>
  <c r="T59" i="15" a="1"/>
  <c r="K45" i="48" a="1"/>
  <c r="D37" i="19" a="1"/>
  <c r="W79" i="16" a="1"/>
  <c r="H120" i="46" a="1"/>
  <c r="R32" i="17" a="1"/>
  <c r="R121" i="19" a="1"/>
  <c r="BG41" i="46" a="1"/>
  <c r="G130" i="19" a="1"/>
  <c r="H105" i="16" a="1"/>
  <c r="W86" i="15" a="1"/>
  <c r="Y69" i="46" a="1"/>
  <c r="T36" i="19" a="1"/>
  <c r="F62" i="20" a="1"/>
  <c r="E97" i="20" a="1"/>
  <c r="V27" i="19" a="1"/>
  <c r="U76" i="46" a="1"/>
  <c r="F37" i="20" a="1"/>
  <c r="H17" i="50" a="1"/>
  <c r="Z92" i="46" a="1"/>
  <c r="F83" i="17" a="1"/>
  <c r="F15" i="48" a="1"/>
  <c r="V77" i="46" a="1"/>
  <c r="BJ45" i="46" a="1"/>
  <c r="V64" i="20" a="1"/>
  <c r="BI86" i="46" a="1"/>
  <c r="BI27" i="46" a="1"/>
  <c r="D78" i="20" a="1"/>
  <c r="BH44" i="46" a="1"/>
  <c r="F61" i="20" a="1"/>
  <c r="S79" i="16" a="1"/>
  <c r="F108" i="20" a="1"/>
  <c r="J27" i="44" a="1"/>
  <c r="I25" i="21" a="1"/>
  <c r="E38" i="26" a="1"/>
  <c r="R7" i="44" a="1"/>
  <c r="V43" i="46" a="1"/>
  <c r="V60" i="20" a="1"/>
  <c r="E85" i="16" a="1"/>
  <c r="G55" i="19" a="1"/>
  <c r="H38" i="46" a="1"/>
  <c r="H43" i="46" a="1"/>
  <c r="J9" i="26" a="1"/>
  <c r="H77" i="26" a="1"/>
  <c r="T81" i="15" a="1"/>
  <c r="X56" i="16" a="1"/>
  <c r="K101" i="17" a="1"/>
  <c r="H25" i="46" a="1"/>
  <c r="G44" i="21" a="1"/>
  <c r="Y72" i="46" a="1"/>
  <c r="G65" i="16" a="1"/>
  <c r="G7" i="44" a="1"/>
  <c r="W61" i="46" a="1"/>
  <c r="AA27" i="15" a="1"/>
  <c r="H44" i="20" a="1"/>
  <c r="G131" i="19" a="1"/>
  <c r="Z43" i="26" a="1"/>
  <c r="S28" i="20" a="1"/>
  <c r="K24" i="17" a="1"/>
  <c r="S15" i="44" a="1"/>
  <c r="J40" i="48" a="1"/>
  <c r="J58" i="19" a="1"/>
  <c r="S36" i="21" a="1"/>
  <c r="F8" i="26" a="1"/>
  <c r="R107" i="17" a="1"/>
  <c r="F106" i="16" a="1"/>
  <c r="T78" i="15" a="1"/>
  <c r="G10" i="21" a="1"/>
  <c r="W20" i="48" a="1"/>
  <c r="I31" i="17" a="1"/>
  <c r="D109" i="20" a="1"/>
  <c r="D19" i="26" a="1"/>
  <c r="R28" i="21" a="1"/>
  <c r="J43" i="26" a="1"/>
  <c r="V129" i="19" a="1"/>
  <c r="J120" i="46" a="1"/>
  <c r="G73" i="20" a="1"/>
  <c r="G83" i="20" a="1"/>
  <c r="H36" i="17" a="1"/>
  <c r="G142" i="19" a="1"/>
  <c r="S55" i="20" a="1"/>
  <c r="S79" i="17" a="1"/>
  <c r="BK45" i="46" a="1"/>
  <c r="H16" i="46" a="1"/>
  <c r="D81" i="16" a="1"/>
  <c r="L40" i="46" a="1"/>
  <c r="H107" i="16" a="1"/>
  <c r="Y82" i="17" a="1"/>
  <c r="F124" i="46" a="1"/>
  <c r="K118" i="46" a="1"/>
  <c r="F82" i="46" a="1"/>
  <c r="E46" i="19" a="1"/>
  <c r="W26" i="21" a="1"/>
  <c r="I94" i="15" a="1"/>
  <c r="T73" i="46" a="1"/>
  <c r="E54" i="26" a="1"/>
  <c r="BK115" i="46" a="1"/>
  <c r="AB66" i="46" a="1"/>
  <c r="J42" i="48" a="1"/>
  <c r="K106" i="17" a="1"/>
  <c r="F40" i="15" a="1"/>
  <c r="W93" i="17" a="1"/>
  <c r="H81" i="16" a="1"/>
  <c r="U15" i="21" a="1"/>
  <c r="Y75" i="15" a="1"/>
  <c r="S94" i="17" a="1"/>
  <c r="K28" i="17" a="1"/>
  <c r="S54" i="17" a="1"/>
  <c r="Y127" i="46" a="1"/>
  <c r="E7" i="50" a="1"/>
  <c r="BJ55" i="46" a="1"/>
  <c r="T41" i="21" a="1"/>
  <c r="R41" i="17" a="1"/>
  <c r="R65" i="20" a="1"/>
  <c r="F27" i="16" a="1"/>
  <c r="J36" i="16" a="1"/>
  <c r="U81" i="20" a="1"/>
  <c r="V93" i="20" a="1"/>
  <c r="V70" i="20" a="1"/>
  <c r="G88" i="16" a="1"/>
  <c r="Z26" i="46" a="1"/>
  <c r="J60" i="46" a="1"/>
  <c r="I146" i="46" a="1"/>
  <c r="R67" i="15" a="1"/>
  <c r="T12" i="19" a="1"/>
  <c r="E14" i="20" a="1"/>
  <c r="V47" i="19" a="1"/>
  <c r="G56" i="17" a="1"/>
  <c r="G110" i="17" a="1"/>
  <c r="H38" i="26" a="1"/>
  <c r="Z77" i="46" a="1"/>
  <c r="E22" i="50" a="1"/>
  <c r="R38" i="17" a="1"/>
  <c r="L30" i="46" a="1"/>
  <c r="W96" i="17" a="1"/>
  <c r="AB85" i="15" a="1"/>
  <c r="I94" i="16" a="1"/>
  <c r="X14" i="46" a="1"/>
  <c r="V59" i="15" a="1"/>
  <c r="D16" i="20" a="1"/>
  <c r="Y50" i="46" a="1"/>
  <c r="BI101" i="46" a="1"/>
  <c r="I22" i="19" a="1"/>
  <c r="S45" i="17" a="1"/>
  <c r="I89" i="17" a="1"/>
  <c r="I43" i="16" a="1"/>
  <c r="D50" i="17" a="1"/>
  <c r="H75" i="16" a="1"/>
  <c r="E67" i="15" a="1"/>
  <c r="U25" i="48" a="1"/>
  <c r="Y50" i="15" a="1"/>
  <c r="G60" i="20" a="1"/>
  <c r="H93" i="15" a="1"/>
  <c r="J121" i="19" a="1"/>
  <c r="G143" i="19" a="1"/>
  <c r="BG29" i="46" a="1"/>
  <c r="J16" i="50" a="1"/>
  <c r="S54" i="26" a="1"/>
  <c r="U44" i="26" a="1"/>
  <c r="J108" i="46" a="1"/>
  <c r="E14" i="15" a="1"/>
  <c r="T44" i="15" a="1"/>
  <c r="AD40" i="26" a="1"/>
  <c r="G8" i="44" a="1"/>
  <c r="E110" i="19" a="1"/>
  <c r="S99" i="20" a="1"/>
  <c r="T22" i="48" a="1"/>
  <c r="T86" i="15" a="1"/>
  <c r="E107" i="17" a="1"/>
  <c r="AB73" i="15" a="1"/>
  <c r="G114" i="19" a="1"/>
  <c r="T16" i="20" a="1"/>
  <c r="X22" i="46" a="1"/>
  <c r="F81" i="20" a="1"/>
  <c r="BG21" i="46" a="1"/>
  <c r="I9" i="50" a="1"/>
  <c r="V32" i="50" a="1"/>
  <c r="X32" i="26" a="1"/>
  <c r="BG26" i="46" a="1"/>
  <c r="R17" i="17" a="1"/>
  <c r="AA21" i="16" a="1"/>
  <c r="X43" i="17" a="1"/>
  <c r="S47" i="48" a="1"/>
  <c r="J65" i="16" a="1"/>
  <c r="V45" i="46" a="1"/>
  <c r="F13" i="17" a="1"/>
  <c r="BH43" i="46" a="1"/>
  <c r="AB66" i="15" a="1"/>
  <c r="T81" i="20" a="1"/>
  <c r="AB11" i="15" a="1"/>
  <c r="H68" i="46" a="1"/>
  <c r="J15" i="46" a="1"/>
  <c r="V37" i="26" a="1"/>
  <c r="F18" i="46" a="1"/>
  <c r="F39" i="46" a="1"/>
  <c r="Y126" i="46" a="1"/>
  <c r="D38" i="20" a="1"/>
  <c r="AC110" i="46" a="1"/>
  <c r="T111" i="19" a="1"/>
  <c r="R11" i="21" a="1"/>
  <c r="H17" i="20" a="1"/>
  <c r="X116" i="17" a="1"/>
  <c r="Y9" i="48" a="1"/>
  <c r="D112" i="17" a="1"/>
  <c r="S123" i="19" a="1"/>
  <c r="S66" i="16" a="1"/>
  <c r="F77" i="46" a="1"/>
  <c r="S114" i="20" a="1"/>
  <c r="V118" i="19" a="1"/>
  <c r="G49" i="15" a="1"/>
  <c r="D48" i="17" a="1"/>
  <c r="E94" i="15" a="1"/>
  <c r="F17" i="50" a="1"/>
  <c r="W83" i="46" a="1"/>
  <c r="K109" i="17" a="1"/>
  <c r="D61" i="20" a="1"/>
  <c r="J105" i="46" a="1"/>
  <c r="S99" i="17" a="1"/>
  <c r="J41" i="17" a="1"/>
  <c r="V77" i="15" a="1"/>
  <c r="W10" i="46" a="1"/>
  <c r="S118" i="20" a="1"/>
  <c r="K34" i="17" a="1"/>
  <c r="F52" i="20" a="1"/>
  <c r="U55" i="20" a="1"/>
  <c r="BK67" i="46" a="1"/>
  <c r="G123" i="46" a="1"/>
  <c r="AB8" i="46" a="1"/>
  <c r="T10" i="19" a="1"/>
  <c r="K78" i="46" a="1"/>
  <c r="H69" i="20" a="1"/>
  <c r="X61" i="15" a="1"/>
  <c r="T62" i="16" a="1"/>
  <c r="R109" i="20" a="1"/>
  <c r="R31" i="26" a="1"/>
  <c r="H24" i="44" a="1"/>
  <c r="D54" i="19" a="1"/>
  <c r="G13" i="50" a="1"/>
  <c r="T28" i="50" a="1"/>
  <c r="BK59" i="46" a="1"/>
  <c r="E82" i="15" a="1"/>
  <c r="BH30" i="46" a="1"/>
  <c r="I43" i="48" a="1"/>
  <c r="F35" i="21" a="1"/>
  <c r="T88" i="17" a="1"/>
  <c r="D90" i="20" a="1"/>
  <c r="I37" i="48" a="1"/>
  <c r="H81" i="26" a="1"/>
  <c r="Z19" i="44" a="1"/>
  <c r="X113" i="17" a="1"/>
  <c r="G100" i="16" a="1"/>
  <c r="J37" i="21" a="1"/>
  <c r="AA20" i="16" a="1"/>
  <c r="F58" i="46" a="1"/>
  <c r="G23" i="44" a="1"/>
  <c r="Z43" i="46" a="1"/>
  <c r="T98" i="17" a="1"/>
  <c r="F43" i="48" a="1"/>
  <c r="H67" i="46" a="1"/>
  <c r="Z15" i="44" a="1"/>
  <c r="E25" i="19" a="1"/>
  <c r="G10" i="46" a="1"/>
  <c r="BI125" i="46" a="1"/>
  <c r="X91" i="17" a="1"/>
  <c r="V62" i="15" a="1"/>
  <c r="R40" i="20" a="1"/>
  <c r="F131" i="46" a="1"/>
  <c r="F30" i="17" a="1"/>
  <c r="H76" i="20" a="1"/>
  <c r="F50" i="17" a="1"/>
  <c r="W15" i="21" a="1"/>
  <c r="D59" i="26" a="1"/>
  <c r="W45" i="21" a="1"/>
  <c r="H65" i="17" a="1"/>
  <c r="S17" i="48" a="1"/>
  <c r="BK93" i="46" a="1"/>
  <c r="V13" i="50" a="1"/>
  <c r="BG20" i="46" a="1"/>
  <c r="H92" i="17" a="1"/>
  <c r="F7" i="46" a="1"/>
  <c r="G70" i="15" a="1"/>
  <c r="X64" i="46" a="1"/>
  <c r="I54" i="46" a="1"/>
  <c r="F24" i="21" a="1"/>
  <c r="E90" i="20" a="1"/>
  <c r="W16" i="44" a="1"/>
  <c r="X52" i="17" a="1"/>
  <c r="I24" i="19" a="1"/>
  <c r="AA24" i="16" a="1"/>
  <c r="S39" i="19" a="1"/>
  <c r="D115" i="20" a="1"/>
  <c r="E104" i="20" a="1"/>
  <c r="W56" i="46" a="1"/>
  <c r="V72" i="46" a="1"/>
  <c r="T24" i="44" a="1"/>
  <c r="V63" i="20" a="1"/>
  <c r="AA70" i="16" a="1"/>
  <c r="W58" i="16" a="1"/>
  <c r="F111" i="17" a="1"/>
  <c r="T18" i="48" a="1"/>
  <c r="F11" i="21" a="1"/>
  <c r="Y56" i="46" a="1"/>
  <c r="G54" i="46" a="1"/>
  <c r="H108" i="19" a="1"/>
  <c r="BJ39" i="46" a="1"/>
  <c r="V16" i="44" a="1"/>
  <c r="H8" i="21" a="1"/>
  <c r="V8" i="20" a="1"/>
  <c r="E27" i="44" a="1"/>
  <c r="U47" i="19" a="1"/>
  <c r="U54" i="46" a="1"/>
  <c r="W41" i="50" a="1"/>
  <c r="R58" i="20" a="1"/>
  <c r="H42" i="19" a="1"/>
  <c r="I33" i="46" a="1"/>
  <c r="E50" i="15" a="1"/>
  <c r="S65" i="15" a="1"/>
  <c r="K61" i="46" a="1"/>
  <c r="U16" i="50" a="1"/>
  <c r="Y43" i="17" a="1"/>
  <c r="D18" i="19" a="1"/>
  <c r="F83" i="15" a="1"/>
  <c r="D76" i="16" a="1"/>
  <c r="Z30" i="46" a="1"/>
  <c r="S30" i="17" a="1"/>
  <c r="D7" i="21" a="1"/>
  <c r="S108" i="17" a="1"/>
  <c r="F17" i="16" a="1"/>
  <c r="U55" i="19" a="1"/>
  <c r="Z7" i="44" a="1"/>
  <c r="F91" i="17" a="1"/>
  <c r="U27" i="50" a="1"/>
  <c r="V19" i="21" a="1"/>
  <c r="I7" i="19" a="1"/>
  <c r="BG66" i="46" a="1"/>
  <c r="E93" i="16" a="1"/>
  <c r="E59" i="17" a="1"/>
  <c r="T33" i="16" a="1"/>
  <c r="W101" i="16" a="1"/>
  <c r="D84" i="20" a="1"/>
  <c r="K94" i="15" a="1"/>
  <c r="Z26" i="15" a="1"/>
  <c r="E109" i="19" a="1"/>
  <c r="BJ104" i="46" a="1"/>
  <c r="Z126" i="46" a="1"/>
  <c r="BJ117" i="46" a="1"/>
  <c r="D90" i="16" a="1"/>
  <c r="V10" i="19" a="1"/>
  <c r="G107" i="46" a="1"/>
  <c r="K46" i="17" a="1"/>
  <c r="Y21" i="48" a="1"/>
  <c r="V15" i="19" a="1"/>
  <c r="E88" i="20" a="1"/>
  <c r="BG135" i="46" a="1"/>
  <c r="D28" i="20" a="1"/>
  <c r="S113" i="17" a="1"/>
  <c r="I13" i="50" a="1"/>
  <c r="D116" i="20" a="1"/>
  <c r="E46" i="48" a="1"/>
  <c r="J42" i="16" a="1"/>
  <c r="AE41" i="26" a="1"/>
  <c r="Y77" i="16" a="1"/>
  <c r="S27" i="50" a="1"/>
  <c r="V115" i="19" a="1"/>
  <c r="J57" i="46" a="1"/>
  <c r="T105" i="20" a="1"/>
  <c r="Y34" i="17" a="1"/>
  <c r="I141" i="46" a="1"/>
  <c r="S112" i="17" a="1"/>
  <c r="G117" i="46" a="1"/>
  <c r="F110" i="19" a="1"/>
  <c r="X76" i="16" a="1"/>
  <c r="W7" i="46" a="1"/>
  <c r="G78" i="16" a="1"/>
  <c r="AB67" i="46" a="1"/>
  <c r="X7" i="17" a="1"/>
  <c r="G92" i="46" a="1"/>
  <c r="F39" i="16" a="1"/>
  <c r="E106" i="20" a="1"/>
  <c r="W38" i="17" a="1"/>
  <c r="J71" i="16" a="1"/>
  <c r="G24" i="19" a="1"/>
  <c r="U39" i="20" a="1"/>
  <c r="R36" i="20" a="1"/>
  <c r="T10" i="17" a="1"/>
  <c r="F25" i="15" a="1"/>
  <c r="I132" i="19" a="1"/>
  <c r="J121" i="46" a="1"/>
  <c r="J29" i="46" a="1"/>
  <c r="U108" i="20" a="1"/>
  <c r="K7" i="48" a="1"/>
  <c r="H75" i="17" a="1"/>
  <c r="J87" i="17" a="1"/>
  <c r="T94" i="17" a="1"/>
  <c r="I107" i="17" a="1"/>
  <c r="Y83" i="17" a="1"/>
  <c r="F80" i="15" a="1"/>
  <c r="H82" i="26" a="1"/>
  <c r="BH89" i="46" a="1"/>
  <c r="AA78" i="46" a="1"/>
  <c r="E16" i="44" a="1"/>
  <c r="AB48" i="15" a="1"/>
  <c r="Z36" i="46" a="1"/>
  <c r="BI78" i="46" a="1"/>
  <c r="R103" i="17" a="1"/>
  <c r="G73" i="15" a="1"/>
  <c r="X76" i="17" a="1"/>
  <c r="BH112" i="46" a="1"/>
  <c r="E77" i="26" a="1"/>
  <c r="G8" i="26" a="1"/>
  <c r="H67" i="17" a="1"/>
  <c r="W59" i="15" a="1"/>
  <c r="T64" i="20" a="1"/>
  <c r="K126" i="46" a="1"/>
  <c r="D62" i="26" a="1"/>
  <c r="J22" i="21" a="1"/>
  <c r="AB64" i="16" a="1"/>
  <c r="S26" i="17" a="1"/>
  <c r="V9" i="50" a="1"/>
  <c r="F56" i="15" a="1"/>
  <c r="G56" i="26" a="1"/>
  <c r="T113" i="17" a="1"/>
  <c r="I42" i="16" a="1"/>
  <c r="W108" i="46" a="1"/>
  <c r="H78" i="15" a="1"/>
  <c r="H117" i="19" a="1"/>
  <c r="BJ81" i="46" a="1"/>
  <c r="S18" i="48" a="1"/>
  <c r="AC122" i="46" a="1"/>
  <c r="R61" i="16" a="1"/>
  <c r="W91" i="16" a="1"/>
  <c r="W23" i="15" a="1"/>
  <c r="X68" i="46" a="1"/>
  <c r="G106" i="46" a="1"/>
  <c r="T88" i="15" a="1"/>
  <c r="F86" i="17" a="1"/>
  <c r="F66" i="20" a="1"/>
  <c r="I9" i="48" a="1"/>
  <c r="S69" i="17" a="1"/>
  <c r="J72" i="16" a="1"/>
  <c r="S36" i="48" a="1"/>
  <c r="H110" i="19" a="1"/>
  <c r="G67" i="15" a="1"/>
  <c r="K27" i="46" a="1"/>
  <c r="X52" i="16" a="1"/>
  <c r="R48" i="21" a="1"/>
  <c r="W44" i="15" a="1"/>
  <c r="F32" i="15" a="1"/>
  <c r="E46" i="20" a="1"/>
  <c r="X79" i="17" a="1"/>
  <c r="F23" i="50" a="1"/>
  <c r="J20" i="19" a="1"/>
  <c r="AA58" i="16" a="1"/>
  <c r="I33" i="26" a="1"/>
  <c r="AB46" i="16" a="1"/>
  <c r="U63" i="46" a="1"/>
  <c r="R54" i="17" a="1"/>
  <c r="D12" i="17" a="1"/>
  <c r="V106" i="20" a="1"/>
  <c r="X16" i="44" a="1"/>
  <c r="W33" i="15" a="1"/>
  <c r="D56" i="17" a="1"/>
  <c r="W38" i="16" a="1"/>
  <c r="F109" i="17" a="1"/>
  <c r="T15" i="20" a="1"/>
  <c r="G12" i="50" a="1"/>
  <c r="D12" i="16" a="1"/>
  <c r="T54" i="19" a="1"/>
  <c r="BJ42" i="46" a="1"/>
  <c r="BH91" i="46" a="1"/>
  <c r="V49" i="21" a="1"/>
  <c r="J112" i="19" a="1"/>
  <c r="J67" i="17" a="1"/>
  <c r="V8" i="21" a="1"/>
  <c r="Y82" i="46" a="1"/>
  <c r="K110" i="46" a="1"/>
  <c r="Y80" i="46" a="1"/>
  <c r="H18" i="20" a="1"/>
  <c r="Y64" i="16" a="1"/>
  <c r="AA38" i="26" a="1"/>
  <c r="L18" i="46" a="1"/>
  <c r="F10" i="21" a="1"/>
  <c r="D34" i="19" a="1"/>
  <c r="Y79" i="17" a="1"/>
  <c r="G90" i="46" a="1"/>
  <c r="BH51" i="46" a="1"/>
  <c r="F81" i="15" a="1"/>
  <c r="H57" i="17" a="1"/>
  <c r="E59" i="19" a="1"/>
  <c r="F91" i="15" a="1"/>
  <c r="K59" i="15" a="1"/>
  <c r="Y37" i="26" a="1"/>
  <c r="R56" i="15" a="1"/>
  <c r="D45" i="16" a="1"/>
  <c r="E94" i="17" a="1"/>
  <c r="D11" i="16" a="1"/>
  <c r="T102" i="17" a="1"/>
  <c r="F122" i="19" a="1"/>
  <c r="D31" i="15" a="1"/>
  <c r="F61" i="16" a="1"/>
  <c r="E78" i="26" a="1"/>
  <c r="W38" i="21" a="1"/>
  <c r="BJ98" i="46" a="1"/>
  <c r="BG65" i="46" a="1"/>
  <c r="F68" i="17" a="1"/>
  <c r="BJ16" i="46" a="1"/>
  <c r="H24" i="20" a="1"/>
  <c r="K51" i="15" a="1"/>
  <c r="D29" i="17" a="1"/>
  <c r="J73" i="46" a="1"/>
  <c r="J34" i="17" a="1"/>
  <c r="Z16" i="46" a="1"/>
  <c r="BI64" i="46" a="1"/>
  <c r="Y20" i="46" a="1"/>
  <c r="AB25" i="16" a="1"/>
  <c r="G87" i="17" a="1"/>
  <c r="V111" i="19" a="1"/>
  <c r="H8" i="46" a="1"/>
  <c r="U34" i="26" a="1"/>
  <c r="G50" i="19" a="1"/>
  <c r="F47" i="15" a="1"/>
  <c r="E98" i="17" a="1"/>
  <c r="T80" i="16" a="1"/>
  <c r="I53" i="17" a="1"/>
  <c r="BJ135" i="46" a="1"/>
  <c r="J21" i="26" a="1"/>
  <c r="S24" i="17" a="1"/>
  <c r="F36" i="26" a="1"/>
  <c r="BI104" i="46" a="1"/>
  <c r="F98" i="20" a="1"/>
  <c r="H33" i="26" a="1"/>
  <c r="G7" i="21" a="1"/>
  <c r="G22" i="48" a="1"/>
  <c r="F70" i="46" a="1"/>
  <c r="J28" i="46" a="1"/>
  <c r="G98" i="15" a="1"/>
  <c r="W29" i="16" a="1"/>
  <c r="H45" i="48" a="1"/>
  <c r="U11" i="50" a="1"/>
  <c r="AB59" i="16" a="1"/>
  <c r="Y119" i="46" a="1"/>
  <c r="T122" i="19" a="1"/>
  <c r="H17" i="48" a="1"/>
  <c r="F25" i="19" a="1"/>
  <c r="BH28" i="46" a="1"/>
  <c r="Z41" i="26" a="1"/>
  <c r="H45" i="46" a="1"/>
  <c r="W65" i="15" a="1"/>
  <c r="Z57" i="46" a="1"/>
  <c r="X9" i="17" a="1"/>
  <c r="V135" i="19" a="1"/>
  <c r="V15" i="46" a="1"/>
  <c r="R108" i="20" a="1"/>
  <c r="X130" i="46" a="1"/>
  <c r="S47" i="17" a="1"/>
  <c r="H27" i="44" a="1"/>
  <c r="V19" i="19" a="1"/>
  <c r="E44" i="19" a="1"/>
  <c r="R38" i="21" a="1"/>
  <c r="U29" i="20" a="1"/>
  <c r="X65" i="16" a="1"/>
  <c r="G8" i="46" a="1"/>
  <c r="V18" i="44" a="1"/>
  <c r="I66" i="17" a="1"/>
  <c r="G119" i="46" a="1"/>
  <c r="G24" i="48" a="1"/>
  <c r="W94" i="17" a="1"/>
  <c r="E51" i="15" a="1"/>
  <c r="E35" i="15" a="1"/>
  <c r="S75" i="16" a="1"/>
  <c r="BH122" i="46" a="1"/>
  <c r="L12" i="46" a="1"/>
  <c r="F117" i="19" a="1"/>
  <c r="H114" i="19" a="1"/>
  <c r="T61" i="15" a="1"/>
  <c r="H26" i="17" a="1"/>
  <c r="F76" i="16" a="1"/>
  <c r="AA73" i="46" a="1"/>
  <c r="F9" i="19" a="1"/>
  <c r="H110" i="46" a="1"/>
  <c r="W27" i="46" a="1"/>
  <c r="I42" i="17" a="1"/>
  <c r="H27" i="19" a="1"/>
  <c r="BH33" i="46" a="1"/>
  <c r="T59" i="46" a="1"/>
  <c r="AB100" i="16" a="1"/>
  <c r="Y35" i="26" a="1"/>
  <c r="F60" i="20" a="1"/>
  <c r="D31" i="50" a="1"/>
  <c r="Z30" i="26" a="1"/>
  <c r="Y85" i="15" a="1"/>
  <c r="W64" i="17" a="1"/>
  <c r="E60" i="15" a="1"/>
  <c r="F8" i="16" a="1"/>
  <c r="K29" i="17" a="1"/>
  <c r="BG47" i="46" a="1"/>
  <c r="T117" i="19" a="1"/>
  <c r="I132" i="46" a="1"/>
  <c r="T21" i="19" a="1"/>
  <c r="J110" i="46" a="1"/>
  <c r="V17" i="21" a="1"/>
  <c r="J59" i="19" a="1"/>
  <c r="K120" i="46" a="1"/>
  <c r="S44" i="48" a="1"/>
  <c r="D91" i="20" a="1"/>
  <c r="T29" i="21" a="1"/>
  <c r="J43" i="46" a="1"/>
  <c r="BI65" i="46" a="1"/>
  <c r="H133" i="46" a="1"/>
  <c r="I34" i="19" a="1"/>
  <c r="F30" i="48" a="1"/>
  <c r="H11" i="19" a="1"/>
  <c r="S74" i="17" a="1"/>
  <c r="H83" i="17" a="1"/>
  <c r="J120" i="19" a="1"/>
  <c r="V57" i="46" a="1"/>
  <c r="G51" i="20" a="1"/>
  <c r="I58" i="26" a="1"/>
  <c r="T44" i="20" a="1"/>
  <c r="I68" i="15" a="1"/>
  <c r="BJ53" i="46" a="1"/>
  <c r="AA48" i="46" a="1"/>
  <c r="G47" i="16" a="1"/>
  <c r="E32" i="15" a="1"/>
  <c r="V92" i="20" a="1"/>
  <c r="D94" i="16" a="1"/>
  <c r="H69" i="15" a="1"/>
  <c r="AC10" i="46" a="1"/>
  <c r="G15" i="44" a="1"/>
  <c r="J51" i="19" a="1"/>
  <c r="G109" i="17" a="1"/>
  <c r="S61" i="26" a="1"/>
  <c r="G69" i="20" a="1"/>
  <c r="G41" i="19" a="1"/>
  <c r="X75" i="17" a="1"/>
  <c r="W9" i="48" a="1"/>
  <c r="G89" i="17" a="1"/>
  <c r="W54" i="16" a="1"/>
  <c r="F20" i="20" a="1"/>
  <c r="R12" i="20" a="1"/>
  <c r="AA16" i="44" a="1"/>
  <c r="X112" i="17" a="1"/>
  <c r="I72" i="46" a="1"/>
  <c r="R29" i="21" a="1"/>
  <c r="T112" i="17" a="1"/>
  <c r="S90" i="20" a="1"/>
  <c r="K69" i="15" a="1"/>
  <c r="BI8" i="46" a="1"/>
  <c r="V127" i="19" a="1"/>
  <c r="S22" i="26" a="1"/>
  <c r="V36" i="20" a="1"/>
  <c r="S112" i="20" a="1"/>
  <c r="AA59" i="16" a="1"/>
  <c r="BH140" i="46" a="1"/>
  <c r="E27" i="16" a="1"/>
  <c r="Y38" i="17" a="1"/>
  <c r="I101" i="46" a="1"/>
  <c r="T80" i="17" a="1"/>
  <c r="AB54" i="16" a="1"/>
  <c r="T55" i="16" a="1"/>
  <c r="F18" i="48" a="1"/>
  <c r="T105" i="17" a="1"/>
  <c r="I23" i="46" a="1"/>
  <c r="D43" i="21" a="1"/>
  <c r="E53" i="19" a="1"/>
  <c r="W39" i="17" a="1"/>
  <c r="T61" i="20" a="1"/>
  <c r="V54" i="46" a="1"/>
  <c r="T66" i="46" a="1"/>
  <c r="J141" i="46" a="1"/>
  <c r="S98" i="20" a="1"/>
  <c r="R104" i="17" a="1"/>
  <c r="F77" i="16" a="1"/>
  <c r="Y67" i="46" a="1"/>
  <c r="S44" i="19" a="1"/>
  <c r="H51" i="46" a="1"/>
  <c r="BJ122" i="46" a="1"/>
  <c r="F140" i="46" a="1"/>
  <c r="D70" i="16" a="1"/>
  <c r="AC32" i="26" a="1"/>
  <c r="W106" i="16" a="1"/>
  <c r="BI21" i="46" a="1"/>
  <c r="K116" i="46" a="1"/>
  <c r="D50" i="19" a="1"/>
  <c r="F38" i="46" a="1"/>
  <c r="V56" i="20" a="1"/>
  <c r="AA16" i="46" a="1"/>
  <c r="U128" i="19" a="1"/>
  <c r="F18" i="20" a="1"/>
  <c r="G77" i="20" a="1"/>
  <c r="F27" i="17" a="1"/>
  <c r="H108" i="16" a="1"/>
  <c r="K92" i="17" a="1"/>
  <c r="F16" i="19" a="1"/>
  <c r="S53" i="19" a="1"/>
  <c r="AA24" i="15" a="1"/>
  <c r="T18" i="19" a="1"/>
  <c r="I100" i="16" a="1"/>
  <c r="BJ71" i="46" a="1"/>
  <c r="Z22" i="48" a="1"/>
  <c r="Y30" i="26" a="1"/>
  <c r="F16" i="20" a="1"/>
  <c r="H54" i="26" a="1"/>
  <c r="T11" i="48" a="1"/>
  <c r="J28" i="21" a="1"/>
  <c r="I71" i="46" a="1"/>
  <c r="H93" i="16" a="1"/>
  <c r="E7" i="19" a="1"/>
  <c r="J99" i="17" a="1"/>
  <c r="E8" i="19" a="1"/>
  <c r="L20" i="46" a="1"/>
  <c r="T11" i="19" a="1"/>
  <c r="T93" i="17" a="1"/>
  <c r="AB44" i="15" a="1"/>
  <c r="F92" i="15" a="1"/>
  <c r="W107" i="46" a="1"/>
  <c r="I42" i="20" a="1"/>
  <c r="Y45" i="17" a="1"/>
  <c r="S42" i="17" a="1"/>
  <c r="R79" i="15" a="1"/>
  <c r="S15" i="19" a="1"/>
  <c r="F64" i="15" a="1"/>
  <c r="G133" i="19" a="1"/>
  <c r="AA55" i="16" a="1"/>
  <c r="L12" i="48" a="1"/>
  <c r="J99" i="46" a="1"/>
  <c r="H54" i="16" a="1"/>
  <c r="Y83" i="46" a="1"/>
  <c r="W33" i="26" a="1"/>
  <c r="AB76" i="46" a="1"/>
  <c r="BI55" i="46" a="1"/>
  <c r="V124" i="19" a="1"/>
  <c r="J78" i="15" a="1"/>
  <c r="E51" i="19" a="1"/>
  <c r="E14" i="21" a="1"/>
  <c r="F52" i="46" a="1"/>
  <c r="U99" i="20" a="1"/>
  <c r="W42" i="46" a="1"/>
  <c r="Z25" i="48" a="1"/>
  <c r="J37" i="17" a="1"/>
  <c r="F20" i="16" a="1"/>
  <c r="E113" i="20" a="1"/>
  <c r="J96" i="16" a="1"/>
  <c r="G7" i="17" a="1"/>
  <c r="D15" i="19" a="1"/>
  <c r="F37" i="21" a="1"/>
  <c r="H91" i="17" a="1"/>
  <c r="R45" i="21" a="1"/>
  <c r="U42" i="26" a="1"/>
  <c r="F33" i="48" a="1"/>
  <c r="F39" i="26" a="1"/>
  <c r="T37" i="50" a="1"/>
  <c r="Y95" i="46" a="1"/>
  <c r="D62" i="16" a="1"/>
  <c r="E16" i="20" a="1"/>
  <c r="K47" i="15" a="1"/>
  <c r="W68" i="15" a="1"/>
  <c r="J73" i="17" a="1"/>
  <c r="R9" i="20" a="1"/>
  <c r="BK111" i="46" a="1"/>
  <c r="I40" i="50" a="1"/>
  <c r="BH111" i="46" a="1"/>
  <c r="AC44" i="46" a="1"/>
  <c r="S18" i="50" a="1"/>
  <c r="S61" i="20" a="1"/>
  <c r="X114" i="17" a="1"/>
  <c r="F59" i="17" a="1"/>
  <c r="D66" i="15" a="1"/>
  <c r="H78" i="16" a="1"/>
  <c r="D112" i="19" a="1"/>
  <c r="T29" i="16" a="1"/>
  <c r="J125" i="19" a="1"/>
  <c r="F145" i="46" a="1"/>
  <c r="G102" i="16" a="1"/>
  <c r="T52" i="15" a="1"/>
  <c r="U13" i="46" a="1"/>
  <c r="I21" i="48" a="1"/>
  <c r="H7" i="46" a="1"/>
  <c r="V12" i="20" a="1"/>
  <c r="K90" i="15" a="1"/>
  <c r="I22" i="50" a="1"/>
  <c r="D55" i="19" a="1"/>
  <c r="Y146" i="46" a="1"/>
  <c r="Y110" i="46" a="1"/>
  <c r="G101" i="16" a="1"/>
  <c r="J53" i="15" a="1"/>
  <c r="F106" i="20" a="1"/>
  <c r="X11" i="48" a="1"/>
  <c r="Y66" i="17" a="1"/>
  <c r="V98" i="20" a="1"/>
  <c r="J8" i="21" a="1"/>
  <c r="S33" i="17" a="1"/>
  <c r="W66" i="17" a="1"/>
  <c r="S16" i="20" a="1"/>
  <c r="L49" i="46" a="1"/>
  <c r="E42" i="15" a="1"/>
  <c r="AB71" i="46" a="1"/>
  <c r="G25" i="17" a="1"/>
  <c r="BI76" i="46" a="1"/>
  <c r="G44" i="26" a="1"/>
  <c r="Y52" i="15" a="1"/>
  <c r="W45" i="15" a="1"/>
  <c r="G40" i="46" a="1"/>
  <c r="Z6" i="46" a="1"/>
  <c r="AB22" i="16" a="1"/>
  <c r="S63" i="17" a="1"/>
  <c r="R52" i="20" a="1"/>
  <c r="G81" i="15" a="1"/>
  <c r="Y60" i="15" a="1"/>
  <c r="T13" i="20" a="1"/>
  <c r="G87" i="16" a="1"/>
  <c r="T24" i="21" a="1"/>
  <c r="H79" i="26" a="1"/>
  <c r="F25" i="16" a="1"/>
  <c r="F128" i="19" a="1"/>
  <c r="AB8" i="16" a="1"/>
  <c r="J52" i="17" a="1"/>
  <c r="G94" i="46" a="1"/>
  <c r="AC105" i="46" a="1"/>
  <c r="J61" i="15" a="1"/>
  <c r="G82" i="15" a="1"/>
  <c r="AB74" i="46" a="1"/>
  <c r="V31" i="19" a="1"/>
  <c r="L80" i="46" a="1"/>
  <c r="I41" i="50" a="1"/>
  <c r="J22" i="26" a="1"/>
  <c r="W115" i="46" a="1"/>
  <c r="Z46" i="46" a="1"/>
  <c r="X24" i="17" a="1"/>
  <c r="J105" i="16" a="1"/>
  <c r="V38" i="50" a="1"/>
  <c r="I16" i="20" a="1"/>
  <c r="G64" i="15" a="1"/>
  <c r="BH135" i="46" a="1"/>
  <c r="H36" i="20" a="1"/>
  <c r="G100" i="46" a="1"/>
  <c r="E21" i="20" a="1"/>
  <c r="H28" i="44" a="1"/>
  <c r="BG117" i="46" a="1"/>
  <c r="BH128" i="46" a="1"/>
  <c r="G70" i="46" a="1"/>
  <c r="AA48" i="16" a="1"/>
  <c r="W7" i="44" a="1"/>
  <c r="J123" i="19" a="1"/>
  <c r="E55" i="16" a="1"/>
  <c r="AC119" i="46" a="1"/>
  <c r="R101" i="17" a="1"/>
  <c r="E65" i="15" a="1"/>
  <c r="T8" i="44" a="1"/>
  <c r="E109" i="17" a="1"/>
  <c r="BK6" i="46" a="1"/>
  <c r="I48" i="19" a="1"/>
  <c r="I120" i="46" a="1"/>
  <c r="G95" i="15" a="1"/>
  <c r="D7" i="17" a="1"/>
  <c r="I116" i="46" a="1"/>
  <c r="F122" i="46" a="1"/>
  <c r="G47" i="21" a="1"/>
  <c r="G41" i="48" a="1"/>
  <c r="D52" i="21" a="1"/>
  <c r="U64" i="20" a="1"/>
  <c r="T45" i="17" a="1"/>
  <c r="W97" i="17" a="1"/>
  <c r="D24" i="16" a="1"/>
  <c r="X6" i="46" a="1"/>
  <c r="Y75" i="46" a="1"/>
  <c r="E70" i="16" a="1"/>
  <c r="J95" i="15" a="1"/>
  <c r="F56" i="19" a="1"/>
  <c r="I73" i="26" a="1"/>
  <c r="K23" i="46" a="1"/>
  <c r="BI14" i="46" a="1"/>
  <c r="J80" i="16" a="1"/>
  <c r="I57" i="20" a="1"/>
  <c r="J11" i="46" a="1"/>
  <c r="I95" i="16" a="1"/>
  <c r="D128" i="19" a="1"/>
  <c r="U8" i="19" a="1"/>
  <c r="E10" i="16" a="1"/>
  <c r="H50" i="21" a="1"/>
  <c r="U14" i="21" a="1"/>
  <c r="K83" i="17" a="1"/>
  <c r="G45" i="16" a="1"/>
  <c r="D79" i="17" a="1"/>
  <c r="I71" i="17" a="1"/>
  <c r="H40" i="20" a="1"/>
  <c r="Y24" i="46" a="1"/>
  <c r="D32" i="19" a="1"/>
  <c r="E66" i="20" a="1"/>
  <c r="U59" i="46" a="1"/>
  <c r="D88" i="16" a="1"/>
  <c r="G26" i="17" a="1"/>
  <c r="BK107" i="46" a="1"/>
  <c r="R37" i="19" a="1"/>
  <c r="F32" i="19" a="1"/>
  <c r="R60" i="17" a="1"/>
  <c r="Y84" i="17" a="1"/>
  <c r="X73" i="17" a="1"/>
  <c r="H44" i="26" a="1"/>
  <c r="D126" i="19" a="1"/>
  <c r="AA56" i="46" a="1"/>
  <c r="J50" i="15" a="1"/>
  <c r="V38" i="19" a="1"/>
  <c r="E97" i="17" a="1"/>
  <c r="J27" i="50" a="1"/>
  <c r="H62" i="17" a="1"/>
  <c r="E83" i="20" a="1"/>
  <c r="AB32" i="15" a="1"/>
  <c r="S10" i="17" a="1"/>
  <c r="G101" i="17" a="1"/>
  <c r="S54" i="20" a="1"/>
  <c r="R37" i="20" a="1"/>
  <c r="G73" i="16" a="1"/>
  <c r="V128" i="19" a="1"/>
  <c r="J53" i="17" a="1"/>
  <c r="U37" i="20" a="1"/>
  <c r="W121" i="46" a="1"/>
  <c r="T14" i="17" a="1"/>
  <c r="I8" i="19" a="1"/>
  <c r="Z18" i="15" a="1"/>
  <c r="K64" i="15" a="1"/>
  <c r="U7" i="44" a="1"/>
  <c r="E19" i="16" a="1"/>
  <c r="V15" i="21" a="1"/>
  <c r="F138" i="46" a="1"/>
  <c r="U58" i="46" a="1"/>
  <c r="AA59" i="15" a="1"/>
  <c r="F90" i="15" a="1"/>
  <c r="Z113" i="46" a="1"/>
  <c r="D43" i="19" a="1"/>
  <c r="I45" i="46" a="1"/>
  <c r="AA52" i="15" a="1"/>
  <c r="F44" i="21" a="1"/>
  <c r="J95" i="46" a="1"/>
  <c r="X98" i="17" a="1"/>
  <c r="U33" i="50" a="1"/>
  <c r="I12" i="46" a="1"/>
  <c r="BJ101" i="46" a="1"/>
  <c r="E29" i="48" a="1"/>
  <c r="T67" i="17" a="1"/>
  <c r="T119" i="19" a="1"/>
  <c r="Y10" i="17" a="1"/>
  <c r="G32" i="19" a="1"/>
  <c r="H115" i="19" a="1"/>
  <c r="J17" i="26" a="1"/>
  <c r="S79" i="15" a="1"/>
  <c r="V25" i="50" a="1"/>
  <c r="D52" i="17" a="1"/>
  <c r="E96" i="15" a="1"/>
  <c r="BH127" i="46" a="1"/>
  <c r="G45" i="20" a="1"/>
  <c r="L15" i="48" a="1"/>
  <c r="H15" i="17" a="1"/>
  <c r="G81" i="20" a="1"/>
  <c r="H23" i="20" a="1"/>
  <c r="F65" i="20" a="1"/>
  <c r="BK74" i="46" a="1"/>
  <c r="W11" i="46" a="1"/>
  <c r="S111" i="20" a="1"/>
  <c r="G31" i="48" a="1"/>
  <c r="T20" i="19" a="1"/>
  <c r="H30" i="20" a="1"/>
  <c r="AA65" i="15" a="1"/>
  <c r="U39" i="26" a="1"/>
  <c r="J23" i="50" a="1"/>
  <c r="T13" i="21" a="1"/>
  <c r="I40" i="48" a="1"/>
  <c r="AB88" i="16" a="1"/>
  <c r="F36" i="15" a="1"/>
  <c r="I78" i="17" a="1"/>
  <c r="F16" i="21" a="1"/>
  <c r="S101" i="20" a="1"/>
  <c r="G67" i="20" a="1"/>
  <c r="Y59" i="46" a="1"/>
  <c r="AC98" i="46" a="1"/>
  <c r="H60" i="26" a="1"/>
  <c r="L58" i="46" a="1"/>
  <c r="F7" i="16" a="1"/>
  <c r="D15" i="17" a="1"/>
  <c r="W55" i="17" a="1"/>
  <c r="BK131" i="46" a="1"/>
  <c r="AC92" i="46" a="1"/>
  <c r="G45" i="26" a="1"/>
  <c r="V13" i="21" a="1"/>
  <c r="H72" i="15" a="1"/>
  <c r="I67" i="15" a="1"/>
  <c r="G60" i="26" a="1"/>
  <c r="R54" i="15" a="1"/>
  <c r="AA39" i="15" a="1"/>
  <c r="T99" i="20" a="1"/>
  <c r="AA7" i="16" a="1"/>
  <c r="G9" i="46" a="1"/>
  <c r="AA7" i="46" a="1"/>
  <c r="U14" i="50" a="1"/>
  <c r="BJ32" i="46" a="1"/>
  <c r="F105" i="46" a="1"/>
  <c r="V55" i="19" a="1"/>
  <c r="AB38" i="26" a="1"/>
  <c r="H98" i="15" a="1"/>
  <c r="J49" i="46" a="1"/>
  <c r="F10" i="20" a="1"/>
  <c r="E29" i="17" a="1"/>
  <c r="BG82" i="46" a="1"/>
  <c r="K44" i="46" a="1"/>
  <c r="J118" i="19" a="1"/>
  <c r="I55" i="16" a="1"/>
  <c r="W81" i="17" a="1"/>
  <c r="G129" i="46" a="1"/>
  <c r="S36" i="17" a="1"/>
  <c r="W75" i="17" a="1"/>
  <c r="AA99" i="16" a="1"/>
  <c r="X83" i="17" a="1"/>
  <c r="BJ35" i="46" a="1"/>
  <c r="W9" i="50" a="1"/>
  <c r="R51" i="17" a="1"/>
  <c r="W27" i="50" a="1"/>
  <c r="W31" i="48" a="1"/>
  <c r="J102" i="16" a="1"/>
  <c r="D82" i="20" a="1"/>
  <c r="E73" i="26" a="1"/>
  <c r="H41" i="26" a="1"/>
  <c r="AA95" i="16" a="1"/>
  <c r="G80" i="15" a="1"/>
  <c r="J78" i="26" a="1"/>
  <c r="I73" i="16" a="1"/>
  <c r="U129" i="19" a="1"/>
  <c r="BH105" i="46" a="1"/>
  <c r="T48" i="21" a="1"/>
  <c r="T10" i="20" a="1"/>
  <c r="D80" i="26" a="1"/>
  <c r="I56" i="20" a="1"/>
  <c r="BJ23" i="46" a="1"/>
  <c r="S30" i="48" a="1"/>
  <c r="E75" i="17" a="1"/>
  <c r="G78" i="15" a="1"/>
  <c r="Y77" i="15" a="1"/>
  <c r="G24" i="21" a="1"/>
  <c r="D37" i="50" a="1"/>
  <c r="E36" i="50" a="1"/>
  <c r="W64" i="46" a="1"/>
  <c r="R30" i="17" a="1"/>
  <c r="I134" i="19" a="1"/>
  <c r="R26" i="19" a="1"/>
  <c r="V47" i="21" a="1"/>
  <c r="J14" i="21" a="1"/>
  <c r="K82" i="15" a="1"/>
  <c r="I66" i="46" a="1"/>
  <c r="K41" i="48" a="1"/>
  <c r="Y136" i="46" a="1"/>
  <c r="H33" i="46" a="1"/>
  <c r="BI141" i="46" a="1"/>
  <c r="R59" i="26" a="1"/>
  <c r="I45" i="15" a="1"/>
  <c r="G44" i="48" a="1"/>
  <c r="E115" i="19" a="1"/>
  <c r="R38" i="26" a="1"/>
  <c r="S46" i="19" a="1"/>
  <c r="H59" i="15" a="1"/>
  <c r="BK58" i="46" a="1"/>
  <c r="I22" i="20" a="1"/>
  <c r="W85" i="15" a="1"/>
  <c r="K111" i="46" a="1"/>
  <c r="F17" i="19" a="1"/>
  <c r="W92" i="17" a="1"/>
  <c r="E33" i="50" a="1"/>
  <c r="H54" i="15" a="1"/>
  <c r="G37" i="17" a="1"/>
  <c r="F72" i="26" a="1"/>
  <c r="D8" i="15" a="1"/>
  <c r="Y44" i="46" a="1"/>
  <c r="D68" i="17" a="1"/>
  <c r="T101" i="20" a="1"/>
  <c r="F17" i="48" a="1"/>
  <c r="W101" i="17" a="1"/>
  <c r="E19" i="44" a="1"/>
  <c r="I19" i="26" a="1"/>
  <c r="V67" i="46" a="1"/>
  <c r="F93" i="15" a="1"/>
  <c r="D113" i="20" a="1"/>
  <c r="W21" i="48" a="1"/>
  <c r="W85" i="17" a="1"/>
  <c r="BG11" i="46" a="1"/>
  <c r="R115" i="20" a="1"/>
  <c r="K16" i="46" a="1"/>
  <c r="E34" i="19" a="1"/>
  <c r="U7" i="21" a="1"/>
  <c r="S13" i="21" a="1"/>
  <c r="R47" i="17" a="1"/>
  <c r="F117" i="20" a="1"/>
  <c r="AA15" i="44" a="1"/>
  <c r="J30" i="19" a="1"/>
  <c r="T16" i="19" a="1"/>
  <c r="Z48" i="46" a="1"/>
  <c r="G9" i="17" a="1"/>
  <c r="L13" i="46" a="1"/>
  <c r="G117" i="19" a="1"/>
  <c r="F98" i="46" a="1"/>
  <c r="K10" i="46" a="1"/>
  <c r="H123" i="46" a="1"/>
  <c r="BK31" i="46" a="1"/>
  <c r="K57" i="46" a="1"/>
  <c r="BG22" i="46" a="1"/>
  <c r="AA42" i="16" a="1"/>
  <c r="S59" i="17" a="1"/>
  <c r="R33" i="19" a="1"/>
  <c r="Y139" i="46" a="1"/>
  <c r="I105" i="17" a="1"/>
  <c r="AB63" i="46" a="1"/>
  <c r="E135" i="19" a="1"/>
  <c r="F6" i="16" a="1"/>
  <c r="D32" i="15" a="1"/>
  <c r="I37" i="26" a="1"/>
  <c r="S20" i="48" a="1"/>
  <c r="R53" i="16" a="1"/>
  <c r="X85" i="15" a="1"/>
  <c r="H40" i="26" a="1"/>
  <c r="BH68" i="46" a="1"/>
  <c r="S92" i="20" a="1"/>
  <c r="R51" i="21" a="1"/>
  <c r="D76" i="26" a="1"/>
  <c r="H46" i="19" a="1"/>
  <c r="T30" i="26" a="1"/>
  <c r="S11" i="21" a="1"/>
  <c r="E39" i="21" a="1"/>
  <c r="AE40" i="26" a="1"/>
  <c r="F106" i="17" a="1"/>
  <c r="I32" i="19" a="1"/>
  <c r="L36" i="46" a="1"/>
  <c r="G59" i="16" a="1"/>
  <c r="R44" i="19" a="1"/>
  <c r="G55" i="20" a="1"/>
  <c r="J76" i="17" a="1"/>
  <c r="D15" i="44" a="1"/>
  <c r="Y53" i="15" a="1"/>
  <c r="D79" i="15" a="1"/>
  <c r="BH48" i="46" a="1"/>
  <c r="E79" i="15" a="1"/>
  <c r="Z13" i="15" a="1"/>
  <c r="H43" i="21" a="1"/>
  <c r="BI43" i="46" a="1"/>
  <c r="S124" i="19" a="1"/>
  <c r="K33" i="46" a="1"/>
  <c r="T15" i="21" a="1"/>
  <c r="W120" i="46" a="1"/>
  <c r="F34" i="21" a="1"/>
  <c r="U53" i="19" a="1"/>
  <c r="G78" i="26" a="1"/>
  <c r="W61" i="15" a="1"/>
  <c r="H111" i="46" a="1"/>
  <c r="AA9" i="44" a="1"/>
  <c r="E16" i="21" a="1"/>
  <c r="S78" i="26" a="1"/>
  <c r="I9" i="20" a="1"/>
  <c r="T49" i="17" a="1"/>
  <c r="T101" i="17" a="1"/>
  <c r="H100" i="46" a="1"/>
  <c r="H51" i="19" a="1"/>
  <c r="E55" i="17" a="1"/>
  <c r="T8" i="21" a="1"/>
  <c r="AE35" i="26" a="1"/>
  <c r="E109" i="20" a="1"/>
  <c r="Y55" i="16" a="1"/>
  <c r="BI35" i="46" a="1"/>
  <c r="G86" i="20" a="1"/>
  <c r="I31" i="20" a="1"/>
  <c r="AB52" i="46" a="1"/>
  <c r="D20" i="16" a="1"/>
  <c r="F31" i="26" a="1"/>
  <c r="I47" i="46" a="1"/>
  <c r="T70" i="15" a="1"/>
  <c r="BI106" i="46" a="1"/>
  <c r="R47" i="20" a="1"/>
  <c r="S7" i="19" a="1"/>
  <c r="T39" i="19" a="1"/>
  <c r="S18" i="26" a="1"/>
  <c r="T48" i="19" a="1"/>
  <c r="AC107" i="46" a="1"/>
  <c r="H19" i="26" a="1"/>
  <c r="X49" i="17" a="1"/>
  <c r="AB88" i="15" a="1"/>
  <c r="BG25" i="46" a="1"/>
  <c r="G112" i="19" a="1"/>
  <c r="E77" i="15" a="1"/>
  <c r="AA39" i="16" a="1"/>
  <c r="K67" i="17" a="1"/>
  <c r="BK8" i="46" a="1"/>
  <c r="W95" i="17" a="1"/>
  <c r="F24" i="17" a="1"/>
  <c r="E103" i="17" a="1"/>
  <c r="S12" i="21" a="1"/>
  <c r="F108" i="16" a="1"/>
  <c r="S68" i="17" a="1"/>
  <c r="AC58" i="46" a="1"/>
  <c r="G19" i="20" a="1"/>
  <c r="F30" i="19" a="1"/>
  <c r="BJ133" i="46" a="1"/>
  <c r="BG49" i="46" a="1"/>
  <c r="J69" i="15" a="1"/>
  <c r="X59" i="46" a="1"/>
  <c r="W8" i="50" a="1"/>
  <c r="E82" i="16" a="1"/>
  <c r="BJ47" i="46" a="1"/>
  <c r="J86" i="17" a="1"/>
  <c r="AC125" i="46" a="1"/>
  <c r="AB46" i="46" a="1"/>
  <c r="AC41" i="46" a="1"/>
  <c r="U19" i="48" a="1"/>
  <c r="H37" i="50" a="1"/>
  <c r="BG8" i="46" a="1"/>
  <c r="H18" i="50" a="1"/>
  <c r="T97" i="20" a="1"/>
  <c r="F142" i="46" a="1"/>
  <c r="E20" i="26" a="1"/>
  <c r="I100" i="46" a="1"/>
  <c r="H38" i="21" a="1"/>
  <c r="AB109" i="16" a="1"/>
  <c r="U17" i="48" a="1"/>
  <c r="K77" i="15" a="1"/>
  <c r="F62" i="16" a="1"/>
  <c r="R66" i="26" a="1"/>
  <c r="G99" i="17" a="1"/>
  <c r="T50" i="15" a="1"/>
  <c r="E60" i="20" a="1"/>
  <c r="H81" i="46" a="1"/>
  <c r="K40" i="48" a="1"/>
  <c r="I65" i="16" a="1"/>
  <c r="AC29" i="46" a="1"/>
  <c r="F107" i="46" a="1"/>
  <c r="S25" i="48" a="1"/>
  <c r="D63" i="17" a="1"/>
  <c r="H73" i="20" a="1"/>
  <c r="R42" i="26" a="1"/>
  <c r="T15" i="17" a="1"/>
  <c r="BG113" i="46" a="1"/>
  <c r="J91" i="16" a="1"/>
  <c r="L51" i="46" a="1"/>
  <c r="BJ115" i="46" a="1"/>
  <c r="U45" i="20" a="1"/>
  <c r="AA23" i="15" a="1"/>
  <c r="U46" i="26" a="1"/>
  <c r="F46" i="21" a="1"/>
  <c r="D14" i="20" a="1"/>
  <c r="G104" i="46" a="1"/>
  <c r="R39" i="17" a="1"/>
  <c r="F25" i="20" a="1"/>
  <c r="R79" i="16" a="1"/>
  <c r="AA106" i="16" a="1"/>
  <c r="D93" i="20" a="1"/>
  <c r="F78" i="16" a="1"/>
  <c r="R73" i="20" a="1"/>
  <c r="F59" i="46" a="1"/>
  <c r="X74" i="46" a="1"/>
  <c r="T65" i="16" a="1"/>
  <c r="S38" i="20" a="1"/>
  <c r="I31" i="26" a="1"/>
  <c r="X107" i="17" a="1"/>
  <c r="K72" i="46" a="1"/>
  <c r="AE43" i="26" a="1"/>
  <c r="U33" i="20" a="1"/>
  <c r="J34" i="46" a="1"/>
  <c r="E13" i="16" a="1"/>
  <c r="J74" i="26" a="1"/>
  <c r="G27" i="20" a="1"/>
  <c r="S57" i="17" a="1"/>
  <c r="V46" i="21" a="1"/>
  <c r="W101" i="46" a="1"/>
  <c r="G135" i="46" a="1"/>
  <c r="W25" i="15" a="1"/>
  <c r="X60" i="16" a="1"/>
  <c r="BJ134" i="46" a="1"/>
  <c r="W34" i="46" a="1"/>
  <c r="E95" i="15" a="1"/>
  <c r="Z24" i="48" a="1"/>
  <c r="BI93" i="46" a="1"/>
  <c r="R55" i="20" a="1"/>
  <c r="W45" i="46" a="1"/>
  <c r="BJ110" i="46" a="1"/>
  <c r="T44" i="46" a="1"/>
  <c r="D97" i="15" a="1"/>
  <c r="AC123" i="46" a="1"/>
  <c r="E63" i="15" a="1"/>
  <c r="AB61" i="46" a="1"/>
  <c r="I15" i="20" a="1"/>
  <c r="E137" i="19" a="1"/>
  <c r="E10" i="19" a="1"/>
  <c r="X86" i="15" a="1"/>
  <c r="BG119" i="46" a="1"/>
  <c r="J19" i="44" a="1"/>
  <c r="W104" i="16" a="1"/>
  <c r="H42" i="21" a="1"/>
  <c r="S24" i="48" a="1"/>
  <c r="X71" i="17" a="1"/>
  <c r="G58" i="17" a="1"/>
  <c r="U59" i="19" a="1"/>
  <c r="U10" i="19" a="1"/>
  <c r="W36" i="21" a="1"/>
  <c r="T35" i="20" a="1"/>
  <c r="U26" i="19" a="1"/>
  <c r="Y70" i="16" a="1"/>
  <c r="L46" i="48" a="1"/>
  <c r="S19" i="48" a="1"/>
  <c r="G69" i="17" a="1"/>
  <c r="H70" i="15" a="1"/>
  <c r="I33" i="20" a="1"/>
  <c r="R46" i="19" a="1"/>
  <c r="BH59" i="46" a="1"/>
  <c r="X73" i="16" a="1"/>
  <c r="S53" i="16" a="1"/>
  <c r="F86" i="20" a="1"/>
  <c r="AB84" i="16" a="1"/>
  <c r="I111" i="17" a="1"/>
  <c r="E13" i="15" a="1"/>
  <c r="G57" i="46" a="1"/>
  <c r="S111" i="17" a="1"/>
  <c r="Y18" i="48" a="1"/>
  <c r="T49" i="21" a="1"/>
  <c r="G17" i="21" a="1"/>
  <c r="Z8" i="44" a="1"/>
  <c r="BK139" i="46" a="1"/>
  <c r="E108" i="17" a="1"/>
  <c r="F16" i="17" a="1"/>
  <c r="S109" i="17" a="1"/>
  <c r="T76" i="17" a="1"/>
  <c r="I47" i="21" a="1"/>
  <c r="S34" i="20" a="1"/>
  <c r="U29" i="50" a="1"/>
  <c r="E130" i="19" a="1"/>
  <c r="BJ94" i="46" a="1"/>
  <c r="S30" i="20" a="1"/>
  <c r="F67" i="20" a="1"/>
  <c r="K40" i="17" a="1"/>
  <c r="K91" i="17" a="1"/>
  <c r="V109" i="19" a="1"/>
  <c r="J143" i="46" a="1"/>
  <c r="W114" i="17" a="1"/>
  <c r="V6" i="46" a="1"/>
  <c r="W129" i="46" a="1"/>
  <c r="I63" i="46" a="1"/>
  <c r="G7" i="48" a="1"/>
  <c r="F120" i="46" a="1"/>
  <c r="X79" i="16" a="1"/>
  <c r="U58" i="19" a="1"/>
  <c r="E32" i="50" a="1"/>
  <c r="R41" i="26" a="1"/>
  <c r="BH23" i="46" a="1"/>
  <c r="E81" i="26" a="1"/>
  <c r="U12" i="20" a="1"/>
  <c r="H22" i="48" a="1"/>
  <c r="X68" i="17" a="1"/>
  <c r="F45" i="16" a="1"/>
  <c r="G6" i="16" a="1"/>
  <c r="R75" i="16" a="1"/>
  <c r="H19" i="21" a="1"/>
  <c r="H90" i="16" a="1"/>
  <c r="W34" i="50" a="1"/>
  <c r="U37" i="21" a="1"/>
  <c r="J17" i="17" a="1"/>
  <c r="J62" i="17" a="1"/>
  <c r="V34" i="50" a="1"/>
  <c r="BH145" i="46" a="1"/>
  <c r="H26" i="20" a="1"/>
  <c r="G120" i="46" a="1"/>
  <c r="BH46" i="46" a="1"/>
  <c r="K67" i="15" a="1"/>
  <c r="AD46" i="26" a="1"/>
  <c r="Y78" i="16" a="1"/>
  <c r="D76" i="20" a="1"/>
  <c r="H35" i="19" a="1"/>
  <c r="G75" i="17" a="1"/>
  <c r="X48" i="46" a="1"/>
  <c r="H64" i="15" a="1"/>
  <c r="F9" i="44" a="1"/>
  <c r="X78" i="46" a="1"/>
  <c r="U41" i="50" a="1"/>
  <c r="W65" i="17" a="1"/>
  <c r="W22" i="15" a="1"/>
  <c r="I41" i="48" a="1"/>
  <c r="E93" i="15" a="1"/>
  <c r="R23" i="19" a="1"/>
  <c r="X69" i="15" a="1"/>
  <c r="I18" i="19" a="1"/>
  <c r="D48" i="21" a="1"/>
  <c r="V27" i="50" a="1"/>
  <c r="X54" i="15" a="1"/>
  <c r="T85" i="17" a="1"/>
  <c r="Y51" i="15" a="1"/>
  <c r="F38" i="20" a="1"/>
  <c r="D41" i="20" a="1"/>
  <c r="BG19" i="46" a="1"/>
  <c r="AC28" i="46" a="1"/>
  <c r="U16" i="44" a="1"/>
  <c r="W87" i="15" a="1"/>
  <c r="S68" i="15" a="1"/>
  <c r="F36" i="17" a="1"/>
  <c r="G124" i="19" a="1"/>
  <c r="R96" i="20" a="1"/>
  <c r="S13" i="48" a="1"/>
  <c r="AC80" i="46" a="1"/>
  <c r="Z23" i="16" a="1"/>
  <c r="G19" i="46" a="1"/>
  <c r="W53" i="17" a="1"/>
  <c r="T50" i="17" a="1"/>
  <c r="V8" i="44" a="1"/>
  <c r="S12" i="26" a="1"/>
  <c r="Y68" i="46" a="1"/>
  <c r="J140" i="19" a="1"/>
  <c r="H29" i="48" a="1"/>
  <c r="E102" i="16" a="1"/>
  <c r="L73" i="46" a="1"/>
  <c r="D73" i="26" a="1"/>
  <c r="T12" i="21" a="1"/>
  <c r="AB15" i="16" a="1"/>
  <c r="T64" i="17" a="1"/>
  <c r="I26" i="20" a="1"/>
  <c r="AC13" i="46" a="1"/>
  <c r="J88" i="16" a="1"/>
  <c r="I92" i="46" a="1"/>
  <c r="I55" i="19" a="1"/>
  <c r="D99" i="16" a="1"/>
  <c r="W13" i="21" a="1"/>
  <c r="Z60" i="46" a="1"/>
  <c r="X25" i="48" a="1"/>
  <c r="D44" i="20" a="1"/>
  <c r="AB22" i="46" a="1"/>
  <c r="J16" i="26" a="1"/>
  <c r="G107" i="19" a="1"/>
  <c r="E53" i="16" a="1"/>
  <c r="U45" i="46" a="1"/>
  <c r="U66" i="46" a="1"/>
  <c r="R13" i="19" a="1"/>
  <c r="T20" i="48" a="1"/>
  <c r="I73" i="17" a="1"/>
  <c r="I97" i="46" a="1"/>
  <c r="Y90" i="46" a="1"/>
  <c r="I38" i="46" a="1"/>
  <c r="T94" i="20" a="1"/>
  <c r="AA61" i="46" a="1"/>
  <c r="D104" i="20" a="1"/>
  <c r="G16" i="20" a="1"/>
  <c r="T114" i="20" a="1"/>
  <c r="R14" i="20" a="1"/>
  <c r="AB42" i="46" a="1"/>
  <c r="H47" i="17" a="1"/>
  <c r="J79" i="17" a="1"/>
  <c r="BK129" i="46" a="1"/>
  <c r="I25" i="46" a="1"/>
  <c r="G49" i="21" a="1"/>
  <c r="Z27" i="48" a="1"/>
  <c r="F17" i="26" a="1"/>
  <c r="I55" i="26" a="1"/>
  <c r="W37" i="21" a="1"/>
  <c r="D57" i="20" a="1"/>
  <c r="Y64" i="46" a="1"/>
  <c r="G41" i="20" a="1"/>
  <c r="U92" i="20" a="1"/>
  <c r="AA56" i="16" a="1"/>
  <c r="J112" i="17" a="1"/>
  <c r="H11" i="17" a="1"/>
  <c r="V137" i="19" a="1"/>
  <c r="D136" i="19" a="1"/>
  <c r="R97" i="20" a="1"/>
  <c r="H22" i="26" a="1"/>
  <c r="K20" i="48" a="1"/>
  <c r="F79" i="16" a="1"/>
  <c r="E68" i="20" a="1"/>
  <c r="I99" i="16" a="1"/>
  <c r="U24" i="50" a="1"/>
  <c r="BH125" i="46" a="1"/>
  <c r="AB90" i="16" a="1"/>
  <c r="W122" i="46" a="1"/>
  <c r="BJ58" i="46" a="1"/>
  <c r="E117" i="19" a="1"/>
  <c r="U43" i="21" a="1"/>
  <c r="Y116" i="17" a="1"/>
  <c r="V113" i="20" a="1"/>
  <c r="K112" i="17" a="1"/>
  <c r="Y73" i="16" a="1"/>
  <c r="U21" i="20" a="1"/>
  <c r="L64" i="46" a="1"/>
  <c r="E38" i="50" a="1"/>
  <c r="F81" i="16" a="1"/>
  <c r="K81" i="15" a="1"/>
  <c r="T45" i="26" a="1"/>
  <c r="W59" i="17" a="1"/>
  <c r="D11" i="20" a="1"/>
  <c r="F15" i="44" a="1"/>
  <c r="F82" i="26" a="1"/>
  <c r="R19" i="21" a="1"/>
  <c r="I64" i="46" a="1"/>
  <c r="BK18" i="46" a="1"/>
  <c r="F143" i="19" a="1"/>
  <c r="G74" i="46" a="1"/>
  <c r="S33" i="16" a="1"/>
  <c r="X45" i="15" a="1"/>
  <c r="F36" i="46" a="1"/>
  <c r="X129" i="46" a="1"/>
  <c r="E78" i="17" a="1"/>
  <c r="I8" i="20" a="1"/>
  <c r="T75" i="46" a="1"/>
  <c r="V64" i="15" a="1"/>
  <c r="H54" i="46" a="1"/>
  <c r="AB26" i="16" a="1"/>
  <c r="T59" i="16" a="1"/>
  <c r="G46" i="46" a="1"/>
  <c r="I9" i="46" a="1"/>
  <c r="Y60" i="17" a="1"/>
  <c r="K36" i="17" a="1"/>
  <c r="S117" i="20" a="1"/>
  <c r="V26" i="20" a="1"/>
  <c r="K105" i="17" a="1"/>
  <c r="I120" i="19" a="1"/>
  <c r="S64" i="17" a="1"/>
  <c r="X121" i="46" a="1"/>
  <c r="T69" i="16" a="1"/>
  <c r="I44" i="16" a="1"/>
  <c r="R100" i="20" a="1"/>
  <c r="BI56" i="46" a="1"/>
  <c r="BH8" i="46" a="1"/>
  <c r="AC48" i="46" a="1"/>
  <c r="H62" i="15" a="1"/>
  <c r="J53" i="46" a="1"/>
  <c r="AC83" i="46" a="1"/>
  <c r="BG131" i="46" a="1"/>
  <c r="J55" i="15" a="1"/>
  <c r="E64" i="20" a="1"/>
  <c r="Z11" i="48" a="1"/>
  <c r="E47" i="17" a="1"/>
  <c r="F47" i="20" a="1"/>
  <c r="AB102" i="16" a="1"/>
  <c r="AB41" i="46" a="1"/>
  <c r="F111" i="20" a="1"/>
  <c r="I74" i="26" a="1"/>
  <c r="S73" i="17" a="1"/>
  <c r="E98" i="16" a="1"/>
  <c r="AA63" i="46" a="1"/>
  <c r="D108" i="17" a="1"/>
  <c r="AB61" i="15" a="1"/>
  <c r="AB34" i="15" a="1"/>
  <c r="R108" i="17" a="1"/>
  <c r="V58" i="20" a="1"/>
  <c r="J38" i="50" a="1"/>
  <c r="I12" i="21" a="1"/>
  <c r="U63" i="20" a="1"/>
  <c r="I15" i="46" a="1"/>
  <c r="W11" i="15" a="1"/>
  <c r="R35" i="19" a="1"/>
  <c r="BI40" i="46" a="1"/>
  <c r="AA91" i="16" a="1"/>
  <c r="BK47" i="46" a="1"/>
  <c r="E84" i="17" a="1"/>
  <c r="I142" i="19" a="1"/>
  <c r="AA50" i="15" a="1"/>
  <c r="H89" i="17" a="1"/>
  <c r="I141" i="19" a="1"/>
  <c r="D101" i="16" a="1"/>
  <c r="R14" i="26" a="1"/>
  <c r="E52" i="21" a="1"/>
  <c r="T100" i="20" a="1"/>
  <c r="T82" i="17" a="1"/>
  <c r="S62" i="20" a="1"/>
  <c r="E40" i="19" a="1"/>
  <c r="E9" i="20" a="1"/>
  <c r="H72" i="26" a="1"/>
  <c r="R78" i="16" a="1"/>
  <c r="I34" i="20" a="1"/>
  <c r="X63" i="17" a="1"/>
  <c r="U56" i="46" a="1"/>
  <c r="W51" i="17" a="1"/>
  <c r="U97" i="20" a="1"/>
  <c r="F134" i="19" a="1"/>
  <c r="H55" i="19" a="1"/>
  <c r="BH107" i="46" a="1"/>
  <c r="H136" i="46" a="1"/>
  <c r="H48" i="16" a="1"/>
  <c r="Y16" i="44" a="1"/>
  <c r="I52" i="20" a="1"/>
  <c r="T45" i="21" a="1"/>
  <c r="J118" i="46" a="1"/>
  <c r="AA41" i="26" a="1"/>
  <c r="W26" i="46" a="1"/>
  <c r="I54" i="15" a="1"/>
  <c r="H95" i="46" a="1"/>
  <c r="BJ44" i="46" a="1"/>
  <c r="AA57" i="16" a="1"/>
  <c r="U70" i="46" a="1"/>
  <c r="T106" i="17" a="1"/>
  <c r="F78" i="20" a="1"/>
  <c r="I69" i="16" a="1"/>
  <c r="G145" i="46" a="1"/>
  <c r="X56" i="46" a="1"/>
  <c r="D53" i="20" a="1"/>
  <c r="BI13" i="46" a="1"/>
  <c r="Y93" i="17" a="1"/>
  <c r="V48" i="21" a="1"/>
  <c r="G125" i="19" a="1"/>
  <c r="AB54" i="46" a="1"/>
  <c r="T52" i="17" a="1"/>
  <c r="J32" i="46" a="1"/>
  <c r="BI80" i="46" a="1"/>
  <c r="W28" i="15" a="1"/>
  <c r="J13" i="46" a="1"/>
  <c r="D35" i="17" a="1"/>
  <c r="Y103" i="46" a="1"/>
  <c r="I21" i="46" a="1"/>
  <c r="J31" i="46" a="1"/>
  <c r="AC25" i="46" a="1"/>
  <c r="W34" i="17" a="1"/>
  <c r="V58" i="46" a="1"/>
  <c r="BG96" i="46" a="1"/>
  <c r="Y50" i="17" a="1"/>
  <c r="E70" i="17" a="1"/>
  <c r="F94" i="15" a="1"/>
  <c r="U8" i="20" a="1"/>
  <c r="H46" i="16" a="1"/>
  <c r="T48" i="46" a="1"/>
  <c r="L56" i="46" a="1"/>
  <c r="H43" i="16" a="1"/>
  <c r="K96" i="17" a="1"/>
  <c r="K72" i="15" a="1"/>
  <c r="Y32" i="17" a="1"/>
  <c r="J96" i="17" a="1"/>
  <c r="S7" i="50" a="1"/>
  <c r="F10" i="26" a="1"/>
  <c r="G69" i="16" a="1"/>
  <c r="S35" i="21" a="1"/>
  <c r="Y62" i="17" a="1"/>
  <c r="E10" i="48" a="1"/>
  <c r="BH120" i="46" a="1"/>
  <c r="K121" i="46" a="1"/>
  <c r="T73" i="17" a="1"/>
  <c r="E23" i="15" a="1"/>
  <c r="BG60" i="46" a="1"/>
  <c r="S38" i="19" a="1"/>
  <c r="E15" i="21" a="1"/>
  <c r="W20" i="50" a="1"/>
  <c r="L29" i="48" a="1"/>
  <c r="W128" i="46" a="1"/>
  <c r="G47" i="46" a="1"/>
  <c r="D32" i="50" a="1"/>
  <c r="T78" i="46" a="1"/>
  <c r="J71" i="26" a="1"/>
  <c r="U73" i="20" a="1"/>
  <c r="AC39" i="26" a="1"/>
  <c r="H17" i="26" a="1"/>
  <c r="G104" i="16" a="1"/>
  <c r="S88" i="17" a="1"/>
  <c r="F112" i="46" a="1"/>
  <c r="R123" i="19" a="1"/>
  <c r="H51" i="17" a="1"/>
  <c r="F102" i="17" a="1"/>
  <c r="K24" i="44" a="1"/>
  <c r="BG37" i="46" a="1"/>
  <c r="U42" i="19" a="1"/>
  <c r="W29" i="17" a="1"/>
  <c r="V56" i="46" a="1"/>
  <c r="H41" i="20" a="1"/>
  <c r="W10" i="17" a="1"/>
  <c r="AA10" i="15" a="1"/>
  <c r="R35" i="17" a="1"/>
  <c r="T43" i="26" a="1"/>
  <c r="K16" i="44" a="1"/>
  <c r="E45" i="19" a="1"/>
  <c r="J53" i="19" a="1"/>
  <c r="K125" i="46" a="1"/>
  <c r="E12" i="19" a="1"/>
  <c r="D21" i="20" a="1"/>
  <c r="H63" i="17" a="1"/>
  <c r="E75" i="26" a="1"/>
  <c r="D43" i="20" a="1"/>
  <c r="I28" i="20" a="1"/>
  <c r="U18" i="20" a="1"/>
  <c r="BI59" i="46" a="1"/>
  <c r="W26" i="15" a="1"/>
  <c r="I37" i="17" a="1"/>
  <c r="T73" i="16" a="1"/>
  <c r="AC124" i="46" a="1"/>
  <c r="Z17" i="48" a="1"/>
  <c r="R74" i="16" a="1"/>
  <c r="V19" i="20" a="1"/>
  <c r="Y124" i="46" a="1"/>
  <c r="K80" i="15" a="1"/>
  <c r="I25" i="19" a="1"/>
  <c r="J61" i="26" a="1"/>
  <c r="L37" i="46" a="1"/>
  <c r="T62" i="17" a="1"/>
  <c r="T13" i="17" a="1"/>
  <c r="AB42" i="16" a="1"/>
  <c r="S66" i="15" a="1"/>
  <c r="E70" i="20" a="1"/>
  <c r="AB38" i="15" a="1"/>
  <c r="H144" i="46" a="1"/>
  <c r="X50" i="17" a="1"/>
  <c r="D99" i="17" a="1"/>
  <c r="BJ72" i="46" a="1"/>
  <c r="H69" i="17" a="1"/>
  <c r="K136" i="46" a="1"/>
  <c r="F97" i="17" a="1"/>
  <c r="V74" i="46" a="1"/>
  <c r="V123" i="19" a="1"/>
  <c r="AB67" i="15" a="1"/>
  <c r="G59" i="17" a="1"/>
  <c r="I90" i="17" a="1"/>
  <c r="U48" i="20" a="1"/>
  <c r="AA82" i="16" a="1"/>
  <c r="R30" i="26" a="1"/>
  <c r="G22" i="19" a="1"/>
  <c r="F62" i="26" a="1"/>
  <c r="U25" i="50" a="1"/>
  <c r="R79" i="20" a="1"/>
  <c r="W98" i="17" a="1"/>
  <c r="G116" i="46" a="1"/>
  <c r="W87" i="17" a="1"/>
  <c r="X11" i="17" a="1"/>
  <c r="AB76" i="15" a="1"/>
  <c r="V10" i="46" a="1"/>
  <c r="BG93" i="46" a="1"/>
  <c r="R111" i="19" a="1"/>
  <c r="H66" i="15" a="1"/>
  <c r="U11" i="21" a="1"/>
  <c r="G38" i="17" a="1"/>
  <c r="E10" i="21" a="1"/>
  <c r="W17" i="50" a="1"/>
  <c r="BI140" i="46" a="1"/>
  <c r="I10" i="20" a="1"/>
  <c r="D27" i="44" a="1"/>
  <c r="V69" i="46" a="1"/>
  <c r="D10" i="21" a="1"/>
  <c r="J74" i="46" a="1"/>
  <c r="F48" i="46" a="1"/>
  <c r="Z88" i="46" a="1"/>
  <c r="I110" i="19" a="1"/>
  <c r="Z115" i="46" a="1"/>
  <c r="Y63" i="15" a="1"/>
  <c r="V78" i="20" a="1"/>
  <c r="Z21" i="15" a="1"/>
  <c r="U16" i="20" a="1"/>
  <c r="I102" i="16" a="1"/>
  <c r="J28" i="50" a="1"/>
  <c r="Z144" i="46" a="1"/>
  <c r="Z46" i="26" a="1"/>
  <c r="I7" i="21" a="1"/>
  <c r="H40" i="17" a="1"/>
  <c r="T26" i="20" a="1"/>
  <c r="H17" i="19" a="1"/>
  <c r="AA25" i="15" a="1"/>
  <c r="BH108" i="46" a="1"/>
  <c r="AB72" i="15" a="1"/>
  <c r="V35" i="19" a="1"/>
  <c r="W91" i="15" a="1"/>
  <c r="E79" i="16" a="1"/>
  <c r="J50" i="17" a="1"/>
  <c r="BH137" i="46" a="1"/>
  <c r="R78" i="26" a="1"/>
  <c r="I40" i="20" a="1"/>
  <c r="V28" i="50" a="1"/>
  <c r="X41" i="46" a="1"/>
  <c r="S36" i="20" a="1"/>
  <c r="R61" i="20" a="1"/>
  <c r="W65" i="46" a="1"/>
  <c r="G32" i="50" a="1"/>
  <c r="E8" i="50" a="1"/>
  <c r="BI48" i="46" a="1"/>
  <c r="U124" i="19" a="1"/>
  <c r="D40" i="20" a="1"/>
  <c r="W116" i="46" a="1"/>
  <c r="L39" i="46" a="1"/>
  <c r="Y68" i="15" a="1"/>
  <c r="H50" i="19" a="1"/>
  <c r="W50" i="17" a="1"/>
  <c r="Z25" i="16" a="1"/>
  <c r="K50" i="46" a="1"/>
  <c r="K90" i="17" a="1"/>
  <c r="G35" i="46" a="1"/>
  <c r="J12" i="50" a="1"/>
  <c r="F63" i="15" a="1"/>
  <c r="H45" i="19" a="1"/>
  <c r="U23" i="21" a="1"/>
  <c r="E91" i="16" a="1"/>
  <c r="AA33" i="15" a="1"/>
  <c r="AA27" i="16" a="1"/>
  <c r="J23" i="21" a="1"/>
  <c r="D66" i="20" a="1"/>
  <c r="D75" i="20" a="1"/>
  <c r="Z15" i="46" a="1"/>
  <c r="BH80" i="46" a="1"/>
  <c r="F22" i="50" a="1"/>
  <c r="T98" i="20" a="1"/>
  <c r="Y7" i="46" a="1"/>
  <c r="AC22" i="46" a="1"/>
  <c r="D113" i="17" a="1"/>
  <c r="W26" i="17" a="1"/>
  <c r="W113" i="17" a="1"/>
  <c r="V17" i="20" a="1"/>
  <c r="W24" i="15" a="1"/>
  <c r="I29" i="44" a="1"/>
  <c r="BK16" i="46" a="1"/>
  <c r="E76" i="26" a="1"/>
  <c r="G87" i="20" a="1"/>
  <c r="R24" i="19" a="1"/>
  <c r="AB24" i="16" a="1"/>
  <c r="W131" i="46" a="1"/>
  <c r="V42" i="19" a="1"/>
  <c r="I16" i="50" a="1"/>
  <c r="Y56" i="17" a="1"/>
  <c r="T31" i="26" a="1"/>
  <c r="I17" i="48" a="1"/>
  <c r="BH103" i="46" a="1"/>
  <c r="J46" i="19" a="1"/>
  <c r="K56" i="46" a="1"/>
  <c r="X86" i="17" a="1"/>
  <c r="BI113" i="46" a="1"/>
  <c r="AA79" i="16" a="1"/>
  <c r="I35" i="20" a="1"/>
  <c r="AB75" i="16" a="1"/>
  <c r="D28" i="50" a="1"/>
  <c r="J59" i="26" a="1"/>
  <c r="W14" i="50" a="1"/>
  <c r="E124" i="19" a="1"/>
  <c r="V46" i="20" a="1"/>
  <c r="T71" i="15" a="1"/>
  <c r="S43" i="20" a="1"/>
  <c r="S88" i="20" a="1"/>
  <c r="D56" i="26" a="1"/>
  <c r="J9" i="17" a="1"/>
  <c r="U11" i="48" a="1"/>
  <c r="T58" i="17" a="1"/>
  <c r="F118" i="20" a="1"/>
  <c r="J30" i="48" a="1"/>
  <c r="K94" i="46" a="1"/>
  <c r="F119" i="46" a="1"/>
  <c r="I85" i="16" a="1"/>
  <c r="E105" i="20" a="1"/>
  <c r="F116" i="46" a="1"/>
  <c r="W103" i="46" a="1"/>
  <c r="R31" i="19" a="1"/>
  <c r="H41" i="21" a="1"/>
  <c r="R95" i="20" a="1"/>
  <c r="Y13" i="48" a="1"/>
  <c r="J54" i="17" a="1"/>
  <c r="W79" i="17" a="1"/>
  <c r="T126" i="19" a="1"/>
  <c r="J41" i="19" a="1"/>
  <c r="E102" i="20" a="1"/>
  <c r="BG101" i="46" a="1"/>
  <c r="AB63" i="15" a="1"/>
  <c r="J138" i="46" a="1"/>
  <c r="X50" i="46" a="1"/>
  <c r="G38" i="19" a="1"/>
  <c r="BG108" i="46" a="1"/>
  <c r="I97" i="16" a="1"/>
  <c r="G62" i="17" a="1"/>
  <c r="J60" i="17" a="1"/>
  <c r="V115" i="20" a="1"/>
  <c r="X34" i="17" a="1"/>
  <c r="F143" i="46" a="1"/>
  <c r="R83" i="20" a="1"/>
  <c r="S57" i="20" a="1"/>
  <c r="G13" i="21" a="1"/>
  <c r="E47" i="15" a="1"/>
  <c r="I8" i="50" a="1"/>
  <c r="F87" i="15" a="1"/>
  <c r="F50" i="46" a="1"/>
  <c r="G9" i="50" a="1"/>
  <c r="BG105" i="46" a="1"/>
  <c r="H70" i="20" a="1"/>
  <c r="T58" i="15" a="1"/>
  <c r="H18" i="48" a="1"/>
  <c r="I50" i="20" a="1"/>
  <c r="X102" i="46" a="1"/>
  <c r="R63" i="15" a="1"/>
  <c r="BJ62" i="46" a="1"/>
  <c r="H42" i="26" a="1"/>
  <c r="AA9" i="16" a="1"/>
  <c r="R128" i="19" a="1"/>
  <c r="V52" i="19" a="1"/>
  <c r="R43" i="21" a="1"/>
  <c r="X102" i="17" a="1"/>
  <c r="H35" i="26" a="1"/>
  <c r="R79" i="17" a="1"/>
  <c r="U72" i="46" a="1"/>
  <c r="BI131" i="46" a="1"/>
  <c r="W89" i="16" a="1"/>
  <c r="S67" i="16" a="1"/>
  <c r="J59" i="15" a="1"/>
  <c r="G72" i="15" a="1"/>
  <c r="H20" i="50" a="1"/>
  <c r="X38" i="46" a="1"/>
  <c r="E30" i="48" a="1"/>
  <c r="G82" i="17" a="1"/>
  <c r="F11" i="20" a="1"/>
  <c r="T82" i="20" a="1"/>
  <c r="F84" i="20" a="1"/>
  <c r="E23" i="16" a="1"/>
  <c r="R53" i="19" a="1"/>
  <c r="X100" i="17" a="1"/>
  <c r="I29" i="17" a="1"/>
  <c r="X104" i="46" a="1"/>
  <c r="K6" i="15" a="1"/>
  <c r="H12" i="20" a="1"/>
  <c r="H64" i="46" a="1"/>
  <c r="J66" i="15" a="1"/>
  <c r="E118" i="20" a="1"/>
  <c r="X26" i="46" a="1"/>
  <c r="W102" i="17" a="1"/>
  <c r="X135" i="46" a="1"/>
  <c r="BG6" i="46" a="1"/>
  <c r="U116" i="19" a="1"/>
  <c r="X9" i="44" a="1"/>
  <c r="G57" i="19" a="1"/>
  <c r="W22" i="46" a="1"/>
  <c r="F41" i="46" a="1"/>
  <c r="J145" i="46" a="1"/>
  <c r="AC104" i="46" a="1"/>
  <c r="Y40" i="17" a="1"/>
  <c r="BI69" i="46" a="1"/>
  <c r="E18" i="21" a="1"/>
  <c r="I93" i="15" a="1"/>
  <c r="X51" i="15" a="1"/>
  <c r="K6" i="46" a="1"/>
  <c r="T74" i="16" a="1"/>
  <c r="BH35" i="46" a="1"/>
  <c r="Y76" i="46" a="1"/>
  <c r="AB96" i="16" a="1"/>
  <c r="E41" i="48" a="1"/>
  <c r="I61" i="26" a="1"/>
  <c r="G48" i="20" a="1"/>
  <c r="F112" i="20" a="1"/>
  <c r="I49" i="46" a="1"/>
  <c r="X111" i="17" a="1"/>
  <c r="I52" i="15" a="1"/>
  <c r="D102" i="16" a="1"/>
  <c r="V13" i="20" a="1"/>
  <c r="G78" i="20" a="1"/>
  <c r="BI124" i="46" a="1"/>
  <c r="J18" i="19" a="1"/>
  <c r="I23" i="44" a="1"/>
  <c r="G43" i="21" a="1"/>
  <c r="H93" i="46" a="1"/>
  <c r="T107" i="20" a="1"/>
  <c r="U48" i="19" a="1"/>
  <c r="W58" i="17" a="1"/>
  <c r="D59" i="16" a="1"/>
  <c r="K93" i="17" a="1"/>
  <c r="W40" i="50" a="1"/>
  <c r="K9" i="46" a="1"/>
  <c r="E57" i="26" a="1"/>
  <c r="R10" i="26" a="1"/>
  <c r="G43" i="26" a="1"/>
  <c r="AB61" i="16" a="1"/>
  <c r="AA63" i="16" a="1"/>
  <c r="J35" i="26" a="1"/>
  <c r="H80" i="46" a="1"/>
  <c r="G33" i="46" a="1"/>
  <c r="Y7" i="48" a="1"/>
  <c r="H94" i="46" a="1"/>
  <c r="J24" i="17" a="1"/>
  <c r="S14" i="19" a="1"/>
  <c r="L63" i="46" a="1"/>
  <c r="W63" i="15" a="1"/>
  <c r="K35" i="17" a="1"/>
  <c r="E132" i="19" a="1"/>
  <c r="U106" i="20" a="1"/>
  <c r="D92" i="17" a="1"/>
  <c r="X139" i="46" a="1"/>
  <c r="V29" i="50" a="1"/>
  <c r="H35" i="50" a="1"/>
  <c r="U44" i="21" a="1"/>
  <c r="BK57" i="46" a="1"/>
  <c r="D8" i="26" a="1"/>
  <c r="X15" i="48" a="1"/>
  <c r="AB47" i="15" a="1"/>
  <c r="S20" i="20" a="1"/>
  <c r="Z96" i="15" a="1"/>
  <c r="D73" i="20" a="1"/>
  <c r="J114" i="46" a="1"/>
  <c r="T12" i="46" a="1"/>
  <c r="R114" i="17" a="1"/>
  <c r="E8" i="21" a="1"/>
  <c r="AA13" i="16" a="1"/>
  <c r="V98" i="15" a="1"/>
  <c r="G12" i="17" a="1"/>
  <c r="W12" i="50" a="1"/>
  <c r="R12" i="17" a="1"/>
  <c r="J14" i="17" a="1"/>
  <c r="K94" i="17" a="1"/>
  <c r="BI119" i="46" a="1"/>
  <c r="BG54" i="46" a="1"/>
  <c r="H109" i="46" a="1"/>
  <c r="AA71" i="46" a="1"/>
  <c r="T22" i="44" a="1"/>
  <c r="X46" i="17" a="1"/>
  <c r="E35" i="50" a="1"/>
  <c r="W146" i="46" a="1"/>
  <c r="I93" i="16" a="1"/>
  <c r="Z118" i="46" a="1"/>
  <c r="V24" i="44" a="1"/>
  <c r="K142" i="46" a="1"/>
  <c r="AB9" i="46" a="1"/>
  <c r="AA75" i="16" a="1"/>
  <c r="H101" i="16" a="1"/>
  <c r="E9" i="17" a="1"/>
  <c r="AC95" i="46" a="1"/>
  <c r="U33" i="48" a="1"/>
  <c r="W47" i="16" a="1"/>
  <c r="T80" i="46" a="1"/>
  <c r="L19" i="48" a="1"/>
  <c r="BH55" i="46" a="1"/>
  <c r="E71" i="16" a="1"/>
  <c r="R18" i="19" a="1"/>
  <c r="K47" i="17" a="1"/>
  <c r="L71" i="46" a="1"/>
  <c r="AA11" i="15" a="1"/>
  <c r="G30" i="48" a="1"/>
  <c r="G109" i="16" a="1"/>
  <c r="V80" i="20" a="1"/>
  <c r="T46" i="48" a="1"/>
  <c r="AA8" i="44" a="1"/>
  <c r="D12" i="50" a="1"/>
  <c r="E37" i="19" a="1"/>
  <c r="W105" i="16" a="1"/>
  <c r="E7" i="15" a="1"/>
  <c r="W143" i="46" a="1"/>
  <c r="F22" i="46" a="1"/>
  <c r="H42" i="17" a="1"/>
  <c r="X39" i="46" a="1"/>
  <c r="I46" i="17" a="1"/>
  <c r="BI31" i="46" a="1"/>
  <c r="R87" i="15" a="1"/>
  <c r="U40" i="20" a="1"/>
  <c r="G108" i="17" a="1"/>
  <c r="I28" i="50" a="1"/>
  <c r="S48" i="17" a="1"/>
  <c r="D110" i="17" a="1"/>
  <c r="V65" i="15" a="1"/>
  <c r="F85" i="17" a="1"/>
  <c r="G37" i="46" a="1"/>
  <c r="I137" i="46" a="1"/>
  <c r="H84" i="15" a="1"/>
  <c r="E63" i="17" a="1"/>
  <c r="K38" i="48" a="1"/>
  <c r="G44" i="20" a="1"/>
  <c r="G65" i="17" a="1"/>
  <c r="AC113" i="46" a="1"/>
  <c r="BG123" i="46" a="1"/>
  <c r="F19" i="48" a="1"/>
  <c r="U14" i="48" a="1"/>
  <c r="E34" i="20" a="1"/>
  <c r="H17" i="17" a="1"/>
  <c r="BJ93" i="46" a="1"/>
  <c r="H35" i="20" a="1"/>
  <c r="F36" i="48" a="1"/>
  <c r="K12" i="17" a="1"/>
  <c r="S12" i="48" a="1"/>
  <c r="W78" i="15" a="1"/>
  <c r="BH84" i="46" a="1"/>
  <c r="E64" i="15" a="1"/>
  <c r="T37" i="20" a="1"/>
  <c r="BG31" i="46" a="1"/>
  <c r="W13" i="50" a="1"/>
  <c r="AB106" i="16" a="1"/>
  <c r="K33" i="17" a="1"/>
  <c r="F67" i="46" a="1"/>
  <c r="V62" i="20" a="1"/>
  <c r="J55" i="16" a="1"/>
  <c r="E38" i="17" a="1"/>
  <c r="I104" i="17" a="1"/>
  <c r="BG73" i="46" a="1"/>
  <c r="Y52" i="17" a="1"/>
  <c r="AA62" i="16" a="1"/>
  <c r="F76" i="26" a="1"/>
  <c r="BI88" i="46" a="1"/>
  <c r="I140" i="46" a="1"/>
  <c r="S118" i="19" a="1"/>
  <c r="Y82" i="15" a="1"/>
  <c r="K74" i="46" a="1"/>
  <c r="L61" i="46" a="1"/>
  <c r="J101" i="17" a="1"/>
  <c r="Y65" i="15" a="1"/>
  <c r="H41" i="50" a="1"/>
  <c r="F70" i="17" a="1"/>
  <c r="F98" i="15" a="1"/>
  <c r="H85" i="20" a="1"/>
  <c r="BI73" i="46" a="1"/>
  <c r="S15" i="21" a="1"/>
  <c r="Y94" i="46" a="1"/>
  <c r="H108" i="46" a="1"/>
  <c r="I58" i="46" a="1"/>
  <c r="F99" i="20" a="1"/>
  <c r="R67" i="16" a="1"/>
  <c r="E91" i="15" a="1"/>
  <c r="S58" i="19" a="1"/>
  <c r="T79" i="17" a="1"/>
  <c r="H65" i="20" a="1"/>
  <c r="W76" i="15" a="1"/>
  <c r="W94" i="46" a="1"/>
  <c r="X62" i="15" a="1"/>
  <c r="E48" i="19" a="1"/>
  <c r="AA47" i="16" a="1"/>
  <c r="D38" i="21" a="1"/>
  <c r="H12" i="46" a="1"/>
  <c r="S108" i="19" a="1"/>
  <c r="G42" i="46" a="1"/>
  <c r="E19" i="20" a="1"/>
  <c r="H131" i="19" a="1"/>
  <c r="T87" i="20" a="1"/>
  <c r="T35" i="17" a="1"/>
  <c r="D98" i="16" a="1"/>
  <c r="I12" i="48" a="1"/>
  <c r="I101" i="17" a="1"/>
  <c r="H23" i="26" a="1"/>
  <c r="J77" i="16" a="1"/>
  <c r="W99" i="17" a="1"/>
  <c r="BH114" i="46" a="1"/>
  <c r="AB81" i="15" a="1"/>
  <c r="E85" i="15" a="1"/>
  <c r="I103" i="46" a="1"/>
  <c r="Y77" i="17" a="1"/>
  <c r="F57" i="17" a="1"/>
  <c r="E69" i="16" a="1"/>
  <c r="J13" i="50" a="1"/>
  <c r="BK71" i="46" a="1"/>
  <c r="S96" i="20" a="1"/>
  <c r="T30" i="50" a="1"/>
  <c r="BI144" i="46" a="1"/>
  <c r="E21" i="26" a="1"/>
  <c r="D30" i="17" a="1"/>
  <c r="G39" i="21" a="1"/>
  <c r="F49" i="17" a="1"/>
  <c r="W140" i="46" a="1"/>
  <c r="F65" i="17" a="1"/>
  <c r="X97" i="17" a="1"/>
  <c r="U67" i="46" a="1"/>
  <c r="H16" i="21" a="1"/>
  <c r="H53" i="17" a="1"/>
  <c r="BG132" i="46" a="1"/>
  <c r="V97" i="15" a="1"/>
  <c r="I16" i="44" a="1"/>
  <c r="F107" i="16" a="1"/>
  <c r="Z90" i="46" a="1"/>
  <c r="V12" i="46" a="1"/>
  <c r="H45" i="20" a="1"/>
  <c r="Y86" i="15" a="1"/>
  <c r="V55" i="20" a="1"/>
  <c r="S80" i="17" a="1"/>
  <c r="X80" i="17" a="1"/>
  <c r="G91" i="17" a="1"/>
  <c r="T110" i="20" a="1"/>
  <c r="E81" i="16" a="1"/>
  <c r="BK99" i="46" a="1"/>
  <c r="BH126" i="46" a="1"/>
  <c r="K57" i="17" a="1"/>
  <c r="Y66" i="46" a="1"/>
  <c r="J115" i="17" a="1"/>
  <c r="D79" i="20" a="1"/>
  <c r="W44" i="46" a="1"/>
  <c r="F58" i="19" a="1"/>
  <c r="J76" i="26" a="1"/>
  <c r="T20" i="50" a="1"/>
  <c r="R35" i="26" a="1"/>
  <c r="J38" i="46" a="1"/>
  <c r="E54" i="16" a="1"/>
  <c r="F77" i="26" a="1"/>
  <c r="Z20" i="16" a="1"/>
  <c r="R69" i="20" a="1"/>
  <c r="AB56" i="16" a="1"/>
  <c r="T91" i="20" a="1"/>
  <c r="Z16" i="48" a="1"/>
  <c r="Y61" i="15" a="1"/>
  <c r="K83" i="15" a="1"/>
  <c r="J79" i="15" a="1"/>
  <c r="V9" i="19" a="1"/>
  <c r="H103" i="17" a="1"/>
  <c r="AC37" i="46" a="1"/>
  <c r="W85" i="16" a="1"/>
  <c r="BK61" i="46" a="1"/>
  <c r="S22" i="50" a="1"/>
  <c r="S7" i="44" a="1"/>
  <c r="H21" i="46" a="1"/>
  <c r="AC59" i="46" a="1"/>
  <c r="S88" i="15" a="1"/>
  <c r="D96" i="15" a="1"/>
  <c r="F37" i="26" a="1"/>
  <c r="AB80" i="46" a="1"/>
  <c r="H105" i="17" a="1"/>
  <c r="H22" i="46" a="1"/>
  <c r="S56" i="16" a="1"/>
  <c r="V105" i="20" a="1"/>
  <c r="F49" i="46" a="1"/>
  <c r="S28" i="21" a="1"/>
  <c r="AA71" i="15" a="1"/>
  <c r="S37" i="20" a="1"/>
  <c r="K88" i="17" a="1"/>
  <c r="H25" i="50" a="1"/>
  <c r="E12" i="48" a="1"/>
  <c r="E115" i="17" a="1"/>
  <c r="K58" i="46" a="1"/>
  <c r="S75" i="17" a="1"/>
  <c r="F100" i="17" a="1"/>
  <c r="E28" i="48" a="1"/>
  <c r="S66" i="26" a="1"/>
  <c r="BG33" i="46" a="1"/>
  <c r="D7" i="15" a="1"/>
  <c r="F51" i="15" a="1"/>
  <c r="AA85" i="15" a="1"/>
  <c r="J64" i="16" a="1"/>
  <c r="BG133" i="46" a="1"/>
  <c r="F71" i="16" a="1"/>
  <c r="L40" i="48" a="1"/>
  <c r="Z11" i="16" a="1"/>
  <c r="D91" i="15" a="1"/>
  <c r="J113" i="19" a="1"/>
  <c r="K50" i="17" a="1"/>
  <c r="E39" i="20" a="1"/>
  <c r="E37" i="48" a="1"/>
  <c r="H70" i="46" a="1"/>
  <c r="H38" i="19" a="1"/>
  <c r="AE44" i="26" a="1"/>
  <c r="F9" i="17" a="1"/>
  <c r="BJ136" i="46" a="1"/>
  <c r="AC46" i="26" a="1"/>
  <c r="BH82" i="46" a="1"/>
  <c r="R58" i="26" a="1"/>
  <c r="X41" i="17" a="1"/>
  <c r="D77" i="26" a="1"/>
  <c r="G39" i="17" a="1"/>
  <c r="T83" i="20" a="1"/>
  <c r="S90" i="17" a="1"/>
  <c r="U51" i="46" a="1"/>
  <c r="Z27" i="16" a="1"/>
  <c r="AB41" i="26" a="1"/>
  <c r="J63" i="16" a="1"/>
  <c r="R8" i="21" a="1"/>
  <c r="Z23" i="15" a="1"/>
  <c r="G77" i="26" a="1"/>
  <c r="R52" i="21" a="1"/>
  <c r="V45" i="19" a="1"/>
  <c r="E87" i="17" a="1"/>
  <c r="J109" i="16" a="1"/>
  <c r="BH7" i="46" a="1"/>
  <c r="F12" i="19" a="1"/>
  <c r="S78" i="20" a="1"/>
  <c r="H14" i="17" a="1"/>
  <c r="J114" i="17" a="1"/>
  <c r="F41" i="15" a="1"/>
  <c r="T33" i="20" a="1"/>
  <c r="BI62" i="46" a="1"/>
  <c r="X77" i="16" a="1"/>
  <c r="V41" i="21" a="1"/>
  <c r="W38" i="15" a="1"/>
  <c r="F14" i="16" a="1"/>
  <c r="V91" i="20" a="1"/>
  <c r="Y111" i="17" a="1"/>
  <c r="D15" i="16" a="1"/>
  <c r="I25" i="44" a="1"/>
  <c r="E100" i="20" a="1"/>
  <c r="J20" i="26" a="1"/>
  <c r="E94" i="16" a="1"/>
  <c r="Z32" i="15" a="1"/>
  <c r="BK10" i="46" a="1"/>
  <c r="I43" i="46" a="1"/>
  <c r="U48" i="46" a="1"/>
  <c r="BI51" i="46" a="1"/>
  <c r="J11" i="50" a="1"/>
  <c r="I116" i="19" a="1"/>
  <c r="S75" i="20" a="1"/>
  <c r="S43" i="17" a="1"/>
  <c r="U10" i="50" a="1"/>
  <c r="F54" i="46" a="1"/>
  <c r="AC129" i="46" a="1"/>
  <c r="H57" i="16" a="1"/>
  <c r="R101" i="20" a="1"/>
  <c r="J42" i="19" a="1"/>
  <c r="R82" i="16" a="1"/>
  <c r="I113" i="17" a="1"/>
  <c r="H99" i="17" a="1"/>
  <c r="J52" i="19" a="1"/>
  <c r="BH40" i="46" a="1"/>
  <c r="J35" i="46" a="1"/>
  <c r="T42" i="20" a="1"/>
  <c r="I94" i="46" a="1"/>
  <c r="T22" i="21" a="1"/>
  <c r="T67" i="46" a="1"/>
  <c r="S43" i="21" a="1"/>
  <c r="U33" i="19" a="1"/>
  <c r="H66" i="17" a="1"/>
  <c r="D24" i="19" a="1"/>
  <c r="H30" i="48" a="1"/>
  <c r="J92" i="15" a="1"/>
  <c r="L14" i="46" a="1"/>
  <c r="D65" i="16" a="1"/>
  <c r="W111" i="17" a="1"/>
  <c r="W84" i="17" a="1"/>
  <c r="J56" i="19" a="1"/>
  <c r="BJ97" i="46" a="1"/>
  <c r="S72" i="17" a="1"/>
  <c r="F83" i="46" a="1"/>
  <c r="R53" i="15" a="1"/>
  <c r="AC31" i="26" a="1"/>
  <c r="BG86" i="46" a="1"/>
  <c r="U26" i="48" a="1"/>
  <c r="W44" i="16" a="1"/>
  <c r="Z47" i="46" a="1"/>
  <c r="R27" i="20" a="1"/>
  <c r="F92" i="20" a="1"/>
  <c r="I79" i="15" a="1"/>
  <c r="V31" i="50" a="1"/>
  <c r="D87" i="15" a="1"/>
  <c r="F81" i="17" a="1"/>
  <c r="E78" i="20" a="1"/>
  <c r="H48" i="21" a="1"/>
  <c r="R33" i="26" a="1"/>
  <c r="H131" i="46" a="1"/>
  <c r="R49" i="19" a="1"/>
  <c r="X44" i="15" a="1"/>
  <c r="W43" i="46" a="1"/>
  <c r="H117" i="46" a="1"/>
  <c r="K144" i="46" a="1"/>
  <c r="R90" i="20" a="1"/>
  <c r="J44" i="15" a="1"/>
  <c r="H49" i="19" a="1"/>
  <c r="BG109" i="46" a="1"/>
  <c r="F27" i="15" a="1"/>
  <c r="G24" i="50" a="1"/>
  <c r="AB45" i="15" a="1"/>
  <c r="K70" i="15" a="1"/>
  <c r="E56" i="17" a="1"/>
  <c r="R50" i="17" a="1"/>
  <c r="H6" i="16" a="1"/>
  <c r="F86" i="16" a="1"/>
  <c r="Y95" i="17" a="1"/>
  <c r="F76" i="46" a="1"/>
  <c r="J35" i="17" a="1"/>
  <c r="I72" i="16" a="1"/>
  <c r="F136" i="19" a="1"/>
  <c r="BG97" i="46" a="1"/>
  <c r="F78" i="26" a="1"/>
  <c r="BI142" i="46" a="1"/>
  <c r="F70" i="16" a="1"/>
  <c r="Z125" i="46" a="1"/>
  <c r="S37" i="17" a="1"/>
  <c r="E11" i="21" a="1"/>
  <c r="D108" i="20" a="1"/>
  <c r="H44" i="19" a="1"/>
  <c r="J66" i="26" a="1"/>
  <c r="I86" i="17" a="1"/>
  <c r="R66" i="15" a="1"/>
  <c r="F82" i="15" a="1"/>
  <c r="E33" i="15" a="1"/>
  <c r="Y64" i="15" a="1"/>
  <c r="V65" i="20" a="1"/>
  <c r="W88" i="17" a="1"/>
  <c r="W8" i="21" a="1"/>
  <c r="T9" i="19" a="1"/>
  <c r="L94" i="46" a="1"/>
  <c r="R81" i="20" a="1"/>
  <c r="AA22" i="15" a="1"/>
  <c r="V16" i="46" a="1"/>
  <c r="F56" i="16" a="1"/>
  <c r="R110" i="20" a="1"/>
  <c r="E12" i="50" a="1"/>
  <c r="V39" i="20" a="1"/>
  <c r="J69" i="16" a="1"/>
  <c r="D24" i="50" a="1"/>
  <c r="E11" i="17" a="1"/>
  <c r="AA95" i="15" a="1"/>
  <c r="D57" i="19" a="1"/>
  <c r="AA105" i="16" a="1"/>
  <c r="J81" i="46" a="1"/>
  <c r="V61" i="46" a="1"/>
  <c r="G65" i="20" a="1"/>
  <c r="BJ33" i="46" a="1"/>
  <c r="E25" i="21" a="1"/>
  <c r="S83" i="17" a="1"/>
  <c r="E25" i="50" a="1"/>
  <c r="BK63" i="46" a="1"/>
  <c r="G85" i="20" a="1"/>
  <c r="Y30" i="17" a="1"/>
  <c r="F55" i="17" a="1"/>
  <c r="Z53" i="46" a="1"/>
  <c r="F13" i="48" a="1"/>
  <c r="D109" i="17" a="1"/>
  <c r="D12" i="26" a="1"/>
  <c r="AA73" i="15" a="1"/>
  <c r="Z31" i="46" a="1"/>
  <c r="R104" i="20" a="1"/>
  <c r="W97" i="15" a="1"/>
  <c r="I38" i="19" a="1"/>
  <c r="R66" i="16" a="1"/>
  <c r="K90" i="46" a="1"/>
  <c r="F23" i="21" a="1"/>
  <c r="X144" i="46" a="1"/>
  <c r="AA36" i="16" a="1"/>
  <c r="S51" i="17" a="1"/>
  <c r="Z73" i="46" a="1"/>
  <c r="W93" i="15" a="1"/>
  <c r="F54" i="20" a="1"/>
  <c r="V100" i="20" a="1"/>
  <c r="AA107" i="16" a="1"/>
  <c r="H36" i="48" a="1"/>
  <c r="X80" i="16" a="1"/>
  <c r="T45" i="19" a="1"/>
  <c r="BJ40" i="46" a="1"/>
  <c r="Y56" i="16" a="1"/>
  <c r="T39" i="20" a="1"/>
  <c r="F23" i="26" a="1"/>
  <c r="J56" i="26" a="1"/>
  <c r="H47" i="20" a="1"/>
  <c r="Y143" i="46" a="1"/>
  <c r="Z12" i="16" a="1"/>
  <c r="D118" i="20" a="1"/>
  <c r="U18" i="48" a="1"/>
  <c r="S59" i="16" a="1"/>
  <c r="G78" i="46" a="1"/>
  <c r="J111" i="46" a="1"/>
  <c r="F34" i="50" a="1"/>
  <c r="V16" i="21" a="1"/>
  <c r="T49" i="46" a="1"/>
  <c r="S59" i="19" a="1"/>
  <c r="BK120" i="46" a="1"/>
  <c r="BK14" i="46" a="1"/>
  <c r="AC146" i="46" a="1"/>
  <c r="X55" i="15" a="1"/>
  <c r="H76" i="16" a="1"/>
  <c r="AC75" i="46" a="1"/>
  <c r="T88" i="20" a="1"/>
  <c r="I40" i="19" a="1"/>
  <c r="W28" i="48" a="1"/>
  <c r="AE42" i="26" a="1"/>
  <c r="K31" i="46" a="1"/>
  <c r="V61" i="15" a="1"/>
  <c r="R95" i="17" a="1"/>
  <c r="AC40" i="46" a="1"/>
  <c r="T57" i="19" a="1"/>
  <c r="R71" i="16" a="1"/>
  <c r="T20" i="20" a="1"/>
  <c r="I138" i="19" a="1"/>
  <c r="BK117" i="46" a="1"/>
  <c r="I144" i="46" a="1"/>
  <c r="H43" i="19" a="1"/>
  <c r="H46" i="20" a="1"/>
  <c r="AB73" i="16" a="1"/>
  <c r="D42" i="21" a="1"/>
  <c r="J56" i="17" a="1"/>
  <c r="V84" i="20" a="1"/>
  <c r="F37" i="16" a="1"/>
  <c r="I68" i="46" a="1"/>
  <c r="BH133" i="46" a="1"/>
  <c r="S40" i="19" a="1"/>
  <c r="G70" i="17" a="1"/>
  <c r="D122" i="19" a="1"/>
  <c r="D66" i="16" a="1"/>
  <c r="AB69" i="15" a="1"/>
  <c r="E17" i="19" a="1"/>
  <c r="Y17" i="46" a="1"/>
  <c r="T66" i="16" a="1"/>
  <c r="L21" i="48" a="1"/>
  <c r="F11" i="16" a="1"/>
  <c r="BH136" i="46" a="1"/>
  <c r="J48" i="46" a="1"/>
  <c r="X77" i="15" a="1"/>
  <c r="Y11" i="48" a="1"/>
  <c r="R86" i="20" a="1"/>
  <c r="X70" i="15" a="1"/>
  <c r="R16" i="44" a="1"/>
  <c r="G21" i="50" a="1"/>
  <c r="I20" i="48" a="1"/>
  <c r="D68" i="20" a="1"/>
  <c r="BK30" i="46" a="1"/>
  <c r="Y102" i="46" a="1"/>
  <c r="F97" i="20" a="1"/>
  <c r="E15" i="26" a="1"/>
  <c r="F31" i="20" a="1"/>
  <c r="J66" i="46" a="1"/>
  <c r="J18" i="50" a="1"/>
  <c r="R80" i="15" a="1"/>
  <c r="AA51" i="15" a="1"/>
  <c r="E101" i="20" a="1"/>
  <c r="I13" i="17" a="1"/>
  <c r="S39" i="48" a="1"/>
  <c r="BG61" i="46" a="1"/>
  <c r="J137" i="19" a="1"/>
  <c r="H78" i="26" a="1"/>
  <c r="D68" i="15" a="1"/>
  <c r="X43" i="26" a="1"/>
  <c r="J66" i="16" a="1"/>
  <c r="BI41" i="46" a="1"/>
  <c r="K14" i="48" a="1"/>
  <c r="W17" i="21" a="1"/>
  <c r="V15" i="44" a="1"/>
  <c r="V76" i="15" a="1"/>
  <c r="J40" i="21" a="1"/>
  <c r="J68" i="46" a="1"/>
  <c r="K24" i="48" a="1"/>
  <c r="H135" i="19" a="1"/>
  <c r="AB36" i="16" a="1"/>
  <c r="W89" i="17" a="1"/>
  <c r="W14" i="21" a="1"/>
  <c r="G23" i="20" a="1"/>
  <c r="S10" i="20" a="1"/>
  <c r="J85" i="15" a="1"/>
  <c r="G47" i="20" a="1"/>
  <c r="T36" i="20" a="1"/>
  <c r="AA88" i="16" a="1"/>
  <c r="D86" i="16" a="1"/>
  <c r="BI57" i="46" a="1"/>
  <c r="E27" i="48" a="1"/>
  <c r="Z72" i="46" a="1"/>
  <c r="S120" i="19" a="1"/>
  <c r="K30" i="17" a="1"/>
  <c r="G36" i="17" a="1"/>
  <c r="T14" i="48" a="1"/>
  <c r="F14" i="19" a="1"/>
  <c r="H85" i="16" a="1"/>
  <c r="I66" i="15" a="1"/>
  <c r="D16" i="44" a="1"/>
  <c r="U17" i="19" a="1"/>
  <c r="I58" i="17" a="1"/>
  <c r="T103" i="17" a="1"/>
  <c r="Y49" i="46" a="1"/>
  <c r="L28" i="48" a="1"/>
  <c r="E55" i="19" a="1"/>
  <c r="BH38" i="46" a="1"/>
  <c r="G16" i="48" a="1"/>
  <c r="E110" i="17" a="1"/>
  <c r="S9" i="19" a="1"/>
  <c r="Z35" i="15" a="1"/>
  <c r="H137" i="19" a="1"/>
  <c r="R9" i="21" a="1"/>
  <c r="W133" i="46" a="1"/>
  <c r="G54" i="20" a="1"/>
  <c r="I26" i="19" a="1"/>
  <c r="E22" i="48" a="1"/>
  <c r="G42" i="48" a="1"/>
  <c r="R59" i="19" a="1"/>
  <c r="T27" i="21" a="1"/>
  <c r="S80" i="26" a="1"/>
  <c r="S25" i="20" a="1"/>
  <c r="R24" i="21" a="1"/>
  <c r="Z135" i="46" a="1"/>
  <c r="K97" i="15" a="1"/>
  <c r="D36" i="17" a="1"/>
  <c r="J48" i="17" a="1"/>
  <c r="K82" i="46" a="1"/>
  <c r="G25" i="20" a="1"/>
  <c r="S42" i="48" a="1"/>
  <c r="V36" i="19" a="1"/>
  <c r="AC53" i="46" a="1"/>
  <c r="D101" i="17" a="1"/>
  <c r="F86" i="15" a="1"/>
  <c r="R19" i="26" a="1"/>
  <c r="G28" i="44" a="1"/>
  <c r="F115" i="20" a="1"/>
  <c r="Y45" i="46" a="1"/>
  <c r="H18" i="26" a="1"/>
  <c r="AB59" i="15" a="1"/>
  <c r="V50" i="46" a="1"/>
  <c r="K64" i="17" a="1"/>
  <c r="J55" i="19" a="1"/>
  <c r="H76" i="46" a="1"/>
  <c r="R27" i="19" a="1"/>
  <c r="S77" i="20" a="1"/>
  <c r="V82" i="20" a="1"/>
  <c r="BJ86" i="46" a="1"/>
  <c r="F125" i="19" a="1"/>
  <c r="H86" i="20" a="1"/>
  <c r="Y39" i="17" a="1"/>
  <c r="BJ50" i="46" a="1"/>
  <c r="D64" i="16" a="1"/>
  <c r="U18" i="50" a="1"/>
  <c r="I133" i="19" a="1"/>
  <c r="H79" i="15" a="1"/>
  <c r="J133" i="19" a="1"/>
  <c r="R16" i="17" a="1"/>
  <c r="D28" i="15" a="1"/>
  <c r="T87" i="15" a="1"/>
  <c r="F45" i="46" a="1"/>
  <c r="T46" i="20" a="1"/>
  <c r="H64" i="17" a="1"/>
  <c r="F25" i="44" a="1"/>
  <c r="AB80" i="16" a="1"/>
  <c r="BJ57" i="46" a="1"/>
  <c r="AA29" i="16" a="1"/>
  <c r="S9" i="48" a="1"/>
  <c r="J78" i="16" a="1"/>
  <c r="L24" i="46" a="1"/>
  <c r="BJ95" i="46" a="1"/>
  <c r="G19" i="26" a="1"/>
  <c r="I88" i="16" a="1"/>
  <c r="H52" i="15" a="1"/>
  <c r="T85" i="20" a="1"/>
  <c r="BG27" i="46" a="1"/>
  <c r="H47" i="46" a="1"/>
  <c r="F90" i="20" a="1"/>
  <c r="J143" i="19" a="1"/>
  <c r="G94" i="17" a="1"/>
  <c r="W8" i="46" a="1"/>
  <c r="V30" i="50" a="1"/>
  <c r="R54" i="16" a="1"/>
  <c r="I8" i="44" a="1"/>
  <c r="G27" i="19" a="1"/>
  <c r="I7" i="46" a="1"/>
  <c r="I44" i="20" a="1"/>
  <c r="BH124" i="46" a="1"/>
  <c r="U118" i="19" a="1"/>
  <c r="T30" i="19" a="1"/>
  <c r="F89" i="16" a="1"/>
  <c r="E34" i="17" a="1"/>
  <c r="J10" i="26" a="1"/>
  <c r="H56" i="26" a="1"/>
  <c r="S21" i="48" a="1"/>
  <c r="W65" i="16" a="1"/>
  <c r="X60" i="46" a="1"/>
  <c r="L6" i="46" a="1"/>
  <c r="I20" i="26" a="1"/>
  <c r="Z22" i="46" a="1"/>
  <c r="F26" i="21" a="1"/>
  <c r="D46" i="19" a="1"/>
  <c r="AB50" i="46" a="1"/>
  <c r="S35" i="50" a="1"/>
  <c r="U35" i="21" a="1"/>
  <c r="G110" i="46" a="1"/>
  <c r="H32" i="19" a="1"/>
  <c r="Z137" i="46" a="1"/>
  <c r="D19" i="16" a="1"/>
  <c r="E28" i="17" a="1"/>
  <c r="U57" i="19" a="1"/>
  <c r="F75" i="17" a="1"/>
  <c r="V23" i="44" a="1"/>
  <c r="I52" i="19" a="1"/>
  <c r="S16" i="17" a="1"/>
  <c r="BK146" i="46" a="1"/>
  <c r="BJ121" i="46" a="1"/>
  <c r="G56" i="19" a="1"/>
  <c r="E113" i="17" a="1"/>
  <c r="S69" i="15" a="1"/>
  <c r="G72" i="17" a="1"/>
  <c r="G21" i="19" a="1"/>
  <c r="J92" i="16" a="1"/>
  <c r="E7" i="17" a="1"/>
  <c r="R117" i="20" a="1"/>
  <c r="Z21" i="48" a="1"/>
  <c r="V26" i="21" a="1"/>
  <c r="Z49" i="46" a="1"/>
  <c r="U38" i="20" a="1"/>
  <c r="E68" i="17" a="1"/>
  <c r="Y9" i="44" a="1"/>
  <c r="S85" i="17" a="1"/>
  <c r="I14" i="19" a="1"/>
  <c r="H53" i="19" a="1"/>
  <c r="E17" i="15" a="1"/>
  <c r="S81" i="26" a="1"/>
  <c r="AA14" i="16" a="1"/>
  <c r="BG124" i="46" a="1"/>
  <c r="X122" i="46" a="1"/>
  <c r="BI16" i="46" a="1"/>
  <c r="F56" i="17" a="1"/>
  <c r="J57" i="17" a="1"/>
  <c r="G14" i="50" a="1"/>
  <c r="H98" i="17" a="1"/>
  <c r="V45" i="20" a="1"/>
  <c r="H63" i="16" a="1"/>
  <c r="J142" i="46" a="1"/>
  <c r="BG121" i="46" a="1"/>
  <c r="R70" i="15" a="1"/>
  <c r="G66" i="46" a="1"/>
  <c r="R33" i="16" a="1"/>
  <c r="I84" i="17" a="1"/>
  <c r="I97" i="17" a="1"/>
  <c r="Y104" i="17" a="1"/>
  <c r="W49" i="46" a="1"/>
  <c r="W9" i="44" a="1"/>
  <c r="F128" i="46" a="1"/>
  <c r="F109" i="16" a="1"/>
  <c r="G60" i="46" a="1"/>
  <c r="L72" i="46" a="1"/>
  <c r="E9" i="16" a="1"/>
  <c r="E33" i="26" a="1"/>
  <c r="D14" i="19" a="1"/>
  <c r="R29" i="17" a="1"/>
  <c r="K63" i="17" a="1"/>
  <c r="E66" i="16" a="1"/>
  <c r="BK35" i="46" a="1"/>
  <c r="BK108" i="46" a="1"/>
  <c r="I34" i="21" a="1"/>
  <c r="H61" i="16" a="1"/>
  <c r="G21" i="26" a="1"/>
  <c r="L45" i="48" a="1"/>
  <c r="T110" i="19" a="1"/>
  <c r="I51" i="19" a="1"/>
  <c r="E110" i="20" a="1"/>
  <c r="AC78" i="46" a="1"/>
  <c r="AB97" i="16" a="1"/>
  <c r="AC112" i="46" a="1"/>
  <c r="D98" i="17" a="1"/>
  <c r="J45" i="15" a="1"/>
  <c r="T28" i="48" a="1"/>
  <c r="J104" i="46" a="1"/>
  <c r="Y55" i="15" a="1"/>
  <c r="K71" i="46" a="1"/>
  <c r="F19" i="16" a="1"/>
  <c r="I48" i="17" a="1"/>
  <c r="BH79" i="46" a="1"/>
  <c r="G47" i="15" a="1"/>
  <c r="S58" i="26" a="1"/>
  <c r="U57" i="46" a="1"/>
  <c r="AB58" i="16" a="1"/>
  <c r="F32" i="46" a="1"/>
  <c r="V44" i="26" a="1"/>
  <c r="X20" i="48" a="1"/>
  <c r="S52" i="17" a="1"/>
  <c r="T77" i="20" a="1"/>
  <c r="E54" i="15" a="1"/>
  <c r="G37" i="50" a="1"/>
  <c r="X37" i="46" a="1"/>
  <c r="F107" i="19" a="1"/>
  <c r="T60" i="16" a="1"/>
  <c r="V70" i="15" a="1"/>
  <c r="J52" i="21" a="1"/>
  <c r="K44" i="15" a="1"/>
  <c r="J109" i="46" a="1"/>
  <c r="K43" i="17" a="1"/>
  <c r="F35" i="50" a="1"/>
  <c r="F26" i="17" a="1"/>
  <c r="G80" i="17" a="1"/>
  <c r="R92" i="17" a="1"/>
  <c r="K42" i="46" a="1"/>
  <c r="I30" i="46" a="1"/>
  <c r="BI136" i="46" a="1"/>
  <c r="H34" i="46" a="1"/>
  <c r="G23" i="50" a="1"/>
  <c r="S51" i="19" a="1"/>
  <c r="V122" i="19" a="1"/>
  <c r="E97" i="15" a="1"/>
  <c r="D42" i="15" a="1"/>
  <c r="J10" i="17" a="1"/>
  <c r="BJ99" i="46" a="1"/>
  <c r="T108" i="17" a="1"/>
  <c r="H61" i="26" a="1"/>
  <c r="I107" i="19" a="1"/>
  <c r="BI117" i="46" a="1"/>
  <c r="F10" i="15" a="1"/>
  <c r="W80" i="46" a="1"/>
  <c r="I71" i="26" a="1"/>
  <c r="Y41" i="46" a="1"/>
  <c r="V58" i="19" a="1"/>
  <c r="F31" i="50" a="1"/>
  <c r="S62" i="15" a="1"/>
  <c r="BK13" i="46" a="1"/>
  <c r="Y120" i="46" a="1"/>
  <c r="I28" i="48" a="1"/>
  <c r="G80" i="16" a="1"/>
  <c r="BI28" i="46" a="1"/>
  <c r="BJ128" i="46" a="1"/>
  <c r="R113" i="19" a="1"/>
  <c r="I49" i="21" a="1"/>
  <c r="V24" i="21" a="1"/>
  <c r="AA93" i="16" a="1"/>
  <c r="V78" i="15" a="1"/>
  <c r="Z67" i="46" a="1"/>
  <c r="K123" i="46" a="1"/>
  <c r="BI122" i="46" a="1"/>
  <c r="E40" i="17" a="1"/>
  <c r="F119" i="19" a="1"/>
  <c r="V20" i="50" a="1"/>
  <c r="T68" i="17" a="1"/>
  <c r="D22" i="26" a="1"/>
  <c r="J130" i="46" a="1"/>
  <c r="W135" i="46" a="1"/>
  <c r="Y64" i="17" a="1"/>
  <c r="I33" i="19" a="1"/>
  <c r="G86" i="46" a="1"/>
  <c r="AC96" i="46" a="1"/>
  <c r="F91" i="20" a="1"/>
  <c r="T68" i="46" a="1"/>
  <c r="AA17" i="16" a="1"/>
  <c r="BK38" i="46" a="1"/>
  <c r="I62" i="15" a="1"/>
  <c r="AC43" i="26" a="1"/>
  <c r="H31" i="19" a="1"/>
  <c r="F20" i="46" a="1"/>
  <c r="E7" i="44" a="1"/>
  <c r="D20" i="26" a="1"/>
  <c r="U115" i="19" a="1"/>
  <c r="K42" i="17" a="1"/>
  <c r="K73" i="17" a="1"/>
  <c r="BJ26" i="46" a="1"/>
  <c r="U31" i="50" a="1"/>
  <c r="G80" i="46" a="1"/>
  <c r="S51" i="20" a="1"/>
  <c r="F63" i="17" a="1"/>
  <c r="Y67" i="16" a="1"/>
  <c r="E45" i="21" a="1"/>
  <c r="H13" i="21" a="1"/>
  <c r="T55" i="15" a="1"/>
  <c r="AA54" i="46" a="1"/>
  <c r="I129" i="19" a="1"/>
  <c r="Z14" i="16" a="1"/>
  <c r="E79" i="17" a="1"/>
  <c r="J104" i="16" a="1"/>
  <c r="BG130" i="46" a="1"/>
  <c r="W38" i="46" a="1"/>
  <c r="S62" i="17" a="1"/>
  <c r="AB29" i="16" a="1"/>
  <c r="T77" i="17" a="1"/>
  <c r="F118" i="46" a="1"/>
  <c r="H89" i="46" a="1"/>
  <c r="D18" i="50" a="1"/>
  <c r="F49" i="21" a="1"/>
  <c r="J32" i="50" a="1"/>
  <c r="AA47" i="15" a="1"/>
  <c r="BG7" i="46" a="1"/>
  <c r="U100" i="20" a="1"/>
  <c r="S102" i="17" a="1"/>
  <c r="R100" i="17" a="1"/>
  <c r="K15" i="48" a="1"/>
  <c r="F50" i="19" a="1"/>
  <c r="AA109" i="16" a="1"/>
  <c r="J49" i="17" a="1"/>
  <c r="U110" i="19" a="1"/>
  <c r="S95" i="17" a="1"/>
  <c r="H29" i="50" a="1"/>
  <c r="G51" i="17" a="1"/>
  <c r="I28" i="21" a="1"/>
  <c r="W118" i="46" a="1"/>
  <c r="I24" i="20" a="1"/>
  <c r="F25" i="48" a="1"/>
  <c r="T83" i="15" a="1"/>
  <c r="J103" i="46" a="1"/>
  <c r="W24" i="46" a="1"/>
  <c r="X46" i="46" a="1"/>
  <c r="J39" i="19" a="1"/>
  <c r="AA11" i="16" a="1"/>
  <c r="K86" i="15" a="1"/>
  <c r="E82" i="20" a="1"/>
  <c r="D48" i="16" a="1"/>
  <c r="J72" i="15" a="1"/>
  <c r="F73" i="15" a="1"/>
  <c r="G126" i="19" a="1"/>
  <c r="BG89" i="46" a="1"/>
  <c r="F39" i="17" a="1"/>
  <c r="J85" i="16" a="1"/>
  <c r="I124" i="46" a="1"/>
  <c r="BK114" i="46" a="1"/>
  <c r="V67" i="20" a="1"/>
  <c r="K54" i="17" a="1"/>
  <c r="BJ91" i="46" a="1"/>
  <c r="H122" i="46" a="1"/>
  <c r="J54" i="16" a="1"/>
  <c r="T12" i="20" a="1"/>
  <c r="V133" i="19" a="1"/>
  <c r="AB63" i="16" a="1"/>
  <c r="S116" i="17" a="1"/>
  <c r="E114" i="17" a="1"/>
  <c r="Y16" i="17" a="1"/>
  <c r="BK90" i="46" a="1"/>
  <c r="D13" i="16" a="1"/>
  <c r="T67" i="16" a="1"/>
  <c r="H70" i="17" a="1"/>
  <c r="T74" i="20" a="1"/>
  <c r="F65" i="16" a="1"/>
  <c r="F97" i="16" a="1"/>
  <c r="D108" i="16" a="1"/>
  <c r="F13" i="50" a="1"/>
  <c r="R56" i="16" a="1"/>
  <c r="S16" i="50" a="1"/>
  <c r="I136" i="46" a="1"/>
  <c r="D38" i="17" a="1"/>
  <c r="BJ15" i="46" a="1"/>
  <c r="T40" i="21" a="1"/>
  <c r="J43" i="16" a="1"/>
  <c r="G20" i="48" a="1"/>
  <c r="F7" i="20" a="1"/>
  <c r="T29" i="17" a="1"/>
  <c r="W66" i="16" a="1"/>
  <c r="E58" i="19" a="1"/>
  <c r="X76" i="46" a="1"/>
  <c r="I41" i="20" a="1"/>
  <c r="AC54" i="46" a="1"/>
  <c r="H111" i="19" a="1"/>
  <c r="D22" i="16" a="1"/>
  <c r="S15" i="48" a="1"/>
  <c r="D81" i="17" a="1"/>
  <c r="V47" i="46" a="1"/>
  <c r="AA94" i="16" a="1"/>
  <c r="X43" i="46" a="1"/>
  <c r="I39" i="48" a="1"/>
  <c r="T34" i="20" a="1"/>
  <c r="H121" i="19" a="1"/>
  <c r="F55" i="15" a="1"/>
  <c r="D60" i="26" a="1"/>
  <c r="J116" i="19" a="1"/>
  <c r="Z143" i="46" a="1"/>
  <c r="G36" i="50" a="1"/>
  <c r="D9" i="15" a="1"/>
  <c r="U34" i="21" a="1"/>
  <c r="Z142" i="46" a="1"/>
  <c r="BK60" i="46" a="1"/>
  <c r="K17" i="48" a="1"/>
  <c r="AD34" i="26" a="1"/>
  <c r="H37" i="21" a="1"/>
  <c r="T52" i="46" a="1"/>
  <c r="G64" i="46" a="1"/>
  <c r="U13" i="20" a="1"/>
  <c r="F46" i="26" a="1"/>
  <c r="Z101" i="46" a="1"/>
  <c r="J62" i="15" a="1"/>
  <c r="X143" i="46" a="1"/>
  <c r="E10" i="26" a="1"/>
  <c r="I108" i="16" a="1"/>
  <c r="J85" i="17" a="1"/>
  <c r="W76" i="46" a="1"/>
  <c r="Y73" i="46" a="1"/>
  <c r="T110" i="17" a="1"/>
  <c r="E43" i="19" a="1"/>
  <c r="J99" i="16" a="1"/>
  <c r="F19" i="19" a="1"/>
  <c r="Z15" i="16" a="1"/>
  <c r="I88" i="15" a="1"/>
  <c r="F25" i="17" a="1"/>
  <c r="F66" i="26" a="1"/>
  <c r="U24" i="48" a="1"/>
  <c r="Z19" i="16" a="1"/>
  <c r="D35" i="50" a="1"/>
  <c r="T38" i="26" a="1"/>
  <c r="R29" i="16" a="1"/>
  <c r="D13" i="15" a="1"/>
  <c r="I86" i="15" a="1"/>
  <c r="F48" i="20" a="1"/>
  <c r="D42" i="16" a="1"/>
  <c r="Y53" i="16" a="1"/>
  <c r="G31" i="46" a="1"/>
  <c r="J82" i="26" a="1"/>
  <c r="W53" i="16" a="1"/>
  <c r="AC84" i="46" a="1"/>
  <c r="X69" i="16" a="1"/>
  <c r="L15" i="46" a="1"/>
  <c r="K95" i="15" a="1"/>
  <c r="H15" i="20" a="1"/>
  <c r="F8" i="50" a="1"/>
  <c r="D21" i="16" a="1"/>
  <c r="BI112" i="46" a="1"/>
  <c r="F62" i="15" a="1"/>
  <c r="T103" i="20" a="1"/>
  <c r="S65" i="17" a="1"/>
  <c r="I51" i="17" a="1"/>
  <c r="E14" i="19" a="1"/>
  <c r="E22" i="16" a="1"/>
  <c r="S43" i="48" a="1"/>
  <c r="H83" i="20" a="1"/>
  <c r="J106" i="46" a="1"/>
  <c r="D72" i="26" a="1"/>
  <c r="I33" i="48" a="1"/>
  <c r="V113" i="19" a="1"/>
  <c r="E41" i="19" a="1"/>
  <c r="X55" i="17" a="1"/>
  <c r="T33" i="17" a="1"/>
  <c r="Y17" i="17" a="1"/>
  <c r="W25" i="48" a="1"/>
  <c r="I11" i="17" a="1"/>
  <c r="D102" i="17" a="1"/>
  <c r="I51" i="20" a="1"/>
  <c r="T11" i="20" a="1"/>
  <c r="F15" i="20" a="1"/>
  <c r="D141" i="19" a="1"/>
  <c r="Z63" i="46" a="1"/>
  <c r="G76" i="46" a="1"/>
  <c r="BJ114" i="46" a="1"/>
  <c r="F27" i="21" a="1"/>
  <c r="T84" i="17" a="1"/>
  <c r="F73" i="17" a="1"/>
  <c r="X89" i="17" a="1"/>
  <c r="K42" i="48" a="1"/>
  <c r="I23" i="50" a="1"/>
  <c r="J70" i="15" a="1"/>
  <c r="J10" i="21" a="1"/>
  <c r="F84" i="16" a="1"/>
  <c r="H38" i="48" a="1"/>
  <c r="F29" i="50" a="1"/>
  <c r="D143" i="19" a="1"/>
  <c r="W78" i="17" a="1"/>
  <c r="T34" i="26" a="1"/>
  <c r="R43" i="20" a="1"/>
  <c r="BH29" i="46" a="1"/>
  <c r="T61" i="16" a="1"/>
  <c r="F67" i="16" a="1"/>
  <c r="H12" i="48" a="1"/>
  <c r="J35" i="50" a="1"/>
  <c r="V10" i="21" a="1"/>
  <c r="Y85" i="17" a="1"/>
  <c r="I7" i="44" a="1"/>
  <c r="D66" i="26" a="1"/>
  <c r="G59" i="19" a="1"/>
  <c r="BJ24" i="46" a="1"/>
  <c r="X73" i="15" a="1"/>
  <c r="R64" i="15" a="1"/>
  <c r="W23" i="46" a="1"/>
  <c r="W25" i="17" a="1"/>
  <c r="E76" i="16" a="1"/>
  <c r="D49" i="21" a="1"/>
  <c r="T52" i="20" a="1"/>
  <c r="AA34" i="26" a="1"/>
  <c r="G144" i="46" a="1"/>
  <c r="K12" i="48" a="1"/>
  <c r="R54" i="26" a="1"/>
  <c r="E86" i="16" a="1"/>
  <c r="Y87" i="15" a="1"/>
  <c r="R86" i="17" a="1"/>
  <c r="H7" i="20" a="1"/>
  <c r="I19" i="48" a="1"/>
  <c r="F45" i="21" a="1"/>
  <c r="W42" i="17" a="1"/>
  <c r="I72" i="15" a="1"/>
  <c r="AC36" i="26" a="1"/>
  <c r="I91" i="16" a="1"/>
  <c r="G79" i="20" a="1"/>
  <c r="W45" i="17" a="1"/>
  <c r="J117" i="46" a="1"/>
  <c r="AA87" i="16" a="1"/>
  <c r="F13" i="16" a="1"/>
  <c r="J9" i="44" a="1"/>
  <c r="Y54" i="16" a="1"/>
  <c r="K8" i="46" a="1"/>
  <c r="E33" i="17" a="1"/>
  <c r="AA32" i="15" a="1"/>
  <c r="Z64" i="46" a="1"/>
  <c r="F101" i="16" a="1"/>
  <c r="G81" i="26" a="1"/>
  <c r="L48" i="46" a="1"/>
  <c r="V103" i="20" a="1"/>
  <c r="S44" i="21" a="1"/>
  <c r="U43" i="46" a="1"/>
  <c r="H129" i="46" a="1"/>
  <c r="K13" i="17" a="1"/>
  <c r="F14" i="48" a="1"/>
  <c r="AB20" i="16" a="1"/>
  <c r="F137" i="19" a="1"/>
  <c r="V63" i="46" a="1"/>
  <c r="H21" i="20" a="1"/>
  <c r="BH121" i="46" a="1"/>
  <c r="E44" i="48" a="1"/>
  <c r="S42" i="20" a="1"/>
  <c r="J59" i="16" a="1"/>
  <c r="D100" i="20" a="1"/>
  <c r="D47" i="16" a="1"/>
  <c r="R53" i="20" a="1"/>
  <c r="V68" i="20" a="1"/>
  <c r="G93" i="46" a="1"/>
  <c r="BJ139" i="46" a="1"/>
  <c r="E40" i="21" a="1"/>
  <c r="I39" i="19" a="1"/>
  <c r="J22" i="50" a="1"/>
  <c r="V63" i="15" a="1"/>
  <c r="X105" i="46" a="1"/>
  <c r="U89" i="20" a="1"/>
  <c r="Y135" i="46" a="1"/>
  <c r="J48" i="21" a="1"/>
  <c r="F107" i="20" a="1"/>
  <c r="T12" i="48" a="1"/>
  <c r="G132" i="46" a="1"/>
  <c r="R114" i="19" a="1"/>
  <c r="X106" i="46" a="1"/>
  <c r="E51" i="21" a="1"/>
  <c r="G17" i="20" a="1"/>
  <c r="X98" i="46" a="1"/>
  <c r="E64" i="26" a="1"/>
  <c r="R42" i="20" a="1"/>
  <c r="X18" i="48" a="1"/>
  <c r="D16" i="50" a="1"/>
  <c r="W45" i="16" a="1"/>
  <c r="J79" i="26" a="1"/>
  <c r="Z68" i="46" a="1"/>
  <c r="BK21" i="46" a="1"/>
  <c r="S25" i="17" a="1"/>
  <c r="I15" i="48" a="1"/>
  <c r="H13" i="50" a="1"/>
  <c r="E80" i="16" a="1"/>
  <c r="F52" i="17" a="1"/>
  <c r="I18" i="48" a="1"/>
  <c r="E77" i="16" a="1"/>
  <c r="K47" i="48" a="1"/>
  <c r="H84" i="16" a="1"/>
  <c r="Z14" i="46" a="1"/>
  <c r="G75" i="16" a="1"/>
  <c r="G44" i="16" a="1"/>
  <c r="I12" i="17" a="1"/>
  <c r="BI133" i="46" a="1"/>
  <c r="I76" i="17" a="1"/>
  <c r="S16" i="26" a="1"/>
  <c r="U30" i="20" a="1"/>
  <c r="AB29" i="26" a="1"/>
  <c r="R17" i="26" a="1"/>
  <c r="E71" i="17" a="1"/>
  <c r="J17" i="46" a="1"/>
  <c r="E49" i="20" a="1"/>
  <c r="W32" i="46" a="1"/>
  <c r="D30" i="19" a="1"/>
  <c r="R36" i="26" a="1"/>
  <c r="H41" i="48" a="1"/>
  <c r="G30" i="20" a="1"/>
  <c r="Y75" i="16" a="1"/>
  <c r="J44" i="21" a="1"/>
  <c r="AB53" i="46" a="1"/>
  <c r="R13" i="20" a="1"/>
  <c r="AC35" i="46" a="1"/>
  <c r="L24" i="48" a="1"/>
  <c r="V40" i="19" a="1"/>
  <c r="Z32" i="26" a="1"/>
  <c r="Y65" i="17" a="1"/>
  <c r="K65" i="15" a="1"/>
  <c r="L93" i="46" a="1"/>
  <c r="BH53" i="46" a="1"/>
  <c r="R43" i="19" a="1"/>
  <c r="H15" i="46" a="1"/>
  <c r="E57" i="17" a="1"/>
  <c r="X12" i="46" a="1"/>
  <c r="D40" i="21" a="1"/>
  <c r="R70" i="16" a="1"/>
  <c r="T56" i="20" a="1"/>
  <c r="H26" i="44" a="1"/>
  <c r="V121" i="19" a="1"/>
  <c r="G64" i="26" a="1"/>
  <c r="J77" i="17" a="1"/>
  <c r="I104" i="16" a="1"/>
  <c r="V36" i="21" a="1"/>
  <c r="D65" i="17" a="1"/>
  <c r="L25" i="46" a="1"/>
  <c r="F52" i="15" a="1"/>
  <c r="BI22" i="46" a="1"/>
  <c r="H41" i="17" a="1"/>
  <c r="H118" i="19" a="1"/>
  <c r="F26" i="19" a="1"/>
  <c r="H12" i="21" a="1"/>
  <c r="X16" i="46" a="1"/>
  <c r="U20" i="48" a="1"/>
  <c r="BG56" i="46" a="1"/>
  <c r="D23" i="20" a="1"/>
  <c r="I109" i="16" a="1"/>
  <c r="W77" i="16" a="1"/>
  <c r="AC97" i="46" a="1"/>
  <c r="R22" i="20" a="1"/>
  <c r="Y10" i="46" a="1"/>
  <c r="S86" i="15" a="1"/>
  <c r="V50" i="15" a="1"/>
  <c r="S93" i="20" a="1"/>
  <c r="BI71" i="46" a="1"/>
  <c r="J20" i="46" a="1"/>
  <c r="T72" i="17" a="1"/>
  <c r="G7" i="50" a="1"/>
  <c r="T50" i="21" a="1"/>
  <c r="BH117" i="46" a="1"/>
  <c r="S35" i="17" a="1"/>
  <c r="I69" i="17" a="1"/>
  <c r="L78" i="46" a="1"/>
  <c r="R72" i="26" a="1"/>
  <c r="H102" i="17" a="1"/>
  <c r="S17" i="50" a="1"/>
  <c r="W134" i="46" a="1"/>
  <c r="W142" i="46" a="1"/>
  <c r="I83" i="15" a="1"/>
  <c r="J21" i="19" a="1"/>
  <c r="F113" i="19" a="1"/>
  <c r="H103" i="46" a="1"/>
  <c r="S67" i="20" a="1"/>
  <c r="G39" i="19" a="1"/>
  <c r="J132" i="46" a="1"/>
  <c r="Z26" i="48" a="1"/>
  <c r="T102" i="20" a="1"/>
  <c r="H79" i="17" a="1"/>
  <c r="E28" i="20" a="1"/>
  <c r="D19" i="21" a="1"/>
  <c r="U26" i="21" a="1"/>
  <c r="K75" i="46" a="1"/>
  <c r="G82" i="16" a="1"/>
  <c r="Y71" i="16" a="1"/>
  <c r="E11" i="19" a="1"/>
  <c r="E99" i="20" a="1"/>
  <c r="X47" i="46" a="1"/>
  <c r="K56" i="17" a="1"/>
  <c r="J98" i="17" a="1"/>
  <c r="G19" i="19" a="1"/>
  <c r="I62" i="16" a="1"/>
  <c r="Y25" i="48" a="1"/>
  <c r="Y27" i="48" a="1"/>
  <c r="R34" i="20" a="1"/>
  <c r="BK56" i="46" a="1"/>
  <c r="K143" i="46" a="1"/>
  <c r="V107" i="20" a="1"/>
  <c r="F80" i="46" a="1"/>
  <c r="G137" i="19" a="1"/>
  <c r="Z34" i="46" a="1"/>
  <c r="Z123" i="46" a="1"/>
  <c r="AC14" i="46" a="1"/>
  <c r="F45" i="20" a="1"/>
  <c r="G113" i="19" a="1"/>
  <c r="G46" i="21" a="1"/>
  <c r="V95" i="20" a="1"/>
  <c r="D49" i="17" a="1"/>
  <c r="T66" i="17" a="1"/>
  <c r="F130" i="19" a="1"/>
  <c r="J45" i="26" a="1"/>
  <c r="F7" i="21" a="1"/>
  <c r="W55" i="15" a="1"/>
  <c r="AB70" i="16" a="1"/>
  <c r="F48" i="16" a="1"/>
  <c r="E65" i="20" a="1"/>
  <c r="T58" i="46" a="1"/>
  <c r="I63" i="17" a="1"/>
  <c r="K100" i="46" a="1"/>
  <c r="H39" i="46" a="1"/>
  <c r="I11" i="46" a="1"/>
  <c r="V61" i="20" a="1"/>
  <c r="AB31" i="26" a="1"/>
  <c r="H10" i="26" a="1"/>
  <c r="F26" i="20" a="1"/>
  <c r="S81" i="20" a="1"/>
  <c r="E36" i="26" a="1"/>
  <c r="G37" i="48" a="1"/>
  <c r="I40" i="21" a="1"/>
  <c r="H78" i="46" a="1"/>
  <c r="X75" i="16" a="1"/>
  <c r="AB86" i="15" a="1"/>
  <c r="AA77" i="16" a="1"/>
  <c r="BH86" i="46" a="1"/>
  <c r="Z25" i="15" a="1"/>
  <c r="R36" i="17" a="1"/>
  <c r="T92" i="20" a="1"/>
  <c r="W96" i="46" a="1"/>
  <c r="K49" i="17" a="1"/>
  <c r="W123" i="46" a="1"/>
  <c r="BG58" i="46" a="1"/>
  <c r="H65" i="16" a="1"/>
  <c r="R78" i="17" a="1"/>
  <c r="I35" i="46" a="1"/>
  <c r="S22" i="48" a="1"/>
  <c r="S23" i="50" a="1"/>
  <c r="R106" i="20" a="1"/>
  <c r="V75" i="46" a="1"/>
  <c r="K27" i="44" a="1"/>
  <c r="F78" i="46" a="1"/>
  <c r="F21" i="48" a="1"/>
  <c r="Y26" i="17" a="1"/>
  <c r="K40" i="46" a="1"/>
  <c r="H97" i="15" a="1"/>
  <c r="G34" i="21" a="1"/>
  <c r="J76" i="15" a="1"/>
  <c r="AA70" i="46" a="1"/>
  <c r="BJ112" i="46" a="1"/>
  <c r="E108" i="20" a="1"/>
  <c r="AA49" i="15" a="1"/>
  <c r="V8" i="19" a="1"/>
  <c r="BI102" i="46" a="1"/>
  <c r="Z20" i="46" a="1"/>
  <c r="H16" i="17" a="1"/>
  <c r="F135" i="19" a="1"/>
  <c r="D138" i="19" a="1"/>
  <c r="D12" i="20" a="1"/>
  <c r="F8" i="19" a="1"/>
  <c r="G43" i="17" a="1"/>
  <c r="F50" i="15" a="1"/>
  <c r="BK22" i="46" a="1"/>
  <c r="W57" i="16" a="1"/>
  <c r="J72" i="26" a="1"/>
  <c r="BH52" i="46" a="1"/>
  <c r="X95" i="17" a="1"/>
  <c r="G62" i="15" a="1"/>
  <c r="F36" i="16" a="1"/>
  <c r="X9" i="48" a="1"/>
  <c r="AA66" i="16" a="1"/>
  <c r="J45" i="21" a="1"/>
  <c r="R83" i="26" a="1"/>
  <c r="F98" i="16" a="1"/>
  <c r="S13" i="17" a="1"/>
  <c r="T114" i="19" a="1"/>
  <c r="T107" i="19" a="1"/>
  <c r="H32" i="46" a="1"/>
  <c r="E36" i="16" a="1"/>
  <c r="F28" i="21" a="1"/>
  <c r="T10" i="46" a="1"/>
  <c r="F105" i="16" a="1"/>
  <c r="E43" i="48" a="1"/>
  <c r="H29" i="44" a="1"/>
  <c r="V54" i="20" a="1"/>
  <c r="G97" i="15" a="1"/>
  <c r="J87" i="15" a="1"/>
  <c r="Y102" i="17" a="1"/>
  <c r="D71" i="16" a="1"/>
  <c r="F74" i="46" a="1"/>
  <c r="Z42" i="15" a="1"/>
  <c r="G133" i="46" a="1"/>
  <c r="I111" i="19" a="1"/>
  <c r="BH26" i="46" a="1"/>
  <c r="S53" i="20" a="1"/>
  <c r="T19" i="50" a="1"/>
  <c r="BG103" i="46" a="1"/>
  <c r="J27" i="21" a="1"/>
  <c r="V35" i="21" a="1"/>
  <c r="V8" i="50" a="1"/>
  <c r="X45" i="17" a="1"/>
  <c r="F109" i="19" a="1"/>
  <c r="H8" i="26" a="1"/>
  <c r="G103" i="46" a="1"/>
  <c r="R93" i="17" a="1"/>
  <c r="AC23" i="46" a="1"/>
  <c r="H66" i="46" a="1"/>
  <c r="L43" i="48" a="1"/>
  <c r="Y51" i="46" a="1"/>
  <c r="AB9" i="15" a="1"/>
  <c r="F53" i="17" a="1"/>
  <c r="H11" i="21" a="1"/>
  <c r="I30" i="50" a="1"/>
  <c r="D34" i="20" a="1"/>
  <c r="BG114" i="46" a="1"/>
  <c r="K44" i="48" a="1"/>
  <c r="G24" i="17" a="1"/>
  <c r="AA29" i="26" a="1"/>
  <c r="Y58" i="16" a="1"/>
  <c r="V71" i="46" a="1"/>
  <c r="D73" i="15" a="1"/>
  <c r="G28" i="21" a="1"/>
  <c r="H82" i="20" a="1"/>
  <c r="Y113" i="46" a="1"/>
  <c r="I20" i="50" a="1"/>
  <c r="S61" i="16" a="1"/>
  <c r="BK128" i="46" a="1"/>
  <c r="J80" i="46" a="1"/>
  <c r="R64" i="16" a="1"/>
  <c r="F41" i="26" a="1"/>
  <c r="D63" i="20" a="1"/>
  <c r="H8" i="20" a="1"/>
  <c r="W7" i="17" a="1"/>
  <c r="BI53" i="46" a="1"/>
  <c r="F20" i="50" a="1"/>
  <c r="V50" i="21" a="1"/>
  <c r="D96" i="17" a="1"/>
  <c r="D56" i="15" a="1"/>
  <c r="R63" i="20" a="1"/>
  <c r="J33" i="17" a="1"/>
  <c r="V22" i="46" a="1"/>
  <c r="X34" i="26" a="1"/>
  <c r="U125" i="19" a="1"/>
  <c r="Z19" i="48" a="1"/>
  <c r="I13" i="46" a="1"/>
  <c r="F50" i="20" a="1"/>
  <c r="W59" i="46" a="1"/>
  <c r="I77" i="17" a="1"/>
  <c r="D53" i="17" a="1"/>
  <c r="S82" i="26" a="1"/>
  <c r="R16" i="21" a="1"/>
  <c r="I10" i="50" a="1"/>
  <c r="F44" i="16" a="1"/>
  <c r="F16" i="50" a="1"/>
  <c r="Y99" i="46" a="1"/>
  <c r="S46" i="21" a="1"/>
  <c r="Z18" i="48" a="1"/>
  <c r="AB37" i="26" a="1"/>
  <c r="D46" i="20" a="1"/>
  <c r="E86" i="17" a="1"/>
  <c r="X46" i="26" a="1"/>
  <c r="AB19" i="16" a="1"/>
  <c r="X61" i="16" a="1"/>
  <c r="W77" i="46" a="1"/>
  <c r="I9" i="17" a="1"/>
  <c r="I39" i="17" a="1"/>
  <c r="E96" i="16" a="1"/>
  <c r="I27" i="44" a="1"/>
  <c r="S63" i="26" a="1"/>
  <c r="AA71" i="16" a="1"/>
  <c r="AC35" i="26" a="1"/>
  <c r="F8" i="46" a="1"/>
  <c r="Z89" i="46" a="1"/>
  <c r="G18" i="19" a="1"/>
  <c r="H10" i="21" a="1"/>
  <c r="J12" i="19" a="1"/>
  <c r="H21" i="48" a="1"/>
  <c r="H104" i="16" a="1"/>
  <c r="Y69" i="15" a="1"/>
  <c r="J82" i="16" a="1"/>
  <c r="W87" i="16" a="1"/>
  <c r="I83" i="17" a="1"/>
  <c r="D25" i="19" a="1"/>
  <c r="AC45" i="46" a="1"/>
  <c r="I115" i="46" a="1"/>
  <c r="E69" i="20" a="1"/>
  <c r="G28" i="46" a="1"/>
  <c r="E24" i="26" a="1"/>
  <c r="F43" i="26" a="1"/>
  <c r="S21" i="50" a="1"/>
  <c r="H44" i="15" a="1"/>
  <c r="X11" i="46" a="1"/>
  <c r="W66" i="15" a="1"/>
  <c r="S16" i="19" a="1"/>
  <c r="I59" i="17" a="1"/>
  <c r="H88" i="17" a="1"/>
  <c r="H11" i="48" a="1"/>
  <c r="I114" i="19" a="1"/>
  <c r="AA80" i="15" a="1"/>
  <c r="W19" i="46" a="1"/>
  <c r="F88" i="17" a="1"/>
  <c r="G16" i="26" a="1"/>
  <c r="H43" i="26" a="1"/>
  <c r="H103" i="16" a="1"/>
  <c r="J61" i="16" a="1"/>
  <c r="I68" i="17" a="1"/>
  <c r="H18" i="46" a="1"/>
  <c r="H19" i="44" a="1"/>
  <c r="J26" i="19" a="1"/>
  <c r="X18" i="46" a="1"/>
  <c r="F22" i="21" a="1"/>
  <c r="D58" i="16" a="1"/>
  <c r="W19" i="48" a="1"/>
  <c r="Y73" i="17" a="1"/>
  <c r="X70" i="46" a="1"/>
  <c r="S64" i="15" a="1"/>
  <c r="AB97" i="15" a="1"/>
  <c r="W90" i="17" a="1"/>
  <c r="V84" i="15" a="1"/>
  <c r="D85" i="16" a="1"/>
  <c r="E116" i="20" a="1"/>
  <c r="I31" i="48" a="1"/>
  <c r="T39" i="17" a="1"/>
  <c r="G141" i="19" a="1"/>
  <c r="K79" i="17" a="1"/>
  <c r="W104" i="46" a="1"/>
  <c r="S82" i="16" a="1"/>
  <c r="F71" i="15" a="1"/>
  <c r="G88" i="15" a="1"/>
  <c r="AB32" i="26" a="1"/>
  <c r="J31" i="50" a="1"/>
  <c r="U19" i="21" a="1"/>
  <c r="T77" i="15" a="1"/>
  <c r="G94" i="16" a="1"/>
  <c r="J77" i="15" a="1"/>
  <c r="V117" i="20" a="1"/>
  <c r="E19" i="48" a="1"/>
  <c r="G116" i="19" a="1"/>
  <c r="J12" i="21" a="1"/>
  <c r="K28" i="44" a="1"/>
  <c r="V41" i="26" a="1"/>
  <c r="E25" i="20" a="1"/>
  <c r="W17" i="48" a="1"/>
  <c r="BH96" i="46" a="1"/>
  <c r="W14" i="17" a="1"/>
  <c r="D82" i="15" a="1"/>
  <c r="X33" i="48" a="1"/>
  <c r="E36" i="20" a="1"/>
  <c r="BG80" i="46" a="1"/>
  <c r="R82" i="17" a="1"/>
  <c r="AB51" i="15" a="1"/>
  <c r="V38" i="26" a="1"/>
  <c r="F41" i="20" a="1"/>
  <c r="R62" i="17" a="1"/>
  <c r="S29" i="21" a="1"/>
  <c r="BK24" i="46" a="1"/>
  <c r="X81" i="46" a="1"/>
  <c r="BJ138" i="46" a="1"/>
  <c r="F21" i="46" a="1"/>
  <c r="T33" i="48" a="1"/>
  <c r="J94" i="15" a="1"/>
  <c r="F10" i="17" a="1"/>
  <c r="T109" i="19" a="1"/>
  <c r="U36" i="50" a="1"/>
  <c r="R38" i="20" a="1"/>
  <c r="G60" i="15" a="1"/>
  <c r="T15" i="19" a="1"/>
  <c r="I123" i="46" a="1"/>
  <c r="AB67" i="16" a="1"/>
  <c r="U85" i="20" a="1"/>
  <c r="F22" i="19" a="1"/>
  <c r="V42" i="46" a="1"/>
  <c r="X28" i="48" a="1"/>
  <c r="S19" i="50" a="1"/>
  <c r="W106" i="17" a="1"/>
  <c r="T56" i="17" a="1"/>
  <c r="T29" i="50" a="1"/>
  <c r="Y108" i="17" a="1"/>
  <c r="W39" i="15" a="1"/>
  <c r="J71" i="46" a="1"/>
  <c r="R92" i="20" a="1"/>
  <c r="R42" i="19" a="1"/>
  <c r="S32" i="19" a="1"/>
  <c r="V93" i="15" a="1"/>
  <c r="L83" i="46" a="1"/>
  <c r="S41" i="17" a="1"/>
  <c r="H115" i="46" a="1"/>
  <c r="T41" i="17" a="1"/>
  <c r="F49" i="19" a="1"/>
  <c r="I58" i="20" a="1"/>
  <c r="AC45" i="26" a="1"/>
  <c r="D117" i="20" a="1"/>
  <c r="W6" i="46" a="1"/>
  <c r="V71" i="15" a="1"/>
  <c r="I60" i="15" a="1"/>
  <c r="T65" i="46" a="1"/>
  <c r="K27" i="48" a="1"/>
  <c r="W105" i="17" a="1"/>
  <c r="D50" i="20" a="1"/>
  <c r="I10" i="17" a="1"/>
  <c r="G49" i="20" a="1"/>
  <c r="AA104" i="16" a="1"/>
  <c r="H113" i="46" a="1"/>
  <c r="U7" i="46" a="1"/>
  <c r="S72" i="15" a="1"/>
  <c r="BG90" i="46" a="1"/>
  <c r="W42" i="15" a="1"/>
  <c r="D53" i="19" a="1"/>
  <c r="H20" i="20" a="1"/>
  <c r="S17" i="20" a="1"/>
  <c r="AC9" i="46" a="1"/>
  <c r="I7" i="50" a="1"/>
  <c r="R74" i="17" a="1"/>
  <c r="D19" i="50" a="1"/>
  <c r="AB56" i="15" a="1"/>
  <c r="BI108" i="46" a="1"/>
  <c r="T82" i="16" a="1"/>
  <c r="I14" i="46" a="1"/>
  <c r="BK98" i="46" a="1"/>
  <c r="AA52" i="16" a="1"/>
  <c r="I26" i="21" a="1"/>
  <c r="X75" i="46" a="1"/>
  <c r="AB83" i="15" a="1"/>
  <c r="T71" i="20" a="1"/>
  <c r="Z29" i="48" a="1"/>
  <c r="S63" i="15" a="1"/>
  <c r="I56" i="15" a="1"/>
  <c r="I137" i="19" a="1"/>
  <c r="T59" i="19" a="1"/>
  <c r="W126" i="46" a="1"/>
  <c r="K101" i="46" a="1"/>
  <c r="I14" i="20" a="1"/>
  <c r="BG107" i="46" a="1"/>
  <c r="D140" i="19" a="1"/>
  <c r="R73" i="17" a="1"/>
  <c r="K32" i="46" a="1"/>
  <c r="H85" i="17" a="1"/>
  <c r="T18" i="21" a="1"/>
  <c r="F48" i="17" a="1"/>
  <c r="G10" i="50" a="1"/>
  <c r="Y97" i="46" a="1"/>
  <c r="V54" i="19" a="1"/>
  <c r="BJ63" i="46" a="1"/>
  <c r="D26" i="17" a="1"/>
  <c r="BJ51" i="46" a="1"/>
  <c r="V88" i="20" a="1"/>
  <c r="E18" i="50" a="1"/>
  <c r="T87" i="17" a="1"/>
  <c r="AB21" i="15" a="1"/>
  <c r="K69" i="17" a="1"/>
  <c r="D15" i="20" a="1"/>
  <c r="G19" i="50" a="1"/>
  <c r="AB7" i="46" a="1"/>
  <c r="V22" i="44" a="1"/>
  <c r="L20" i="48" a="1"/>
  <c r="J8" i="46" a="1"/>
  <c r="H19" i="48" a="1"/>
  <c r="W40" i="46" a="1"/>
  <c r="BH98" i="46" a="1"/>
  <c r="V11" i="46" a="1"/>
  <c r="V74" i="20" a="1"/>
  <c r="V43" i="20" a="1"/>
  <c r="V14" i="50" a="1"/>
  <c r="AA59" i="46" a="1"/>
  <c r="BJ25" i="46" a="1"/>
  <c r="W17" i="15" a="1"/>
  <c r="G52" i="16" a="1"/>
  <c r="BK104" i="46" a="1"/>
  <c r="K73" i="46" a="1"/>
  <c r="E22" i="20" a="1"/>
  <c r="BJ21" i="46" a="1"/>
  <c r="Y109" i="46" a="1"/>
  <c r="D26" i="15" a="1"/>
  <c r="I79" i="16" a="1"/>
  <c r="V92" i="15" a="1"/>
  <c r="X53" i="16" a="1"/>
  <c r="F69" i="15" a="1"/>
  <c r="V69" i="20" a="1"/>
  <c r="W33" i="48" a="1"/>
  <c r="R52" i="17" a="1"/>
  <c r="J26" i="48" a="1"/>
  <c r="BH9" i="46" a="1"/>
  <c r="I75" i="46" a="1"/>
  <c r="S59" i="26" a="1"/>
  <c r="G24" i="46" a="1"/>
  <c r="W22" i="50" a="1"/>
  <c r="F99" i="46" a="1"/>
  <c r="T47" i="21" a="1"/>
  <c r="I39" i="46" a="1"/>
  <c r="E90" i="16" a="1"/>
  <c r="J54" i="46" a="1"/>
  <c r="J96" i="15" a="1"/>
  <c r="H33" i="20" a="1"/>
  <c r="R41" i="20" a="1"/>
  <c r="D14" i="50" a="1"/>
  <c r="R78" i="20" a="1"/>
  <c r="G107" i="16" a="1"/>
  <c r="V90" i="15" a="1"/>
  <c r="D99" i="20" a="1"/>
  <c r="W70" i="46" a="1"/>
  <c r="J21" i="48" a="1"/>
  <c r="E116" i="17" a="1"/>
  <c r="AC40" i="26" a="1"/>
  <c r="BH6" i="46" a="1"/>
  <c r="G134" i="19" a="1"/>
  <c r="BH60" i="46" a="1"/>
  <c r="AA56" i="15" a="1"/>
  <c r="S41" i="20" a="1"/>
  <c r="F125" i="46" a="1"/>
  <c r="K13" i="48" a="1"/>
  <c r="Y106" i="46" a="1"/>
  <c r="Z9" i="48" a="1"/>
  <c r="T61" i="46" a="1"/>
  <c r="H16" i="44" a="1"/>
  <c r="F99" i="16" a="1"/>
  <c r="H47" i="15" a="1"/>
  <c r="H111" i="17" a="1"/>
  <c r="F14" i="46" a="1"/>
  <c r="F12" i="20" a="1"/>
  <c r="D22" i="50" a="1"/>
  <c r="AB33" i="26" a="1"/>
  <c r="H63" i="46" a="1"/>
  <c r="K68" i="15" a="1"/>
  <c r="R76" i="20" a="1"/>
  <c r="E50" i="21" a="1"/>
  <c r="G27" i="44" a="1"/>
  <c r="V52" i="20" a="1"/>
  <c r="E49" i="17" a="1"/>
  <c r="K66" i="17" a="1"/>
  <c r="X17" i="48" a="1"/>
  <c r="J29" i="44" a="1"/>
  <c r="S63" i="20" a="1"/>
  <c r="J114" i="19" a="1"/>
  <c r="R119" i="19" a="1"/>
  <c r="R115" i="17" a="1"/>
  <c r="I36" i="19" a="1"/>
  <c r="I49" i="15" a="1"/>
  <c r="X117" i="46" a="1"/>
  <c r="K51" i="46" a="1"/>
  <c r="R49" i="17" a="1"/>
  <c r="BG48" i="46" a="1"/>
  <c r="I91" i="17" a="1"/>
  <c r="F133" i="19" a="1"/>
  <c r="J42" i="26" a="1"/>
  <c r="U94" i="20" a="1"/>
  <c r="S82" i="20" a="1"/>
  <c r="X12" i="48" a="1"/>
  <c r="BJ92" i="46" a="1"/>
  <c r="T70" i="46" a="1"/>
  <c r="AA48" i="15" a="1"/>
  <c r="J36" i="21" a="1"/>
  <c r="BI81" i="46" a="1"/>
  <c r="E9" i="21" a="1"/>
  <c r="G31" i="26" a="1"/>
  <c r="T48" i="17" a="1"/>
  <c r="Y105" i="17" a="1"/>
  <c r="G28" i="17" a="1"/>
  <c r="AD31" i="26" a="1"/>
  <c r="AA55" i="15" a="1"/>
  <c r="F76" i="17" a="1"/>
  <c r="R15" i="17" a="1"/>
  <c r="I10" i="21" a="1"/>
  <c r="F82" i="16" a="1"/>
  <c r="G75" i="46" a="1"/>
  <c r="G17" i="46" a="1"/>
  <c r="R72" i="16" a="1"/>
  <c r="H73" i="17" a="1"/>
  <c r="F52" i="21" a="1"/>
  <c r="E8" i="26" a="1"/>
  <c r="W36" i="26" a="1"/>
  <c r="V35" i="26" a="1"/>
  <c r="J53" i="16" a="1"/>
  <c r="W16" i="48" a="1"/>
  <c r="Z10" i="46" a="1"/>
  <c r="R60" i="20" a="1"/>
  <c r="S105" i="20" a="1"/>
  <c r="S117" i="19" a="1"/>
  <c r="AB78" i="16" a="1"/>
  <c r="R61" i="15" a="1"/>
  <c r="BG134" i="46" a="1"/>
  <c r="G34" i="19" a="1"/>
  <c r="K53" i="17" a="1"/>
  <c r="G34" i="46" a="1"/>
  <c r="E34" i="15" a="1"/>
  <c r="I130" i="19" a="1"/>
  <c r="V49" i="15" a="1"/>
  <c r="H82" i="17" a="1"/>
  <c r="V37" i="19" a="1"/>
  <c r="J47" i="17" a="1"/>
  <c r="I50" i="19" a="1"/>
  <c r="R22" i="19" a="1"/>
  <c r="BH37" i="46" a="1"/>
  <c r="D20" i="19" a="1"/>
  <c r="L35" i="46" a="1"/>
  <c r="U19" i="50" a="1"/>
  <c r="G7" i="19" a="1"/>
  <c r="T69" i="46" a="1"/>
  <c r="D69" i="15" a="1"/>
  <c r="D92" i="15" a="1"/>
  <c r="T27" i="19" a="1"/>
  <c r="I30" i="26" a="1"/>
  <c r="I110" i="17" a="1"/>
  <c r="J50" i="46" a="1"/>
  <c r="F17" i="46" a="1"/>
  <c r="D45" i="21" a="1"/>
  <c r="Z7" i="15" a="1"/>
  <c r="K95" i="17" a="1"/>
  <c r="L53" i="46" a="1"/>
  <c r="T115" i="20" a="1"/>
  <c r="AB94" i="15" a="1"/>
  <c r="G46" i="17" a="1"/>
  <c r="G45" i="21" a="1"/>
  <c r="S100" i="17" a="1"/>
  <c r="R18" i="21" a="1"/>
  <c r="U16" i="19" a="1"/>
  <c r="J25" i="26" a="1"/>
  <c r="Y46" i="26" a="1"/>
  <c r="I29" i="21" a="1"/>
  <c r="I110" i="46" a="1"/>
  <c r="W36" i="16" a="1"/>
  <c r="I18" i="44" a="1"/>
  <c r="AA7" i="44" a="1"/>
  <c r="E56" i="20" a="1"/>
  <c r="I17" i="19" a="1"/>
  <c r="J45" i="19" a="1"/>
  <c r="G9" i="20" a="1"/>
  <c r="K14" i="17" a="1"/>
  <c r="I20" i="19" a="1"/>
  <c r="BK40" i="46" a="1"/>
  <c r="E40" i="26" a="1"/>
  <c r="E119" i="19" a="1"/>
  <c r="AB49" i="15" a="1"/>
  <c r="T12" i="50" a="1"/>
  <c r="J55" i="26" a="1"/>
  <c r="U14" i="20" a="1"/>
  <c r="F55" i="19" a="1"/>
  <c r="Y129" i="46" a="1"/>
  <c r="R46" i="17" a="1"/>
  <c r="BI15" i="46" a="1"/>
  <c r="AC139" i="46" a="1"/>
  <c r="X71" i="15" a="1"/>
  <c r="S32" i="16" a="1"/>
  <c r="V75" i="20" a="1"/>
  <c r="BG95" i="46" a="1"/>
  <c r="T55" i="17" a="1"/>
  <c r="W141" i="46" a="1"/>
  <c r="E54" i="19" a="1"/>
  <c r="Z69" i="46" a="1"/>
  <c r="BH110" i="46" a="1"/>
  <c r="BJ140" i="46" a="1"/>
  <c r="AC21" i="46" a="1"/>
  <c r="R106" i="17" a="1"/>
  <c r="Z66" i="46" a="1"/>
  <c r="G30" i="46" a="1"/>
  <c r="E23" i="21" a="1"/>
  <c r="W37" i="17" a="1"/>
  <c r="W14" i="46" a="1"/>
  <c r="H25" i="48" a="1"/>
  <c r="X24" i="48" a="1"/>
  <c r="W17" i="46" a="1"/>
  <c r="X96" i="46" a="1"/>
  <c r="J76" i="16" a="1"/>
  <c r="BG39" i="46" a="1"/>
  <c r="J81" i="26" a="1"/>
  <c r="AA10" i="16" a="1"/>
  <c r="G68" i="17" a="1"/>
  <c r="U115" i="20" a="1"/>
  <c r="F24" i="46" a="1"/>
  <c r="AD37" i="26" a="1"/>
  <c r="E23" i="19" a="1"/>
  <c r="AB51" i="46" a="1"/>
  <c r="W16" i="46" a="1"/>
  <c r="I102" i="17" a="1"/>
  <c r="D34" i="50" a="1"/>
  <c r="K65" i="46" a="1"/>
  <c r="X125" i="46" a="1"/>
  <c r="G90" i="16" a="1"/>
  <c r="U84" i="20" a="1"/>
  <c r="D74" i="26" a="1"/>
  <c r="E16" i="17" a="1"/>
  <c r="BK65" i="46" a="1"/>
  <c r="I57" i="26" a="1"/>
  <c r="BK81" i="46" a="1"/>
  <c r="E35" i="21" a="1"/>
  <c r="F116" i="20" a="1"/>
  <c r="E38" i="19" a="1"/>
  <c r="R70" i="17" a="1"/>
  <c r="G101" i="46" a="1"/>
  <c r="T26" i="48" a="1"/>
  <c r="V68" i="46" a="1"/>
  <c r="E121" i="19" a="1"/>
  <c r="J81" i="15" a="1"/>
  <c r="I14" i="50" a="1"/>
  <c r="W144" i="46" a="1"/>
  <c r="Y75" i="17" a="1"/>
  <c r="BI126" i="46" a="1"/>
  <c r="F65" i="15" a="1"/>
  <c r="D55" i="16" a="1"/>
  <c r="H26" i="21" a="1"/>
  <c r="H48" i="17" a="1"/>
  <c r="S119" i="19" a="1"/>
  <c r="T41" i="26" a="1"/>
  <c r="I64" i="17" a="1"/>
  <c r="I39" i="26" a="1"/>
  <c r="J51" i="46" a="1"/>
  <c r="S115" i="20" a="1"/>
  <c r="R14" i="19" a="1"/>
  <c r="U35" i="26" a="1"/>
  <c r="G59" i="15" a="1"/>
  <c r="J92" i="17" a="1"/>
  <c r="G29" i="21" a="1"/>
  <c r="T7" i="50" a="1"/>
  <c r="S103" i="20" a="1"/>
  <c r="U113" i="19" a="1"/>
  <c r="AA7" i="15" a="1"/>
  <c r="T22" i="50" a="1"/>
  <c r="R32" i="16" a="1"/>
  <c r="BI145" i="46" a="1"/>
  <c r="BI114" i="46" a="1"/>
  <c r="BH70" i="46" a="1"/>
  <c r="K72" i="17" a="1"/>
  <c r="BK136" i="46" a="1"/>
  <c r="L34" i="46" a="1"/>
  <c r="E36" i="48" a="1"/>
  <c r="T22" i="20" a="1"/>
  <c r="U137" i="19" a="1"/>
  <c r="BK106" i="46" a="1"/>
  <c r="E88" i="16" a="1"/>
  <c r="R107" i="19" a="1"/>
  <c r="R64" i="17" a="1"/>
  <c r="I63" i="15" a="1"/>
  <c r="D25" i="17" a="1"/>
  <c r="W11" i="48" a="1"/>
  <c r="I48" i="46" a="1"/>
  <c r="AC117" i="46" a="1"/>
  <c r="V39" i="21" a="1"/>
  <c r="E59" i="16" a="1"/>
  <c r="F13" i="15" a="1"/>
  <c r="G64" i="16" a="1"/>
  <c r="J64" i="15" a="1"/>
  <c r="S30" i="16" a="1"/>
  <c r="I47" i="16" a="1"/>
  <c r="Z70" i="46" a="1"/>
  <c r="F79" i="20" a="1"/>
  <c r="D57" i="17" a="1"/>
  <c r="S22" i="19" a="1"/>
  <c r="J7" i="17" a="1"/>
  <c r="D8" i="19" a="1"/>
  <c r="V11" i="19" a="1"/>
  <c r="D40" i="17" a="1"/>
  <c r="F13" i="20" a="1"/>
  <c r="BJ69" i="46" a="1"/>
  <c r="F18" i="50" a="1"/>
  <c r="S100" i="20" a="1"/>
  <c r="AC118" i="46" a="1"/>
  <c r="R43" i="17" a="1"/>
  <c r="BK87" i="46" a="1"/>
  <c r="I80" i="15" a="1"/>
  <c r="H13" i="48" a="1"/>
  <c r="U22" i="46" a="1"/>
  <c r="AA9" i="15" a="1"/>
  <c r="E143" i="19" a="1"/>
  <c r="BH88" i="46" a="1"/>
  <c r="V69" i="15" a="1"/>
  <c r="X54" i="46" a="1"/>
  <c r="S87" i="15" a="1"/>
  <c r="I11" i="19" a="1"/>
  <c r="K102" i="17" a="1"/>
  <c r="G115" i="17" a="1"/>
  <c r="W29" i="46" a="1"/>
  <c r="T8" i="19" a="1"/>
  <c r="S97" i="17" a="1"/>
  <c r="Y58" i="17" a="1"/>
  <c r="E18" i="20" a="1"/>
  <c r="J55" i="17" a="1"/>
  <c r="U13" i="19" a="1"/>
  <c r="L89" i="46" a="1"/>
  <c r="V36" i="26" a="1"/>
  <c r="S55" i="19" a="1"/>
  <c r="F24" i="26" a="1"/>
  <c r="BH90" i="46" a="1"/>
  <c r="H31" i="26" a="1"/>
  <c r="BH99" i="46" a="1"/>
  <c r="D51" i="15" a="1"/>
  <c r="Y55" i="17" a="1"/>
  <c r="H67" i="16" a="1"/>
  <c r="F56" i="46" a="1"/>
  <c r="BJ146" i="46" a="1"/>
  <c r="J6" i="15" a="1"/>
  <c r="F10" i="16" a="1"/>
  <c r="E93" i="17" a="1"/>
  <c r="E18" i="19" a="1"/>
  <c r="X15" i="44" a="1"/>
  <c r="E105" i="17" a="1"/>
  <c r="U26" i="20" a="1"/>
  <c r="AC18" i="46" a="1"/>
  <c r="U22" i="20" a="1"/>
  <c r="AC32" i="46" a="1"/>
  <c r="BH10" i="46" a="1"/>
  <c r="Z33" i="15" a="1"/>
  <c r="F38" i="17" a="1"/>
  <c r="H92" i="16" a="1"/>
  <c r="W78" i="46" a="1"/>
  <c r="R20" i="19" a="1"/>
  <c r="AC11" i="46" a="1"/>
  <c r="G23" i="46" a="1"/>
  <c r="D87" i="17" a="1"/>
  <c r="J13" i="19" a="1"/>
  <c r="I103" i="16" a="1"/>
  <c r="V48" i="46" a="1"/>
  <c r="V30" i="20" a="1"/>
  <c r="AA72" i="16" a="1"/>
  <c r="G135" i="19" a="1"/>
  <c r="J57" i="19" a="1"/>
  <c r="T92" i="17" a="1"/>
  <c r="X67" i="16" a="1"/>
  <c r="E60" i="26" a="1"/>
  <c r="W34" i="26" a="1"/>
  <c r="H71" i="26" a="1"/>
  <c r="I59" i="15" a="1"/>
  <c r="I135" i="19" a="1"/>
  <c r="X126" i="46" a="1"/>
  <c r="E73" i="16" a="1"/>
  <c r="BI87" i="46" a="1"/>
  <c r="V112" i="19" a="1"/>
  <c r="Z10" i="16" a="1"/>
  <c r="F53" i="46" a="1"/>
  <c r="X90" i="17" a="1"/>
  <c r="L27" i="48" a="1"/>
  <c r="I91" i="15" a="1"/>
  <c r="D115" i="19" a="1"/>
  <c r="H22" i="19" a="1"/>
  <c r="G8" i="21" a="1"/>
  <c r="G97" i="17" a="1"/>
  <c r="U70" i="20" a="1"/>
  <c r="G9" i="19" a="1"/>
  <c r="D124" i="19" a="1"/>
  <c r="R55" i="16" a="1"/>
  <c r="V47" i="20" a="1"/>
  <c r="AB17" i="15" a="1"/>
  <c r="D78" i="15" a="1"/>
  <c r="E6" i="20" a="1"/>
  <c r="L19" i="46" a="1"/>
  <c r="I135" i="46" a="1"/>
  <c r="J15" i="48" a="1"/>
  <c r="H32" i="26" a="1"/>
  <c r="Y57" i="17" a="1"/>
  <c r="E88" i="17" a="1"/>
  <c r="V22" i="20" a="1"/>
  <c r="K92" i="46" a="1"/>
  <c r="F77" i="17" a="1"/>
  <c r="R10" i="20" a="1"/>
  <c r="F37" i="46" a="1"/>
  <c r="D104" i="17" a="1"/>
  <c r="J137" i="46" a="1"/>
  <c r="T17" i="48" a="1"/>
  <c r="H27" i="46" a="1"/>
  <c r="F18" i="16" a="1"/>
  <c r="E98" i="20" a="1"/>
  <c r="Y8" i="46" a="1"/>
  <c r="G46" i="16" a="1"/>
  <c r="T24" i="20" a="1"/>
  <c r="BI58" i="46" a="1"/>
  <c r="D33" i="50" a="1"/>
  <c r="I65" i="26" a="1"/>
  <c r="BH95" i="46" a="1"/>
  <c r="S86" i="20" a="1"/>
  <c r="F43" i="17" a="1"/>
  <c r="F61" i="15" a="1"/>
  <c r="E24" i="21" a="1"/>
  <c r="AA90" i="15" a="1"/>
  <c r="E67" i="16" a="1"/>
  <c r="E21" i="15" a="1"/>
  <c r="X42" i="17" a="1"/>
  <c r="Y54" i="17" a="1"/>
  <c r="D65" i="20" a="1"/>
  <c r="G27" i="21" a="1"/>
  <c r="I56" i="19" a="1"/>
  <c r="H141" i="19" a="1"/>
  <c r="I11" i="48" a="1"/>
  <c r="AB55" i="15" a="1"/>
  <c r="V52" i="15" a="1"/>
  <c r="G82" i="20" a="1"/>
  <c r="AB60" i="15" a="1"/>
  <c r="Z39" i="46" a="1"/>
  <c r="D21" i="26" a="1"/>
  <c r="W71" i="17" a="1"/>
  <c r="G50" i="46" a="1"/>
  <c r="K98" i="46" a="1"/>
  <c r="D113" i="19" a="1"/>
  <c r="I55" i="15" a="1"/>
  <c r="G19" i="21" a="1"/>
  <c r="W82" i="46" a="1"/>
  <c r="G57" i="17" a="1"/>
  <c r="E107" i="20" a="1"/>
  <c r="H30" i="26" a="1"/>
  <c r="X44" i="46" a="1"/>
  <c r="F110" i="20" a="1"/>
  <c r="BI61" i="46" a="1"/>
  <c r="T27" i="17" a="1"/>
  <c r="AA9" i="46" a="1"/>
  <c r="T67" i="20" a="1"/>
  <c r="E75" i="20" a="1"/>
  <c r="S72" i="20" a="1"/>
  <c r="S116" i="19" a="1"/>
  <c r="AA89" i="16" a="1"/>
  <c r="J126" i="46" a="1"/>
  <c r="E101" i="16" a="1"/>
  <c r="E24" i="19" a="1"/>
  <c r="G19" i="44" a="1"/>
  <c r="K74" i="17" a="1"/>
  <c r="K63" i="46" a="1"/>
  <c r="AB52" i="16" a="1"/>
  <c r="J106" i="16" a="1"/>
  <c r="D25" i="15" a="1"/>
  <c r="D24" i="20" a="1"/>
  <c r="T96" i="20" a="1"/>
  <c r="T36" i="21" a="1"/>
  <c r="AB13" i="16" a="1"/>
  <c r="BH93" i="46" a="1"/>
  <c r="V73" i="20" a="1"/>
  <c r="J17" i="21" a="1"/>
  <c r="V32" i="19" a="1"/>
  <c r="J119" i="19" a="1"/>
  <c r="E95" i="17" a="1"/>
  <c r="R45" i="20" a="1"/>
  <c r="AE46" i="26" a="1"/>
  <c r="H87" i="17" a="1"/>
  <c r="E8" i="44" a="1"/>
  <c r="BK126" i="46" a="1"/>
  <c r="F61" i="46" a="1"/>
  <c r="BH76" i="46" a="1"/>
  <c r="F29" i="46" a="1"/>
  <c r="BJ109" i="46" a="1"/>
  <c r="L17" i="46" a="1"/>
  <c r="D98" i="20" a="1"/>
  <c r="X59" i="16" a="1"/>
  <c r="U126" i="19" a="1"/>
  <c r="X50" i="15" a="1"/>
  <c r="E72" i="16" a="1"/>
  <c r="AA18" i="44" a="1"/>
  <c r="J135" i="46" a="1"/>
  <c r="BH97" i="46" a="1"/>
  <c r="G53" i="16" a="1"/>
  <c r="T13" i="48" a="1"/>
  <c r="E27" i="50" a="1"/>
  <c r="J25" i="21" a="1"/>
  <c r="T6" i="46" a="1"/>
  <c r="BK23" i="46" a="1"/>
  <c r="G16" i="44" a="1"/>
  <c r="F21" i="19" a="1"/>
  <c r="T7" i="48" a="1"/>
  <c r="T9" i="44" a="1"/>
  <c r="G77" i="17" a="1"/>
  <c r="J82" i="46" a="1"/>
  <c r="AB13" i="46" a="1"/>
  <c r="U40" i="26" a="1"/>
  <c r="W81" i="15" a="1"/>
  <c r="H59" i="26" a="1"/>
  <c r="U18" i="44" a="1"/>
  <c r="AB108" i="16" a="1"/>
  <c r="Y35" i="17" a="1"/>
  <c r="V47" i="15" a="1"/>
  <c r="G42" i="26" a="1"/>
  <c r="G9" i="48" a="1"/>
  <c r="AC135" i="46" a="1"/>
  <c r="D45" i="15" a="1"/>
  <c r="BK64" i="46" a="1"/>
  <c r="H130" i="46" a="1"/>
  <c r="Y63" i="16" a="1"/>
  <c r="U38" i="21" a="1"/>
  <c r="BK101" i="46" a="1"/>
  <c r="J26" i="17" a="1"/>
  <c r="H21" i="26" a="1"/>
  <c r="S23" i="19" a="1"/>
  <c r="Z83" i="46" a="1"/>
  <c r="T40" i="20" a="1"/>
  <c r="Y81" i="17" a="1"/>
  <c r="W29" i="50" a="1"/>
  <c r="E138" i="19" a="1"/>
  <c r="F67" i="15" a="1"/>
  <c r="AC44" i="26" a="1"/>
  <c r="BH94" i="46" a="1"/>
  <c r="R63" i="26" a="1"/>
  <c r="I19" i="19" a="1"/>
  <c r="S48" i="19" a="1"/>
  <c r="J127" i="19" a="1"/>
  <c r="BK141" i="46" a="1"/>
  <c r="F96" i="46" a="1"/>
  <c r="AA39" i="46" a="1"/>
  <c r="D36" i="19" a="1"/>
  <c r="H80" i="16" a="1"/>
  <c r="J43" i="19" a="1"/>
  <c r="BH78" i="46" a="1"/>
  <c r="T72" i="46" a="1"/>
  <c r="D10" i="26" a="1"/>
  <c r="F9" i="16" a="1"/>
  <c r="F42" i="26" a="1"/>
  <c r="BJ100" i="46" a="1"/>
  <c r="D59" i="17" a="1"/>
  <c r="E20" i="48" a="1"/>
  <c r="Z117" i="46" a="1"/>
  <c r="I27" i="50" a="1"/>
  <c r="E48" i="21" a="1"/>
  <c r="Y60" i="16" a="1"/>
  <c r="Z95" i="46" a="1"/>
  <c r="Y46" i="17" a="1"/>
  <c r="R93" i="20" a="1"/>
  <c r="V16" i="20" a="1"/>
  <c r="G36" i="20" a="1"/>
  <c r="H23" i="50" a="1"/>
  <c r="T123" i="19" a="1"/>
  <c r="R9" i="19" a="1"/>
  <c r="AC67" i="46" a="1"/>
  <c r="W75" i="46" a="1"/>
  <c r="W32" i="15" a="1"/>
  <c r="Y13" i="46" a="1"/>
  <c r="BH77" i="46" a="1"/>
  <c r="D18" i="44" a="1"/>
  <c r="G92" i="16" a="1"/>
  <c r="BJ76" i="46" a="1"/>
  <c r="S13" i="19" a="1"/>
  <c r="L38" i="46" a="1"/>
  <c r="W15" i="46" a="1"/>
  <c r="G112" i="46" a="1"/>
  <c r="H80" i="20" a="1"/>
  <c r="D83" i="15" a="1"/>
  <c r="I32" i="17" a="1"/>
  <c r="J110" i="19" a="1"/>
  <c r="J68" i="15" a="1"/>
  <c r="AA44" i="46" a="1"/>
  <c r="J115" i="19" a="1"/>
  <c r="I82" i="16" a="1"/>
  <c r="G109" i="19" a="1"/>
  <c r="E72" i="15" a="1"/>
  <c r="H69" i="46" a="1"/>
  <c r="Z112" i="46" a="1"/>
  <c r="T30" i="17" a="1"/>
  <c r="BJ105" i="46" a="1"/>
  <c r="D102" i="20" a="1"/>
  <c r="U7" i="48" a="1"/>
  <c r="J24" i="19" a="1"/>
  <c r="BH15" i="46" a="1"/>
  <c r="H39" i="26" a="1"/>
  <c r="R40" i="17" a="1"/>
  <c r="J98" i="15" a="1"/>
  <c r="V41" i="20" a="1"/>
  <c r="X36" i="46" a="1"/>
  <c r="K38" i="46" a="1"/>
  <c r="W31" i="50" a="1"/>
  <c r="R20" i="20" a="1"/>
  <c r="U109" i="20" a="1"/>
  <c r="F33" i="19" a="1"/>
  <c r="R41" i="21" a="1"/>
  <c r="G15" i="48" a="1"/>
  <c r="J102" i="46" a="1"/>
  <c r="J58" i="46" a="1"/>
  <c r="X146" i="46" a="1"/>
  <c r="F115" i="19" a="1"/>
  <c r="W67" i="46" a="1"/>
  <c r="U69" i="46" a="1"/>
  <c r="G83" i="17" a="1"/>
  <c r="U25" i="20" a="1"/>
  <c r="I53" i="19" a="1"/>
  <c r="AB47" i="16" a="1"/>
  <c r="I61" i="16" a="1"/>
  <c r="X39" i="26" a="1"/>
  <c r="H92" i="46" a="1"/>
  <c r="X40" i="46" a="1"/>
  <c r="H47" i="16" a="1"/>
  <c r="I6" i="46" a="1"/>
  <c r="G28" i="50" a="1"/>
  <c r="I44" i="15" a="1"/>
  <c r="F29" i="48" a="1"/>
  <c r="R53" i="17" a="1"/>
  <c r="J6" i="46" a="1"/>
  <c r="I75" i="26" a="1"/>
  <c r="T114" i="17" a="1"/>
  <c r="R25" i="20" a="1"/>
  <c r="L37" i="48" a="1"/>
  <c r="W83" i="17" a="1"/>
  <c r="I33" i="17" a="1"/>
  <c r="W37" i="26" a="1"/>
  <c r="X22" i="48" a="1"/>
  <c r="E17" i="17" a="1"/>
  <c r="F85" i="15" a="1"/>
  <c r="X7" i="44" a="1"/>
  <c r="T16" i="50" a="1"/>
  <c r="G138" i="46" a="1"/>
  <c r="J67" i="15" a="1"/>
  <c r="J107" i="17" a="1"/>
  <c r="BJ56" i="46" a="1"/>
  <c r="BI60" i="46" a="1"/>
  <c r="R82" i="20" a="1"/>
  <c r="X138" i="46" a="1"/>
  <c r="I82" i="26" a="1"/>
  <c r="K104" i="46" a="1"/>
  <c r="F93" i="46" a="1"/>
  <c r="Z8" i="46" a="1"/>
  <c r="G72" i="26" a="1"/>
  <c r="W12" i="17" a="1"/>
  <c r="E26" i="15" a="1"/>
  <c r="G49" i="46" a="1"/>
  <c r="D39" i="20" a="1"/>
  <c r="E16" i="16" a="1"/>
  <c r="W35" i="46" a="1"/>
  <c r="J107" i="46" a="1"/>
  <c r="G26" i="48" a="1"/>
  <c r="G111" i="19" a="1"/>
  <c r="X66" i="15" a="1"/>
  <c r="H57" i="20" a="1"/>
  <c r="V41" i="46" a="1"/>
  <c r="X65" i="17" a="1"/>
  <c r="X74" i="16" a="1"/>
  <c r="I140" i="19" a="1"/>
  <c r="T75" i="17" a="1"/>
  <c r="G82" i="26" a="1"/>
  <c r="G136" i="19" a="1"/>
  <c r="G76" i="26" a="1"/>
  <c r="T38" i="21" a="1"/>
  <c r="H7" i="19" a="1"/>
  <c r="V110" i="20" a="1"/>
  <c r="D89" i="16" a="1"/>
  <c r="R18" i="26" a="1"/>
  <c r="X127" i="46" a="1"/>
  <c r="BJ8" i="46" a="1"/>
  <c r="U35" i="20" a="1"/>
  <c r="H134" i="46" a="1"/>
  <c r="F6" i="21" a="1"/>
  <c r="F27" i="44" a="1"/>
  <c r="H39" i="19" a="1"/>
  <c r="J11" i="17" a="1"/>
  <c r="F51" i="46" a="1"/>
  <c r="J29" i="48" a="1"/>
  <c r="K65" i="17" a="1"/>
  <c r="W8" i="44" a="1"/>
  <c r="U74" i="20" a="1"/>
  <c r="I108" i="19" a="1"/>
  <c r="K26" i="17" a="1"/>
  <c r="Z76" i="46" a="1"/>
  <c r="K59" i="46" a="1"/>
  <c r="E103" i="20" a="1"/>
  <c r="H61" i="20" a="1"/>
  <c r="X27" i="46" a="1"/>
  <c r="AC103" i="46" a="1"/>
  <c r="J46" i="46" a="1"/>
  <c r="Z28" i="48" a="1"/>
  <c r="I44" i="21" a="1"/>
  <c r="F92" i="17" a="1"/>
  <c r="R116" i="20" a="1"/>
  <c r="W10" i="15" a="1"/>
  <c r="F34" i="20" a="1"/>
  <c r="S49" i="19" a="1"/>
  <c r="E100" i="17" a="1"/>
  <c r="F139" i="19" a="1"/>
  <c r="K137" i="46" a="1"/>
  <c r="V117" i="19" a="1"/>
  <c r="V76" i="46" a="1"/>
  <c r="T104" i="20" a="1"/>
  <c r="H59" i="16" a="1"/>
  <c r="E16" i="50" a="1"/>
  <c r="S107" i="19" a="1"/>
  <c r="Y36" i="17" a="1"/>
  <c r="K138" i="46" a="1"/>
  <c r="F96" i="15" a="1"/>
  <c r="AC93" i="46" a="1"/>
  <c r="J39" i="46" a="1"/>
  <c r="W9" i="17" a="1"/>
  <c r="X124" i="46" a="1"/>
  <c r="Z24" i="46" a="1"/>
  <c r="W16" i="50" a="1"/>
  <c r="S53" i="17" a="1"/>
  <c r="F33" i="46" a="1"/>
  <c r="T23" i="50" a="1"/>
  <c r="L44" i="46" a="1"/>
  <c r="BG145" i="46" a="1"/>
  <c r="G60" i="16" a="1"/>
  <c r="E53" i="20" a="1"/>
  <c r="H48" i="46" a="1"/>
  <c r="T35" i="21" a="1"/>
  <c r="H29" i="21" a="1"/>
  <c r="D28" i="21" a="1"/>
  <c r="BG45" i="46" a="1"/>
  <c r="J109" i="19" a="1"/>
  <c r="F19" i="26" a="1"/>
  <c r="E9" i="44" a="1"/>
  <c r="H9" i="26" a="1"/>
  <c r="Y9" i="17" a="1"/>
  <c r="V116" i="20" a="1"/>
  <c r="D64" i="17" a="1"/>
  <c r="G34" i="20" a="1"/>
  <c r="K56" i="15" a="1"/>
  <c r="F90" i="16" a="1"/>
  <c r="U93" i="20" a="1"/>
  <c r="G35" i="50" a="1"/>
  <c r="F47" i="48" a="1"/>
  <c r="T13" i="19" a="1"/>
  <c r="G71" i="46" a="1"/>
  <c r="R65" i="26" a="1"/>
  <c r="R65" i="17" a="1"/>
  <c r="E31" i="50" a="1"/>
  <c r="BG137" i="46" a="1"/>
  <c r="V94" i="20" a="1"/>
  <c r="I33" i="50" a="1"/>
  <c r="D69" i="20" a="1"/>
  <c r="X64" i="17" a="1"/>
  <c r="G69" i="15" a="1"/>
  <c r="D10" i="15" a="1"/>
  <c r="J24" i="44" a="1"/>
  <c r="F25" i="21" a="1"/>
  <c r="U21" i="50" a="1"/>
  <c r="H63" i="20" a="1"/>
  <c r="H61" i="46" a="1"/>
  <c r="X14" i="48" a="1"/>
  <c r="BG75" i="46" a="1"/>
  <c r="E73" i="20" a="1"/>
  <c r="J18" i="46" a="1"/>
  <c r="H19" i="20" a="1"/>
  <c r="H46" i="26" a="1"/>
  <c r="E42" i="26" a="1"/>
  <c r="L13" i="48" a="1"/>
  <c r="AB82" i="16" a="1"/>
  <c r="S68" i="20" a="1"/>
  <c r="D80" i="16" a="1"/>
  <c r="AC134" i="46" a="1"/>
  <c r="AC41" i="26" a="1"/>
  <c r="U9" i="20" a="1"/>
  <c r="X79" i="15" a="1"/>
  <c r="J77" i="46" a="1"/>
  <c r="G31" i="50" a="1"/>
  <c r="K7" i="17" a="1"/>
  <c r="V31" i="26" a="1"/>
  <c r="U41" i="46" a="1"/>
  <c r="T18" i="44" a="1"/>
  <c r="E111" i="20" a="1"/>
  <c r="I104" i="46" a="1"/>
  <c r="G38" i="48" a="1"/>
  <c r="E62" i="15" a="1"/>
  <c r="X16" i="17" a="1"/>
  <c r="G62" i="20" a="1"/>
  <c r="T36" i="17" a="1"/>
  <c r="G126" i="46" a="1"/>
  <c r="F8" i="44" a="1"/>
  <c r="G61" i="16" a="1"/>
  <c r="E9" i="15" a="1"/>
  <c r="AA51" i="46" a="1"/>
  <c r="K47" i="46" a="1"/>
  <c r="AA77" i="15" a="1"/>
  <c r="BK86" i="46" a="1"/>
  <c r="T90" i="17" a="1"/>
  <c r="K64" i="46" a="1"/>
  <c r="F20" i="48" a="1"/>
  <c r="S39" i="20" a="1"/>
  <c r="K76" i="46" a="1"/>
  <c r="W7" i="21" a="1"/>
  <c r="U27" i="48" a="1"/>
  <c r="U9" i="44" a="1"/>
  <c r="W36" i="50" a="1"/>
  <c r="J97" i="46" a="1"/>
  <c r="J14" i="19" a="1"/>
  <c r="E54" i="20" a="1"/>
  <c r="I77" i="16" a="1"/>
  <c r="T8" i="20" a="1"/>
  <c r="Y65" i="46" a="1"/>
  <c r="E103" i="16" a="1"/>
  <c r="H39" i="21" a="1"/>
  <c r="H66" i="20" a="1"/>
  <c r="I22" i="21" a="1"/>
  <c r="J111" i="17" a="1"/>
  <c r="K26" i="48" a="1"/>
  <c r="I28" i="44" a="1"/>
  <c r="E56" i="15" a="1"/>
  <c r="G55" i="15" a="1"/>
  <c r="T31" i="50" a="1"/>
  <c r="E144" i="19" a="1"/>
  <c r="G40" i="21" a="1"/>
  <c r="R55" i="19" a="1"/>
  <c r="D21" i="19" a="1"/>
  <c r="T46" i="21" a="1"/>
  <c r="AB17" i="16" a="1"/>
  <c r="AB49" i="46" a="1"/>
  <c r="I83" i="46" a="1"/>
  <c r="K39" i="17" a="1"/>
  <c r="U87" i="20" a="1"/>
  <c r="F33" i="50" a="1"/>
  <c r="V104" i="20" a="1"/>
  <c r="X10" i="46" a="1"/>
  <c r="BJ52" i="46" a="1"/>
  <c r="Y59" i="15" a="1"/>
  <c r="E48" i="20" a="1"/>
  <c r="T47" i="46" a="1"/>
  <c r="S57" i="16" a="1"/>
  <c r="G11" i="48" a="1"/>
  <c r="D28" i="17" a="1"/>
  <c r="W110" i="46" a="1"/>
  <c r="H88" i="15" a="1"/>
  <c r="Z74" i="46" a="1"/>
  <c r="K37" i="17" a="1"/>
  <c r="AC73" i="46" a="1"/>
  <c r="K54" i="15" a="1"/>
  <c r="H7" i="44" a="1"/>
  <c r="E114" i="20" a="1"/>
  <c r="S44" i="20" a="1"/>
  <c r="K11" i="17" a="1"/>
  <c r="F50" i="21" a="1"/>
  <c r="S78" i="17" a="1"/>
  <c r="AB25" i="15" a="1"/>
  <c r="E41" i="26" a="1"/>
  <c r="G36" i="48" a="1"/>
  <c r="T62" i="20" a="1"/>
  <c r="E34" i="26" a="1"/>
  <c r="K27" i="17" a="1"/>
  <c r="J86" i="15" a="1"/>
  <c r="BJ11" i="46" a="1"/>
  <c r="W41" i="21" a="1"/>
  <c r="BK44" i="46" a="1"/>
  <c r="BK127" i="46" a="1"/>
  <c r="BJ123" i="46" a="1"/>
  <c r="BJ79" i="46" a="1"/>
  <c r="J139" i="19" a="1"/>
  <c r="W111" i="46" a="1"/>
  <c r="X104" i="17" a="1"/>
  <c r="Y39" i="26" a="1"/>
  <c r="Y62" i="46" a="1"/>
  <c r="H81" i="17" a="1"/>
  <c r="BI127" i="46" a="1"/>
  <c r="T50" i="20" a="1"/>
  <c r="F141" i="46" a="1"/>
  <c r="I13" i="20" a="1"/>
  <c r="V11" i="20" a="1"/>
  <c r="S104" i="17" a="1"/>
  <c r="G53" i="19" a="1"/>
  <c r="L99" i="46" a="1"/>
  <c r="U110" i="20" a="1"/>
  <c r="BI12" i="46" a="1"/>
  <c r="T13" i="46" a="1"/>
  <c r="J62" i="26" a="1"/>
  <c r="J128" i="19" a="1"/>
  <c r="F108" i="46" a="1"/>
  <c r="R15" i="26" a="1"/>
  <c r="I106" i="17" a="1"/>
  <c r="Z11" i="46" a="1"/>
  <c r="T31" i="48" a="1"/>
  <c r="K24" i="46" a="1"/>
  <c r="G77" i="46" a="1"/>
  <c r="W80" i="15" a="1"/>
  <c r="R16" i="26" a="1"/>
  <c r="I45" i="19" a="1"/>
  <c r="K22" i="44" a="1"/>
  <c r="I70" i="46" a="1"/>
  <c r="Z29" i="46" a="1"/>
  <c r="F18" i="15" a="1"/>
  <c r="F10" i="19" a="1"/>
  <c r="D80" i="15" a="1"/>
  <c r="G85" i="16" a="1"/>
  <c r="E74" i="26" a="1"/>
  <c r="AA46" i="15" a="1"/>
  <c r="V17" i="50" a="1"/>
  <c r="E25" i="15" a="1"/>
  <c r="E31" i="15" a="1"/>
  <c r="V33" i="19" a="1"/>
  <c r="J17" i="50" a="1"/>
  <c r="I9" i="26" a="1"/>
  <c r="H52" i="17" a="1"/>
  <c r="D29" i="44" a="1"/>
  <c r="V11" i="21" a="1"/>
  <c r="H73" i="15" a="1"/>
  <c r="F11" i="48" a="1"/>
  <c r="H13" i="17" a="1"/>
  <c r="J94" i="16" a="1"/>
  <c r="D22" i="21" a="1"/>
  <c r="H45" i="17" a="1"/>
  <c r="G83" i="46" a="1"/>
  <c r="Z17" i="16" a="1"/>
  <c r="D17" i="20" a="1"/>
  <c r="H33" i="48" a="1"/>
  <c r="G42" i="16" a="1"/>
  <c r="G16" i="50" a="1"/>
  <c r="S47" i="19" a="1"/>
  <c r="Y15" i="17" a="1"/>
  <c r="R35" i="21" a="1"/>
  <c r="H74" i="20" a="1"/>
  <c r="J18" i="48" a="1"/>
  <c r="G97" i="46" a="1"/>
  <c r="E31" i="26" a="1"/>
  <c r="F103" i="46" a="1"/>
  <c r="D98" i="15" a="1"/>
  <c r="S40" i="17" a="1"/>
  <c r="S116" i="20" a="1"/>
  <c r="W60" i="46" a="1"/>
  <c r="U15" i="46" a="1"/>
  <c r="E25" i="17" a="1"/>
  <c r="J92" i="46" a="1"/>
  <c r="Z33" i="26" a="1"/>
  <c r="G30" i="26" a="1"/>
  <c r="W12" i="15" a="1"/>
  <c r="Z14" i="15" a="1"/>
  <c r="G15" i="21" a="1"/>
  <c r="X83" i="46" a="1"/>
  <c r="E26" i="44" a="1"/>
  <c r="J25" i="48" a="1"/>
  <c r="D93" i="16" a="1"/>
  <c r="F53" i="16" a="1"/>
  <c r="BJ106" i="46" a="1"/>
  <c r="T10" i="21" a="1"/>
  <c r="Z107" i="46" a="1"/>
  <c r="F31" i="19" a="1"/>
  <c r="J23" i="44" a="1"/>
  <c r="R15" i="20" a="1"/>
  <c r="K88" i="15" a="1"/>
  <c r="G141" i="46" a="1"/>
  <c r="D29" i="16" a="1"/>
  <c r="J83" i="15" a="1"/>
  <c r="T24" i="50" a="1"/>
  <c r="I48" i="16" a="1"/>
  <c r="I106" i="46" a="1"/>
  <c r="W81" i="16" a="1"/>
  <c r="R112" i="17" a="1"/>
  <c r="U9" i="50" a="1"/>
  <c r="H9" i="20" a="1"/>
  <c r="D110" i="19" a="1"/>
  <c r="J91" i="17" a="1"/>
  <c r="G66" i="16" a="1"/>
  <c r="I28" i="17" a="1"/>
  <c r="D52" i="15" a="1"/>
  <c r="AA78" i="15" a="1"/>
  <c r="F101" i="20" a="1"/>
  <c r="T51" i="46" a="1"/>
  <c r="R111" i="20" a="1"/>
  <c r="W93" i="46" a="1"/>
  <c r="S25" i="21" a="1"/>
  <c r="BG55" i="46" a="1"/>
  <c r="W46" i="21" a="1"/>
  <c r="F39" i="48" a="1"/>
  <c r="K48" i="17" a="1"/>
  <c r="T8" i="50" a="1"/>
  <c r="E125" i="19" a="1"/>
  <c r="H35" i="17" a="1"/>
  <c r="S122" i="19" a="1"/>
  <c r="K23" i="44" a="1"/>
  <c r="X60" i="15" a="1"/>
  <c r="F34" i="46" a="1"/>
  <c r="AC143" i="46" a="1"/>
  <c r="V53" i="20" a="1"/>
  <c r="G55" i="26" a="1"/>
  <c r="I52" i="16" a="1"/>
  <c r="BH16" i="46" a="1"/>
  <c r="AC65" i="46" a="1"/>
  <c r="BI34" i="46" a="1"/>
  <c r="S21" i="20" a="1"/>
  <c r="I16" i="21" a="1"/>
  <c r="X95" i="46" a="1"/>
  <c r="V43" i="26" a="1"/>
  <c r="G47" i="17" a="1"/>
  <c r="E142" i="19" a="1"/>
  <c r="T7" i="46" a="1"/>
  <c r="BH36" i="46" a="1"/>
  <c r="F26" i="16" a="1"/>
  <c r="I34" i="46" a="1"/>
  <c r="AC38" i="46" a="1"/>
  <c r="G38" i="20" a="1"/>
  <c r="F102" i="16" a="1"/>
  <c r="S60" i="17" a="1"/>
  <c r="I37" i="16" a="1"/>
  <c r="R62" i="15" a="1"/>
  <c r="T75" i="16" a="1"/>
  <c r="W73" i="16" a="1"/>
  <c r="F59" i="26" a="1"/>
  <c r="F40" i="19" a="1"/>
  <c r="U12" i="50" a="1"/>
  <c r="D42" i="17" a="1"/>
  <c r="W103" i="16" a="1"/>
  <c r="S67" i="17" a="1"/>
  <c r="J59" i="17" a="1"/>
  <c r="S56" i="19" a="1"/>
  <c r="W75" i="16" a="1"/>
  <c r="X118" i="46" a="1"/>
  <c r="T56" i="16" a="1"/>
  <c r="AB89" i="16" a="1"/>
  <c r="D71" i="15" a="1"/>
  <c r="I29" i="46" a="1"/>
  <c r="L52" i="46" a="1"/>
  <c r="X57" i="46" a="1"/>
  <c r="J132" i="19" a="1"/>
  <c r="L74" i="46" a="1"/>
  <c r="AC30" i="26" a="1"/>
  <c r="H46" i="48" a="1"/>
  <c r="J72" i="46" a="1"/>
  <c r="BH25" i="46" a="1"/>
  <c r="U40" i="19" a="1"/>
  <c r="S12" i="50" a="1"/>
  <c r="AB64" i="46" a="1"/>
  <c r="AA81" i="15" a="1"/>
  <c r="W35" i="50" a="1"/>
  <c r="F120" i="19" a="1"/>
  <c r="BI90" i="46" a="1"/>
  <c r="J73" i="15" a="1"/>
  <c r="R66" i="20" a="1"/>
  <c r="AC34" i="26" a="1"/>
  <c r="G32" i="46" a="1"/>
  <c r="F22" i="48" a="1"/>
  <c r="BG32" i="46" a="1"/>
  <c r="BG128" i="46" a="1"/>
  <c r="H27" i="17" a="1"/>
  <c r="W28" i="50" a="1"/>
  <c r="Z134" i="46" a="1"/>
  <c r="BH17" i="46" a="1"/>
  <c r="R39" i="20" a="1"/>
  <c r="H28" i="20" a="1"/>
  <c r="G95" i="17" a="1"/>
  <c r="AC145" i="46" a="1"/>
  <c r="I32" i="50" a="1"/>
  <c r="Z50" i="46" a="1"/>
  <c r="W40" i="17" a="1"/>
  <c r="D73" i="17" a="1"/>
  <c r="I90" i="15" a="1"/>
  <c r="T36" i="26" a="1"/>
  <c r="T80" i="15" a="1"/>
  <c r="AB39" i="15" a="1"/>
  <c r="H54" i="19" a="1"/>
  <c r="J130" i="19" a="1"/>
  <c r="S31" i="19" a="1"/>
  <c r="H55" i="20" a="1"/>
  <c r="R8" i="20" a="1"/>
  <c r="E115" i="20" a="1"/>
  <c r="G87" i="46" a="1"/>
  <c r="BI128" i="46" a="1"/>
  <c r="F79" i="17" a="1"/>
  <c r="V28" i="20" a="1"/>
  <c r="G63" i="16" a="1"/>
  <c r="D86" i="17" a="1"/>
  <c r="L11" i="46" a="1"/>
  <c r="D84" i="16" a="1"/>
  <c r="H53" i="46" a="1"/>
  <c r="BK132" i="46" a="1"/>
  <c r="T52" i="19" a="1"/>
  <c r="G118" i="19" a="1"/>
  <c r="S84" i="17" a="1"/>
  <c r="X70" i="16" a="1"/>
  <c r="F32" i="50" a="1"/>
  <c r="AB43" i="16" a="1"/>
  <c r="T118" i="19" a="1"/>
  <c r="G64" i="17" a="1"/>
  <c r="D105" i="20" a="1"/>
  <c r="F57" i="20" a="1"/>
  <c r="G35" i="17" a="1"/>
  <c r="Y63" i="46" a="1"/>
  <c r="G34" i="26" a="1"/>
  <c r="F20" i="26" a="1"/>
  <c r="D23" i="50" a="1"/>
  <c r="U39" i="46" a="1"/>
  <c r="D96" i="20" a="1"/>
  <c r="R87" i="17" a="1"/>
  <c r="L46" i="46" a="1"/>
  <c r="BK66" i="46" a="1"/>
  <c r="H75" i="46" a="1"/>
  <c r="E79" i="26" a="1"/>
  <c r="I113" i="19" a="1"/>
  <c r="E131" i="19" a="1"/>
  <c r="E15" i="19" a="1"/>
  <c r="H52" i="19" a="1"/>
  <c r="J34" i="50" a="1"/>
  <c r="E139" i="19" a="1"/>
  <c r="T91" i="17" a="1"/>
  <c r="T63" i="15" a="1"/>
  <c r="AC46" i="46" a="1"/>
  <c r="D119" i="19" a="1"/>
  <c r="S17" i="17" a="1"/>
  <c r="BH116" i="46" a="1"/>
  <c r="T44" i="19" a="1"/>
  <c r="BK94" i="46" a="1"/>
  <c r="D60" i="15" a="1"/>
  <c r="G77" i="15" a="1"/>
  <c r="D8" i="16" a="1"/>
  <c r="F59" i="19" a="1"/>
  <c r="AC70" i="46" a="1"/>
  <c r="U117" i="20" a="1"/>
  <c r="S121" i="19" a="1"/>
  <c r="BH21" i="46" a="1"/>
  <c r="F27" i="19" a="1"/>
  <c r="AA66" i="15" a="1"/>
  <c r="R63" i="17" a="1"/>
  <c r="W7" i="48" a="1"/>
  <c r="H98" i="46" a="1"/>
  <c r="D16" i="15" a="1"/>
  <c r="F54" i="19" a="1"/>
  <c r="I19" i="44" a="1"/>
  <c r="I64" i="15" a="1"/>
  <c r="BK29" i="46" a="1"/>
  <c r="W25" i="21" a="1"/>
  <c r="G15" i="46" a="1"/>
  <c r="T113" i="20" a="1"/>
  <c r="AB75" i="46" a="1"/>
  <c r="T44" i="21" a="1"/>
  <c r="R7" i="20" a="1"/>
  <c r="J62" i="16" a="1"/>
  <c r="X10" i="48" a="1"/>
  <c r="E43" i="20" a="1"/>
  <c r="Y104" i="46" a="1"/>
  <c r="Z40" i="15" a="1"/>
  <c r="H20" i="46" a="1"/>
  <c r="W10" i="48" a="1"/>
  <c r="H125" i="19" a="1"/>
  <c r="E24" i="50" a="1"/>
  <c r="T19" i="20" a="1"/>
  <c r="D64" i="20" a="1"/>
  <c r="Y87" i="17" a="1"/>
  <c r="F63" i="20" a="1"/>
  <c r="D89" i="17" a="1"/>
  <c r="Y89" i="17" a="1"/>
  <c r="BJ82" i="46" a="1"/>
  <c r="H62" i="20" a="1"/>
  <c r="I9" i="21" a="1"/>
  <c r="X13" i="46" a="1"/>
  <c r="E39" i="26" a="1"/>
  <c r="Y40" i="46" a="1"/>
  <c r="F35" i="19" a="1"/>
  <c r="X109" i="46" a="1"/>
  <c r="K87" i="15" a="1"/>
  <c r="U102" i="20" a="1"/>
  <c r="H127" i="19" a="1"/>
  <c r="J38" i="21" a="1"/>
  <c r="W16" i="15" a="1"/>
  <c r="Y66" i="16" a="1"/>
  <c r="T66" i="15" a="1"/>
  <c r="F36" i="21" a="1"/>
  <c r="Y92" i="46" a="1"/>
  <c r="D105" i="17" a="1"/>
  <c r="W57" i="17" a="1"/>
  <c r="H62" i="46" a="1"/>
  <c r="R37" i="21" a="1"/>
  <c r="X38" i="26" a="1"/>
  <c r="I67" i="16" a="1"/>
  <c r="Y31" i="26" a="1"/>
  <c r="T21" i="48" a="1"/>
  <c r="X17" i="46" a="1"/>
  <c r="J89" i="17" a="1"/>
  <c r="T51" i="21" a="1"/>
  <c r="K69" i="46" a="1"/>
  <c r="U10" i="48" a="1"/>
  <c r="G65" i="15" a="1"/>
  <c r="V101" i="20" a="1"/>
  <c r="T14" i="20" a="1"/>
  <c r="T27" i="50" a="1"/>
  <c r="E59" i="15" a="1"/>
  <c r="V116" i="19" a="1"/>
  <c r="T16" i="44" a="1"/>
  <c r="W76" i="16" a="1"/>
  <c r="W70" i="15" a="1"/>
  <c r="V34" i="20" a="1"/>
  <c r="S11" i="19" a="1"/>
  <c r="S96" i="17" a="1"/>
  <c r="Y122" i="46" a="1"/>
  <c r="I92" i="17" a="1"/>
  <c r="AA18" i="15" a="1"/>
  <c r="G46" i="20" a="1"/>
  <c r="G65" i="26" a="1"/>
  <c r="K122" i="46" a="1"/>
  <c r="Y33" i="48" a="1"/>
  <c r="AD35" i="26" a="1"/>
  <c r="I85" i="17" a="1"/>
  <c r="V21" i="50" a="1"/>
  <c r="R76" i="16" a="1"/>
  <c r="D24" i="21" a="1"/>
  <c r="H43" i="17" a="1"/>
  <c r="E66" i="15" a="1"/>
  <c r="E23" i="50" a="1"/>
  <c r="BI130" i="46" a="1"/>
  <c r="F95" i="20" a="1"/>
  <c r="S41" i="48" a="1"/>
  <c r="F14" i="17" a="1"/>
  <c r="U66" i="20" a="1"/>
  <c r="D11" i="15" a="1"/>
  <c r="G9" i="21" a="1"/>
  <c r="T52" i="16" a="1"/>
  <c r="Y90" i="17" a="1"/>
  <c r="F46" i="16" a="1"/>
  <c r="Y14" i="46" a="1"/>
  <c r="I47" i="48" a="1"/>
  <c r="D57" i="26" a="1"/>
  <c r="T47" i="17" a="1"/>
  <c r="G93" i="15" a="1"/>
  <c r="F126" i="19" a="1"/>
  <c r="G26" i="19" a="1"/>
  <c r="R57" i="17" a="1"/>
  <c r="T67" i="15" a="1"/>
  <c r="U8" i="21" a="1"/>
  <c r="AB60" i="16" a="1"/>
  <c r="H116" i="46" a="1"/>
  <c r="J90" i="16" a="1"/>
  <c r="S39" i="21" a="1"/>
  <c r="J15" i="44" a="1"/>
  <c r="S55" i="17" a="1"/>
  <c r="BH143" i="46" a="1"/>
  <c r="AA21" i="15" a="1"/>
  <c r="G38" i="26" a="1"/>
  <c r="W66" i="46" a="1"/>
  <c r="S45" i="15" a="1"/>
  <c r="AC108" i="46" a="1"/>
  <c r="D41" i="19" a="1"/>
  <c r="G11" i="46" a="1"/>
  <c r="J94" i="17" a="1"/>
  <c r="BG30" i="46" a="1"/>
  <c r="D80" i="20" a="1"/>
  <c r="U118" i="20" a="1"/>
  <c r="E9" i="26" a="1"/>
  <c r="D46" i="21" a="1"/>
  <c r="BI33" i="46" a="1"/>
  <c r="S92" i="17" a="1"/>
  <c r="D13" i="20" a="1"/>
  <c r="H64" i="20" a="1"/>
  <c r="T39" i="48" a="1"/>
  <c r="Z22" i="15" a="1"/>
  <c r="E15" i="20" a="1"/>
  <c r="F102" i="20" a="1"/>
  <c r="I57" i="19" a="1"/>
  <c r="H41" i="19" a="1"/>
  <c r="I67" i="46" a="1"/>
  <c r="E42" i="21" a="1"/>
  <c r="AA54" i="15" a="1"/>
  <c r="I61" i="15" a="1"/>
  <c r="H133" i="19" a="1"/>
  <c r="F45" i="19" a="1"/>
  <c r="S87" i="20" a="1"/>
  <c r="F105" i="17" a="1"/>
  <c r="BH131" i="46" a="1"/>
  <c r="G95" i="16" a="1"/>
  <c r="Y13" i="17" a="1"/>
  <c r="G20" i="26" a="1"/>
  <c r="J58" i="26" a="1"/>
  <c r="T16" i="17" a="1"/>
  <c r="E18" i="48" a="1"/>
  <c r="W60" i="15" a="1"/>
  <c r="X93" i="17" a="1"/>
  <c r="E37" i="20" a="1"/>
  <c r="E116" i="19" a="1"/>
  <c r="X88" i="46" a="1"/>
  <c r="I17" i="21" a="1"/>
  <c r="J75" i="46" a="1"/>
  <c r="J33" i="26" a="1"/>
  <c r="F22" i="16" a="1"/>
  <c r="BH141" i="46" a="1"/>
  <c r="F7" i="50" a="1"/>
  <c r="K93" i="15" a="1"/>
  <c r="D139" i="19" a="1"/>
  <c r="F88" i="20" a="1"/>
  <c r="R44" i="20" a="1"/>
  <c r="Y94" i="17" a="1"/>
  <c r="W21" i="46" a="1"/>
  <c r="G37" i="21" a="1"/>
  <c r="V34" i="19" a="1"/>
  <c r="F146" i="46" a="1"/>
  <c r="BJ108" i="46" a="1"/>
  <c r="BK125" i="46" a="1"/>
  <c r="T63" i="16" a="1"/>
  <c r="D12" i="21" a="1"/>
  <c r="BK33" i="46" a="1"/>
  <c r="AC57" i="46" a="1"/>
  <c r="F83" i="20" a="1"/>
  <c r="H100" i="17" a="1"/>
  <c r="W41" i="26" a="1"/>
  <c r="V26" i="19" a="1"/>
  <c r="K111" i="17" a="1"/>
  <c r="I47" i="15" a="1"/>
  <c r="V83" i="20" a="1"/>
  <c r="X33" i="26" a="1"/>
  <c r="S115" i="17" a="1"/>
  <c r="J32" i="17" a="1"/>
  <c r="V10" i="50" a="1"/>
  <c r="I24" i="26" a="1"/>
  <c r="E13" i="48" a="1"/>
  <c r="K119" i="46" a="1"/>
  <c r="T79" i="20" a="1"/>
  <c r="AA94" i="15" a="1"/>
  <c r="F72" i="46" a="1"/>
  <c r="AA79" i="15" a="1"/>
  <c r="E21" i="16" a="1"/>
  <c r="Z78" i="46" a="1"/>
  <c r="L28" i="46" a="1"/>
  <c r="S15" i="26" a="1"/>
  <c r="X63" i="16" a="1"/>
  <c r="F74" i="20" a="1"/>
  <c r="R77" i="17" a="1"/>
  <c r="AB43" i="26" a="1"/>
  <c r="AE45" i="26" a="1"/>
  <c r="H38" i="50" a="1"/>
  <c r="I81" i="46" a="1"/>
  <c r="W86" i="17" a="1"/>
  <c r="H119" i="19" a="1"/>
  <c r="I76" i="46" a="1"/>
  <c r="BJ103" i="46" a="1"/>
  <c r="W90" i="46" a="1"/>
  <c r="BK79" i="46" a="1"/>
  <c r="E67" i="20" a="1"/>
  <c r="U62" i="20" a="1"/>
  <c r="W103" i="17" a="1"/>
  <c r="E52" i="19" a="1"/>
  <c r="U17" i="21" a="1"/>
  <c r="E29" i="44" a="1"/>
  <c r="K81" i="17" a="1"/>
  <c r="F142" i="19" a="1"/>
  <c r="Z130" i="46" a="1"/>
  <c r="E141" i="19" a="1"/>
  <c r="F95" i="16" a="1"/>
  <c r="AB77" i="46" a="1"/>
  <c r="D23" i="19" a="1"/>
  <c r="K19" i="44" a="1"/>
  <c r="S55" i="15" a="1"/>
  <c r="BG68" i="46" a="1"/>
  <c r="G44" i="15" a="1"/>
  <c r="F71" i="46" a="1"/>
  <c r="BH101" i="46" a="1"/>
  <c r="X52" i="46" a="1"/>
  <c r="V51" i="19" a="1"/>
  <c r="E134" i="19" a="1"/>
  <c r="W27" i="17" a="1"/>
  <c r="D24" i="17" a="1"/>
  <c r="F46" i="46" a="1"/>
  <c r="S27" i="21" a="1"/>
  <c r="E76" i="17" a="1"/>
  <c r="AC56" i="46" a="1"/>
  <c r="S103" i="17" a="1"/>
  <c r="D144" i="19" a="1"/>
  <c r="S86" i="17" a="1"/>
  <c r="D134" i="19" a="1"/>
  <c r="BJ113" i="46" a="1"/>
  <c r="G56" i="20" a="1"/>
  <c r="V18" i="50" a="1"/>
  <c r="I41" i="46" a="1"/>
  <c r="J60" i="15" a="1"/>
  <c r="G16" i="46" a="1"/>
  <c r="I73" i="46" a="1"/>
  <c r="J56" i="16" a="1"/>
  <c r="R33" i="17" a="1"/>
  <c r="J41" i="46" a="1"/>
  <c r="K7" i="46" a="1"/>
  <c r="F71" i="20" a="1"/>
  <c r="V108" i="20" a="1"/>
  <c r="AB33" i="15" a="1"/>
  <c r="I43" i="20" a="1"/>
  <c r="R97" i="17" a="1"/>
  <c r="T11" i="50" a="1"/>
  <c r="J42" i="21" a="1"/>
  <c r="H17" i="21" a="1"/>
  <c r="J18" i="21" a="1"/>
  <c r="D82" i="16" a="1"/>
  <c r="H40" i="50" a="1"/>
  <c r="J34" i="19" a="1"/>
  <c r="K59" i="17" a="1"/>
  <c r="I119" i="46" a="1"/>
  <c r="G146" i="46" a="1"/>
  <c r="K60" i="17" a="1"/>
  <c r="J103" i="17" a="1"/>
  <c r="F24" i="48" a="1"/>
  <c r="H46" i="17" a="1"/>
  <c r="J16" i="17" a="1"/>
  <c r="I143" i="46" a="1"/>
  <c r="K73" i="15" a="1"/>
  <c r="AB70" i="46" a="1"/>
  <c r="AA31" i="15" a="1"/>
  <c r="H106" i="16" a="1"/>
  <c r="U28" i="50" a="1"/>
  <c r="W63" i="17" a="1"/>
  <c r="I130" i="46" a="1"/>
  <c r="D30" i="20" a="1"/>
  <c r="X82" i="17" a="1"/>
  <c r="V24" i="20" a="1"/>
  <c r="G115" i="46" a="1"/>
  <c r="T29" i="20" a="1"/>
  <c r="D76" i="17" a="1"/>
  <c r="G35" i="20" a="1"/>
  <c r="T60" i="15" a="1"/>
  <c r="T42" i="19" a="1"/>
  <c r="Y29" i="16" a="1"/>
  <c r="G75" i="20" a="1"/>
  <c r="F19" i="20" a="1"/>
  <c r="AB14" i="16" a="1"/>
  <c r="S74" i="16" a="1"/>
  <c r="H68" i="15" a="1"/>
  <c r="E38" i="15" a="1"/>
  <c r="BI110" i="46" a="1"/>
  <c r="H37" i="20" a="1"/>
  <c r="T37" i="26" a="1"/>
  <c r="W19" i="21" a="1"/>
  <c r="F34" i="26" a="1"/>
  <c r="Y84" i="46" a="1"/>
  <c r="BK46" i="46" a="1"/>
  <c r="R15" i="44" a="1"/>
  <c r="Y100" i="46" a="1"/>
  <c r="J48" i="16" a="1"/>
  <c r="AA46" i="46" a="1"/>
  <c r="I37" i="19" a="1"/>
  <c r="AA35" i="26" a="1"/>
  <c r="J45" i="16" a="1"/>
  <c r="BG50" i="46" a="1"/>
  <c r="H11" i="50" a="1"/>
  <c r="S30" i="19" a="1"/>
  <c r="X8" i="44" a="1"/>
  <c r="H28" i="17" a="1"/>
  <c r="G23" i="21" a="1"/>
  <c r="F58" i="17" a="1"/>
  <c r="W117" i="46" a="1"/>
  <c r="G89" i="46" a="1"/>
  <c r="AA37" i="26" a="1"/>
  <c r="D8" i="50" a="1"/>
  <c r="T23" i="44" a="1"/>
  <c r="S73" i="15" a="1"/>
  <c r="K50" i="15" a="1"/>
  <c r="D110" i="20" a="1"/>
  <c r="BH123" i="46" a="1"/>
  <c r="U133" i="19" a="1"/>
  <c r="BK43" i="46" a="1"/>
  <c r="I26" i="44" a="1"/>
  <c r="BH64" i="46" a="1"/>
  <c r="W104" i="17" a="1"/>
  <c r="V38" i="20" a="1"/>
  <c r="V79" i="20" a="1"/>
  <c r="E33" i="19" a="1"/>
  <c r="D55" i="17" a="1"/>
  <c r="T125" i="19" a="1"/>
  <c r="R82" i="26" a="1"/>
  <c r="I45" i="16" a="1"/>
  <c r="D95" i="17" a="1"/>
  <c r="AB48" i="16" a="1"/>
  <c r="E69" i="17" a="1"/>
  <c r="D130" i="19" a="1"/>
  <c r="R85" i="17" a="1"/>
  <c r="F31" i="17" a="1"/>
  <c r="Y61" i="16" a="1"/>
  <c r="H34" i="21" a="1"/>
  <c r="U30" i="26" a="1"/>
  <c r="G123" i="19" a="1"/>
  <c r="I25" i="26" a="1"/>
  <c r="BH73" i="46" a="1"/>
  <c r="V24" i="50" a="1"/>
  <c r="H102" i="16" a="1"/>
  <c r="E80" i="17" a="1"/>
  <c r="W72" i="15" a="1"/>
  <c r="T84" i="20" a="1"/>
  <c r="X67" i="17" a="1"/>
  <c r="H34" i="26" a="1"/>
  <c r="W106" i="46" a="1"/>
  <c r="F103" i="17" a="1"/>
  <c r="Z12" i="48" a="1"/>
  <c r="G77" i="16" a="1"/>
  <c r="E35" i="19" a="1"/>
  <c r="G80" i="26" a="1"/>
  <c r="G29" i="44" a="1"/>
  <c r="F138" i="19" a="1"/>
  <c r="F141" i="19" a="1"/>
  <c r="BG118" i="46" a="1"/>
  <c r="J23" i="26" a="1"/>
  <c r="S17" i="19" a="1"/>
  <c r="F86" i="46" a="1"/>
  <c r="I60" i="16" a="1"/>
  <c r="R110" i="17" a="1"/>
  <c r="T25" i="17" a="1"/>
  <c r="W82" i="16" a="1"/>
  <c r="I18" i="26" a="1"/>
  <c r="H21" i="50" a="1"/>
  <c r="F19" i="46" a="1"/>
  <c r="BH75" i="46" a="1"/>
  <c r="AB50" i="15" a="1"/>
  <c r="Y118" i="46" a="1"/>
  <c r="AB10" i="16" a="1"/>
  <c r="T54" i="15" a="1"/>
  <c r="I78" i="15" a="1"/>
  <c r="E18" i="44" a="1"/>
  <c r="U8" i="50" a="1"/>
  <c r="G91" i="16" a="1"/>
  <c r="V83" i="15" a="1"/>
  <c r="U9" i="21" a="1"/>
  <c r="D51" i="20" a="1"/>
  <c r="I112" i="19" a="1"/>
  <c r="D26" i="16" a="1"/>
  <c r="T128" i="19" a="1"/>
  <c r="K18" i="48" a="1"/>
  <c r="K21" i="46" a="1"/>
  <c r="G86" i="15" a="1"/>
  <c r="F110" i="46" a="1"/>
  <c r="J40" i="50" a="1"/>
  <c r="E17" i="26" a="1"/>
  <c r="D23" i="16" a="1"/>
  <c r="F114" i="46" a="1"/>
  <c r="AA41" i="15" a="1"/>
  <c r="S52" i="19" a="1"/>
  <c r="AA69" i="46" a="1"/>
  <c r="K52" i="15" a="1"/>
  <c r="V73" i="15" a="1"/>
  <c r="V7" i="20" a="1"/>
  <c r="W70" i="16" a="1"/>
  <c r="E62" i="17" a="1"/>
  <c r="R42" i="21" a="1"/>
  <c r="I54" i="26" a="1"/>
  <c r="BJ67" i="46" a="1"/>
  <c r="G17" i="26" a="1"/>
  <c r="T60" i="17" a="1"/>
  <c r="Y81" i="15" a="1"/>
  <c r="G10" i="17" a="1"/>
  <c r="AB18" i="15" a="1"/>
  <c r="Z131" i="46" a="1"/>
  <c r="H23" i="44" a="1"/>
  <c r="G26" i="21" a="1"/>
  <c r="E62" i="26" a="1"/>
  <c r="I86" i="16" a="1"/>
  <c r="E27" i="17" a="1"/>
  <c r="E65" i="26" a="1"/>
  <c r="G105" i="16" a="1"/>
  <c r="BJ77" i="46" a="1"/>
  <c r="K26" i="44" a="1"/>
  <c r="S81" i="17" a="1"/>
  <c r="S9" i="44" a="1"/>
  <c r="D103" i="16" a="1"/>
  <c r="D96" i="16" a="1"/>
  <c r="J107" i="16" a="1"/>
  <c r="U15" i="20" a="1"/>
  <c r="X35" i="17" a="1"/>
  <c r="H96" i="17" a="1"/>
  <c r="J51" i="17" a="1"/>
  <c r="U19" i="20" a="1"/>
  <c r="X57" i="17" a="1"/>
  <c r="T95" i="17" a="1"/>
  <c r="V56" i="15" a="1"/>
  <c r="G21" i="20" a="1"/>
  <c r="AC82" i="46" a="1"/>
  <c r="J46" i="17" a="1"/>
  <c r="F54" i="17" a="1"/>
  <c r="G115" i="19" a="1"/>
  <c r="D54" i="26" a="1"/>
  <c r="Z24" i="16" a="1"/>
  <c r="D11" i="26" a="1"/>
  <c r="T10" i="50" a="1"/>
  <c r="J76" i="46" a="1"/>
  <c r="F37" i="50" a="1"/>
  <c r="F70" i="15" a="1"/>
  <c r="E126" i="19" a="1"/>
  <c r="H72" i="16" a="1"/>
  <c r="X101" i="17" a="1"/>
  <c r="R19" i="20" a="1"/>
  <c r="J91" i="15" a="1"/>
  <c r="S19" i="21" a="1"/>
  <c r="G10" i="26" a="1"/>
  <c r="T68" i="20" a="1"/>
  <c r="R25" i="17" a="1"/>
  <c r="W47" i="15" a="1"/>
  <c r="T45" i="48" a="1"/>
  <c r="Y96" i="17" a="1"/>
  <c r="F16" i="44" a="1"/>
  <c r="BI79" i="46" a="1"/>
  <c r="E40" i="20" a="1"/>
  <c r="U54" i="19" a="1"/>
  <c r="Z18" i="46" a="1"/>
  <c r="T80" i="20" a="1"/>
  <c r="R73" i="16" a="1"/>
  <c r="G58" i="19" a="1"/>
  <c r="J106" i="17" a="1"/>
  <c r="H82" i="15" a="1"/>
  <c r="F96" i="17" a="1"/>
  <c r="K80" i="17" a="1"/>
  <c r="G83" i="26" a="1"/>
  <c r="V43" i="19" a="1"/>
  <c r="E17" i="21" a="1"/>
  <c r="T99" i="17" a="1"/>
  <c r="U68" i="20" a="1"/>
  <c r="Z141" i="46" a="1"/>
  <c r="K76" i="17" a="1"/>
  <c r="T46" i="46" a="1"/>
  <c r="F84" i="17" a="1"/>
  <c r="W29" i="21" a="1"/>
  <c r="X17" i="17" a="1"/>
  <c r="BJ131" i="46" a="1"/>
  <c r="S11" i="26" a="1"/>
  <c r="G40" i="48" a="1"/>
  <c r="I23" i="20" a="1"/>
  <c r="G20" i="50" a="1"/>
  <c r="D38" i="16" a="1"/>
  <c r="Z108" i="46" a="1"/>
  <c r="F16" i="15" a="1"/>
  <c r="Z127" i="46" a="1"/>
  <c r="Z82" i="46" a="1"/>
  <c r="BI49" i="46" a="1"/>
  <c r="K77" i="46" a="1"/>
  <c r="R14" i="21" a="1"/>
  <c r="AA8" i="15" a="1"/>
  <c r="J49" i="15" a="1"/>
  <c r="X82" i="46" a="1"/>
  <c r="T41" i="20" a="1"/>
  <c r="AC30" i="46" a="1"/>
  <c r="Y73" i="15" a="1"/>
  <c r="F12" i="21" a="1"/>
  <c r="D14" i="17" a="1"/>
  <c r="I70" i="17" a="1"/>
  <c r="V44" i="20" a="1"/>
  <c r="AD43" i="26" a="1"/>
  <c r="AA78" i="16" a="1"/>
  <c r="H56" i="46" a="1"/>
  <c r="F16" i="26" a="1"/>
  <c r="S69" i="20" a="1"/>
  <c r="U21" i="19" a="1"/>
  <c r="I29" i="26" a="1"/>
  <c r="S12" i="17" a="1"/>
  <c r="R12" i="19" a="1"/>
  <c r="E102" i="17" a="1"/>
  <c r="W74" i="16" a="1"/>
  <c r="G106" i="16" a="1"/>
  <c r="K41" i="46" a="1"/>
  <c r="H82" i="16" a="1"/>
  <c r="Z133" i="46" a="1"/>
  <c r="E25" i="16" a="1"/>
  <c r="R10" i="21" a="1"/>
  <c r="T14" i="21" a="1"/>
  <c r="F11" i="46" a="1"/>
  <c r="I21" i="50" a="1"/>
  <c r="R88" i="15" a="1"/>
  <c r="X36" i="26" a="1"/>
  <c r="V13" i="46" a="1"/>
  <c r="R23" i="21" a="1"/>
  <c r="U50" i="20" a="1"/>
  <c r="U114" i="20" a="1"/>
  <c r="J15" i="17" a="1"/>
  <c r="D58" i="19" a="1"/>
  <c r="H98" i="16" a="1"/>
  <c r="X76" i="15" a="1"/>
  <c r="X77" i="46" a="1"/>
  <c r="H74" i="26" a="1"/>
  <c r="J117" i="19" a="1"/>
  <c r="E64" i="16" a="1"/>
  <c r="R37" i="17" a="1"/>
  <c r="D51" i="19" a="1"/>
  <c r="G98" i="46" a="1"/>
  <c r="AA44" i="15" a="1"/>
  <c r="E112" i="19" a="1"/>
  <c r="I17" i="20" a="1"/>
  <c r="H71" i="46" a="1"/>
  <c r="S65" i="26" a="1"/>
  <c r="G13" i="46" a="1"/>
  <c r="H79" i="20" a="1"/>
  <c r="X74" i="17" a="1"/>
  <c r="S14" i="48" a="1"/>
  <c r="F63" i="46" a="1"/>
  <c r="E71" i="20" a="1"/>
  <c r="X9" i="46" a="1"/>
  <c r="U24" i="19" a="1"/>
  <c r="W109" i="46" a="1"/>
  <c r="F44" i="48" a="1"/>
  <c r="E108" i="16" a="1"/>
  <c r="W145" i="46" a="1"/>
  <c r="BH92" i="46" a="1"/>
  <c r="BJ60" i="46" a="1"/>
  <c r="W77" i="17" a="1"/>
  <c r="J116" i="46" a="1"/>
  <c r="K98" i="17" a="1"/>
  <c r="AA96" i="15" a="1"/>
  <c r="J122" i="46" a="1"/>
  <c r="W99" i="46" a="1"/>
  <c r="H58" i="19" a="1"/>
  <c r="BK69" i="46" a="1"/>
  <c r="J23" i="19" a="1"/>
  <c r="X88" i="17" a="1"/>
  <c r="AC94" i="46" a="1"/>
  <c r="L10" i="46" a="1"/>
  <c r="L31" i="46" a="1"/>
  <c r="AC89" i="46" a="1"/>
  <c r="X54" i="16" a="1"/>
  <c r="I17" i="46" a="1"/>
  <c r="G56" i="46" a="1"/>
  <c r="H121" i="46" a="1"/>
  <c r="V27" i="20" a="1"/>
  <c r="X45" i="46" a="1"/>
  <c r="I26" i="48" a="1"/>
  <c r="U11" i="19" a="1"/>
  <c r="D92" i="16" a="1"/>
  <c r="S31" i="48" a="1"/>
  <c r="V19" i="50" a="1"/>
  <c r="E74" i="20" a="1"/>
  <c r="G20" i="20" a="1"/>
  <c r="BH102" i="46" a="1"/>
  <c r="AB87" i="16" a="1"/>
  <c r="D40" i="19" a="1"/>
  <c r="G39" i="46" a="1"/>
  <c r="I46" i="46" a="1"/>
  <c r="H86" i="16" a="1"/>
  <c r="G27" i="48" a="1"/>
  <c r="AB80" i="15" a="1"/>
  <c r="T35" i="26" a="1"/>
  <c r="T40" i="50" a="1"/>
  <c r="Y137" i="46" a="1"/>
  <c r="D21" i="15" a="1"/>
  <c r="G103" i="16" a="1"/>
  <c r="J37" i="48" a="1"/>
  <c r="R36" i="21" a="1"/>
  <c r="T16" i="21" a="1"/>
  <c r="F43" i="19" a="1"/>
  <c r="D9" i="19" a="1"/>
  <c r="D86" i="15" a="1"/>
  <c r="X29" i="26" a="1"/>
  <c r="J40" i="17" a="1"/>
  <c r="S14" i="26" a="1"/>
  <c r="G14" i="17" a="1"/>
  <c r="R45" i="17" a="1"/>
  <c r="H78" i="20" a="1"/>
  <c r="V31" i="20" a="1"/>
  <c r="Y80" i="16" a="1"/>
  <c r="D9" i="17" a="1"/>
  <c r="S65" i="16" a="1"/>
  <c r="AB95" i="15" a="1"/>
  <c r="Y72" i="17" a="1"/>
  <c r="BJ125" i="46" a="1"/>
  <c r="W138" i="46" a="1"/>
  <c r="X30" i="17" a="1"/>
  <c r="T71" i="17" a="1"/>
  <c r="J59" i="46" a="1"/>
  <c r="U28" i="48" a="1"/>
  <c r="G67" i="16" a="1"/>
  <c r="BJ129" i="46" a="1"/>
  <c r="I62" i="17" a="1"/>
  <c r="Y21" i="46" a="1"/>
  <c r="X36" i="17" a="1"/>
  <c r="E65" i="16" a="1"/>
  <c r="W74" i="17" a="1"/>
  <c r="G84" i="16" a="1"/>
  <c r="G138" i="19" a="1"/>
  <c r="G29" i="26" a="1"/>
  <c r="BI11" i="46" a="1"/>
  <c r="BJ84" i="46" a="1"/>
  <c r="S21" i="19" a="1"/>
  <c r="F60" i="17" a="1"/>
  <c r="W28" i="17" a="1"/>
  <c r="K7" i="44" a="1"/>
  <c r="U52" i="46" a="1"/>
  <c r="E27" i="20" a="1"/>
  <c r="D54" i="20" a="1"/>
  <c r="AC26" i="46" a="1"/>
  <c r="J25" i="44" a="1"/>
  <c r="F100" i="20" a="1"/>
  <c r="H39" i="16" a="1"/>
  <c r="D55" i="20" a="1"/>
  <c r="AD41" i="26" a="1"/>
  <c r="U22" i="50" a="1"/>
  <c r="J25" i="46" a="1"/>
  <c r="Z16" i="15" a="1"/>
  <c r="BK48" i="46" a="1"/>
  <c r="G66" i="15" a="1"/>
  <c r="U34" i="50" a="1"/>
  <c r="W7" i="15" a="1"/>
  <c r="D11" i="50" a="1"/>
  <c r="T66" i="20" a="1"/>
  <c r="L43" i="46" a="1"/>
  <c r="V48" i="19" a="1"/>
  <c r="D34" i="21" a="1"/>
  <c r="G12" i="20" a="1"/>
  <c r="G20" i="46" a="1"/>
  <c r="H34" i="19" a="1"/>
  <c r="BJ142" i="46" a="1"/>
  <c r="Z136" i="46" a="1"/>
  <c r="Z97" i="46" a="1"/>
  <c r="J41" i="48" a="1"/>
  <c r="D50" i="21" a="1"/>
  <c r="G67" i="46" a="1"/>
  <c r="K45" i="15" a="1"/>
  <c r="I105" i="16" a="1"/>
  <c r="R50" i="20" a="1"/>
  <c r="G11" i="20" a="1"/>
  <c r="T40" i="17" a="1"/>
  <c r="D27" i="15" a="1"/>
  <c r="R88" i="17" a="1"/>
  <c r="H29" i="20" a="1"/>
  <c r="F73" i="26" a="1"/>
  <c r="F41" i="19" a="1"/>
  <c r="J107" i="19" a="1"/>
  <c r="T7" i="20" a="1"/>
  <c r="U46" i="46" a="1"/>
  <c r="Z102" i="46" a="1"/>
  <c r="D22" i="19" a="1"/>
  <c r="G112" i="17" a="1"/>
  <c r="Z9" i="44" a="1"/>
  <c r="H14" i="20" a="1"/>
  <c r="E18" i="26" a="1"/>
  <c r="W46" i="17" a="1"/>
  <c r="AB71" i="16" a="1"/>
  <c r="Y54" i="46" a="1"/>
  <c r="F18" i="44" a="1"/>
  <c r="BH41" i="46" a="1"/>
  <c r="H26" i="48" a="1"/>
  <c r="R17" i="21" a="1"/>
  <c r="V96" i="20" a="1"/>
  <c r="K80" i="46" a="1"/>
  <c r="W84" i="16" a="1"/>
  <c r="H6" i="15" a="1"/>
  <c r="V38" i="21" a="1"/>
  <c r="H47" i="21" a="1"/>
  <c r="J80" i="26" a="1"/>
  <c r="H23" i="19" a="1"/>
  <c r="U43" i="20" a="1"/>
  <c r="G27" i="50" a="1"/>
  <c r="F43" i="16" a="1"/>
  <c r="J9" i="50" a="1"/>
  <c r="J49" i="21" a="1"/>
  <c r="K39" i="46" a="1"/>
  <c r="T55" i="20" a="1"/>
  <c r="E73" i="15" a="1"/>
  <c r="T9" i="48" a="1"/>
  <c r="Y81" i="46" a="1"/>
  <c r="D92" i="20" a="1"/>
  <c r="S8" i="19" a="1"/>
  <c r="R70" i="20" a="1"/>
  <c r="J44" i="19" a="1"/>
  <c r="BK121" i="46" a="1"/>
  <c r="I27" i="46" a="1"/>
  <c r="S10" i="48" a="1"/>
  <c r="R69" i="16" a="1"/>
  <c r="S33" i="48" a="1"/>
  <c r="E38" i="20" a="1"/>
  <c r="BI84" i="46" a="1"/>
  <c r="T36" i="48" a="1"/>
  <c r="S84" i="15" a="1"/>
  <c r="AC42" i="26" a="1"/>
  <c r="J108" i="17" a="1"/>
  <c r="BK105" i="46" a="1"/>
  <c r="BI72" i="46" a="1"/>
  <c r="G96" i="16" a="1"/>
  <c r="I112" i="17" a="1"/>
  <c r="G39" i="16" a="1"/>
  <c r="BG81" i="46" a="1"/>
  <c r="I34" i="26" a="1"/>
  <c r="H44" i="21" a="1"/>
  <c r="U56" i="20" a="1"/>
  <c r="I51" i="46" a="1"/>
  <c r="AB14" i="46" a="1"/>
  <c r="F12" i="15" a="1"/>
  <c r="V51" i="46" a="1"/>
  <c r="W24" i="21" a="1"/>
  <c r="K9" i="48" a="1"/>
  <c r="L81" i="46" a="1"/>
  <c r="F75" i="46" a="1"/>
  <c r="S111" i="19" a="1"/>
  <c r="W105" i="46" a="1"/>
  <c r="U22" i="19" a="1"/>
  <c r="E136" i="19" a="1"/>
  <c r="E43" i="16" a="1"/>
  <c r="Y58" i="15" a="1"/>
  <c r="G88" i="17" a="1"/>
  <c r="T78" i="20" a="1"/>
  <c r="D15" i="26" a="1"/>
  <c r="E31" i="19" a="1"/>
  <c r="G53" i="17" a="1"/>
  <c r="J42" i="17" a="1"/>
  <c r="F44" i="15" a="1"/>
  <c r="I114" i="17" a="1"/>
  <c r="AB74" i="16" a="1"/>
  <c r="R66" i="17" a="1"/>
  <c r="E98" i="15" a="1"/>
  <c r="J40" i="19" a="1"/>
  <c r="D39" i="21" a="1"/>
  <c r="AA98" i="15" a="1"/>
  <c r="G71" i="26" a="1"/>
  <c r="Y22" i="48" a="1"/>
  <c r="D85" i="15" a="1"/>
  <c r="D16" i="16" a="1"/>
  <c r="Z54" i="46" a="1"/>
  <c r="W108" i="16" a="1"/>
  <c r="X97" i="46" a="1"/>
  <c r="D63" i="16" a="1"/>
  <c r="S41" i="50" a="1"/>
  <c r="J37" i="26" a="1"/>
  <c r="BK122" i="46" a="1"/>
  <c r="H42" i="48" a="1"/>
  <c r="AB35" i="15" a="1"/>
  <c r="I45" i="17" a="1"/>
  <c r="Z146" i="46" a="1"/>
  <c r="F23" i="19" a="1"/>
  <c r="R74" i="20" a="1"/>
  <c r="F53" i="19" a="1"/>
  <c r="H119" i="46" a="1"/>
  <c r="G30" i="19" a="1"/>
  <c r="J65" i="15" a="1"/>
  <c r="G76" i="20" a="1"/>
  <c r="D16" i="17" a="1"/>
  <c r="G42" i="21" a="1"/>
  <c r="X103" i="46" a="1"/>
  <c r="H38" i="17" a="1"/>
  <c r="AA26" i="16" a="1"/>
  <c r="K130" i="46" a="1"/>
  <c r="D63" i="26" a="1"/>
  <c r="D17" i="16" a="1"/>
  <c r="F140" i="19" a="1"/>
  <c r="D33" i="19" a="1"/>
  <c r="H80" i="15" a="1"/>
  <c r="Y58" i="46" a="1"/>
  <c r="U24" i="20" a="1"/>
  <c r="BJ89" i="46" a="1"/>
  <c r="U32" i="50" a="1"/>
  <c r="Y103" i="17" a="1"/>
  <c r="X61" i="46" a="1"/>
  <c r="Y24" i="17" a="1"/>
  <c r="R67" i="17" a="1"/>
  <c r="BI134" i="46" a="1"/>
  <c r="S60" i="15" a="1"/>
  <c r="AA34" i="15" a="1"/>
  <c r="D53" i="15" a="1"/>
  <c r="Y41" i="17" a="1"/>
  <c r="T17" i="20" a="1"/>
  <c r="L8" i="46" a="1"/>
  <c r="E78" i="16" a="1"/>
  <c r="I77" i="15" a="1"/>
  <c r="AD36" i="26" a="1"/>
  <c r="AC8" i="46" a="1"/>
  <c r="G26" i="46" a="1"/>
  <c r="J22" i="44" a="1"/>
  <c r="K96" i="46" a="1"/>
  <c r="I24" i="21" a="1"/>
  <c r="I76" i="15" a="1"/>
  <c r="I24" i="46" a="1"/>
  <c r="W68" i="17" a="1"/>
  <c r="H31" i="46" a="1"/>
  <c r="I41" i="19" a="1"/>
  <c r="T68" i="15" a="1"/>
  <c r="H113" i="17" a="1"/>
  <c r="AA62" i="15" a="1"/>
  <c r="E41" i="50" a="1"/>
  <c r="F38" i="15" a="1"/>
  <c r="U41" i="19" a="1"/>
  <c r="J35" i="21" a="1"/>
  <c r="AA31" i="26" a="1"/>
  <c r="AC74" i="46" a="1"/>
  <c r="Z105" i="46" a="1"/>
  <c r="G51" i="46" a="1"/>
  <c r="J47" i="16" a="1"/>
  <c r="K84" i="15" a="1"/>
  <c r="Y23" i="46" a="1"/>
  <c r="E9" i="19" a="1"/>
  <c r="W91" i="17" a="1"/>
  <c r="T54" i="17" a="1"/>
  <c r="I39" i="20" a="1"/>
  <c r="L62" i="46" a="1"/>
  <c r="E12" i="26" a="1"/>
  <c r="Y43" i="46" a="1"/>
  <c r="J19" i="46" a="1"/>
  <c r="T25" i="21" a="1"/>
  <c r="H112" i="17" a="1"/>
  <c r="R84" i="17" a="1"/>
  <c r="F83" i="26" a="1"/>
  <c r="Y46" i="46" a="1"/>
  <c r="E13" i="26" a="1"/>
  <c r="J37" i="50" a="1"/>
  <c r="I29" i="50" a="1"/>
  <c r="F60" i="16" a="1"/>
  <c r="BJ30" i="46" a="1"/>
  <c r="U13" i="48" a="1"/>
  <c r="X72" i="46" a="1"/>
  <c r="T79" i="16" a="1"/>
  <c r="J84" i="46" a="1"/>
  <c r="BG142" i="46" a="1"/>
  <c r="R43" i="26" a="1"/>
  <c r="X42" i="46" a="1"/>
  <c r="AA73" i="16" a="1"/>
  <c r="E104" i="17" a="1"/>
  <c r="Y79" i="15" a="1"/>
  <c r="D67" i="20" a="1"/>
  <c r="W25" i="50" a="1"/>
  <c r="D18" i="21" a="1"/>
  <c r="V112" i="20" a="1"/>
  <c r="BI111" i="46" a="1"/>
  <c r="E40" i="15" a="1"/>
  <c r="S45" i="21" a="1"/>
  <c r="I36" i="26" a="1"/>
  <c r="AA68" i="46" a="1"/>
  <c r="I31" i="50" a="1"/>
  <c r="I43" i="21" a="1"/>
  <c r="J51" i="21" a="1"/>
  <c r="Y53" i="17" a="1"/>
  <c r="Y35" i="46" a="1"/>
  <c r="I43" i="26" a="1"/>
  <c r="D17" i="50" a="1"/>
  <c r="D97" i="20" a="1"/>
  <c r="D44" i="15" a="1"/>
  <c r="S82" i="17" a="1"/>
  <c r="W54" i="46" a="1"/>
  <c r="F72" i="20" a="1"/>
  <c r="F43" i="20" a="1"/>
  <c r="E36" i="17" a="1"/>
  <c r="U10" i="46" a="1"/>
  <c r="Y110" i="17" a="1"/>
  <c r="F80" i="16" a="1"/>
  <c r="D111" i="20" a="1"/>
  <c r="BK92" i="46" a="1"/>
  <c r="AB45" i="46" a="1"/>
  <c r="W136" i="46" a="1"/>
  <c r="I84" i="46" a="1"/>
  <c r="X140" i="46" a="1"/>
  <c r="X33" i="46" a="1"/>
  <c r="S54" i="19" a="1"/>
  <c r="Z15" i="48" a="1"/>
  <c r="E29" i="16" a="1"/>
  <c r="F97" i="46" a="1"/>
  <c r="E7" i="48" a="1"/>
  <c r="F43" i="21" a="1"/>
  <c r="Y70" i="15" a="1"/>
  <c r="D94" i="17" a="1"/>
  <c r="BI94" i="46" a="1"/>
  <c r="G72" i="16" a="1"/>
  <c r="X81" i="17" a="1"/>
  <c r="J44" i="16" a="1"/>
  <c r="S50" i="15" a="1"/>
  <c r="I19" i="50" a="1"/>
  <c r="E96" i="17" a="1"/>
  <c r="D9" i="20" a="1"/>
  <c r="R17" i="19" a="1"/>
  <c r="F74" i="17" a="1"/>
  <c r="J14" i="48" a="1"/>
  <c r="W58" i="46" a="1"/>
  <c r="T35" i="50" a="1"/>
  <c r="H44" i="48" a="1"/>
  <c r="J80" i="15" a="1"/>
  <c r="T39" i="26" a="1"/>
  <c r="AA83" i="15" a="1"/>
  <c r="U42" i="46" a="1"/>
  <c r="X30" i="48" a="1"/>
  <c r="X15" i="17" a="1"/>
  <c r="V33" i="26" a="1"/>
  <c r="H25" i="20" a="1"/>
  <c r="E56" i="16" a="1"/>
  <c r="J136" i="46" a="1"/>
  <c r="S71" i="20" a="1"/>
  <c r="BJ10" i="46" a="1"/>
  <c r="E55" i="26" a="1"/>
  <c r="K16" i="48" a="1"/>
  <c r="F47" i="16" a="1"/>
  <c r="K17" i="46" a="1"/>
  <c r="I22" i="26" a="1"/>
  <c r="AB30" i="26" a="1"/>
  <c r="T43" i="21" a="1"/>
  <c r="I40" i="26" a="1"/>
  <c r="H74" i="17" a="1"/>
  <c r="U14" i="19" a="1"/>
  <c r="I12" i="19" a="1"/>
  <c r="Y18" i="46" a="1"/>
  <c r="S69" i="16" a="1"/>
  <c r="K68" i="46" a="1"/>
  <c r="I58" i="16" a="1"/>
  <c r="D13" i="50" a="1"/>
  <c r="T71" i="46" a="1"/>
  <c r="R69" i="17" a="1"/>
  <c r="V114" i="20" a="1"/>
  <c r="BJ107" i="46" a="1"/>
  <c r="I48" i="21" a="1"/>
  <c r="W55" i="16" a="1"/>
  <c r="R16" i="19" a="1"/>
  <c r="V46" i="26" a="1"/>
  <c r="V21" i="19" a="1"/>
  <c r="D31" i="20" a="1"/>
  <c r="L16" i="46" a="1"/>
  <c r="AB13" i="15" a="1"/>
  <c r="BJ36" i="46" a="1"/>
  <c r="T63" i="17" a="1"/>
  <c r="R34" i="19" a="1"/>
  <c r="K92" i="15" a="1"/>
  <c r="T63" i="46" a="1"/>
  <c r="S98" i="17" a="1"/>
  <c r="E39" i="16" a="1"/>
  <c r="R91" i="20" a="1"/>
  <c r="F21" i="26" a="1"/>
  <c r="E97" i="16" a="1"/>
  <c r="G24" i="26" a="1"/>
  <c r="J63" i="46" a="1"/>
  <c r="H142" i="46" a="1"/>
  <c r="Z34" i="15" a="1"/>
  <c r="F58" i="20" a="1"/>
  <c r="AB16" i="46" a="1"/>
  <c r="BG72" i="46" a="1"/>
  <c r="BI99" i="46" a="1"/>
  <c r="F64" i="20" a="1"/>
  <c r="BG51" i="46" a="1"/>
  <c r="T11" i="17" a="1"/>
  <c r="W39" i="16" a="1"/>
  <c r="G18" i="20" a="1"/>
  <c r="T40" i="48" a="1"/>
  <c r="T27" i="48" a="1"/>
  <c r="X99" i="46" a="1"/>
  <c r="U44" i="19" a="1"/>
  <c r="G139" i="19" a="1"/>
  <c r="D81" i="26" a="1"/>
  <c r="S52" i="15" a="1"/>
  <c r="E50" i="17" a="1"/>
  <c r="U60" i="46" a="1"/>
  <c r="X7" i="46" a="1"/>
  <c r="K129" i="46" a="1"/>
  <c r="AC131" i="46" a="1"/>
  <c r="Y76" i="15" a="1"/>
  <c r="I89" i="16" a="1"/>
  <c r="E90" i="17" a="1"/>
  <c r="H129" i="19" a="1"/>
  <c r="D111" i="17" a="1"/>
  <c r="T39" i="46" a="1"/>
  <c r="L41" i="48" a="1"/>
  <c r="Z28" i="15" a="1"/>
  <c r="D111" i="19" a="1"/>
  <c r="BG17" i="46" a="1"/>
  <c r="I42" i="26" a="1"/>
  <c r="W11" i="21" a="1"/>
  <c r="F79" i="15" a="1"/>
  <c r="D15" i="21" a="1"/>
  <c r="T31" i="17" a="1"/>
  <c r="I16" i="19" a="1"/>
  <c r="F124" i="19" a="1"/>
  <c r="BH81" i="46" a="1"/>
  <c r="S115" i="19" a="1"/>
  <c r="E21" i="48" a="1"/>
  <c r="D59" i="15" a="1"/>
  <c r="X23" i="46" a="1"/>
  <c r="K32" i="17" a="1"/>
  <c r="D36" i="21" a="1"/>
  <c r="G68" i="46" a="1"/>
  <c r="D35" i="20" a="1"/>
  <c r="AB79" i="16" a="1"/>
  <c r="G18" i="21" a="1"/>
  <c r="I94" i="17" a="1"/>
  <c r="D9" i="16" a="1"/>
  <c r="K107" i="46" a="1"/>
  <c r="D50" i="15" a="1"/>
  <c r="E28" i="15" a="1"/>
  <c r="F35" i="17" a="1"/>
  <c r="AC116" i="46" a="1"/>
  <c r="J65" i="26" a="1"/>
  <c r="F117" i="46" a="1"/>
  <c r="F21" i="15" a="1"/>
  <c r="W98" i="15" a="1"/>
  <c r="H55" i="16" a="1"/>
  <c r="BH19" i="46" a="1"/>
  <c r="I78" i="26" a="1"/>
  <c r="F121" i="46" a="1"/>
  <c r="Y76" i="17" a="1"/>
  <c r="T7" i="44" a="1"/>
  <c r="Y96" i="46" a="1"/>
  <c r="F31" i="15" a="1"/>
  <c r="D58" i="20" a="1"/>
  <c r="T54" i="20" a="1"/>
  <c r="D73" i="16" a="1"/>
  <c r="Z12" i="46" a="1"/>
  <c r="I52" i="46" a="1"/>
  <c r="H7" i="21" a="1"/>
  <c r="Y77" i="46" a="1"/>
  <c r="W35" i="17" a="1"/>
  <c r="U37" i="26" a="1"/>
  <c r="V72" i="15" a="1"/>
  <c r="V56" i="19" a="1"/>
  <c r="D20" i="50" a="1"/>
  <c r="D41" i="21" a="1"/>
  <c r="BK112" i="46" a="1"/>
  <c r="Y28" i="17" a="1"/>
  <c r="K21" i="48" a="1"/>
  <c r="W84" i="46" a="1"/>
  <c r="L57" i="46" a="1"/>
  <c r="H15" i="44" a="1"/>
  <c r="Y22" i="46" a="1"/>
  <c r="T108" i="20" a="1"/>
  <c r="F123" i="19" a="1"/>
  <c r="E12" i="16" a="1"/>
  <c r="E37" i="17" a="1"/>
  <c r="I96" i="15" a="1"/>
  <c r="H56" i="15" a="1"/>
  <c r="K43" i="48" a="1"/>
  <c r="D27" i="50" a="1"/>
  <c r="V107" i="19" a="1"/>
  <c r="E39" i="17" a="1"/>
  <c r="Z17" i="15" a="1"/>
  <c r="I21" i="19" a="1"/>
  <c r="X100" i="46" a="1"/>
  <c r="X69" i="46" a="1"/>
  <c r="BJ111" i="46" a="1"/>
  <c r="H54" i="20" a="1"/>
  <c r="I119" i="19" a="1"/>
  <c r="W18" i="21" a="1"/>
  <c r="D10" i="50" a="1"/>
  <c r="H15" i="19" a="1"/>
  <c r="Y83" i="15" a="1"/>
  <c r="K46" i="48" a="1"/>
  <c r="D58" i="26" a="1"/>
  <c r="AB65" i="46" a="1"/>
  <c r="H9" i="48" a="1"/>
  <c r="Y39" i="46" a="1"/>
  <c r="D12" i="19" a="1"/>
  <c r="K37" i="48" a="1"/>
  <c r="V22" i="50" a="1"/>
  <c r="G50" i="17" a="1"/>
  <c r="H15" i="48" a="1"/>
  <c r="V40" i="50" a="1"/>
  <c r="V53" i="19" a="1"/>
  <c r="D105" i="16" a="1"/>
  <c r="R51" i="20" a="1"/>
  <c r="F12" i="50" a="1"/>
  <c r="Y144" i="46" a="1"/>
  <c r="Y15" i="44" a="1"/>
  <c r="G36" i="26" a="1"/>
  <c r="U36" i="19" a="1"/>
  <c r="W31" i="26" a="1"/>
  <c r="E55" i="20" a="1"/>
  <c r="V8" i="46" a="1"/>
  <c r="AA43" i="16" a="1"/>
  <c r="H96" i="46" a="1"/>
  <c r="G74" i="26" a="1"/>
  <c r="T97" i="17" a="1"/>
  <c r="R30" i="16" a="1"/>
  <c r="J29" i="26" a="1"/>
  <c r="F93" i="20" a="1"/>
  <c r="S70" i="16" a="1"/>
  <c r="R74" i="26" a="1"/>
  <c r="AA36" i="26" a="1"/>
  <c r="S78" i="15" a="1"/>
  <c r="E33" i="20" a="1"/>
  <c r="J112" i="46" a="1"/>
  <c r="H74" i="16" a="1"/>
  <c r="AC29" i="26" a="1"/>
  <c r="E53" i="17" a="1"/>
  <c r="R122" i="19" a="1"/>
  <c r="T32" i="16" a="1"/>
  <c r="G93" i="16" a="1"/>
  <c r="W56" i="16" a="1"/>
  <c r="I113" i="46" a="1"/>
  <c r="J7" i="46" a="1"/>
  <c r="BG46" i="46" a="1"/>
  <c r="G22" i="21" a="1"/>
  <c r="E7" i="16" a="1"/>
  <c r="BG76" i="46" a="1"/>
  <c r="T70" i="16" a="1"/>
  <c r="T29" i="26" a="1"/>
  <c r="G43" i="20" a="1"/>
  <c r="AA40" i="46" a="1"/>
  <c r="H83" i="46" a="1"/>
  <c r="S95" i="20" a="1"/>
  <c r="H28" i="46" a="1"/>
  <c r="K85" i="17" a="1"/>
  <c r="W48" i="16" a="1"/>
  <c r="V48" i="15" a="1"/>
  <c r="BI116" i="46" a="1"/>
  <c r="U25" i="19" a="1"/>
  <c r="G21" i="48" a="1"/>
  <c r="V7" i="19" a="1"/>
  <c r="R9" i="17" a="1"/>
  <c r="D42" i="20" a="1"/>
  <c r="S56" i="15" a="1"/>
  <c r="R90" i="17" a="1"/>
  <c r="J8" i="26" a="1"/>
  <c r="R10" i="19" a="1"/>
  <c r="T116" i="17" a="1"/>
  <c r="E44" i="16" a="1"/>
  <c r="AD29" i="26" a="1"/>
  <c r="V49" i="46" a="1"/>
  <c r="J71" i="17" a="1"/>
  <c r="V25" i="19" a="1"/>
  <c r="D38" i="50" a="1"/>
  <c r="H23" i="21" a="1"/>
  <c r="E27" i="19" a="1"/>
  <c r="W43" i="16" a="1"/>
  <c r="BI6" i="46" a="1"/>
  <c r="T63" i="20" a="1"/>
  <c r="X58" i="17" a="1"/>
  <c r="V81" i="20" a="1"/>
  <c r="G39" i="20" a="1"/>
  <c r="BJ124" i="46" a="1"/>
  <c r="G14" i="21" a="1"/>
  <c r="K104" i="17" a="1"/>
  <c r="U47" i="20" a="1"/>
  <c r="V37" i="20" a="1"/>
  <c r="E57" i="16" a="1"/>
  <c r="V70" i="46" a="1"/>
  <c r="S25" i="50" a="1"/>
  <c r="BK39" i="46" a="1"/>
  <c r="L9" i="46" a="1"/>
  <c r="K58" i="17" a="1"/>
  <c r="V39" i="19" a="1"/>
  <c r="I18" i="20" a="1"/>
  <c r="I16" i="48" a="1"/>
  <c r="G33" i="19" a="1"/>
  <c r="S66" i="20" a="1"/>
  <c r="AA35" i="15" a="1"/>
  <c r="Z36" i="26" a="1"/>
  <c r="AB22" i="15" a="1"/>
  <c r="R17" i="20" a="1"/>
  <c r="F57" i="26" a="1"/>
  <c r="W53" i="46" a="1"/>
  <c r="I64" i="16" a="1"/>
  <c r="J14" i="46" a="1"/>
  <c r="Y10" i="48" a="1"/>
  <c r="I15" i="21" a="1"/>
  <c r="BG59" i="46" a="1"/>
  <c r="Z13" i="48" a="1"/>
  <c r="AA96" i="16" a="1"/>
  <c r="Z27" i="46" a="1"/>
  <c r="Z98" i="46" a="1"/>
  <c r="J14" i="50" a="1"/>
  <c r="F55" i="16" a="1"/>
  <c r="I100" i="17" a="1"/>
  <c r="Z39" i="15" a="1"/>
  <c r="R56" i="19" a="1"/>
  <c r="AA30" i="26" a="1"/>
  <c r="S27" i="19" a="1"/>
  <c r="F92" i="46" a="1"/>
  <c r="H13" i="20" a="1"/>
  <c r="X30" i="26" a="1"/>
  <c r="G36" i="21" a="1"/>
  <c r="D13" i="19" a="1"/>
  <c r="G72" i="20" a="1"/>
  <c r="H114" i="17" a="1"/>
  <c r="U42" i="20" a="1"/>
  <c r="BH49" i="46" a="1"/>
  <c r="I11" i="21" a="1"/>
  <c r="S76" i="15" a="1"/>
  <c r="E25" i="44" a="1"/>
  <c r="Z61" i="46" a="1"/>
  <c r="J47" i="19" a="1"/>
  <c r="D77" i="17" a="1"/>
  <c r="F22" i="44" a="1"/>
  <c r="H56" i="17" a="1"/>
  <c r="E8" i="20" a="1"/>
  <c r="Y133" i="46" a="1"/>
  <c r="V86" i="15" a="1"/>
  <c r="I46" i="21" a="1"/>
  <c r="T30" i="16" a="1"/>
  <c r="D39" i="19" a="1"/>
  <c r="W127" i="46" a="1"/>
  <c r="AB54" i="15" a="1"/>
  <c r="J45" i="46" a="1"/>
  <c r="W23" i="50" a="1"/>
  <c r="S70" i="17" a="1"/>
  <c r="S106" i="20" a="1"/>
  <c r="F105" i="20" a="1"/>
  <c r="L33" i="48" a="1"/>
  <c r="X19" i="48" a="1"/>
  <c r="J22" i="19" a="1"/>
  <c r="J36" i="48" a="1"/>
  <c r="I124" i="19" a="1"/>
  <c r="G61" i="46" a="1"/>
  <c r="F18" i="26" a="1"/>
  <c r="Z37" i="46" a="1"/>
  <c r="BH13" i="46" a="1"/>
  <c r="Y123" i="46" a="1"/>
  <c r="X60" i="17" a="1"/>
  <c r="H25" i="26" a="1"/>
  <c r="F68" i="15" a="1"/>
  <c r="F42" i="19" a="1"/>
  <c r="F96" i="20" a="1"/>
  <c r="G134" i="46" a="1"/>
  <c r="I26" i="46" a="1"/>
  <c r="S8" i="44" a="1"/>
  <c r="BG57" i="46" a="1"/>
  <c r="D47" i="15" a="1"/>
  <c r="G137" i="46" a="1"/>
  <c r="AC142" i="46" a="1"/>
  <c r="H82" i="46" a="1"/>
  <c r="U18" i="19" a="1"/>
  <c r="Y70" i="17" a="1"/>
  <c r="BI18" i="46" a="1"/>
  <c r="E18" i="16" a="1"/>
  <c r="I126" i="46" a="1"/>
  <c r="I47" i="17" a="1"/>
  <c r="E27" i="15" a="1"/>
  <c r="E24" i="48" a="1"/>
  <c r="S10" i="26" a="1"/>
  <c r="BK55" i="46" a="1"/>
  <c r="V28" i="21" a="1"/>
  <c r="R116" i="19" a="1"/>
  <c r="D109" i="19" a="1"/>
  <c r="S105" i="17" a="1"/>
  <c r="W42" i="21" a="1"/>
  <c r="Y18" i="44" a="1"/>
  <c r="W72" i="16" a="1"/>
  <c r="T14" i="46" a="1"/>
  <c r="G29" i="46" a="1"/>
  <c r="AA8" i="46" a="1"/>
  <c r="J141" i="19" a="1"/>
  <c r="Z9" i="15" a="1"/>
  <c r="U9" i="46" a="1"/>
  <c r="BH138" i="46" a="1"/>
  <c r="H107" i="46" a="1"/>
  <c r="T60" i="46" a="1"/>
  <c r="K22" i="48" a="1"/>
  <c r="L97" i="46" a="1"/>
  <c r="X31" i="26" a="1"/>
  <c r="Y16" i="46" a="1"/>
  <c r="BG94" i="46" a="1"/>
  <c r="F132" i="19" a="1"/>
  <c r="L84" i="46" a="1"/>
  <c r="F44" i="46" a="1"/>
  <c r="Y37" i="46" a="1"/>
  <c r="AB68" i="15" a="1"/>
  <c r="F41" i="17" a="1"/>
  <c r="T54" i="46" a="1"/>
  <c r="AA76" i="15" a="1"/>
  <c r="AB53" i="15" a="1"/>
  <c r="AC61" i="46" a="1"/>
  <c r="U30" i="48" a="1"/>
  <c r="E63" i="16" a="1"/>
  <c r="BG14" i="46" a="1"/>
  <c r="V9" i="20" a="1"/>
  <c r="F38" i="50" a="1"/>
  <c r="T57" i="17" a="1"/>
  <c r="X87" i="15" a="1"/>
  <c r="U116" i="20" a="1"/>
  <c r="X31" i="17" a="1"/>
  <c r="BJ126" i="46" a="1"/>
  <c r="D72" i="20" a="1"/>
  <c r="T52" i="21" a="1"/>
  <c r="D40" i="50" a="1"/>
  <c r="H37" i="17" a="1"/>
  <c r="D84" i="17" a="1"/>
  <c r="X33" i="17" a="1"/>
  <c r="F46" i="19" a="1"/>
  <c r="G25" i="46" a="1"/>
  <c r="G62" i="46" a="1"/>
  <c r="I20" i="46" a="1"/>
  <c r="Y82" i="16" a="1"/>
  <c r="G34" i="17" a="1"/>
  <c r="K110" i="17" a="1"/>
  <c r="G35" i="21" a="1"/>
  <c r="J75" i="16" a="1"/>
  <c r="F9" i="46" a="1"/>
  <c r="T53" i="16" a="1"/>
  <c r="H31" i="50" a="1"/>
  <c r="S83" i="15" a="1"/>
  <c r="S46" i="48" a="1"/>
  <c r="W92" i="46" a="1"/>
  <c r="S38" i="48" a="1"/>
  <c r="R60" i="16" a="1"/>
  <c r="D115" i="17" a="1"/>
  <c r="U53" i="20" a="1"/>
  <c r="G14" i="48" a="1"/>
  <c r="E92" i="20" a="1"/>
  <c r="F82" i="17" a="1"/>
  <c r="Z35" i="46" a="1"/>
  <c r="J49" i="19" a="1"/>
  <c r="AC130" i="46" a="1"/>
  <c r="AB15" i="46" a="1"/>
  <c r="I24" i="17" a="1"/>
  <c r="R40" i="26" a="1"/>
  <c r="I127" i="19" a="1"/>
  <c r="V17" i="19" a="1"/>
  <c r="W114" i="46" a="1"/>
  <c r="X12" i="17" a="1"/>
  <c r="V54" i="15" a="1"/>
  <c r="Y33" i="17" a="1"/>
  <c r="I143" i="19" a="1"/>
  <c r="BG129" i="46" a="1"/>
  <c r="G66" i="20" a="1"/>
  <c r="I89" i="46" a="1"/>
  <c r="BK103" i="46" a="1"/>
  <c r="AC81" i="46" a="1"/>
  <c r="X77" i="17" a="1"/>
  <c r="T75" i="20" a="1"/>
  <c r="U83" i="20" a="1"/>
  <c r="J32" i="26" a="1"/>
  <c r="G10" i="20" a="1"/>
  <c r="X40" i="17" a="1"/>
  <c r="I29" i="20" a="1"/>
  <c r="J84" i="17" a="1"/>
  <c r="J88" i="17" a="1"/>
  <c r="BK102" i="46" a="1"/>
  <c r="H94" i="17" a="1"/>
  <c r="I21" i="20" a="1"/>
  <c r="BH129" i="46" a="1"/>
  <c r="X16" i="48" a="1"/>
  <c r="BG74" i="46" a="1"/>
  <c r="U44" i="46" a="1"/>
  <c r="T13" i="50" a="1"/>
  <c r="J83" i="46" a="1"/>
  <c r="Y44" i="15" a="1"/>
  <c r="J9" i="46" a="1"/>
  <c r="K19" i="48" a="1"/>
  <c r="D112" i="20" a="1"/>
  <c r="D123" i="19" a="1"/>
  <c r="Y80" i="15" a="1"/>
  <c r="S76" i="20" a="1"/>
  <c r="I126" i="19" a="1"/>
  <c r="H137" i="46" a="1"/>
  <c r="W88" i="16" a="1"/>
  <c r="S46" i="17" a="1"/>
  <c r="G51" i="21" a="1"/>
  <c r="H39" i="20" a="1"/>
  <c r="F144" i="19" a="1"/>
  <c r="E18" i="15" a="1"/>
  <c r="D121" i="19" a="1"/>
  <c r="H34" i="20" a="1"/>
  <c r="G97" i="16" a="1"/>
  <c r="G41" i="46" a="1"/>
  <c r="G14" i="46" a="1"/>
  <c r="AB55" i="16" a="1"/>
  <c r="W80" i="16" a="1"/>
  <c r="F38" i="21" a="1"/>
  <c r="BH100" i="46" a="1"/>
  <c r="H22" i="20" a="1"/>
  <c r="Z96" i="46" a="1"/>
  <c r="E35" i="20" a="1"/>
  <c r="H27" i="50" a="1"/>
  <c r="AA67" i="15" a="1"/>
  <c r="U120" i="19" a="1"/>
  <c r="H27" i="20" a="1"/>
  <c r="Z30" i="48" a="1"/>
  <c r="E19" i="26" a="1"/>
  <c r="G40" i="17" a="1"/>
  <c r="K63" i="15" a="1"/>
  <c r="V94" i="15" a="1"/>
  <c r="S50" i="20" a="1"/>
  <c r="BJ34" i="46" a="1"/>
  <c r="BK70" i="46" a="1"/>
  <c r="J27" i="48" a="1"/>
  <c r="F103" i="16" a="1"/>
  <c r="T41" i="50" a="1"/>
  <c r="J75" i="26" a="1"/>
  <c r="Y145" i="46" a="1"/>
  <c r="V52" i="21" a="1"/>
  <c r="V44" i="46" a="1"/>
  <c r="BJ75" i="46" a="1"/>
  <c r="E83" i="26" a="1"/>
  <c r="G21" i="46" a="1"/>
  <c r="E43" i="17" a="1"/>
  <c r="W33" i="46" a="1"/>
  <c r="H96" i="15" a="1"/>
  <c r="S14" i="21" a="1"/>
  <c r="X21" i="48" a="1"/>
  <c r="V81" i="15" a="1"/>
  <c r="E14" i="17" a="1"/>
  <c r="H10" i="48" a="1"/>
  <c r="E46" i="17" a="1"/>
  <c r="F102" i="46" a="1"/>
  <c r="BJ137" i="46" a="1"/>
  <c r="F98" i="17" a="1"/>
  <c r="V37" i="50" a="1"/>
  <c r="L17" i="48" a="1"/>
  <c r="G22" i="50" a="1"/>
  <c r="H75" i="26" a="1"/>
  <c r="L68" i="46" a="1"/>
  <c r="G41" i="26" a="1"/>
  <c r="G31" i="19" a="1"/>
  <c r="R114" i="20" a="1"/>
  <c r="F26" i="46" a="1"/>
  <c r="T69" i="20" a="1"/>
  <c r="AA77" i="46" a="1"/>
  <c r="Y128" i="46" a="1"/>
  <c r="F42" i="46" a="1"/>
  <c r="S109" i="20" a="1"/>
  <c r="I39" i="21" a="1"/>
  <c r="D90" i="17" a="1"/>
  <c r="E72" i="26" a="1"/>
  <c r="S7" i="20" a="1"/>
  <c r="W43" i="26" a="1"/>
  <c r="R52" i="16" a="1"/>
  <c r="G63" i="26" a="1"/>
  <c r="H16" i="48" a="1"/>
  <c r="H81" i="20" a="1"/>
  <c r="L82" i="46" a="1"/>
  <c r="D42" i="19" a="1"/>
  <c r="V23" i="21" a="1"/>
  <c r="R52" i="19" a="1"/>
  <c r="X94" i="17" a="1"/>
  <c r="K18" i="44" a="1"/>
  <c r="AB52" i="15" a="1"/>
  <c r="L96" i="46" a="1"/>
  <c r="V52" i="46" a="1"/>
  <c r="S83" i="26" a="1"/>
  <c r="F87" i="46" a="1"/>
  <c r="AA92" i="15" a="1"/>
  <c r="I139" i="19" a="1"/>
  <c r="U13" i="21" a="1"/>
  <c r="BI118" i="46" a="1"/>
  <c r="F19" i="50" a="1"/>
  <c r="AB10" i="15" a="1"/>
  <c r="H143" i="46" a="1"/>
  <c r="T44" i="48" a="1"/>
  <c r="R38" i="19" a="1"/>
  <c r="G24" i="20" a="1"/>
  <c r="U76" i="20" a="1"/>
  <c r="S114" i="17" a="1"/>
  <c r="I54" i="20" a="1"/>
  <c r="H25" i="21" a="1"/>
  <c r="L42" i="48" a="1"/>
  <c r="J7" i="48" a="1"/>
  <c r="H11" i="46" a="1"/>
  <c r="L10" i="48" a="1"/>
  <c r="D54" i="17" a="1"/>
  <c r="Y78" i="17" a="1"/>
  <c r="U40" i="46" a="1"/>
  <c r="G64" i="20" a="1"/>
  <c r="D10" i="17" a="1"/>
  <c r="F21" i="50" a="1"/>
  <c r="T7" i="21" a="1"/>
  <c r="E46" i="26" a="1"/>
  <c r="U72" i="20" a="1"/>
  <c r="T9" i="46" a="1"/>
  <c r="H60" i="20" a="1"/>
  <c r="E12" i="17" a="1"/>
  <c r="T41" i="48" a="1"/>
  <c r="U16" i="46" a="1"/>
  <c r="F24" i="50" a="1"/>
  <c r="F9" i="26" a="1"/>
  <c r="I131" i="19" a="1"/>
  <c r="J144" i="46" a="1"/>
  <c r="S37" i="50" a="1"/>
  <c r="AA28" i="15" a="1"/>
  <c r="AB78" i="15" a="1"/>
  <c r="K22" i="46" a="1"/>
  <c r="G55" i="17" a="1"/>
  <c r="I107" i="16" a="1"/>
  <c r="T56" i="46" a="1"/>
  <c r="AA98" i="16" a="1"/>
  <c r="H104" i="46" a="1"/>
  <c r="G42" i="20" a="1"/>
  <c r="BJ19" i="46" a="1"/>
  <c r="AA49" i="46" a="1"/>
  <c r="J80" i="17" a="1"/>
  <c r="R87" i="20" a="1"/>
  <c r="Y84" i="15" a="1"/>
  <c r="E23" i="26" a="1"/>
  <c r="AA17" i="15" a="1"/>
  <c r="G32" i="17" a="1"/>
  <c r="G57" i="16" a="1"/>
  <c r="J7" i="19" a="1"/>
  <c r="G55" i="16" a="1"/>
  <c r="R11" i="17" a="1"/>
  <c r="Z17" i="46" a="1"/>
  <c r="T62" i="46" a="1"/>
  <c r="W10" i="50" a="1"/>
  <c r="X25" i="17" a="1"/>
  <c r="AB68" i="46" a="1"/>
  <c r="G50" i="21" a="1"/>
  <c r="R32" i="19" a="1"/>
  <c r="I30" i="48" a="1"/>
  <c r="V66" i="15" a="1"/>
  <c r="AB62" i="16" a="1"/>
  <c r="D61" i="16" a="1"/>
  <c r="D45" i="17" a="1"/>
  <c r="AD39" i="26" a="1"/>
  <c r="E53" i="15" a="1"/>
  <c r="V42" i="26" a="1"/>
  <c r="BG71" i="46" a="1"/>
  <c r="Y63" i="17" a="1"/>
  <c r="J93" i="15" a="1"/>
  <c r="X7" i="48" a="1"/>
  <c r="K77" i="17" a="1"/>
  <c r="AA53" i="46" a="1"/>
  <c r="K25" i="44" a="1"/>
  <c r="J124" i="46" a="1"/>
  <c r="Z41" i="46" a="1"/>
  <c r="AA60" i="46" a="1"/>
  <c r="E28" i="44" a="1"/>
  <c r="J47" i="21" a="1"/>
  <c r="K91" i="15" a="1"/>
  <c r="J100" i="46" a="1"/>
  <c r="K9" i="17" a="1"/>
  <c r="R18" i="20" a="1"/>
  <c r="G11" i="21" a="1"/>
  <c r="BG13" i="46" a="1"/>
  <c r="G99" i="46" a="1"/>
  <c r="J33" i="50" a="1"/>
  <c r="I133" i="46" a="1"/>
  <c r="T64" i="16" a="1"/>
  <c r="R15" i="19" a="1"/>
  <c r="I71" i="15" a="1"/>
  <c r="J36" i="46" a="1"/>
  <c r="V110" i="19" a="1"/>
  <c r="D27" i="17" a="1"/>
  <c r="H145" i="46" a="1"/>
  <c r="G45" i="46" a="1"/>
  <c r="G11" i="17" a="1"/>
  <c r="E87" i="16" a="1"/>
  <c r="T34" i="17" a="1"/>
  <c r="F24" i="15" a="1"/>
  <c r="H22" i="21" a="1"/>
  <c r="X96" i="17" a="1"/>
  <c r="H9" i="46" a="1"/>
  <c r="V40" i="26" a="1"/>
  <c r="G58" i="46" a="1"/>
  <c r="I106" i="16" a="1"/>
  <c r="T8" i="46" a="1"/>
  <c r="F10" i="46" a="1"/>
  <c r="H50" i="46" a="1"/>
  <c r="F107" i="17" a="1"/>
  <c r="S127" i="19" a="1"/>
  <c r="R45" i="19" a="1"/>
  <c r="K105" i="46" a="1"/>
  <c r="F6" i="46" a="1"/>
  <c r="H107" i="17" a="1"/>
  <c r="BI44" i="46" a="1"/>
  <c r="H40" i="46" a="1"/>
  <c r="R111" i="17" a="1"/>
  <c r="T14" i="50" a="1"/>
  <c r="H51" i="15" a="1"/>
  <c r="BH134" i="46" a="1"/>
  <c r="AA90" i="16" a="1"/>
  <c r="AC60" i="46" a="1"/>
  <c r="I32" i="46" a="1"/>
  <c r="V22" i="21" a="1"/>
  <c r="G140" i="19" a="1"/>
  <c r="Z128" i="46" a="1"/>
  <c r="F60" i="46" a="1"/>
  <c r="E27" i="21" a="1"/>
  <c r="BI120" i="46" a="1"/>
  <c r="Y42" i="17" a="1"/>
  <c r="W25" i="46" a="1"/>
  <c r="U12" i="46" a="1"/>
  <c r="Y27" i="17" a="1"/>
  <c r="R116" i="17" a="1"/>
  <c r="V45" i="26" a="1"/>
  <c r="T35" i="19" a="1"/>
  <c r="I39" i="16" a="1"/>
  <c r="BI19" i="46" a="1"/>
  <c r="H49" i="15" a="1"/>
  <c r="K34" i="46" a="1"/>
  <c r="R47" i="19" a="1"/>
  <c r="F19" i="44" a="1"/>
  <c r="F100" i="46" a="1"/>
  <c r="F75" i="16" a="1"/>
  <c r="BH42" i="46" a="1"/>
  <c r="BG10" i="46" a="1"/>
  <c r="D94" i="15" a="1"/>
  <c r="F53" i="20" a="1"/>
  <c r="K82" i="17" a="1"/>
  <c r="BJ65" i="46" a="1"/>
  <c r="AA13" i="46" a="1"/>
  <c r="AA38" i="15" a="1"/>
  <c r="J10" i="48" a="1"/>
  <c r="H78" i="17" a="1"/>
  <c r="BH130" i="46" a="1"/>
  <c r="Y66" i="15" a="1"/>
  <c r="Y132" i="46" a="1"/>
  <c r="T95" i="20" a="1"/>
  <c r="J52" i="46" a="1"/>
  <c r="W68" i="46" a="1"/>
  <c r="G74" i="20" a="1"/>
  <c r="R58" i="16" a="1"/>
  <c r="F12" i="46" a="1"/>
  <c r="BH132" i="46" a="1"/>
  <c r="W19" i="50" a="1"/>
  <c r="F68" i="46" a="1"/>
  <c r="F14" i="50" a="1"/>
  <c r="J131" i="46" a="1"/>
  <c r="U6" i="46" a="1"/>
  <c r="BI95" i="46" a="1"/>
  <c r="BG77" i="46" a="1"/>
  <c r="L59" i="46" a="1"/>
  <c r="Y71" i="46" a="1"/>
  <c r="S108" i="20" a="1"/>
  <c r="L88" i="46" a="1"/>
  <c r="V39" i="26" a="1"/>
  <c r="H31" i="20" a="1"/>
  <c r="G19" i="48" a="1"/>
  <c r="H45" i="15" a="1"/>
  <c r="E101" i="17" a="1"/>
  <c r="W112" i="17" a="1"/>
  <c r="K51" i="17" a="1"/>
  <c r="X62" i="17" a="1"/>
  <c r="U12" i="19" a="1"/>
  <c r="G90" i="17" a="1"/>
  <c r="E19" i="50" a="1"/>
  <c r="G136" i="46" a="1"/>
  <c r="Y134" i="46" a="1"/>
  <c r="D13" i="26" a="1"/>
  <c r="T42" i="48" a="1"/>
  <c r="R24" i="20" a="1"/>
  <c r="I75" i="16" a="1"/>
  <c r="X111" i="46" a="1"/>
  <c r="D135" i="19" a="1"/>
  <c r="S14" i="20" a="1"/>
  <c r="BG44" i="46" a="1"/>
  <c r="F72" i="15" a="1"/>
  <c r="BG136" i="46" a="1"/>
  <c r="W41" i="46" a="1"/>
  <c r="G53" i="46" a="1"/>
  <c r="V13" i="19" a="1"/>
  <c r="BI26" i="46" a="1"/>
  <c r="BI83" i="46" a="1"/>
  <c r="F24" i="19" a="1"/>
  <c r="J65" i="46" a="1"/>
  <c r="Y59" i="17" a="1"/>
  <c r="U39" i="19" a="1"/>
  <c r="E16" i="19" a="1"/>
  <c r="AB31" i="15" a="1"/>
  <c r="AA67" i="16" a="1"/>
  <c r="F42" i="20" a="1"/>
  <c r="S110" i="19" a="1"/>
  <c r="G62" i="16" a="1"/>
  <c r="G127" i="46" a="1"/>
  <c r="J108" i="19" a="1"/>
  <c r="S24" i="20" a="1"/>
  <c r="BG83" i="46" a="1"/>
  <c r="E72" i="20" a="1"/>
  <c r="AB86" i="16" a="1"/>
  <c r="R124" i="19" a="1"/>
  <c r="J19" i="19" a="1"/>
  <c r="F96" i="16" a="1"/>
  <c r="K41" i="17" a="1"/>
  <c r="J11" i="21" a="1"/>
  <c r="E39" i="15" a="1"/>
  <c r="G79" i="16" a="1"/>
  <c r="D14" i="16" a="1"/>
  <c r="G33" i="50" a="1"/>
  <c r="AA86" i="15" a="1"/>
  <c r="F135" i="46" a="1"/>
  <c r="F29" i="17" a="1"/>
  <c r="AC115" i="46" a="1"/>
  <c r="AA47" i="46" a="1"/>
  <c r="Y71" i="17" a="1"/>
  <c r="E21" i="19" a="1"/>
  <c r="AC34" i="46" a="1"/>
  <c r="AA80" i="46" a="1"/>
  <c r="E11" i="48" a="1"/>
  <c r="G84" i="15" a="1"/>
  <c r="BI37" i="46" a="1"/>
  <c r="J47" i="46" a="1"/>
  <c r="J58" i="17" a="1"/>
  <c r="BG120" i="46" a="1"/>
  <c r="AA108" i="16" a="1"/>
  <c r="T77" i="46" a="1"/>
  <c r="W73" i="46" a="1"/>
  <c r="H92" i="15" a="1"/>
  <c r="J87" i="16" a="1"/>
  <c r="F22" i="15" a="1"/>
  <c r="H52" i="46" a="1"/>
  <c r="J27" i="46" a="1"/>
  <c r="F136" i="46" a="1"/>
  <c r="D38" i="19" a="1"/>
  <c r="W62" i="15" a="1"/>
  <c r="X55" i="16" a="1"/>
  <c r="X64" i="16" a="1"/>
  <c r="W51" i="15" a="1"/>
  <c r="Y72" i="15" a="1"/>
  <c r="Y25" i="46" a="1"/>
  <c r="T86" i="20" a="1"/>
  <c r="Y24" i="48" a="1"/>
  <c r="BG79" i="46" a="1"/>
  <c r="F15" i="19" a="1"/>
  <c r="J12" i="46" a="1"/>
  <c r="G71" i="20" a="1"/>
  <c r="G61" i="20" a="1"/>
  <c r="AA93" i="15" a="1"/>
  <c r="H140" i="46" a="1"/>
  <c r="F94" i="17" a="1"/>
  <c r="AA57" i="46" a="1"/>
  <c r="U141" i="19" a="1"/>
  <c r="W30" i="50" a="1"/>
  <c r="H58" i="16" a="1"/>
  <c r="R73" i="15" a="1"/>
  <c r="AA53" i="15" a="1"/>
  <c r="AC141" i="46" a="1"/>
  <c r="AB85" i="16" a="1"/>
  <c r="W35" i="15" a="1"/>
  <c r="J30" i="17" a="1"/>
  <c r="D114" i="20" a="1"/>
  <c r="E84" i="16" a="1"/>
  <c r="J35" i="19" a="1"/>
  <c r="BH57" i="46" a="1"/>
  <c r="W14" i="15" a="1"/>
  <c r="V46" i="46" a="1"/>
  <c r="K37" i="46" a="1"/>
  <c r="F51" i="20" a="1"/>
  <c r="J34" i="26" a="1"/>
  <c r="W113" i="46" a="1"/>
  <c r="H114" i="46" a="1"/>
  <c r="F80" i="17" a="1"/>
  <c r="S38" i="17" a="1"/>
  <c r="S18" i="19" a="1"/>
  <c r="F116" i="19" a="1"/>
  <c r="T33" i="19" a="1"/>
  <c r="S55" i="26" a="1"/>
  <c r="G9" i="44" a="1"/>
  <c r="D107" i="16" a="1"/>
  <c r="H104" i="17" a="1"/>
  <c r="D64" i="15" a="1"/>
  <c r="W13" i="17" a="1"/>
  <c r="K78" i="17" a="1"/>
  <c r="BH144" i="46" a="1"/>
  <c r="R11" i="19" a="1"/>
  <c r="F29" i="21" a="1"/>
  <c r="H8" i="50" a="1"/>
  <c r="G34" i="50" a="1"/>
  <c r="T37" i="17" a="1"/>
  <c r="AB94" i="16" a="1"/>
  <c r="K79" i="15" a="1"/>
  <c r="D127" i="19" a="1"/>
  <c r="V125" i="19" a="1"/>
  <c r="I15" i="19" a="1"/>
  <c r="W51" i="46" a="1"/>
  <c r="W67" i="16" a="1"/>
  <c r="BK134" i="46" a="1"/>
  <c r="K25" i="17" a="1"/>
  <c r="J40" i="46" a="1"/>
  <c r="U101" i="20" a="1"/>
  <c r="U90" i="20" a="1"/>
  <c r="T58" i="19" a="1"/>
  <c r="V50" i="20" a="1"/>
  <c r="R47" i="21" a="1"/>
  <c r="U15" i="48" a="1"/>
  <c r="X110" i="17" a="1"/>
  <c r="H55" i="17" a="1"/>
  <c r="AD33" i="26" a="1"/>
  <c r="E127" i="19" a="1"/>
  <c r="BK15" i="46" a="1"/>
  <c r="V85" i="15" a="1"/>
  <c r="K97" i="17" a="1"/>
  <c r="J128" i="46" a="1"/>
  <c r="BI20" i="46" a="1"/>
  <c r="T57" i="20" a="1"/>
  <c r="AC38" i="26" a="1"/>
  <c r="F109" i="20" a="1"/>
  <c r="V51" i="21" a="1"/>
  <c r="K78" i="15" a="1"/>
  <c r="I145" i="46" a="1"/>
  <c r="D131" i="19" a="1"/>
  <c r="E49" i="21" a="1"/>
  <c r="BK142" i="46" a="1"/>
  <c r="K25" i="46" a="1"/>
  <c r="S73" i="16" a="1"/>
  <c r="J24" i="48" a="1"/>
  <c r="J47" i="15" a="1"/>
  <c r="J21" i="46" a="1"/>
  <c r="V141" i="19" a="1"/>
  <c r="AA36" i="15" a="1"/>
  <c r="G108" i="16" a="1"/>
  <c r="AA32" i="26" a="1"/>
  <c r="J10" i="46" a="1"/>
  <c r="F28" i="20" a="1"/>
  <c r="V126" i="19" a="1"/>
  <c r="X82" i="16" a="1"/>
  <c r="E23" i="20" a="1"/>
  <c r="AA64" i="15" a="1"/>
  <c r="R68" i="15" a="1"/>
  <c r="I35" i="19" a="1"/>
  <c r="S9" i="21" a="1"/>
  <c r="BJ48" i="46" a="1"/>
  <c r="D25" i="44" a="1"/>
  <c r="D86" i="20" a="1"/>
  <c r="J70" i="16" a="1"/>
  <c r="J70" i="17" a="1"/>
  <c r="Y67" i="15" a="1"/>
  <c r="Y37" i="17" a="1"/>
  <c r="AC52" i="46" a="1"/>
  <c r="W31" i="15" a="1"/>
  <c r="T116" i="19" a="1"/>
  <c r="G58" i="26" a="1"/>
  <c r="U37" i="19" a="1"/>
  <c r="D56" i="20" a="1"/>
  <c r="BK37" i="46" a="1"/>
  <c r="W12" i="21" a="1"/>
  <c r="S21" i="26" a="1"/>
  <c r="F54" i="15" a="1"/>
  <c r="Y19" i="48" a="1"/>
  <c r="J47" i="48" a="1"/>
  <c r="W102" i="46" a="1"/>
  <c r="F68" i="20" a="1"/>
  <c r="S55" i="16" a="1"/>
  <c r="I27" i="19" a="1"/>
  <c r="AD45" i="26" a="1"/>
  <c r="H49" i="21" a="1"/>
  <c r="W60" i="16" a="1"/>
  <c r="H76" i="17" a="1"/>
  <c r="W63" i="16" a="1"/>
  <c r="F51" i="17" a="1"/>
  <c r="U112" i="20" a="1"/>
  <c r="F65" i="26" a="1"/>
  <c r="R59" i="16" a="1"/>
  <c r="AA85" i="16" a="1"/>
  <c r="W35" i="21" a="1"/>
  <c r="BH50" i="46" a="1"/>
  <c r="J39" i="17" a="1"/>
  <c r="T40" i="46" a="1"/>
  <c r="F69" i="16" a="1"/>
  <c r="F49" i="15" a="1"/>
  <c r="S49" i="17" a="1"/>
  <c r="E11" i="16" a="1"/>
  <c r="H56" i="16" a="1"/>
  <c r="D125" i="19" a="1"/>
  <c r="BG52" i="46" a="1"/>
  <c r="Z121" i="46" a="1"/>
  <c r="R98" i="20" a="1"/>
  <c r="X88" i="15" a="1"/>
  <c r="H72" i="20" a="1"/>
  <c r="I37" i="21" a="1"/>
  <c r="U41" i="26" a="1"/>
  <c r="K11" i="48" a="1"/>
  <c r="S15" i="20" a="1"/>
  <c r="Z129" i="46" a="1"/>
  <c r="V66" i="46" a="1"/>
  <c r="T34" i="19" a="1"/>
  <c r="Y14" i="17" a="1"/>
  <c r="BG42" i="46" a="1"/>
  <c r="G18" i="44" a="1"/>
  <c r="S14" i="17" a="1"/>
  <c r="F8" i="15" a="1"/>
  <c r="T15" i="48" a="1"/>
  <c r="Z10" i="15" a="1"/>
  <c r="Y31" i="46" a="1"/>
  <c r="AA53" i="16" a="1"/>
  <c r="F23" i="46" a="1"/>
  <c r="Y112" i="46" a="1"/>
  <c r="G37" i="20" a="1"/>
  <c r="AC121" i="46" a="1"/>
  <c r="G63" i="20" a="1"/>
  <c r="T69" i="17" a="1"/>
  <c r="D18" i="26" a="1"/>
  <c r="E62" i="20" a="1"/>
  <c r="BI10" i="46" a="1"/>
  <c r="T12" i="17" a="1"/>
  <c r="F47" i="17" a="1"/>
  <c r="R57" i="19" a="1"/>
  <c r="G38" i="46" a="1"/>
  <c r="S35" i="20" a="1"/>
  <c r="X72" i="17" a="1"/>
  <c r="I96" i="46" a="1"/>
  <c r="F48" i="19" a="1"/>
  <c r="X13" i="48" a="1"/>
  <c r="G140" i="46" a="1"/>
  <c r="AA23" i="16" a="1"/>
  <c r="J62" i="46" a="1"/>
  <c r="BJ46" i="46" a="1"/>
  <c r="I57" i="46" a="1"/>
  <c r="R27" i="21" a="1"/>
  <c r="E81" i="17" a="1"/>
  <c r="BG69" i="46" a="1"/>
  <c r="BH31" i="46" a="1"/>
  <c r="Y33" i="26" a="1"/>
  <c r="F69" i="17" a="1"/>
  <c r="G44" i="46" a="1"/>
  <c r="U43" i="26" a="1"/>
  <c r="Z8" i="15" a="1"/>
  <c r="Z100" i="46" a="1"/>
  <c r="E118" i="19" a="1"/>
  <c r="S11" i="50" a="1"/>
  <c r="Y29" i="48" a="1"/>
  <c r="J100" i="17" a="1"/>
  <c r="S29" i="20" a="1"/>
  <c r="BI129" i="46" a="1"/>
  <c r="Y97" i="17" a="1"/>
  <c r="K141" i="46" a="1"/>
  <c r="E62" i="16" a="1"/>
  <c r="G84" i="20" a="1"/>
  <c r="F24" i="44" a="1"/>
  <c r="Z11" i="15" a="1"/>
  <c r="U29" i="48" a="1"/>
  <c r="Y28" i="46" a="1"/>
  <c r="R15" i="21" a="1"/>
  <c r="S9" i="20" a="1"/>
  <c r="F88" i="15" a="1"/>
  <c r="R77" i="20" a="1"/>
  <c r="J24" i="50" a="1"/>
  <c r="R55" i="26" a="1"/>
  <c r="E70" i="15" a="1"/>
  <c r="R21" i="20" a="1"/>
  <c r="D100" i="17" a="1"/>
  <c r="X56" i="15" a="1"/>
  <c r="G89" i="20" a="1"/>
  <c r="BI7" i="46" a="1"/>
  <c r="BG104" i="46" a="1"/>
  <c r="I56" i="16" a="1"/>
  <c r="S64" i="16" a="1"/>
  <c r="H87" i="16" a="1"/>
  <c r="R68" i="20" a="1"/>
  <c r="S15" i="17" a="1"/>
  <c r="U17" i="50" a="1"/>
  <c r="S107" i="17" a="1"/>
  <c r="Z18" i="16" a="1"/>
  <c r="S58" i="20" a="1"/>
  <c r="I41" i="21" a="1"/>
  <c r="T117" i="20" a="1"/>
  <c r="K17" i="17" a="1"/>
  <c r="K54" i="46" a="1"/>
  <c r="G27" i="17" a="1"/>
  <c r="T100" i="17" a="1"/>
  <c r="E22" i="15" a="1"/>
  <c r="R57" i="16" a="1"/>
  <c r="AB57" i="46" a="1"/>
  <c r="BJ80" i="46" a="1"/>
  <c r="AC126" i="46" a="1"/>
  <c r="E32" i="26" a="1"/>
  <c r="I27" i="21" a="1"/>
  <c r="H49" i="46" a="1"/>
  <c r="H70" i="16" a="1"/>
  <c r="H66" i="26" a="1"/>
  <c r="Y38" i="26" a="1"/>
  <c r="G25" i="26" a="1"/>
  <c r="H19" i="19" a="1"/>
  <c r="H10" i="17" a="1"/>
  <c r="I44" i="46" a="1"/>
  <c r="H45" i="26" a="1"/>
  <c r="S10" i="50" a="1"/>
  <c r="BJ59" i="46" a="1"/>
  <c r="W77" i="15" a="1"/>
  <c r="L39" i="48" a="1"/>
  <c r="U143" i="19" a="1"/>
  <c r="G53" i="20" a="1"/>
  <c r="W79" i="15" a="1"/>
  <c r="H16" i="50" a="1"/>
  <c r="X53" i="17" a="1"/>
  <c r="H37" i="48" a="1"/>
  <c r="H86" i="17" a="1"/>
  <c r="Y109" i="17" a="1"/>
  <c r="G29" i="20" a="1"/>
  <c r="H42" i="46" a="1"/>
  <c r="AA15" i="16" a="1"/>
  <c r="E42" i="19" a="1"/>
  <c r="I123" i="19" a="1"/>
  <c r="J135" i="19" a="1"/>
  <c r="D77" i="16" a="1"/>
  <c r="X108" i="46" a="1"/>
  <c r="BJ141" i="46" a="1"/>
  <c r="H64" i="16" a="1"/>
  <c r="S38" i="21" a="1"/>
  <c r="E28" i="50" a="1"/>
  <c r="R56" i="17" a="1"/>
  <c r="W13" i="46" a="1"/>
  <c r="R85" i="20" a="1"/>
  <c r="G29" i="17" a="1"/>
  <c r="R60" i="15" a="1"/>
  <c r="G128" i="46" a="1"/>
  <c r="J36" i="26" a="1"/>
  <c r="K71" i="15" a="1"/>
  <c r="I43" i="17" a="1"/>
  <c r="H27" i="21" a="1"/>
  <c r="BK34" i="46" a="1"/>
  <c r="S24" i="19" a="1"/>
  <c r="J26" i="21" a="1"/>
  <c r="Z34" i="26" a="1"/>
  <c r="J83" i="26" a="1"/>
  <c r="F99" i="17" a="1"/>
  <c r="BI82" i="46" a="1"/>
  <c r="T43" i="20" a="1"/>
  <c r="BK119" i="46" a="1"/>
  <c r="S62" i="16" a="1"/>
  <c r="J39" i="48" a="1"/>
  <c r="J7" i="50" a="1"/>
  <c r="I52" i="21" a="1"/>
  <c r="I45" i="26" a="1"/>
  <c r="F72" i="16" a="1"/>
  <c r="F27" i="20" a="1"/>
  <c r="F25" i="50" a="1"/>
  <c r="W70" i="17" a="1"/>
  <c r="BG141" i="46" a="1"/>
  <c r="Y31" i="48" a="1"/>
  <c r="F95" i="46" a="1"/>
  <c r="T60" i="20" a="1"/>
  <c r="H31" i="48" a="1"/>
  <c r="R33" i="20" a="1"/>
  <c r="D37" i="20" a="1"/>
  <c r="F66" i="17" a="1"/>
  <c r="V12" i="19" a="1"/>
  <c r="W67" i="15" a="1"/>
  <c r="T89" i="20" a="1"/>
  <c r="E12" i="15" a="1"/>
  <c r="G74" i="16" a="1"/>
  <c r="K55" i="17" a="1"/>
  <c r="T32" i="19" a="1"/>
  <c r="R19" i="19" a="1"/>
  <c r="G54" i="26" a="1"/>
  <c r="AA64" i="46" a="1"/>
  <c r="R67" i="20" a="1"/>
  <c r="Y33" i="46" a="1"/>
  <c r="X128" i="46" a="1"/>
  <c r="H142" i="19" a="1"/>
  <c r="T113" i="19" a="1"/>
  <c r="U23" i="50" a="1"/>
  <c r="AB38" i="16" a="1"/>
  <c r="I81" i="26" a="1"/>
  <c r="J96" i="46" a="1"/>
  <c r="J129" i="19" a="1"/>
  <c r="I35" i="17" a="1"/>
  <c r="X64" i="15" a="1"/>
  <c r="T28" i="20" a="1"/>
  <c r="K12" i="46" a="1"/>
  <c r="AC68" i="46" a="1"/>
  <c r="S76" i="26" a="1"/>
  <c r="H90" i="20" a="1"/>
  <c r="F123" i="46" a="1"/>
  <c r="V30" i="19" a="1"/>
  <c r="J97" i="17" a="1"/>
  <c r="T65" i="20" a="1"/>
  <c r="H29" i="46" a="1"/>
  <c r="AA63" i="15" a="1"/>
  <c r="W90" i="16" a="1"/>
  <c r="S46" i="20" a="1"/>
  <c r="G17" i="50" a="1"/>
  <c r="I25" i="50" a="1"/>
  <c r="U111" i="20" a="1"/>
  <c r="BI123" i="46" a="1"/>
  <c r="BI98" i="46" a="1"/>
  <c r="G122" i="46" a="1"/>
  <c r="W50" i="46" a="1"/>
  <c r="G119" i="19" a="1"/>
  <c r="V30" i="26" a="1"/>
  <c r="W97" i="46" a="1"/>
  <c r="E42" i="17" a="1"/>
  <c r="G37" i="19" a="1"/>
  <c r="BH11" i="46" a="1"/>
  <c r="H99" i="16" a="1"/>
  <c r="BI115" i="46" a="1"/>
  <c r="Z31" i="48" a="1"/>
  <c r="BJ38" i="46" a="1"/>
  <c r="D9" i="50" a="1"/>
  <c r="R89" i="20" a="1"/>
  <c r="I44" i="19" a="1"/>
  <c r="K66" i="46" a="1"/>
  <c r="G90" i="20" a="1"/>
  <c r="D39" i="15" a="1"/>
  <c r="I54" i="16" a="1"/>
  <c r="G33" i="26" a="1"/>
  <c r="V36" i="50" a="1"/>
  <c r="I90" i="16" a="1"/>
  <c r="R78" i="15" a="1"/>
  <c r="G72" i="46" a="1"/>
  <c r="G84" i="46" a="1"/>
  <c r="F11" i="19" a="1"/>
  <c r="U53" i="46" a="1"/>
  <c r="F40" i="46" a="1"/>
  <c r="T76" i="16" a="1"/>
  <c r="V25" i="21" a="1"/>
  <c r="W107" i="16" a="1"/>
  <c r="BJ102" i="46" a="1"/>
  <c r="H41" i="46" a="1"/>
  <c r="J108" i="16" a="1"/>
  <c r="BK41" i="46" a="1"/>
  <c r="E36" i="15" a="1"/>
  <c r="Y32" i="26" a="1"/>
  <c r="S11" i="17" a="1"/>
  <c r="X19" i="46" a="1"/>
  <c r="T75" i="15" a="1"/>
  <c r="K14" i="46" a="1"/>
  <c r="D55" i="26" a="1"/>
  <c r="AB58" i="46" a="1"/>
  <c r="J23" i="46" a="1"/>
  <c r="W119" i="46" a="1"/>
  <c r="AB11" i="46" a="1"/>
  <c r="T15" i="44" a="1"/>
  <c r="F26" i="15" a="1"/>
  <c r="F32" i="17" a="1"/>
  <c r="J74" i="16" a="1"/>
  <c r="BJ29" i="46" a="1"/>
  <c r="H56" i="20" a="1"/>
  <c r="S13" i="26" a="1"/>
  <c r="G8" i="20" a="1"/>
  <c r="G39" i="48" a="1"/>
  <c r="T16" i="48" a="1"/>
  <c r="I46" i="48" a="1"/>
  <c r="F134" i="46" a="1"/>
  <c r="G96" i="46" a="1"/>
  <c r="Y78" i="15" a="1"/>
  <c r="H63" i="15" a="1"/>
  <c r="V53" i="15" a="1"/>
  <c r="W33" i="50" a="1"/>
  <c r="AB77" i="16" a="1"/>
  <c r="E85" i="17" a="1"/>
  <c r="T46" i="17" a="1"/>
  <c r="V76" i="20" a="1"/>
  <c r="E80" i="20" a="1"/>
  <c r="J15" i="21" a="1"/>
  <c r="G81" i="16" a="1"/>
  <c r="F63" i="16" a="1"/>
  <c r="F87" i="16" a="1"/>
  <c r="I16" i="26" a="1"/>
  <c r="F21" i="20" a="1"/>
  <c r="G41" i="21" a="1"/>
  <c r="E46" i="21" a="1"/>
  <c r="BG67" i="46" a="1"/>
  <c r="F7" i="15" a="1"/>
  <c r="H64" i="26" a="1"/>
  <c r="F36" i="19" a="1"/>
  <c r="H56" i="19" a="1"/>
  <c r="J72" i="17" a="1"/>
  <c r="Z8" i="16" a="1"/>
  <c r="V42" i="21" a="1"/>
  <c r="G51" i="19" a="1"/>
  <c r="E35" i="17" a="1"/>
  <c r="E47" i="20" a="1"/>
  <c r="W95" i="46" a="1"/>
  <c r="W130" i="46" a="1"/>
  <c r="F69" i="20" a="1"/>
  <c r="Z23" i="46" a="1"/>
  <c r="Z59" i="46" a="1"/>
  <c r="S104" i="20" a="1"/>
  <c r="AB40" i="46" a="1"/>
  <c r="T22" i="46" a="1"/>
  <c r="V40" i="46" a="1"/>
  <c r="H113" i="19" a="1"/>
  <c r="U64" i="46" a="1"/>
  <c r="T30" i="48" a="1"/>
  <c r="E42" i="48" a="1"/>
  <c r="Y125" i="46" a="1"/>
  <c r="E95" i="20" a="1"/>
  <c r="AA81" i="16" a="1"/>
  <c r="K33" i="48" a="1"/>
  <c r="G88" i="20" a="1"/>
  <c r="W102" i="16" a="1"/>
  <c r="G132" i="19" a="1"/>
  <c r="D95" i="20" a="1"/>
  <c r="U54" i="20" a="1"/>
  <c r="E83" i="17" a="1"/>
  <c r="H93" i="17" a="1"/>
  <c r="H22" i="44" a="1"/>
  <c r="Z32" i="46" a="1"/>
  <c r="BH87" i="46" a="1"/>
  <c r="G41" i="17" a="1"/>
  <c r="D137" i="19" a="1"/>
  <c r="V27" i="21" a="1"/>
  <c r="E88" i="15" a="1"/>
  <c r="X56" i="17" a="1"/>
  <c r="BG127" i="46" a="1"/>
  <c r="S71" i="17" a="1"/>
  <c r="F30" i="50" a="1"/>
  <c r="H40" i="19" a="1"/>
  <c r="Y43" i="26" a="1"/>
  <c r="F56" i="20" a="1"/>
  <c r="D107" i="20" a="1"/>
  <c r="I35" i="26" a="1"/>
  <c r="R75" i="17" a="1"/>
  <c r="AB59" i="46" a="1"/>
  <c r="R26" i="21" a="1"/>
  <c r="Z111" i="46" a="1"/>
  <c r="F9" i="20" a="1"/>
  <c r="H87" i="15" a="1"/>
  <c r="I108" i="46" a="1"/>
  <c r="Y30" i="48" a="1"/>
  <c r="D89" i="20" a="1"/>
  <c r="E83" i="15" a="1"/>
  <c r="G23" i="19" a="1"/>
  <c r="W89" i="46" a="1"/>
  <c r="F55" i="26" a="1"/>
  <c r="H76" i="26" a="1"/>
  <c r="AB14" i="15" a="1"/>
  <c r="I17" i="50" a="1"/>
  <c r="G84" i="17" a="1"/>
  <c r="BK12" i="46" a="1"/>
  <c r="E13" i="17" a="1"/>
  <c r="H86" i="15" a="1"/>
  <c r="U51" i="19" a="1"/>
  <c r="W124" i="46" a="1"/>
  <c r="T31" i="19" a="1"/>
  <c r="G103" i="17" a="1"/>
  <c r="Y78" i="46" a="1"/>
  <c r="K70" i="46" a="1"/>
  <c r="J25" i="50" a="1"/>
  <c r="U31" i="26" a="1"/>
  <c r="U36" i="20" a="1"/>
  <c r="Z110" i="46" a="1"/>
  <c r="R12" i="21" a="1"/>
  <c r="D51" i="17" a="1"/>
  <c r="F7" i="48" a="1"/>
  <c r="I49" i="19" a="1"/>
  <c r="AB44" i="16" a="1"/>
  <c r="AB60" i="46" a="1"/>
  <c r="S52" i="16" a="1"/>
  <c r="AB95" i="16" a="1"/>
  <c r="S33" i="19" a="1"/>
  <c r="S73" i="20" a="1"/>
  <c r="E39" i="48" a="1"/>
  <c r="Y74" i="17" a="1"/>
  <c r="H49" i="17" a="1"/>
  <c r="U9" i="19" a="1"/>
  <c r="E84" i="15" a="1"/>
  <c r="T64" i="46" a="1"/>
  <c r="AA65" i="46" a="1"/>
  <c r="J50" i="21" a="1"/>
  <c r="H97" i="46" a="1"/>
  <c r="H49" i="20" a="1"/>
  <c r="U11" i="46" a="1"/>
  <c r="BH61" i="46" a="1"/>
  <c r="I31" i="19" a="1"/>
  <c r="U17" i="20" a="1"/>
  <c r="I32" i="26" a="1"/>
  <c r="E92" i="16" a="1"/>
  <c r="I98" i="46" a="1"/>
  <c r="D49" i="15" a="1"/>
  <c r="G13" i="48" a="1"/>
  <c r="Z33" i="48" a="1"/>
  <c r="H140" i="19" a="1"/>
  <c r="D11" i="17" a="1"/>
  <c r="F44" i="19" a="1"/>
  <c r="F25" i="26" a="1"/>
  <c r="AB43" i="46" a="1"/>
  <c r="L22" i="48" a="1"/>
  <c r="U15" i="44" a="1"/>
  <c r="V60" i="15" a="1"/>
  <c r="J82" i="15" a="1"/>
  <c r="AB36" i="15" a="1"/>
  <c r="BH146" i="46" a="1"/>
  <c r="I35" i="50" a="1"/>
  <c r="F16" i="16" a="1"/>
  <c r="BG78" i="46" a="1"/>
  <c r="D27" i="21" a="1"/>
  <c r="T73" i="20" a="1"/>
  <c r="K115" i="46" a="1"/>
  <c r="U121" i="19" a="1"/>
  <c r="H7" i="48" a="1"/>
  <c r="J146" i="46" a="1"/>
  <c r="V41" i="19" a="1"/>
  <c r="E26" i="19" a="1"/>
  <c r="BI24" i="46" a="1"/>
  <c r="J63" i="26" a="1"/>
  <c r="G28" i="48" a="1"/>
  <c r="I42" i="46" a="1"/>
  <c r="F17" i="15" a="1"/>
  <c r="V102" i="20" a="1"/>
  <c r="BH24" i="46" a="1"/>
  <c r="F45" i="48" a="1"/>
  <c r="U45" i="19" a="1"/>
  <c r="AB6" i="46" a="1"/>
  <c r="BK75" i="46" a="1"/>
  <c r="X59" i="17" a="1"/>
  <c r="U61" i="20" a="1"/>
  <c r="T81" i="16" a="1"/>
  <c r="V99" i="20" a="1"/>
  <c r="BI139" i="46" a="1"/>
  <c r="Y107" i="17" a="1"/>
  <c r="G82" i="46" a="1"/>
  <c r="G56" i="16" a="1"/>
  <c r="J38" i="26" a="1"/>
  <c r="R46" i="26" a="1"/>
  <c r="U10" i="21" a="1"/>
  <c r="AD38" i="26" a="1"/>
  <c r="E93" i="20" a="1"/>
  <c r="R69" i="15" a="1"/>
  <c r="X51" i="17" a="1"/>
  <c r="U46" i="19" a="1"/>
  <c r="I19" i="21" a="1"/>
  <c r="Z28" i="46" a="1"/>
  <c r="D84" i="15" a="1"/>
  <c r="I98" i="15" a="1"/>
  <c r="W62" i="46" a="1"/>
  <c r="W83" i="15" a="1"/>
  <c r="Y131" i="46" a="1"/>
  <c r="R39" i="26" a="1"/>
  <c r="S113" i="19" a="1"/>
  <c r="X53" i="15" a="1"/>
  <c r="S7" i="17" a="1"/>
  <c r="F44" i="20" a="1"/>
  <c r="F30" i="26" a="1"/>
  <c r="E10" i="50" a="1"/>
  <c r="BG139" i="46" a="1"/>
  <c r="W88" i="15" a="1"/>
  <c r="E15" i="48" a="1"/>
  <c r="J45" i="48" a="1"/>
  <c r="T16" i="46" a="1"/>
  <c r="D97" i="17" a="1"/>
  <c r="U78" i="20" a="1"/>
  <c r="D83" i="17" a="1"/>
  <c r="F40" i="17" a="1"/>
  <c r="G13" i="20" a="1"/>
  <c r="G15" i="20" a="1"/>
  <c r="Y113" i="17" a="1"/>
  <c r="E81" i="15" a="1"/>
  <c r="W27" i="15" a="1"/>
  <c r="S59" i="15" a="1"/>
  <c r="K49" i="46" a="1"/>
  <c r="AA74" i="46" a="1"/>
  <c r="E30" i="17" a="1"/>
  <c r="I112" i="46" a="1"/>
  <c r="X83" i="15" a="1"/>
  <c r="E11" i="20" a="1"/>
  <c r="U113" i="20" a="1"/>
  <c r="W76" i="17" a="1"/>
  <c r="D33" i="15" a="1"/>
  <c r="I98" i="17" a="1"/>
  <c r="S64" i="20" a="1"/>
  <c r="K25" i="48" a="1"/>
  <c r="K26" i="46" a="1"/>
  <c r="E48" i="16" a="1"/>
  <c r="D36" i="15" a="1"/>
  <c r="D36" i="20" a="1"/>
  <c r="G12" i="48" a="1"/>
  <c r="H36" i="26" a="1"/>
  <c r="H80" i="26" a="1"/>
  <c r="T29" i="48" a="1"/>
  <c r="E54" i="17" a="1"/>
  <c r="I7" i="17" a="1"/>
  <c r="J40" i="26" a="1"/>
  <c r="I21" i="26" a="1"/>
  <c r="E96" i="20" a="1"/>
  <c r="L26" i="46" a="1"/>
  <c r="Y142" i="46" a="1"/>
  <c r="I13" i="48" a="1"/>
  <c r="F112" i="17" a="1"/>
  <c r="D79" i="26" a="1"/>
  <c r="J95" i="17" a="1"/>
  <c r="H45" i="16" a="1"/>
  <c r="E66" i="26" a="1"/>
  <c r="R85" i="15" a="1"/>
  <c r="J17" i="48" a="1"/>
  <c r="G17" i="48" a="1"/>
  <c r="Y112" i="17" a="1"/>
  <c r="H88" i="16" a="1"/>
  <c r="E50" i="20" a="1"/>
  <c r="R115" i="19" a="1"/>
  <c r="S9" i="17" a="1"/>
  <c r="E15" i="44" a="1"/>
  <c r="W98" i="46" a="1"/>
  <c r="J54" i="19" a="1"/>
  <c r="AA42" i="15" a="1"/>
  <c r="I27" i="48" a="1"/>
  <c r="E63" i="20" a="1"/>
  <c r="Z93" i="46" a="1"/>
  <c r="F24" i="20" a="1"/>
  <c r="T32" i="50" a="1"/>
  <c r="BK51" i="46" a="1"/>
  <c r="K8" i="44" a="1"/>
  <c r="D16" i="26" a="1"/>
  <c r="BK17" i="46" a="1"/>
  <c r="T34" i="50" a="1"/>
  <c r="Z116" i="46" a="1"/>
  <c r="D17" i="26" a="1"/>
  <c r="X10" i="17" a="1"/>
  <c r="S7" i="21" a="1"/>
  <c r="G6" i="46" a="1"/>
  <c r="S9" i="50" a="1"/>
  <c r="X67" i="15" a="1"/>
  <c r="S45" i="19" a="1"/>
  <c r="AB39" i="46" a="1"/>
  <c r="I38" i="48" a="1"/>
  <c r="U71" i="46" a="1"/>
  <c r="Y32" i="46" a="1"/>
  <c r="G11" i="50" a="1"/>
  <c r="D87" i="16" a="1"/>
  <c r="T37" i="21" a="1"/>
  <c r="Y17" i="48" a="1"/>
  <c r="R50" i="19" a="1"/>
  <c r="D77" i="15" a="1"/>
  <c r="I101" i="16" a="1"/>
  <c r="H95" i="17" a="1"/>
  <c r="J45" i="17" a="1"/>
  <c r="AA74" i="16" a="1"/>
  <c r="H58" i="46" a="1"/>
  <c r="F40" i="21" a="1"/>
  <c r="I34" i="50" a="1"/>
  <c r="R64" i="20" a="1"/>
  <c r="E58" i="26" a="1"/>
  <c r="G83" i="15" a="1"/>
  <c r="I65" i="15" a="1"/>
  <c r="R103" i="20" a="1"/>
  <c r="X84" i="17" a="1"/>
  <c r="I59" i="16" a="1"/>
  <c r="H30" i="17" a="1"/>
  <c r="W21" i="50" a="1"/>
  <c r="I66" i="26" a="1"/>
  <c r="H40" i="21" a="1"/>
  <c r="J105" i="17" a="1"/>
  <c r="J93" i="46" a="1"/>
  <c r="J97" i="15" a="1"/>
  <c r="S34" i="21" a="1"/>
  <c r="D44" i="21" a="1"/>
  <c r="Y140" i="46" a="1"/>
  <c r="D47" i="17" a="1"/>
  <c r="I81" i="15" a="1"/>
  <c r="H18" i="19" a="1"/>
  <c r="AA45" i="46" a="1"/>
  <c r="Y68" i="17" a="1"/>
  <c r="I93" i="46" a="1"/>
  <c r="I92" i="16" a="1"/>
  <c r="U21" i="48" a="1"/>
  <c r="F144" i="46" a="1"/>
  <c r="J28" i="17" a="1"/>
  <c r="R94" i="17" a="1"/>
  <c r="AA80" i="16" a="1"/>
  <c r="H27" i="48" a="1"/>
  <c r="Y8" i="44" a="1"/>
  <c r="T22" i="19" a="1"/>
  <c r="D28" i="44" a="1"/>
  <c r="H35" i="46" a="1"/>
  <c r="H126" i="19" a="1"/>
  <c r="H39" i="48" a="1"/>
  <c r="U67" i="20" a="1"/>
  <c r="L95" i="46" a="1"/>
  <c r="J88" i="15" a="1"/>
  <c r="D9" i="21" a="1"/>
  <c r="Y48" i="17" a="1"/>
  <c r="W71" i="15" a="1"/>
  <c r="D16" i="21" a="1"/>
  <c r="W27" i="48" a="1"/>
  <c r="BH119" i="46" a="1"/>
  <c r="G40" i="20" a="1"/>
  <c r="AB27" i="16" a="1"/>
  <c r="AA19" i="16" a="1"/>
  <c r="BI9" i="46" a="1"/>
  <c r="W62" i="17" a="1"/>
  <c r="AA60" i="15" a="1"/>
  <c r="BJ54" i="46" a="1"/>
  <c r="T10" i="48" a="1"/>
  <c r="X81" i="15" a="1"/>
  <c r="J41" i="50" a="1"/>
  <c r="H48" i="20" a="1"/>
  <c r="T25" i="20" a="1"/>
  <c r="S72" i="16" a="1"/>
  <c r="W64" i="15" a="1"/>
  <c r="V71" i="20" a="1"/>
  <c r="S84" i="20" a="1"/>
  <c r="I36" i="46" a="1"/>
  <c r="Z22" i="16" a="1"/>
  <c r="H97" i="16" a="1"/>
  <c r="I44" i="48" a="1"/>
  <c r="I50" i="15" a="1"/>
  <c r="E61" i="15" a="1"/>
  <c r="D37" i="21" a="1"/>
  <c r="I26" i="17" a="1"/>
  <c r="W43" i="17" a="1"/>
  <c r="AA6" i="46" a="1"/>
  <c r="D57" i="16" a="1"/>
  <c r="F70" i="20" a="1"/>
  <c r="K39" i="48" a="1"/>
  <c r="F38" i="48" a="1"/>
  <c r="AE37" i="26" a="1"/>
  <c r="H48" i="19" a="1"/>
  <c r="BI143" i="46" a="1"/>
  <c r="H16" i="20" a="1"/>
  <c r="E117" i="20" a="1"/>
  <c r="S31" i="20" a="1"/>
  <c r="G30" i="50" a="1"/>
  <c r="X101" i="46" a="1"/>
  <c r="F18" i="19" a="1"/>
  <c r="T72" i="20" a="1"/>
  <c r="D14" i="26" a="1"/>
  <c r="AA26" i="15" a="1"/>
  <c r="K133" i="46" a="1"/>
  <c r="AB39" i="16" a="1"/>
  <c r="BJ119" i="46" a="1"/>
  <c r="Y74" i="46" a="1"/>
  <c r="J100" i="16" a="1"/>
  <c r="BK25" i="46" a="1"/>
  <c r="T51" i="20" a="1"/>
  <c r="T73" i="15" a="1"/>
  <c r="F57" i="16" a="1"/>
  <c r="W13" i="15" a="1"/>
  <c r="K46" i="46" a="1"/>
  <c r="D8" i="20" a="1"/>
  <c r="S11" i="20" a="1"/>
  <c r="Z16" i="16" a="1"/>
  <c r="BG12" i="46" a="1"/>
  <c r="S71" i="15" a="1"/>
  <c r="U7" i="19" a="1"/>
  <c r="Y47" i="17" a="1"/>
  <c r="S57" i="26" a="1"/>
  <c r="I36" i="20" a="1"/>
  <c r="I17" i="26" a="1"/>
  <c r="H132" i="19" a="1"/>
  <c r="R31" i="17" a="1"/>
  <c r="E41" i="20" a="1"/>
  <c r="D46" i="17" a="1"/>
  <c r="K52" i="46" a="1"/>
  <c r="E22" i="19" a="1"/>
  <c r="U24" i="21" a="1"/>
  <c r="W92" i="15" a="1"/>
  <c r="F47" i="21" a="1"/>
  <c r="F113" i="17" a="1"/>
  <c r="L65" i="46" a="1"/>
  <c r="J16" i="19" a="1"/>
  <c r="H130" i="19" a="1"/>
  <c r="I38" i="16" a="1"/>
  <c r="H63" i="26" a="1"/>
  <c r="J31" i="19" a="1"/>
  <c r="AA72" i="15" a="1"/>
  <c r="H127" i="46" a="1"/>
  <c r="X90" i="46" a="1"/>
  <c r="X52" i="15" a="1"/>
  <c r="E95" i="16" a="1"/>
  <c r="F121" i="19" a="1"/>
  <c r="V29" i="21" a="1"/>
  <c r="BI42" i="46" a="1"/>
  <c r="D8" i="21" a="1"/>
  <c r="I77" i="46" a="1"/>
  <c r="F81" i="46" a="1"/>
  <c r="U38" i="19" a="1"/>
  <c r="J22" i="46" a="1"/>
  <c r="W94" i="15" a="1"/>
  <c r="E14" i="16" a="1"/>
  <c r="Z9" i="16" a="1"/>
  <c r="I13" i="21" a="1"/>
  <c r="BK50" i="46" a="1"/>
  <c r="H29" i="17" a="1"/>
  <c r="U34" i="19" a="1"/>
  <c r="F9" i="21" a="1"/>
  <c r="D54" i="15" a="1"/>
  <c r="D31" i="19" a="1"/>
  <c r="BK96" i="46" a="1"/>
  <c r="H34" i="50" a="1"/>
  <c r="H55" i="15" a="1"/>
  <c r="BG70" i="46" a="1"/>
  <c r="V109" i="20" a="1"/>
  <c r="I95" i="15" a="1"/>
  <c r="F78" i="15" a="1"/>
  <c r="Y7" i="17" a="1"/>
  <c r="Z106" i="46" a="1"/>
  <c r="W52" i="17" a="1"/>
  <c r="W34" i="21" a="1"/>
  <c r="K29" i="46" a="1"/>
  <c r="E45" i="26" a="1"/>
  <c r="T74" i="46" a="1"/>
  <c r="G7" i="20" a="1"/>
  <c r="BI38" i="46" a="1"/>
  <c r="AB92" i="15" a="1"/>
  <c r="K140" i="46" a="1"/>
  <c r="I84" i="15" a="1"/>
  <c r="U27" i="20" a="1"/>
  <c r="L27" i="46" a="1"/>
  <c r="BG84" i="46" a="1"/>
  <c r="I36" i="48" a="1"/>
  <c r="BK130" i="46" a="1"/>
  <c r="AA100" i="16" a="1"/>
  <c r="W80" i="17" a="1"/>
  <c r="G81" i="46" a="1"/>
  <c r="AB103" i="16" a="1"/>
  <c r="Y70" i="46" a="1"/>
  <c r="F45" i="15" a="1"/>
  <c r="U22" i="21" a="1"/>
  <c r="V9" i="44" a="1"/>
  <c r="Z81" i="46" a="1"/>
  <c r="S75" i="26" a="1"/>
  <c r="S74" i="20" a="1"/>
  <c r="AC27" i="46" a="1"/>
  <c r="Z39" i="26" a="1"/>
  <c r="H57" i="46" a="1"/>
  <c r="T30" i="20" a="1"/>
  <c r="Z84" i="46" a="1"/>
  <c r="S89" i="20" a="1"/>
  <c r="H24" i="46" a="1"/>
  <c r="F35" i="26" a="1"/>
  <c r="F42" i="17" a="1"/>
  <c r="T77" i="16" a="1"/>
  <c r="BK49" i="46" a="1"/>
  <c r="V19" i="44" a="1"/>
  <c r="F25" i="46" a="1"/>
  <c r="X81" i="16" a="1"/>
  <c r="D25" i="21" a="1"/>
  <c r="F7" i="44" a="1"/>
  <c r="H74" i="46" a="1"/>
  <c r="D85" i="17" a="1"/>
  <c r="I82" i="15" a="1"/>
  <c r="AB24" i="15" a="1"/>
  <c r="Y15" i="48" a="1"/>
  <c r="Y59" i="16" a="1"/>
  <c r="I25" i="48" a="1"/>
  <c r="T17" i="17" a="1"/>
  <c r="H71" i="20" a="1"/>
  <c r="AB23" i="16" a="1"/>
  <c r="I122" i="19" a="1"/>
  <c r="F11" i="17" a="1"/>
  <c r="E67" i="17" a="1"/>
  <c r="V22" i="19" a="1"/>
  <c r="W112" i="46" a="1"/>
  <c r="G102" i="17" a="1"/>
  <c r="I85" i="15" a="1"/>
  <c r="T51" i="17" a="1"/>
  <c r="L100" i="46" a="1"/>
  <c r="H34" i="17" a="1"/>
  <c r="X57" i="16" a="1"/>
  <c r="G68" i="15" a="1"/>
  <c r="U75" i="20" a="1"/>
  <c r="F10" i="48" a="1"/>
  <c r="K103" i="17" a="1"/>
  <c r="F94" i="20" a="1"/>
  <c r="I136" i="19" a="1"/>
  <c r="I56" i="46" a="1"/>
  <c r="Y81" i="16" a="1"/>
  <c r="I107" i="46" a="1"/>
  <c r="AB34" i="26" a="1"/>
  <c r="U111" i="19" a="1"/>
  <c r="F57" i="19" a="1"/>
  <c r="F89" i="46" a="1"/>
  <c r="F33" i="17" a="1"/>
  <c r="W31" i="17" a="1"/>
  <c r="E92" i="17" a="1"/>
  <c r="D39" i="16" a="1"/>
  <c r="BK110" i="46" a="1"/>
  <c r="I22" i="44" a="1"/>
  <c r="J43" i="17" a="1"/>
  <c r="U30" i="50" a="1"/>
  <c r="J25" i="19" a="1"/>
  <c r="J37" i="16" a="1"/>
  <c r="I83" i="26" a="1"/>
  <c r="G50" i="15" a="1"/>
  <c r="H14" i="48" a="1"/>
  <c r="H143" i="19" a="1"/>
  <c r="S56" i="17" a="1"/>
  <c r="I14" i="48" a="1"/>
  <c r="K55" i="15" a="1"/>
  <c r="X119" i="46" a="1"/>
  <c r="D100" i="16" a="1"/>
  <c r="D117" i="19" a="1"/>
  <c r="S42" i="19" a="1"/>
  <c r="S81" i="16" a="1"/>
  <c r="AB46" i="15" a="1"/>
  <c r="W81" i="46" a="1"/>
  <c r="I117" i="46" a="1"/>
  <c r="G81" i="17" a="1"/>
  <c r="AA22" i="46" a="1"/>
  <c r="U117" i="19" a="1"/>
  <c r="D19" i="19" a="1"/>
  <c r="G26" i="20" a="1"/>
  <c r="F22" i="26" a="1"/>
  <c r="F126" i="46" a="1"/>
  <c r="D77" i="20" a="1"/>
  <c r="V87" i="15" a="1"/>
  <c r="D23" i="15" a="1"/>
  <c r="H37" i="16" a="1"/>
  <c r="L90" i="46" a="1"/>
  <c r="AB70" i="15" a="1"/>
  <c r="T9" i="21" a="1"/>
  <c r="U49" i="19" a="1"/>
  <c r="BK62" i="46" a="1"/>
  <c r="I43" i="19" a="1"/>
  <c r="E111" i="19" a="1"/>
  <c r="S89" i="17" a="1"/>
  <c r="F38" i="19" a="1"/>
  <c r="U28" i="20" a="1"/>
  <c r="Y108" i="46" a="1"/>
  <c r="H46" i="21" a="1"/>
  <c r="AA11" i="46" a="1"/>
  <c r="AB78" i="46" a="1"/>
  <c r="G43" i="19" a="1"/>
  <c r="T9" i="20" a="1"/>
  <c r="BJ31" i="46" a="1"/>
  <c r="E129" i="19" a="1"/>
  <c r="G48" i="19" a="1"/>
  <c r="U77" i="20" a="1"/>
  <c r="G118" i="46" a="1"/>
  <c r="D67" i="15" a="1"/>
  <c r="E26" i="17" a="1"/>
  <c r="F33" i="26" a="1"/>
  <c r="G121" i="19" a="1"/>
  <c r="AC50" i="46" a="1"/>
  <c r="K49" i="15" a="1"/>
  <c r="T53" i="20" a="1"/>
  <c r="W9" i="21" a="1"/>
  <c r="F84" i="15" a="1"/>
  <c r="T47" i="19" a="1"/>
  <c r="L45" i="46" a="1"/>
  <c r="D30" i="50" a="1"/>
  <c r="R105" i="17" a="1"/>
  <c r="W98" i="16" a="1"/>
  <c r="H58" i="17" a="1"/>
  <c r="BI146" i="46" a="1"/>
  <c r="F32" i="26" a="1"/>
  <c r="E120" i="19" a="1"/>
  <c r="H84" i="46" a="1"/>
  <c r="E58" i="16" a="1"/>
  <c r="D19" i="20" a="1"/>
  <c r="F109" i="46" a="1"/>
  <c r="W32" i="17" a="1"/>
  <c r="T14" i="19" a="1"/>
  <c r="E109" i="16" a="1"/>
  <c r="F34" i="19" a="1"/>
  <c r="BG63" i="46" a="1"/>
  <c r="I24" i="50" a="1"/>
  <c r="E68" i="15" a="1"/>
  <c r="H7" i="50" a="1"/>
  <c r="BH63" i="46" a="1"/>
  <c r="U51" i="20" a="1"/>
  <c r="BK144" i="46" a="1"/>
  <c r="K113" i="17" a="1"/>
  <c r="H29" i="26" a="1"/>
  <c r="W97" i="16" a="1"/>
  <c r="J33" i="48" a="1"/>
  <c r="Y141" i="46" a="1"/>
  <c r="Y16" i="48" a="1"/>
  <c r="AB37" i="16" a="1"/>
  <c r="BH32" i="46" a="1"/>
  <c r="Y29" i="17" a="1"/>
  <c r="R99" i="20" a="1"/>
  <c r="W54" i="15" a="1"/>
  <c r="D44" i="19" a="1"/>
  <c r="X78" i="15" a="1"/>
  <c r="U41" i="21" a="1"/>
  <c r="S125" i="19" a="1"/>
  <c r="H14" i="21" a="1"/>
  <c r="R88" i="20" a="1"/>
  <c r="Z58" i="46" a="1"/>
  <c r="F100" i="16" a="1"/>
  <c r="S113" i="20" a="1"/>
  <c r="D27" i="20" a="1"/>
  <c r="AC127" i="46" a="1"/>
  <c r="H12" i="50" a="1"/>
  <c r="AC66" i="46" a="1"/>
  <c r="H38" i="16" a="1"/>
  <c r="R89" i="17" a="1"/>
  <c r="H8" i="44" a="1"/>
  <c r="F112" i="19" a="1"/>
  <c r="AA75" i="46" a="1"/>
  <c r="F11" i="15" a="1"/>
  <c r="S54" i="15" a="1"/>
  <c r="D14" i="15" a="1"/>
  <c r="F46" i="48" a="1"/>
  <c r="L76" i="46" a="1"/>
  <c r="R58" i="19" a="1"/>
  <c r="BJ83" i="46" a="1"/>
  <c r="V60" i="46" a="1"/>
  <c r="X35" i="26" a="1"/>
  <c r="H15" i="21" a="1"/>
  <c r="W47" i="46" a="1"/>
  <c r="AC71" i="46" a="1"/>
  <c r="AA64" i="16" a="1"/>
  <c r="E10" i="15" a="1"/>
  <c r="F51" i="21" a="1"/>
  <c r="I7" i="48" a="1"/>
  <c r="G47" i="19" a="1"/>
  <c r="U35" i="19" a="1"/>
  <c r="G127" i="19" a="1"/>
  <c r="W30" i="46" a="1"/>
  <c r="K62" i="46" a="1"/>
  <c r="I72" i="26" a="1"/>
  <c r="F82" i="20" a="1"/>
  <c r="V37" i="21" a="1"/>
  <c r="BK78" i="46" a="1"/>
  <c r="E19" i="21" a="1"/>
  <c r="BG23" i="46" a="1"/>
  <c r="I74" i="16" a="1"/>
  <c r="D66" i="17" a="1"/>
  <c r="F31" i="46" a="1"/>
  <c r="T53" i="17" a="1"/>
  <c r="AB56" i="46" a="1"/>
  <c r="F133" i="46" a="1"/>
  <c r="D25" i="26" a="1"/>
  <c r="T54" i="16" a="1"/>
  <c r="U123" i="19" a="1"/>
  <c r="E108" i="19" a="1"/>
  <c r="K114" i="46" a="1"/>
  <c r="I111" i="46" a="1"/>
  <c r="F130" i="46" a="1"/>
  <c r="R105" i="20" a="1"/>
  <c r="V111" i="20" a="1"/>
  <c r="D53" i="16" a="1"/>
  <c r="J46" i="21" a="1"/>
  <c r="E78" i="15" a="1"/>
  <c r="G92" i="17" a="1"/>
  <c r="J11" i="19" a="1"/>
  <c r="Y9" i="46" a="1"/>
  <c r="I82" i="46" a="1"/>
  <c r="X103" i="17" a="1"/>
  <c r="AC101" i="46" a="1"/>
  <c r="AB98" i="15" a="1"/>
  <c r="S30" i="50" a="1"/>
  <c r="D10" i="16" a="1"/>
  <c r="G62" i="26" a="1"/>
  <c r="J126" i="19" a="1"/>
  <c r="R30" i="19" a="1"/>
  <c r="AB65" i="15" a="1"/>
  <c r="X65" i="15" a="1"/>
  <c r="D48" i="19" a="1"/>
  <c r="H53" i="16" a="1"/>
  <c r="V18" i="19" a="1"/>
  <c r="BK53" i="46" a="1"/>
  <c r="H57" i="19" a="1"/>
  <c r="AA43" i="26" a="1"/>
  <c r="T44" i="26" a="1"/>
  <c r="AA33" i="26" a="1"/>
  <c r="X62" i="46" a="1"/>
  <c r="BG112" i="46" a="1"/>
  <c r="S48" i="20" a="1"/>
  <c r="BG88" i="46" a="1"/>
  <c r="D23" i="21" a="1"/>
  <c r="E52" i="17" a="1"/>
  <c r="X31" i="46" a="1"/>
  <c r="G52" i="19" a="1"/>
  <c r="Y115" i="17" a="1"/>
  <c r="J10" i="50" a="1"/>
  <c r="D16" i="19" a="1"/>
  <c r="K38" i="17" a="1"/>
  <c r="BI39" i="46" a="1"/>
  <c r="J97" i="16" a="1"/>
  <c r="F33" i="15" a="1"/>
  <c r="L26" i="48" a="1"/>
  <c r="BI32" i="46" a="1"/>
  <c r="BH66" i="46" a="1"/>
  <c r="J28" i="48" a="1"/>
  <c r="AC120" i="46" a="1"/>
  <c r="J54" i="26" a="1"/>
  <c r="D36" i="50" a="1"/>
  <c r="I108" i="17" a="1"/>
  <c r="W82" i="17" a="1"/>
  <c r="G98" i="17" a="1"/>
  <c r="V16" i="50" a="1"/>
  <c r="R72" i="20" a="1"/>
  <c r="W72" i="46" a="1"/>
  <c r="T21" i="50" a="1"/>
  <c r="G107" i="17" a="1"/>
  <c r="F15" i="46" a="1"/>
  <c r="F87" i="20" a="1"/>
  <c r="H124" i="46" a="1"/>
  <c r="F132" i="46" a="1"/>
  <c r="F93" i="16" a="1"/>
  <c r="W132" i="46" a="1"/>
  <c r="E57" i="19" a="1"/>
  <c r="D38" i="15" a="1"/>
  <c r="Z99" i="46" a="1"/>
  <c r="S80" i="20" a="1"/>
  <c r="T50" i="19" a="1"/>
  <c r="Z104" i="46" a="1"/>
  <c r="BH113" i="46" a="1"/>
  <c r="Y27" i="46" a="1"/>
  <c r="E31" i="48" a="1"/>
  <c r="J8" i="19" a="1"/>
  <c r="F17" i="17" a="1"/>
  <c r="BJ43" i="46" a="1"/>
  <c r="X120" i="46" a="1"/>
  <c r="E45" i="15" a="1"/>
  <c r="J18" i="44" a="1"/>
  <c r="Y115" i="46" a="1"/>
  <c r="BK118" i="46" a="1"/>
  <c r="K84" i="46" a="1"/>
  <c r="I125" i="19" a="1"/>
  <c r="H20" i="48" a="1"/>
  <c r="K113" i="46" a="1"/>
  <c r="W69" i="16" a="1"/>
  <c r="G71" i="17" a="1"/>
  <c r="J9" i="48" a="1"/>
  <c r="F104" i="17" a="1"/>
  <c r="V33" i="20" a="1"/>
  <c r="W33" i="17" a="1"/>
  <c r="S102" i="20" a="1"/>
  <c r="F56" i="26" a="1"/>
  <c r="X62" i="16" a="1"/>
  <c r="I63" i="26" a="1"/>
  <c r="J36" i="17" a="1"/>
  <c r="BJ87" i="46" a="1"/>
  <c r="F9" i="50" a="1"/>
  <c r="G50" i="20" a="1"/>
  <c r="AB69" i="16" a="1"/>
  <c r="F80" i="26" a="1"/>
  <c r="AB99" i="16" a="1"/>
  <c r="J111" i="19" a="1"/>
  <c r="F18" i="21" a="1"/>
  <c r="I139" i="46" a="1"/>
  <c r="U78" i="46" a="1"/>
  <c r="T45" i="15" a="1"/>
  <c r="G142" i="46" a="1"/>
  <c r="H10" i="19" a="1"/>
  <c r="D24" i="26" a="1"/>
  <c r="T38" i="19" a="1"/>
  <c r="R7" i="19" a="1"/>
  <c r="J74" i="17" a="1"/>
  <c r="H17" i="46" a="1"/>
  <c r="U127" i="19" a="1"/>
  <c r="J60" i="16" a="1"/>
  <c r="BI135" i="46" a="1"/>
  <c r="R72" i="17" a="1"/>
  <c r="K62" i="15" a="1"/>
  <c r="AC90" i="46" a="1"/>
  <c r="E12" i="21" a="1"/>
  <c r="Y61" i="46" a="1"/>
  <c r="G39" i="26" a="1"/>
  <c r="R35" i="20" a="1"/>
  <c r="E84" i="20" a="1"/>
  <c r="H24" i="19" a="1"/>
  <c r="AA44" i="16" a="1"/>
  <c r="E33" i="48" a="1"/>
  <c r="Z62" i="46" a="1"/>
  <c r="I38" i="26" a="1"/>
  <c r="X13" i="17" a="1"/>
  <c r="H26" i="46" a="1"/>
  <c r="V44" i="19" a="1"/>
  <c r="S74" i="26" a="1"/>
  <c r="R56" i="20" a="1"/>
  <c r="AC132" i="46" a="1"/>
  <c r="R48" i="20" a="1"/>
  <c r="AA101" i="16" a="1"/>
  <c r="U18" i="21" a="1"/>
  <c r="G33" i="48" a="1"/>
  <c r="X8" i="46" a="1"/>
  <c r="G86" i="16" a="1"/>
  <c r="Y7" i="44" a="1"/>
  <c r="E55" i="15" a="1"/>
  <c r="K19" i="46" a="1"/>
  <c r="E22" i="21" a="1"/>
  <c r="BI50" i="46" a="1"/>
  <c r="S67" i="15" a="1"/>
  <c r="H26" i="19" a="1"/>
  <c r="F76" i="20" a="1"/>
  <c r="J67" i="46" a="1"/>
  <c r="E30" i="20" a="1"/>
  <c r="J79" i="16" a="1"/>
  <c r="F43" i="46" a="1"/>
  <c r="BJ116" i="46" a="1"/>
  <c r="K132" i="46" a="1"/>
  <c r="W31" i="46" a="1"/>
  <c r="R22" i="26" a="1"/>
  <c r="J33" i="46" a="1"/>
  <c r="BK95" i="46" a="1"/>
  <c r="F54" i="16" a="1"/>
  <c r="W100" i="17" a="1"/>
  <c r="G48" i="21" a="1"/>
  <c r="Y116" i="46" a="1"/>
  <c r="X15" i="46" a="1"/>
  <c r="G49" i="17" a="1"/>
  <c r="R84" i="20" a="1"/>
  <c r="E64" i="17" a="1"/>
  <c r="H40" i="48" a="1"/>
  <c r="I59" i="46" a="1"/>
  <c r="F84" i="46" a="1"/>
  <c r="R65" i="16" a="1"/>
  <c r="I134" i="46" a="1"/>
  <c r="G73" i="17" a="1"/>
  <c r="U42" i="21" a="1"/>
  <c r="F28" i="17" a="1"/>
  <c r="L112" i="46" a="1"/>
  <c r="U105" i="20" a="1"/>
  <c r="D76" i="15" a="1"/>
  <c r="J103" i="16" a="1"/>
  <c r="D95" i="16" a="1"/>
  <c r="W16" i="21" a="1"/>
  <c r="H141" i="46" a="1"/>
  <c r="V95" i="15" a="1"/>
  <c r="E74" i="16" a="1"/>
  <c r="I62" i="46" a="1"/>
  <c r="AA42" i="46" a="1"/>
  <c r="X66" i="17" a="1"/>
  <c r="E41" i="17" a="1"/>
  <c r="F73" i="16" a="1"/>
  <c r="X123" i="46" a="1"/>
  <c r="S35" i="19" a="1"/>
  <c r="J101" i="46" a="1"/>
  <c r="F28" i="44" a="1"/>
  <c r="T33" i="50" a="1"/>
  <c r="I49" i="17" a="1"/>
  <c r="D63" i="15" a="1"/>
  <c r="F72" i="17" a="1"/>
  <c r="H77" i="17" a="1"/>
  <c r="H12" i="17" a="1"/>
  <c r="BI54" i="46" a="1"/>
  <c r="J25" i="17" a="1"/>
  <c r="F41" i="48" a="1"/>
  <c r="R98" i="17" a="1"/>
  <c r="H106" i="46" a="1"/>
  <c r="AC31" i="46" a="1"/>
  <c r="J9" i="21" a="1"/>
  <c r="W108" i="17" a="1"/>
  <c r="Z29" i="26" a="1"/>
  <c r="I72" i="17" a="1"/>
  <c r="I78" i="46" a="1"/>
  <c r="E58" i="17" a="1"/>
  <c r="X113" i="46" a="1"/>
  <c r="J38" i="17" a="1"/>
  <c r="Y26" i="46" a="1"/>
  <c r="AC133" i="46" a="1"/>
  <c r="AC7" i="46" a="1"/>
  <c r="E37" i="16" a="1"/>
  <c r="AA45" i="16" a="1"/>
  <c r="F74" i="16" a="1"/>
  <c r="W35" i="26" a="1"/>
  <c r="X24" i="46" a="1"/>
  <c r="J7" i="44" a="1"/>
  <c r="D78" i="16" a="1"/>
  <c r="AA62" i="46" a="1"/>
  <c r="U119" i="19" a="1"/>
  <c r="T85" i="15" a="1"/>
  <c r="F7" i="19" a="1"/>
  <c r="I36" i="16" a="1"/>
  <c r="E36" i="19" a="1"/>
  <c r="S58" i="16" a="1"/>
  <c r="U47" i="46" a="1"/>
  <c r="F33" i="20" a="1"/>
  <c r="I122" i="46" a="1"/>
  <c r="R58" i="17" a="1"/>
  <c r="X20" i="46" a="1"/>
  <c r="F76" i="15" a="1"/>
  <c r="J54" i="15" a="1"/>
  <c r="S52" i="20" a="1"/>
  <c r="F64" i="46" a="1"/>
  <c r="H83" i="26" a="1"/>
  <c r="U80" i="46" a="1"/>
  <c r="X37" i="26" a="1"/>
  <c r="BI17" i="46" a="1"/>
  <c r="V40" i="21" a="1"/>
  <c r="H71" i="17" a="1"/>
  <c r="F10" i="50" a="1"/>
  <c r="Y29" i="46" a="1"/>
  <c r="D116" i="17" a="1"/>
  <c r="H107" i="19" a="1"/>
  <c r="J88" i="46" a="1"/>
  <c r="U40" i="21" a="1"/>
  <c r="D49" i="19" a="1"/>
  <c r="T25" i="48" a="1"/>
  <c r="T107" i="17" a="1"/>
  <c r="K76" i="15" a="1"/>
  <c r="G95" i="46" a="1"/>
  <c r="AB101" i="16" a="1"/>
  <c r="AC12" i="46" a="1"/>
  <c r="J30" i="46" a="1"/>
  <c r="I6" i="16" a="1"/>
  <c r="BK137" i="46" a="1"/>
  <c r="U25" i="21" a="1"/>
  <c r="E37" i="26" a="1"/>
  <c r="G144" i="19" a="1"/>
  <c r="D37" i="16" a="1"/>
  <c r="J68" i="17" a="1"/>
  <c r="V12" i="21" a="1"/>
  <c r="G114" i="17" a="1"/>
  <c r="R76" i="17" a="1"/>
  <c r="U20" i="20" a="1"/>
  <c r="F48" i="21" a="1"/>
  <c r="D9" i="26" a="1"/>
  <c r="BG35" i="46" a="1"/>
  <c r="F16" i="46" a="1"/>
  <c r="T78" i="16" a="1"/>
  <c r="J136" i="19" a="1"/>
  <c r="G54" i="19" a="1"/>
  <c r="H30" i="46" a="1"/>
  <c r="S19" i="19" a="1"/>
  <c r="J56" i="15" a="1"/>
  <c r="D35" i="19" a="1"/>
  <c r="E99" i="16" a="1"/>
  <c r="I61" i="46" a="1"/>
  <c r="X106" i="17" a="1"/>
  <c r="F8" i="20" a="1"/>
  <c r="J43" i="21" a="1"/>
  <c r="V73" i="46" a="1"/>
  <c r="K99" i="46" a="1"/>
  <c r="R46" i="20" a="1"/>
  <c r="Z24" i="15" a="1"/>
  <c r="H138" i="46" a="1"/>
  <c r="D116" i="19" a="1"/>
  <c r="S40" i="50" a="1"/>
  <c r="W78" i="16" a="1"/>
  <c r="E82" i="26" a="1"/>
  <c r="J39" i="16" a="1"/>
  <c r="R113" i="17" a="1"/>
  <c r="I23" i="26" a="1"/>
  <c r="J19" i="48" a="1"/>
  <c r="U29" i="26" a="1"/>
  <c r="BH47" i="46" a="1"/>
  <c r="W109" i="17" a="1"/>
  <c r="G40" i="50" a="1"/>
  <c r="BI46" i="46" a="1"/>
  <c r="AE39" i="26" a="1"/>
  <c r="W30" i="17" a="1"/>
  <c r="R112" i="20" a="1"/>
  <c r="H25" i="44" a="1"/>
  <c r="X53" i="46" a="1"/>
  <c r="W71" i="46" a="1"/>
  <c r="X115" i="17" a="1"/>
  <c r="E74" i="17" a="1"/>
  <c r="K30" i="46" a="1"/>
  <c r="I54" i="17" a="1"/>
  <c r="Y48" i="46" a="1"/>
  <c r="BI121" i="46" a="1"/>
  <c r="T42" i="21" a="1"/>
  <c r="K36" i="48" a="1"/>
  <c r="W48" i="17" a="1"/>
  <c r="T115" i="19" a="1"/>
  <c r="I109" i="17" a="1"/>
  <c r="S20" i="26" a="1"/>
  <c r="G99" i="16" a="1"/>
  <c r="W10" i="21" a="1"/>
  <c r="F37" i="48" a="1"/>
  <c r="E65" i="17" a="1"/>
  <c r="AA69" i="16" a="1"/>
  <c r="E59" i="26" a="1"/>
  <c r="R79" i="26" a="1"/>
  <c r="V20" i="20" a="1"/>
  <c r="T26" i="21" a="1"/>
  <c r="AA58" i="46" a="1"/>
  <c r="D51" i="21" a="1"/>
  <c r="X28" i="17" a="1"/>
  <c r="BK82" i="46" a="1"/>
  <c r="X134" i="46" a="1"/>
  <c r="E13" i="20" a="1"/>
  <c r="AC20" i="46" a="1"/>
  <c r="F38" i="16" a="1"/>
  <c r="F71" i="26" a="1"/>
  <c r="E8" i="16" a="1"/>
  <c r="E34" i="21" a="1"/>
  <c r="T17" i="21" a="1"/>
  <c r="BI75" i="46" a="1"/>
  <c r="E82" i="17" a="1"/>
  <c r="S62" i="26" a="1"/>
  <c r="D82" i="26" a="1"/>
  <c r="G91" i="15" a="1"/>
  <c r="S31" i="17" a="1"/>
  <c r="H122" i="19" a="1"/>
  <c r="BG40" i="46" a="1"/>
  <c r="E38" i="48" a="1"/>
  <c r="K66" i="15" a="1"/>
  <c r="J26" i="44" a="1"/>
  <c r="T83" i="17" a="1"/>
  <c r="R27" i="17" a="1"/>
  <c r="I53" i="16" a="1"/>
  <c r="G63" i="46" a="1"/>
  <c r="U8" i="44" a="1"/>
  <c r="G35" i="26" a="1"/>
  <c r="I92" i="15" a="1"/>
  <c r="G100" i="17" a="1"/>
  <c r="F36" i="20" a="1"/>
  <c r="H22" i="50" a="1"/>
  <c r="I70" i="15" a="1"/>
  <c r="G105" i="46" a="1"/>
  <c r="E50" i="19" a="1"/>
  <c r="K10" i="17" a="1"/>
  <c r="AB81" i="16" a="1"/>
  <c r="BK20" i="46" a="1"/>
  <c r="Z52" i="46" a="1"/>
  <c r="W53" i="15" a="1"/>
  <c r="S61" i="15" a="1"/>
  <c r="Z41" i="15" a="1"/>
  <c r="W82" i="15" a="1"/>
  <c r="S13" i="50" a="1"/>
  <c r="AB73" i="46" a="1"/>
  <c r="AD44" i="26" a="1"/>
  <c r="Z9" i="46" a="1"/>
  <c r="I128" i="46" a="1"/>
  <c r="G43" i="16" a="1"/>
  <c r="U50" i="46" a="1"/>
  <c r="I49" i="20" a="1"/>
  <c r="G49" i="19" a="1"/>
  <c r="H75" i="20" a="1"/>
  <c r="D81" i="15" a="1"/>
  <c r="F62" i="17" a="1"/>
  <c r="Z94" i="46" a="1"/>
  <c r="T81" i="17" a="1"/>
  <c r="R14" i="17" a="1"/>
  <c r="U75" i="46" a="1"/>
  <c r="F39" i="20" a="1"/>
  <c r="H58" i="20" a="1"/>
  <c r="Z56" i="46" a="1"/>
  <c r="X80" i="46" a="1"/>
  <c r="U34" i="20" a="1"/>
  <c r="E14" i="50" a="1"/>
  <c r="U50" i="19" a="1"/>
  <c r="D56" i="19" a="1"/>
  <c r="F34" i="15" a="1"/>
  <c r="J21" i="50" a="1"/>
  <c r="V23" i="19" a="1"/>
  <c r="F17" i="20" a="1"/>
  <c r="F94" i="46" a="1"/>
  <c r="BJ61" i="46" a="1"/>
  <c r="F104" i="16" a="1"/>
  <c r="Y11" i="17" a="1"/>
  <c r="H65" i="26" a="1"/>
  <c r="L44" i="48" a="1"/>
  <c r="D132" i="19" a="1"/>
  <c r="E8" i="15" a="1"/>
  <c r="H60" i="46" a="1"/>
  <c r="S37" i="21" a="1"/>
  <c r="V34" i="26" a="1"/>
  <c r="D40" i="15" a="1"/>
  <c r="G73" i="46" a="1"/>
  <c r="S26" i="48" a="1"/>
  <c r="R80" i="17" a="1"/>
  <c r="U12" i="48" a="1"/>
  <c r="G7" i="46" a="1"/>
  <c r="BJ66" i="46" a="1"/>
  <c r="H72" i="46" a="1"/>
  <c r="T43" i="46" a="1"/>
  <c r="G37" i="26" a="1"/>
  <c r="U88" i="20" a="1"/>
  <c r="AA88" i="15" a="1"/>
  <c r="S76" i="16" a="1"/>
  <c r="F89" i="20" a="1"/>
  <c r="H109" i="19" a="1"/>
  <c r="I93" i="17" a="1"/>
  <c r="D45" i="19" a="1"/>
  <c r="W73" i="15" a="1"/>
  <c r="G79" i="15" a="1"/>
  <c r="AB35" i="26" a="1"/>
  <c r="T109" i="17" a="1"/>
  <c r="G52" i="46" a="1"/>
  <c r="I11" i="20" a="1"/>
  <c r="F62" i="46" a="1"/>
  <c r="H71" i="16" a="1"/>
  <c r="BG115" i="46" a="1"/>
  <c r="J52" i="15" a="1"/>
  <c r="Y41" i="26" a="1"/>
  <c r="J17" i="19" a="1"/>
  <c r="S25" i="19" a="1"/>
  <c r="J93" i="17" a="1"/>
  <c r="AA60" i="16" a="1"/>
  <c r="AC137" i="46" a="1"/>
  <c r="BH67" i="46" a="1"/>
  <c r="S73" i="26" a="1"/>
  <c r="Z33" i="46" a="1"/>
  <c r="E91" i="17" a="1"/>
  <c r="Z36" i="15" a="1"/>
  <c r="H28" i="21" a="1"/>
  <c r="E14" i="48" a="1"/>
  <c r="J13" i="48" a="1"/>
  <c r="K98" i="15" a="1"/>
  <c r="R13" i="26" a="1"/>
  <c r="E71" i="26" a="1"/>
  <c r="E11" i="50" a="1"/>
  <c r="U68" i="46" a="1"/>
  <c r="X99" i="17" a="1"/>
  <c r="E28" i="21" a="1"/>
  <c r="J70" i="46" a="1"/>
  <c r="F45" i="26" a="1"/>
  <c r="H59" i="46" a="1"/>
  <c r="L47" i="48" a="1"/>
  <c r="I56" i="17" a="1"/>
  <c r="R25" i="19" a="1"/>
  <c r="I66" i="16" a="1"/>
  <c r="S28" i="50" a="1"/>
  <c r="E45" i="17" a="1"/>
  <c r="L60" i="46" a="1"/>
  <c r="D129" i="19" a="1"/>
  <c r="T38" i="20" a="1"/>
  <c r="J48" i="19" a="1"/>
  <c r="F15" i="17" a="1"/>
  <c r="W137" i="46" a="1"/>
  <c r="G87" i="15" a="1"/>
  <c r="E57" i="20" a="1"/>
  <c r="U65" i="46" a="1"/>
  <c r="D17" i="15" a="1"/>
  <c r="F73" i="46" a="1"/>
  <c r="X145" i="46" a="1"/>
  <c r="K52" i="17" a="1"/>
  <c r="V50" i="19" a="1"/>
  <c r="Z139" i="46" a="1"/>
  <c r="AA92" i="16" a="1"/>
  <c r="K11" i="46" a="1"/>
  <c r="F28" i="48" a="1"/>
  <c r="BK97" i="46" a="1"/>
  <c r="I95" i="17" a="1"/>
  <c r="V67" i="15" a="1"/>
  <c r="R84" i="15" a="1"/>
  <c r="T55" i="19" a="1"/>
  <c r="D78" i="17" a="1"/>
  <c r="I76" i="16" a="1"/>
  <c r="X78" i="16" a="1"/>
  <c r="W99" i="16" a="1"/>
  <c r="G42" i="19" a="1"/>
  <c r="Z51" i="46" a="1"/>
  <c r="J98" i="16" a="1"/>
  <c r="AB91" i="16" a="1"/>
  <c r="AA14" i="46" a="1"/>
  <c r="G139" i="46" a="1"/>
  <c r="R57" i="20" a="1"/>
  <c r="K31" i="48" a="1"/>
  <c r="H100" i="16" a="1"/>
  <c r="H24" i="21" a="1"/>
  <c r="E17" i="48" a="1"/>
  <c r="D75" i="17" a="1"/>
  <c r="G20" i="19" a="1"/>
  <c r="D52" i="19" a="1"/>
  <c r="K30" i="48" a="1"/>
  <c r="R71" i="17" a="1"/>
  <c r="L16" i="48" a="1"/>
  <c r="Y138" i="46" a="1"/>
  <c r="H95" i="16" a="1"/>
  <c r="AB90" i="15" a="1"/>
  <c r="H10" i="20" a="1"/>
  <c r="BK116" i="46" a="1"/>
  <c r="G36" i="46" a="1"/>
  <c r="S25" i="26" a="1"/>
  <c r="H30" i="19" a="1"/>
  <c r="I19" i="46" a="1"/>
  <c r="U108" i="19" a="1"/>
  <c r="BH69" i="46" a="1"/>
  <c r="H32" i="17" a="1"/>
  <c r="U20" i="50" a="1"/>
  <c r="H62" i="26" a="1"/>
  <c r="K84" i="17" a="1"/>
  <c r="AC17" i="46" a="1"/>
  <c r="J124" i="19" a="1"/>
  <c r="BG53" i="46" a="1"/>
  <c r="G46" i="26" a="1"/>
  <c r="BK68" i="46" a="1"/>
  <c r="H95" i="15" a="1"/>
  <c r="I114" i="46" a="1"/>
  <c r="H73" i="26" a="1"/>
  <c r="H128" i="19" a="1"/>
  <c r="BG38" i="46" a="1"/>
  <c r="F127" i="46" a="1"/>
  <c r="S126" i="19" a="1"/>
  <c r="AB27" i="15" a="1"/>
  <c r="R75" i="20" a="1"/>
  <c r="D74" i="20" a="1"/>
  <c r="Y19" i="44" a="1"/>
  <c r="Z35" i="26" a="1"/>
  <c r="I88" i="46" a="1"/>
  <c r="F103" i="20" a="1"/>
  <c r="W96" i="15" a="1"/>
  <c r="Y36" i="26" a="1"/>
  <c r="I80" i="17" a="1"/>
  <c r="Y101" i="46" a="1"/>
  <c r="I35" i="21" a="1"/>
  <c r="AB66" i="16" a="1"/>
  <c r="K15" i="46" a="1"/>
  <c r="S16" i="48" a="1"/>
  <c r="F9" i="15" a="1"/>
  <c r="V139" i="19" a="1"/>
  <c r="BI96" i="46" a="1"/>
  <c r="BH54" i="46" a="1"/>
  <c r="G108" i="46" a="1"/>
  <c r="J29" i="50" a="1"/>
  <c r="H28" i="48" a="1"/>
  <c r="AA12" i="16" a="1"/>
  <c r="BH56" i="46" a="1"/>
  <c r="T62" i="15" a="1"/>
  <c r="J16" i="21" a="1"/>
  <c r="BH104" i="46" a="1"/>
  <c r="G70" i="16" a="1"/>
  <c r="AB62" i="46" a="1"/>
  <c r="J138" i="19" a="1"/>
  <c r="AA76" i="16" a="1"/>
  <c r="F23" i="44" a="1"/>
  <c r="H50" i="15" a="1"/>
  <c r="U98" i="20" a="1"/>
  <c r="R37" i="26" a="1"/>
  <c r="E26" i="16" a="1"/>
  <c r="AC39" i="46" a="1"/>
  <c r="AC33" i="46" a="1"/>
  <c r="H36" i="46" a="1"/>
  <c r="W39" i="21" a="1"/>
  <c r="J36" i="50" a="1"/>
  <c r="D25" i="20" a="1"/>
  <c r="R11" i="26" a="1"/>
  <c r="U31" i="19" a="1"/>
  <c r="J64" i="26" a="1"/>
  <c r="I10" i="26" a="1"/>
  <c r="D70" i="15" a="1"/>
  <c r="I65" i="46" a="1"/>
  <c r="T106" i="20" a="1"/>
  <c r="H132" i="46" a="1"/>
  <c r="J109" i="17" a="1"/>
  <c r="S97" i="20" a="1"/>
  <c r="F64" i="26" a="1"/>
  <c r="AA46" i="26" a="1"/>
  <c r="E7" i="20" a="1"/>
  <c r="T19" i="19" a="1"/>
  <c r="V45" i="15" a="1"/>
  <c r="L42" i="46" a="1"/>
  <c r="E89" i="16" a="1"/>
  <c r="AA18" i="16" a="1"/>
  <c r="X137" i="46" a="1"/>
  <c r="D24" i="15" a="1"/>
  <c r="AB39" i="26" a="1"/>
  <c r="R34" i="21" a="1"/>
  <c r="H12" i="19" a="1"/>
  <c r="S26" i="20" a="1"/>
  <c r="Z42" i="46" a="1"/>
  <c r="D75" i="26" a="1"/>
  <c r="Y88" i="15" a="1"/>
  <c r="E111" i="17" a="1"/>
  <c r="T65" i="15" a="1"/>
  <c r="J36" i="19" a="1"/>
  <c r="T74" i="17" a="1"/>
  <c r="V14" i="20" a="1"/>
  <c r="R26" i="20" a="1"/>
  <c r="L92" i="46" a="1"/>
  <c r="Y42" i="46" a="1"/>
  <c r="D88" i="17" a="1"/>
  <c r="BI47" i="46" a="1"/>
  <c r="G28" i="20" a="1"/>
  <c r="F42" i="16" a="1"/>
  <c r="W28" i="46" a="1"/>
  <c r="R62" i="20" a="1"/>
  <c r="S77" i="16" a="1"/>
  <c r="T38" i="50" a="1"/>
  <c r="F78" i="17" a="1"/>
  <c r="R31" i="20" a="1"/>
  <c r="V9" i="21" a="1"/>
  <c r="BJ12" i="46" a="1"/>
  <c r="S47" i="20" a="1"/>
  <c r="I15" i="44" a="1"/>
  <c r="H43" i="48" a="1"/>
  <c r="AA84" i="15" a="1"/>
  <c r="F77" i="20" a="1"/>
  <c r="I24" i="44" a="1"/>
  <c r="S106" i="17" a="1"/>
  <c r="K146" i="46" a="1"/>
  <c r="Y54" i="15" a="1"/>
  <c r="BK124" i="46" a="1"/>
  <c r="I41" i="26" a="1"/>
  <c r="S10" i="21" a="1"/>
  <c r="BH27" i="46" a="1"/>
  <c r="J140" i="46" a="1"/>
  <c r="K48" i="46" a="1"/>
  <c r="BJ74" i="46" a="1"/>
  <c r="H13" i="19" a="1"/>
  <c r="Y26" i="48" a="1"/>
  <c r="H91" i="16" a="1"/>
  <c r="J50" i="19" a="1"/>
  <c r="I131" i="46" a="1"/>
  <c r="T120" i="19" a="1"/>
  <c r="S83" i="20" a="1"/>
  <c r="V79" i="15" a="1"/>
  <c r="Y89" i="46" a="1"/>
  <c r="I57" i="16" a="1"/>
  <c r="AE36" i="26" a="1"/>
  <c r="W11" i="50" a="1"/>
  <c r="J89" i="46" a="1"/>
  <c r="F114" i="19" a="1"/>
  <c r="W54" i="17" a="1"/>
  <c r="K124" i="46" a="1"/>
  <c r="H73" i="16" a="1"/>
  <c r="R96" i="17" a="1"/>
  <c r="L29" i="46" a="1"/>
  <c r="R51" i="19" a="1"/>
  <c r="G10" i="19" a="1"/>
  <c r="S45" i="48" a="1"/>
  <c r="S12" i="19" a="1"/>
  <c r="K131" i="46" a="1"/>
  <c r="E47" i="19" a="1"/>
  <c r="BJ120" i="46" a="1"/>
  <c r="D133" i="19" a="1"/>
  <c r="W116" i="17" a="1"/>
  <c r="Z40" i="46" a="1"/>
  <c r="W51" i="21" a="1"/>
  <c r="U46" i="21" a="1"/>
  <c r="AB62" i="15" a="1"/>
  <c r="T69" i="15" a="1"/>
  <c r="I96" i="16" a="1"/>
  <c r="W24" i="17" a="1"/>
  <c r="W24" i="17" l="1"/>
  <c r="I96" i="16"/>
  <c r="T69" i="15"/>
  <c r="AB62" i="15"/>
  <c r="U46" i="21"/>
  <c r="W51" i="21"/>
  <c r="Z40" i="46"/>
  <c r="W116" i="17"/>
  <c r="D133" i="19"/>
  <c r="BJ120" i="46"/>
  <c r="E47" i="19"/>
  <c r="K131" i="46"/>
  <c r="S12" i="19"/>
  <c r="S45" i="48"/>
  <c r="G10" i="19"/>
  <c r="R51" i="19"/>
  <c r="L29" i="46"/>
  <c r="R96" i="17"/>
  <c r="H73" i="16"/>
  <c r="K124" i="46"/>
  <c r="W54" i="17"/>
  <c r="F114" i="19"/>
  <c r="J89" i="46"/>
  <c r="W11" i="50"/>
  <c r="AE36" i="26"/>
  <c r="I57" i="16"/>
  <c r="Y89" i="46"/>
  <c r="V79" i="15"/>
  <c r="S83" i="20"/>
  <c r="T120" i="19"/>
  <c r="I131" i="46"/>
  <c r="J50" i="19"/>
  <c r="H91" i="16"/>
  <c r="Y26" i="48"/>
  <c r="H13" i="19"/>
  <c r="BJ74" i="46"/>
  <c r="K48" i="46"/>
  <c r="J140" i="46"/>
  <c r="BH27" i="46"/>
  <c r="S10" i="21"/>
  <c r="I41" i="26"/>
  <c r="BK124" i="46"/>
  <c r="Y54" i="15"/>
  <c r="K146" i="46"/>
  <c r="S106" i="17"/>
  <c r="I24" i="44"/>
  <c r="F77" i="20"/>
  <c r="AA84" i="15"/>
  <c r="H43" i="48"/>
  <c r="I15" i="44"/>
  <c r="S47" i="20"/>
  <c r="BJ12" i="46"/>
  <c r="V9" i="21"/>
  <c r="R31" i="20"/>
  <c r="F78" i="17"/>
  <c r="T38" i="50"/>
  <c r="S77" i="16"/>
  <c r="R62" i="20"/>
  <c r="W28" i="46"/>
  <c r="F42" i="16"/>
  <c r="G28" i="20"/>
  <c r="BI47" i="46"/>
  <c r="D88" i="17"/>
  <c r="Y42" i="46"/>
  <c r="L92" i="46"/>
  <c r="R26" i="20"/>
  <c r="V14" i="20"/>
  <c r="T74" i="17"/>
  <c r="J36" i="19"/>
  <c r="T65" i="15"/>
  <c r="E111" i="17"/>
  <c r="Y88" i="15"/>
  <c r="D75" i="26"/>
  <c r="Z42" i="46"/>
  <c r="S26" i="20"/>
  <c r="H12" i="19"/>
  <c r="R34" i="21"/>
  <c r="AB39" i="26"/>
  <c r="D24" i="15"/>
  <c r="X137" i="46"/>
  <c r="AA18" i="16"/>
  <c r="E89" i="16"/>
  <c r="L42" i="46"/>
  <c r="V45" i="15"/>
  <c r="T19" i="19"/>
  <c r="E7" i="20"/>
  <c r="AA46" i="26"/>
  <c r="F64" i="26"/>
  <c r="S97" i="20"/>
  <c r="J109" i="17"/>
  <c r="H132" i="46"/>
  <c r="T106" i="20"/>
  <c r="I65" i="46"/>
  <c r="D70" i="15"/>
  <c r="I10" i="26"/>
  <c r="J64" i="26"/>
  <c r="U31" i="19"/>
  <c r="R11" i="26"/>
  <c r="D25" i="20"/>
  <c r="J36" i="50"/>
  <c r="W39" i="21"/>
  <c r="H36" i="46"/>
  <c r="AC33" i="46"/>
  <c r="AC39" i="46"/>
  <c r="E26" i="16"/>
  <c r="R37" i="26"/>
  <c r="U98" i="20"/>
  <c r="H50" i="15"/>
  <c r="F23" i="44"/>
  <c r="AA76" i="16"/>
  <c r="J138" i="19"/>
  <c r="AB62" i="46"/>
  <c r="G70" i="16"/>
  <c r="BH104" i="46"/>
  <c r="J16" i="21"/>
  <c r="T62" i="15"/>
  <c r="BH56" i="46"/>
  <c r="AA12" i="16"/>
  <c r="H28" i="48"/>
  <c r="J29" i="50"/>
  <c r="G108" i="46"/>
  <c r="BH54" i="46"/>
  <c r="BI96" i="46"/>
  <c r="V139" i="19"/>
  <c r="F9" i="15"/>
  <c r="F15" i="15" s="1"/>
  <c r="S16" i="48"/>
  <c r="K15" i="46"/>
  <c r="AB66" i="16"/>
  <c r="I35" i="21"/>
  <c r="Y101" i="46"/>
  <c r="I80" i="17"/>
  <c r="Y36" i="26"/>
  <c r="W96" i="15"/>
  <c r="F103" i="20"/>
  <c r="I88" i="46"/>
  <c r="Z35" i="26"/>
  <c r="Y19" i="44"/>
  <c r="D74" i="20"/>
  <c r="R75" i="20"/>
  <c r="AB27" i="15"/>
  <c r="S126" i="19"/>
  <c r="F127" i="46"/>
  <c r="BG38" i="46"/>
  <c r="H128" i="19"/>
  <c r="H73" i="26"/>
  <c r="I114" i="46"/>
  <c r="H95" i="15"/>
  <c r="BK68" i="46"/>
  <c r="G46" i="26"/>
  <c r="BG53" i="46"/>
  <c r="J124" i="19"/>
  <c r="AC17" i="46"/>
  <c r="K84" i="17"/>
  <c r="H62" i="26"/>
  <c r="U20" i="50"/>
  <c r="H32" i="17"/>
  <c r="BH69" i="46"/>
  <c r="U108" i="19"/>
  <c r="I19" i="46"/>
  <c r="H30" i="19"/>
  <c r="S25" i="26"/>
  <c r="G36" i="46"/>
  <c r="BK116" i="46"/>
  <c r="H10" i="20"/>
  <c r="AB90" i="15"/>
  <c r="H95" i="16"/>
  <c r="Y138" i="46"/>
  <c r="L16" i="48"/>
  <c r="R71" i="17"/>
  <c r="K30" i="48"/>
  <c r="D52" i="19"/>
  <c r="G20" i="19"/>
  <c r="D75" i="17"/>
  <c r="E17" i="48"/>
  <c r="H24" i="21"/>
  <c r="H100" i="16"/>
  <c r="K31" i="48"/>
  <c r="R57" i="20"/>
  <c r="G139" i="46"/>
  <c r="AA14" i="46"/>
  <c r="AB91" i="16"/>
  <c r="J98" i="16"/>
  <c r="Z51" i="46"/>
  <c r="G42" i="19"/>
  <c r="W99" i="16"/>
  <c r="X78" i="16"/>
  <c r="I76" i="16"/>
  <c r="D78" i="17"/>
  <c r="T55" i="19"/>
  <c r="R84" i="15"/>
  <c r="V67" i="15"/>
  <c r="I95" i="17"/>
  <c r="BK97" i="46"/>
  <c r="F28" i="48"/>
  <c r="K11" i="46"/>
  <c r="AA92" i="16"/>
  <c r="Z139" i="46"/>
  <c r="V50" i="19"/>
  <c r="K52" i="17"/>
  <c r="X145" i="46"/>
  <c r="F73" i="46"/>
  <c r="D17" i="15"/>
  <c r="U65" i="46"/>
  <c r="E57" i="20"/>
  <c r="G87" i="15"/>
  <c r="W137" i="46"/>
  <c r="F15" i="17"/>
  <c r="J48" i="19"/>
  <c r="T38" i="20"/>
  <c r="D129" i="19"/>
  <c r="L60" i="46"/>
  <c r="E45" i="17"/>
  <c r="S28" i="50"/>
  <c r="I66" i="16"/>
  <c r="R25" i="19"/>
  <c r="I56" i="17"/>
  <c r="L47" i="48"/>
  <c r="H59" i="46"/>
  <c r="F45" i="26"/>
  <c r="J70" i="46"/>
  <c r="E28" i="21"/>
  <c r="X99" i="17"/>
  <c r="U68" i="46"/>
  <c r="E11" i="50"/>
  <c r="E71" i="26"/>
  <c r="R13" i="26"/>
  <c r="K98" i="15"/>
  <c r="J13" i="48"/>
  <c r="E14" i="48"/>
  <c r="H28" i="21"/>
  <c r="Z36" i="15"/>
  <c r="E91" i="17"/>
  <c r="Z33" i="46"/>
  <c r="S73" i="26"/>
  <c r="BH67" i="46"/>
  <c r="AC137" i="46"/>
  <c r="AA60" i="16"/>
  <c r="J93" i="17"/>
  <c r="S25" i="19"/>
  <c r="J17" i="19"/>
  <c r="Y41" i="26"/>
  <c r="J52" i="15"/>
  <c r="BG115" i="46"/>
  <c r="H71" i="16"/>
  <c r="F62" i="46"/>
  <c r="I11" i="20"/>
  <c r="G52" i="46"/>
  <c r="T109" i="17"/>
  <c r="AB35" i="26"/>
  <c r="G79" i="15"/>
  <c r="W73" i="15"/>
  <c r="D45" i="19"/>
  <c r="I93" i="17"/>
  <c r="H109" i="19"/>
  <c r="F89" i="20"/>
  <c r="S76" i="16"/>
  <c r="AA88" i="15"/>
  <c r="U88" i="20"/>
  <c r="G37" i="26"/>
  <c r="T43" i="46"/>
  <c r="H72" i="46"/>
  <c r="BJ66" i="46"/>
  <c r="G7" i="46"/>
  <c r="U12" i="48"/>
  <c r="R80" i="17"/>
  <c r="S26" i="48"/>
  <c r="G73" i="46"/>
  <c r="D40" i="15"/>
  <c r="V34" i="26"/>
  <c r="S37" i="21"/>
  <c r="H60" i="46"/>
  <c r="E8" i="15"/>
  <c r="D132" i="19"/>
  <c r="L44" i="48"/>
  <c r="H65" i="26"/>
  <c r="Y11" i="17"/>
  <c r="F104" i="16"/>
  <c r="BJ61" i="46"/>
  <c r="F94" i="46"/>
  <c r="F17" i="20"/>
  <c r="V23" i="19"/>
  <c r="J21" i="50"/>
  <c r="F34" i="15"/>
  <c r="D56" i="19"/>
  <c r="U50" i="19"/>
  <c r="E14" i="50"/>
  <c r="U34" i="20"/>
  <c r="X80" i="46"/>
  <c r="Z56" i="46"/>
  <c r="H58" i="20"/>
  <c r="F39" i="20"/>
  <c r="U75" i="46"/>
  <c r="R14" i="17"/>
  <c r="T81" i="17"/>
  <c r="Z94" i="46"/>
  <c r="F62" i="17"/>
  <c r="D81" i="15"/>
  <c r="H75" i="20"/>
  <c r="G49" i="19"/>
  <c r="I49" i="20"/>
  <c r="U50" i="46"/>
  <c r="G43" i="16"/>
  <c r="I128" i="46"/>
  <c r="Z9" i="46"/>
  <c r="AD44" i="26"/>
  <c r="AB73" i="46"/>
  <c r="S13" i="50"/>
  <c r="W82" i="15"/>
  <c r="Z41" i="15"/>
  <c r="S61" i="15"/>
  <c r="W53" i="15"/>
  <c r="Z52" i="46"/>
  <c r="BK20" i="46"/>
  <c r="AB81" i="16"/>
  <c r="K10" i="17"/>
  <c r="E50" i="19"/>
  <c r="G105" i="46"/>
  <c r="I70" i="15"/>
  <c r="H22" i="50"/>
  <c r="F36" i="20"/>
  <c r="G100" i="17"/>
  <c r="I92" i="15"/>
  <c r="G35" i="26"/>
  <c r="U8" i="44"/>
  <c r="G63" i="46"/>
  <c r="I53" i="16"/>
  <c r="R27" i="17"/>
  <c r="T83" i="17"/>
  <c r="J26" i="44"/>
  <c r="K66" i="15"/>
  <c r="E38" i="48"/>
  <c r="BG40" i="46"/>
  <c r="H122" i="19"/>
  <c r="S31" i="17"/>
  <c r="G91" i="15"/>
  <c r="T91" i="15" s="1"/>
  <c r="D82" i="26"/>
  <c r="S62" i="26"/>
  <c r="E82" i="17"/>
  <c r="BI75" i="46"/>
  <c r="T17" i="21"/>
  <c r="E34" i="21"/>
  <c r="E8" i="16"/>
  <c r="F71" i="26"/>
  <c r="F38" i="16"/>
  <c r="F32" i="16" s="1"/>
  <c r="AC20" i="46"/>
  <c r="E13" i="20"/>
  <c r="X134" i="46"/>
  <c r="BK82" i="46"/>
  <c r="X28" i="17"/>
  <c r="D51" i="21"/>
  <c r="AA58" i="46"/>
  <c r="T26" i="21"/>
  <c r="V20" i="20"/>
  <c r="R79" i="26"/>
  <c r="E59" i="26"/>
  <c r="AA69" i="16"/>
  <c r="E65" i="17"/>
  <c r="F37" i="48"/>
  <c r="W10" i="21"/>
  <c r="G99" i="16"/>
  <c r="S20" i="26"/>
  <c r="I109" i="17"/>
  <c r="T115" i="19"/>
  <c r="W48" i="17"/>
  <c r="K36" i="48"/>
  <c r="T42" i="21"/>
  <c r="BI121" i="46"/>
  <c r="Y48" i="46"/>
  <c r="I54" i="17"/>
  <c r="K30" i="46"/>
  <c r="E74" i="17"/>
  <c r="X115" i="17"/>
  <c r="W71" i="46"/>
  <c r="X53" i="46"/>
  <c r="H25" i="44"/>
  <c r="R112" i="20"/>
  <c r="W30" i="17"/>
  <c r="AE39" i="26"/>
  <c r="BI46" i="46"/>
  <c r="G40" i="50"/>
  <c r="W109" i="17"/>
  <c r="BH47" i="46"/>
  <c r="U29" i="26"/>
  <c r="J19" i="48"/>
  <c r="I23" i="26"/>
  <c r="R113" i="17"/>
  <c r="J39" i="16"/>
  <c r="J33" i="16" s="1"/>
  <c r="E82" i="26"/>
  <c r="W78" i="16"/>
  <c r="S40" i="50"/>
  <c r="D116" i="19"/>
  <c r="H138" i="46"/>
  <c r="Z24" i="15"/>
  <c r="R46" i="20"/>
  <c r="K99" i="46"/>
  <c r="V73" i="46"/>
  <c r="J43" i="21"/>
  <c r="F8" i="20"/>
  <c r="X106" i="17"/>
  <c r="I61" i="46"/>
  <c r="E99" i="16"/>
  <c r="D35" i="19"/>
  <c r="J56" i="15"/>
  <c r="S19" i="19"/>
  <c r="H30" i="46"/>
  <c r="G54" i="19"/>
  <c r="J136" i="19"/>
  <c r="T78" i="16"/>
  <c r="F16" i="46"/>
  <c r="BG35" i="46"/>
  <c r="D9" i="26"/>
  <c r="F48" i="21"/>
  <c r="U20" i="20"/>
  <c r="R76" i="17"/>
  <c r="G114" i="17"/>
  <c r="V12" i="21"/>
  <c r="J68" i="17"/>
  <c r="D37" i="16"/>
  <c r="G144" i="19"/>
  <c r="E37" i="26"/>
  <c r="U25" i="21"/>
  <c r="BK137" i="46"/>
  <c r="I6" i="16"/>
  <c r="J30" i="46"/>
  <c r="AC12" i="46"/>
  <c r="AB101" i="16"/>
  <c r="G95" i="46"/>
  <c r="K76" i="15"/>
  <c r="T107" i="17"/>
  <c r="T25" i="48"/>
  <c r="D49" i="19"/>
  <c r="U40" i="21"/>
  <c r="J88" i="46"/>
  <c r="H107" i="19"/>
  <c r="D116" i="17"/>
  <c r="Y29" i="46"/>
  <c r="F10" i="50"/>
  <c r="H71" i="17"/>
  <c r="V40" i="21"/>
  <c r="BI17" i="46"/>
  <c r="X37" i="26"/>
  <c r="U80" i="46"/>
  <c r="H83" i="26"/>
  <c r="F64" i="46"/>
  <c r="S52" i="20"/>
  <c r="J54" i="15"/>
  <c r="F76" i="15"/>
  <c r="X20" i="46"/>
  <c r="R58" i="17"/>
  <c r="I122" i="46"/>
  <c r="F33" i="20"/>
  <c r="U47" i="46"/>
  <c r="S58" i="16"/>
  <c r="E36" i="19"/>
  <c r="I36" i="16"/>
  <c r="F7" i="19"/>
  <c r="T85" i="15"/>
  <c r="U119" i="19"/>
  <c r="AA62" i="46"/>
  <c r="D78" i="16"/>
  <c r="J7" i="44"/>
  <c r="X24" i="46"/>
  <c r="W35" i="26"/>
  <c r="F74" i="16"/>
  <c r="AA45" i="16"/>
  <c r="E37" i="16"/>
  <c r="AC7" i="46"/>
  <c r="AC133" i="46"/>
  <c r="Y26" i="46"/>
  <c r="J38" i="17"/>
  <c r="X113" i="46"/>
  <c r="E58" i="17"/>
  <c r="I78" i="46"/>
  <c r="I72" i="17"/>
  <c r="Z29" i="26"/>
  <c r="W108" i="17"/>
  <c r="J9" i="21"/>
  <c r="AC31" i="46"/>
  <c r="H106" i="46"/>
  <c r="R98" i="17"/>
  <c r="F41" i="48"/>
  <c r="J25" i="17"/>
  <c r="BI54" i="46"/>
  <c r="H12" i="17"/>
  <c r="H77" i="17"/>
  <c r="F72" i="17"/>
  <c r="D63" i="15"/>
  <c r="I49" i="17"/>
  <c r="T33" i="50"/>
  <c r="F28" i="44"/>
  <c r="J101" i="46"/>
  <c r="S35" i="19"/>
  <c r="X123" i="46"/>
  <c r="F73" i="16"/>
  <c r="E41" i="17"/>
  <c r="X66" i="17"/>
  <c r="AA42" i="46"/>
  <c r="I62" i="46"/>
  <c r="E74" i="16"/>
  <c r="V95" i="15"/>
  <c r="H141" i="46"/>
  <c r="W16" i="21"/>
  <c r="D95" i="16"/>
  <c r="J103" i="16"/>
  <c r="D76" i="15"/>
  <c r="U105" i="20"/>
  <c r="L112" i="46"/>
  <c r="F28" i="17"/>
  <c r="U42" i="21"/>
  <c r="G73" i="17"/>
  <c r="I134" i="46"/>
  <c r="R65" i="16"/>
  <c r="F84" i="46"/>
  <c r="I59" i="46"/>
  <c r="H40" i="48"/>
  <c r="E64" i="17"/>
  <c r="R84" i="20"/>
  <c r="G49" i="17"/>
  <c r="X15" i="46"/>
  <c r="Y116" i="46"/>
  <c r="G48" i="21"/>
  <c r="W100" i="17"/>
  <c r="F54" i="16"/>
  <c r="BK95" i="46"/>
  <c r="J33" i="46"/>
  <c r="R22" i="26"/>
  <c r="T22" i="26" s="1"/>
  <c r="W31" i="46"/>
  <c r="K132" i="46"/>
  <c r="BJ116" i="46"/>
  <c r="F43" i="46"/>
  <c r="J79" i="16"/>
  <c r="E30" i="20"/>
  <c r="J67" i="46"/>
  <c r="F76" i="20"/>
  <c r="H26" i="19"/>
  <c r="S67" i="15"/>
  <c r="BI50" i="46"/>
  <c r="E22" i="21"/>
  <c r="K19" i="46"/>
  <c r="E55" i="15"/>
  <c r="Y7" i="44"/>
  <c r="G86" i="16"/>
  <c r="X8" i="46"/>
  <c r="G33" i="48"/>
  <c r="U18" i="21"/>
  <c r="AA101" i="16"/>
  <c r="R48" i="20"/>
  <c r="AC132" i="46"/>
  <c r="R56" i="20"/>
  <c r="S74" i="26"/>
  <c r="V44" i="19"/>
  <c r="H26" i="46"/>
  <c r="X13" i="17"/>
  <c r="I38" i="26"/>
  <c r="Z62" i="46"/>
  <c r="E33" i="48"/>
  <c r="AA44" i="16"/>
  <c r="H24" i="19"/>
  <c r="E84" i="20"/>
  <c r="R35" i="20"/>
  <c r="G39" i="26"/>
  <c r="Y61" i="46"/>
  <c r="E12" i="21"/>
  <c r="AC90" i="46"/>
  <c r="K62" i="15"/>
  <c r="R72" i="17"/>
  <c r="BI135" i="46"/>
  <c r="J60" i="16"/>
  <c r="U127" i="19"/>
  <c r="H17" i="46"/>
  <c r="J74" i="17"/>
  <c r="R7" i="19"/>
  <c r="T38" i="19"/>
  <c r="D24" i="26"/>
  <c r="H10" i="19"/>
  <c r="G142" i="46"/>
  <c r="T45" i="15"/>
  <c r="U78" i="46"/>
  <c r="I139" i="46"/>
  <c r="F18" i="21"/>
  <c r="J111" i="19"/>
  <c r="AB99" i="16"/>
  <c r="F80" i="26"/>
  <c r="AB69" i="16"/>
  <c r="G50" i="20"/>
  <c r="F9" i="50"/>
  <c r="BJ87" i="46"/>
  <c r="J36" i="17"/>
  <c r="I63" i="26"/>
  <c r="X62" i="16"/>
  <c r="F56" i="26"/>
  <c r="S102" i="20"/>
  <c r="W33" i="17"/>
  <c r="V33" i="20"/>
  <c r="F104" i="17"/>
  <c r="J9" i="48"/>
  <c r="G71" i="17"/>
  <c r="W69" i="16"/>
  <c r="K113" i="46"/>
  <c r="H20" i="48"/>
  <c r="I125" i="19"/>
  <c r="K84" i="46"/>
  <c r="BK118" i="46"/>
  <c r="Y115" i="46"/>
  <c r="J18" i="44"/>
  <c r="E45" i="15"/>
  <c r="E46" i="15" s="1"/>
  <c r="X120" i="46"/>
  <c r="BJ43" i="46"/>
  <c r="F17" i="17"/>
  <c r="J8" i="19"/>
  <c r="E31" i="48"/>
  <c r="Y27" i="46"/>
  <c r="BH113" i="46"/>
  <c r="Z104" i="46"/>
  <c r="T50" i="19"/>
  <c r="S80" i="20"/>
  <c r="Z99" i="46"/>
  <c r="D38" i="15"/>
  <c r="E57" i="19"/>
  <c r="W132" i="46"/>
  <c r="F93" i="16"/>
  <c r="F132" i="46"/>
  <c r="H124" i="46"/>
  <c r="F87" i="20"/>
  <c r="F15" i="46"/>
  <c r="G107" i="17"/>
  <c r="T21" i="50"/>
  <c r="W72" i="46"/>
  <c r="R72" i="20"/>
  <c r="V16" i="50"/>
  <c r="G98" i="17"/>
  <c r="W82" i="17"/>
  <c r="I108" i="17"/>
  <c r="D36" i="50"/>
  <c r="J54" i="26"/>
  <c r="AC120" i="46"/>
  <c r="J28" i="48"/>
  <c r="BH66" i="46"/>
  <c r="BI32" i="46"/>
  <c r="L26" i="48"/>
  <c r="F33" i="15"/>
  <c r="J97" i="16"/>
  <c r="BI39" i="46"/>
  <c r="K38" i="17"/>
  <c r="D16" i="19"/>
  <c r="J10" i="50"/>
  <c r="Y115" i="17"/>
  <c r="G52" i="19"/>
  <c r="X31" i="46"/>
  <c r="E52" i="17"/>
  <c r="D23" i="21"/>
  <c r="BG88" i="46"/>
  <c r="S48" i="20"/>
  <c r="BG112" i="46"/>
  <c r="X62" i="46"/>
  <c r="AA33" i="26"/>
  <c r="T44" i="26"/>
  <c r="AA43" i="26"/>
  <c r="H57" i="19"/>
  <c r="BK53" i="46"/>
  <c r="V18" i="19"/>
  <c r="H53" i="16"/>
  <c r="D48" i="19"/>
  <c r="X65" i="15"/>
  <c r="AB65" i="15"/>
  <c r="R30" i="19"/>
  <c r="J126" i="19"/>
  <c r="G62" i="26"/>
  <c r="D10" i="16"/>
  <c r="S30" i="50"/>
  <c r="AB98" i="15"/>
  <c r="AC101" i="46"/>
  <c r="X103" i="17"/>
  <c r="I82" i="46"/>
  <c r="Y9" i="46"/>
  <c r="J11" i="19"/>
  <c r="G92" i="17"/>
  <c r="E78" i="15"/>
  <c r="J46" i="21"/>
  <c r="D53" i="16"/>
  <c r="V111" i="20"/>
  <c r="R105" i="20"/>
  <c r="F130" i="46"/>
  <c r="I111" i="46"/>
  <c r="K114" i="46"/>
  <c r="E108" i="19"/>
  <c r="U123" i="19"/>
  <c r="T54" i="16"/>
  <c r="D25" i="26"/>
  <c r="F133" i="46"/>
  <c r="AB56" i="46"/>
  <c r="T53" i="17"/>
  <c r="F31" i="46"/>
  <c r="D66" i="17"/>
  <c r="I74" i="16"/>
  <c r="BG23" i="46"/>
  <c r="E19" i="21"/>
  <c r="BK78" i="46"/>
  <c r="V37" i="21"/>
  <c r="F82" i="20"/>
  <c r="I72" i="26"/>
  <c r="K62" i="46"/>
  <c r="W30" i="46"/>
  <c r="G127" i="19"/>
  <c r="U35" i="19"/>
  <c r="G47" i="19"/>
  <c r="I7" i="48"/>
  <c r="F51" i="21"/>
  <c r="E10" i="15"/>
  <c r="AA64" i="16"/>
  <c r="AC71" i="46"/>
  <c r="W47" i="46"/>
  <c r="H15" i="21"/>
  <c r="X35" i="26"/>
  <c r="V60" i="46"/>
  <c r="BJ83" i="46"/>
  <c r="R58" i="19"/>
  <c r="L76" i="46"/>
  <c r="F46" i="48"/>
  <c r="D14" i="15"/>
  <c r="S54" i="15"/>
  <c r="F11" i="15"/>
  <c r="AA75" i="46"/>
  <c r="F112" i="19"/>
  <c r="H8" i="44"/>
  <c r="R89" i="17"/>
  <c r="H38" i="16"/>
  <c r="AC66" i="46"/>
  <c r="H12" i="50"/>
  <c r="AC127" i="46"/>
  <c r="D27" i="20"/>
  <c r="S113" i="20"/>
  <c r="F100" i="16"/>
  <c r="Z58" i="46"/>
  <c r="R88" i="20"/>
  <c r="H14" i="21"/>
  <c r="S125" i="19"/>
  <c r="U41" i="21"/>
  <c r="X78" i="15"/>
  <c r="D44" i="19"/>
  <c r="W54" i="15"/>
  <c r="R99" i="20"/>
  <c r="Y29" i="17"/>
  <c r="BH32" i="46"/>
  <c r="AB37" i="16"/>
  <c r="AB31" i="16" s="1"/>
  <c r="Y16" i="48"/>
  <c r="Y141" i="46"/>
  <c r="J33" i="48"/>
  <c r="W97" i="16"/>
  <c r="H29" i="26"/>
  <c r="K113" i="17"/>
  <c r="BK144" i="46"/>
  <c r="U51" i="20"/>
  <c r="BH63" i="46"/>
  <c r="H7" i="50"/>
  <c r="E68" i="15"/>
  <c r="I24" i="50"/>
  <c r="BG63" i="46"/>
  <c r="F34" i="19"/>
  <c r="E109" i="16"/>
  <c r="T14" i="19"/>
  <c r="W32" i="17"/>
  <c r="F109" i="46"/>
  <c r="D19" i="20"/>
  <c r="E58" i="16"/>
  <c r="H84" i="46"/>
  <c r="E120" i="19"/>
  <c r="F32" i="26"/>
  <c r="BI146" i="46"/>
  <c r="H58" i="17"/>
  <c r="W98" i="16"/>
  <c r="R105" i="17"/>
  <c r="D30" i="50"/>
  <c r="L45" i="46"/>
  <c r="T47" i="19"/>
  <c r="F84" i="15"/>
  <c r="W9" i="21"/>
  <c r="T53" i="20"/>
  <c r="K49" i="15"/>
  <c r="AC50" i="46"/>
  <c r="G121" i="19"/>
  <c r="F33" i="26"/>
  <c r="E26" i="17"/>
  <c r="D67" i="15"/>
  <c r="G118" i="46"/>
  <c r="U77" i="20"/>
  <c r="G48" i="19"/>
  <c r="E129" i="19"/>
  <c r="BJ31" i="46"/>
  <c r="T9" i="20"/>
  <c r="G43" i="19"/>
  <c r="AB78" i="46"/>
  <c r="AA11" i="46"/>
  <c r="H46" i="21"/>
  <c r="Y108" i="46"/>
  <c r="U28" i="20"/>
  <c r="F38" i="19"/>
  <c r="S89" i="17"/>
  <c r="E111" i="19"/>
  <c r="I43" i="19"/>
  <c r="BK62" i="46"/>
  <c r="U49" i="19"/>
  <c r="T9" i="21"/>
  <c r="AB70" i="15"/>
  <c r="L90" i="46"/>
  <c r="H37" i="16"/>
  <c r="D23" i="15"/>
  <c r="V87" i="15"/>
  <c r="D77" i="20"/>
  <c r="F126" i="46"/>
  <c r="F22" i="26"/>
  <c r="F14" i="26" s="1"/>
  <c r="G26" i="20"/>
  <c r="D19" i="19"/>
  <c r="U117" i="19"/>
  <c r="AA22" i="46"/>
  <c r="G81" i="17"/>
  <c r="I117" i="46"/>
  <c r="W81" i="46"/>
  <c r="AB46" i="15"/>
  <c r="S81" i="16"/>
  <c r="S42" i="19"/>
  <c r="D117" i="19"/>
  <c r="D100" i="16"/>
  <c r="X119" i="46"/>
  <c r="K55" i="15"/>
  <c r="I14" i="48"/>
  <c r="S56" i="17"/>
  <c r="H143" i="19"/>
  <c r="H14" i="48"/>
  <c r="G50" i="15"/>
  <c r="I83" i="26"/>
  <c r="J37" i="16"/>
  <c r="J31" i="16" s="1"/>
  <c r="J25" i="19"/>
  <c r="U30" i="50"/>
  <c r="J43" i="17"/>
  <c r="I22" i="44"/>
  <c r="BK110" i="46"/>
  <c r="D39" i="16"/>
  <c r="D33" i="16" s="1"/>
  <c r="E92" i="17"/>
  <c r="W31" i="17"/>
  <c r="F33" i="17"/>
  <c r="F89" i="46"/>
  <c r="F57" i="19"/>
  <c r="U111" i="19"/>
  <c r="AB34" i="26"/>
  <c r="I107" i="46"/>
  <c r="Y81" i="16"/>
  <c r="I56" i="46"/>
  <c r="I136" i="19"/>
  <c r="F94" i="20"/>
  <c r="K103" i="17"/>
  <c r="F10" i="48"/>
  <c r="U75" i="20"/>
  <c r="G68" i="15"/>
  <c r="X57" i="16"/>
  <c r="H34" i="17"/>
  <c r="L100" i="46"/>
  <c r="T51" i="17"/>
  <c r="I85" i="15"/>
  <c r="G102" i="17"/>
  <c r="W112" i="46"/>
  <c r="V22" i="19"/>
  <c r="E67" i="17"/>
  <c r="F11" i="17"/>
  <c r="I122" i="19"/>
  <c r="AB23" i="16"/>
  <c r="H71" i="20"/>
  <c r="T17" i="17"/>
  <c r="I25" i="48"/>
  <c r="Y59" i="16"/>
  <c r="Y15" i="48"/>
  <c r="AB24" i="15"/>
  <c r="I82" i="15"/>
  <c r="D85" i="17"/>
  <c r="H74" i="46"/>
  <c r="F7" i="44"/>
  <c r="D25" i="21"/>
  <c r="X81" i="16"/>
  <c r="F25" i="46"/>
  <c r="V19" i="44"/>
  <c r="BK49" i="46"/>
  <c r="T77" i="16"/>
  <c r="F42" i="17"/>
  <c r="F35" i="26"/>
  <c r="H24" i="46"/>
  <c r="S89" i="20"/>
  <c r="Z84" i="46"/>
  <c r="T30" i="20"/>
  <c r="H57" i="46"/>
  <c r="Z39" i="26"/>
  <c r="AC27" i="46"/>
  <c r="S74" i="20"/>
  <c r="S75" i="26"/>
  <c r="Z81" i="46"/>
  <c r="V9" i="44"/>
  <c r="U22" i="21"/>
  <c r="F45" i="15"/>
  <c r="Y70" i="46"/>
  <c r="AB103" i="16"/>
  <c r="G81" i="46"/>
  <c r="W80" i="17"/>
  <c r="AA100" i="16"/>
  <c r="BK130" i="46"/>
  <c r="I36" i="48"/>
  <c r="BG84" i="46"/>
  <c r="L27" i="46"/>
  <c r="U27" i="20"/>
  <c r="I84" i="15"/>
  <c r="K140" i="46"/>
  <c r="AB92" i="15"/>
  <c r="BI38" i="46"/>
  <c r="G7" i="20"/>
  <c r="T74" i="46"/>
  <c r="E45" i="26"/>
  <c r="K29" i="46"/>
  <c r="W34" i="21"/>
  <c r="W52" i="17"/>
  <c r="Z106" i="46"/>
  <c r="Y7" i="17"/>
  <c r="F78" i="15"/>
  <c r="I95" i="15"/>
  <c r="U95" i="15" s="1"/>
  <c r="V109" i="20"/>
  <c r="BG70" i="46"/>
  <c r="H55" i="15"/>
  <c r="H34" i="50"/>
  <c r="BK96" i="46"/>
  <c r="D31" i="19"/>
  <c r="D54" i="15"/>
  <c r="F9" i="21"/>
  <c r="U34" i="19"/>
  <c r="H29" i="17"/>
  <c r="BK50" i="46"/>
  <c r="I13" i="21"/>
  <c r="Z9" i="16"/>
  <c r="E14" i="16"/>
  <c r="W94" i="15"/>
  <c r="J22" i="46"/>
  <c r="U38" i="19"/>
  <c r="F81" i="46"/>
  <c r="I77" i="46"/>
  <c r="D8" i="21"/>
  <c r="BI42" i="46"/>
  <c r="V29" i="21"/>
  <c r="F121" i="19"/>
  <c r="E95" i="16"/>
  <c r="X52" i="15"/>
  <c r="X90" i="46"/>
  <c r="H127" i="46"/>
  <c r="AA72" i="15"/>
  <c r="J31" i="19"/>
  <c r="H63" i="26"/>
  <c r="I38" i="16"/>
  <c r="I32" i="16" s="1"/>
  <c r="H130" i="19"/>
  <c r="J16" i="19"/>
  <c r="L65" i="46"/>
  <c r="F113" i="17"/>
  <c r="F47" i="21"/>
  <c r="W92" i="15"/>
  <c r="U24" i="21"/>
  <c r="E22" i="19"/>
  <c r="K52" i="46"/>
  <c r="D46" i="17"/>
  <c r="E41" i="20"/>
  <c r="R31" i="17"/>
  <c r="H132" i="19"/>
  <c r="I17" i="26"/>
  <c r="I36" i="20"/>
  <c r="S57" i="26"/>
  <c r="Y47" i="17"/>
  <c r="U7" i="19"/>
  <c r="S71" i="15"/>
  <c r="BG12" i="46"/>
  <c r="Z16" i="16"/>
  <c r="S11" i="20"/>
  <c r="D8" i="20"/>
  <c r="K46" i="46"/>
  <c r="W13" i="15"/>
  <c r="F57" i="16"/>
  <c r="T73" i="15"/>
  <c r="T51" i="20"/>
  <c r="BK25" i="46"/>
  <c r="J100" i="16"/>
  <c r="Y74" i="46"/>
  <c r="BJ119" i="46"/>
  <c r="AB39" i="16"/>
  <c r="AB33" i="16" s="1"/>
  <c r="K133" i="46"/>
  <c r="AA26" i="15"/>
  <c r="D14" i="26"/>
  <c r="T72" i="20"/>
  <c r="F18" i="19"/>
  <c r="X101" i="46"/>
  <c r="G30" i="50"/>
  <c r="S31" i="20"/>
  <c r="E117" i="20"/>
  <c r="H16" i="20"/>
  <c r="BI143" i="46"/>
  <c r="H48" i="19"/>
  <c r="AE37" i="26"/>
  <c r="F38" i="48"/>
  <c r="K39" i="48"/>
  <c r="F70" i="20"/>
  <c r="D57" i="16"/>
  <c r="AA6" i="46"/>
  <c r="W43" i="17"/>
  <c r="I26" i="17"/>
  <c r="D37" i="21"/>
  <c r="E61" i="15"/>
  <c r="I50" i="15"/>
  <c r="U50" i="15" s="1"/>
  <c r="I44" i="48"/>
  <c r="H97" i="16"/>
  <c r="Z22" i="16"/>
  <c r="I36" i="46"/>
  <c r="S84" i="20"/>
  <c r="V71" i="20"/>
  <c r="W64" i="15"/>
  <c r="S72" i="16"/>
  <c r="T25" i="20"/>
  <c r="H48" i="20"/>
  <c r="J41" i="50"/>
  <c r="X81" i="15"/>
  <c r="T10" i="48"/>
  <c r="BJ54" i="46"/>
  <c r="AA60" i="15"/>
  <c r="W62" i="17"/>
  <c r="BI9" i="46"/>
  <c r="AA19" i="16"/>
  <c r="AB27" i="16"/>
  <c r="G40" i="20"/>
  <c r="BH119" i="46"/>
  <c r="W27" i="48"/>
  <c r="D16" i="21"/>
  <c r="W71" i="15"/>
  <c r="Y48" i="17"/>
  <c r="D9" i="21"/>
  <c r="J88" i="15"/>
  <c r="L95" i="46"/>
  <c r="U67" i="20"/>
  <c r="H39" i="48"/>
  <c r="H126" i="19"/>
  <c r="H35" i="46"/>
  <c r="D28" i="44"/>
  <c r="T22" i="19"/>
  <c r="Y8" i="44"/>
  <c r="H27" i="48"/>
  <c r="AA80" i="16"/>
  <c r="R94" i="17"/>
  <c r="J28" i="17"/>
  <c r="F144" i="46"/>
  <c r="U21" i="48"/>
  <c r="I92" i="16"/>
  <c r="I93" i="46"/>
  <c r="Y68" i="17"/>
  <c r="AA45" i="46"/>
  <c r="H18" i="19"/>
  <c r="I81" i="15"/>
  <c r="U81" i="15" s="1"/>
  <c r="D47" i="17"/>
  <c r="Y140" i="46"/>
  <c r="D44" i="21"/>
  <c r="S34" i="21"/>
  <c r="J97" i="15"/>
  <c r="J93" i="46"/>
  <c r="J105" i="17"/>
  <c r="H40" i="21"/>
  <c r="I66" i="26"/>
  <c r="W21" i="50"/>
  <c r="H30" i="17"/>
  <c r="I59" i="16"/>
  <c r="X84" i="17"/>
  <c r="R103" i="20"/>
  <c r="I65" i="15"/>
  <c r="U65" i="15" s="1"/>
  <c r="G83" i="15"/>
  <c r="E58" i="26"/>
  <c r="R64" i="20"/>
  <c r="I34" i="50"/>
  <c r="F40" i="21"/>
  <c r="H58" i="46"/>
  <c r="AA74" i="16"/>
  <c r="J45" i="17"/>
  <c r="H95" i="17"/>
  <c r="I101" i="16"/>
  <c r="D77" i="15"/>
  <c r="R50" i="19"/>
  <c r="Y17" i="48"/>
  <c r="T37" i="21"/>
  <c r="D87" i="16"/>
  <c r="G11" i="50"/>
  <c r="Y32" i="46"/>
  <c r="U71" i="46"/>
  <c r="I38" i="48"/>
  <c r="AB39" i="46"/>
  <c r="S45" i="19"/>
  <c r="X67" i="15"/>
  <c r="S9" i="50"/>
  <c r="G6" i="46"/>
  <c r="S7" i="21"/>
  <c r="X10" i="17"/>
  <c r="D17" i="26"/>
  <c r="Z116" i="46"/>
  <c r="T34" i="50"/>
  <c r="BK17" i="46"/>
  <c r="D16" i="26"/>
  <c r="K8" i="44"/>
  <c r="BK51" i="46"/>
  <c r="T32" i="50"/>
  <c r="F24" i="20"/>
  <c r="Z93" i="46"/>
  <c r="E63" i="20"/>
  <c r="I27" i="48"/>
  <c r="AA42" i="15"/>
  <c r="J54" i="19"/>
  <c r="W98" i="46"/>
  <c r="E15" i="44"/>
  <c r="S9" i="17"/>
  <c r="R115" i="19"/>
  <c r="E50" i="20"/>
  <c r="H88" i="16"/>
  <c r="Y112" i="17"/>
  <c r="G17" i="48"/>
  <c r="J17" i="48"/>
  <c r="R85" i="15"/>
  <c r="E66" i="26"/>
  <c r="H45" i="16"/>
  <c r="J95" i="17"/>
  <c r="D79" i="26"/>
  <c r="F112" i="17"/>
  <c r="I13" i="48"/>
  <c r="Y142" i="46"/>
  <c r="L26" i="46"/>
  <c r="E96" i="20"/>
  <c r="I21" i="26"/>
  <c r="J40" i="26"/>
  <c r="I7" i="17"/>
  <c r="E54" i="17"/>
  <c r="T29" i="48"/>
  <c r="H80" i="26"/>
  <c r="H36" i="26"/>
  <c r="G12" i="48"/>
  <c r="D36" i="20"/>
  <c r="D36" i="15"/>
  <c r="E48" i="16"/>
  <c r="K26" i="46"/>
  <c r="K25" i="48"/>
  <c r="S64" i="20"/>
  <c r="I98" i="17"/>
  <c r="D33" i="15"/>
  <c r="W76" i="17"/>
  <c r="U113" i="20"/>
  <c r="E11" i="20"/>
  <c r="X83" i="15"/>
  <c r="I112" i="46"/>
  <c r="E30" i="17"/>
  <c r="AA74" i="46"/>
  <c r="K49" i="46"/>
  <c r="S59" i="15"/>
  <c r="W27" i="15"/>
  <c r="E81" i="15"/>
  <c r="Y113" i="17"/>
  <c r="G15" i="20"/>
  <c r="G13" i="20"/>
  <c r="F40" i="17"/>
  <c r="D83" i="17"/>
  <c r="U78" i="20"/>
  <c r="D97" i="17"/>
  <c r="T16" i="46"/>
  <c r="J45" i="48"/>
  <c r="E15" i="48"/>
  <c r="W88" i="15"/>
  <c r="BG139" i="46"/>
  <c r="E10" i="50"/>
  <c r="F30" i="26"/>
  <c r="F44" i="20"/>
  <c r="S7" i="17"/>
  <c r="X53" i="15"/>
  <c r="S113" i="19"/>
  <c r="R39" i="26"/>
  <c r="Y131" i="46"/>
  <c r="W83" i="15"/>
  <c r="W62" i="46"/>
  <c r="I98" i="15"/>
  <c r="D84" i="15"/>
  <c r="Z28" i="46"/>
  <c r="I19" i="21"/>
  <c r="U46" i="19"/>
  <c r="X51" i="17"/>
  <c r="R69" i="15"/>
  <c r="E93" i="20"/>
  <c r="AD38" i="26"/>
  <c r="U10" i="21"/>
  <c r="R46" i="26"/>
  <c r="J38" i="26"/>
  <c r="G56" i="16"/>
  <c r="G82" i="46"/>
  <c r="Y107" i="17"/>
  <c r="BI139" i="46"/>
  <c r="V99" i="20"/>
  <c r="T81" i="16"/>
  <c r="U61" i="20"/>
  <c r="X59" i="17"/>
  <c r="BK75" i="46"/>
  <c r="AB6" i="46"/>
  <c r="U45" i="19"/>
  <c r="F45" i="48"/>
  <c r="BH24" i="46"/>
  <c r="V102" i="20"/>
  <c r="F17" i="15"/>
  <c r="I42" i="46"/>
  <c r="G28" i="48"/>
  <c r="J63" i="26"/>
  <c r="BI24" i="46"/>
  <c r="E26" i="19"/>
  <c r="V41" i="19"/>
  <c r="J146" i="46"/>
  <c r="H7" i="48"/>
  <c r="U121" i="19"/>
  <c r="K115" i="46"/>
  <c r="T73" i="20"/>
  <c r="D27" i="21"/>
  <c r="BG78" i="46"/>
  <c r="F16" i="16"/>
  <c r="I35" i="50"/>
  <c r="BH146" i="46"/>
  <c r="AB36" i="15"/>
  <c r="J82" i="15"/>
  <c r="V60" i="15"/>
  <c r="U15" i="44"/>
  <c r="L22" i="48"/>
  <c r="AB43" i="46"/>
  <c r="F25" i="26"/>
  <c r="F44" i="19"/>
  <c r="D11" i="17"/>
  <c r="H140" i="19"/>
  <c r="Z33" i="48"/>
  <c r="G13" i="48"/>
  <c r="D49" i="15"/>
  <c r="I98" i="46"/>
  <c r="E92" i="16"/>
  <c r="I32" i="26"/>
  <c r="U17" i="20"/>
  <c r="I31" i="19"/>
  <c r="BH61" i="46"/>
  <c r="U11" i="46"/>
  <c r="H49" i="20"/>
  <c r="H97" i="46"/>
  <c r="J50" i="21"/>
  <c r="AA65" i="46"/>
  <c r="T64" i="46"/>
  <c r="E84" i="15"/>
  <c r="U9" i="19"/>
  <c r="H49" i="17"/>
  <c r="Y74" i="17"/>
  <c r="E39" i="48"/>
  <c r="S73" i="20"/>
  <c r="S33" i="19"/>
  <c r="AB95" i="16"/>
  <c r="S52" i="16"/>
  <c r="AB60" i="46"/>
  <c r="AB44" i="16"/>
  <c r="I49" i="19"/>
  <c r="F7" i="48"/>
  <c r="D51" i="17"/>
  <c r="R12" i="21"/>
  <c r="Z110" i="46"/>
  <c r="U36" i="20"/>
  <c r="U31" i="26"/>
  <c r="J25" i="50"/>
  <c r="K70" i="46"/>
  <c r="Y78" i="46"/>
  <c r="G103" i="17"/>
  <c r="T31" i="19"/>
  <c r="W124" i="46"/>
  <c r="U51" i="19"/>
  <c r="H86" i="15"/>
  <c r="E13" i="17"/>
  <c r="BK12" i="46"/>
  <c r="G84" i="17"/>
  <c r="I17" i="50"/>
  <c r="AB14" i="15"/>
  <c r="H76" i="26"/>
  <c r="F55" i="26"/>
  <c r="W89" i="46"/>
  <c r="G23" i="19"/>
  <c r="E83" i="15"/>
  <c r="D89" i="20"/>
  <c r="Y30" i="48"/>
  <c r="I108" i="46"/>
  <c r="H87" i="15"/>
  <c r="F9" i="20"/>
  <c r="Z111" i="46"/>
  <c r="R26" i="21"/>
  <c r="AB59" i="46"/>
  <c r="R75" i="17"/>
  <c r="I35" i="26"/>
  <c r="D107" i="20"/>
  <c r="F56" i="20"/>
  <c r="Y43" i="26"/>
  <c r="H40" i="19"/>
  <c r="F30" i="50"/>
  <c r="S71" i="17"/>
  <c r="BG127" i="46"/>
  <c r="X56" i="17"/>
  <c r="E88" i="15"/>
  <c r="V27" i="21"/>
  <c r="D137" i="19"/>
  <c r="G41" i="17"/>
  <c r="BH87" i="46"/>
  <c r="Z32" i="46"/>
  <c r="H22" i="44"/>
  <c r="H93" i="17"/>
  <c r="E83" i="17"/>
  <c r="U54" i="20"/>
  <c r="D95" i="20"/>
  <c r="G132" i="19"/>
  <c r="W102" i="16"/>
  <c r="G88" i="20"/>
  <c r="K33" i="48"/>
  <c r="AA81" i="16"/>
  <c r="E95" i="20"/>
  <c r="Y125" i="46"/>
  <c r="E42" i="48"/>
  <c r="T30" i="48"/>
  <c r="U64" i="46"/>
  <c r="H113" i="19"/>
  <c r="V40" i="46"/>
  <c r="T22" i="46"/>
  <c r="AB40" i="46"/>
  <c r="S104" i="20"/>
  <c r="Z59" i="46"/>
  <c r="Z23" i="46"/>
  <c r="F69" i="20"/>
  <c r="W130" i="46"/>
  <c r="W95" i="46"/>
  <c r="E47" i="20"/>
  <c r="E35" i="17"/>
  <c r="G51" i="19"/>
  <c r="V42" i="21"/>
  <c r="Z8" i="16"/>
  <c r="J72" i="17"/>
  <c r="H56" i="19"/>
  <c r="F36" i="19"/>
  <c r="H64" i="26"/>
  <c r="F7" i="15"/>
  <c r="BG67" i="46"/>
  <c r="E46" i="21"/>
  <c r="G41" i="21"/>
  <c r="F21" i="20"/>
  <c r="I16" i="26"/>
  <c r="F87" i="16"/>
  <c r="F63" i="16"/>
  <c r="G81" i="16"/>
  <c r="J15" i="21"/>
  <c r="E80" i="20"/>
  <c r="V76" i="20"/>
  <c r="T46" i="17"/>
  <c r="E85" i="17"/>
  <c r="AB77" i="16"/>
  <c r="W33" i="50"/>
  <c r="V53" i="15"/>
  <c r="H63" i="15"/>
  <c r="Y78" i="15"/>
  <c r="G96" i="46"/>
  <c r="F134" i="46"/>
  <c r="I46" i="48"/>
  <c r="T16" i="48"/>
  <c r="G39" i="48"/>
  <c r="G8" i="20"/>
  <c r="S13" i="26"/>
  <c r="H56" i="20"/>
  <c r="BJ29" i="46"/>
  <c r="J74" i="16"/>
  <c r="F32" i="17"/>
  <c r="F26" i="15"/>
  <c r="T15" i="44"/>
  <c r="AB11" i="46"/>
  <c r="W119" i="46"/>
  <c r="J23" i="46"/>
  <c r="AB58" i="46"/>
  <c r="D55" i="26"/>
  <c r="K14" i="46"/>
  <c r="T75" i="15"/>
  <c r="X19" i="46"/>
  <c r="S11" i="17"/>
  <c r="Y32" i="26"/>
  <c r="E36" i="15"/>
  <c r="BK41" i="46"/>
  <c r="J108" i="16"/>
  <c r="H41" i="46"/>
  <c r="BJ102" i="46"/>
  <c r="W107" i="16"/>
  <c r="V25" i="21"/>
  <c r="T76" i="16"/>
  <c r="F40" i="46"/>
  <c r="U53" i="46"/>
  <c r="F11" i="19"/>
  <c r="G84" i="46"/>
  <c r="G72" i="46"/>
  <c r="R78" i="15"/>
  <c r="I90" i="16"/>
  <c r="V36" i="50"/>
  <c r="G33" i="26"/>
  <c r="I54" i="16"/>
  <c r="D39" i="15"/>
  <c r="G90" i="20"/>
  <c r="Q90" i="20" s="1"/>
  <c r="K66" i="46"/>
  <c r="I44" i="19"/>
  <c r="R89" i="20"/>
  <c r="D9" i="50"/>
  <c r="BJ38" i="46"/>
  <c r="Z31" i="48"/>
  <c r="BI115" i="46"/>
  <c r="H99" i="16"/>
  <c r="BH11" i="46"/>
  <c r="G37" i="19"/>
  <c r="E42" i="17"/>
  <c r="W97" i="46"/>
  <c r="V30" i="26"/>
  <c r="G119" i="19"/>
  <c r="W50" i="46"/>
  <c r="G122" i="46"/>
  <c r="BI98" i="46"/>
  <c r="BI123" i="46"/>
  <c r="U111" i="20"/>
  <c r="I25" i="50"/>
  <c r="G17" i="50"/>
  <c r="S46" i="20"/>
  <c r="W90" i="16"/>
  <c r="AA63" i="15"/>
  <c r="H29" i="46"/>
  <c r="T65" i="20"/>
  <c r="J97" i="17"/>
  <c r="V30" i="19"/>
  <c r="F123" i="46"/>
  <c r="H90" i="20"/>
  <c r="S76" i="26"/>
  <c r="AC68" i="46"/>
  <c r="K12" i="46"/>
  <c r="T28" i="20"/>
  <c r="X64" i="15"/>
  <c r="I35" i="17"/>
  <c r="J129" i="19"/>
  <c r="J96" i="46"/>
  <c r="I81" i="26"/>
  <c r="AB38" i="16"/>
  <c r="U23" i="50"/>
  <c r="T113" i="19"/>
  <c r="H142" i="19"/>
  <c r="X128" i="46"/>
  <c r="Y33" i="46"/>
  <c r="R67" i="20"/>
  <c r="AA64" i="46"/>
  <c r="G54" i="26"/>
  <c r="R19" i="19"/>
  <c r="T32" i="19"/>
  <c r="K55" i="17"/>
  <c r="G74" i="16"/>
  <c r="E12" i="15"/>
  <c r="T89" i="20"/>
  <c r="W67" i="15"/>
  <c r="V12" i="19"/>
  <c r="F66" i="17"/>
  <c r="D37" i="20"/>
  <c r="R33" i="20"/>
  <c r="H31" i="48"/>
  <c r="T60" i="20"/>
  <c r="F95" i="46"/>
  <c r="Y31" i="48"/>
  <c r="BG141" i="46"/>
  <c r="W70" i="17"/>
  <c r="F25" i="50"/>
  <c r="F27" i="20"/>
  <c r="F72" i="16"/>
  <c r="I45" i="26"/>
  <c r="I52" i="21"/>
  <c r="J7" i="50"/>
  <c r="J39" i="48"/>
  <c r="S62" i="16"/>
  <c r="BK119" i="46"/>
  <c r="T43" i="20"/>
  <c r="BI82" i="46"/>
  <c r="F99" i="17"/>
  <c r="J83" i="26"/>
  <c r="Z34" i="26"/>
  <c r="J26" i="21"/>
  <c r="S24" i="19"/>
  <c r="BK34" i="46"/>
  <c r="H27" i="21"/>
  <c r="I43" i="17"/>
  <c r="K71" i="15"/>
  <c r="J36" i="26"/>
  <c r="G128" i="46"/>
  <c r="R60" i="15"/>
  <c r="G29" i="17"/>
  <c r="R85" i="20"/>
  <c r="W13" i="46"/>
  <c r="R56" i="17"/>
  <c r="E28" i="50"/>
  <c r="S38" i="21"/>
  <c r="H64" i="16"/>
  <c r="BJ141" i="46"/>
  <c r="X108" i="46"/>
  <c r="D77" i="16"/>
  <c r="J135" i="19"/>
  <c r="I123" i="19"/>
  <c r="E42" i="19"/>
  <c r="AA15" i="16"/>
  <c r="H42" i="46"/>
  <c r="G29" i="20"/>
  <c r="Y109" i="17"/>
  <c r="H86" i="17"/>
  <c r="H37" i="48"/>
  <c r="X53" i="17"/>
  <c r="H16" i="50"/>
  <c r="W79" i="15"/>
  <c r="G53" i="20"/>
  <c r="U143" i="19"/>
  <c r="L39" i="48"/>
  <c r="W77" i="15"/>
  <c r="BJ59" i="46"/>
  <c r="S10" i="50"/>
  <c r="H45" i="26"/>
  <c r="I44" i="46"/>
  <c r="H10" i="17"/>
  <c r="H19" i="19"/>
  <c r="G25" i="26"/>
  <c r="Y38" i="26"/>
  <c r="H66" i="26"/>
  <c r="H70" i="16"/>
  <c r="H49" i="46"/>
  <c r="I27" i="21"/>
  <c r="E32" i="26"/>
  <c r="AC126" i="46"/>
  <c r="BJ80" i="46"/>
  <c r="AB57" i="46"/>
  <c r="R57" i="16"/>
  <c r="E22" i="15"/>
  <c r="T100" i="17"/>
  <c r="G27" i="17"/>
  <c r="K54" i="46"/>
  <c r="K17" i="17"/>
  <c r="T117" i="20"/>
  <c r="I41" i="21"/>
  <c r="S58" i="20"/>
  <c r="Z18" i="16"/>
  <c r="S107" i="17"/>
  <c r="U17" i="50"/>
  <c r="S15" i="17"/>
  <c r="R68" i="20"/>
  <c r="H87" i="16"/>
  <c r="S64" i="16"/>
  <c r="I56" i="16"/>
  <c r="BG104" i="46"/>
  <c r="BI7" i="46"/>
  <c r="G89" i="20"/>
  <c r="Q89" i="20" s="1"/>
  <c r="X56" i="15"/>
  <c r="D100" i="17"/>
  <c r="R21" i="20"/>
  <c r="E70" i="15"/>
  <c r="R55" i="26"/>
  <c r="J24" i="50"/>
  <c r="R77" i="20"/>
  <c r="F88" i="15"/>
  <c r="S9" i="20"/>
  <c r="R15" i="21"/>
  <c r="Y28" i="46"/>
  <c r="U29" i="48"/>
  <c r="Z11" i="15"/>
  <c r="F24" i="44"/>
  <c r="G84" i="20"/>
  <c r="Q84" i="20" s="1"/>
  <c r="E62" i="16"/>
  <c r="K141" i="46"/>
  <c r="Y97" i="17"/>
  <c r="BI129" i="46"/>
  <c r="S29" i="20"/>
  <c r="J100" i="17"/>
  <c r="Y29" i="48"/>
  <c r="S11" i="50"/>
  <c r="E118" i="19"/>
  <c r="Z100" i="46"/>
  <c r="Z8" i="15"/>
  <c r="U43" i="26"/>
  <c r="G44" i="46"/>
  <c r="F69" i="17"/>
  <c r="Y33" i="26"/>
  <c r="BH31" i="46"/>
  <c r="BG69" i="46"/>
  <c r="E81" i="17"/>
  <c r="R27" i="21"/>
  <c r="I57" i="46"/>
  <c r="BJ46" i="46"/>
  <c r="J62" i="46"/>
  <c r="AA23" i="16"/>
  <c r="G140" i="46"/>
  <c r="X13" i="48"/>
  <c r="F48" i="19"/>
  <c r="I96" i="46"/>
  <c r="X72" i="17"/>
  <c r="S35" i="20"/>
  <c r="G38" i="46"/>
  <c r="R57" i="19"/>
  <c r="F47" i="17"/>
  <c r="T12" i="17"/>
  <c r="BI10" i="46"/>
  <c r="E62" i="20"/>
  <c r="D18" i="26"/>
  <c r="T69" i="17"/>
  <c r="G63" i="20"/>
  <c r="AC121" i="46"/>
  <c r="G37" i="20"/>
  <c r="Y112" i="46"/>
  <c r="F23" i="46"/>
  <c r="AA53" i="16"/>
  <c r="Y31" i="46"/>
  <c r="Z10" i="15"/>
  <c r="T15" i="48"/>
  <c r="F8" i="15"/>
  <c r="S14" i="17"/>
  <c r="G18" i="44"/>
  <c r="BG42" i="46"/>
  <c r="Y14" i="17"/>
  <c r="T34" i="19"/>
  <c r="V66" i="46"/>
  <c r="Z129" i="46"/>
  <c r="S15" i="20"/>
  <c r="K11" i="48"/>
  <c r="U41" i="26"/>
  <c r="I37" i="21"/>
  <c r="H72" i="20"/>
  <c r="X88" i="15"/>
  <c r="R98" i="20"/>
  <c r="Z121" i="46"/>
  <c r="BG52" i="46"/>
  <c r="D125" i="19"/>
  <c r="H56" i="16"/>
  <c r="E11" i="16"/>
  <c r="S49" i="17"/>
  <c r="F49" i="15"/>
  <c r="F69" i="16"/>
  <c r="T40" i="46"/>
  <c r="J39" i="17"/>
  <c r="BH50" i="46"/>
  <c r="W35" i="21"/>
  <c r="AA85" i="16"/>
  <c r="R59" i="16"/>
  <c r="F65" i="26"/>
  <c r="U112" i="20"/>
  <c r="F51" i="17"/>
  <c r="W63" i="16"/>
  <c r="H76" i="17"/>
  <c r="W60" i="16"/>
  <c r="H49" i="21"/>
  <c r="AD45" i="26"/>
  <c r="I27" i="19"/>
  <c r="S55" i="16"/>
  <c r="F68" i="20"/>
  <c r="W102" i="46"/>
  <c r="J47" i="48"/>
  <c r="Y19" i="48"/>
  <c r="F54" i="15"/>
  <c r="S21" i="26"/>
  <c r="W12" i="21"/>
  <c r="BK37" i="46"/>
  <c r="D56" i="20"/>
  <c r="U37" i="19"/>
  <c r="G58" i="26"/>
  <c r="T116" i="19"/>
  <c r="W31" i="15"/>
  <c r="AC52" i="46"/>
  <c r="Y37" i="17"/>
  <c r="Y67" i="15"/>
  <c r="J70" i="17"/>
  <c r="J70" i="16"/>
  <c r="D86" i="20"/>
  <c r="D25" i="44"/>
  <c r="BJ48" i="46"/>
  <c r="S9" i="21"/>
  <c r="I35" i="19"/>
  <c r="R68" i="15"/>
  <c r="AA64" i="15"/>
  <c r="E23" i="20"/>
  <c r="X82" i="16"/>
  <c r="V126" i="19"/>
  <c r="F28" i="20"/>
  <c r="J10" i="46"/>
  <c r="AA32" i="26"/>
  <c r="G108" i="16"/>
  <c r="AA36" i="15"/>
  <c r="V141" i="19"/>
  <c r="J21" i="46"/>
  <c r="J47" i="15"/>
  <c r="J48" i="15" s="1"/>
  <c r="J24" i="48"/>
  <c r="S73" i="16"/>
  <c r="K25" i="46"/>
  <c r="BK142" i="46"/>
  <c r="E49" i="21"/>
  <c r="D131" i="19"/>
  <c r="I145" i="46"/>
  <c r="K78" i="15"/>
  <c r="V51" i="21"/>
  <c r="F109" i="20"/>
  <c r="AC38" i="26"/>
  <c r="T57" i="20"/>
  <c r="BI20" i="46"/>
  <c r="J128" i="46"/>
  <c r="K97" i="17"/>
  <c r="V85" i="15"/>
  <c r="BK15" i="46"/>
  <c r="E127" i="19"/>
  <c r="AD33" i="26"/>
  <c r="H55" i="17"/>
  <c r="X110" i="17"/>
  <c r="U15" i="48"/>
  <c r="R47" i="21"/>
  <c r="V50" i="20"/>
  <c r="T58" i="19"/>
  <c r="U90" i="20"/>
  <c r="U101" i="20"/>
  <c r="J40" i="46"/>
  <c r="K25" i="17"/>
  <c r="BK134" i="46"/>
  <c r="W67" i="16"/>
  <c r="W51" i="46"/>
  <c r="I15" i="19"/>
  <c r="V125" i="19"/>
  <c r="D127" i="19"/>
  <c r="K79" i="15"/>
  <c r="AB94" i="16"/>
  <c r="T37" i="17"/>
  <c r="G34" i="50"/>
  <c r="H8" i="50"/>
  <c r="F29" i="21"/>
  <c r="R11" i="19"/>
  <c r="BH144" i="46"/>
  <c r="K78" i="17"/>
  <c r="W13" i="17"/>
  <c r="D64" i="15"/>
  <c r="H104" i="17"/>
  <c r="D107" i="16"/>
  <c r="G9" i="44"/>
  <c r="S55" i="26"/>
  <c r="T33" i="19"/>
  <c r="F116" i="19"/>
  <c r="S18" i="19"/>
  <c r="S38" i="17"/>
  <c r="F80" i="17"/>
  <c r="H114" i="46"/>
  <c r="W113" i="46"/>
  <c r="J34" i="26"/>
  <c r="F51" i="20"/>
  <c r="K37" i="46"/>
  <c r="V46" i="46"/>
  <c r="W14" i="15"/>
  <c r="BH57" i="46"/>
  <c r="J35" i="19"/>
  <c r="E84" i="16"/>
  <c r="D114" i="20"/>
  <c r="J30" i="17"/>
  <c r="W35" i="15"/>
  <c r="AB85" i="16"/>
  <c r="AC141" i="46"/>
  <c r="AA53" i="15"/>
  <c r="R73" i="15"/>
  <c r="H58" i="16"/>
  <c r="W30" i="50"/>
  <c r="U141" i="19"/>
  <c r="AA57" i="46"/>
  <c r="F94" i="17"/>
  <c r="H140" i="46"/>
  <c r="AA93" i="15"/>
  <c r="G61" i="20"/>
  <c r="G71" i="20"/>
  <c r="J12" i="46"/>
  <c r="F15" i="19"/>
  <c r="BG79" i="46"/>
  <c r="Y24" i="48"/>
  <c r="T86" i="20"/>
  <c r="Y25" i="46"/>
  <c r="Y72" i="15"/>
  <c r="W51" i="15"/>
  <c r="X64" i="16"/>
  <c r="X55" i="16"/>
  <c r="W62" i="15"/>
  <c r="D38" i="19"/>
  <c r="F136" i="46"/>
  <c r="J27" i="46"/>
  <c r="H52" i="46"/>
  <c r="F22" i="15"/>
  <c r="J87" i="16"/>
  <c r="H92" i="15"/>
  <c r="W73" i="46"/>
  <c r="T77" i="46"/>
  <c r="AA108" i="16"/>
  <c r="BG120" i="46"/>
  <c r="J58" i="17"/>
  <c r="J47" i="46"/>
  <c r="BI37" i="46"/>
  <c r="G84" i="15"/>
  <c r="E11" i="48"/>
  <c r="AA80" i="46"/>
  <c r="AC34" i="46"/>
  <c r="E21" i="19"/>
  <c r="Y71" i="17"/>
  <c r="AA47" i="46"/>
  <c r="AC115" i="46"/>
  <c r="F29" i="17"/>
  <c r="F135" i="46"/>
  <c r="AA86" i="15"/>
  <c r="G33" i="50"/>
  <c r="D14" i="16"/>
  <c r="G79" i="16"/>
  <c r="E39" i="15"/>
  <c r="J11" i="21"/>
  <c r="K41" i="17"/>
  <c r="F96" i="16"/>
  <c r="J19" i="19"/>
  <c r="R124" i="19"/>
  <c r="AB86" i="16"/>
  <c r="E72" i="20"/>
  <c r="BG83" i="46"/>
  <c r="S24" i="20"/>
  <c r="J108" i="19"/>
  <c r="G127" i="46"/>
  <c r="G62" i="16"/>
  <c r="S110" i="19"/>
  <c r="F42" i="20"/>
  <c r="AA67" i="16"/>
  <c r="AB31" i="15"/>
  <c r="E16" i="19"/>
  <c r="U39" i="19"/>
  <c r="Y59" i="17"/>
  <c r="J65" i="46"/>
  <c r="F24" i="19"/>
  <c r="BI83" i="46"/>
  <c r="BI26" i="46"/>
  <c r="V13" i="19"/>
  <c r="G53" i="46"/>
  <c r="W41" i="46"/>
  <c r="BG136" i="46"/>
  <c r="F72" i="15"/>
  <c r="BG44" i="46"/>
  <c r="S14" i="20"/>
  <c r="D135" i="19"/>
  <c r="X111" i="46"/>
  <c r="I75" i="16"/>
  <c r="R24" i="20"/>
  <c r="T42" i="48"/>
  <c r="D13" i="26"/>
  <c r="Y134" i="46"/>
  <c r="G136" i="46"/>
  <c r="E19" i="50"/>
  <c r="G90" i="17"/>
  <c r="U12" i="19"/>
  <c r="X62" i="17"/>
  <c r="K51" i="17"/>
  <c r="W112" i="17"/>
  <c r="E101" i="17"/>
  <c r="H45" i="15"/>
  <c r="H46" i="15" s="1"/>
  <c r="G19" i="48"/>
  <c r="H31" i="20"/>
  <c r="V39" i="26"/>
  <c r="L88" i="46"/>
  <c r="S108" i="20"/>
  <c r="Y71" i="46"/>
  <c r="L59" i="46"/>
  <c r="BG77" i="46"/>
  <c r="BI95" i="46"/>
  <c r="U6" i="46"/>
  <c r="J131" i="46"/>
  <c r="F14" i="50"/>
  <c r="F68" i="46"/>
  <c r="W19" i="50"/>
  <c r="BH132" i="46"/>
  <c r="F12" i="46"/>
  <c r="R58" i="16"/>
  <c r="G74" i="20"/>
  <c r="W68" i="46"/>
  <c r="J52" i="46"/>
  <c r="T95" i="20"/>
  <c r="Y132" i="46"/>
  <c r="Y66" i="15"/>
  <c r="BH130" i="46"/>
  <c r="H78" i="17"/>
  <c r="J10" i="48"/>
  <c r="AA38" i="15"/>
  <c r="AA13" i="46"/>
  <c r="BJ65" i="46"/>
  <c r="K82" i="17"/>
  <c r="F53" i="20"/>
  <c r="D94" i="15"/>
  <c r="BG10" i="46"/>
  <c r="BH42" i="46"/>
  <c r="F75" i="16"/>
  <c r="F100" i="46"/>
  <c r="F19" i="44"/>
  <c r="R47" i="19"/>
  <c r="K34" i="46"/>
  <c r="H49" i="15"/>
  <c r="BI19" i="46"/>
  <c r="I39" i="16"/>
  <c r="I33" i="16" s="1"/>
  <c r="T35" i="19"/>
  <c r="V45" i="26"/>
  <c r="R116" i="17"/>
  <c r="Y27" i="17"/>
  <c r="U12" i="46"/>
  <c r="W25" i="46"/>
  <c r="Y42" i="17"/>
  <c r="BI120" i="46"/>
  <c r="E27" i="21"/>
  <c r="F60" i="46"/>
  <c r="Z128" i="46"/>
  <c r="G140" i="19"/>
  <c r="V22" i="21"/>
  <c r="I32" i="46"/>
  <c r="AC60" i="46"/>
  <c r="AA90" i="16"/>
  <c r="BH134" i="46"/>
  <c r="H51" i="15"/>
  <c r="T14" i="50"/>
  <c r="R111" i="17"/>
  <c r="H40" i="46"/>
  <c r="BI44" i="46"/>
  <c r="H107" i="17"/>
  <c r="F6" i="46"/>
  <c r="K105" i="46"/>
  <c r="R45" i="19"/>
  <c r="S127" i="19"/>
  <c r="F107" i="17"/>
  <c r="H50" i="46"/>
  <c r="F10" i="46"/>
  <c r="T8" i="46"/>
  <c r="I106" i="16"/>
  <c r="G58" i="46"/>
  <c r="V40" i="26"/>
  <c r="H9" i="46"/>
  <c r="X96" i="17"/>
  <c r="H22" i="21"/>
  <c r="F24" i="15"/>
  <c r="T34" i="17"/>
  <c r="E87" i="16"/>
  <c r="G11" i="17"/>
  <c r="G45" i="46"/>
  <c r="H145" i="46"/>
  <c r="D27" i="17"/>
  <c r="V110" i="19"/>
  <c r="J36" i="46"/>
  <c r="I71" i="15"/>
  <c r="U71" i="15" s="1"/>
  <c r="R15" i="19"/>
  <c r="T64" i="16"/>
  <c r="I133" i="46"/>
  <c r="J33" i="50"/>
  <c r="G99" i="46"/>
  <c r="BG13" i="46"/>
  <c r="G11" i="21"/>
  <c r="R18" i="20"/>
  <c r="K9" i="17"/>
  <c r="J100" i="46"/>
  <c r="K91" i="15"/>
  <c r="J47" i="21"/>
  <c r="E28" i="44"/>
  <c r="AA60" i="46"/>
  <c r="Z41" i="46"/>
  <c r="J124" i="46"/>
  <c r="K25" i="44"/>
  <c r="AA53" i="46"/>
  <c r="K77" i="17"/>
  <c r="X7" i="48"/>
  <c r="J93" i="15"/>
  <c r="Y63" i="17"/>
  <c r="BG71" i="46"/>
  <c r="V42" i="26"/>
  <c r="E53" i="15"/>
  <c r="AD39" i="26"/>
  <c r="D45" i="17"/>
  <c r="D61" i="16"/>
  <c r="AB62" i="16"/>
  <c r="V66" i="15"/>
  <c r="I30" i="48"/>
  <c r="R32" i="19"/>
  <c r="G50" i="21"/>
  <c r="AB68" i="46"/>
  <c r="X25" i="17"/>
  <c r="W10" i="50"/>
  <c r="T62" i="46"/>
  <c r="Z17" i="46"/>
  <c r="R11" i="17"/>
  <c r="G55" i="16"/>
  <c r="J7" i="19"/>
  <c r="G57" i="16"/>
  <c r="G32" i="17"/>
  <c r="AA17" i="15"/>
  <c r="E23" i="26"/>
  <c r="Y84" i="15"/>
  <c r="R87" i="20"/>
  <c r="J80" i="17"/>
  <c r="AA49" i="46"/>
  <c r="BJ19" i="46"/>
  <c r="G42" i="20"/>
  <c r="H104" i="46"/>
  <c r="AA98" i="16"/>
  <c r="T56" i="46"/>
  <c r="I107" i="16"/>
  <c r="G55" i="17"/>
  <c r="K22" i="46"/>
  <c r="AB78" i="15"/>
  <c r="AA28" i="15"/>
  <c r="S37" i="50"/>
  <c r="J144" i="46"/>
  <c r="I131" i="19"/>
  <c r="F9" i="26"/>
  <c r="F24" i="50"/>
  <c r="U16" i="46"/>
  <c r="T41" i="48"/>
  <c r="E12" i="17"/>
  <c r="H60" i="20"/>
  <c r="T9" i="46"/>
  <c r="U72" i="20"/>
  <c r="E46" i="26"/>
  <c r="T7" i="21"/>
  <c r="F21" i="50"/>
  <c r="D10" i="17"/>
  <c r="G64" i="20"/>
  <c r="Q64" i="20" s="1"/>
  <c r="U40" i="46"/>
  <c r="Y78" i="17"/>
  <c r="D54" i="17"/>
  <c r="L10" i="48"/>
  <c r="H11" i="46"/>
  <c r="J7" i="48"/>
  <c r="L42" i="48"/>
  <c r="H25" i="21"/>
  <c r="I54" i="20"/>
  <c r="S114" i="17"/>
  <c r="U76" i="20"/>
  <c r="G24" i="20"/>
  <c r="R38" i="19"/>
  <c r="T44" i="48"/>
  <c r="H143" i="46"/>
  <c r="AB10" i="15"/>
  <c r="F19" i="50"/>
  <c r="BI118" i="46"/>
  <c r="U13" i="21"/>
  <c r="I139" i="19"/>
  <c r="AA92" i="15"/>
  <c r="F87" i="46"/>
  <c r="S83" i="26"/>
  <c r="V52" i="46"/>
  <c r="L96" i="46"/>
  <c r="AB52" i="15"/>
  <c r="K18" i="44"/>
  <c r="X94" i="17"/>
  <c r="R52" i="19"/>
  <c r="V23" i="21"/>
  <c r="D42" i="19"/>
  <c r="L82" i="46"/>
  <c r="H81" i="20"/>
  <c r="H16" i="48"/>
  <c r="G63" i="26"/>
  <c r="R52" i="16"/>
  <c r="W43" i="26"/>
  <c r="S7" i="20"/>
  <c r="E72" i="26"/>
  <c r="D90" i="17"/>
  <c r="I39" i="21"/>
  <c r="S109" i="20"/>
  <c r="F42" i="46"/>
  <c r="Y128" i="46"/>
  <c r="AA77" i="46"/>
  <c r="T69" i="20"/>
  <c r="F26" i="46"/>
  <c r="R114" i="20"/>
  <c r="G31" i="19"/>
  <c r="G41" i="26"/>
  <c r="L68" i="46"/>
  <c r="H75" i="26"/>
  <c r="G22" i="50"/>
  <c r="L17" i="48"/>
  <c r="V37" i="50"/>
  <c r="F98" i="17"/>
  <c r="BJ137" i="46"/>
  <c r="F102" i="46"/>
  <c r="E46" i="17"/>
  <c r="H10" i="48"/>
  <c r="E14" i="17"/>
  <c r="V81" i="15"/>
  <c r="X21" i="48"/>
  <c r="S14" i="21"/>
  <c r="H96" i="15"/>
  <c r="W33" i="46"/>
  <c r="E43" i="17"/>
  <c r="G21" i="46"/>
  <c r="E83" i="26"/>
  <c r="BJ75" i="46"/>
  <c r="V44" i="46"/>
  <c r="V52" i="21"/>
  <c r="Y145" i="46"/>
  <c r="J75" i="26"/>
  <c r="T41" i="50"/>
  <c r="F103" i="16"/>
  <c r="J27" i="48"/>
  <c r="BK70" i="46"/>
  <c r="BJ34" i="46"/>
  <c r="S50" i="20"/>
  <c r="V94" i="15"/>
  <c r="K63" i="15"/>
  <c r="G40" i="17"/>
  <c r="E19" i="26"/>
  <c r="Z30" i="48"/>
  <c r="H27" i="20"/>
  <c r="U120" i="19"/>
  <c r="AA67" i="15"/>
  <c r="H27" i="50"/>
  <c r="E35" i="20"/>
  <c r="Z96" i="46"/>
  <c r="H22" i="20"/>
  <c r="BH100" i="46"/>
  <c r="F38" i="21"/>
  <c r="W80" i="16"/>
  <c r="AB55" i="16"/>
  <c r="G14" i="46"/>
  <c r="G41" i="46"/>
  <c r="G97" i="16"/>
  <c r="H34" i="20"/>
  <c r="D121" i="19"/>
  <c r="E18" i="15"/>
  <c r="F144" i="19"/>
  <c r="H39" i="20"/>
  <c r="G51" i="21"/>
  <c r="S46" i="17"/>
  <c r="W88" i="16"/>
  <c r="H137" i="46"/>
  <c r="I126" i="19"/>
  <c r="S76" i="20"/>
  <c r="Y80" i="15"/>
  <c r="D123" i="19"/>
  <c r="D112" i="20"/>
  <c r="K19" i="48"/>
  <c r="J9" i="46"/>
  <c r="Y44" i="15"/>
  <c r="J83" i="46"/>
  <c r="T13" i="50"/>
  <c r="U44" i="46"/>
  <c r="BG74" i="46"/>
  <c r="X16" i="48"/>
  <c r="BH129" i="46"/>
  <c r="I21" i="20"/>
  <c r="H94" i="17"/>
  <c r="BK102" i="46"/>
  <c r="J88" i="17"/>
  <c r="J84" i="17"/>
  <c r="I29" i="20"/>
  <c r="X40" i="17"/>
  <c r="G10" i="20"/>
  <c r="J32" i="26"/>
  <c r="U83" i="20"/>
  <c r="T75" i="20"/>
  <c r="X77" i="17"/>
  <c r="AC81" i="46"/>
  <c r="BK103" i="46"/>
  <c r="I89" i="46"/>
  <c r="G66" i="20"/>
  <c r="Q66" i="20" s="1"/>
  <c r="BG129" i="46"/>
  <c r="I143" i="19"/>
  <c r="Y33" i="17"/>
  <c r="V54" i="15"/>
  <c r="X12" i="17"/>
  <c r="W114" i="46"/>
  <c r="V17" i="19"/>
  <c r="I127" i="19"/>
  <c r="R40" i="26"/>
  <c r="I24" i="17"/>
  <c r="AB15" i="46"/>
  <c r="AC130" i="46"/>
  <c r="J49" i="19"/>
  <c r="Z35" i="46"/>
  <c r="F82" i="17"/>
  <c r="E92" i="20"/>
  <c r="G14" i="48"/>
  <c r="U53" i="20"/>
  <c r="D115" i="17"/>
  <c r="R60" i="16"/>
  <c r="S38" i="48"/>
  <c r="W92" i="46"/>
  <c r="S46" i="48"/>
  <c r="S83" i="15"/>
  <c r="H31" i="50"/>
  <c r="T53" i="16"/>
  <c r="F9" i="46"/>
  <c r="J75" i="16"/>
  <c r="G35" i="21"/>
  <c r="K110" i="17"/>
  <c r="G34" i="17"/>
  <c r="Y82" i="16"/>
  <c r="I20" i="46"/>
  <c r="G62" i="46"/>
  <c r="G25" i="46"/>
  <c r="F46" i="19"/>
  <c r="X33" i="17"/>
  <c r="D84" i="17"/>
  <c r="H37" i="17"/>
  <c r="D40" i="50"/>
  <c r="T52" i="21"/>
  <c r="D72" i="20"/>
  <c r="BJ126" i="46"/>
  <c r="X31" i="17"/>
  <c r="U116" i="20"/>
  <c r="X87" i="15"/>
  <c r="T57" i="17"/>
  <c r="F38" i="50"/>
  <c r="V9" i="20"/>
  <c r="BG14" i="46"/>
  <c r="E63" i="16"/>
  <c r="U30" i="48"/>
  <c r="AC61" i="46"/>
  <c r="AB53" i="15"/>
  <c r="AA76" i="15"/>
  <c r="T54" i="46"/>
  <c r="F41" i="17"/>
  <c r="AB68" i="15"/>
  <c r="Y37" i="46"/>
  <c r="F44" i="46"/>
  <c r="L84" i="46"/>
  <c r="F132" i="19"/>
  <c r="BG94" i="46"/>
  <c r="Y16" i="46"/>
  <c r="X31" i="26"/>
  <c r="L97" i="46"/>
  <c r="K22" i="48"/>
  <c r="T60" i="46"/>
  <c r="H107" i="46"/>
  <c r="BH138" i="46"/>
  <c r="U9" i="46"/>
  <c r="Z9" i="15"/>
  <c r="J141" i="19"/>
  <c r="AA8" i="46"/>
  <c r="G29" i="46"/>
  <c r="T14" i="46"/>
  <c r="W72" i="16"/>
  <c r="Y18" i="44"/>
  <c r="W42" i="21"/>
  <c r="S105" i="17"/>
  <c r="D109" i="19"/>
  <c r="R116" i="19"/>
  <c r="V28" i="21"/>
  <c r="BK55" i="46"/>
  <c r="S10" i="26"/>
  <c r="S7" i="26" s="1"/>
  <c r="E24" i="48"/>
  <c r="E27" i="15"/>
  <c r="I47" i="17"/>
  <c r="I126" i="46"/>
  <c r="E18" i="16"/>
  <c r="BI18" i="46"/>
  <c r="Y70" i="17"/>
  <c r="U18" i="19"/>
  <c r="H82" i="46"/>
  <c r="AC142" i="46"/>
  <c r="G137" i="46"/>
  <c r="D47" i="15"/>
  <c r="D48" i="15" s="1"/>
  <c r="BG57" i="46"/>
  <c r="S8" i="44"/>
  <c r="I26" i="46"/>
  <c r="G134" i="46"/>
  <c r="F96" i="20"/>
  <c r="F42" i="19"/>
  <c r="F68" i="15"/>
  <c r="H25" i="26"/>
  <c r="X60" i="17"/>
  <c r="Y123" i="46"/>
  <c r="BH13" i="46"/>
  <c r="Z37" i="46"/>
  <c r="F18" i="26"/>
  <c r="G61" i="46"/>
  <c r="I124" i="19"/>
  <c r="J36" i="48"/>
  <c r="J22" i="19"/>
  <c r="X19" i="48"/>
  <c r="L33" i="48"/>
  <c r="F105" i="20"/>
  <c r="S106" i="20"/>
  <c r="S70" i="17"/>
  <c r="W23" i="50"/>
  <c r="J45" i="46"/>
  <c r="AB54" i="15"/>
  <c r="W127" i="46"/>
  <c r="D39" i="19"/>
  <c r="T30" i="16"/>
  <c r="I46" i="21"/>
  <c r="V86" i="15"/>
  <c r="Y133" i="46"/>
  <c r="E8" i="20"/>
  <c r="H56" i="17"/>
  <c r="F22" i="44"/>
  <c r="D77" i="17"/>
  <c r="J47" i="19"/>
  <c r="Z61" i="46"/>
  <c r="E25" i="44"/>
  <c r="S76" i="15"/>
  <c r="I11" i="21"/>
  <c r="BH49" i="46"/>
  <c r="U42" i="20"/>
  <c r="H114" i="17"/>
  <c r="G72" i="20"/>
  <c r="D13" i="19"/>
  <c r="G36" i="21"/>
  <c r="X30" i="26"/>
  <c r="H13" i="20"/>
  <c r="F92" i="46"/>
  <c r="S27" i="19"/>
  <c r="AA30" i="26"/>
  <c r="R56" i="19"/>
  <c r="Z39" i="15"/>
  <c r="I100" i="17"/>
  <c r="F55" i="16"/>
  <c r="J14" i="50"/>
  <c r="Z98" i="46"/>
  <c r="Z27" i="46"/>
  <c r="AA96" i="16"/>
  <c r="Z13" i="48"/>
  <c r="BG59" i="46"/>
  <c r="I15" i="21"/>
  <c r="Y10" i="48"/>
  <c r="J14" i="46"/>
  <c r="I64" i="16"/>
  <c r="W53" i="46"/>
  <c r="F57" i="26"/>
  <c r="R17" i="20"/>
  <c r="AB22" i="15"/>
  <c r="Z36" i="26"/>
  <c r="AA35" i="15"/>
  <c r="S66" i="20"/>
  <c r="G33" i="19"/>
  <c r="I16" i="48"/>
  <c r="I18" i="20"/>
  <c r="V39" i="19"/>
  <c r="K58" i="17"/>
  <c r="L9" i="46"/>
  <c r="BK39" i="46"/>
  <c r="S25" i="50"/>
  <c r="V70" i="46"/>
  <c r="E57" i="16"/>
  <c r="V37" i="20"/>
  <c r="U47" i="20"/>
  <c r="K104" i="17"/>
  <c r="G14" i="21"/>
  <c r="BJ124" i="46"/>
  <c r="G39" i="20"/>
  <c r="V81" i="20"/>
  <c r="X58" i="17"/>
  <c r="T63" i="20"/>
  <c r="BI6" i="46"/>
  <c r="W43" i="16"/>
  <c r="E27" i="19"/>
  <c r="H23" i="21"/>
  <c r="D38" i="50"/>
  <c r="V25" i="19"/>
  <c r="J71" i="17"/>
  <c r="V49" i="46"/>
  <c r="AD29" i="26"/>
  <c r="E44" i="16"/>
  <c r="T116" i="17"/>
  <c r="R10" i="19"/>
  <c r="J8" i="26"/>
  <c r="R90" i="17"/>
  <c r="S56" i="15"/>
  <c r="D42" i="20"/>
  <c r="R9" i="17"/>
  <c r="V7" i="19"/>
  <c r="G21" i="48"/>
  <c r="U25" i="19"/>
  <c r="BI116" i="46"/>
  <c r="V48" i="15"/>
  <c r="W48" i="16"/>
  <c r="K85" i="17"/>
  <c r="H28" i="46"/>
  <c r="S95" i="20"/>
  <c r="H83" i="46"/>
  <c r="AA40" i="46"/>
  <c r="G43" i="20"/>
  <c r="T29" i="26"/>
  <c r="T70" i="16"/>
  <c r="BG76" i="46"/>
  <c r="E7" i="16"/>
  <c r="G22" i="21"/>
  <c r="BG46" i="46"/>
  <c r="J7" i="46"/>
  <c r="I113" i="46"/>
  <c r="W56" i="16"/>
  <c r="G93" i="16"/>
  <c r="T32" i="16"/>
  <c r="R122" i="19"/>
  <c r="E53" i="17"/>
  <c r="AC29" i="26"/>
  <c r="H74" i="16"/>
  <c r="J112" i="46"/>
  <c r="E33" i="20"/>
  <c r="S78" i="15"/>
  <c r="AA36" i="26"/>
  <c r="R74" i="26"/>
  <c r="T74" i="26" s="1"/>
  <c r="S70" i="16"/>
  <c r="F93" i="20"/>
  <c r="Q93" i="20" s="1"/>
  <c r="J29" i="26"/>
  <c r="R30" i="16"/>
  <c r="T97" i="17"/>
  <c r="G74" i="26"/>
  <c r="H96" i="46"/>
  <c r="AA43" i="16"/>
  <c r="V8" i="46"/>
  <c r="E55" i="20"/>
  <c r="W31" i="26"/>
  <c r="U36" i="19"/>
  <c r="G36" i="26"/>
  <c r="Y15" i="44"/>
  <c r="Y144" i="46"/>
  <c r="F12" i="50"/>
  <c r="R51" i="20"/>
  <c r="D105" i="16"/>
  <c r="V53" i="19"/>
  <c r="V40" i="50"/>
  <c r="H15" i="48"/>
  <c r="G50" i="17"/>
  <c r="V22" i="50"/>
  <c r="K37" i="48"/>
  <c r="D12" i="19"/>
  <c r="Y39" i="46"/>
  <c r="H9" i="48"/>
  <c r="AB65" i="46"/>
  <c r="D58" i="26"/>
  <c r="K46" i="48"/>
  <c r="Y83" i="15"/>
  <c r="H15" i="19"/>
  <c r="D10" i="50"/>
  <c r="W18" i="21"/>
  <c r="I119" i="19"/>
  <c r="H54" i="20"/>
  <c r="BJ111" i="46"/>
  <c r="X69" i="46"/>
  <c r="X100" i="46"/>
  <c r="I21" i="19"/>
  <c r="Z17" i="15"/>
  <c r="E39" i="17"/>
  <c r="V107" i="19"/>
  <c r="D27" i="50"/>
  <c r="K43" i="48"/>
  <c r="H56" i="15"/>
  <c r="I96" i="15"/>
  <c r="U96" i="15" s="1"/>
  <c r="E37" i="17"/>
  <c r="E12" i="16"/>
  <c r="F123" i="19"/>
  <c r="T108" i="20"/>
  <c r="Y22" i="46"/>
  <c r="H15" i="44"/>
  <c r="L57" i="46"/>
  <c r="W84" i="46"/>
  <c r="K21" i="48"/>
  <c r="Y28" i="17"/>
  <c r="BK112" i="46"/>
  <c r="D41" i="21"/>
  <c r="D20" i="50"/>
  <c r="V56" i="19"/>
  <c r="V72" i="15"/>
  <c r="U37" i="26"/>
  <c r="W35" i="17"/>
  <c r="Y77" i="46"/>
  <c r="H7" i="21"/>
  <c r="I52" i="46"/>
  <c r="Z12" i="46"/>
  <c r="D73" i="16"/>
  <c r="T54" i="20"/>
  <c r="D58" i="20"/>
  <c r="F31" i="15"/>
  <c r="Y96" i="46"/>
  <c r="T7" i="44"/>
  <c r="Y76" i="17"/>
  <c r="F121" i="46"/>
  <c r="I78" i="26"/>
  <c r="BH19" i="46"/>
  <c r="H55" i="16"/>
  <c r="W98" i="15"/>
  <c r="F21" i="15"/>
  <c r="F117" i="46"/>
  <c r="J65" i="26"/>
  <c r="AC116" i="46"/>
  <c r="F35" i="17"/>
  <c r="E28" i="15"/>
  <c r="D50" i="15"/>
  <c r="K107" i="46"/>
  <c r="D9" i="16"/>
  <c r="I94" i="17"/>
  <c r="G18" i="21"/>
  <c r="AB79" i="16"/>
  <c r="D35" i="20"/>
  <c r="G68" i="46"/>
  <c r="D36" i="21"/>
  <c r="K32" i="17"/>
  <c r="X23" i="46"/>
  <c r="D59" i="15"/>
  <c r="D58" i="15" s="1"/>
  <c r="E21" i="48"/>
  <c r="S115" i="19"/>
  <c r="BH81" i="46"/>
  <c r="F124" i="19"/>
  <c r="I16" i="19"/>
  <c r="T31" i="17"/>
  <c r="D15" i="21"/>
  <c r="F79" i="15"/>
  <c r="W11" i="21"/>
  <c r="I42" i="26"/>
  <c r="BG17" i="46"/>
  <c r="D111" i="19"/>
  <c r="Z28" i="15"/>
  <c r="L41" i="48"/>
  <c r="T39" i="46"/>
  <c r="D111" i="17"/>
  <c r="H129" i="19"/>
  <c r="E90" i="17"/>
  <c r="I89" i="16"/>
  <c r="Y76" i="15"/>
  <c r="AC131" i="46"/>
  <c r="K129" i="46"/>
  <c r="X7" i="46"/>
  <c r="U60" i="46"/>
  <c r="E50" i="17"/>
  <c r="S52" i="15"/>
  <c r="D81" i="26"/>
  <c r="G139" i="19"/>
  <c r="U44" i="19"/>
  <c r="X99" i="46"/>
  <c r="T27" i="48"/>
  <c r="T40" i="48"/>
  <c r="G18" i="20"/>
  <c r="W39" i="16"/>
  <c r="W33" i="16" s="1"/>
  <c r="T11" i="17"/>
  <c r="BG51" i="46"/>
  <c r="F64" i="20"/>
  <c r="BI99" i="46"/>
  <c r="BG72" i="46"/>
  <c r="AB16" i="46"/>
  <c r="F58" i="20"/>
  <c r="Z34" i="15"/>
  <c r="H142" i="46"/>
  <c r="J63" i="46"/>
  <c r="G24" i="26"/>
  <c r="G15" i="26" s="1"/>
  <c r="E97" i="16"/>
  <c r="F21" i="26"/>
  <c r="R91" i="20"/>
  <c r="E39" i="16"/>
  <c r="E33" i="16" s="1"/>
  <c r="S98" i="17"/>
  <c r="T63" i="46"/>
  <c r="K92" i="15"/>
  <c r="R34" i="19"/>
  <c r="T63" i="17"/>
  <c r="BJ36" i="46"/>
  <c r="AB13" i="15"/>
  <c r="L16" i="46"/>
  <c r="D31" i="20"/>
  <c r="V21" i="19"/>
  <c r="V46" i="26"/>
  <c r="R16" i="19"/>
  <c r="W55" i="16"/>
  <c r="I48" i="21"/>
  <c r="BJ107" i="46"/>
  <c r="V114" i="20"/>
  <c r="R69" i="17"/>
  <c r="T71" i="46"/>
  <c r="D13" i="50"/>
  <c r="I58" i="16"/>
  <c r="K68" i="46"/>
  <c r="S69" i="16"/>
  <c r="Y18" i="46"/>
  <c r="I12" i="19"/>
  <c r="U14" i="19"/>
  <c r="H74" i="17"/>
  <c r="I40" i="26"/>
  <c r="T43" i="21"/>
  <c r="AB30" i="26"/>
  <c r="I22" i="26"/>
  <c r="I14" i="26" s="1"/>
  <c r="K17" i="46"/>
  <c r="F47" i="16"/>
  <c r="K16" i="48"/>
  <c r="E55" i="26"/>
  <c r="BJ10" i="46"/>
  <c r="S71" i="20"/>
  <c r="J136" i="46"/>
  <c r="E56" i="16"/>
  <c r="H25" i="20"/>
  <c r="V33" i="26"/>
  <c r="X15" i="17"/>
  <c r="X30" i="48"/>
  <c r="U42" i="46"/>
  <c r="AA83" i="15"/>
  <c r="T39" i="26"/>
  <c r="J80" i="15"/>
  <c r="H44" i="48"/>
  <c r="T35" i="50"/>
  <c r="W58" i="46"/>
  <c r="J14" i="48"/>
  <c r="F74" i="17"/>
  <c r="R17" i="19"/>
  <c r="D9" i="20"/>
  <c r="E96" i="17"/>
  <c r="I19" i="50"/>
  <c r="S50" i="15"/>
  <c r="J44" i="16"/>
  <c r="X81" i="17"/>
  <c r="G72" i="16"/>
  <c r="BI94" i="46"/>
  <c r="D94" i="17"/>
  <c r="Y70" i="15"/>
  <c r="F43" i="21"/>
  <c r="E7" i="48"/>
  <c r="F97" i="46"/>
  <c r="E29" i="16"/>
  <c r="Z15" i="48"/>
  <c r="S54" i="19"/>
  <c r="X33" i="46"/>
  <c r="X140" i="46"/>
  <c r="I84" i="46"/>
  <c r="W136" i="46"/>
  <c r="AB45" i="46"/>
  <c r="BK92" i="46"/>
  <c r="D111" i="20"/>
  <c r="F80" i="16"/>
  <c r="Y110" i="17"/>
  <c r="U10" i="46"/>
  <c r="E36" i="17"/>
  <c r="F43" i="20"/>
  <c r="F72" i="20"/>
  <c r="W54" i="46"/>
  <c r="S82" i="17"/>
  <c r="D44" i="15"/>
  <c r="D97" i="20"/>
  <c r="D17" i="50"/>
  <c r="I43" i="26"/>
  <c r="Y35" i="46"/>
  <c r="Y53" i="17"/>
  <c r="J51" i="21"/>
  <c r="I43" i="21"/>
  <c r="I31" i="50"/>
  <c r="AA68" i="46"/>
  <c r="I36" i="26"/>
  <c r="S45" i="21"/>
  <c r="E40" i="15"/>
  <c r="BI111" i="46"/>
  <c r="V112" i="20"/>
  <c r="D18" i="21"/>
  <c r="W25" i="50"/>
  <c r="D67" i="20"/>
  <c r="Y79" i="15"/>
  <c r="E104" i="17"/>
  <c r="AA73" i="16"/>
  <c r="X42" i="46"/>
  <c r="R43" i="26"/>
  <c r="BG142" i="46"/>
  <c r="J84" i="46"/>
  <c r="T79" i="16"/>
  <c r="X72" i="46"/>
  <c r="U13" i="48"/>
  <c r="BJ30" i="46"/>
  <c r="F60" i="16"/>
  <c r="I29" i="50"/>
  <c r="J37" i="50"/>
  <c r="E13" i="26"/>
  <c r="Y46" i="46"/>
  <c r="F83" i="26"/>
  <c r="R84" i="17"/>
  <c r="H112" i="17"/>
  <c r="T25" i="21"/>
  <c r="J19" i="46"/>
  <c r="Y43" i="46"/>
  <c r="E12" i="26"/>
  <c r="L62" i="46"/>
  <c r="I39" i="20"/>
  <c r="T54" i="17"/>
  <c r="W91" i="17"/>
  <c r="E9" i="19"/>
  <c r="Y23" i="46"/>
  <c r="K84" i="15"/>
  <c r="J47" i="16"/>
  <c r="G51" i="46"/>
  <c r="Z105" i="46"/>
  <c r="AC74" i="46"/>
  <c r="AA31" i="26"/>
  <c r="J35" i="21"/>
  <c r="U41" i="19"/>
  <c r="F38" i="15"/>
  <c r="E41" i="50"/>
  <c r="AA62" i="15"/>
  <c r="H113" i="17"/>
  <c r="T68" i="15"/>
  <c r="I41" i="19"/>
  <c r="H31" i="46"/>
  <c r="W68" i="17"/>
  <c r="I24" i="46"/>
  <c r="I76" i="15"/>
  <c r="I24" i="21"/>
  <c r="K96" i="46"/>
  <c r="J22" i="44"/>
  <c r="G26" i="46"/>
  <c r="AC8" i="46"/>
  <c r="AD36" i="26"/>
  <c r="I77" i="15"/>
  <c r="E78" i="16"/>
  <c r="L8" i="46"/>
  <c r="T17" i="20"/>
  <c r="Y41" i="17"/>
  <c r="D53" i="15"/>
  <c r="AA34" i="15"/>
  <c r="S60" i="15"/>
  <c r="BI134" i="46"/>
  <c r="R67" i="17"/>
  <c r="Y24" i="17"/>
  <c r="X61" i="46"/>
  <c r="Y103" i="17"/>
  <c r="U32" i="50"/>
  <c r="BJ89" i="46"/>
  <c r="U24" i="20"/>
  <c r="Y58" i="46"/>
  <c r="H80" i="15"/>
  <c r="D33" i="19"/>
  <c r="F140" i="19"/>
  <c r="D17" i="16"/>
  <c r="D63" i="26"/>
  <c r="K130" i="46"/>
  <c r="AA26" i="16"/>
  <c r="H38" i="17"/>
  <c r="X103" i="46"/>
  <c r="G42" i="21"/>
  <c r="D16" i="17"/>
  <c r="G76" i="20"/>
  <c r="Q76" i="20" s="1"/>
  <c r="J65" i="15"/>
  <c r="G30" i="19"/>
  <c r="H119" i="46"/>
  <c r="F53" i="19"/>
  <c r="R74" i="20"/>
  <c r="F23" i="19"/>
  <c r="Z146" i="46"/>
  <c r="I45" i="17"/>
  <c r="AB35" i="15"/>
  <c r="H42" i="48"/>
  <c r="BK122" i="46"/>
  <c r="J37" i="26"/>
  <c r="S41" i="50"/>
  <c r="D63" i="16"/>
  <c r="X97" i="46"/>
  <c r="W108" i="16"/>
  <c r="Z54" i="46"/>
  <c r="D16" i="16"/>
  <c r="D85" i="15"/>
  <c r="Y22" i="48"/>
  <c r="G71" i="26"/>
  <c r="AA98" i="15"/>
  <c r="D39" i="21"/>
  <c r="J40" i="19"/>
  <c r="E98" i="15"/>
  <c r="R66" i="17"/>
  <c r="AB74" i="16"/>
  <c r="I114" i="17"/>
  <c r="F44" i="15"/>
  <c r="J42" i="17"/>
  <c r="G53" i="17"/>
  <c r="E31" i="19"/>
  <c r="D15" i="26"/>
  <c r="T78" i="20"/>
  <c r="G88" i="17"/>
  <c r="Y58" i="15"/>
  <c r="E43" i="16"/>
  <c r="E136" i="19"/>
  <c r="U22" i="19"/>
  <c r="W105" i="46"/>
  <c r="S111" i="19"/>
  <c r="F75" i="46"/>
  <c r="L81" i="46"/>
  <c r="K9" i="48"/>
  <c r="W24" i="21"/>
  <c r="V51" i="46"/>
  <c r="F12" i="15"/>
  <c r="AB14" i="46"/>
  <c r="I51" i="46"/>
  <c r="U56" i="20"/>
  <c r="H44" i="21"/>
  <c r="I34" i="26"/>
  <c r="BG81" i="46"/>
  <c r="G39" i="16"/>
  <c r="G33" i="16" s="1"/>
  <c r="I112" i="17"/>
  <c r="G96" i="16"/>
  <c r="BI72" i="46"/>
  <c r="BK105" i="46"/>
  <c r="J108" i="17"/>
  <c r="AC42" i="26"/>
  <c r="S84" i="15"/>
  <c r="T36" i="48"/>
  <c r="BI84" i="46"/>
  <c r="E38" i="20"/>
  <c r="S33" i="48"/>
  <c r="R69" i="16"/>
  <c r="S10" i="48"/>
  <c r="I27" i="46"/>
  <c r="BK121" i="46"/>
  <c r="J44" i="19"/>
  <c r="R70" i="20"/>
  <c r="S8" i="19"/>
  <c r="D92" i="20"/>
  <c r="Y81" i="46"/>
  <c r="T9" i="48"/>
  <c r="E73" i="15"/>
  <c r="T55" i="20"/>
  <c r="K39" i="46"/>
  <c r="J49" i="21"/>
  <c r="J9" i="50"/>
  <c r="F43" i="16"/>
  <c r="G27" i="50"/>
  <c r="U43" i="20"/>
  <c r="H23" i="19"/>
  <c r="J80" i="26"/>
  <c r="H47" i="21"/>
  <c r="V38" i="21"/>
  <c r="H6" i="15"/>
  <c r="W84" i="16"/>
  <c r="K80" i="46"/>
  <c r="BQ33" i="46" s="1"/>
  <c r="V96" i="20"/>
  <c r="R17" i="21"/>
  <c r="H26" i="48"/>
  <c r="BH41" i="46"/>
  <c r="F18" i="44"/>
  <c r="Y54" i="46"/>
  <c r="AB71" i="16"/>
  <c r="W46" i="17"/>
  <c r="E18" i="26"/>
  <c r="H14" i="20"/>
  <c r="Z9" i="44"/>
  <c r="G112" i="17"/>
  <c r="D22" i="19"/>
  <c r="Z102" i="46"/>
  <c r="U46" i="46"/>
  <c r="T7" i="20"/>
  <c r="J107" i="19"/>
  <c r="F41" i="19"/>
  <c r="F73" i="26"/>
  <c r="H29" i="20"/>
  <c r="R88" i="17"/>
  <c r="D27" i="15"/>
  <c r="T40" i="17"/>
  <c r="G11" i="20"/>
  <c r="R50" i="20"/>
  <c r="I105" i="16"/>
  <c r="K45" i="15"/>
  <c r="K46" i="15" s="1"/>
  <c r="G67" i="46"/>
  <c r="D50" i="21"/>
  <c r="J41" i="48"/>
  <c r="Z97" i="46"/>
  <c r="Z136" i="46"/>
  <c r="BJ142" i="46"/>
  <c r="H34" i="19"/>
  <c r="G20" i="46"/>
  <c r="G12" i="20"/>
  <c r="D34" i="21"/>
  <c r="V48" i="19"/>
  <c r="L43" i="46"/>
  <c r="T66" i="20"/>
  <c r="D11" i="50"/>
  <c r="W7" i="15"/>
  <c r="U34" i="50"/>
  <c r="G66" i="15"/>
  <c r="BK48" i="46"/>
  <c r="Z16" i="15"/>
  <c r="J25" i="46"/>
  <c r="U22" i="50"/>
  <c r="AD41" i="26"/>
  <c r="D55" i="20"/>
  <c r="H39" i="16"/>
  <c r="H33" i="16" s="1"/>
  <c r="F100" i="20"/>
  <c r="J25" i="44"/>
  <c r="AC26" i="46"/>
  <c r="D54" i="20"/>
  <c r="E27" i="20"/>
  <c r="U52" i="46"/>
  <c r="K7" i="44"/>
  <c r="W28" i="17"/>
  <c r="F60" i="17"/>
  <c r="S21" i="19"/>
  <c r="BJ84" i="46"/>
  <c r="BI11" i="46"/>
  <c r="G29" i="26"/>
  <c r="G138" i="19"/>
  <c r="G84" i="16"/>
  <c r="W74" i="17"/>
  <c r="E65" i="16"/>
  <c r="X36" i="17"/>
  <c r="Y21" i="46"/>
  <c r="I62" i="17"/>
  <c r="BJ129" i="46"/>
  <c r="G67" i="16"/>
  <c r="U28" i="48"/>
  <c r="J59" i="46"/>
  <c r="T71" i="17"/>
  <c r="X30" i="17"/>
  <c r="W138" i="46"/>
  <c r="BJ125" i="46"/>
  <c r="Y72" i="17"/>
  <c r="AB95" i="15"/>
  <c r="S65" i="16"/>
  <c r="D9" i="17"/>
  <c r="Y80" i="16"/>
  <c r="V31" i="20"/>
  <c r="H78" i="20"/>
  <c r="R45" i="17"/>
  <c r="G14" i="17"/>
  <c r="S14" i="26"/>
  <c r="J40" i="17"/>
  <c r="X29" i="26"/>
  <c r="D86" i="15"/>
  <c r="D9" i="19"/>
  <c r="F43" i="19"/>
  <c r="T16" i="21"/>
  <c r="R36" i="21"/>
  <c r="J37" i="48"/>
  <c r="G103" i="16"/>
  <c r="D21" i="15"/>
  <c r="Y137" i="46"/>
  <c r="T40" i="50"/>
  <c r="T35" i="26"/>
  <c r="AB80" i="15"/>
  <c r="G27" i="48"/>
  <c r="H86" i="16"/>
  <c r="I46" i="46"/>
  <c r="G39" i="46"/>
  <c r="D40" i="19"/>
  <c r="AB87" i="16"/>
  <c r="BH102" i="46"/>
  <c r="G20" i="20"/>
  <c r="E74" i="20"/>
  <c r="V19" i="50"/>
  <c r="S31" i="48"/>
  <c r="D92" i="16"/>
  <c r="U11" i="19"/>
  <c r="I26" i="48"/>
  <c r="X45" i="46"/>
  <c r="V27" i="20"/>
  <c r="H121" i="46"/>
  <c r="G56" i="46"/>
  <c r="I17" i="46"/>
  <c r="X54" i="16"/>
  <c r="AC89" i="46"/>
  <c r="L31" i="46"/>
  <c r="L10" i="46"/>
  <c r="AC94" i="46"/>
  <c r="X88" i="17"/>
  <c r="J23" i="19"/>
  <c r="BK69" i="46"/>
  <c r="H58" i="19"/>
  <c r="W99" i="46"/>
  <c r="J122" i="46"/>
  <c r="AA96" i="15"/>
  <c r="K98" i="17"/>
  <c r="J116" i="46"/>
  <c r="W77" i="17"/>
  <c r="BJ60" i="46"/>
  <c r="BH92" i="46"/>
  <c r="W145" i="46"/>
  <c r="E108" i="16"/>
  <c r="F44" i="48"/>
  <c r="W109" i="46"/>
  <c r="U24" i="19"/>
  <c r="X9" i="46"/>
  <c r="E71" i="20"/>
  <c r="F63" i="46"/>
  <c r="S14" i="48"/>
  <c r="X74" i="17"/>
  <c r="H79" i="20"/>
  <c r="G13" i="46"/>
  <c r="S65" i="26"/>
  <c r="H71" i="46"/>
  <c r="I17" i="20"/>
  <c r="E112" i="19"/>
  <c r="AA44" i="15"/>
  <c r="G98" i="46"/>
  <c r="D51" i="19"/>
  <c r="R37" i="17"/>
  <c r="E64" i="16"/>
  <c r="J117" i="19"/>
  <c r="H74" i="26"/>
  <c r="X77" i="46"/>
  <c r="X76" i="15"/>
  <c r="H98" i="16"/>
  <c r="D58" i="19"/>
  <c r="J15" i="17"/>
  <c r="U114" i="20"/>
  <c r="U50" i="20"/>
  <c r="R23" i="21"/>
  <c r="V13" i="46"/>
  <c r="X36" i="26"/>
  <c r="R88" i="15"/>
  <c r="I21" i="50"/>
  <c r="F11" i="46"/>
  <c r="T14" i="21"/>
  <c r="R10" i="21"/>
  <c r="E25" i="16"/>
  <c r="Z133" i="46"/>
  <c r="H82" i="16"/>
  <c r="K41" i="46"/>
  <c r="G106" i="16"/>
  <c r="W74" i="16"/>
  <c r="E102" i="17"/>
  <c r="R12" i="19"/>
  <c r="S12" i="17"/>
  <c r="I29" i="26"/>
  <c r="U21" i="19"/>
  <c r="S69" i="20"/>
  <c r="F16" i="26"/>
  <c r="H56" i="46"/>
  <c r="AA78" i="16"/>
  <c r="AD43" i="26"/>
  <c r="V44" i="20"/>
  <c r="I70" i="17"/>
  <c r="D14" i="17"/>
  <c r="F12" i="21"/>
  <c r="Y73" i="15"/>
  <c r="AC30" i="46"/>
  <c r="T41" i="20"/>
  <c r="X82" i="46"/>
  <c r="J49" i="15"/>
  <c r="AA8" i="15"/>
  <c r="R14" i="21"/>
  <c r="K77" i="46"/>
  <c r="BI49" i="46"/>
  <c r="Z82" i="46"/>
  <c r="Z127" i="46"/>
  <c r="F16" i="15"/>
  <c r="Z108" i="46"/>
  <c r="D38" i="16"/>
  <c r="G20" i="50"/>
  <c r="I23" i="20"/>
  <c r="G40" i="48"/>
  <c r="S11" i="26"/>
  <c r="BJ131" i="46"/>
  <c r="X17" i="17"/>
  <c r="W29" i="21"/>
  <c r="F84" i="17"/>
  <c r="T46" i="46"/>
  <c r="K76" i="17"/>
  <c r="Z141" i="46"/>
  <c r="U68" i="20"/>
  <c r="T99" i="17"/>
  <c r="E17" i="21"/>
  <c r="V43" i="19"/>
  <c r="G83" i="26"/>
  <c r="K80" i="17"/>
  <c r="F96" i="17"/>
  <c r="H82" i="15"/>
  <c r="J106" i="17"/>
  <c r="G58" i="19"/>
  <c r="R73" i="16"/>
  <c r="T80" i="20"/>
  <c r="Z18" i="46"/>
  <c r="U54" i="19"/>
  <c r="E40" i="20"/>
  <c r="BI79" i="46"/>
  <c r="F16" i="44"/>
  <c r="Y96" i="17"/>
  <c r="T45" i="48"/>
  <c r="W47" i="15"/>
  <c r="W48" i="15" s="1"/>
  <c r="R25" i="17"/>
  <c r="T68" i="20"/>
  <c r="G10" i="26"/>
  <c r="S19" i="21"/>
  <c r="J91" i="15"/>
  <c r="R19" i="20"/>
  <c r="X101" i="17"/>
  <c r="H72" i="16"/>
  <c r="E126" i="19"/>
  <c r="F70" i="15"/>
  <c r="F37" i="50"/>
  <c r="J76" i="46"/>
  <c r="T10" i="50"/>
  <c r="D11" i="26"/>
  <c r="Z24" i="16"/>
  <c r="D54" i="26"/>
  <c r="D50" i="26" s="1"/>
  <c r="G115" i="19"/>
  <c r="F54" i="17"/>
  <c r="J46" i="17"/>
  <c r="AC82" i="46"/>
  <c r="G21" i="20"/>
  <c r="V56" i="15"/>
  <c r="T95" i="17"/>
  <c r="X57" i="17"/>
  <c r="U19" i="20"/>
  <c r="J51" i="17"/>
  <c r="H96" i="17"/>
  <c r="X35" i="17"/>
  <c r="U15" i="20"/>
  <c r="J107" i="16"/>
  <c r="D96" i="16"/>
  <c r="D103" i="16"/>
  <c r="S9" i="44"/>
  <c r="S81" i="17"/>
  <c r="K26" i="44"/>
  <c r="BJ77" i="46"/>
  <c r="G105" i="16"/>
  <c r="E65" i="26"/>
  <c r="E27" i="17"/>
  <c r="I86" i="16"/>
  <c r="E62" i="26"/>
  <c r="G26" i="21"/>
  <c r="H23" i="44"/>
  <c r="Z131" i="46"/>
  <c r="AB18" i="15"/>
  <c r="G10" i="17"/>
  <c r="Y81" i="15"/>
  <c r="T60" i="17"/>
  <c r="G17" i="26"/>
  <c r="BJ67" i="46"/>
  <c r="I54" i="26"/>
  <c r="R42" i="21"/>
  <c r="E62" i="17"/>
  <c r="W70" i="16"/>
  <c r="V7" i="20"/>
  <c r="V73" i="15"/>
  <c r="K52" i="15"/>
  <c r="AA69" i="46"/>
  <c r="S52" i="19"/>
  <c r="AA41" i="15"/>
  <c r="F114" i="46"/>
  <c r="D23" i="16"/>
  <c r="E17" i="26"/>
  <c r="J40" i="50"/>
  <c r="F110" i="46"/>
  <c r="G86" i="15"/>
  <c r="K21" i="46"/>
  <c r="K18" i="48"/>
  <c r="T128" i="19"/>
  <c r="D26" i="16"/>
  <c r="I112" i="19"/>
  <c r="D51" i="20"/>
  <c r="U9" i="21"/>
  <c r="V83" i="15"/>
  <c r="G91" i="16"/>
  <c r="U8" i="50"/>
  <c r="E18" i="44"/>
  <c r="I78" i="15"/>
  <c r="U78" i="15" s="1"/>
  <c r="T54" i="15"/>
  <c r="AB10" i="16"/>
  <c r="Y118" i="46"/>
  <c r="AB50" i="15"/>
  <c r="BH75" i="46"/>
  <c r="F19" i="46"/>
  <c r="H21" i="50"/>
  <c r="I18" i="26"/>
  <c r="W82" i="16"/>
  <c r="T25" i="17"/>
  <c r="R110" i="17"/>
  <c r="I60" i="16"/>
  <c r="F86" i="46"/>
  <c r="S17" i="19"/>
  <c r="J23" i="26"/>
  <c r="BG118" i="46"/>
  <c r="F141" i="19"/>
  <c r="F138" i="19"/>
  <c r="G29" i="44"/>
  <c r="G80" i="26"/>
  <c r="E35" i="19"/>
  <c r="G77" i="16"/>
  <c r="Z12" i="48"/>
  <c r="F103" i="17"/>
  <c r="W106" i="46"/>
  <c r="H34" i="26"/>
  <c r="X67" i="17"/>
  <c r="T84" i="20"/>
  <c r="W72" i="15"/>
  <c r="E80" i="17"/>
  <c r="H102" i="16"/>
  <c r="V24" i="50"/>
  <c r="BH73" i="46"/>
  <c r="I25" i="26"/>
  <c r="G123" i="19"/>
  <c r="U30" i="26"/>
  <c r="H34" i="21"/>
  <c r="Y61" i="16"/>
  <c r="F31" i="17"/>
  <c r="R85" i="17"/>
  <c r="D130" i="19"/>
  <c r="E69" i="17"/>
  <c r="AB48" i="16"/>
  <c r="D95" i="17"/>
  <c r="I45" i="16"/>
  <c r="R82" i="26"/>
  <c r="T82" i="26" s="1"/>
  <c r="T125" i="19"/>
  <c r="D55" i="17"/>
  <c r="E33" i="19"/>
  <c r="V79" i="20"/>
  <c r="V38" i="20"/>
  <c r="W104" i="17"/>
  <c r="BH64" i="46"/>
  <c r="I26" i="44"/>
  <c r="BK43" i="46"/>
  <c r="U133" i="19"/>
  <c r="BH123" i="46"/>
  <c r="D110" i="20"/>
  <c r="K50" i="15"/>
  <c r="S73" i="15"/>
  <c r="T23" i="44"/>
  <c r="D8" i="50"/>
  <c r="AA37" i="26"/>
  <c r="G89" i="46"/>
  <c r="W117" i="46"/>
  <c r="F58" i="17"/>
  <c r="G23" i="21"/>
  <c r="H28" i="17"/>
  <c r="X8" i="44"/>
  <c r="S30" i="19"/>
  <c r="H11" i="50"/>
  <c r="BG50" i="46"/>
  <c r="J45" i="16"/>
  <c r="AA35" i="26"/>
  <c r="I37" i="19"/>
  <c r="AA46" i="46"/>
  <c r="J48" i="16"/>
  <c r="Y100" i="46"/>
  <c r="R15" i="44"/>
  <c r="BK46" i="46"/>
  <c r="Y84" i="46"/>
  <c r="F34" i="26"/>
  <c r="W19" i="21"/>
  <c r="T37" i="26"/>
  <c r="H37" i="20"/>
  <c r="BI110" i="46"/>
  <c r="E38" i="15"/>
  <c r="H68" i="15"/>
  <c r="S74" i="16"/>
  <c r="AB14" i="16"/>
  <c r="F19" i="20"/>
  <c r="G75" i="20"/>
  <c r="Y29" i="16"/>
  <c r="T42" i="19"/>
  <c r="T60" i="15"/>
  <c r="G35" i="20"/>
  <c r="D76" i="17"/>
  <c r="T29" i="20"/>
  <c r="G115" i="46"/>
  <c r="V24" i="20"/>
  <c r="X82" i="17"/>
  <c r="D30" i="20"/>
  <c r="I130" i="46"/>
  <c r="W63" i="17"/>
  <c r="U28" i="50"/>
  <c r="H106" i="16"/>
  <c r="AA31" i="15"/>
  <c r="AB70" i="46"/>
  <c r="K73" i="15"/>
  <c r="I143" i="46"/>
  <c r="J16" i="17"/>
  <c r="H46" i="17"/>
  <c r="F24" i="48"/>
  <c r="J103" i="17"/>
  <c r="K60" i="17"/>
  <c r="G146" i="46"/>
  <c r="I119" i="46"/>
  <c r="K59" i="17"/>
  <c r="J34" i="19"/>
  <c r="H40" i="50"/>
  <c r="D82" i="16"/>
  <c r="J18" i="21"/>
  <c r="H17" i="21"/>
  <c r="J42" i="21"/>
  <c r="T11" i="50"/>
  <c r="R97" i="17"/>
  <c r="I43" i="20"/>
  <c r="AB33" i="15"/>
  <c r="V108" i="20"/>
  <c r="F71" i="20"/>
  <c r="K7" i="46"/>
  <c r="J41" i="46"/>
  <c r="R33" i="17"/>
  <c r="J56" i="16"/>
  <c r="I73" i="46"/>
  <c r="G16" i="46"/>
  <c r="J60" i="15"/>
  <c r="I41" i="46"/>
  <c r="V18" i="50"/>
  <c r="G56" i="20"/>
  <c r="BJ113" i="46"/>
  <c r="D134" i="19"/>
  <c r="S86" i="17"/>
  <c r="D144" i="19"/>
  <c r="S103" i="17"/>
  <c r="AC56" i="46"/>
  <c r="E76" i="17"/>
  <c r="S27" i="21"/>
  <c r="F46" i="46"/>
  <c r="D24" i="17"/>
  <c r="W27" i="17"/>
  <c r="E134" i="19"/>
  <c r="V51" i="19"/>
  <c r="X52" i="46"/>
  <c r="BH101" i="46"/>
  <c r="F71" i="46"/>
  <c r="G44" i="15"/>
  <c r="BG68" i="46"/>
  <c r="S55" i="15"/>
  <c r="K19" i="44"/>
  <c r="D23" i="19"/>
  <c r="AB77" i="46"/>
  <c r="F95" i="16"/>
  <c r="E141" i="19"/>
  <c r="Z130" i="46"/>
  <c r="F142" i="19"/>
  <c r="K81" i="17"/>
  <c r="E29" i="44"/>
  <c r="U17" i="21"/>
  <c r="E52" i="19"/>
  <c r="W103" i="17"/>
  <c r="U62" i="20"/>
  <c r="E67" i="20"/>
  <c r="BK79" i="46"/>
  <c r="W90" i="46"/>
  <c r="BJ103" i="46"/>
  <c r="I76" i="46"/>
  <c r="H119" i="19"/>
  <c r="W86" i="17"/>
  <c r="I81" i="46"/>
  <c r="H38" i="50"/>
  <c r="AE45" i="26"/>
  <c r="AB43" i="26"/>
  <c r="R77" i="17"/>
  <c r="F74" i="20"/>
  <c r="X63" i="16"/>
  <c r="S15" i="26"/>
  <c r="L28" i="46"/>
  <c r="Z78" i="46"/>
  <c r="E21" i="16"/>
  <c r="AA79" i="15"/>
  <c r="F72" i="46"/>
  <c r="AA94" i="15"/>
  <c r="T79" i="20"/>
  <c r="K119" i="46"/>
  <c r="E13" i="48"/>
  <c r="I24" i="26"/>
  <c r="V10" i="50"/>
  <c r="J32" i="17"/>
  <c r="S115" i="17"/>
  <c r="X33" i="26"/>
  <c r="V83" i="20"/>
  <c r="I47" i="15"/>
  <c r="K111" i="17"/>
  <c r="V26" i="19"/>
  <c r="W41" i="26"/>
  <c r="H100" i="17"/>
  <c r="F83" i="20"/>
  <c r="AC57" i="46"/>
  <c r="BK33" i="46"/>
  <c r="D12" i="21"/>
  <c r="T63" i="16"/>
  <c r="BK125" i="46"/>
  <c r="BJ108" i="46"/>
  <c r="F146" i="46"/>
  <c r="V34" i="19"/>
  <c r="G37" i="21"/>
  <c r="W21" i="46"/>
  <c r="Y94" i="17"/>
  <c r="R44" i="20"/>
  <c r="F88" i="20"/>
  <c r="D139" i="19"/>
  <c r="K93" i="15"/>
  <c r="F7" i="50"/>
  <c r="BH141" i="46"/>
  <c r="F22" i="16"/>
  <c r="J33" i="26"/>
  <c r="J75" i="46"/>
  <c r="I17" i="21"/>
  <c r="X88" i="46"/>
  <c r="E116" i="19"/>
  <c r="E37" i="20"/>
  <c r="X93" i="17"/>
  <c r="W60" i="15"/>
  <c r="E18" i="48"/>
  <c r="T16" i="17"/>
  <c r="J58" i="26"/>
  <c r="G20" i="26"/>
  <c r="G13" i="26" s="1"/>
  <c r="Y13" i="17"/>
  <c r="G95" i="16"/>
  <c r="BH131" i="46"/>
  <c r="F105" i="17"/>
  <c r="S87" i="20"/>
  <c r="F45" i="19"/>
  <c r="H133" i="19"/>
  <c r="I61" i="15"/>
  <c r="AA54" i="15"/>
  <c r="E42" i="21"/>
  <c r="I67" i="46"/>
  <c r="H41" i="19"/>
  <c r="I57" i="19"/>
  <c r="F102" i="20"/>
  <c r="Q102" i="20" s="1"/>
  <c r="E15" i="20"/>
  <c r="Z22" i="15"/>
  <c r="T39" i="48"/>
  <c r="H64" i="20"/>
  <c r="D13" i="20"/>
  <c r="S92" i="17"/>
  <c r="BI33" i="46"/>
  <c r="D46" i="21"/>
  <c r="E9" i="26"/>
  <c r="U118" i="20"/>
  <c r="D80" i="20"/>
  <c r="BG30" i="46"/>
  <c r="J94" i="17"/>
  <c r="G11" i="46"/>
  <c r="D41" i="19"/>
  <c r="AC108" i="46"/>
  <c r="S45" i="15"/>
  <c r="W66" i="46"/>
  <c r="G38" i="26"/>
  <c r="AA21" i="15"/>
  <c r="BH143" i="46"/>
  <c r="S55" i="17"/>
  <c r="J15" i="44"/>
  <c r="S39" i="21"/>
  <c r="J90" i="16"/>
  <c r="H116" i="46"/>
  <c r="AB60" i="16"/>
  <c r="U8" i="21"/>
  <c r="T67" i="15"/>
  <c r="R57" i="17"/>
  <c r="G26" i="19"/>
  <c r="F126" i="19"/>
  <c r="G93" i="15"/>
  <c r="T93" i="15" s="1"/>
  <c r="T47" i="17"/>
  <c r="D57" i="26"/>
  <c r="I47" i="48"/>
  <c r="Y14" i="46"/>
  <c r="F46" i="16"/>
  <c r="F41" i="16" s="1"/>
  <c r="Y90" i="17"/>
  <c r="T52" i="16"/>
  <c r="G9" i="21"/>
  <c r="D11" i="15"/>
  <c r="U66" i="20"/>
  <c r="F14" i="17"/>
  <c r="S41" i="48"/>
  <c r="F95" i="20"/>
  <c r="Q95" i="20" s="1"/>
  <c r="BI130" i="46"/>
  <c r="E23" i="50"/>
  <c r="E66" i="15"/>
  <c r="H43" i="17"/>
  <c r="D24" i="21"/>
  <c r="R76" i="16"/>
  <c r="V21" i="50"/>
  <c r="I85" i="17"/>
  <c r="AD35" i="26"/>
  <c r="Y33" i="48"/>
  <c r="K122" i="46"/>
  <c r="G65" i="26"/>
  <c r="G46" i="20"/>
  <c r="AA18" i="15"/>
  <c r="I92" i="17"/>
  <c r="Y122" i="46"/>
  <c r="S96" i="17"/>
  <c r="S11" i="19"/>
  <c r="V34" i="20"/>
  <c r="W70" i="15"/>
  <c r="W76" i="16"/>
  <c r="T16" i="44"/>
  <c r="V116" i="19"/>
  <c r="E59" i="15"/>
  <c r="E58" i="15" s="1"/>
  <c r="T27" i="50"/>
  <c r="T14" i="20"/>
  <c r="V101" i="20"/>
  <c r="G65" i="15"/>
  <c r="U10" i="48"/>
  <c r="K69" i="46"/>
  <c r="T51" i="21"/>
  <c r="J89" i="17"/>
  <c r="X17" i="46"/>
  <c r="T21" i="48"/>
  <c r="Y31" i="26"/>
  <c r="I67" i="16"/>
  <c r="X38" i="26"/>
  <c r="R37" i="21"/>
  <c r="H62" i="46"/>
  <c r="W57" i="17"/>
  <c r="D105" i="17"/>
  <c r="Y92" i="46"/>
  <c r="F36" i="21"/>
  <c r="T66" i="15"/>
  <c r="Y66" i="16"/>
  <c r="W16" i="15"/>
  <c r="J38" i="21"/>
  <c r="H127" i="19"/>
  <c r="U102" i="20"/>
  <c r="K87" i="15"/>
  <c r="X109" i="46"/>
  <c r="F35" i="19"/>
  <c r="Y40" i="46"/>
  <c r="E39" i="26"/>
  <c r="X13" i="46"/>
  <c r="I9" i="21"/>
  <c r="H62" i="20"/>
  <c r="BJ82" i="46"/>
  <c r="Y89" i="17"/>
  <c r="D89" i="17"/>
  <c r="F63" i="20"/>
  <c r="Y87" i="17"/>
  <c r="D64" i="20"/>
  <c r="T19" i="20"/>
  <c r="E24" i="50"/>
  <c r="H125" i="19"/>
  <c r="W10" i="48"/>
  <c r="H20" i="46"/>
  <c r="Z40" i="15"/>
  <c r="Y104" i="46"/>
  <c r="E43" i="20"/>
  <c r="X10" i="48"/>
  <c r="J62" i="16"/>
  <c r="R7" i="20"/>
  <c r="T44" i="21"/>
  <c r="AB75" i="46"/>
  <c r="T113" i="20"/>
  <c r="G15" i="46"/>
  <c r="W25" i="21"/>
  <c r="BK29" i="46"/>
  <c r="I64" i="15"/>
  <c r="I19" i="44"/>
  <c r="F54" i="19"/>
  <c r="D16" i="15"/>
  <c r="H98" i="46"/>
  <c r="W7" i="48"/>
  <c r="R63" i="17"/>
  <c r="AA66" i="15"/>
  <c r="F27" i="19"/>
  <c r="BH21" i="46"/>
  <c r="S121" i="19"/>
  <c r="U117" i="20"/>
  <c r="AC70" i="46"/>
  <c r="F59" i="19"/>
  <c r="D8" i="16"/>
  <c r="G77" i="15"/>
  <c r="D60" i="15"/>
  <c r="BK94" i="46"/>
  <c r="T44" i="19"/>
  <c r="BH116" i="46"/>
  <c r="S17" i="17"/>
  <c r="D119" i="19"/>
  <c r="AC46" i="46"/>
  <c r="T63" i="15"/>
  <c r="T91" i="17"/>
  <c r="E139" i="19"/>
  <c r="J34" i="50"/>
  <c r="H52" i="19"/>
  <c r="E15" i="19"/>
  <c r="E131" i="19"/>
  <c r="I113" i="19"/>
  <c r="E79" i="26"/>
  <c r="H75" i="46"/>
  <c r="BK66" i="46"/>
  <c r="L46" i="46"/>
  <c r="R87" i="17"/>
  <c r="D96" i="20"/>
  <c r="U39" i="46"/>
  <c r="D23" i="50"/>
  <c r="F20" i="26"/>
  <c r="F13" i="26" s="1"/>
  <c r="G34" i="26"/>
  <c r="Y63" i="46"/>
  <c r="G35" i="17"/>
  <c r="F57" i="20"/>
  <c r="D105" i="20"/>
  <c r="G64" i="17"/>
  <c r="T118" i="19"/>
  <c r="AB43" i="16"/>
  <c r="F32" i="50"/>
  <c r="X70" i="16"/>
  <c r="S84" i="17"/>
  <c r="G118" i="19"/>
  <c r="T52" i="19"/>
  <c r="BK132" i="46"/>
  <c r="H53" i="46"/>
  <c r="D84" i="16"/>
  <c r="L11" i="46"/>
  <c r="D86" i="17"/>
  <c r="G63" i="16"/>
  <c r="V28" i="20"/>
  <c r="F79" i="17"/>
  <c r="BI128" i="46"/>
  <c r="G87" i="46"/>
  <c r="E115" i="20"/>
  <c r="R8" i="20"/>
  <c r="H55" i="20"/>
  <c r="S31" i="19"/>
  <c r="J130" i="19"/>
  <c r="H54" i="19"/>
  <c r="AB39" i="15"/>
  <c r="T80" i="15"/>
  <c r="T36" i="26"/>
  <c r="I90" i="15"/>
  <c r="D73" i="17"/>
  <c r="W40" i="17"/>
  <c r="Z50" i="46"/>
  <c r="I32" i="50"/>
  <c r="AC145" i="46"/>
  <c r="G95" i="17"/>
  <c r="H28" i="20"/>
  <c r="R39" i="20"/>
  <c r="BH17" i="46"/>
  <c r="Z134" i="46"/>
  <c r="W28" i="50"/>
  <c r="H27" i="17"/>
  <c r="BG128" i="46"/>
  <c r="BG32" i="46"/>
  <c r="F22" i="48"/>
  <c r="G32" i="46"/>
  <c r="AC34" i="26"/>
  <c r="R66" i="20"/>
  <c r="J73" i="15"/>
  <c r="BI90" i="46"/>
  <c r="F120" i="19"/>
  <c r="W35" i="50"/>
  <c r="AA81" i="15"/>
  <c r="AB64" i="46"/>
  <c r="S12" i="50"/>
  <c r="U40" i="19"/>
  <c r="BH25" i="46"/>
  <c r="J72" i="46"/>
  <c r="H46" i="48"/>
  <c r="AC30" i="26"/>
  <c r="L74" i="46"/>
  <c r="J132" i="19"/>
  <c r="X57" i="46"/>
  <c r="L52" i="46"/>
  <c r="I29" i="46"/>
  <c r="D71" i="15"/>
  <c r="AB89" i="16"/>
  <c r="T56" i="16"/>
  <c r="X118" i="46"/>
  <c r="W75" i="16"/>
  <c r="S56" i="19"/>
  <c r="J59" i="17"/>
  <c r="S67" i="17"/>
  <c r="W103" i="16"/>
  <c r="D42" i="17"/>
  <c r="U12" i="50"/>
  <c r="F40" i="19"/>
  <c r="F59" i="26"/>
  <c r="W73" i="16"/>
  <c r="T75" i="16"/>
  <c r="R62" i="15"/>
  <c r="I37" i="16"/>
  <c r="S60" i="17"/>
  <c r="F102" i="16"/>
  <c r="G38" i="20"/>
  <c r="AC38" i="46"/>
  <c r="I34" i="46"/>
  <c r="F26" i="16"/>
  <c r="BH36" i="46"/>
  <c r="T7" i="46"/>
  <c r="E142" i="19"/>
  <c r="G47" i="17"/>
  <c r="V43" i="26"/>
  <c r="X95" i="46"/>
  <c r="I16" i="21"/>
  <c r="S21" i="20"/>
  <c r="BI34" i="46"/>
  <c r="AC65" i="46"/>
  <c r="BH16" i="46"/>
  <c r="I52" i="16"/>
  <c r="G55" i="26"/>
  <c r="V53" i="20"/>
  <c r="AC143" i="46"/>
  <c r="F34" i="46"/>
  <c r="X60" i="15"/>
  <c r="K23" i="44"/>
  <c r="S122" i="19"/>
  <c r="H35" i="17"/>
  <c r="E125" i="19"/>
  <c r="T8" i="50"/>
  <c r="K48" i="17"/>
  <c r="F39" i="48"/>
  <c r="W46" i="21"/>
  <c r="BG55" i="46"/>
  <c r="S25" i="21"/>
  <c r="W93" i="46"/>
  <c r="R111" i="20"/>
  <c r="T51" i="46"/>
  <c r="F101" i="20"/>
  <c r="Q101" i="20" s="1"/>
  <c r="AA78" i="15"/>
  <c r="D52" i="15"/>
  <c r="I28" i="17"/>
  <c r="G66" i="16"/>
  <c r="J91" i="17"/>
  <c r="D110" i="19"/>
  <c r="H9" i="20"/>
  <c r="U9" i="50"/>
  <c r="R112" i="17"/>
  <c r="W81" i="16"/>
  <c r="I106" i="46"/>
  <c r="I48" i="16"/>
  <c r="T24" i="50"/>
  <c r="J83" i="15"/>
  <c r="D29" i="16"/>
  <c r="G141" i="46"/>
  <c r="K88" i="15"/>
  <c r="R15" i="20"/>
  <c r="J23" i="44"/>
  <c r="F31" i="19"/>
  <c r="Z107" i="46"/>
  <c r="T10" i="21"/>
  <c r="BJ106" i="46"/>
  <c r="F53" i="16"/>
  <c r="D93" i="16"/>
  <c r="J25" i="48"/>
  <c r="E26" i="44"/>
  <c r="X83" i="46"/>
  <c r="G15" i="21"/>
  <c r="Z14" i="15"/>
  <c r="W12" i="15"/>
  <c r="G30" i="26"/>
  <c r="Z33" i="26"/>
  <c r="J92" i="46"/>
  <c r="E25" i="17"/>
  <c r="U15" i="46"/>
  <c r="W60" i="46"/>
  <c r="S116" i="20"/>
  <c r="S40" i="17"/>
  <c r="D98" i="15"/>
  <c r="F103" i="46"/>
  <c r="E31" i="26"/>
  <c r="G97" i="46"/>
  <c r="J18" i="48"/>
  <c r="H74" i="20"/>
  <c r="R35" i="21"/>
  <c r="Y15" i="17"/>
  <c r="S47" i="19"/>
  <c r="G16" i="50"/>
  <c r="G42" i="16"/>
  <c r="H33" i="48"/>
  <c r="D17" i="20"/>
  <c r="Z17" i="16"/>
  <c r="G83" i="46"/>
  <c r="H45" i="17"/>
  <c r="D22" i="21"/>
  <c r="J94" i="16"/>
  <c r="H13" i="17"/>
  <c r="F11" i="48"/>
  <c r="H73" i="15"/>
  <c r="V11" i="21"/>
  <c r="D29" i="44"/>
  <c r="H52" i="17"/>
  <c r="I9" i="26"/>
  <c r="J17" i="50"/>
  <c r="V33" i="19"/>
  <c r="E31" i="15"/>
  <c r="E25" i="15"/>
  <c r="V17" i="50"/>
  <c r="AA46" i="15"/>
  <c r="E74" i="26"/>
  <c r="G85" i="16"/>
  <c r="D80" i="15"/>
  <c r="F10" i="19"/>
  <c r="F18" i="15"/>
  <c r="Z29" i="46"/>
  <c r="I70" i="46"/>
  <c r="K22" i="44"/>
  <c r="I45" i="19"/>
  <c r="R16" i="26"/>
  <c r="T16" i="26" s="1"/>
  <c r="W80" i="15"/>
  <c r="G77" i="46"/>
  <c r="K24" i="46"/>
  <c r="T31" i="48"/>
  <c r="Z11" i="46"/>
  <c r="I106" i="17"/>
  <c r="R15" i="26"/>
  <c r="F108" i="46"/>
  <c r="J128" i="19"/>
  <c r="J62" i="26"/>
  <c r="T13" i="46"/>
  <c r="BI12" i="46"/>
  <c r="U110" i="20"/>
  <c r="L99" i="46"/>
  <c r="G53" i="19"/>
  <c r="S104" i="17"/>
  <c r="V11" i="20"/>
  <c r="I13" i="20"/>
  <c r="F141" i="46"/>
  <c r="T50" i="20"/>
  <c r="BI127" i="46"/>
  <c r="H81" i="17"/>
  <c r="Y62" i="46"/>
  <c r="Y39" i="26"/>
  <c r="X104" i="17"/>
  <c r="W111" i="46"/>
  <c r="J139" i="19"/>
  <c r="BJ79" i="46"/>
  <c r="BJ123" i="46"/>
  <c r="BK127" i="46"/>
  <c r="BK44" i="46"/>
  <c r="W41" i="21"/>
  <c r="BJ11" i="46"/>
  <c r="J86" i="15"/>
  <c r="K27" i="17"/>
  <c r="E34" i="26"/>
  <c r="T62" i="20"/>
  <c r="G36" i="48"/>
  <c r="E41" i="26"/>
  <c r="AB25" i="15"/>
  <c r="S78" i="17"/>
  <c r="F50" i="21"/>
  <c r="K11" i="17"/>
  <c r="S44" i="20"/>
  <c r="E114" i="20"/>
  <c r="H7" i="44"/>
  <c r="K54" i="15"/>
  <c r="AC73" i="46"/>
  <c r="K37" i="17"/>
  <c r="Z74" i="46"/>
  <c r="H88" i="15"/>
  <c r="W110" i="46"/>
  <c r="D28" i="17"/>
  <c r="G11" i="48"/>
  <c r="S57" i="16"/>
  <c r="T47" i="46"/>
  <c r="E48" i="20"/>
  <c r="Y59" i="15"/>
  <c r="BJ52" i="46"/>
  <c r="X10" i="46"/>
  <c r="V104" i="20"/>
  <c r="F33" i="50"/>
  <c r="U87" i="20"/>
  <c r="K39" i="17"/>
  <c r="I83" i="46"/>
  <c r="AB49" i="46"/>
  <c r="AB17" i="16"/>
  <c r="T46" i="21"/>
  <c r="D21" i="19"/>
  <c r="R55" i="19"/>
  <c r="G40" i="21"/>
  <c r="E144" i="19"/>
  <c r="T31" i="50"/>
  <c r="G55" i="15"/>
  <c r="E56" i="15"/>
  <c r="I28" i="44"/>
  <c r="K26" i="48"/>
  <c r="J111" i="17"/>
  <c r="I22" i="21"/>
  <c r="H66" i="20"/>
  <c r="H39" i="21"/>
  <c r="E103" i="16"/>
  <c r="Y65" i="46"/>
  <c r="T8" i="20"/>
  <c r="I77" i="16"/>
  <c r="E54" i="20"/>
  <c r="J14" i="19"/>
  <c r="J97" i="46"/>
  <c r="W36" i="50"/>
  <c r="U9" i="44"/>
  <c r="U27" i="48"/>
  <c r="W7" i="21"/>
  <c r="K76" i="46"/>
  <c r="S39" i="20"/>
  <c r="F20" i="48"/>
  <c r="K64" i="46"/>
  <c r="T90" i="17"/>
  <c r="BK86" i="46"/>
  <c r="AA77" i="15"/>
  <c r="K47" i="46"/>
  <c r="AA51" i="46"/>
  <c r="E9" i="15"/>
  <c r="G61" i="16"/>
  <c r="F8" i="44"/>
  <c r="G126" i="46"/>
  <c r="T36" i="17"/>
  <c r="G62" i="20"/>
  <c r="X16" i="17"/>
  <c r="E62" i="15"/>
  <c r="G38" i="48"/>
  <c r="I104" i="46"/>
  <c r="E111" i="20"/>
  <c r="T18" i="44"/>
  <c r="U41" i="46"/>
  <c r="V31" i="26"/>
  <c r="K7" i="17"/>
  <c r="G31" i="50"/>
  <c r="J77" i="46"/>
  <c r="X79" i="15"/>
  <c r="U9" i="20"/>
  <c r="AC41" i="26"/>
  <c r="AC134" i="46"/>
  <c r="D80" i="16"/>
  <c r="S68" i="20"/>
  <c r="AB82" i="16"/>
  <c r="L13" i="48"/>
  <c r="E42" i="26"/>
  <c r="H46" i="26"/>
  <c r="H19" i="20"/>
  <c r="J18" i="46"/>
  <c r="E73" i="20"/>
  <c r="BG75" i="46"/>
  <c r="X14" i="48"/>
  <c r="H61" i="46"/>
  <c r="H63" i="20"/>
  <c r="U21" i="50"/>
  <c r="F25" i="21"/>
  <c r="J24" i="44"/>
  <c r="D10" i="15"/>
  <c r="G69" i="15"/>
  <c r="X64" i="17"/>
  <c r="D69" i="20"/>
  <c r="I33" i="50"/>
  <c r="V94" i="20"/>
  <c r="BG137" i="46"/>
  <c r="E31" i="50"/>
  <c r="R65" i="17"/>
  <c r="R65" i="26"/>
  <c r="T65" i="26" s="1"/>
  <c r="G71" i="46"/>
  <c r="T13" i="19"/>
  <c r="F47" i="48"/>
  <c r="G35" i="50"/>
  <c r="U93" i="20"/>
  <c r="F90" i="16"/>
  <c r="K56" i="15"/>
  <c r="G34" i="20"/>
  <c r="D64" i="17"/>
  <c r="V116" i="20"/>
  <c r="Y9" i="17"/>
  <c r="H9" i="26"/>
  <c r="E9" i="44"/>
  <c r="F19" i="26"/>
  <c r="J109" i="19"/>
  <c r="BG45" i="46"/>
  <c r="D28" i="21"/>
  <c r="H29" i="21"/>
  <c r="T35" i="21"/>
  <c r="H48" i="46"/>
  <c r="E53" i="20"/>
  <c r="G60" i="16"/>
  <c r="BG145" i="46"/>
  <c r="L44" i="46"/>
  <c r="T23" i="50"/>
  <c r="F33" i="46"/>
  <c r="S53" i="17"/>
  <c r="W16" i="50"/>
  <c r="Z24" i="46"/>
  <c r="X124" i="46"/>
  <c r="W9" i="17"/>
  <c r="J39" i="46"/>
  <c r="AC93" i="46"/>
  <c r="F96" i="15"/>
  <c r="S96" i="15" s="1"/>
  <c r="K138" i="46"/>
  <c r="Y36" i="17"/>
  <c r="S107" i="19"/>
  <c r="E16" i="50"/>
  <c r="H59" i="16"/>
  <c r="T104" i="20"/>
  <c r="V76" i="46"/>
  <c r="V117" i="19"/>
  <c r="K137" i="46"/>
  <c r="F139" i="19"/>
  <c r="E100" i="17"/>
  <c r="S49" i="19"/>
  <c r="F34" i="20"/>
  <c r="W10" i="15"/>
  <c r="R116" i="20"/>
  <c r="F92" i="17"/>
  <c r="I44" i="21"/>
  <c r="Z28" i="48"/>
  <c r="J46" i="46"/>
  <c r="AC103" i="46"/>
  <c r="X27" i="46"/>
  <c r="H61" i="20"/>
  <c r="E103" i="20"/>
  <c r="K59" i="46"/>
  <c r="Z76" i="46"/>
  <c r="K26" i="17"/>
  <c r="I108" i="19"/>
  <c r="U74" i="20"/>
  <c r="W8" i="44"/>
  <c r="K65" i="17"/>
  <c r="J29" i="48"/>
  <c r="F51" i="46"/>
  <c r="J11" i="17"/>
  <c r="H39" i="19"/>
  <c r="F27" i="44"/>
  <c r="F6" i="21"/>
  <c r="H134" i="46"/>
  <c r="U35" i="20"/>
  <c r="BJ8" i="46"/>
  <c r="X127" i="46"/>
  <c r="R18" i="26"/>
  <c r="D89" i="16"/>
  <c r="V110" i="20"/>
  <c r="H7" i="19"/>
  <c r="T38" i="21"/>
  <c r="G76" i="26"/>
  <c r="G136" i="19"/>
  <c r="G82" i="26"/>
  <c r="T75" i="17"/>
  <c r="I140" i="19"/>
  <c r="X74" i="16"/>
  <c r="X65" i="17"/>
  <c r="V41" i="46"/>
  <c r="H57" i="20"/>
  <c r="X66" i="15"/>
  <c r="G111" i="19"/>
  <c r="G26" i="48"/>
  <c r="J107" i="46"/>
  <c r="W35" i="46"/>
  <c r="E16" i="16"/>
  <c r="D39" i="20"/>
  <c r="G49" i="46"/>
  <c r="E26" i="15"/>
  <c r="W12" i="17"/>
  <c r="G72" i="26"/>
  <c r="Z8" i="46"/>
  <c r="F93" i="46"/>
  <c r="K104" i="46"/>
  <c r="I82" i="26"/>
  <c r="X138" i="46"/>
  <c r="R82" i="20"/>
  <c r="BI60" i="46"/>
  <c r="BJ56" i="46"/>
  <c r="J107" i="17"/>
  <c r="J67" i="15"/>
  <c r="G138" i="46"/>
  <c r="T16" i="50"/>
  <c r="X7" i="44"/>
  <c r="F85" i="15"/>
  <c r="E17" i="17"/>
  <c r="X22" i="48"/>
  <c r="W37" i="26"/>
  <c r="I33" i="17"/>
  <c r="W83" i="17"/>
  <c r="L37" i="48"/>
  <c r="R25" i="20"/>
  <c r="T114" i="17"/>
  <c r="I75" i="26"/>
  <c r="J6" i="46"/>
  <c r="R53" i="17"/>
  <c r="F29" i="48"/>
  <c r="I44" i="15"/>
  <c r="U44" i="15" s="1"/>
  <c r="G28" i="50"/>
  <c r="I6" i="46"/>
  <c r="H47" i="16"/>
  <c r="X40" i="46"/>
  <c r="H92" i="46"/>
  <c r="X39" i="26"/>
  <c r="I61" i="16"/>
  <c r="AB47" i="16"/>
  <c r="I53" i="19"/>
  <c r="U25" i="20"/>
  <c r="G83" i="17"/>
  <c r="U69" i="46"/>
  <c r="W67" i="46"/>
  <c r="F115" i="19"/>
  <c r="X146" i="46"/>
  <c r="J58" i="46"/>
  <c r="J102" i="46"/>
  <c r="G15" i="48"/>
  <c r="R41" i="21"/>
  <c r="F33" i="19"/>
  <c r="U109" i="20"/>
  <c r="R20" i="20"/>
  <c r="W31" i="50"/>
  <c r="K38" i="46"/>
  <c r="X36" i="46"/>
  <c r="V41" i="20"/>
  <c r="J98" i="15"/>
  <c r="R40" i="17"/>
  <c r="H39" i="26"/>
  <c r="BH15" i="46"/>
  <c r="J24" i="19"/>
  <c r="U7" i="48"/>
  <c r="D102" i="20"/>
  <c r="BJ105" i="46"/>
  <c r="T30" i="17"/>
  <c r="Z112" i="46"/>
  <c r="H69" i="46"/>
  <c r="E72" i="15"/>
  <c r="G109" i="19"/>
  <c r="I82" i="16"/>
  <c r="J115" i="19"/>
  <c r="AA44" i="46"/>
  <c r="J68" i="15"/>
  <c r="J110" i="19"/>
  <c r="I32" i="17"/>
  <c r="D83" i="15"/>
  <c r="H80" i="20"/>
  <c r="G112" i="46"/>
  <c r="W15" i="46"/>
  <c r="L38" i="46"/>
  <c r="S13" i="19"/>
  <c r="BJ76" i="46"/>
  <c r="G92" i="16"/>
  <c r="D18" i="44"/>
  <c r="BH77" i="46"/>
  <c r="Y13" i="46"/>
  <c r="W32" i="15"/>
  <c r="W75" i="46"/>
  <c r="AC67" i="46"/>
  <c r="R9" i="19"/>
  <c r="T123" i="19"/>
  <c r="H23" i="50"/>
  <c r="G36" i="20"/>
  <c r="V16" i="20"/>
  <c r="R93" i="20"/>
  <c r="Y46" i="17"/>
  <c r="Z95" i="46"/>
  <c r="Y60" i="16"/>
  <c r="E48" i="21"/>
  <c r="I27" i="50"/>
  <c r="Z117" i="46"/>
  <c r="E20" i="48"/>
  <c r="D59" i="17"/>
  <c r="BJ100" i="46"/>
  <c r="F42" i="26"/>
  <c r="F9" i="16"/>
  <c r="D10" i="26"/>
  <c r="T72" i="46"/>
  <c r="BH78" i="46"/>
  <c r="J43" i="19"/>
  <c r="H80" i="16"/>
  <c r="D36" i="19"/>
  <c r="AA39" i="46"/>
  <c r="F96" i="46"/>
  <c r="BK141" i="46"/>
  <c r="J127" i="19"/>
  <c r="S48" i="19"/>
  <c r="I19" i="19"/>
  <c r="R63" i="26"/>
  <c r="BH94" i="46"/>
  <c r="AC44" i="26"/>
  <c r="F67" i="15"/>
  <c r="E138" i="19"/>
  <c r="W29" i="50"/>
  <c r="Y81" i="17"/>
  <c r="T40" i="20"/>
  <c r="Z83" i="46"/>
  <c r="S23" i="19"/>
  <c r="H21" i="26"/>
  <c r="J26" i="17"/>
  <c r="BK101" i="46"/>
  <c r="U38" i="21"/>
  <c r="Y63" i="16"/>
  <c r="H130" i="46"/>
  <c r="BK64" i="46"/>
  <c r="D45" i="15"/>
  <c r="D46" i="15" s="1"/>
  <c r="AC135" i="46"/>
  <c r="G9" i="48"/>
  <c r="G42" i="26"/>
  <c r="V47" i="15"/>
  <c r="Y35" i="17"/>
  <c r="AB108" i="16"/>
  <c r="U18" i="44"/>
  <c r="H59" i="26"/>
  <c r="W81" i="15"/>
  <c r="U40" i="26"/>
  <c r="AB13" i="46"/>
  <c r="J82" i="46"/>
  <c r="G77" i="17"/>
  <c r="T9" i="44"/>
  <c r="T7" i="48"/>
  <c r="F21" i="19"/>
  <c r="G16" i="44"/>
  <c r="BK23" i="46"/>
  <c r="T6" i="46"/>
  <c r="J25" i="21"/>
  <c r="E27" i="50"/>
  <c r="T13" i="48"/>
  <c r="G53" i="16"/>
  <c r="BH97" i="46"/>
  <c r="J135" i="46"/>
  <c r="AA18" i="44"/>
  <c r="E72" i="16"/>
  <c r="X50" i="15"/>
  <c r="U126" i="19"/>
  <c r="X59" i="16"/>
  <c r="D98" i="20"/>
  <c r="L17" i="46"/>
  <c r="BJ109" i="46"/>
  <c r="F29" i="46"/>
  <c r="BH76" i="46"/>
  <c r="F61" i="46"/>
  <c r="BK126" i="46"/>
  <c r="E8" i="44"/>
  <c r="H87" i="17"/>
  <c r="AE46" i="26"/>
  <c r="R45" i="20"/>
  <c r="E95" i="17"/>
  <c r="J119" i="19"/>
  <c r="V32" i="19"/>
  <c r="J17" i="21"/>
  <c r="V73" i="20"/>
  <c r="BH93" i="46"/>
  <c r="AB13" i="16"/>
  <c r="T36" i="21"/>
  <c r="T96" i="20"/>
  <c r="D24" i="20"/>
  <c r="D25" i="15"/>
  <c r="J106" i="16"/>
  <c r="AB52" i="16"/>
  <c r="K63" i="46"/>
  <c r="K74" i="17"/>
  <c r="G19" i="44"/>
  <c r="E24" i="19"/>
  <c r="E101" i="16"/>
  <c r="J126" i="46"/>
  <c r="AA89" i="16"/>
  <c r="S116" i="19"/>
  <c r="S72" i="20"/>
  <c r="E75" i="20"/>
  <c r="T67" i="20"/>
  <c r="AA9" i="46"/>
  <c r="T27" i="17"/>
  <c r="BI61" i="46"/>
  <c r="F110" i="20"/>
  <c r="Q110" i="20" s="1"/>
  <c r="X44" i="46"/>
  <c r="H30" i="26"/>
  <c r="E107" i="20"/>
  <c r="G57" i="17"/>
  <c r="W82" i="46"/>
  <c r="G19" i="21"/>
  <c r="I55" i="15"/>
  <c r="D113" i="19"/>
  <c r="K98" i="46"/>
  <c r="G50" i="46"/>
  <c r="W71" i="17"/>
  <c r="D21" i="26"/>
  <c r="Z39" i="46"/>
  <c r="AB60" i="15"/>
  <c r="G82" i="20"/>
  <c r="V52" i="15"/>
  <c r="AB55" i="15"/>
  <c r="I11" i="48"/>
  <c r="H141" i="19"/>
  <c r="I56" i="19"/>
  <c r="G27" i="21"/>
  <c r="D65" i="20"/>
  <c r="Y54" i="17"/>
  <c r="X42" i="17"/>
  <c r="E21" i="15"/>
  <c r="E67" i="16"/>
  <c r="AA90" i="15"/>
  <c r="E24" i="21"/>
  <c r="F61" i="15"/>
  <c r="F58" i="15" s="1"/>
  <c r="F43" i="17"/>
  <c r="S86" i="20"/>
  <c r="BH95" i="46"/>
  <c r="I65" i="26"/>
  <c r="D33" i="50"/>
  <c r="BI58" i="46"/>
  <c r="T24" i="20"/>
  <c r="G46" i="16"/>
  <c r="G41" i="16" s="1"/>
  <c r="Y8" i="46"/>
  <c r="E98" i="20"/>
  <c r="F18" i="16"/>
  <c r="H27" i="46"/>
  <c r="T17" i="48"/>
  <c r="J137" i="46"/>
  <c r="D104" i="17"/>
  <c r="F37" i="46"/>
  <c r="R10" i="20"/>
  <c r="F77" i="17"/>
  <c r="K92" i="46"/>
  <c r="V22" i="20"/>
  <c r="E88" i="17"/>
  <c r="Y57" i="17"/>
  <c r="H32" i="26"/>
  <c r="J15" i="48"/>
  <c r="I135" i="46"/>
  <c r="L19" i="46"/>
  <c r="E6" i="20"/>
  <c r="D78" i="15"/>
  <c r="AB17" i="15"/>
  <c r="V47" i="20"/>
  <c r="R55" i="16"/>
  <c r="D124" i="19"/>
  <c r="G9" i="19"/>
  <c r="U70" i="20"/>
  <c r="G97" i="17"/>
  <c r="G8" i="21"/>
  <c r="H22" i="19"/>
  <c r="D115" i="19"/>
  <c r="I91" i="15"/>
  <c r="U91" i="15" s="1"/>
  <c r="L27" i="48"/>
  <c r="X90" i="17"/>
  <c r="F53" i="46"/>
  <c r="Z10" i="16"/>
  <c r="V112" i="19"/>
  <c r="BI87" i="46"/>
  <c r="E73" i="16"/>
  <c r="X126" i="46"/>
  <c r="I135" i="19"/>
  <c r="I59" i="15"/>
  <c r="H71" i="26"/>
  <c r="W34" i="26"/>
  <c r="E60" i="26"/>
  <c r="X67" i="16"/>
  <c r="T92" i="17"/>
  <c r="J57" i="19"/>
  <c r="G135" i="19"/>
  <c r="AA72" i="16"/>
  <c r="V30" i="20"/>
  <c r="V48" i="46"/>
  <c r="I103" i="16"/>
  <c r="J13" i="19"/>
  <c r="D87" i="17"/>
  <c r="G23" i="46"/>
  <c r="AC11" i="46"/>
  <c r="R20" i="19"/>
  <c r="W78" i="46"/>
  <c r="H92" i="16"/>
  <c r="F38" i="17"/>
  <c r="Z33" i="15"/>
  <c r="BH10" i="46"/>
  <c r="AC32" i="46"/>
  <c r="U22" i="20"/>
  <c r="AC18" i="46"/>
  <c r="U26" i="20"/>
  <c r="E105" i="17"/>
  <c r="X15" i="44"/>
  <c r="E18" i="19"/>
  <c r="E93" i="17"/>
  <c r="F10" i="16"/>
  <c r="J6" i="15"/>
  <c r="BJ146" i="46"/>
  <c r="F56" i="46"/>
  <c r="H67" i="16"/>
  <c r="Y55" i="17"/>
  <c r="D51" i="15"/>
  <c r="BH99" i="46"/>
  <c r="H31" i="26"/>
  <c r="BH90" i="46"/>
  <c r="F24" i="26"/>
  <c r="S55" i="19"/>
  <c r="V36" i="26"/>
  <c r="L89" i="46"/>
  <c r="U13" i="19"/>
  <c r="J55" i="17"/>
  <c r="E18" i="20"/>
  <c r="Y58" i="17"/>
  <c r="S97" i="17"/>
  <c r="T8" i="19"/>
  <c r="W29" i="46"/>
  <c r="G115" i="17"/>
  <c r="K102" i="17"/>
  <c r="I11" i="19"/>
  <c r="S87" i="15"/>
  <c r="X54" i="46"/>
  <c r="V69" i="15"/>
  <c r="BH88" i="46"/>
  <c r="E143" i="19"/>
  <c r="AA9" i="15"/>
  <c r="U22" i="46"/>
  <c r="H13" i="48"/>
  <c r="I80" i="15"/>
  <c r="BK87" i="46"/>
  <c r="R43" i="17"/>
  <c r="AC118" i="46"/>
  <c r="S100" i="20"/>
  <c r="F18" i="50"/>
  <c r="BJ69" i="46"/>
  <c r="F13" i="20"/>
  <c r="D40" i="17"/>
  <c r="V11" i="19"/>
  <c r="D8" i="19"/>
  <c r="J7" i="17"/>
  <c r="S22" i="19"/>
  <c r="D57" i="17"/>
  <c r="F79" i="20"/>
  <c r="Z70" i="46"/>
  <c r="I47" i="16"/>
  <c r="S30" i="16"/>
  <c r="J64" i="15"/>
  <c r="G64" i="16"/>
  <c r="F13" i="15"/>
  <c r="E59" i="16"/>
  <c r="V39" i="21"/>
  <c r="AC117" i="46"/>
  <c r="I48" i="46"/>
  <c r="W11" i="48"/>
  <c r="D25" i="17"/>
  <c r="I63" i="15"/>
  <c r="R64" i="17"/>
  <c r="R107" i="19"/>
  <c r="E88" i="16"/>
  <c r="BK106" i="46"/>
  <c r="U137" i="19"/>
  <c r="T22" i="20"/>
  <c r="E36" i="48"/>
  <c r="L34" i="46"/>
  <c r="BK136" i="46"/>
  <c r="K72" i="17"/>
  <c r="BH70" i="46"/>
  <c r="BI114" i="46"/>
  <c r="BI145" i="46"/>
  <c r="R32" i="16"/>
  <c r="T22" i="50"/>
  <c r="AA7" i="15"/>
  <c r="U113" i="19"/>
  <c r="S103" i="20"/>
  <c r="T7" i="50"/>
  <c r="G29" i="21"/>
  <c r="J92" i="17"/>
  <c r="G59" i="15"/>
  <c r="U35" i="26"/>
  <c r="R14" i="19"/>
  <c r="S115" i="20"/>
  <c r="J51" i="46"/>
  <c r="I39" i="26"/>
  <c r="I64" i="17"/>
  <c r="T41" i="26"/>
  <c r="S119" i="19"/>
  <c r="H48" i="17"/>
  <c r="H26" i="21"/>
  <c r="D55" i="16"/>
  <c r="F65" i="15"/>
  <c r="BI126" i="46"/>
  <c r="Y75" i="17"/>
  <c r="W144" i="46"/>
  <c r="I14" i="50"/>
  <c r="J81" i="15"/>
  <c r="E121" i="19"/>
  <c r="V68" i="46"/>
  <c r="T26" i="48"/>
  <c r="G101" i="46"/>
  <c r="R70" i="17"/>
  <c r="E38" i="19"/>
  <c r="F116" i="20"/>
  <c r="Q116" i="20" s="1"/>
  <c r="E35" i="21"/>
  <c r="BK81" i="46"/>
  <c r="I57" i="26"/>
  <c r="BK65" i="46"/>
  <c r="E16" i="17"/>
  <c r="D74" i="26"/>
  <c r="U84" i="20"/>
  <c r="G90" i="16"/>
  <c r="X125" i="46"/>
  <c r="K65" i="46"/>
  <c r="D34" i="50"/>
  <c r="I102" i="17"/>
  <c r="W16" i="46"/>
  <c r="AB51" i="46"/>
  <c r="E23" i="19"/>
  <c r="AD37" i="26"/>
  <c r="F24" i="46"/>
  <c r="U115" i="20"/>
  <c r="G68" i="17"/>
  <c r="AA10" i="16"/>
  <c r="J81" i="26"/>
  <c r="BG39" i="46"/>
  <c r="J76" i="16"/>
  <c r="X96" i="46"/>
  <c r="W17" i="46"/>
  <c r="X24" i="48"/>
  <c r="H25" i="48"/>
  <c r="W14" i="46"/>
  <c r="W37" i="17"/>
  <c r="E23" i="21"/>
  <c r="G30" i="46"/>
  <c r="Z66" i="46"/>
  <c r="R106" i="17"/>
  <c r="AC21" i="46"/>
  <c r="BJ140" i="46"/>
  <c r="BH110" i="46"/>
  <c r="Z69" i="46"/>
  <c r="E54" i="19"/>
  <c r="W141" i="46"/>
  <c r="T55" i="17"/>
  <c r="BG95" i="46"/>
  <c r="V75" i="20"/>
  <c r="S32" i="16"/>
  <c r="X71" i="15"/>
  <c r="AC139" i="46"/>
  <c r="BI15" i="46"/>
  <c r="R46" i="17"/>
  <c r="Y129" i="46"/>
  <c r="F55" i="19"/>
  <c r="U14" i="20"/>
  <c r="J55" i="26"/>
  <c r="T12" i="50"/>
  <c r="AB49" i="15"/>
  <c r="E119" i="19"/>
  <c r="E40" i="26"/>
  <c r="BK40" i="46"/>
  <c r="I20" i="19"/>
  <c r="K14" i="17"/>
  <c r="G9" i="20"/>
  <c r="J45" i="19"/>
  <c r="I17" i="19"/>
  <c r="E56" i="20"/>
  <c r="AA7" i="44"/>
  <c r="I18" i="44"/>
  <c r="W36" i="16"/>
  <c r="I110" i="46"/>
  <c r="I29" i="21"/>
  <c r="Y46" i="26"/>
  <c r="J25" i="26"/>
  <c r="U16" i="19"/>
  <c r="R18" i="21"/>
  <c r="S100" i="17"/>
  <c r="G45" i="21"/>
  <c r="G46" i="17"/>
  <c r="AB94" i="15"/>
  <c r="T115" i="20"/>
  <c r="L53" i="46"/>
  <c r="K95" i="17"/>
  <c r="Z7" i="15"/>
  <c r="D45" i="21"/>
  <c r="F17" i="46"/>
  <c r="J50" i="46"/>
  <c r="I110" i="17"/>
  <c r="I30" i="26"/>
  <c r="T27" i="19"/>
  <c r="D92" i="15"/>
  <c r="D69" i="15"/>
  <c r="T69" i="46"/>
  <c r="G7" i="19"/>
  <c r="U19" i="50"/>
  <c r="L35" i="46"/>
  <c r="D20" i="19"/>
  <c r="BH37" i="46"/>
  <c r="R22" i="19"/>
  <c r="I50" i="19"/>
  <c r="J47" i="17"/>
  <c r="V37" i="19"/>
  <c r="H82" i="17"/>
  <c r="V49" i="15"/>
  <c r="I130" i="19"/>
  <c r="E34" i="15"/>
  <c r="G34" i="46"/>
  <c r="K53" i="17"/>
  <c r="G34" i="19"/>
  <c r="BG134" i="46"/>
  <c r="R61" i="15"/>
  <c r="AB78" i="16"/>
  <c r="S117" i="19"/>
  <c r="S105" i="20"/>
  <c r="R60" i="20"/>
  <c r="Z10" i="46"/>
  <c r="W16" i="48"/>
  <c r="J53" i="16"/>
  <c r="V35" i="26"/>
  <c r="W36" i="26"/>
  <c r="E8" i="26"/>
  <c r="F52" i="21"/>
  <c r="H73" i="17"/>
  <c r="R72" i="16"/>
  <c r="G17" i="46"/>
  <c r="G75" i="46"/>
  <c r="F82" i="16"/>
  <c r="I10" i="21"/>
  <c r="R15" i="17"/>
  <c r="F76" i="17"/>
  <c r="AA55" i="15"/>
  <c r="AD31" i="26"/>
  <c r="G28" i="17"/>
  <c r="Y105" i="17"/>
  <c r="T48" i="17"/>
  <c r="G31" i="26"/>
  <c r="E9" i="21"/>
  <c r="BI81" i="46"/>
  <c r="J36" i="21"/>
  <c r="AA48" i="15"/>
  <c r="T70" i="46"/>
  <c r="BJ92" i="46"/>
  <c r="X12" i="48"/>
  <c r="S82" i="20"/>
  <c r="U94" i="20"/>
  <c r="J42" i="26"/>
  <c r="F133" i="19"/>
  <c r="I91" i="17"/>
  <c r="BG48" i="46"/>
  <c r="R49" i="17"/>
  <c r="K51" i="46"/>
  <c r="X117" i="46"/>
  <c r="I49" i="15"/>
  <c r="U49" i="15" s="1"/>
  <c r="I36" i="19"/>
  <c r="R115" i="17"/>
  <c r="R119" i="19"/>
  <c r="J114" i="19"/>
  <c r="S63" i="20"/>
  <c r="J29" i="44"/>
  <c r="X17" i="48"/>
  <c r="K66" i="17"/>
  <c r="E49" i="17"/>
  <c r="V52" i="20"/>
  <c r="G27" i="44"/>
  <c r="E50" i="21"/>
  <c r="R76" i="20"/>
  <c r="K68" i="15"/>
  <c r="H63" i="46"/>
  <c r="AB33" i="26"/>
  <c r="D22" i="50"/>
  <c r="F12" i="20"/>
  <c r="F14" i="46"/>
  <c r="H111" i="17"/>
  <c r="H47" i="15"/>
  <c r="F99" i="16"/>
  <c r="H16" i="44"/>
  <c r="T61" i="46"/>
  <c r="Z9" i="48"/>
  <c r="Y106" i="46"/>
  <c r="K13" i="48"/>
  <c r="F125" i="46"/>
  <c r="S41" i="20"/>
  <c r="AA56" i="15"/>
  <c r="BH60" i="46"/>
  <c r="G134" i="19"/>
  <c r="BH6" i="46"/>
  <c r="AC40" i="26"/>
  <c r="E116" i="17"/>
  <c r="J21" i="48"/>
  <c r="W70" i="46"/>
  <c r="D99" i="20"/>
  <c r="V90" i="15"/>
  <c r="G107" i="16"/>
  <c r="R78" i="20"/>
  <c r="D14" i="50"/>
  <c r="R41" i="20"/>
  <c r="H33" i="20"/>
  <c r="J96" i="15"/>
  <c r="J54" i="46"/>
  <c r="E90" i="16"/>
  <c r="I39" i="46"/>
  <c r="T47" i="21"/>
  <c r="F99" i="46"/>
  <c r="W22" i="50"/>
  <c r="G24" i="46"/>
  <c r="S59" i="26"/>
  <c r="I75" i="46"/>
  <c r="BH9" i="46"/>
  <c r="J26" i="48"/>
  <c r="R52" i="17"/>
  <c r="W33" i="48"/>
  <c r="V69" i="20"/>
  <c r="F69" i="15"/>
  <c r="X53" i="16"/>
  <c r="V92" i="15"/>
  <c r="I79" i="16"/>
  <c r="D26" i="15"/>
  <c r="Y109" i="46"/>
  <c r="BJ21" i="46"/>
  <c r="E22" i="20"/>
  <c r="K73" i="46"/>
  <c r="BK104" i="46"/>
  <c r="G52" i="16"/>
  <c r="W17" i="15"/>
  <c r="BJ25" i="46"/>
  <c r="AA59" i="46"/>
  <c r="V14" i="50"/>
  <c r="V43" i="20"/>
  <c r="V74" i="20"/>
  <c r="V11" i="46"/>
  <c r="BH98" i="46"/>
  <c r="W40" i="46"/>
  <c r="H19" i="48"/>
  <c r="J8" i="46"/>
  <c r="L20" i="48"/>
  <c r="V22" i="44"/>
  <c r="AB7" i="46"/>
  <c r="G19" i="50"/>
  <c r="D15" i="20"/>
  <c r="K69" i="17"/>
  <c r="AB21" i="15"/>
  <c r="T87" i="17"/>
  <c r="E18" i="50"/>
  <c r="V88" i="20"/>
  <c r="BJ51" i="46"/>
  <c r="D26" i="17"/>
  <c r="BJ63" i="46"/>
  <c r="V54" i="19"/>
  <c r="Y97" i="46"/>
  <c r="G10" i="50"/>
  <c r="F48" i="17"/>
  <c r="T18" i="21"/>
  <c r="H85" i="17"/>
  <c r="K32" i="46"/>
  <c r="R73" i="17"/>
  <c r="D140" i="19"/>
  <c r="BG107" i="46"/>
  <c r="I14" i="20"/>
  <c r="K101" i="46"/>
  <c r="W126" i="46"/>
  <c r="T59" i="19"/>
  <c r="I137" i="19"/>
  <c r="I56" i="15"/>
  <c r="S63" i="15"/>
  <c r="Z29" i="48"/>
  <c r="T71" i="20"/>
  <c r="AB83" i="15"/>
  <c r="X75" i="46"/>
  <c r="I26" i="21"/>
  <c r="AA52" i="16"/>
  <c r="BK98" i="46"/>
  <c r="I14" i="46"/>
  <c r="T82" i="16"/>
  <c r="BI108" i="46"/>
  <c r="AB56" i="15"/>
  <c r="D19" i="50"/>
  <c r="R74" i="17"/>
  <c r="I7" i="50"/>
  <c r="AC9" i="46"/>
  <c r="S17" i="20"/>
  <c r="H20" i="20"/>
  <c r="D53" i="19"/>
  <c r="W42" i="15"/>
  <c r="BG90" i="46"/>
  <c r="S72" i="15"/>
  <c r="U7" i="46"/>
  <c r="H113" i="46"/>
  <c r="AA104" i="16"/>
  <c r="G49" i="20"/>
  <c r="I10" i="17"/>
  <c r="D50" i="20"/>
  <c r="W105" i="17"/>
  <c r="K27" i="48"/>
  <c r="T65" i="46"/>
  <c r="I60" i="15"/>
  <c r="V71" i="15"/>
  <c r="W6" i="46"/>
  <c r="D117" i="20"/>
  <c r="AC45" i="26"/>
  <c r="I58" i="20"/>
  <c r="F49" i="19"/>
  <c r="T41" i="17"/>
  <c r="H115" i="46"/>
  <c r="S41" i="17"/>
  <c r="L83" i="46"/>
  <c r="V93" i="15"/>
  <c r="S32" i="19"/>
  <c r="R42" i="19"/>
  <c r="R92" i="20"/>
  <c r="J71" i="46"/>
  <c r="W39" i="15"/>
  <c r="Y108" i="17"/>
  <c r="T29" i="50"/>
  <c r="T56" i="17"/>
  <c r="W106" i="17"/>
  <c r="S19" i="50"/>
  <c r="X28" i="48"/>
  <c r="V42" i="46"/>
  <c r="F22" i="19"/>
  <c r="U85" i="20"/>
  <c r="AB67" i="16"/>
  <c r="I123" i="46"/>
  <c r="T15" i="19"/>
  <c r="G60" i="15"/>
  <c r="R38" i="20"/>
  <c r="U36" i="50"/>
  <c r="T109" i="19"/>
  <c r="F10" i="17"/>
  <c r="J94" i="15"/>
  <c r="T33" i="48"/>
  <c r="F21" i="46"/>
  <c r="BJ138" i="46"/>
  <c r="X81" i="46"/>
  <c r="BK24" i="46"/>
  <c r="S29" i="21"/>
  <c r="R62" i="17"/>
  <c r="F41" i="20"/>
  <c r="V38" i="26"/>
  <c r="AB51" i="15"/>
  <c r="R82" i="17"/>
  <c r="BG80" i="46"/>
  <c r="E36" i="20"/>
  <c r="X33" i="48"/>
  <c r="D82" i="15"/>
  <c r="W14" i="17"/>
  <c r="BH96" i="46"/>
  <c r="W17" i="48"/>
  <c r="E25" i="20"/>
  <c r="V41" i="26"/>
  <c r="K28" i="44"/>
  <c r="J12" i="21"/>
  <c r="G116" i="19"/>
  <c r="E19" i="48"/>
  <c r="V117" i="20"/>
  <c r="J77" i="15"/>
  <c r="G94" i="16"/>
  <c r="T77" i="15"/>
  <c r="U19" i="21"/>
  <c r="J31" i="50"/>
  <c r="AB32" i="26"/>
  <c r="G88" i="15"/>
  <c r="F71" i="15"/>
  <c r="S82" i="16"/>
  <c r="W104" i="46"/>
  <c r="K79" i="17"/>
  <c r="G141" i="19"/>
  <c r="T39" i="17"/>
  <c r="I31" i="48"/>
  <c r="E116" i="20"/>
  <c r="D85" i="16"/>
  <c r="V84" i="15"/>
  <c r="W90" i="17"/>
  <c r="AB97" i="15"/>
  <c r="S64" i="15"/>
  <c r="X70" i="46"/>
  <c r="Y73" i="17"/>
  <c r="W19" i="48"/>
  <c r="D58" i="16"/>
  <c r="F22" i="21"/>
  <c r="X18" i="46"/>
  <c r="J26" i="19"/>
  <c r="H19" i="44"/>
  <c r="H18" i="46"/>
  <c r="I68" i="17"/>
  <c r="J61" i="16"/>
  <c r="H103" i="16"/>
  <c r="H43" i="26"/>
  <c r="G16" i="26"/>
  <c r="G11" i="26" s="1"/>
  <c r="F88" i="17"/>
  <c r="W19" i="46"/>
  <c r="AA80" i="15"/>
  <c r="I114" i="19"/>
  <c r="H11" i="48"/>
  <c r="H88" i="17"/>
  <c r="I59" i="17"/>
  <c r="S16" i="19"/>
  <c r="W66" i="15"/>
  <c r="X11" i="46"/>
  <c r="H44" i="15"/>
  <c r="S21" i="50"/>
  <c r="F43" i="26"/>
  <c r="E24" i="26"/>
  <c r="G28" i="46"/>
  <c r="E69" i="20"/>
  <c r="I115" i="46"/>
  <c r="AC45" i="46"/>
  <c r="D25" i="19"/>
  <c r="I83" i="17"/>
  <c r="W87" i="16"/>
  <c r="J82" i="16"/>
  <c r="Y69" i="15"/>
  <c r="H104" i="16"/>
  <c r="H21" i="48"/>
  <c r="J12" i="19"/>
  <c r="H10" i="21"/>
  <c r="G18" i="19"/>
  <c r="Z89" i="46"/>
  <c r="F8" i="46"/>
  <c r="AC35" i="26"/>
  <c r="AA71" i="16"/>
  <c r="S63" i="26"/>
  <c r="I27" i="44"/>
  <c r="E96" i="16"/>
  <c r="I39" i="17"/>
  <c r="I9" i="17"/>
  <c r="W77" i="46"/>
  <c r="X61" i="16"/>
  <c r="AB19" i="16"/>
  <c r="X46" i="26"/>
  <c r="E86" i="17"/>
  <c r="D46" i="20"/>
  <c r="AB37" i="26"/>
  <c r="Z18" i="48"/>
  <c r="S46" i="21"/>
  <c r="Y99" i="46"/>
  <c r="F16" i="50"/>
  <c r="F44" i="16"/>
  <c r="I10" i="50"/>
  <c r="R16" i="21"/>
  <c r="S82" i="26"/>
  <c r="D53" i="17"/>
  <c r="I77" i="17"/>
  <c r="W59" i="46"/>
  <c r="F50" i="20"/>
  <c r="I13" i="46"/>
  <c r="Z19" i="48"/>
  <c r="U125" i="19"/>
  <c r="X34" i="26"/>
  <c r="V22" i="46"/>
  <c r="J33" i="17"/>
  <c r="R63" i="20"/>
  <c r="D56" i="15"/>
  <c r="D96" i="17"/>
  <c r="V50" i="21"/>
  <c r="F20" i="50"/>
  <c r="BI53" i="46"/>
  <c r="W7" i="17"/>
  <c r="H8" i="20"/>
  <c r="D63" i="20"/>
  <c r="F41" i="26"/>
  <c r="R64" i="16"/>
  <c r="J80" i="46"/>
  <c r="BK128" i="46"/>
  <c r="S61" i="16"/>
  <c r="I20" i="50"/>
  <c r="Y113" i="46"/>
  <c r="H82" i="20"/>
  <c r="G28" i="21"/>
  <c r="D73" i="15"/>
  <c r="V71" i="46"/>
  <c r="Y58" i="16"/>
  <c r="AA29" i="26"/>
  <c r="G24" i="17"/>
  <c r="K44" i="48"/>
  <c r="BG114" i="46"/>
  <c r="D34" i="20"/>
  <c r="I30" i="50"/>
  <c r="H11" i="21"/>
  <c r="F53" i="17"/>
  <c r="AB9" i="15"/>
  <c r="Y51" i="46"/>
  <c r="L43" i="48"/>
  <c r="H66" i="46"/>
  <c r="AC23" i="46"/>
  <c r="R93" i="17"/>
  <c r="G103" i="46"/>
  <c r="H8" i="26"/>
  <c r="F109" i="19"/>
  <c r="X45" i="17"/>
  <c r="V8" i="50"/>
  <c r="V35" i="21"/>
  <c r="J27" i="21"/>
  <c r="BG103" i="46"/>
  <c r="T19" i="50"/>
  <c r="S53" i="20"/>
  <c r="BH26" i="46"/>
  <c r="I111" i="19"/>
  <c r="G133" i="46"/>
  <c r="Z42" i="15"/>
  <c r="F74" i="46"/>
  <c r="D71" i="16"/>
  <c r="Y102" i="17"/>
  <c r="J87" i="15"/>
  <c r="G97" i="15"/>
  <c r="V54" i="20"/>
  <c r="H29" i="44"/>
  <c r="E43" i="48"/>
  <c r="F105" i="16"/>
  <c r="T10" i="46"/>
  <c r="F28" i="21"/>
  <c r="E36" i="16"/>
  <c r="H32" i="46"/>
  <c r="T107" i="19"/>
  <c r="T114" i="19"/>
  <c r="S13" i="17"/>
  <c r="F98" i="16"/>
  <c r="R83" i="26"/>
  <c r="T83" i="26" s="1"/>
  <c r="J45" i="21"/>
  <c r="AA66" i="16"/>
  <c r="X9" i="48"/>
  <c r="F36" i="16"/>
  <c r="G62" i="15"/>
  <c r="X95" i="17"/>
  <c r="BH52" i="46"/>
  <c r="J72" i="26"/>
  <c r="W57" i="16"/>
  <c r="BK22" i="46"/>
  <c r="F50" i="15"/>
  <c r="G43" i="17"/>
  <c r="F8" i="19"/>
  <c r="D12" i="20"/>
  <c r="D138" i="19"/>
  <c r="F135" i="19"/>
  <c r="H16" i="17"/>
  <c r="Z20" i="46"/>
  <c r="BI102" i="46"/>
  <c r="V8" i="19"/>
  <c r="AA49" i="15"/>
  <c r="E108" i="20"/>
  <c r="BJ112" i="46"/>
  <c r="AA70" i="46"/>
  <c r="J76" i="15"/>
  <c r="G34" i="21"/>
  <c r="H97" i="15"/>
  <c r="K40" i="46"/>
  <c r="Y26" i="17"/>
  <c r="F21" i="48"/>
  <c r="F78" i="46"/>
  <c r="K27" i="44"/>
  <c r="V75" i="46"/>
  <c r="R106" i="20"/>
  <c r="S23" i="50"/>
  <c r="S22" i="48"/>
  <c r="I35" i="46"/>
  <c r="R78" i="17"/>
  <c r="H65" i="16"/>
  <c r="BG58" i="46"/>
  <c r="W123" i="46"/>
  <c r="K49" i="17"/>
  <c r="W96" i="46"/>
  <c r="T92" i="20"/>
  <c r="R36" i="17"/>
  <c r="Z25" i="15"/>
  <c r="BH86" i="46"/>
  <c r="AA77" i="16"/>
  <c r="AB86" i="15"/>
  <c r="X75" i="16"/>
  <c r="H78" i="46"/>
  <c r="I40" i="21"/>
  <c r="G37" i="48"/>
  <c r="E36" i="26"/>
  <c r="S81" i="20"/>
  <c r="F26" i="20"/>
  <c r="H10" i="26"/>
  <c r="AB31" i="26"/>
  <c r="V61" i="20"/>
  <c r="I11" i="46"/>
  <c r="H39" i="46"/>
  <c r="K100" i="46"/>
  <c r="I63" i="17"/>
  <c r="T58" i="46"/>
  <c r="E65" i="20"/>
  <c r="F48" i="16"/>
  <c r="AB70" i="16"/>
  <c r="W55" i="15"/>
  <c r="F7" i="21"/>
  <c r="J45" i="26"/>
  <c r="F130" i="19"/>
  <c r="T66" i="17"/>
  <c r="D49" i="17"/>
  <c r="V95" i="20"/>
  <c r="G46" i="21"/>
  <c r="G113" i="19"/>
  <c r="F45" i="20"/>
  <c r="AC14" i="46"/>
  <c r="Z123" i="46"/>
  <c r="Z34" i="46"/>
  <c r="G137" i="19"/>
  <c r="F80" i="46"/>
  <c r="V107" i="20"/>
  <c r="K143" i="46"/>
  <c r="BK56" i="46"/>
  <c r="R34" i="20"/>
  <c r="Y27" i="48"/>
  <c r="Y25" i="48"/>
  <c r="I62" i="16"/>
  <c r="G19" i="19"/>
  <c r="J98" i="17"/>
  <c r="K56" i="17"/>
  <c r="X47" i="46"/>
  <c r="E99" i="20"/>
  <c r="E11" i="19"/>
  <c r="Y71" i="16"/>
  <c r="G82" i="16"/>
  <c r="K75" i="46"/>
  <c r="U26" i="21"/>
  <c r="D19" i="21"/>
  <c r="E28" i="20"/>
  <c r="H79" i="17"/>
  <c r="T102" i="20"/>
  <c r="Z26" i="48"/>
  <c r="J132" i="46"/>
  <c r="G39" i="19"/>
  <c r="S67" i="20"/>
  <c r="H103" i="46"/>
  <c r="F113" i="19"/>
  <c r="J21" i="19"/>
  <c r="I83" i="15"/>
  <c r="U83" i="15" s="1"/>
  <c r="W142" i="46"/>
  <c r="W134" i="46"/>
  <c r="S17" i="50"/>
  <c r="H102" i="17"/>
  <c r="R72" i="26"/>
  <c r="L78" i="46"/>
  <c r="I69" i="17"/>
  <c r="S35" i="17"/>
  <c r="BH117" i="46"/>
  <c r="T50" i="21"/>
  <c r="G7" i="50"/>
  <c r="T72" i="17"/>
  <c r="J20" i="46"/>
  <c r="BI71" i="46"/>
  <c r="S93" i="20"/>
  <c r="V50" i="15"/>
  <c r="S86" i="15"/>
  <c r="Y10" i="46"/>
  <c r="R22" i="20"/>
  <c r="AC97" i="46"/>
  <c r="W77" i="16"/>
  <c r="I109" i="16"/>
  <c r="D23" i="20"/>
  <c r="BG56" i="46"/>
  <c r="U20" i="48"/>
  <c r="X16" i="46"/>
  <c r="H12" i="21"/>
  <c r="F26" i="19"/>
  <c r="H118" i="19"/>
  <c r="H41" i="17"/>
  <c r="BI22" i="46"/>
  <c r="F52" i="15"/>
  <c r="L25" i="46"/>
  <c r="D65" i="17"/>
  <c r="V36" i="21"/>
  <c r="I104" i="16"/>
  <c r="J77" i="17"/>
  <c r="G64" i="26"/>
  <c r="V121" i="19"/>
  <c r="H26" i="44"/>
  <c r="T56" i="20"/>
  <c r="R70" i="16"/>
  <c r="D40" i="21"/>
  <c r="X12" i="46"/>
  <c r="E57" i="17"/>
  <c r="H15" i="46"/>
  <c r="R43" i="19"/>
  <c r="BH53" i="46"/>
  <c r="L93" i="46"/>
  <c r="K65" i="15"/>
  <c r="Y65" i="17"/>
  <c r="Z32" i="26"/>
  <c r="V40" i="19"/>
  <c r="L24" i="48"/>
  <c r="AC35" i="46"/>
  <c r="R13" i="20"/>
  <c r="AB53" i="46"/>
  <c r="J44" i="21"/>
  <c r="Y75" i="16"/>
  <c r="G30" i="20"/>
  <c r="H41" i="48"/>
  <c r="R36" i="26"/>
  <c r="D30" i="19"/>
  <c r="W32" i="46"/>
  <c r="E49" i="20"/>
  <c r="J17" i="46"/>
  <c r="E71" i="17"/>
  <c r="R17" i="26"/>
  <c r="AB29" i="26"/>
  <c r="U30" i="20"/>
  <c r="S16" i="26"/>
  <c r="I76" i="17"/>
  <c r="BI133" i="46"/>
  <c r="I12" i="17"/>
  <c r="G44" i="16"/>
  <c r="G75" i="16"/>
  <c r="Z14" i="46"/>
  <c r="H84" i="16"/>
  <c r="K47" i="48"/>
  <c r="E77" i="16"/>
  <c r="I18" i="48"/>
  <c r="F52" i="17"/>
  <c r="E80" i="16"/>
  <c r="H13" i="50"/>
  <c r="I15" i="48"/>
  <c r="S25" i="17"/>
  <c r="BK21" i="46"/>
  <c r="Z68" i="46"/>
  <c r="J79" i="26"/>
  <c r="W45" i="16"/>
  <c r="D16" i="50"/>
  <c r="X18" i="48"/>
  <c r="R42" i="20"/>
  <c r="E64" i="26"/>
  <c r="X98" i="46"/>
  <c r="G17" i="20"/>
  <c r="E51" i="21"/>
  <c r="X106" i="46"/>
  <c r="R114" i="19"/>
  <c r="G132" i="46"/>
  <c r="T12" i="48"/>
  <c r="F107" i="20"/>
  <c r="J48" i="21"/>
  <c r="Y135" i="46"/>
  <c r="U89" i="20"/>
  <c r="X105" i="46"/>
  <c r="V63" i="15"/>
  <c r="J22" i="50"/>
  <c r="I39" i="19"/>
  <c r="E40" i="21"/>
  <c r="BJ139" i="46"/>
  <c r="G93" i="46"/>
  <c r="V68" i="20"/>
  <c r="R53" i="20"/>
  <c r="D47" i="16"/>
  <c r="D100" i="20"/>
  <c r="J59" i="16"/>
  <c r="S42" i="20"/>
  <c r="E44" i="48"/>
  <c r="BH121" i="46"/>
  <c r="H21" i="20"/>
  <c r="V63" i="46"/>
  <c r="F137" i="19"/>
  <c r="AB20" i="16"/>
  <c r="F14" i="48"/>
  <c r="K13" i="17"/>
  <c r="H129" i="46"/>
  <c r="U43" i="46"/>
  <c r="S44" i="21"/>
  <c r="V103" i="20"/>
  <c r="L48" i="46"/>
  <c r="G81" i="26"/>
  <c r="F101" i="16"/>
  <c r="Z64" i="46"/>
  <c r="AA32" i="15"/>
  <c r="E33" i="17"/>
  <c r="K8" i="46"/>
  <c r="Y54" i="16"/>
  <c r="J9" i="44"/>
  <c r="F13" i="16"/>
  <c r="AA87" i="16"/>
  <c r="J117" i="46"/>
  <c r="W45" i="17"/>
  <c r="G79" i="20"/>
  <c r="Q79" i="20" s="1"/>
  <c r="I91" i="16"/>
  <c r="AC36" i="26"/>
  <c r="I72" i="15"/>
  <c r="W42" i="17"/>
  <c r="F45" i="21"/>
  <c r="I19" i="48"/>
  <c r="H7" i="20"/>
  <c r="R86" i="17"/>
  <c r="Y87" i="15"/>
  <c r="E86" i="16"/>
  <c r="R54" i="26"/>
  <c r="K12" i="48"/>
  <c r="G144" i="46"/>
  <c r="AA34" i="26"/>
  <c r="T52" i="20"/>
  <c r="D49" i="21"/>
  <c r="E76" i="16"/>
  <c r="W25" i="17"/>
  <c r="W23" i="46"/>
  <c r="R64" i="15"/>
  <c r="X73" i="15"/>
  <c r="BJ24" i="46"/>
  <c r="G59" i="19"/>
  <c r="D66" i="26"/>
  <c r="I7" i="44"/>
  <c r="Y85" i="17"/>
  <c r="V10" i="21"/>
  <c r="J35" i="50"/>
  <c r="H12" i="48"/>
  <c r="F67" i="16"/>
  <c r="T61" i="16"/>
  <c r="BH29" i="46"/>
  <c r="R43" i="20"/>
  <c r="T34" i="26"/>
  <c r="W78" i="17"/>
  <c r="D143" i="19"/>
  <c r="F29" i="50"/>
  <c r="H38" i="48"/>
  <c r="F84" i="16"/>
  <c r="J10" i="21"/>
  <c r="J70" i="15"/>
  <c r="I23" i="50"/>
  <c r="K42" i="48"/>
  <c r="X89" i="17"/>
  <c r="F73" i="17"/>
  <c r="T84" i="17"/>
  <c r="F27" i="21"/>
  <c r="BJ114" i="46"/>
  <c r="G76" i="46"/>
  <c r="Z63" i="46"/>
  <c r="D141" i="19"/>
  <c r="F15" i="20"/>
  <c r="T11" i="20"/>
  <c r="I51" i="20"/>
  <c r="D102" i="17"/>
  <c r="I11" i="17"/>
  <c r="W25" i="48"/>
  <c r="Y17" i="17"/>
  <c r="T33" i="17"/>
  <c r="X55" i="17"/>
  <c r="E41" i="19"/>
  <c r="V113" i="19"/>
  <c r="I33" i="48"/>
  <c r="D72" i="26"/>
  <c r="J106" i="46"/>
  <c r="H83" i="20"/>
  <c r="S43" i="48"/>
  <c r="E22" i="16"/>
  <c r="E14" i="19"/>
  <c r="I51" i="17"/>
  <c r="S65" i="17"/>
  <c r="T103" i="20"/>
  <c r="F62" i="15"/>
  <c r="BI112" i="46"/>
  <c r="D21" i="16"/>
  <c r="F8" i="50"/>
  <c r="H15" i="20"/>
  <c r="K95" i="15"/>
  <c r="L15" i="46"/>
  <c r="X69" i="16"/>
  <c r="AC84" i="46"/>
  <c r="W53" i="16"/>
  <c r="J82" i="26"/>
  <c r="G31" i="46"/>
  <c r="Y53" i="16"/>
  <c r="D42" i="16"/>
  <c r="F48" i="20"/>
  <c r="I86" i="15"/>
  <c r="D13" i="15"/>
  <c r="R29" i="16"/>
  <c r="T38" i="26"/>
  <c r="D35" i="50"/>
  <c r="Z19" i="16"/>
  <c r="U24" i="48"/>
  <c r="F66" i="26"/>
  <c r="F25" i="17"/>
  <c r="I88" i="15"/>
  <c r="U88" i="15" s="1"/>
  <c r="Z15" i="16"/>
  <c r="F19" i="19"/>
  <c r="J99" i="16"/>
  <c r="E43" i="19"/>
  <c r="T110" i="17"/>
  <c r="Y73" i="46"/>
  <c r="W76" i="46"/>
  <c r="J85" i="17"/>
  <c r="I108" i="16"/>
  <c r="E10" i="26"/>
  <c r="X143" i="46"/>
  <c r="J62" i="15"/>
  <c r="Z101" i="46"/>
  <c r="F46" i="26"/>
  <c r="U13" i="20"/>
  <c r="G64" i="46"/>
  <c r="T52" i="46"/>
  <c r="H37" i="21"/>
  <c r="AD34" i="26"/>
  <c r="K17" i="48"/>
  <c r="BK60" i="46"/>
  <c r="Z142" i="46"/>
  <c r="U34" i="21"/>
  <c r="D9" i="15"/>
  <c r="D15" i="15" s="1"/>
  <c r="G36" i="50"/>
  <c r="Z143" i="46"/>
  <c r="J116" i="19"/>
  <c r="D60" i="26"/>
  <c r="F55" i="15"/>
  <c r="H121" i="19"/>
  <c r="T34" i="20"/>
  <c r="I39" i="48"/>
  <c r="X43" i="46"/>
  <c r="AA94" i="16"/>
  <c r="V47" i="46"/>
  <c r="D81" i="17"/>
  <c r="S15" i="48"/>
  <c r="D22" i="16"/>
  <c r="H111" i="19"/>
  <c r="AC54" i="46"/>
  <c r="I41" i="20"/>
  <c r="X76" i="46"/>
  <c r="E58" i="19"/>
  <c r="W66" i="16"/>
  <c r="T29" i="17"/>
  <c r="F7" i="20"/>
  <c r="G20" i="48"/>
  <c r="J43" i="16"/>
  <c r="T40" i="21"/>
  <c r="BJ15" i="46"/>
  <c r="D38" i="17"/>
  <c r="I136" i="46"/>
  <c r="S16" i="50"/>
  <c r="R56" i="16"/>
  <c r="F13" i="50"/>
  <c r="D108" i="16"/>
  <c r="F97" i="16"/>
  <c r="F65" i="16"/>
  <c r="T74" i="20"/>
  <c r="H70" i="17"/>
  <c r="T67" i="16"/>
  <c r="D13" i="16"/>
  <c r="BK90" i="46"/>
  <c r="Y16" i="17"/>
  <c r="E114" i="17"/>
  <c r="S116" i="17"/>
  <c r="AB63" i="16"/>
  <c r="V133" i="19"/>
  <c r="T12" i="20"/>
  <c r="J54" i="16"/>
  <c r="H122" i="46"/>
  <c r="BJ91" i="46"/>
  <c r="K54" i="17"/>
  <c r="V67" i="20"/>
  <c r="BK114" i="46"/>
  <c r="I124" i="46"/>
  <c r="J85" i="16"/>
  <c r="F39" i="17"/>
  <c r="BG89" i="46"/>
  <c r="G126" i="19"/>
  <c r="F73" i="15"/>
  <c r="J72" i="15"/>
  <c r="D48" i="16"/>
  <c r="E82" i="20"/>
  <c r="K86" i="15"/>
  <c r="AA11" i="16"/>
  <c r="J39" i="19"/>
  <c r="X46" i="46"/>
  <c r="W24" i="46"/>
  <c r="J103" i="46"/>
  <c r="T83" i="15"/>
  <c r="F25" i="48"/>
  <c r="I24" i="20"/>
  <c r="W118" i="46"/>
  <c r="I28" i="21"/>
  <c r="G51" i="17"/>
  <c r="H29" i="50"/>
  <c r="S95" i="17"/>
  <c r="U110" i="19"/>
  <c r="J49" i="17"/>
  <c r="AA109" i="16"/>
  <c r="F50" i="19"/>
  <c r="K15" i="48"/>
  <c r="R100" i="17"/>
  <c r="S102" i="17"/>
  <c r="U100" i="20"/>
  <c r="BG7" i="46"/>
  <c r="AA47" i="15"/>
  <c r="J32" i="50"/>
  <c r="F49" i="21"/>
  <c r="D18" i="50"/>
  <c r="H89" i="46"/>
  <c r="F118" i="46"/>
  <c r="T77" i="17"/>
  <c r="AB29" i="16"/>
  <c r="S62" i="17"/>
  <c r="W38" i="46"/>
  <c r="BG130" i="46"/>
  <c r="J104" i="16"/>
  <c r="E79" i="17"/>
  <c r="Z14" i="16"/>
  <c r="I129" i="19"/>
  <c r="AA54" i="46"/>
  <c r="T55" i="15"/>
  <c r="H13" i="21"/>
  <c r="E45" i="21"/>
  <c r="Y67" i="16"/>
  <c r="F63" i="17"/>
  <c r="S51" i="20"/>
  <c r="G80" i="46"/>
  <c r="U31" i="50"/>
  <c r="BJ26" i="46"/>
  <c r="K73" i="17"/>
  <c r="K42" i="17"/>
  <c r="U115" i="19"/>
  <c r="D20" i="26"/>
  <c r="E7" i="44"/>
  <c r="F20" i="46"/>
  <c r="H31" i="19"/>
  <c r="AC43" i="26"/>
  <c r="I62" i="15"/>
  <c r="U62" i="15" s="1"/>
  <c r="BK38" i="46"/>
  <c r="AA17" i="16"/>
  <c r="T68" i="46"/>
  <c r="F91" i="20"/>
  <c r="AC96" i="46"/>
  <c r="G86" i="46"/>
  <c r="I33" i="19"/>
  <c r="Y64" i="17"/>
  <c r="W135" i="46"/>
  <c r="J130" i="46"/>
  <c r="D22" i="26"/>
  <c r="T68" i="17"/>
  <c r="V20" i="50"/>
  <c r="F119" i="19"/>
  <c r="E40" i="17"/>
  <c r="BI122" i="46"/>
  <c r="K123" i="46"/>
  <c r="Z67" i="46"/>
  <c r="V78" i="15"/>
  <c r="AA93" i="16"/>
  <c r="V24" i="21"/>
  <c r="I49" i="21"/>
  <c r="R113" i="19"/>
  <c r="BJ128" i="46"/>
  <c r="BI28" i="46"/>
  <c r="G80" i="16"/>
  <c r="I28" i="48"/>
  <c r="Y120" i="46"/>
  <c r="BK13" i="46"/>
  <c r="S62" i="15"/>
  <c r="F31" i="50"/>
  <c r="V58" i="19"/>
  <c r="Y41" i="46"/>
  <c r="I71" i="26"/>
  <c r="W80" i="46"/>
  <c r="F10" i="15"/>
  <c r="BI117" i="46"/>
  <c r="I107" i="19"/>
  <c r="H61" i="26"/>
  <c r="T108" i="17"/>
  <c r="BJ99" i="46"/>
  <c r="J10" i="17"/>
  <c r="D42" i="15"/>
  <c r="E97" i="15"/>
  <c r="V122" i="19"/>
  <c r="S51" i="19"/>
  <c r="G23" i="50"/>
  <c r="H34" i="46"/>
  <c r="BI136" i="46"/>
  <c r="I30" i="46"/>
  <c r="K42" i="46"/>
  <c r="R92" i="17"/>
  <c r="G80" i="17"/>
  <c r="F26" i="17"/>
  <c r="F35" i="50"/>
  <c r="K43" i="17"/>
  <c r="J109" i="46"/>
  <c r="K44" i="15"/>
  <c r="J52" i="21"/>
  <c r="V70" i="15"/>
  <c r="T60" i="16"/>
  <c r="F107" i="19"/>
  <c r="X37" i="46"/>
  <c r="G37" i="50"/>
  <c r="E54" i="15"/>
  <c r="T77" i="20"/>
  <c r="S52" i="17"/>
  <c r="X20" i="48"/>
  <c r="V44" i="26"/>
  <c r="F32" i="46"/>
  <c r="AB58" i="16"/>
  <c r="U57" i="46"/>
  <c r="S58" i="26"/>
  <c r="G47" i="15"/>
  <c r="BH79" i="46"/>
  <c r="I48" i="17"/>
  <c r="F19" i="16"/>
  <c r="K71" i="46"/>
  <c r="Y55" i="15"/>
  <c r="J104" i="46"/>
  <c r="T28" i="48"/>
  <c r="J45" i="15"/>
  <c r="J46" i="15" s="1"/>
  <c r="D98" i="17"/>
  <c r="AC112" i="46"/>
  <c r="AB97" i="16"/>
  <c r="AC78" i="46"/>
  <c r="E110" i="20"/>
  <c r="I51" i="19"/>
  <c r="T110" i="19"/>
  <c r="L45" i="48"/>
  <c r="G21" i="26"/>
  <c r="H61" i="16"/>
  <c r="I34" i="21"/>
  <c r="BK108" i="46"/>
  <c r="BK35" i="46"/>
  <c r="E66" i="16"/>
  <c r="K63" i="17"/>
  <c r="R29" i="17"/>
  <c r="D14" i="19"/>
  <c r="E33" i="26"/>
  <c r="E9" i="16"/>
  <c r="L72" i="46"/>
  <c r="G60" i="46"/>
  <c r="F109" i="16"/>
  <c r="F128" i="46"/>
  <c r="W9" i="44"/>
  <c r="W49" i="46"/>
  <c r="Y104" i="17"/>
  <c r="I97" i="17"/>
  <c r="I84" i="17"/>
  <c r="R33" i="16"/>
  <c r="G66" i="46"/>
  <c r="R70" i="15"/>
  <c r="BG121" i="46"/>
  <c r="J142" i="46"/>
  <c r="H63" i="16"/>
  <c r="V45" i="20"/>
  <c r="H98" i="17"/>
  <c r="G14" i="50"/>
  <c r="J57" i="17"/>
  <c r="F56" i="17"/>
  <c r="BI16" i="46"/>
  <c r="X122" i="46"/>
  <c r="BG124" i="46"/>
  <c r="AA14" i="16"/>
  <c r="S81" i="26"/>
  <c r="E17" i="15"/>
  <c r="H53" i="19"/>
  <c r="I14" i="19"/>
  <c r="S85" i="17"/>
  <c r="Y9" i="44"/>
  <c r="E68" i="17"/>
  <c r="U38" i="20"/>
  <c r="Z49" i="46"/>
  <c r="V26" i="21"/>
  <c r="Z21" i="48"/>
  <c r="R117" i="20"/>
  <c r="E7" i="17"/>
  <c r="J92" i="16"/>
  <c r="G21" i="19"/>
  <c r="G72" i="17"/>
  <c r="S69" i="15"/>
  <c r="E113" i="17"/>
  <c r="G56" i="19"/>
  <c r="BJ121" i="46"/>
  <c r="BK146" i="46"/>
  <c r="S16" i="17"/>
  <c r="I52" i="19"/>
  <c r="V23" i="44"/>
  <c r="F75" i="17"/>
  <c r="U57" i="19"/>
  <c r="E28" i="17"/>
  <c r="D19" i="16"/>
  <c r="Z137" i="46"/>
  <c r="H32" i="19"/>
  <c r="G110" i="46"/>
  <c r="U35" i="21"/>
  <c r="S35" i="50"/>
  <c r="AB50" i="46"/>
  <c r="D46" i="19"/>
  <c r="F26" i="21"/>
  <c r="Z22" i="46"/>
  <c r="I20" i="26"/>
  <c r="I13" i="26" s="1"/>
  <c r="L6" i="46"/>
  <c r="X60" i="46"/>
  <c r="W65" i="16"/>
  <c r="S21" i="48"/>
  <c r="H56" i="26"/>
  <c r="J10" i="26"/>
  <c r="E34" i="17"/>
  <c r="F89" i="16"/>
  <c r="T30" i="19"/>
  <c r="U118" i="19"/>
  <c r="BH124" i="46"/>
  <c r="I44" i="20"/>
  <c r="I7" i="46"/>
  <c r="G27" i="19"/>
  <c r="I8" i="44"/>
  <c r="R54" i="16"/>
  <c r="V30" i="50"/>
  <c r="W8" i="46"/>
  <c r="G94" i="17"/>
  <c r="J143" i="19"/>
  <c r="F90" i="20"/>
  <c r="H47" i="46"/>
  <c r="BG27" i="46"/>
  <c r="T85" i="20"/>
  <c r="H52" i="15"/>
  <c r="I88" i="16"/>
  <c r="G19" i="26"/>
  <c r="BJ95" i="46"/>
  <c r="L24" i="46"/>
  <c r="J78" i="16"/>
  <c r="S9" i="48"/>
  <c r="AA29" i="16"/>
  <c r="BJ57" i="46"/>
  <c r="AB80" i="16"/>
  <c r="F25" i="44"/>
  <c r="H64" i="17"/>
  <c r="T46" i="20"/>
  <c r="F45" i="46"/>
  <c r="T87" i="15"/>
  <c r="D28" i="15"/>
  <c r="R16" i="17"/>
  <c r="J133" i="19"/>
  <c r="H79" i="15"/>
  <c r="I133" i="19"/>
  <c r="U18" i="50"/>
  <c r="D64" i="16"/>
  <c r="BJ50" i="46"/>
  <c r="Y39" i="17"/>
  <c r="H86" i="20"/>
  <c r="F125" i="19"/>
  <c r="BJ86" i="46"/>
  <c r="V82" i="20"/>
  <c r="S77" i="20"/>
  <c r="R27" i="19"/>
  <c r="H76" i="46"/>
  <c r="J55" i="19"/>
  <c r="K64" i="17"/>
  <c r="V50" i="46"/>
  <c r="AB59" i="15"/>
  <c r="AB58" i="15" s="1"/>
  <c r="H18" i="26"/>
  <c r="Y45" i="46"/>
  <c r="F115" i="20"/>
  <c r="Q115" i="20" s="1"/>
  <c r="G28" i="44"/>
  <c r="R19" i="26"/>
  <c r="F86" i="15"/>
  <c r="D101" i="17"/>
  <c r="AC53" i="46"/>
  <c r="V36" i="19"/>
  <c r="S42" i="48"/>
  <c r="G25" i="20"/>
  <c r="K82" i="46"/>
  <c r="J48" i="17"/>
  <c r="D36" i="17"/>
  <c r="K97" i="15"/>
  <c r="Z135" i="46"/>
  <c r="R24" i="21"/>
  <c r="S25" i="20"/>
  <c r="S80" i="26"/>
  <c r="T27" i="21"/>
  <c r="R59" i="19"/>
  <c r="G42" i="48"/>
  <c r="E22" i="48"/>
  <c r="I26" i="19"/>
  <c r="G54" i="20"/>
  <c r="W133" i="46"/>
  <c r="R9" i="21"/>
  <c r="H137" i="19"/>
  <c r="Z35" i="15"/>
  <c r="S9" i="19"/>
  <c r="E110" i="17"/>
  <c r="G16" i="48"/>
  <c r="BH38" i="46"/>
  <c r="E55" i="19"/>
  <c r="L28" i="48"/>
  <c r="Y49" i="46"/>
  <c r="T103" i="17"/>
  <c r="I58" i="17"/>
  <c r="U17" i="19"/>
  <c r="D16" i="44"/>
  <c r="I66" i="15"/>
  <c r="H85" i="16"/>
  <c r="F14" i="19"/>
  <c r="T14" i="48"/>
  <c r="G36" i="17"/>
  <c r="K30" i="17"/>
  <c r="S120" i="19"/>
  <c r="Z72" i="46"/>
  <c r="E27" i="48"/>
  <c r="BI57" i="46"/>
  <c r="D86" i="16"/>
  <c r="AA88" i="16"/>
  <c r="T36" i="20"/>
  <c r="G47" i="20"/>
  <c r="J85" i="15"/>
  <c r="S10" i="20"/>
  <c r="G23" i="20"/>
  <c r="W14" i="21"/>
  <c r="W89" i="17"/>
  <c r="AB36" i="16"/>
  <c r="H135" i="19"/>
  <c r="K24" i="48"/>
  <c r="J68" i="46"/>
  <c r="J40" i="21"/>
  <c r="V76" i="15"/>
  <c r="V15" i="44"/>
  <c r="W17" i="21"/>
  <c r="K14" i="48"/>
  <c r="BI41" i="46"/>
  <c r="J66" i="16"/>
  <c r="X43" i="26"/>
  <c r="D68" i="15"/>
  <c r="H78" i="26"/>
  <c r="J137" i="19"/>
  <c r="BG61" i="46"/>
  <c r="S39" i="48"/>
  <c r="I13" i="17"/>
  <c r="E101" i="20"/>
  <c r="AA51" i="15"/>
  <c r="R80" i="15"/>
  <c r="J18" i="50"/>
  <c r="J66" i="46"/>
  <c r="F31" i="20"/>
  <c r="E15" i="26"/>
  <c r="F97" i="20"/>
  <c r="Q97" i="20" s="1"/>
  <c r="Y102" i="46"/>
  <c r="BK30" i="46"/>
  <c r="D68" i="20"/>
  <c r="I20" i="48"/>
  <c r="G21" i="50"/>
  <c r="R16" i="44"/>
  <c r="X70" i="15"/>
  <c r="R86" i="20"/>
  <c r="Y11" i="48"/>
  <c r="X77" i="15"/>
  <c r="J48" i="46"/>
  <c r="BH136" i="46"/>
  <c r="F11" i="16"/>
  <c r="L21" i="48"/>
  <c r="T66" i="16"/>
  <c r="Y17" i="46"/>
  <c r="E17" i="19"/>
  <c r="AB69" i="15"/>
  <c r="D66" i="16"/>
  <c r="D122" i="19"/>
  <c r="G70" i="17"/>
  <c r="S40" i="19"/>
  <c r="BH133" i="46"/>
  <c r="I68" i="46"/>
  <c r="F37" i="16"/>
  <c r="V84" i="20"/>
  <c r="J56" i="17"/>
  <c r="D42" i="21"/>
  <c r="AB73" i="16"/>
  <c r="H46" i="20"/>
  <c r="H43" i="19"/>
  <c r="I144" i="46"/>
  <c r="BK117" i="46"/>
  <c r="I138" i="19"/>
  <c r="T20" i="20"/>
  <c r="R71" i="16"/>
  <c r="T57" i="19"/>
  <c r="AC40" i="46"/>
  <c r="R95" i="17"/>
  <c r="V61" i="15"/>
  <c r="K31" i="46"/>
  <c r="AE42" i="26"/>
  <c r="W28" i="48"/>
  <c r="I40" i="19"/>
  <c r="T88" i="20"/>
  <c r="AC75" i="46"/>
  <c r="H76" i="16"/>
  <c r="X55" i="15"/>
  <c r="AC146" i="46"/>
  <c r="BK14" i="46"/>
  <c r="BK120" i="46"/>
  <c r="S59" i="19"/>
  <c r="T49" i="46"/>
  <c r="V16" i="21"/>
  <c r="F34" i="50"/>
  <c r="J111" i="46"/>
  <c r="G78" i="46"/>
  <c r="S59" i="16"/>
  <c r="U18" i="48"/>
  <c r="D118" i="20"/>
  <c r="Z12" i="16"/>
  <c r="Y143" i="46"/>
  <c r="H47" i="20"/>
  <c r="J56" i="26"/>
  <c r="F23" i="26"/>
  <c r="T39" i="20"/>
  <c r="Y56" i="16"/>
  <c r="BJ40" i="46"/>
  <c r="T45" i="19"/>
  <c r="X80" i="16"/>
  <c r="H36" i="48"/>
  <c r="AA107" i="16"/>
  <c r="V100" i="20"/>
  <c r="F54" i="20"/>
  <c r="W93" i="15"/>
  <c r="Z73" i="46"/>
  <c r="S51" i="17"/>
  <c r="AA36" i="16"/>
  <c r="X144" i="46"/>
  <c r="F23" i="21"/>
  <c r="K90" i="46"/>
  <c r="R66" i="16"/>
  <c r="I38" i="19"/>
  <c r="W97" i="15"/>
  <c r="R104" i="20"/>
  <c r="Z31" i="46"/>
  <c r="AA73" i="15"/>
  <c r="D12" i="26"/>
  <c r="D109" i="17"/>
  <c r="F13" i="48"/>
  <c r="Z53" i="46"/>
  <c r="F55" i="17"/>
  <c r="Y30" i="17"/>
  <c r="G85" i="20"/>
  <c r="Q85" i="20" s="1"/>
  <c r="BK63" i="46"/>
  <c r="E25" i="50"/>
  <c r="S83" i="17"/>
  <c r="E25" i="21"/>
  <c r="BJ33" i="46"/>
  <c r="G65" i="20"/>
  <c r="V61" i="46"/>
  <c r="J81" i="46"/>
  <c r="AA105" i="16"/>
  <c r="D57" i="19"/>
  <c r="AA95" i="15"/>
  <c r="E11" i="17"/>
  <c r="D24" i="50"/>
  <c r="J69" i="16"/>
  <c r="V39" i="20"/>
  <c r="E12" i="50"/>
  <c r="R110" i="20"/>
  <c r="F56" i="16"/>
  <c r="V16" i="46"/>
  <c r="AA22" i="15"/>
  <c r="R81" i="20"/>
  <c r="L94" i="46"/>
  <c r="T9" i="19"/>
  <c r="W8" i="21"/>
  <c r="W88" i="17"/>
  <c r="V65" i="20"/>
  <c r="Y64" i="15"/>
  <c r="E33" i="15"/>
  <c r="F82" i="15"/>
  <c r="R66" i="15"/>
  <c r="I86" i="17"/>
  <c r="J66" i="26"/>
  <c r="H44" i="19"/>
  <c r="D108" i="20"/>
  <c r="E11" i="21"/>
  <c r="S37" i="17"/>
  <c r="Z125" i="46"/>
  <c r="F70" i="16"/>
  <c r="BI142" i="46"/>
  <c r="F78" i="26"/>
  <c r="BG97" i="46"/>
  <c r="F136" i="19"/>
  <c r="I72" i="16"/>
  <c r="J35" i="17"/>
  <c r="F76" i="46"/>
  <c r="Y95" i="17"/>
  <c r="F86" i="16"/>
  <c r="H6" i="16"/>
  <c r="R50" i="17"/>
  <c r="E56" i="17"/>
  <c r="K70" i="15"/>
  <c r="AB45" i="15"/>
  <c r="G24" i="50"/>
  <c r="F27" i="15"/>
  <c r="BG109" i="46"/>
  <c r="H49" i="19"/>
  <c r="J44" i="15"/>
  <c r="R90" i="20"/>
  <c r="K144" i="46"/>
  <c r="H117" i="46"/>
  <c r="W43" i="46"/>
  <c r="X44" i="15"/>
  <c r="R49" i="19"/>
  <c r="H131" i="46"/>
  <c r="R33" i="26"/>
  <c r="H48" i="21"/>
  <c r="E78" i="20"/>
  <c r="F81" i="17"/>
  <c r="D87" i="15"/>
  <c r="V31" i="50"/>
  <c r="I79" i="15"/>
  <c r="F92" i="20"/>
  <c r="R27" i="20"/>
  <c r="Z47" i="46"/>
  <c r="W44" i="16"/>
  <c r="U26" i="48"/>
  <c r="BG86" i="46"/>
  <c r="AC31" i="26"/>
  <c r="R53" i="15"/>
  <c r="F83" i="46"/>
  <c r="S72" i="17"/>
  <c r="BJ97" i="46"/>
  <c r="J56" i="19"/>
  <c r="W84" i="17"/>
  <c r="W111" i="17"/>
  <c r="D65" i="16"/>
  <c r="L14" i="46"/>
  <c r="J92" i="15"/>
  <c r="H30" i="48"/>
  <c r="D24" i="19"/>
  <c r="H66" i="17"/>
  <c r="U33" i="19"/>
  <c r="S43" i="21"/>
  <c r="T67" i="46"/>
  <c r="T22" i="21"/>
  <c r="I94" i="46"/>
  <c r="T42" i="20"/>
  <c r="J35" i="46"/>
  <c r="BH40" i="46"/>
  <c r="J52" i="19"/>
  <c r="H99" i="17"/>
  <c r="I113" i="17"/>
  <c r="R82" i="16"/>
  <c r="J42" i="19"/>
  <c r="R101" i="20"/>
  <c r="H57" i="16"/>
  <c r="AC129" i="46"/>
  <c r="F54" i="46"/>
  <c r="U10" i="50"/>
  <c r="S43" i="17"/>
  <c r="S75" i="20"/>
  <c r="I116" i="19"/>
  <c r="J11" i="50"/>
  <c r="BI51" i="46"/>
  <c r="U48" i="46"/>
  <c r="I43" i="46"/>
  <c r="BK10" i="46"/>
  <c r="Z32" i="15"/>
  <c r="E94" i="16"/>
  <c r="J20" i="26"/>
  <c r="E100" i="20"/>
  <c r="I25" i="44"/>
  <c r="D15" i="16"/>
  <c r="Y111" i="17"/>
  <c r="V91" i="20"/>
  <c r="F14" i="16"/>
  <c r="W38" i="15"/>
  <c r="V41" i="21"/>
  <c r="X77" i="16"/>
  <c r="BI62" i="46"/>
  <c r="T33" i="20"/>
  <c r="F41" i="15"/>
  <c r="J114" i="17"/>
  <c r="H14" i="17"/>
  <c r="S78" i="20"/>
  <c r="F12" i="19"/>
  <c r="BH7" i="46"/>
  <c r="J109" i="16"/>
  <c r="E87" i="17"/>
  <c r="V45" i="19"/>
  <c r="R52" i="21"/>
  <c r="G77" i="26"/>
  <c r="Z23" i="15"/>
  <c r="R8" i="21"/>
  <c r="J63" i="16"/>
  <c r="AB41" i="26"/>
  <c r="Z27" i="16"/>
  <c r="U51" i="46"/>
  <c r="S90" i="17"/>
  <c r="T83" i="20"/>
  <c r="G39" i="17"/>
  <c r="D77" i="26"/>
  <c r="X41" i="17"/>
  <c r="R58" i="26"/>
  <c r="T58" i="26" s="1"/>
  <c r="BH82" i="46"/>
  <c r="AC46" i="26"/>
  <c r="BJ136" i="46"/>
  <c r="F9" i="17"/>
  <c r="AE44" i="26"/>
  <c r="H38" i="19"/>
  <c r="H70" i="46"/>
  <c r="E37" i="48"/>
  <c r="E39" i="20"/>
  <c r="K50" i="17"/>
  <c r="J113" i="19"/>
  <c r="D91" i="15"/>
  <c r="Z11" i="16"/>
  <c r="L40" i="48"/>
  <c r="F71" i="16"/>
  <c r="BG133" i="46"/>
  <c r="J64" i="16"/>
  <c r="AA85" i="15"/>
  <c r="F51" i="15"/>
  <c r="D7" i="15"/>
  <c r="BG33" i="46"/>
  <c r="S66" i="26"/>
  <c r="E28" i="48"/>
  <c r="F100" i="17"/>
  <c r="S75" i="17"/>
  <c r="K58" i="46"/>
  <c r="E115" i="17"/>
  <c r="E12" i="48"/>
  <c r="H25" i="50"/>
  <c r="K88" i="17"/>
  <c r="S37" i="20"/>
  <c r="AA71" i="15"/>
  <c r="S28" i="21"/>
  <c r="F49" i="46"/>
  <c r="V105" i="20"/>
  <c r="S56" i="16"/>
  <c r="H22" i="46"/>
  <c r="H105" i="17"/>
  <c r="AB80" i="46"/>
  <c r="F37" i="26"/>
  <c r="D96" i="15"/>
  <c r="S88" i="15"/>
  <c r="AC59" i="46"/>
  <c r="H21" i="46"/>
  <c r="S7" i="44"/>
  <c r="S22" i="50"/>
  <c r="BK61" i="46"/>
  <c r="W85" i="16"/>
  <c r="AC37" i="46"/>
  <c r="H103" i="17"/>
  <c r="V9" i="19"/>
  <c r="J79" i="15"/>
  <c r="K83" i="15"/>
  <c r="Y61" i="15"/>
  <c r="Z16" i="48"/>
  <c r="T91" i="20"/>
  <c r="AB56" i="16"/>
  <c r="R69" i="20"/>
  <c r="Z20" i="16"/>
  <c r="F77" i="26"/>
  <c r="E54" i="16"/>
  <c r="J38" i="46"/>
  <c r="R35" i="26"/>
  <c r="T20" i="50"/>
  <c r="J76" i="26"/>
  <c r="F58" i="19"/>
  <c r="W44" i="46"/>
  <c r="D79" i="20"/>
  <c r="J115" i="17"/>
  <c r="Y66" i="46"/>
  <c r="K57" i="17"/>
  <c r="BH126" i="46"/>
  <c r="BK99" i="46"/>
  <c r="E81" i="16"/>
  <c r="T110" i="20"/>
  <c r="G91" i="17"/>
  <c r="X80" i="17"/>
  <c r="S80" i="17"/>
  <c r="V55" i="20"/>
  <c r="Y86" i="15"/>
  <c r="H45" i="20"/>
  <c r="V12" i="46"/>
  <c r="Z90" i="46"/>
  <c r="F107" i="16"/>
  <c r="I16" i="44"/>
  <c r="V97" i="15"/>
  <c r="BG132" i="46"/>
  <c r="H53" i="17"/>
  <c r="H16" i="21"/>
  <c r="U67" i="46"/>
  <c r="X97" i="17"/>
  <c r="F65" i="17"/>
  <c r="W140" i="46"/>
  <c r="F49" i="17"/>
  <c r="G39" i="21"/>
  <c r="D30" i="17"/>
  <c r="E21" i="26"/>
  <c r="BI144" i="46"/>
  <c r="T30" i="50"/>
  <c r="S96" i="20"/>
  <c r="BK71" i="46"/>
  <c r="J13" i="50"/>
  <c r="E69" i="16"/>
  <c r="F57" i="17"/>
  <c r="Y77" i="17"/>
  <c r="I103" i="46"/>
  <c r="E85" i="15"/>
  <c r="AB81" i="15"/>
  <c r="BH114" i="46"/>
  <c r="W99" i="17"/>
  <c r="J77" i="16"/>
  <c r="H23" i="26"/>
  <c r="I101" i="17"/>
  <c r="I12" i="48"/>
  <c r="D98" i="16"/>
  <c r="T35" i="17"/>
  <c r="T87" i="20"/>
  <c r="H131" i="19"/>
  <c r="E19" i="20"/>
  <c r="G42" i="46"/>
  <c r="S108" i="19"/>
  <c r="H12" i="46"/>
  <c r="D38" i="21"/>
  <c r="AA47" i="16"/>
  <c r="E48" i="19"/>
  <c r="X62" i="15"/>
  <c r="W94" i="46"/>
  <c r="W76" i="15"/>
  <c r="H65" i="20"/>
  <c r="T79" i="17"/>
  <c r="S58" i="19"/>
  <c r="E91" i="15"/>
  <c r="R67" i="16"/>
  <c r="F99" i="20"/>
  <c r="Q99" i="20" s="1"/>
  <c r="I58" i="46"/>
  <c r="H108" i="46"/>
  <c r="Y94" i="46"/>
  <c r="S15" i="21"/>
  <c r="BI73" i="46"/>
  <c r="H85" i="20"/>
  <c r="F98" i="15"/>
  <c r="S98" i="15" s="1"/>
  <c r="F70" i="17"/>
  <c r="H41" i="50"/>
  <c r="Y65" i="15"/>
  <c r="J101" i="17"/>
  <c r="L61" i="46"/>
  <c r="K74" i="46"/>
  <c r="Y82" i="15"/>
  <c r="S118" i="19"/>
  <c r="I140" i="46"/>
  <c r="BI88" i="46"/>
  <c r="F76" i="26"/>
  <c r="AA62" i="16"/>
  <c r="Y52" i="17"/>
  <c r="BG73" i="46"/>
  <c r="I104" i="17"/>
  <c r="E38" i="17"/>
  <c r="J55" i="16"/>
  <c r="V62" i="20"/>
  <c r="F67" i="46"/>
  <c r="K33" i="17"/>
  <c r="AB106" i="16"/>
  <c r="W13" i="50"/>
  <c r="BG31" i="46"/>
  <c r="T37" i="20"/>
  <c r="E64" i="15"/>
  <c r="BH84" i="46"/>
  <c r="W78" i="15"/>
  <c r="S12" i="48"/>
  <c r="K12" i="17"/>
  <c r="F36" i="48"/>
  <c r="H35" i="20"/>
  <c r="BJ93" i="46"/>
  <c r="H17" i="17"/>
  <c r="E34" i="20"/>
  <c r="U14" i="48"/>
  <c r="F19" i="48"/>
  <c r="BG123" i="46"/>
  <c r="AC113" i="46"/>
  <c r="G65" i="17"/>
  <c r="G44" i="20"/>
  <c r="K38" i="48"/>
  <c r="E63" i="17"/>
  <c r="H84" i="15"/>
  <c r="I137" i="46"/>
  <c r="G37" i="46"/>
  <c r="F85" i="17"/>
  <c r="V65" i="15"/>
  <c r="D110" i="17"/>
  <c r="S48" i="17"/>
  <c r="I28" i="50"/>
  <c r="G108" i="17"/>
  <c r="U40" i="20"/>
  <c r="R87" i="15"/>
  <c r="BI31" i="46"/>
  <c r="I46" i="17"/>
  <c r="X39" i="46"/>
  <c r="H42" i="17"/>
  <c r="F22" i="46"/>
  <c r="W143" i="46"/>
  <c r="E7" i="15"/>
  <c r="W105" i="16"/>
  <c r="E37" i="19"/>
  <c r="D12" i="50"/>
  <c r="AA8" i="44"/>
  <c r="T46" i="48"/>
  <c r="V80" i="20"/>
  <c r="G109" i="16"/>
  <c r="G30" i="48"/>
  <c r="AA11" i="15"/>
  <c r="L71" i="46"/>
  <c r="K47" i="17"/>
  <c r="R18" i="19"/>
  <c r="E71" i="16"/>
  <c r="BH55" i="46"/>
  <c r="L19" i="48"/>
  <c r="T80" i="46"/>
  <c r="W47" i="16"/>
  <c r="U33" i="48"/>
  <c r="AC95" i="46"/>
  <c r="E9" i="17"/>
  <c r="H101" i="16"/>
  <c r="AA75" i="16"/>
  <c r="AB9" i="46"/>
  <c r="K142" i="46"/>
  <c r="V24" i="44"/>
  <c r="Z118" i="46"/>
  <c r="I93" i="16"/>
  <c r="W146" i="46"/>
  <c r="E35" i="50"/>
  <c r="X46" i="17"/>
  <c r="T22" i="44"/>
  <c r="AA71" i="46"/>
  <c r="H109" i="46"/>
  <c r="BG54" i="46"/>
  <c r="BI119" i="46"/>
  <c r="K94" i="17"/>
  <c r="J14" i="17"/>
  <c r="R12" i="17"/>
  <c r="W12" i="50"/>
  <c r="G12" i="17"/>
  <c r="V98" i="15"/>
  <c r="AA13" i="16"/>
  <c r="E8" i="21"/>
  <c r="R114" i="17"/>
  <c r="T12" i="46"/>
  <c r="J114" i="46"/>
  <c r="D73" i="20"/>
  <c r="Z96" i="15"/>
  <c r="S20" i="20"/>
  <c r="AB47" i="15"/>
  <c r="X15" i="48"/>
  <c r="D8" i="26"/>
  <c r="BK57" i="46"/>
  <c r="U44" i="21"/>
  <c r="H35" i="50"/>
  <c r="V29" i="50"/>
  <c r="X139" i="46"/>
  <c r="D92" i="17"/>
  <c r="U106" i="20"/>
  <c r="E132" i="19"/>
  <c r="K35" i="17"/>
  <c r="W63" i="15"/>
  <c r="L63" i="46"/>
  <c r="S14" i="19"/>
  <c r="J24" i="17"/>
  <c r="H94" i="46"/>
  <c r="Y7" i="48"/>
  <c r="G33" i="46"/>
  <c r="H80" i="46"/>
  <c r="J35" i="26"/>
  <c r="AA63" i="16"/>
  <c r="AB61" i="16"/>
  <c r="G43" i="26"/>
  <c r="R10" i="26"/>
  <c r="E57" i="26"/>
  <c r="K9" i="46"/>
  <c r="W40" i="50"/>
  <c r="K93" i="17"/>
  <c r="D59" i="16"/>
  <c r="W58" i="17"/>
  <c r="U48" i="19"/>
  <c r="T107" i="20"/>
  <c r="H93" i="46"/>
  <c r="G43" i="21"/>
  <c r="I23" i="44"/>
  <c r="J18" i="19"/>
  <c r="BI124" i="46"/>
  <c r="G78" i="20"/>
  <c r="Q78" i="20" s="1"/>
  <c r="V13" i="20"/>
  <c r="D102" i="16"/>
  <c r="I52" i="15"/>
  <c r="U52" i="15" s="1"/>
  <c r="X111" i="17"/>
  <c r="I49" i="46"/>
  <c r="F112" i="20"/>
  <c r="G48" i="20"/>
  <c r="I61" i="26"/>
  <c r="E41" i="48"/>
  <c r="AB96" i="16"/>
  <c r="Y76" i="46"/>
  <c r="BH35" i="46"/>
  <c r="T74" i="16"/>
  <c r="K6" i="46"/>
  <c r="X51" i="15"/>
  <c r="I93" i="15"/>
  <c r="E18" i="21"/>
  <c r="BI69" i="46"/>
  <c r="Y40" i="17"/>
  <c r="AC104" i="46"/>
  <c r="J145" i="46"/>
  <c r="F41" i="46"/>
  <c r="W22" i="46"/>
  <c r="G57" i="19"/>
  <c r="X9" i="44"/>
  <c r="U116" i="19"/>
  <c r="BG6" i="46"/>
  <c r="X135" i="46"/>
  <c r="W102" i="17"/>
  <c r="X26" i="46"/>
  <c r="E118" i="20"/>
  <c r="J66" i="15"/>
  <c r="H64" i="46"/>
  <c r="H12" i="20"/>
  <c r="K6" i="15"/>
  <c r="X104" i="46"/>
  <c r="I29" i="17"/>
  <c r="X100" i="17"/>
  <c r="R53" i="19"/>
  <c r="E23" i="16"/>
  <c r="F84" i="20"/>
  <c r="T82" i="20"/>
  <c r="F11" i="20"/>
  <c r="G82" i="17"/>
  <c r="E30" i="48"/>
  <c r="X38" i="46"/>
  <c r="H20" i="50"/>
  <c r="G72" i="15"/>
  <c r="J59" i="15"/>
  <c r="S67" i="16"/>
  <c r="W89" i="16"/>
  <c r="BI131" i="46"/>
  <c r="U72" i="46"/>
  <c r="R79" i="17"/>
  <c r="H35" i="26"/>
  <c r="X102" i="17"/>
  <c r="R43" i="21"/>
  <c r="V52" i="19"/>
  <c r="R128" i="19"/>
  <c r="AA9" i="16"/>
  <c r="H42" i="26"/>
  <c r="BJ62" i="46"/>
  <c r="R63" i="15"/>
  <c r="X102" i="46"/>
  <c r="I50" i="20"/>
  <c r="H18" i="48"/>
  <c r="T58" i="15"/>
  <c r="H70" i="20"/>
  <c r="BG105" i="46"/>
  <c r="G9" i="50"/>
  <c r="F50" i="46"/>
  <c r="F87" i="15"/>
  <c r="I8" i="50"/>
  <c r="E47" i="15"/>
  <c r="G13" i="21"/>
  <c r="S57" i="20"/>
  <c r="R83" i="20"/>
  <c r="F143" i="46"/>
  <c r="X34" i="17"/>
  <c r="V115" i="20"/>
  <c r="J60" i="17"/>
  <c r="G62" i="17"/>
  <c r="I97" i="16"/>
  <c r="BG108" i="46"/>
  <c r="G38" i="19"/>
  <c r="X50" i="46"/>
  <c r="J138" i="46"/>
  <c r="AB63" i="15"/>
  <c r="BG101" i="46"/>
  <c r="E102" i="20"/>
  <c r="J41" i="19"/>
  <c r="T126" i="19"/>
  <c r="W79" i="17"/>
  <c r="J54" i="17"/>
  <c r="Y13" i="48"/>
  <c r="R95" i="20"/>
  <c r="H41" i="21"/>
  <c r="R31" i="19"/>
  <c r="W103" i="46"/>
  <c r="F116" i="46"/>
  <c r="E105" i="20"/>
  <c r="I85" i="16"/>
  <c r="F119" i="46"/>
  <c r="K94" i="46"/>
  <c r="J30" i="48"/>
  <c r="F118" i="20"/>
  <c r="T58" i="17"/>
  <c r="U11" i="48"/>
  <c r="J9" i="17"/>
  <c r="D56" i="26"/>
  <c r="S88" i="20"/>
  <c r="S43" i="20"/>
  <c r="T71" i="15"/>
  <c r="V46" i="20"/>
  <c r="E124" i="19"/>
  <c r="W14" i="50"/>
  <c r="J59" i="26"/>
  <c r="D28" i="50"/>
  <c r="AB75" i="16"/>
  <c r="I35" i="20"/>
  <c r="AA79" i="16"/>
  <c r="BI113" i="46"/>
  <c r="X86" i="17"/>
  <c r="K56" i="46"/>
  <c r="J46" i="19"/>
  <c r="BH103" i="46"/>
  <c r="I17" i="48"/>
  <c r="T31" i="26"/>
  <c r="Y56" i="17"/>
  <c r="I16" i="50"/>
  <c r="V42" i="19"/>
  <c r="W131" i="46"/>
  <c r="AB24" i="16"/>
  <c r="R24" i="19"/>
  <c r="G87" i="20"/>
  <c r="Q87" i="20" s="1"/>
  <c r="E76" i="26"/>
  <c r="BK16" i="46"/>
  <c r="I29" i="44"/>
  <c r="W24" i="15"/>
  <c r="V17" i="20"/>
  <c r="W113" i="17"/>
  <c r="W26" i="17"/>
  <c r="D113" i="17"/>
  <c r="AC22" i="46"/>
  <c r="Y7" i="46"/>
  <c r="T98" i="20"/>
  <c r="F22" i="50"/>
  <c r="BH80" i="46"/>
  <c r="Z15" i="46"/>
  <c r="D75" i="20"/>
  <c r="D66" i="20"/>
  <c r="J23" i="21"/>
  <c r="AA27" i="16"/>
  <c r="AA33" i="15"/>
  <c r="E91" i="16"/>
  <c r="U23" i="21"/>
  <c r="H45" i="19"/>
  <c r="F63" i="15"/>
  <c r="J12" i="50"/>
  <c r="G35" i="46"/>
  <c r="K90" i="17"/>
  <c r="K50" i="46"/>
  <c r="Z25" i="16"/>
  <c r="W50" i="17"/>
  <c r="H50" i="19"/>
  <c r="Y68" i="15"/>
  <c r="L39" i="46"/>
  <c r="W116" i="46"/>
  <c r="D40" i="20"/>
  <c r="U124" i="19"/>
  <c r="BI48" i="46"/>
  <c r="E8" i="50"/>
  <c r="G32" i="50"/>
  <c r="W65" i="46"/>
  <c r="R61" i="20"/>
  <c r="S36" i="20"/>
  <c r="X41" i="46"/>
  <c r="V28" i="50"/>
  <c r="I40" i="20"/>
  <c r="R78" i="26"/>
  <c r="T78" i="26" s="1"/>
  <c r="BH137" i="46"/>
  <c r="J50" i="17"/>
  <c r="E79" i="16"/>
  <c r="W91" i="15"/>
  <c r="V35" i="19"/>
  <c r="AB72" i="15"/>
  <c r="BH108" i="46"/>
  <c r="AA25" i="15"/>
  <c r="H17" i="19"/>
  <c r="T26" i="20"/>
  <c r="H40" i="17"/>
  <c r="I7" i="21"/>
  <c r="Z46" i="26"/>
  <c r="Z144" i="46"/>
  <c r="J28" i="50"/>
  <c r="I102" i="16"/>
  <c r="U16" i="20"/>
  <c r="Z21" i="15"/>
  <c r="V78" i="20"/>
  <c r="Y63" i="15"/>
  <c r="Z115" i="46"/>
  <c r="I110" i="19"/>
  <c r="Z88" i="46"/>
  <c r="F48" i="46"/>
  <c r="J74" i="46"/>
  <c r="D10" i="21"/>
  <c r="V69" i="46"/>
  <c r="D27" i="44"/>
  <c r="I10" i="20"/>
  <c r="BI140" i="46"/>
  <c r="W17" i="50"/>
  <c r="E10" i="21"/>
  <c r="G38" i="17"/>
  <c r="U11" i="21"/>
  <c r="H66" i="15"/>
  <c r="R111" i="19"/>
  <c r="BG93" i="46"/>
  <c r="V10" i="46"/>
  <c r="AB76" i="15"/>
  <c r="X11" i="17"/>
  <c r="W87" i="17"/>
  <c r="G116" i="46"/>
  <c r="W98" i="17"/>
  <c r="R79" i="20"/>
  <c r="U25" i="50"/>
  <c r="F62" i="26"/>
  <c r="G22" i="19"/>
  <c r="R30" i="26"/>
  <c r="AA82" i="16"/>
  <c r="U48" i="20"/>
  <c r="I90" i="17"/>
  <c r="G59" i="17"/>
  <c r="AB67" i="15"/>
  <c r="V123" i="19"/>
  <c r="V74" i="46"/>
  <c r="F97" i="17"/>
  <c r="K136" i="46"/>
  <c r="H69" i="17"/>
  <c r="BJ72" i="46"/>
  <c r="D99" i="17"/>
  <c r="X50" i="17"/>
  <c r="H144" i="46"/>
  <c r="AB38" i="15"/>
  <c r="E70" i="20"/>
  <c r="S66" i="15"/>
  <c r="AB42" i="16"/>
  <c r="T13" i="17"/>
  <c r="T62" i="17"/>
  <c r="L37" i="46"/>
  <c r="J61" i="26"/>
  <c r="I25" i="19"/>
  <c r="K80" i="15"/>
  <c r="Y124" i="46"/>
  <c r="V19" i="20"/>
  <c r="R74" i="16"/>
  <c r="Z17" i="48"/>
  <c r="AC124" i="46"/>
  <c r="T73" i="16"/>
  <c r="I37" i="17"/>
  <c r="W26" i="15"/>
  <c r="BI59" i="46"/>
  <c r="U18" i="20"/>
  <c r="I28" i="20"/>
  <c r="D43" i="20"/>
  <c r="E75" i="26"/>
  <c r="H63" i="17"/>
  <c r="D21" i="20"/>
  <c r="E12" i="19"/>
  <c r="K125" i="46"/>
  <c r="J53" i="19"/>
  <c r="E45" i="19"/>
  <c r="K16" i="44"/>
  <c r="T43" i="26"/>
  <c r="R35" i="17"/>
  <c r="AA10" i="15"/>
  <c r="W10" i="17"/>
  <c r="H41" i="20"/>
  <c r="V56" i="46"/>
  <c r="W29" i="17"/>
  <c r="U42" i="19"/>
  <c r="BG37" i="46"/>
  <c r="K24" i="44"/>
  <c r="F102" i="17"/>
  <c r="H51" i="17"/>
  <c r="R123" i="19"/>
  <c r="F112" i="46"/>
  <c r="S88" i="17"/>
  <c r="G104" i="16"/>
  <c r="H17" i="26"/>
  <c r="AC39" i="26"/>
  <c r="U73" i="20"/>
  <c r="J71" i="26"/>
  <c r="T78" i="46"/>
  <c r="D32" i="50"/>
  <c r="G47" i="46"/>
  <c r="W128" i="46"/>
  <c r="L29" i="48"/>
  <c r="W20" i="50"/>
  <c r="E15" i="21"/>
  <c r="S38" i="19"/>
  <c r="BG60" i="46"/>
  <c r="E23" i="15"/>
  <c r="T73" i="17"/>
  <c r="K121" i="46"/>
  <c r="BH120" i="46"/>
  <c r="E10" i="48"/>
  <c r="Y62" i="17"/>
  <c r="S35" i="21"/>
  <c r="G69" i="16"/>
  <c r="F10" i="26"/>
  <c r="S7" i="50"/>
  <c r="J96" i="17"/>
  <c r="Y32" i="17"/>
  <c r="K72" i="15"/>
  <c r="K96" i="17"/>
  <c r="H43" i="16"/>
  <c r="L56" i="46"/>
  <c r="T48" i="46"/>
  <c r="H46" i="16"/>
  <c r="U8" i="20"/>
  <c r="F94" i="15"/>
  <c r="S94" i="15" s="1"/>
  <c r="E70" i="17"/>
  <c r="Y50" i="17"/>
  <c r="BG96" i="46"/>
  <c r="V58" i="46"/>
  <c r="W34" i="17"/>
  <c r="AC25" i="46"/>
  <c r="J31" i="46"/>
  <c r="I21" i="46"/>
  <c r="Y103" i="46"/>
  <c r="D35" i="17"/>
  <c r="J13" i="46"/>
  <c r="W28" i="15"/>
  <c r="BI80" i="46"/>
  <c r="J32" i="46"/>
  <c r="T52" i="17"/>
  <c r="AB54" i="46"/>
  <c r="G125" i="19"/>
  <c r="V48" i="21"/>
  <c r="Y93" i="17"/>
  <c r="BI13" i="46"/>
  <c r="D53" i="20"/>
  <c r="X56" i="46"/>
  <c r="G145" i="46"/>
  <c r="I69" i="16"/>
  <c r="F78" i="20"/>
  <c r="T106" i="17"/>
  <c r="U70" i="46"/>
  <c r="AA57" i="16"/>
  <c r="BJ44" i="46"/>
  <c r="H95" i="46"/>
  <c r="I54" i="15"/>
  <c r="W26" i="46"/>
  <c r="AA41" i="26"/>
  <c r="J118" i="46"/>
  <c r="T45" i="21"/>
  <c r="I52" i="20"/>
  <c r="Y16" i="44"/>
  <c r="H48" i="16"/>
  <c r="H136" i="46"/>
  <c r="BH107" i="46"/>
  <c r="H55" i="19"/>
  <c r="F134" i="19"/>
  <c r="U97" i="20"/>
  <c r="W51" i="17"/>
  <c r="U56" i="46"/>
  <c r="X63" i="17"/>
  <c r="I34" i="20"/>
  <c r="R78" i="16"/>
  <c r="H72" i="26"/>
  <c r="E9" i="20"/>
  <c r="E40" i="19"/>
  <c r="S62" i="20"/>
  <c r="T82" i="17"/>
  <c r="T100" i="20"/>
  <c r="E52" i="21"/>
  <c r="R14" i="26"/>
  <c r="T14" i="26" s="1"/>
  <c r="D101" i="16"/>
  <c r="I141" i="19"/>
  <c r="H89" i="17"/>
  <c r="AA50" i="15"/>
  <c r="I142" i="19"/>
  <c r="E84" i="17"/>
  <c r="BK47" i="46"/>
  <c r="AA91" i="16"/>
  <c r="BI40" i="46"/>
  <c r="R35" i="19"/>
  <c r="W11" i="15"/>
  <c r="I15" i="46"/>
  <c r="U63" i="20"/>
  <c r="I12" i="21"/>
  <c r="J38" i="50"/>
  <c r="V58" i="20"/>
  <c r="R108" i="17"/>
  <c r="AB34" i="15"/>
  <c r="AB61" i="15"/>
  <c r="D108" i="17"/>
  <c r="AA63" i="46"/>
  <c r="E98" i="16"/>
  <c r="S73" i="17"/>
  <c r="I74" i="26"/>
  <c r="F111" i="20"/>
  <c r="Q111" i="20" s="1"/>
  <c r="AB41" i="46"/>
  <c r="AB102" i="16"/>
  <c r="F47" i="20"/>
  <c r="E47" i="17"/>
  <c r="Z11" i="48"/>
  <c r="E64" i="20"/>
  <c r="J55" i="15"/>
  <c r="BG131" i="46"/>
  <c r="AC83" i="46"/>
  <c r="J53" i="46"/>
  <c r="H62" i="15"/>
  <c r="AC48" i="46"/>
  <c r="BH8" i="46"/>
  <c r="BI56" i="46"/>
  <c r="R100" i="20"/>
  <c r="I44" i="16"/>
  <c r="T69" i="16"/>
  <c r="X121" i="46"/>
  <c r="S64" i="17"/>
  <c r="I120" i="19"/>
  <c r="K105" i="17"/>
  <c r="V26" i="20"/>
  <c r="S117" i="20"/>
  <c r="K36" i="17"/>
  <c r="Y60" i="17"/>
  <c r="I9" i="46"/>
  <c r="G46" i="46"/>
  <c r="T59" i="16"/>
  <c r="AB26" i="16"/>
  <c r="H54" i="46"/>
  <c r="V64" i="15"/>
  <c r="T75" i="46"/>
  <c r="I8" i="20"/>
  <c r="E78" i="17"/>
  <c r="X129" i="46"/>
  <c r="F36" i="46"/>
  <c r="X45" i="15"/>
  <c r="S33" i="16"/>
  <c r="G74" i="46"/>
  <c r="F143" i="19"/>
  <c r="BK18" i="46"/>
  <c r="I64" i="46"/>
  <c r="R19" i="21"/>
  <c r="F82" i="26"/>
  <c r="F15" i="44"/>
  <c r="D11" i="20"/>
  <c r="W59" i="17"/>
  <c r="T45" i="26"/>
  <c r="K81" i="15"/>
  <c r="F81" i="16"/>
  <c r="E38" i="50"/>
  <c r="L64" i="46"/>
  <c r="U21" i="20"/>
  <c r="Y73" i="16"/>
  <c r="K112" i="17"/>
  <c r="V113" i="20"/>
  <c r="Y116" i="17"/>
  <c r="U43" i="21"/>
  <c r="E117" i="19"/>
  <c r="BJ58" i="46"/>
  <c r="W122" i="46"/>
  <c r="AB90" i="16"/>
  <c r="BH125" i="46"/>
  <c r="U24" i="50"/>
  <c r="I99" i="16"/>
  <c r="E68" i="20"/>
  <c r="F79" i="16"/>
  <c r="K20" i="48"/>
  <c r="H22" i="26"/>
  <c r="H14" i="26" s="1"/>
  <c r="R97" i="20"/>
  <c r="D136" i="19"/>
  <c r="V137" i="19"/>
  <c r="H11" i="17"/>
  <c r="J112" i="17"/>
  <c r="AA56" i="16"/>
  <c r="U92" i="20"/>
  <c r="G41" i="20"/>
  <c r="Y64" i="46"/>
  <c r="D57" i="20"/>
  <c r="W37" i="21"/>
  <c r="I55" i="26"/>
  <c r="F17" i="26"/>
  <c r="Z27" i="48"/>
  <c r="G49" i="21"/>
  <c r="I25" i="46"/>
  <c r="BK129" i="46"/>
  <c r="J79" i="17"/>
  <c r="H47" i="17"/>
  <c r="AB42" i="46"/>
  <c r="R14" i="20"/>
  <c r="T114" i="20"/>
  <c r="G16" i="20"/>
  <c r="D104" i="20"/>
  <c r="AA61" i="46"/>
  <c r="T94" i="20"/>
  <c r="I38" i="46"/>
  <c r="Y90" i="46"/>
  <c r="I97" i="46"/>
  <c r="I73" i="17"/>
  <c r="T20" i="48"/>
  <c r="R13" i="19"/>
  <c r="U66" i="46"/>
  <c r="U45" i="46"/>
  <c r="E53" i="16"/>
  <c r="G107" i="19"/>
  <c r="J16" i="26"/>
  <c r="AB22" i="46"/>
  <c r="D44" i="20"/>
  <c r="X25" i="48"/>
  <c r="Z60" i="46"/>
  <c r="W13" i="21"/>
  <c r="D99" i="16"/>
  <c r="I55" i="19"/>
  <c r="I92" i="46"/>
  <c r="J88" i="16"/>
  <c r="AC13" i="46"/>
  <c r="I26" i="20"/>
  <c r="T64" i="17"/>
  <c r="AB15" i="16"/>
  <c r="T12" i="21"/>
  <c r="D73" i="26"/>
  <c r="L73" i="46"/>
  <c r="E102" i="16"/>
  <c r="H29" i="48"/>
  <c r="J140" i="19"/>
  <c r="Y68" i="46"/>
  <c r="S12" i="26"/>
  <c r="T12" i="26" s="1"/>
  <c r="V8" i="44"/>
  <c r="T50" i="17"/>
  <c r="W53" i="17"/>
  <c r="G19" i="46"/>
  <c r="Z23" i="16"/>
  <c r="AC80" i="46"/>
  <c r="S13" i="48"/>
  <c r="R96" i="20"/>
  <c r="G124" i="19"/>
  <c r="F36" i="17"/>
  <c r="S68" i="15"/>
  <c r="W87" i="15"/>
  <c r="U16" i="44"/>
  <c r="AC28" i="46"/>
  <c r="BG19" i="46"/>
  <c r="D41" i="20"/>
  <c r="F38" i="20"/>
  <c r="Y51" i="15"/>
  <c r="T85" i="17"/>
  <c r="X54" i="15"/>
  <c r="V27" i="50"/>
  <c r="D48" i="21"/>
  <c r="I18" i="19"/>
  <c r="X69" i="15"/>
  <c r="R23" i="19"/>
  <c r="E93" i="15"/>
  <c r="I41" i="48"/>
  <c r="W22" i="15"/>
  <c r="W65" i="17"/>
  <c r="U41" i="50"/>
  <c r="X78" i="46"/>
  <c r="F9" i="44"/>
  <c r="H64" i="15"/>
  <c r="X48" i="46"/>
  <c r="G75" i="17"/>
  <c r="H35" i="19"/>
  <c r="D76" i="20"/>
  <c r="Y78" i="16"/>
  <c r="AD46" i="26"/>
  <c r="K67" i="15"/>
  <c r="BH46" i="46"/>
  <c r="G120" i="46"/>
  <c r="H26" i="20"/>
  <c r="BH145" i="46"/>
  <c r="V34" i="50"/>
  <c r="J62" i="17"/>
  <c r="J17" i="17"/>
  <c r="U37" i="21"/>
  <c r="W34" i="50"/>
  <c r="H90" i="16"/>
  <c r="H19" i="21"/>
  <c r="R75" i="16"/>
  <c r="G6" i="16"/>
  <c r="F45" i="16"/>
  <c r="X68" i="17"/>
  <c r="H22" i="48"/>
  <c r="U12" i="20"/>
  <c r="E81" i="26"/>
  <c r="BH23" i="46"/>
  <c r="R41" i="26"/>
  <c r="E32" i="50"/>
  <c r="U58" i="19"/>
  <c r="X79" i="16"/>
  <c r="F120" i="46"/>
  <c r="G7" i="48"/>
  <c r="I63" i="46"/>
  <c r="W129" i="46"/>
  <c r="V6" i="46"/>
  <c r="W114" i="17"/>
  <c r="J143" i="46"/>
  <c r="V109" i="19"/>
  <c r="K91" i="17"/>
  <c r="K40" i="17"/>
  <c r="F67" i="20"/>
  <c r="S30" i="20"/>
  <c r="BJ94" i="46"/>
  <c r="E130" i="19"/>
  <c r="U29" i="50"/>
  <c r="S34" i="20"/>
  <c r="I47" i="21"/>
  <c r="T76" i="17"/>
  <c r="S109" i="17"/>
  <c r="F16" i="17"/>
  <c r="E108" i="17"/>
  <c r="BK139" i="46"/>
  <c r="Z8" i="44"/>
  <c r="G17" i="21"/>
  <c r="T49" i="21"/>
  <c r="Y18" i="48"/>
  <c r="S111" i="17"/>
  <c r="G57" i="46"/>
  <c r="E13" i="15"/>
  <c r="I111" i="17"/>
  <c r="AB84" i="16"/>
  <c r="F86" i="20"/>
  <c r="S53" i="16"/>
  <c r="X73" i="16"/>
  <c r="BH59" i="46"/>
  <c r="R46" i="19"/>
  <c r="I33" i="20"/>
  <c r="H70" i="15"/>
  <c r="G69" i="17"/>
  <c r="S19" i="48"/>
  <c r="L46" i="48"/>
  <c r="Y70" i="16"/>
  <c r="U26" i="19"/>
  <c r="T35" i="20"/>
  <c r="W36" i="21"/>
  <c r="U10" i="19"/>
  <c r="U59" i="19"/>
  <c r="G58" i="17"/>
  <c r="X71" i="17"/>
  <c r="S24" i="48"/>
  <c r="H42" i="21"/>
  <c r="W104" i="16"/>
  <c r="J19" i="44"/>
  <c r="BG119" i="46"/>
  <c r="X86" i="15"/>
  <c r="E10" i="19"/>
  <c r="E137" i="19"/>
  <c r="I15" i="20"/>
  <c r="AB61" i="46"/>
  <c r="E63" i="15"/>
  <c r="AC123" i="46"/>
  <c r="D97" i="15"/>
  <c r="T44" i="46"/>
  <c r="BJ110" i="46"/>
  <c r="W45" i="46"/>
  <c r="R55" i="20"/>
  <c r="BI93" i="46"/>
  <c r="Z24" i="48"/>
  <c r="E95" i="15"/>
  <c r="W34" i="46"/>
  <c r="BJ134" i="46"/>
  <c r="X60" i="16"/>
  <c r="W25" i="15"/>
  <c r="G135" i="46"/>
  <c r="W101" i="46"/>
  <c r="V46" i="21"/>
  <c r="S57" i="17"/>
  <c r="G27" i="20"/>
  <c r="J74" i="26"/>
  <c r="E13" i="16"/>
  <c r="J34" i="46"/>
  <c r="U33" i="20"/>
  <c r="AE43" i="26"/>
  <c r="K72" i="46"/>
  <c r="X107" i="17"/>
  <c r="I31" i="26"/>
  <c r="S38" i="20"/>
  <c r="T65" i="16"/>
  <c r="X74" i="46"/>
  <c r="F59" i="46"/>
  <c r="R73" i="20"/>
  <c r="F78" i="16"/>
  <c r="D93" i="20"/>
  <c r="AA106" i="16"/>
  <c r="R79" i="16"/>
  <c r="F25" i="20"/>
  <c r="R39" i="17"/>
  <c r="G104" i="46"/>
  <c r="D14" i="20"/>
  <c r="F46" i="21"/>
  <c r="U46" i="26"/>
  <c r="AA23" i="15"/>
  <c r="U45" i="20"/>
  <c r="BJ115" i="46"/>
  <c r="L51" i="46"/>
  <c r="J91" i="16"/>
  <c r="BG113" i="46"/>
  <c r="T15" i="17"/>
  <c r="R42" i="26"/>
  <c r="H73" i="20"/>
  <c r="D63" i="17"/>
  <c r="S25" i="48"/>
  <c r="F107" i="46"/>
  <c r="AC29" i="46"/>
  <c r="I65" i="16"/>
  <c r="K40" i="48"/>
  <c r="H81" i="46"/>
  <c r="E60" i="20"/>
  <c r="T50" i="15"/>
  <c r="G99" i="17"/>
  <c r="R66" i="26"/>
  <c r="F62" i="16"/>
  <c r="K77" i="15"/>
  <c r="U17" i="48"/>
  <c r="AB109" i="16"/>
  <c r="H38" i="21"/>
  <c r="I100" i="46"/>
  <c r="E20" i="26"/>
  <c r="F142" i="46"/>
  <c r="T97" i="20"/>
  <c r="H18" i="50"/>
  <c r="BG8" i="46"/>
  <c r="H37" i="50"/>
  <c r="U19" i="48"/>
  <c r="AC41" i="46"/>
  <c r="AB46" i="46"/>
  <c r="AC125" i="46"/>
  <c r="J86" i="17"/>
  <c r="BJ47" i="46"/>
  <c r="E82" i="16"/>
  <c r="W8" i="50"/>
  <c r="X59" i="46"/>
  <c r="J69" i="15"/>
  <c r="BG49" i="46"/>
  <c r="BJ133" i="46"/>
  <c r="F30" i="19"/>
  <c r="G19" i="20"/>
  <c r="AC58" i="46"/>
  <c r="S68" i="17"/>
  <c r="F108" i="16"/>
  <c r="S12" i="21"/>
  <c r="E103" i="17"/>
  <c r="F24" i="17"/>
  <c r="W95" i="17"/>
  <c r="BK8" i="46"/>
  <c r="K67" i="17"/>
  <c r="AA39" i="16"/>
  <c r="AA33" i="16" s="1"/>
  <c r="E77" i="15"/>
  <c r="G112" i="19"/>
  <c r="BG25" i="46"/>
  <c r="AB88" i="15"/>
  <c r="X49" i="17"/>
  <c r="H19" i="26"/>
  <c r="AC107" i="46"/>
  <c r="T48" i="19"/>
  <c r="S18" i="26"/>
  <c r="T39" i="19"/>
  <c r="S7" i="19"/>
  <c r="R47" i="20"/>
  <c r="BI106" i="46"/>
  <c r="T70" i="15"/>
  <c r="I47" i="46"/>
  <c r="F31" i="26"/>
  <c r="D20" i="16"/>
  <c r="AB52" i="46"/>
  <c r="I31" i="20"/>
  <c r="G86" i="20"/>
  <c r="Q86" i="20" s="1"/>
  <c r="BI35" i="46"/>
  <c r="Y55" i="16"/>
  <c r="E109" i="20"/>
  <c r="AE35" i="26"/>
  <c r="T8" i="21"/>
  <c r="E55" i="17"/>
  <c r="H51" i="19"/>
  <c r="H100" i="46"/>
  <c r="T101" i="17"/>
  <c r="T49" i="17"/>
  <c r="I9" i="20"/>
  <c r="S78" i="26"/>
  <c r="E16" i="21"/>
  <c r="AA9" i="44"/>
  <c r="H111" i="46"/>
  <c r="W61" i="15"/>
  <c r="G78" i="26"/>
  <c r="U53" i="19"/>
  <c r="F34" i="21"/>
  <c r="W120" i="46"/>
  <c r="T15" i="21"/>
  <c r="K33" i="46"/>
  <c r="S124" i="19"/>
  <c r="BI43" i="46"/>
  <c r="H43" i="21"/>
  <c r="Z13" i="15"/>
  <c r="E79" i="15"/>
  <c r="BH48" i="46"/>
  <c r="D79" i="15"/>
  <c r="Y53" i="15"/>
  <c r="D15" i="44"/>
  <c r="J76" i="17"/>
  <c r="G55" i="20"/>
  <c r="R44" i="19"/>
  <c r="G59" i="16"/>
  <c r="L36" i="46"/>
  <c r="I32" i="19"/>
  <c r="F106" i="17"/>
  <c r="AE40" i="26"/>
  <c r="E39" i="21"/>
  <c r="S11" i="21"/>
  <c r="T30" i="26"/>
  <c r="H46" i="19"/>
  <c r="D76" i="26"/>
  <c r="R51" i="21"/>
  <c r="S92" i="20"/>
  <c r="BH68" i="46"/>
  <c r="H40" i="26"/>
  <c r="X85" i="15"/>
  <c r="R53" i="16"/>
  <c r="S20" i="48"/>
  <c r="I37" i="26"/>
  <c r="D32" i="15"/>
  <c r="F6" i="16"/>
  <c r="E135" i="19"/>
  <c r="AB63" i="46"/>
  <c r="I105" i="17"/>
  <c r="Y139" i="46"/>
  <c r="R33" i="19"/>
  <c r="S59" i="17"/>
  <c r="AA42" i="16"/>
  <c r="BG22" i="46"/>
  <c r="K57" i="46"/>
  <c r="BK31" i="46"/>
  <c r="H123" i="46"/>
  <c r="K10" i="46"/>
  <c r="F98" i="46"/>
  <c r="G117" i="19"/>
  <c r="L13" i="46"/>
  <c r="G9" i="17"/>
  <c r="Z48" i="46"/>
  <c r="T16" i="19"/>
  <c r="J30" i="19"/>
  <c r="AA15" i="44"/>
  <c r="F117" i="20"/>
  <c r="Q117" i="20" s="1"/>
  <c r="R47" i="17"/>
  <c r="S13" i="21"/>
  <c r="U7" i="21"/>
  <c r="E34" i="19"/>
  <c r="K16" i="46"/>
  <c r="R115" i="20"/>
  <c r="BG11" i="46"/>
  <c r="W85" i="17"/>
  <c r="W21" i="48"/>
  <c r="D113" i="20"/>
  <c r="F93" i="15"/>
  <c r="S93" i="15" s="1"/>
  <c r="V67" i="46"/>
  <c r="I19" i="26"/>
  <c r="E19" i="44"/>
  <c r="W101" i="17"/>
  <c r="F17" i="48"/>
  <c r="T101" i="20"/>
  <c r="D68" i="17"/>
  <c r="Y44" i="46"/>
  <c r="D8" i="15"/>
  <c r="F72" i="26"/>
  <c r="G37" i="17"/>
  <c r="H54" i="15"/>
  <c r="E33" i="50"/>
  <c r="W92" i="17"/>
  <c r="F17" i="19"/>
  <c r="K111" i="46"/>
  <c r="W85" i="15"/>
  <c r="I22" i="20"/>
  <c r="BK58" i="46"/>
  <c r="H59" i="15"/>
  <c r="S46" i="19"/>
  <c r="R38" i="26"/>
  <c r="E115" i="19"/>
  <c r="G44" i="48"/>
  <c r="I45" i="15"/>
  <c r="R59" i="26"/>
  <c r="T59" i="26" s="1"/>
  <c r="BI141" i="46"/>
  <c r="H33" i="46"/>
  <c r="Y136" i="46"/>
  <c r="K41" i="48"/>
  <c r="I66" i="46"/>
  <c r="K82" i="15"/>
  <c r="J14" i="21"/>
  <c r="V47" i="21"/>
  <c r="R26" i="19"/>
  <c r="I134" i="19"/>
  <c r="R30" i="17"/>
  <c r="W64" i="46"/>
  <c r="E36" i="50"/>
  <c r="D37" i="50"/>
  <c r="G24" i="21"/>
  <c r="Y77" i="15"/>
  <c r="G78" i="15"/>
  <c r="E75" i="17"/>
  <c r="S30" i="48"/>
  <c r="BJ23" i="46"/>
  <c r="I56" i="20"/>
  <c r="D80" i="26"/>
  <c r="T10" i="20"/>
  <c r="T48" i="21"/>
  <c r="BH105" i="46"/>
  <c r="U129" i="19"/>
  <c r="I73" i="16"/>
  <c r="J78" i="26"/>
  <c r="G80" i="15"/>
  <c r="AA95" i="16"/>
  <c r="H41" i="26"/>
  <c r="E73" i="26"/>
  <c r="D82" i="20"/>
  <c r="J102" i="16"/>
  <c r="W31" i="48"/>
  <c r="W27" i="50"/>
  <c r="R51" i="17"/>
  <c r="W9" i="50"/>
  <c r="BJ35" i="46"/>
  <c r="X83" i="17"/>
  <c r="AA99" i="16"/>
  <c r="W75" i="17"/>
  <c r="S36" i="17"/>
  <c r="G129" i="46"/>
  <c r="W81" i="17"/>
  <c r="I55" i="16"/>
  <c r="J118" i="19"/>
  <c r="K44" i="46"/>
  <c r="BG82" i="46"/>
  <c r="E29" i="17"/>
  <c r="F10" i="20"/>
  <c r="J49" i="46"/>
  <c r="H98" i="15"/>
  <c r="AB38" i="26"/>
  <c r="V55" i="19"/>
  <c r="F105" i="46"/>
  <c r="BJ32" i="46"/>
  <c r="U14" i="50"/>
  <c r="AA7" i="46"/>
  <c r="G9" i="46"/>
  <c r="AA7" i="16"/>
  <c r="T99" i="20"/>
  <c r="AA39" i="15"/>
  <c r="R54" i="15"/>
  <c r="G60" i="26"/>
  <c r="I67" i="15"/>
  <c r="H72" i="15"/>
  <c r="V13" i="21"/>
  <c r="G45" i="26"/>
  <c r="AC92" i="46"/>
  <c r="BK131" i="46"/>
  <c r="W55" i="17"/>
  <c r="D15" i="17"/>
  <c r="F7" i="16"/>
  <c r="L58" i="46"/>
  <c r="H60" i="26"/>
  <c r="AC98" i="46"/>
  <c r="Y59" i="46"/>
  <c r="G67" i="20"/>
  <c r="Q67" i="20" s="1"/>
  <c r="S101" i="20"/>
  <c r="F16" i="21"/>
  <c r="I78" i="17"/>
  <c r="F36" i="15"/>
  <c r="AB88" i="16"/>
  <c r="I40" i="48"/>
  <c r="T13" i="21"/>
  <c r="J23" i="50"/>
  <c r="U39" i="26"/>
  <c r="AA65" i="15"/>
  <c r="H30" i="20"/>
  <c r="T20" i="19"/>
  <c r="G31" i="48"/>
  <c r="S111" i="20"/>
  <c r="W11" i="46"/>
  <c r="BK74" i="46"/>
  <c r="F65" i="20"/>
  <c r="H23" i="20"/>
  <c r="G81" i="20"/>
  <c r="Q81" i="20" s="1"/>
  <c r="H15" i="17"/>
  <c r="L15" i="48"/>
  <c r="G45" i="20"/>
  <c r="BH127" i="46"/>
  <c r="E96" i="15"/>
  <c r="D52" i="17"/>
  <c r="V25" i="50"/>
  <c r="S79" i="15"/>
  <c r="J17" i="26"/>
  <c r="H115" i="19"/>
  <c r="G32" i="19"/>
  <c r="Y10" i="17"/>
  <c r="T119" i="19"/>
  <c r="T67" i="17"/>
  <c r="E29" i="48"/>
  <c r="BJ101" i="46"/>
  <c r="I12" i="46"/>
  <c r="U33" i="50"/>
  <c r="X98" i="17"/>
  <c r="J95" i="46"/>
  <c r="F44" i="21"/>
  <c r="AA52" i="15"/>
  <c r="I45" i="46"/>
  <c r="D43" i="19"/>
  <c r="Z113" i="46"/>
  <c r="F90" i="15"/>
  <c r="AA59" i="15"/>
  <c r="U58" i="46"/>
  <c r="F138" i="46"/>
  <c r="V15" i="21"/>
  <c r="E19" i="16"/>
  <c r="U7" i="44"/>
  <c r="K64" i="15"/>
  <c r="Z18" i="15"/>
  <c r="I8" i="19"/>
  <c r="T14" i="17"/>
  <c r="W121" i="46"/>
  <c r="U37" i="20"/>
  <c r="J53" i="17"/>
  <c r="V128" i="19"/>
  <c r="G73" i="16"/>
  <c r="R37" i="20"/>
  <c r="S54" i="20"/>
  <c r="G101" i="17"/>
  <c r="S10" i="17"/>
  <c r="AB32" i="15"/>
  <c r="E83" i="20"/>
  <c r="H62" i="17"/>
  <c r="J27" i="50"/>
  <c r="E97" i="17"/>
  <c r="V38" i="19"/>
  <c r="J50" i="15"/>
  <c r="AA56" i="46"/>
  <c r="D126" i="19"/>
  <c r="H44" i="26"/>
  <c r="X73" i="17"/>
  <c r="Y84" i="17"/>
  <c r="R60" i="17"/>
  <c r="F32" i="19"/>
  <c r="R37" i="19"/>
  <c r="BK107" i="46"/>
  <c r="G26" i="17"/>
  <c r="D88" i="16"/>
  <c r="U59" i="46"/>
  <c r="E66" i="20"/>
  <c r="D32" i="19"/>
  <c r="Y24" i="46"/>
  <c r="H40" i="20"/>
  <c r="I71" i="17"/>
  <c r="D79" i="17"/>
  <c r="G45" i="16"/>
  <c r="K83" i="17"/>
  <c r="U14" i="21"/>
  <c r="H50" i="21"/>
  <c r="E10" i="16"/>
  <c r="U8" i="19"/>
  <c r="D128" i="19"/>
  <c r="I95" i="16"/>
  <c r="J11" i="46"/>
  <c r="I57" i="20"/>
  <c r="J80" i="16"/>
  <c r="BI14" i="46"/>
  <c r="K23" i="46"/>
  <c r="I73" i="26"/>
  <c r="F56" i="19"/>
  <c r="J95" i="15"/>
  <c r="E70" i="16"/>
  <c r="Y75" i="46"/>
  <c r="X6" i="46"/>
  <c r="D24" i="16"/>
  <c r="W97" i="17"/>
  <c r="T45" i="17"/>
  <c r="U64" i="20"/>
  <c r="D52" i="21"/>
  <c r="G41" i="48"/>
  <c r="G47" i="21"/>
  <c r="F122" i="46"/>
  <c r="I116" i="46"/>
  <c r="D7" i="17"/>
  <c r="G95" i="15"/>
  <c r="T95" i="15" s="1"/>
  <c r="I120" i="46"/>
  <c r="I48" i="19"/>
  <c r="BK6" i="46"/>
  <c r="E109" i="17"/>
  <c r="T8" i="44"/>
  <c r="E65" i="15"/>
  <c r="R101" i="17"/>
  <c r="AC119" i="46"/>
  <c r="E55" i="16"/>
  <c r="J123" i="19"/>
  <c r="W7" i="44"/>
  <c r="AA48" i="16"/>
  <c r="G70" i="46"/>
  <c r="BH128" i="46"/>
  <c r="BG117" i="46"/>
  <c r="H28" i="44"/>
  <c r="E21" i="20"/>
  <c r="G100" i="46"/>
  <c r="H36" i="20"/>
  <c r="BH135" i="46"/>
  <c r="G64" i="15"/>
  <c r="I16" i="20"/>
  <c r="V38" i="50"/>
  <c r="J105" i="16"/>
  <c r="X24" i="17"/>
  <c r="Z46" i="46"/>
  <c r="W115" i="46"/>
  <c r="J22" i="26"/>
  <c r="I41" i="50"/>
  <c r="L80" i="46"/>
  <c r="V31" i="19"/>
  <c r="AB74" i="46"/>
  <c r="G82" i="15"/>
  <c r="J61" i="15"/>
  <c r="AC105" i="46"/>
  <c r="G94" i="46"/>
  <c r="J52" i="17"/>
  <c r="AB8" i="16"/>
  <c r="F128" i="19"/>
  <c r="F25" i="16"/>
  <c r="H79" i="26"/>
  <c r="T24" i="21"/>
  <c r="G87" i="16"/>
  <c r="T13" i="20"/>
  <c r="Y60" i="15"/>
  <c r="G81" i="15"/>
  <c r="R52" i="20"/>
  <c r="S63" i="17"/>
  <c r="AB22" i="16"/>
  <c r="Z6" i="46"/>
  <c r="G40" i="46"/>
  <c r="W45" i="15"/>
  <c r="W46" i="15" s="1"/>
  <c r="Y52" i="15"/>
  <c r="G44" i="26"/>
  <c r="BI76" i="46"/>
  <c r="G25" i="17"/>
  <c r="AB71" i="46"/>
  <c r="E42" i="15"/>
  <c r="L49" i="46"/>
  <c r="S16" i="20"/>
  <c r="W66" i="17"/>
  <c r="S33" i="17"/>
  <c r="J8" i="21"/>
  <c r="V98" i="20"/>
  <c r="Y66" i="17"/>
  <c r="X11" i="48"/>
  <c r="F106" i="20"/>
  <c r="J53" i="15"/>
  <c r="G101" i="16"/>
  <c r="Y110" i="46"/>
  <c r="Y146" i="46"/>
  <c r="D55" i="19"/>
  <c r="I22" i="50"/>
  <c r="K90" i="15"/>
  <c r="V12" i="20"/>
  <c r="H7" i="46"/>
  <c r="I21" i="48"/>
  <c r="U13" i="46"/>
  <c r="T52" i="15"/>
  <c r="G102" i="16"/>
  <c r="F145" i="46"/>
  <c r="J125" i="19"/>
  <c r="T29" i="16"/>
  <c r="D112" i="19"/>
  <c r="H78" i="16"/>
  <c r="D66" i="15"/>
  <c r="F59" i="17"/>
  <c r="X114" i="17"/>
  <c r="S61" i="20"/>
  <c r="S18" i="50"/>
  <c r="AC44" i="46"/>
  <c r="BH111" i="46"/>
  <c r="I40" i="50"/>
  <c r="BK111" i="46"/>
  <c r="R9" i="20"/>
  <c r="J73" i="17"/>
  <c r="W68" i="15"/>
  <c r="K47" i="15"/>
  <c r="K48" i="15" s="1"/>
  <c r="E16" i="20"/>
  <c r="D62" i="16"/>
  <c r="Y95" i="46"/>
  <c r="T37" i="50"/>
  <c r="F39" i="26"/>
  <c r="F33" i="48"/>
  <c r="U42" i="26"/>
  <c r="R45" i="21"/>
  <c r="H91" i="17"/>
  <c r="F37" i="21"/>
  <c r="D15" i="19"/>
  <c r="G7" i="17"/>
  <c r="J96" i="16"/>
  <c r="E113" i="20"/>
  <c r="F20" i="16"/>
  <c r="J37" i="17"/>
  <c r="Z25" i="48"/>
  <c r="W42" i="46"/>
  <c r="U99" i="20"/>
  <c r="F52" i="46"/>
  <c r="E14" i="21"/>
  <c r="E51" i="19"/>
  <c r="J78" i="15"/>
  <c r="V124" i="19"/>
  <c r="BI55" i="46"/>
  <c r="AB76" i="46"/>
  <c r="W33" i="26"/>
  <c r="Y83" i="46"/>
  <c r="H54" i="16"/>
  <c r="J99" i="46"/>
  <c r="L12" i="48"/>
  <c r="AA55" i="16"/>
  <c r="G133" i="19"/>
  <c r="F64" i="15"/>
  <c r="S15" i="19"/>
  <c r="R79" i="15"/>
  <c r="S42" i="17"/>
  <c r="Y45" i="17"/>
  <c r="I42" i="20"/>
  <c r="W107" i="46"/>
  <c r="F92" i="15"/>
  <c r="S92" i="15" s="1"/>
  <c r="AB44" i="15"/>
  <c r="T93" i="17"/>
  <c r="T11" i="19"/>
  <c r="L20" i="46"/>
  <c r="E8" i="19"/>
  <c r="J99" i="17"/>
  <c r="E7" i="19"/>
  <c r="H93" i="16"/>
  <c r="I71" i="46"/>
  <c r="J28" i="21"/>
  <c r="T11" i="48"/>
  <c r="H54" i="26"/>
  <c r="F16" i="20"/>
  <c r="Y30" i="26"/>
  <c r="Z22" i="48"/>
  <c r="BJ71" i="46"/>
  <c r="I100" i="16"/>
  <c r="T18" i="19"/>
  <c r="AA24" i="15"/>
  <c r="S53" i="19"/>
  <c r="F16" i="19"/>
  <c r="K92" i="17"/>
  <c r="H108" i="16"/>
  <c r="F27" i="17"/>
  <c r="G77" i="20"/>
  <c r="F18" i="20"/>
  <c r="U128" i="19"/>
  <c r="AA16" i="46"/>
  <c r="V56" i="20"/>
  <c r="F38" i="46"/>
  <c r="D50" i="19"/>
  <c r="K116" i="46"/>
  <c r="BI21" i="46"/>
  <c r="W106" i="16"/>
  <c r="AC32" i="26"/>
  <c r="D70" i="16"/>
  <c r="F140" i="46"/>
  <c r="BJ122" i="46"/>
  <c r="H51" i="46"/>
  <c r="S44" i="19"/>
  <c r="Y67" i="46"/>
  <c r="F77" i="16"/>
  <c r="R104" i="17"/>
  <c r="S98" i="20"/>
  <c r="J141" i="46"/>
  <c r="T66" i="46"/>
  <c r="V54" i="46"/>
  <c r="T61" i="20"/>
  <c r="W39" i="17"/>
  <c r="E53" i="19"/>
  <c r="D43" i="21"/>
  <c r="I23" i="46"/>
  <c r="T105" i="17"/>
  <c r="F18" i="48"/>
  <c r="T55" i="16"/>
  <c r="AB54" i="16"/>
  <c r="T80" i="17"/>
  <c r="I101" i="46"/>
  <c r="Y38" i="17"/>
  <c r="E27" i="16"/>
  <c r="BH140" i="46"/>
  <c r="AA59" i="16"/>
  <c r="S112" i="20"/>
  <c r="V36" i="20"/>
  <c r="S22" i="26"/>
  <c r="V127" i="19"/>
  <c r="BI8" i="46"/>
  <c r="K69" i="15"/>
  <c r="S90" i="20"/>
  <c r="T112" i="17"/>
  <c r="R29" i="21"/>
  <c r="I72" i="46"/>
  <c r="X112" i="17"/>
  <c r="AA16" i="44"/>
  <c r="R12" i="20"/>
  <c r="F20" i="20"/>
  <c r="W54" i="16"/>
  <c r="G89" i="17"/>
  <c r="W9" i="48"/>
  <c r="X75" i="17"/>
  <c r="G41" i="19"/>
  <c r="G69" i="20"/>
  <c r="Q69" i="20" s="1"/>
  <c r="S61" i="26"/>
  <c r="G109" i="17"/>
  <c r="J51" i="19"/>
  <c r="G15" i="44"/>
  <c r="AC10" i="46"/>
  <c r="H69" i="15"/>
  <c r="D94" i="16"/>
  <c r="V92" i="20"/>
  <c r="E32" i="15"/>
  <c r="G47" i="16"/>
  <c r="AA48" i="46"/>
  <c r="BJ53" i="46"/>
  <c r="I68" i="15"/>
  <c r="U68" i="15" s="1"/>
  <c r="T44" i="20"/>
  <c r="I58" i="26"/>
  <c r="G51" i="20"/>
  <c r="V57" i="46"/>
  <c r="J120" i="19"/>
  <c r="H83" i="17"/>
  <c r="S74" i="17"/>
  <c r="H11" i="19"/>
  <c r="F30" i="48"/>
  <c r="I34" i="19"/>
  <c r="H133" i="46"/>
  <c r="BI65" i="46"/>
  <c r="J43" i="46"/>
  <c r="T29" i="21"/>
  <c r="D91" i="20"/>
  <c r="S44" i="48"/>
  <c r="K120" i="46"/>
  <c r="J59" i="19"/>
  <c r="V17" i="21"/>
  <c r="J110" i="46"/>
  <c r="T21" i="19"/>
  <c r="I132" i="46"/>
  <c r="T117" i="19"/>
  <c r="BG47" i="46"/>
  <c r="K29" i="17"/>
  <c r="F8" i="16"/>
  <c r="E60" i="15"/>
  <c r="W64" i="17"/>
  <c r="Y85" i="15"/>
  <c r="Z30" i="26"/>
  <c r="D31" i="50"/>
  <c r="F60" i="20"/>
  <c r="Y35" i="26"/>
  <c r="AB100" i="16"/>
  <c r="T59" i="46"/>
  <c r="BH33" i="46"/>
  <c r="H27" i="19"/>
  <c r="I42" i="17"/>
  <c r="W27" i="46"/>
  <c r="H110" i="46"/>
  <c r="F9" i="19"/>
  <c r="AA73" i="46"/>
  <c r="F76" i="16"/>
  <c r="H26" i="17"/>
  <c r="T61" i="15"/>
  <c r="H114" i="19"/>
  <c r="F117" i="19"/>
  <c r="L12" i="46"/>
  <c r="BH122" i="46"/>
  <c r="S75" i="16"/>
  <c r="E35" i="15"/>
  <c r="E51" i="15"/>
  <c r="W94" i="17"/>
  <c r="G24" i="48"/>
  <c r="G119" i="46"/>
  <c r="I66" i="17"/>
  <c r="V18" i="44"/>
  <c r="G8" i="46"/>
  <c r="X65" i="16"/>
  <c r="U29" i="20"/>
  <c r="R38" i="21"/>
  <c r="E44" i="19"/>
  <c r="V19" i="19"/>
  <c r="H27" i="44"/>
  <c r="S47" i="17"/>
  <c r="X130" i="46"/>
  <c r="R108" i="20"/>
  <c r="V15" i="46"/>
  <c r="V135" i="19"/>
  <c r="X9" i="17"/>
  <c r="Z57" i="46"/>
  <c r="W65" i="15"/>
  <c r="H45" i="46"/>
  <c r="Z41" i="26"/>
  <c r="BH28" i="46"/>
  <c r="F25" i="19"/>
  <c r="H17" i="48"/>
  <c r="T122" i="19"/>
  <c r="Y119" i="46"/>
  <c r="AB59" i="16"/>
  <c r="U11" i="50"/>
  <c r="H45" i="48"/>
  <c r="W29" i="16"/>
  <c r="G98" i="15"/>
  <c r="J28" i="46"/>
  <c r="F70" i="46"/>
  <c r="G22" i="48"/>
  <c r="G7" i="21"/>
  <c r="H33" i="26"/>
  <c r="F98" i="20"/>
  <c r="Q98" i="20" s="1"/>
  <c r="BI104" i="46"/>
  <c r="F36" i="26"/>
  <c r="S24" i="17"/>
  <c r="J21" i="26"/>
  <c r="BJ135" i="46"/>
  <c r="I53" i="17"/>
  <c r="T80" i="16"/>
  <c r="E98" i="17"/>
  <c r="F47" i="15"/>
  <c r="F48" i="15" s="1"/>
  <c r="G50" i="19"/>
  <c r="U34" i="26"/>
  <c r="H8" i="46"/>
  <c r="V111" i="19"/>
  <c r="G87" i="17"/>
  <c r="AB25" i="16"/>
  <c r="Y20" i="46"/>
  <c r="BI64" i="46"/>
  <c r="Z16" i="46"/>
  <c r="J34" i="17"/>
  <c r="J73" i="46"/>
  <c r="D29" i="17"/>
  <c r="K51" i="15"/>
  <c r="H24" i="20"/>
  <c r="BJ16" i="46"/>
  <c r="F68" i="17"/>
  <c r="BG65" i="46"/>
  <c r="BJ98" i="46"/>
  <c r="W38" i="21"/>
  <c r="E78" i="26"/>
  <c r="F61" i="16"/>
  <c r="D31" i="15"/>
  <c r="F122" i="19"/>
  <c r="T102" i="17"/>
  <c r="D11" i="16"/>
  <c r="E94" i="17"/>
  <c r="D45" i="16"/>
  <c r="R56" i="15"/>
  <c r="Y37" i="26"/>
  <c r="K59" i="15"/>
  <c r="F91" i="15"/>
  <c r="S91" i="15" s="1"/>
  <c r="E59" i="19"/>
  <c r="H57" i="17"/>
  <c r="F81" i="15"/>
  <c r="BH51" i="46"/>
  <c r="G90" i="46"/>
  <c r="Y79" i="17"/>
  <c r="D34" i="19"/>
  <c r="F10" i="21"/>
  <c r="L18" i="46"/>
  <c r="AA38" i="26"/>
  <c r="Y64" i="16"/>
  <c r="H18" i="20"/>
  <c r="Y80" i="46"/>
  <c r="K110" i="46"/>
  <c r="Y82" i="46"/>
  <c r="V8" i="21"/>
  <c r="J67" i="17"/>
  <c r="J112" i="19"/>
  <c r="V49" i="21"/>
  <c r="BH91" i="46"/>
  <c r="BJ42" i="46"/>
  <c r="T54" i="19"/>
  <c r="D12" i="16"/>
  <c r="G12" i="50"/>
  <c r="T15" i="20"/>
  <c r="F109" i="17"/>
  <c r="W38" i="16"/>
  <c r="D56" i="17"/>
  <c r="W33" i="15"/>
  <c r="X16" i="44"/>
  <c r="V106" i="20"/>
  <c r="D12" i="17"/>
  <c r="R54" i="17"/>
  <c r="U63" i="46"/>
  <c r="AB46" i="16"/>
  <c r="AB41" i="16" s="1"/>
  <c r="I33" i="26"/>
  <c r="AA58" i="16"/>
  <c r="J20" i="19"/>
  <c r="F23" i="50"/>
  <c r="X79" i="17"/>
  <c r="E46" i="20"/>
  <c r="F32" i="15"/>
  <c r="W44" i="15"/>
  <c r="R48" i="21"/>
  <c r="X52" i="16"/>
  <c r="K27" i="46"/>
  <c r="G67" i="15"/>
  <c r="H110" i="19"/>
  <c r="S36" i="48"/>
  <c r="J72" i="16"/>
  <c r="S69" i="17"/>
  <c r="I9" i="48"/>
  <c r="F66" i="20"/>
  <c r="F86" i="17"/>
  <c r="T88" i="15"/>
  <c r="G106" i="46"/>
  <c r="X68" i="46"/>
  <c r="W23" i="15"/>
  <c r="W91" i="16"/>
  <c r="R61" i="16"/>
  <c r="AC122" i="46"/>
  <c r="S18" i="48"/>
  <c r="BJ81" i="46"/>
  <c r="H117" i="19"/>
  <c r="H78" i="15"/>
  <c r="W108" i="46"/>
  <c r="I42" i="16"/>
  <c r="T113" i="17"/>
  <c r="G56" i="26"/>
  <c r="F56" i="15"/>
  <c r="V9" i="50"/>
  <c r="S26" i="17"/>
  <c r="AB64" i="16"/>
  <c r="J22" i="21"/>
  <c r="D62" i="26"/>
  <c r="K126" i="46"/>
  <c r="T64" i="20"/>
  <c r="W59" i="15"/>
  <c r="H67" i="17"/>
  <c r="G8" i="26"/>
  <c r="E77" i="26"/>
  <c r="BH112" i="46"/>
  <c r="X76" i="17"/>
  <c r="G73" i="15"/>
  <c r="R103" i="17"/>
  <c r="BI78" i="46"/>
  <c r="Z36" i="46"/>
  <c r="AB48" i="15"/>
  <c r="E16" i="44"/>
  <c r="AA78" i="46"/>
  <c r="BH89" i="46"/>
  <c r="H82" i="26"/>
  <c r="F80" i="15"/>
  <c r="Y83" i="17"/>
  <c r="I107" i="17"/>
  <c r="T94" i="17"/>
  <c r="J87" i="17"/>
  <c r="H75" i="17"/>
  <c r="K7" i="48"/>
  <c r="U108" i="20"/>
  <c r="J29" i="46"/>
  <c r="J121" i="46"/>
  <c r="I132" i="19"/>
  <c r="F25" i="15"/>
  <c r="T10" i="17"/>
  <c r="R36" i="20"/>
  <c r="U39" i="20"/>
  <c r="G24" i="19"/>
  <c r="J71" i="16"/>
  <c r="W38" i="17"/>
  <c r="E106" i="20"/>
  <c r="F39" i="16"/>
  <c r="F33" i="16" s="1"/>
  <c r="G92" i="46"/>
  <c r="X7" i="17"/>
  <c r="AB67" i="46"/>
  <c r="G78" i="16"/>
  <c r="W7" i="46"/>
  <c r="X76" i="16"/>
  <c r="F110" i="19"/>
  <c r="G117" i="46"/>
  <c r="S112" i="17"/>
  <c r="I141" i="46"/>
  <c r="Y34" i="17"/>
  <c r="T105" i="20"/>
  <c r="J57" i="46"/>
  <c r="V115" i="19"/>
  <c r="S27" i="50"/>
  <c r="Y77" i="16"/>
  <c r="AE41" i="26"/>
  <c r="J42" i="16"/>
  <c r="E46" i="48"/>
  <c r="D116" i="20"/>
  <c r="I13" i="50"/>
  <c r="S113" i="17"/>
  <c r="D28" i="20"/>
  <c r="BG135" i="46"/>
  <c r="E88" i="20"/>
  <c r="V15" i="19"/>
  <c r="Y21" i="48"/>
  <c r="K46" i="17"/>
  <c r="G107" i="46"/>
  <c r="V10" i="19"/>
  <c r="D90" i="16"/>
  <c r="BJ117" i="46"/>
  <c r="Z126" i="46"/>
  <c r="BJ104" i="46"/>
  <c r="E109" i="19"/>
  <c r="Z26" i="15"/>
  <c r="K94" i="15"/>
  <c r="D84" i="20"/>
  <c r="W101" i="16"/>
  <c r="T33" i="16"/>
  <c r="E59" i="17"/>
  <c r="E93" i="16"/>
  <c r="BG66" i="46"/>
  <c r="I7" i="19"/>
  <c r="V19" i="21"/>
  <c r="U27" i="50"/>
  <c r="F91" i="17"/>
  <c r="Z7" i="44"/>
  <c r="U55" i="19"/>
  <c r="F17" i="16"/>
  <c r="S108" i="17"/>
  <c r="D7" i="21"/>
  <c r="S30" i="17"/>
  <c r="Z30" i="46"/>
  <c r="D76" i="16"/>
  <c r="F83" i="15"/>
  <c r="D18" i="19"/>
  <c r="Y43" i="17"/>
  <c r="U16" i="50"/>
  <c r="K61" i="46"/>
  <c r="S65" i="15"/>
  <c r="E50" i="15"/>
  <c r="I33" i="46"/>
  <c r="H42" i="19"/>
  <c r="R58" i="20"/>
  <c r="W41" i="50"/>
  <c r="U54" i="46"/>
  <c r="U47" i="19"/>
  <c r="E27" i="44"/>
  <c r="V8" i="20"/>
  <c r="H8" i="21"/>
  <c r="V16" i="44"/>
  <c r="BJ39" i="46"/>
  <c r="H108" i="19"/>
  <c r="G54" i="46"/>
  <c r="Y56" i="46"/>
  <c r="F11" i="21"/>
  <c r="T18" i="48"/>
  <c r="F111" i="17"/>
  <c r="W58" i="16"/>
  <c r="AA70" i="16"/>
  <c r="V63" i="20"/>
  <c r="T24" i="44"/>
  <c r="V72" i="46"/>
  <c r="W56" i="46"/>
  <c r="E104" i="20"/>
  <c r="D115" i="20"/>
  <c r="S39" i="19"/>
  <c r="AA24" i="16"/>
  <c r="I24" i="19"/>
  <c r="X52" i="17"/>
  <c r="W16" i="44"/>
  <c r="E90" i="20"/>
  <c r="F24" i="21"/>
  <c r="I54" i="46"/>
  <c r="X64" i="46"/>
  <c r="G70" i="15"/>
  <c r="F7" i="46"/>
  <c r="H92" i="17"/>
  <c r="BG20" i="46"/>
  <c r="V13" i="50"/>
  <c r="BK93" i="46"/>
  <c r="S17" i="48"/>
  <c r="H65" i="17"/>
  <c r="W45" i="21"/>
  <c r="D59" i="26"/>
  <c r="W15" i="21"/>
  <c r="F50" i="17"/>
  <c r="H76" i="20"/>
  <c r="F30" i="17"/>
  <c r="F131" i="46"/>
  <c r="R40" i="20"/>
  <c r="V62" i="15"/>
  <c r="X91" i="17"/>
  <c r="BI125" i="46"/>
  <c r="G10" i="46"/>
  <c r="E25" i="19"/>
  <c r="Z15" i="44"/>
  <c r="H67" i="46"/>
  <c r="F43" i="48"/>
  <c r="T98" i="17"/>
  <c r="Z43" i="46"/>
  <c r="G23" i="44"/>
  <c r="F58" i="46"/>
  <c r="AA20" i="16"/>
  <c r="J37" i="21"/>
  <c r="G100" i="16"/>
  <c r="X113" i="17"/>
  <c r="Z19" i="44"/>
  <c r="H81" i="26"/>
  <c r="I37" i="48"/>
  <c r="D90" i="20"/>
  <c r="T88" i="17"/>
  <c r="F35" i="21"/>
  <c r="I43" i="48"/>
  <c r="BH30" i="46"/>
  <c r="E82" i="15"/>
  <c r="BK59" i="46"/>
  <c r="T28" i="50"/>
  <c r="G13" i="50"/>
  <c r="D54" i="19"/>
  <c r="H24" i="44"/>
  <c r="R31" i="26"/>
  <c r="R109" i="20"/>
  <c r="T62" i="16"/>
  <c r="X61" i="15"/>
  <c r="H69" i="20"/>
  <c r="K78" i="46"/>
  <c r="T10" i="19"/>
  <c r="AB8" i="46"/>
  <c r="G123" i="46"/>
  <c r="BK67" i="46"/>
  <c r="U55" i="20"/>
  <c r="F52" i="20"/>
  <c r="K34" i="17"/>
  <c r="S118" i="20"/>
  <c r="W10" i="46"/>
  <c r="V77" i="15"/>
  <c r="J41" i="17"/>
  <c r="S99" i="17"/>
  <c r="J105" i="46"/>
  <c r="D61" i="20"/>
  <c r="K109" i="17"/>
  <c r="W83" i="46"/>
  <c r="F17" i="50"/>
  <c r="E94" i="15"/>
  <c r="D48" i="17"/>
  <c r="G49" i="15"/>
  <c r="V118" i="19"/>
  <c r="S114" i="20"/>
  <c r="F77" i="46"/>
  <c r="S66" i="16"/>
  <c r="S123" i="19"/>
  <c r="D112" i="17"/>
  <c r="Y9" i="48"/>
  <c r="X116" i="17"/>
  <c r="H17" i="20"/>
  <c r="R11" i="21"/>
  <c r="T111" i="19"/>
  <c r="AC110" i="46"/>
  <c r="D38" i="20"/>
  <c r="Y126" i="46"/>
  <c r="F39" i="46"/>
  <c r="F18" i="46"/>
  <c r="V37" i="26"/>
  <c r="J15" i="46"/>
  <c r="H68" i="46"/>
  <c r="AB11" i="15"/>
  <c r="T81" i="20"/>
  <c r="AB66" i="15"/>
  <c r="BH43" i="46"/>
  <c r="F13" i="17"/>
  <c r="V45" i="46"/>
  <c r="J65" i="16"/>
  <c r="S47" i="48"/>
  <c r="X43" i="17"/>
  <c r="AA21" i="16"/>
  <c r="R17" i="17"/>
  <c r="BG26" i="46"/>
  <c r="X32" i="26"/>
  <c r="V32" i="50"/>
  <c r="I9" i="50"/>
  <c r="BG21" i="46"/>
  <c r="F81" i="20"/>
  <c r="X22" i="46"/>
  <c r="T16" i="20"/>
  <c r="G114" i="19"/>
  <c r="AB73" i="15"/>
  <c r="E107" i="17"/>
  <c r="T86" i="15"/>
  <c r="T22" i="48"/>
  <c r="S99" i="20"/>
  <c r="E110" i="19"/>
  <c r="G8" i="44"/>
  <c r="AD40" i="26"/>
  <c r="T44" i="15"/>
  <c r="E14" i="15"/>
  <c r="J108" i="46"/>
  <c r="U44" i="26"/>
  <c r="S54" i="26"/>
  <c r="J16" i="50"/>
  <c r="BG29" i="46"/>
  <c r="G143" i="19"/>
  <c r="J121" i="19"/>
  <c r="H93" i="15"/>
  <c r="G60" i="20"/>
  <c r="Q60" i="20" s="1"/>
  <c r="Y50" i="15"/>
  <c r="U25" i="48"/>
  <c r="E67" i="15"/>
  <c r="H75" i="16"/>
  <c r="D50" i="17"/>
  <c r="I43" i="16"/>
  <c r="I89" i="17"/>
  <c r="S45" i="17"/>
  <c r="I22" i="19"/>
  <c r="BI101" i="46"/>
  <c r="Y50" i="46"/>
  <c r="D16" i="20"/>
  <c r="V59" i="15"/>
  <c r="X14" i="46"/>
  <c r="I94" i="16"/>
  <c r="AB85" i="15"/>
  <c r="W96" i="17"/>
  <c r="L30" i="46"/>
  <c r="R38" i="17"/>
  <c r="E22" i="50"/>
  <c r="Z77" i="46"/>
  <c r="H38" i="26"/>
  <c r="G110" i="17"/>
  <c r="G56" i="17"/>
  <c r="V47" i="19"/>
  <c r="E14" i="20"/>
  <c r="T12" i="19"/>
  <c r="R67" i="15"/>
  <c r="I146" i="46"/>
  <c r="J60" i="46"/>
  <c r="Z26" i="46"/>
  <c r="G88" i="16"/>
  <c r="V70" i="20"/>
  <c r="V93" i="20"/>
  <c r="U81" i="20"/>
  <c r="J36" i="16"/>
  <c r="F27" i="16"/>
  <c r="R65" i="20"/>
  <c r="R41" i="17"/>
  <c r="T41" i="21"/>
  <c r="BJ55" i="46"/>
  <c r="E7" i="50"/>
  <c r="Y127" i="46"/>
  <c r="S54" i="17"/>
  <c r="K28" i="17"/>
  <c r="S94" i="17"/>
  <c r="Y75" i="15"/>
  <c r="U15" i="21"/>
  <c r="H81" i="16"/>
  <c r="W93" i="17"/>
  <c r="F40" i="15"/>
  <c r="K106" i="17"/>
  <c r="J42" i="48"/>
  <c r="AB66" i="46"/>
  <c r="BK115" i="46"/>
  <c r="E54" i="26"/>
  <c r="T73" i="46"/>
  <c r="I94" i="15"/>
  <c r="W26" i="21"/>
  <c r="E46" i="19"/>
  <c r="F82" i="46"/>
  <c r="K118" i="46"/>
  <c r="F124" i="46"/>
  <c r="Y82" i="17"/>
  <c r="H107" i="16"/>
  <c r="L40" i="46"/>
  <c r="D81" i="16"/>
  <c r="H16" i="46"/>
  <c r="BK45" i="46"/>
  <c r="S79" i="17"/>
  <c r="S55" i="20"/>
  <c r="G142" i="19"/>
  <c r="H36" i="17"/>
  <c r="G83" i="20"/>
  <c r="G73" i="20"/>
  <c r="J120" i="46"/>
  <c r="V129" i="19"/>
  <c r="J43" i="26"/>
  <c r="R28" i="21"/>
  <c r="D19" i="26"/>
  <c r="D109" i="20"/>
  <c r="I31" i="17"/>
  <c r="W20" i="48"/>
  <c r="G10" i="21"/>
  <c r="T78" i="15"/>
  <c r="F106" i="16"/>
  <c r="R107" i="17"/>
  <c r="F8" i="26"/>
  <c r="S36" i="21"/>
  <c r="J58" i="19"/>
  <c r="J40" i="48"/>
  <c r="S15" i="44"/>
  <c r="K24" i="17"/>
  <c r="S28" i="20"/>
  <c r="Z43" i="26"/>
  <c r="G131" i="19"/>
  <c r="H44" i="20"/>
  <c r="AA27" i="15"/>
  <c r="W61" i="46"/>
  <c r="G7" i="44"/>
  <c r="G65" i="16"/>
  <c r="Y72" i="46"/>
  <c r="G44" i="21"/>
  <c r="H25" i="46"/>
  <c r="K101" i="17"/>
  <c r="X56" i="16"/>
  <c r="T81" i="15"/>
  <c r="H77" i="26"/>
  <c r="J9" i="26"/>
  <c r="H43" i="46"/>
  <c r="H38" i="46"/>
  <c r="G55" i="19"/>
  <c r="E85" i="16"/>
  <c r="V60" i="20"/>
  <c r="V43" i="46"/>
  <c r="R7" i="44"/>
  <c r="E38" i="26"/>
  <c r="I25" i="21"/>
  <c r="J27" i="44"/>
  <c r="F108" i="20"/>
  <c r="Q108" i="20" s="1"/>
  <c r="S79" i="16"/>
  <c r="F61" i="20"/>
  <c r="BH44" i="46"/>
  <c r="D78" i="20"/>
  <c r="BI27" i="46"/>
  <c r="BI86" i="46"/>
  <c r="V64" i="20"/>
  <c r="BJ45" i="46"/>
  <c r="V77" i="46"/>
  <c r="F15" i="48"/>
  <c r="F83" i="17"/>
  <c r="Z92" i="46"/>
  <c r="H17" i="50"/>
  <c r="F37" i="20"/>
  <c r="U76" i="46"/>
  <c r="V27" i="19"/>
  <c r="E97" i="20"/>
  <c r="F62" i="20"/>
  <c r="T36" i="19"/>
  <c r="Y69" i="46"/>
  <c r="W86" i="15"/>
  <c r="H105" i="16"/>
  <c r="G130" i="19"/>
  <c r="BG41" i="46"/>
  <c r="R121" i="19"/>
  <c r="R32" i="17"/>
  <c r="H120" i="46"/>
  <c r="W79" i="16"/>
  <c r="D37" i="19"/>
  <c r="K45" i="48"/>
  <c r="T59" i="15"/>
  <c r="U38" i="26"/>
  <c r="E24" i="15"/>
  <c r="V85" i="20"/>
  <c r="R109" i="17"/>
  <c r="R109" i="19"/>
  <c r="BG140" i="46"/>
  <c r="E77" i="20"/>
  <c r="H94" i="15"/>
  <c r="S24" i="26"/>
  <c r="X84" i="15"/>
  <c r="U22" i="48"/>
  <c r="D106" i="20"/>
  <c r="R39" i="19"/>
  <c r="E17" i="20"/>
  <c r="V25" i="20"/>
  <c r="T57" i="16"/>
  <c r="Z13" i="16"/>
  <c r="K114" i="17"/>
  <c r="BG143" i="46"/>
  <c r="BJ41" i="46"/>
  <c r="T48" i="20"/>
  <c r="X94" i="46"/>
  <c r="D82" i="17"/>
  <c r="G63" i="15"/>
  <c r="I31" i="46"/>
  <c r="BH39" i="46"/>
  <c r="V21" i="20"/>
  <c r="S45" i="20"/>
  <c r="BJ73" i="46"/>
  <c r="I99" i="17"/>
  <c r="F27" i="46"/>
  <c r="U95" i="20"/>
  <c r="U27" i="19"/>
  <c r="W57" i="46"/>
  <c r="AC106" i="46"/>
  <c r="Y38" i="46"/>
  <c r="K87" i="17"/>
  <c r="K102" i="46"/>
  <c r="U36" i="21"/>
  <c r="H65" i="15"/>
  <c r="AA12" i="46"/>
  <c r="T50" i="46"/>
  <c r="U19" i="44"/>
  <c r="S42" i="21"/>
  <c r="W46" i="26"/>
  <c r="E16" i="48"/>
  <c r="J46" i="48"/>
  <c r="R50" i="21"/>
  <c r="G14" i="20"/>
  <c r="Y49" i="17"/>
  <c r="Y45" i="15"/>
  <c r="V51" i="20"/>
  <c r="E20" i="20"/>
  <c r="J24" i="26"/>
  <c r="J15" i="26" s="1"/>
  <c r="D26" i="21"/>
  <c r="BJ64" i="46"/>
  <c r="E45" i="48"/>
  <c r="K29" i="44"/>
  <c r="I48" i="20"/>
  <c r="S34" i="19"/>
  <c r="E17" i="16"/>
  <c r="I102" i="46"/>
  <c r="E51" i="20"/>
  <c r="BK73" i="46"/>
  <c r="AB65" i="16"/>
  <c r="BH106" i="46"/>
  <c r="G44" i="19"/>
  <c r="I24" i="48"/>
  <c r="D72" i="15"/>
  <c r="J19" i="50"/>
  <c r="R39" i="21"/>
  <c r="G29" i="48"/>
  <c r="I55" i="17"/>
  <c r="F12" i="17"/>
  <c r="G36" i="16"/>
  <c r="T51" i="19"/>
  <c r="K75" i="17"/>
  <c r="K99" i="17"/>
  <c r="J29" i="17"/>
  <c r="H139" i="46"/>
  <c r="L23" i="46"/>
  <c r="BK135" i="46"/>
  <c r="F85" i="20"/>
  <c r="I40" i="17"/>
  <c r="F40" i="48"/>
  <c r="BK109" i="46"/>
  <c r="E26" i="21"/>
  <c r="G71" i="15"/>
  <c r="I27" i="17"/>
  <c r="X66" i="16"/>
  <c r="F41" i="21"/>
  <c r="V88" i="15"/>
  <c r="F66" i="16"/>
  <c r="F53" i="15"/>
  <c r="H30" i="50"/>
  <c r="Z7" i="16"/>
  <c r="D78" i="26"/>
  <c r="V57" i="19"/>
  <c r="G111" i="46"/>
  <c r="BI91" i="46"/>
  <c r="H110" i="17"/>
  <c r="H116" i="19"/>
  <c r="AC36" i="46"/>
  <c r="F88" i="46"/>
  <c r="R26" i="17"/>
  <c r="G76" i="17"/>
  <c r="R48" i="17"/>
  <c r="X54" i="17"/>
  <c r="T28" i="17"/>
  <c r="T53" i="46"/>
  <c r="V35" i="20"/>
  <c r="F129" i="46"/>
  <c r="F31" i="48"/>
  <c r="D10" i="19"/>
  <c r="E15" i="17"/>
  <c r="E90" i="15"/>
  <c r="W48" i="46"/>
  <c r="T64" i="15"/>
  <c r="I65" i="17"/>
  <c r="W37" i="46"/>
  <c r="V64" i="46"/>
  <c r="AD42" i="26"/>
  <c r="E9" i="50"/>
  <c r="AC100" i="46"/>
  <c r="J123" i="46"/>
  <c r="J63" i="17"/>
  <c r="Z25" i="46"/>
  <c r="R36" i="19"/>
  <c r="G46" i="19"/>
  <c r="R21" i="26"/>
  <c r="Z97" i="15"/>
  <c r="D87" i="20"/>
  <c r="J37" i="19"/>
  <c r="E51" i="17"/>
  <c r="K106" i="46"/>
  <c r="BK32" i="46"/>
  <c r="E89" i="20"/>
  <c r="E85" i="20"/>
  <c r="H19" i="50"/>
  <c r="X63" i="15"/>
  <c r="Y6" i="46"/>
  <c r="D91" i="17"/>
  <c r="U52" i="19"/>
  <c r="BK138" i="46"/>
  <c r="AC111" i="46"/>
  <c r="U77" i="46"/>
  <c r="Y11" i="46"/>
  <c r="W39" i="46"/>
  <c r="D80" i="17"/>
  <c r="T76" i="46"/>
  <c r="V86" i="20"/>
  <c r="K93" i="46"/>
  <c r="R55" i="17"/>
  <c r="G36" i="19"/>
  <c r="T26" i="17"/>
  <c r="Y28" i="48"/>
  <c r="U56" i="19"/>
  <c r="D43" i="16"/>
  <c r="AA22" i="16"/>
  <c r="F14" i="21"/>
  <c r="J33" i="19"/>
  <c r="K45" i="17"/>
  <c r="T43" i="48"/>
  <c r="E40" i="48"/>
  <c r="J38" i="16"/>
  <c r="AC37" i="26"/>
  <c r="F23" i="20"/>
  <c r="W52" i="15"/>
  <c r="G6" i="15"/>
  <c r="J24" i="46"/>
  <c r="E31" i="17"/>
  <c r="E31" i="20"/>
  <c r="S29" i="50"/>
  <c r="T121" i="19"/>
  <c r="E58" i="20"/>
  <c r="W56" i="17"/>
  <c r="K15" i="44"/>
  <c r="I129" i="46"/>
  <c r="K53" i="15"/>
  <c r="T26" i="19"/>
  <c r="BI25" i="46"/>
  <c r="R28" i="17"/>
  <c r="BJ90" i="46"/>
  <c r="D13" i="21"/>
  <c r="V23" i="50"/>
  <c r="H37" i="26"/>
  <c r="G12" i="21"/>
  <c r="Z103" i="46"/>
  <c r="T42" i="46"/>
  <c r="U57" i="20"/>
  <c r="H52" i="21"/>
  <c r="K10" i="48"/>
  <c r="J42" i="46"/>
  <c r="R77" i="16"/>
  <c r="AB46" i="26"/>
  <c r="F54" i="26"/>
  <c r="E24" i="17"/>
  <c r="Y106" i="17"/>
  <c r="Y12" i="17"/>
  <c r="Y60" i="46"/>
  <c r="U61" i="46"/>
  <c r="H51" i="21"/>
  <c r="F21" i="16"/>
  <c r="F46" i="17"/>
  <c r="D12" i="15"/>
  <c r="R125" i="19"/>
  <c r="U46" i="20"/>
  <c r="T43" i="19"/>
  <c r="H45" i="21"/>
  <c r="S16" i="21"/>
  <c r="S34" i="17"/>
  <c r="AA37" i="16"/>
  <c r="AA31" i="16" s="1"/>
  <c r="AC114" i="46"/>
  <c r="X89" i="46"/>
  <c r="F42" i="21"/>
  <c r="H21" i="19"/>
  <c r="G18" i="46"/>
  <c r="BG91" i="46"/>
  <c r="W27" i="21"/>
  <c r="G96" i="15"/>
  <c r="R71" i="15"/>
  <c r="AA97" i="15"/>
  <c r="R11" i="20"/>
  <c r="J83" i="17"/>
  <c r="E29" i="21"/>
  <c r="BK113" i="46"/>
  <c r="E52" i="20"/>
  <c r="AA87" i="15"/>
  <c r="R13" i="17"/>
  <c r="X112" i="46"/>
  <c r="R81" i="16"/>
  <c r="S71" i="26"/>
  <c r="S67" i="26" s="1"/>
  <c r="G8" i="19"/>
  <c r="S128" i="19"/>
  <c r="V91" i="15"/>
  <c r="U58" i="20"/>
  <c r="I53" i="46"/>
  <c r="Z109" i="46"/>
  <c r="H36" i="19"/>
  <c r="AB69" i="46"/>
  <c r="H55" i="26"/>
  <c r="F55" i="20"/>
  <c r="F52" i="19"/>
  <c r="G8" i="50"/>
  <c r="S51" i="15"/>
  <c r="H47" i="19"/>
  <c r="F26" i="44"/>
  <c r="F39" i="21"/>
  <c r="Y88" i="46"/>
  <c r="F67" i="17"/>
  <c r="E76" i="15"/>
  <c r="E75" i="15" s="1"/>
  <c r="F115" i="46"/>
  <c r="Z145" i="46"/>
  <c r="G23" i="26"/>
  <c r="G70" i="20"/>
  <c r="F65" i="46"/>
  <c r="AB107" i="16"/>
  <c r="S50" i="19"/>
  <c r="I25" i="17"/>
  <c r="S8" i="21"/>
  <c r="W18" i="15"/>
  <c r="E63" i="26"/>
  <c r="H136" i="19"/>
  <c r="D88" i="20"/>
  <c r="S22" i="21"/>
  <c r="AB45" i="16"/>
  <c r="G79" i="17"/>
  <c r="T9" i="50"/>
  <c r="J16" i="46"/>
  <c r="G52" i="21"/>
  <c r="Z12" i="15"/>
  <c r="S77" i="17"/>
  <c r="Z37" i="26"/>
  <c r="G48" i="17"/>
  <c r="U71" i="20"/>
  <c r="W17" i="17"/>
  <c r="T46" i="19"/>
  <c r="G89" i="16"/>
  <c r="E10" i="17"/>
  <c r="BJ127" i="46"/>
  <c r="BJ20" i="46"/>
  <c r="E20" i="19"/>
  <c r="Y69" i="17"/>
  <c r="BK27" i="46"/>
  <c r="L9" i="48"/>
  <c r="I45" i="21"/>
  <c r="E47" i="16"/>
  <c r="AD30" i="26"/>
  <c r="G22" i="46"/>
  <c r="F37" i="19"/>
  <c r="W44" i="21"/>
  <c r="H144" i="19"/>
  <c r="E29" i="20"/>
  <c r="AB12" i="46"/>
  <c r="J56" i="46"/>
  <c r="AC47" i="46"/>
  <c r="I50" i="17"/>
  <c r="H138" i="19"/>
  <c r="T93" i="20"/>
  <c r="K89" i="46"/>
  <c r="I121" i="19"/>
  <c r="BG106" i="46"/>
  <c r="G25" i="44"/>
  <c r="S17" i="21"/>
  <c r="BK100" i="46"/>
  <c r="G105" i="17"/>
  <c r="BI138" i="46"/>
  <c r="G13" i="19"/>
  <c r="D108" i="19"/>
  <c r="G63" i="17"/>
  <c r="BH142" i="46"/>
  <c r="I42" i="21"/>
  <c r="I38" i="21"/>
  <c r="E123" i="19"/>
  <c r="E128" i="19"/>
  <c r="BI105" i="46"/>
  <c r="BK72" i="46"/>
  <c r="J95" i="16"/>
  <c r="H16" i="19"/>
  <c r="F35" i="15"/>
  <c r="H97" i="17"/>
  <c r="Z14" i="48"/>
  <c r="F17" i="21"/>
  <c r="T28" i="21"/>
  <c r="W41" i="17"/>
  <c r="D29" i="20"/>
  <c r="F94" i="16"/>
  <c r="D11" i="19"/>
  <c r="V118" i="20"/>
  <c r="F49" i="20"/>
  <c r="J43" i="48"/>
  <c r="G52" i="17"/>
  <c r="F80" i="20"/>
  <c r="F91" i="16"/>
  <c r="E114" i="19"/>
  <c r="F12" i="16"/>
  <c r="AA10" i="46"/>
  <c r="F20" i="19"/>
  <c r="X69" i="17"/>
  <c r="J27" i="19"/>
  <c r="E112" i="17"/>
  <c r="H9" i="50"/>
  <c r="BJ70" i="46"/>
  <c r="BJ9" i="46"/>
  <c r="I47" i="20"/>
  <c r="D10" i="20"/>
  <c r="F106" i="46"/>
  <c r="BH14" i="46"/>
  <c r="E39" i="19"/>
  <c r="AA12" i="15"/>
  <c r="E86" i="20"/>
  <c r="I77" i="26"/>
  <c r="U43" i="19"/>
  <c r="T37" i="48"/>
  <c r="I67" i="17"/>
  <c r="R112" i="19"/>
  <c r="H128" i="46"/>
  <c r="E16" i="15"/>
  <c r="D41" i="15"/>
  <c r="U104" i="20"/>
  <c r="BI97" i="46"/>
  <c r="X66" i="46"/>
  <c r="D35" i="21"/>
  <c r="T43" i="17"/>
  <c r="D22" i="15"/>
  <c r="Y105" i="46"/>
  <c r="S80" i="16"/>
  <c r="G113" i="17"/>
  <c r="U60" i="20"/>
  <c r="L75" i="46"/>
  <c r="F52" i="16"/>
  <c r="X136" i="46"/>
  <c r="F40" i="20"/>
  <c r="K139" i="46"/>
  <c r="X38" i="17"/>
  <c r="I46" i="20"/>
  <c r="D43" i="17"/>
  <c r="G38" i="16"/>
  <c r="G32" i="16" s="1"/>
  <c r="G9" i="26"/>
  <c r="S71" i="16"/>
  <c r="H18" i="44"/>
  <c r="T23" i="19"/>
  <c r="BJ6" i="46"/>
  <c r="S23" i="26"/>
  <c r="X27" i="17"/>
  <c r="H10" i="50"/>
  <c r="I87" i="17"/>
  <c r="J34" i="21"/>
  <c r="AC64" i="46"/>
  <c r="BJ88" i="46"/>
  <c r="X58" i="46"/>
  <c r="L25" i="48"/>
  <c r="W36" i="17"/>
  <c r="T24" i="17"/>
  <c r="AC24" i="46"/>
  <c r="I51" i="15"/>
  <c r="AA14" i="15"/>
  <c r="S66" i="17"/>
  <c r="U10" i="20"/>
  <c r="H77" i="46"/>
  <c r="T11" i="46"/>
  <c r="X68" i="15"/>
  <c r="R118" i="20"/>
  <c r="AA67" i="46"/>
  <c r="G16" i="19"/>
  <c r="W15" i="44"/>
  <c r="AA86" i="16"/>
  <c r="AA16" i="15"/>
  <c r="I60" i="17"/>
  <c r="I50" i="21"/>
  <c r="F28" i="15"/>
  <c r="Z18" i="44"/>
  <c r="BG146" i="46"/>
  <c r="G98" i="16"/>
  <c r="F37" i="17"/>
  <c r="I36" i="21"/>
  <c r="BI68" i="46"/>
  <c r="F59" i="16"/>
  <c r="D41" i="50"/>
  <c r="G16" i="17"/>
  <c r="W63" i="46"/>
  <c r="J7" i="21"/>
  <c r="F111" i="46"/>
  <c r="E105" i="16"/>
  <c r="D11" i="21"/>
  <c r="D71" i="17"/>
  <c r="D91" i="16"/>
  <c r="Y67" i="17"/>
  <c r="E49" i="15"/>
  <c r="G25" i="19"/>
  <c r="E61" i="16"/>
  <c r="H46" i="46"/>
  <c r="I42" i="48"/>
  <c r="I28" i="46"/>
  <c r="BH83" i="46"/>
  <c r="AB16" i="15"/>
  <c r="J119" i="46"/>
  <c r="F36" i="50"/>
  <c r="H37" i="19"/>
  <c r="W69" i="46"/>
  <c r="Y30" i="46"/>
  <c r="F29" i="26"/>
  <c r="AB7" i="16"/>
  <c r="W62" i="16"/>
  <c r="L47" i="46"/>
  <c r="S114" i="19"/>
  <c r="S18" i="21"/>
  <c r="J94" i="46"/>
  <c r="S81" i="15"/>
  <c r="I47" i="19"/>
  <c r="Z119" i="46"/>
  <c r="AC77" i="46"/>
  <c r="E34" i="50"/>
  <c r="I55" i="20"/>
  <c r="X37" i="17"/>
  <c r="D107" i="17"/>
  <c r="D52" i="16"/>
  <c r="U44" i="20"/>
  <c r="H38" i="20"/>
  <c r="W109" i="16"/>
  <c r="R42" i="17"/>
  <c r="H71" i="15"/>
  <c r="G114" i="46"/>
  <c r="W38" i="26"/>
  <c r="H106" i="17"/>
  <c r="I18" i="50"/>
  <c r="AA61" i="15"/>
  <c r="R117" i="19"/>
  <c r="AE32" i="26"/>
  <c r="AA45" i="15"/>
  <c r="J113" i="46"/>
  <c r="U82" i="20"/>
  <c r="T11" i="21"/>
  <c r="X105" i="17"/>
  <c r="J41" i="26"/>
  <c r="J86" i="16"/>
  <c r="D27" i="19"/>
  <c r="I79" i="26"/>
  <c r="BI30" i="46"/>
  <c r="AB12" i="15"/>
  <c r="X32" i="46"/>
  <c r="K28" i="46"/>
  <c r="R44" i="26"/>
  <c r="J115" i="46"/>
  <c r="Y25" i="17"/>
  <c r="V46" i="19"/>
  <c r="E13" i="19"/>
  <c r="S16" i="44"/>
  <c r="BG92" i="46"/>
  <c r="BI70" i="46"/>
  <c r="J39" i="26"/>
  <c r="F127" i="19"/>
  <c r="BG110" i="46"/>
  <c r="S28" i="48"/>
  <c r="G30" i="17"/>
  <c r="V7" i="46"/>
  <c r="V48" i="20"/>
  <c r="E13" i="50"/>
  <c r="E13" i="21"/>
  <c r="H67" i="20"/>
  <c r="J19" i="21"/>
  <c r="R126" i="19"/>
  <c r="D17" i="21"/>
  <c r="AA61" i="16"/>
  <c r="U14" i="46"/>
  <c r="D47" i="19"/>
  <c r="T42" i="17"/>
  <c r="W95" i="15"/>
  <c r="J64" i="17"/>
  <c r="E122" i="19"/>
  <c r="W56" i="15"/>
  <c r="X71" i="16"/>
  <c r="K60" i="15"/>
  <c r="L98" i="46"/>
  <c r="K31" i="17"/>
  <c r="BG16" i="46"/>
  <c r="G35" i="19"/>
  <c r="G111" i="17"/>
  <c r="J24" i="21"/>
  <c r="S94" i="20"/>
  <c r="BK77" i="46"/>
  <c r="W23" i="21"/>
  <c r="V119" i="19"/>
  <c r="X26" i="17"/>
  <c r="E100" i="16"/>
  <c r="J30" i="50"/>
  <c r="F58" i="16"/>
  <c r="W96" i="16"/>
  <c r="S28" i="17"/>
  <c r="E107" i="16"/>
  <c r="I7" i="20"/>
  <c r="U135" i="19"/>
  <c r="X65" i="46"/>
  <c r="S41" i="21"/>
  <c r="D106" i="17"/>
  <c r="AB11" i="16"/>
  <c r="S110" i="17"/>
  <c r="L70" i="46"/>
  <c r="I36" i="50"/>
  <c r="F97" i="15"/>
  <c r="S97" i="15" s="1"/>
  <c r="J81" i="16"/>
  <c r="I11" i="50"/>
  <c r="F114" i="17"/>
  <c r="F30" i="20"/>
  <c r="D75" i="16"/>
  <c r="AB71" i="15"/>
  <c r="W39" i="26"/>
  <c r="I121" i="46"/>
  <c r="R23" i="26"/>
  <c r="T23" i="26" s="1"/>
  <c r="I59" i="19"/>
  <c r="V33" i="50"/>
  <c r="BH18" i="46"/>
  <c r="J52" i="16"/>
  <c r="D33" i="17"/>
  <c r="Y111" i="46"/>
  <c r="BI109" i="46"/>
  <c r="G18" i="48"/>
  <c r="BG125" i="46"/>
  <c r="AE33" i="26"/>
  <c r="H24" i="48"/>
  <c r="S11" i="48"/>
  <c r="T41" i="46"/>
  <c r="V72" i="20"/>
  <c r="W115" i="17"/>
  <c r="W61" i="16"/>
  <c r="E61" i="20"/>
  <c r="AB36" i="26"/>
  <c r="S53" i="15"/>
  <c r="X85" i="17"/>
  <c r="H139" i="19"/>
  <c r="BH34" i="46"/>
  <c r="H44" i="46"/>
  <c r="G40" i="19"/>
  <c r="BG43" i="46"/>
  <c r="H13" i="46"/>
  <c r="V18" i="20"/>
  <c r="D79" i="16"/>
  <c r="S56" i="20"/>
  <c r="BI52" i="46"/>
  <c r="X29" i="16"/>
  <c r="U31" i="20"/>
  <c r="X93" i="46"/>
  <c r="D47" i="20"/>
  <c r="J57" i="26"/>
  <c r="AB44" i="46"/>
  <c r="AA69" i="15"/>
  <c r="D32" i="17"/>
  <c r="V15" i="20"/>
  <c r="Z120" i="46"/>
  <c r="E14" i="26"/>
  <c r="H24" i="17"/>
  <c r="H9" i="19"/>
  <c r="U7" i="20"/>
  <c r="E43" i="21"/>
  <c r="T57" i="46"/>
  <c r="E94" i="20"/>
  <c r="G54" i="15"/>
  <c r="I16" i="46"/>
  <c r="X41" i="26"/>
  <c r="G90" i="15"/>
  <c r="T90" i="15" s="1"/>
  <c r="E30" i="26"/>
  <c r="I25" i="20"/>
  <c r="D85" i="20"/>
  <c r="S101" i="17"/>
  <c r="S24" i="21"/>
  <c r="Y130" i="46"/>
  <c r="F69" i="46"/>
  <c r="H52" i="20"/>
  <c r="U80" i="20"/>
  <c r="K20" i="46"/>
  <c r="AB16" i="16"/>
  <c r="G74" i="17"/>
  <c r="S39" i="17"/>
  <c r="E32" i="19"/>
  <c r="BJ49" i="46"/>
  <c r="G51" i="15"/>
  <c r="J44" i="46"/>
  <c r="X109" i="17"/>
  <c r="G54" i="17"/>
  <c r="Z21" i="46"/>
  <c r="BK36" i="46"/>
  <c r="F39" i="15"/>
  <c r="BH118" i="46"/>
  <c r="T40" i="19"/>
  <c r="W67" i="17"/>
  <c r="F47" i="46"/>
  <c r="R13" i="21"/>
  <c r="J30" i="26"/>
  <c r="U29" i="21"/>
  <c r="G57" i="20"/>
  <c r="V27" i="16"/>
  <c r="J58" i="16"/>
  <c r="I37" i="46"/>
  <c r="H101" i="17"/>
  <c r="U20" i="19"/>
  <c r="W37" i="16"/>
  <c r="W31" i="16" s="1"/>
  <c r="K36" i="46"/>
  <c r="I90" i="46"/>
  <c r="S26" i="21"/>
  <c r="BG100" i="46"/>
  <c r="H135" i="46"/>
  <c r="F27" i="50"/>
  <c r="Z19" i="46"/>
  <c r="D26" i="20"/>
  <c r="Y76" i="16"/>
  <c r="T96" i="17"/>
  <c r="H24" i="26"/>
  <c r="H15" i="26" s="1"/>
  <c r="G73" i="26"/>
  <c r="X132" i="46"/>
  <c r="X35" i="46"/>
  <c r="H36" i="50"/>
  <c r="F12" i="48"/>
  <c r="D70" i="17"/>
  <c r="U32" i="26"/>
  <c r="S72" i="26"/>
  <c r="I99" i="46"/>
  <c r="F111" i="19"/>
  <c r="J26" i="46"/>
  <c r="F92" i="16"/>
  <c r="G46" i="48"/>
  <c r="J15" i="19"/>
  <c r="I19" i="20"/>
  <c r="T124" i="19"/>
  <c r="H67" i="15"/>
  <c r="R102" i="20"/>
  <c r="Z21" i="16"/>
  <c r="J44" i="48"/>
  <c r="H37" i="46"/>
  <c r="G43" i="46"/>
  <c r="S40" i="21"/>
  <c r="E71" i="15"/>
  <c r="Y12" i="46"/>
  <c r="V41" i="50"/>
  <c r="BG15" i="46"/>
  <c r="T112" i="19"/>
  <c r="W49" i="15"/>
  <c r="AA41" i="46"/>
  <c r="S70" i="15"/>
  <c r="R25" i="21"/>
  <c r="W64" i="16"/>
  <c r="H20" i="19"/>
  <c r="G13" i="17"/>
  <c r="AC136" i="46"/>
  <c r="AB48" i="46"/>
  <c r="W125" i="46"/>
  <c r="W27" i="16"/>
  <c r="Y12" i="48"/>
  <c r="U74" i="46"/>
  <c r="S7" i="48"/>
  <c r="H90" i="46"/>
  <c r="H16" i="26"/>
  <c r="E91" i="20"/>
  <c r="D29" i="21"/>
  <c r="I18" i="21"/>
  <c r="I125" i="46"/>
  <c r="H14" i="19"/>
  <c r="J71" i="15"/>
  <c r="AA103" i="16"/>
  <c r="Y86" i="17"/>
  <c r="V65" i="46"/>
  <c r="BI137" i="46"/>
  <c r="E76" i="20"/>
  <c r="H94" i="16"/>
  <c r="V53" i="46"/>
  <c r="W18" i="46"/>
  <c r="I40" i="46"/>
  <c r="AC15" i="46"/>
  <c r="V7" i="21"/>
  <c r="F115" i="17"/>
  <c r="H57" i="26"/>
  <c r="F28" i="46"/>
  <c r="I46" i="19"/>
  <c r="G11" i="19"/>
  <c r="F75" i="20"/>
  <c r="E24" i="16"/>
  <c r="R20" i="26"/>
  <c r="BI23" i="46"/>
  <c r="D17" i="19"/>
  <c r="J13" i="17"/>
  <c r="AC43" i="46"/>
  <c r="BK54" i="46"/>
  <c r="H50" i="17"/>
  <c r="G42" i="17"/>
  <c r="F27" i="48"/>
  <c r="T18" i="50"/>
  <c r="D71" i="26"/>
  <c r="Y53" i="46"/>
  <c r="BI103" i="46"/>
  <c r="S58" i="17"/>
  <c r="T24" i="19"/>
  <c r="G16" i="21"/>
  <c r="L7" i="46"/>
  <c r="Y52" i="16"/>
  <c r="S93" i="17"/>
  <c r="V44" i="21"/>
  <c r="S14" i="50"/>
  <c r="X47" i="17"/>
  <c r="F8" i="21"/>
  <c r="W40" i="21"/>
  <c r="E44" i="26"/>
  <c r="S23" i="21"/>
  <c r="BH12" i="46"/>
  <c r="T112" i="20"/>
  <c r="H20" i="26"/>
  <c r="W41" i="15"/>
  <c r="R71" i="26"/>
  <c r="S18" i="20"/>
  <c r="I63" i="16"/>
  <c r="D25" i="50"/>
  <c r="D54" i="16"/>
  <c r="BK145" i="46"/>
  <c r="BI89" i="46"/>
  <c r="J64" i="46"/>
  <c r="Z71" i="46"/>
  <c r="H33" i="19"/>
  <c r="V39" i="46"/>
  <c r="U45" i="21"/>
  <c r="I45" i="20"/>
  <c r="R81" i="17"/>
  <c r="E30" i="50"/>
  <c r="I30" i="20"/>
  <c r="R80" i="16"/>
  <c r="R81" i="15"/>
  <c r="W29" i="48"/>
  <c r="G86" i="17"/>
  <c r="W37" i="50"/>
  <c r="I9" i="44"/>
  <c r="V77" i="20"/>
  <c r="D104" i="16"/>
  <c r="G143" i="46"/>
  <c r="G25" i="48"/>
  <c r="AB87" i="15"/>
  <c r="F40" i="26"/>
  <c r="G66" i="26"/>
  <c r="R118" i="19"/>
  <c r="K115" i="17"/>
  <c r="S33" i="20"/>
  <c r="R55" i="15"/>
  <c r="I16" i="17"/>
  <c r="S110" i="20"/>
  <c r="BG98" i="46"/>
  <c r="BK42" i="46"/>
  <c r="I14" i="17"/>
  <c r="J10" i="19"/>
  <c r="R75" i="26"/>
  <c r="BJ17" i="46"/>
  <c r="U41" i="20"/>
  <c r="F24" i="16"/>
  <c r="T23" i="21"/>
  <c r="F137" i="46"/>
  <c r="AB12" i="16"/>
  <c r="V35" i="50"/>
  <c r="V29" i="20"/>
  <c r="E41" i="15"/>
  <c r="D29" i="50"/>
  <c r="R7" i="21"/>
  <c r="E81" i="20"/>
  <c r="U107" i="20"/>
  <c r="I58" i="19"/>
  <c r="H33" i="50"/>
  <c r="J78" i="17"/>
  <c r="F89" i="17"/>
  <c r="V87" i="20"/>
  <c r="X142" i="46"/>
  <c r="J98" i="46"/>
  <c r="E113" i="19"/>
  <c r="J144" i="19"/>
  <c r="G121" i="46"/>
  <c r="BK88" i="46"/>
  <c r="H80" i="17"/>
  <c r="E29" i="26"/>
  <c r="I69" i="15"/>
  <c r="U69" i="15" s="1"/>
  <c r="F51" i="19"/>
  <c r="E87" i="15"/>
  <c r="K62" i="17"/>
  <c r="BK89" i="46"/>
  <c r="X114" i="46"/>
  <c r="E69" i="15"/>
  <c r="AA40" i="15"/>
  <c r="AA66" i="46"/>
  <c r="G102" i="46"/>
  <c r="BH62" i="46"/>
  <c r="F139" i="46"/>
  <c r="E40" i="50"/>
  <c r="I22" i="48"/>
  <c r="G109" i="46"/>
  <c r="H51" i="20"/>
  <c r="J28" i="44"/>
  <c r="J18" i="26"/>
  <c r="E104" i="16"/>
  <c r="J51" i="15"/>
  <c r="R59" i="17"/>
  <c r="T78" i="17"/>
  <c r="H105" i="46"/>
  <c r="D31" i="17"/>
  <c r="J46" i="26"/>
  <c r="D27" i="16"/>
  <c r="D18" i="20"/>
  <c r="F93" i="17"/>
  <c r="X39" i="17"/>
  <c r="X32" i="17"/>
  <c r="R48" i="19"/>
  <c r="K95" i="46"/>
  <c r="I53" i="20"/>
  <c r="L22" i="46"/>
  <c r="T38" i="48"/>
  <c r="I62" i="26"/>
  <c r="W15" i="17"/>
  <c r="X31" i="48"/>
  <c r="Z114" i="46"/>
  <c r="W139" i="46"/>
  <c r="T47" i="20"/>
  <c r="AA76" i="46"/>
  <c r="AB105" i="16"/>
  <c r="I15" i="17"/>
  <c r="AB104" i="16"/>
  <c r="G67" i="17"/>
  <c r="Y72" i="16"/>
  <c r="H79" i="16"/>
  <c r="U122" i="19"/>
  <c r="H90" i="15"/>
  <c r="G76" i="15"/>
  <c r="J113" i="17"/>
  <c r="I45" i="48"/>
  <c r="Z38" i="26"/>
  <c r="AB98" i="16"/>
  <c r="W24" i="48"/>
  <c r="G80" i="20"/>
  <c r="Q80" i="20" s="1"/>
  <c r="W32" i="26"/>
  <c r="D83" i="20"/>
  <c r="BJ22" i="46"/>
  <c r="D33" i="20"/>
  <c r="F15" i="16"/>
  <c r="F46" i="20"/>
  <c r="V32" i="26"/>
  <c r="Z132" i="46"/>
  <c r="AE30" i="26"/>
  <c r="X27" i="48"/>
  <c r="S63" i="16"/>
  <c r="H60" i="15"/>
  <c r="J84" i="16"/>
  <c r="K117" i="46"/>
  <c r="E32" i="17"/>
  <c r="S79" i="26"/>
  <c r="J133" i="46"/>
  <c r="D35" i="15"/>
  <c r="AB76" i="16"/>
  <c r="H108" i="17"/>
  <c r="G26" i="44"/>
  <c r="H76" i="15"/>
  <c r="H75" i="15" s="1"/>
  <c r="Y74" i="16"/>
  <c r="H25" i="19"/>
  <c r="F42" i="15"/>
  <c r="E75" i="16"/>
  <c r="X80" i="15"/>
  <c r="K60" i="46"/>
  <c r="I57" i="17"/>
  <c r="J69" i="17"/>
  <c r="H60" i="16"/>
  <c r="AA8" i="16"/>
  <c r="W59" i="16"/>
  <c r="H66" i="16"/>
  <c r="H25" i="17"/>
  <c r="G48" i="16"/>
  <c r="E35" i="26"/>
  <c r="U12" i="21"/>
  <c r="J57" i="16"/>
  <c r="H58" i="26"/>
  <c r="I37" i="20"/>
  <c r="BK133" i="46"/>
  <c r="L14" i="48"/>
  <c r="S34" i="50"/>
  <c r="BG111" i="46"/>
  <c r="T127" i="19"/>
  <c r="V96" i="15"/>
  <c r="S13" i="20"/>
  <c r="G45" i="48"/>
  <c r="E26" i="48"/>
  <c r="R8" i="44"/>
  <c r="F64" i="17"/>
  <c r="S85" i="20"/>
  <c r="E46" i="16"/>
  <c r="E41" i="16" s="1"/>
  <c r="T84" i="15"/>
  <c r="W43" i="21"/>
  <c r="J78" i="46"/>
  <c r="K97" i="46"/>
  <c r="I69" i="46"/>
  <c r="BJ28" i="46"/>
  <c r="W16" i="17"/>
  <c r="R28" i="20"/>
  <c r="U103" i="20"/>
  <c r="D90" i="15"/>
  <c r="AB72" i="16"/>
  <c r="E60" i="17"/>
  <c r="D118" i="19"/>
  <c r="F34" i="17"/>
  <c r="D70" i="20"/>
  <c r="H109" i="17"/>
  <c r="S57" i="19"/>
  <c r="BH139" i="46"/>
  <c r="J75" i="17"/>
  <c r="S31" i="16"/>
  <c r="V7" i="44"/>
  <c r="R40" i="19"/>
  <c r="T39" i="21"/>
  <c r="F16" i="48"/>
  <c r="L36" i="48"/>
  <c r="F104" i="46"/>
  <c r="K70" i="17"/>
  <c r="U35" i="50"/>
  <c r="E43" i="26"/>
  <c r="J66" i="17"/>
  <c r="U69" i="20"/>
  <c r="Y14" i="48"/>
  <c r="G66" i="17"/>
  <c r="I38" i="17"/>
  <c r="V14" i="19"/>
  <c r="R68" i="17"/>
  <c r="D21" i="50"/>
  <c r="BI45" i="46"/>
  <c r="W18" i="50"/>
  <c r="K85" i="15"/>
  <c r="AC51" i="46"/>
  <c r="I46" i="16"/>
  <c r="I41" i="16" s="1"/>
  <c r="AA102" i="16"/>
  <c r="H85" i="15"/>
  <c r="I38" i="20"/>
  <c r="L30" i="48"/>
  <c r="I59" i="26"/>
  <c r="G125" i="46"/>
  <c r="BH22" i="46"/>
  <c r="E10" i="20"/>
  <c r="U114" i="19"/>
  <c r="I13" i="19"/>
  <c r="K18" i="46"/>
  <c r="R8" i="19"/>
  <c r="BI92" i="46"/>
  <c r="Y79" i="16"/>
  <c r="X133" i="46"/>
  <c r="D36" i="16"/>
  <c r="J61" i="46"/>
  <c r="L77" i="46"/>
  <c r="K9" i="44"/>
  <c r="U11" i="20"/>
  <c r="G57" i="26"/>
  <c r="G122" i="19"/>
  <c r="F14" i="20"/>
  <c r="H96" i="16"/>
  <c r="H9" i="17"/>
  <c r="H59" i="17"/>
  <c r="W30" i="26"/>
  <c r="AC62" i="46"/>
  <c r="S32" i="50"/>
  <c r="D69" i="16"/>
  <c r="S87" i="17"/>
  <c r="E56" i="26"/>
  <c r="I88" i="17"/>
  <c r="I103" i="17"/>
  <c r="E66" i="17"/>
  <c r="S70" i="20"/>
  <c r="S36" i="19"/>
  <c r="S43" i="19"/>
  <c r="G29" i="50"/>
  <c r="V45" i="21"/>
  <c r="J31" i="17"/>
  <c r="Y98" i="17"/>
  <c r="R21" i="19"/>
  <c r="AB82" i="15"/>
  <c r="G120" i="19"/>
  <c r="W69" i="17"/>
  <c r="Y80" i="17"/>
  <c r="J90" i="17"/>
  <c r="AE31" i="26"/>
  <c r="H33" i="17"/>
  <c r="D65" i="26"/>
  <c r="G59" i="26"/>
  <c r="T70" i="17"/>
  <c r="G52" i="20"/>
  <c r="T9" i="17"/>
  <c r="BK11" i="46"/>
  <c r="W94" i="16"/>
  <c r="BK9" i="46"/>
  <c r="I50" i="46"/>
  <c r="Z80" i="46"/>
  <c r="I87" i="15"/>
  <c r="U87" i="15" s="1"/>
  <c r="D60" i="17"/>
  <c r="T38" i="17"/>
  <c r="W71" i="16"/>
  <c r="G38" i="50"/>
  <c r="J93" i="16"/>
  <c r="V11" i="50"/>
  <c r="G88" i="46"/>
  <c r="Y91" i="17"/>
  <c r="T58" i="20"/>
  <c r="U86" i="20"/>
  <c r="T58" i="16"/>
  <c r="AC138" i="46"/>
  <c r="U73" i="46"/>
  <c r="H10" i="46"/>
  <c r="K107" i="17"/>
  <c r="D81" i="20"/>
  <c r="I56" i="26"/>
  <c r="D101" i="20"/>
  <c r="I74" i="17"/>
  <c r="Y57" i="46"/>
  <c r="E12" i="20"/>
  <c r="V12" i="50"/>
  <c r="BI74" i="46"/>
  <c r="G129" i="19"/>
  <c r="BJ143" i="46"/>
  <c r="U65" i="20"/>
  <c r="AB21" i="16"/>
  <c r="AB18" i="16"/>
  <c r="K127" i="46"/>
  <c r="S8" i="20"/>
  <c r="G31" i="17"/>
  <c r="AB72" i="46"/>
  <c r="K89" i="17"/>
  <c r="G22" i="26"/>
  <c r="G14" i="26" s="1"/>
  <c r="Y117" i="46"/>
  <c r="X34" i="46"/>
  <c r="AB23" i="15"/>
  <c r="H88" i="20"/>
  <c r="H14" i="46"/>
  <c r="G24" i="44"/>
  <c r="G54" i="16"/>
  <c r="H88" i="46"/>
  <c r="AD32" i="26"/>
  <c r="I8" i="21"/>
  <c r="G75" i="26"/>
  <c r="W8" i="15"/>
  <c r="I6" i="15"/>
  <c r="D20" i="20"/>
  <c r="F28" i="50"/>
  <c r="I115" i="19"/>
  <c r="E73" i="17"/>
  <c r="Z98" i="15"/>
  <c r="F87" i="17"/>
  <c r="Y107" i="46"/>
  <c r="I53" i="15"/>
  <c r="U53" i="15" s="1"/>
  <c r="E60" i="16"/>
  <c r="E106" i="17"/>
  <c r="X48" i="17"/>
  <c r="K68" i="17"/>
  <c r="J90" i="15"/>
  <c r="F104" i="20"/>
  <c r="Q104" i="20" s="1"/>
  <c r="W12" i="46"/>
  <c r="AA43" i="46"/>
  <c r="Y31" i="17"/>
  <c r="T59" i="17"/>
  <c r="E42" i="16"/>
  <c r="J129" i="46"/>
  <c r="G45" i="15"/>
  <c r="BH45" i="46"/>
  <c r="I17" i="17"/>
  <c r="I82" i="17"/>
  <c r="H39" i="17"/>
  <c r="K35" i="46"/>
  <c r="F77" i="15"/>
  <c r="G56" i="15"/>
  <c r="BI29" i="46"/>
  <c r="R24" i="17"/>
  <c r="L38" i="48"/>
  <c r="T25" i="50"/>
  <c r="G130" i="46"/>
  <c r="G22" i="20"/>
  <c r="BK83" i="46"/>
  <c r="R62" i="16"/>
  <c r="J131" i="19"/>
  <c r="T116" i="20"/>
  <c r="Z16" i="44"/>
  <c r="X28" i="46"/>
  <c r="U31" i="48"/>
  <c r="J89" i="16"/>
  <c r="Z13" i="46"/>
  <c r="W95" i="16"/>
  <c r="AE34" i="26"/>
  <c r="W26" i="48"/>
  <c r="AB47" i="46"/>
  <c r="W40" i="15"/>
  <c r="G27" i="46"/>
  <c r="BJ78" i="46"/>
  <c r="I142" i="46"/>
  <c r="I78" i="16"/>
  <c r="E99" i="17"/>
  <c r="H90" i="17"/>
  <c r="Y101" i="17"/>
  <c r="R40" i="21"/>
  <c r="BK80" i="46"/>
  <c r="J63" i="15"/>
  <c r="H32" i="50"/>
  <c r="S31" i="50"/>
  <c r="D39" i="17"/>
  <c r="H53" i="15"/>
  <c r="E25" i="26"/>
  <c r="H101" i="46"/>
  <c r="E19" i="19"/>
  <c r="E72" i="17"/>
  <c r="AC16" i="46"/>
  <c r="F129" i="19"/>
  <c r="G60" i="17"/>
  <c r="AC144" i="46"/>
  <c r="G18" i="26"/>
  <c r="G12" i="26" s="1"/>
  <c r="S76" i="17"/>
  <c r="R44" i="21"/>
  <c r="AB40" i="15"/>
  <c r="D67" i="17"/>
  <c r="BK143" i="46"/>
  <c r="G15" i="17"/>
  <c r="V62" i="46"/>
  <c r="G31" i="20"/>
  <c r="J13" i="21"/>
  <c r="X70" i="17"/>
  <c r="BG102" i="46"/>
  <c r="R29" i="20"/>
  <c r="V42" i="20"/>
  <c r="T56" i="19"/>
  <c r="H118" i="46"/>
  <c r="G106" i="17"/>
  <c r="L11" i="48"/>
  <c r="R49" i="21"/>
  <c r="Y52" i="46"/>
  <c r="AB53" i="16"/>
  <c r="X71" i="46"/>
  <c r="W34" i="15"/>
  <c r="S40" i="48"/>
  <c r="T37" i="19"/>
  <c r="I10" i="19"/>
  <c r="V14" i="46"/>
  <c r="F23" i="16"/>
  <c r="Y88" i="17"/>
  <c r="G92" i="15"/>
  <c r="T92" i="15" s="1"/>
  <c r="F39" i="19"/>
  <c r="R46" i="21"/>
  <c r="J90" i="46"/>
  <c r="K108" i="17"/>
  <c r="E42" i="20"/>
  <c r="V16" i="19"/>
  <c r="E45" i="20"/>
  <c r="F95" i="15"/>
  <c r="S95" i="15" s="1"/>
  <c r="J127" i="46"/>
  <c r="BI77" i="46"/>
  <c r="Y47" i="46"/>
  <c r="S32" i="17"/>
  <c r="X110" i="46"/>
  <c r="G32" i="26"/>
  <c r="S78" i="16"/>
  <c r="W30" i="48"/>
  <c r="L67" i="46"/>
  <c r="X21" i="46"/>
  <c r="J41" i="21"/>
  <c r="I109" i="19"/>
  <c r="F110" i="17"/>
  <c r="D94" i="20"/>
  <c r="S19" i="26"/>
  <c r="W24" i="50"/>
  <c r="G45" i="19"/>
  <c r="K29" i="48"/>
  <c r="D18" i="15"/>
  <c r="J8" i="44"/>
  <c r="H89" i="16"/>
  <c r="K112" i="46"/>
  <c r="U15" i="19"/>
  <c r="H77" i="20"/>
  <c r="H109" i="16"/>
  <c r="BH74" i="46"/>
  <c r="BJ132" i="46"/>
  <c r="I20" i="20"/>
  <c r="Y34" i="26"/>
  <c r="T31" i="20"/>
  <c r="G59" i="46"/>
  <c r="E80" i="26"/>
  <c r="X63" i="46"/>
  <c r="AC88" i="46"/>
  <c r="H83" i="15"/>
  <c r="S85" i="15"/>
  <c r="U19" i="19"/>
  <c r="T42" i="26"/>
  <c r="U16" i="48"/>
  <c r="I128" i="19"/>
  <c r="E29" i="50"/>
  <c r="S27" i="17"/>
  <c r="AB79" i="15"/>
  <c r="BI100" i="46"/>
  <c r="J73" i="26"/>
  <c r="D67" i="16"/>
  <c r="Y62" i="15"/>
  <c r="I138" i="46"/>
  <c r="V14" i="21"/>
  <c r="J16" i="48"/>
  <c r="R108" i="19"/>
  <c r="H81" i="15"/>
  <c r="I52" i="17"/>
  <c r="F35" i="20"/>
  <c r="D69" i="17"/>
  <c r="T32" i="17"/>
  <c r="G17" i="19"/>
  <c r="V78" i="46"/>
  <c r="T19" i="48"/>
  <c r="K28" i="48"/>
  <c r="V40" i="20"/>
  <c r="Y62" i="16"/>
  <c r="T70" i="20"/>
  <c r="U112" i="19"/>
  <c r="I27" i="20"/>
  <c r="L7" i="48"/>
  <c r="T41" i="19"/>
  <c r="V43" i="21"/>
  <c r="S20" i="19"/>
  <c r="I70" i="16"/>
  <c r="T45" i="20"/>
  <c r="I54" i="19"/>
  <c r="S40" i="20"/>
  <c r="H91" i="15"/>
  <c r="F60" i="26"/>
  <c r="Z31" i="15"/>
  <c r="Z7" i="48"/>
  <c r="BG126" i="46"/>
  <c r="V10" i="20"/>
  <c r="G61" i="26"/>
  <c r="R10" i="17"/>
  <c r="AB28" i="15"/>
  <c r="Z44" i="46"/>
  <c r="H42" i="16"/>
  <c r="H9" i="21"/>
  <c r="BK123" i="46"/>
  <c r="S29" i="48"/>
  <c r="T76" i="15"/>
  <c r="BJ144" i="46"/>
  <c r="S36" i="50"/>
  <c r="G93" i="17"/>
  <c r="AB84" i="15"/>
  <c r="BJ96" i="46"/>
  <c r="E38" i="16"/>
  <c r="E32" i="16" s="1"/>
  <c r="R83" i="17"/>
  <c r="K135" i="46"/>
  <c r="R102" i="17"/>
  <c r="D44" i="16"/>
  <c r="K128" i="46"/>
  <c r="I118" i="19"/>
  <c r="Y15" i="46"/>
  <c r="I23" i="19"/>
  <c r="T47" i="48"/>
  <c r="G52" i="15"/>
  <c r="I75" i="17"/>
  <c r="G33" i="20"/>
  <c r="I115" i="17"/>
  <c r="G33" i="17"/>
  <c r="U8" i="46"/>
  <c r="R54" i="19"/>
  <c r="G85" i="15"/>
  <c r="X78" i="17"/>
  <c r="W72" i="17"/>
  <c r="Z26" i="16"/>
  <c r="E9" i="48"/>
  <c r="E47" i="48"/>
  <c r="K45" i="46"/>
  <c r="Y92" i="17"/>
  <c r="J27" i="17"/>
  <c r="R62" i="26"/>
  <c r="T62" i="26" s="1"/>
  <c r="H35" i="21"/>
  <c r="AA68" i="15"/>
  <c r="BK7" i="46"/>
  <c r="H50" i="20"/>
  <c r="E56" i="19"/>
  <c r="E22" i="26"/>
  <c r="D106" i="16"/>
  <c r="F58" i="26"/>
  <c r="H112" i="46"/>
  <c r="D48" i="20"/>
  <c r="AB93" i="15"/>
  <c r="T27" i="20"/>
  <c r="F57" i="46"/>
  <c r="H125" i="46"/>
  <c r="BJ37" i="46"/>
  <c r="E24" i="20"/>
  <c r="Y57" i="16"/>
  <c r="U91" i="20"/>
  <c r="E92" i="15"/>
  <c r="G104" i="17"/>
  <c r="F14" i="15"/>
  <c r="V114" i="19"/>
  <c r="AA38" i="16"/>
  <c r="AA32" i="16" s="1"/>
  <c r="BG116" i="46"/>
  <c r="I10" i="46"/>
  <c r="T45" i="46"/>
  <c r="T90" i="20"/>
  <c r="G10" i="48"/>
  <c r="V49" i="19"/>
  <c r="U40" i="50"/>
  <c r="R99" i="17"/>
  <c r="AA25" i="16"/>
  <c r="BJ68" i="46"/>
  <c r="BJ27" i="46"/>
  <c r="J67" i="16"/>
  <c r="R51" i="15"/>
  <c r="E79" i="20"/>
  <c r="Y20" i="48"/>
  <c r="G71" i="16"/>
  <c r="F13" i="46"/>
  <c r="F101" i="46"/>
  <c r="H65" i="46"/>
  <c r="F47" i="19"/>
  <c r="H72" i="17"/>
  <c r="D142" i="19"/>
  <c r="W86" i="16"/>
  <c r="U27" i="21"/>
  <c r="K53" i="46"/>
  <c r="I41" i="17"/>
  <c r="U96" i="20"/>
  <c r="E80" i="15"/>
  <c r="J20" i="50"/>
  <c r="D103" i="17"/>
  <c r="X29" i="46"/>
  <c r="F88" i="16"/>
  <c r="E25" i="48"/>
  <c r="V20" i="19"/>
  <c r="L21" i="46"/>
  <c r="Y98" i="46"/>
  <c r="BG64" i="46"/>
  <c r="T111" i="20"/>
  <c r="S37" i="19"/>
  <c r="D93" i="17"/>
  <c r="J39" i="21"/>
  <c r="D109" i="16"/>
  <c r="Y121" i="46"/>
  <c r="BG122" i="46"/>
  <c r="R32" i="26"/>
  <c r="H11" i="20"/>
  <c r="AA13" i="15"/>
  <c r="G17" i="17"/>
  <c r="E133" i="19"/>
  <c r="U52" i="20"/>
  <c r="T51" i="15"/>
  <c r="F101" i="17"/>
  <c r="F108" i="17"/>
  <c r="D97" i="16"/>
  <c r="D71" i="20"/>
  <c r="K109" i="46"/>
  <c r="V34" i="21"/>
  <c r="I12" i="20"/>
  <c r="R30" i="20"/>
  <c r="R83" i="15"/>
  <c r="K16" i="17"/>
  <c r="BK52" i="46"/>
  <c r="F85" i="16"/>
  <c r="AA72" i="46"/>
  <c r="D34" i="15"/>
  <c r="J81" i="17"/>
  <c r="G61" i="15"/>
  <c r="I87" i="16"/>
  <c r="T104" i="17"/>
  <c r="Y29" i="26"/>
  <c r="H73" i="46"/>
  <c r="I81" i="17"/>
  <c r="R91" i="17"/>
  <c r="H62" i="16"/>
  <c r="BJ13" i="46"/>
  <c r="I14" i="21"/>
  <c r="L50" i="46"/>
  <c r="K145" i="46"/>
  <c r="G65" i="46"/>
  <c r="D56" i="16"/>
  <c r="T72" i="16"/>
  <c r="E52" i="16"/>
  <c r="H68" i="20"/>
  <c r="K43" i="46"/>
  <c r="D64" i="26"/>
  <c r="BH115" i="46"/>
  <c r="W69" i="15"/>
  <c r="W92" i="16"/>
  <c r="G45" i="17"/>
  <c r="Y93" i="46"/>
  <c r="I8" i="26"/>
  <c r="R94" i="20"/>
  <c r="S10" i="19"/>
  <c r="K96" i="15"/>
  <c r="D52" i="20"/>
  <c r="M109" i="46"/>
  <c r="H115" i="17"/>
  <c r="E26" i="20"/>
  <c r="G15" i="19"/>
  <c r="R59" i="15"/>
  <c r="Z31" i="26"/>
  <c r="S27" i="48"/>
  <c r="F95" i="17"/>
  <c r="J125" i="46"/>
  <c r="BK84" i="46"/>
  <c r="R77" i="15"/>
  <c r="J12" i="48"/>
  <c r="F66" i="15"/>
  <c r="Y100" i="17"/>
  <c r="V80" i="15"/>
  <c r="F79" i="26"/>
  <c r="D62" i="17"/>
  <c r="G131" i="46"/>
  <c r="D55" i="15"/>
  <c r="I105" i="46"/>
  <c r="D74" i="16"/>
  <c r="G18" i="50"/>
  <c r="R24" i="26"/>
  <c r="S91" i="17"/>
  <c r="BI66" i="46"/>
  <c r="I42" i="19"/>
  <c r="I76" i="26"/>
  <c r="R113" i="20"/>
  <c r="H60" i="17"/>
  <c r="X116" i="46"/>
  <c r="I97" i="15"/>
  <c r="U97" i="15" s="1"/>
  <c r="S109" i="19"/>
  <c r="E112" i="20"/>
  <c r="BI107" i="46"/>
  <c r="BG87" i="46"/>
  <c r="J20" i="48"/>
  <c r="J102" i="17"/>
  <c r="AB26" i="15"/>
  <c r="AB92" i="16"/>
  <c r="E87" i="20"/>
  <c r="W100" i="46"/>
  <c r="G108" i="19"/>
  <c r="R45" i="26"/>
  <c r="D62" i="15"/>
  <c r="T46" i="26"/>
  <c r="R107" i="20"/>
  <c r="I46" i="26"/>
  <c r="T108" i="19"/>
  <c r="H42" i="20"/>
  <c r="S12" i="20"/>
  <c r="J139" i="46"/>
  <c r="J110" i="17"/>
  <c r="Z45" i="46"/>
  <c r="X29" i="48"/>
  <c r="H89" i="20"/>
  <c r="H36" i="21"/>
  <c r="F30" i="46"/>
  <c r="K103" i="46"/>
  <c r="D60" i="16"/>
  <c r="E89" i="17"/>
  <c r="D62" i="20"/>
  <c r="I118" i="46"/>
  <c r="AC42" i="46"/>
  <c r="I84" i="16"/>
  <c r="F63" i="26"/>
  <c r="Y114" i="46"/>
  <c r="BG9" i="46"/>
  <c r="G128" i="19"/>
  <c r="H102" i="46"/>
  <c r="G124" i="46"/>
  <c r="W36" i="46"/>
  <c r="AA19" i="44"/>
  <c r="T24" i="48"/>
  <c r="BJ145" i="46"/>
  <c r="H124" i="19"/>
  <c r="G22" i="44"/>
  <c r="F11" i="50"/>
  <c r="E44" i="15"/>
  <c r="H68" i="17"/>
  <c r="F35" i="46"/>
  <c r="V97" i="20"/>
  <c r="G40" i="26"/>
  <c r="I80" i="26"/>
  <c r="U16" i="21"/>
  <c r="U9" i="48"/>
  <c r="AC72" i="46"/>
  <c r="BI67" i="46"/>
  <c r="F42" i="48"/>
  <c r="J8" i="50"/>
  <c r="S41" i="19"/>
  <c r="Y99" i="17"/>
  <c r="L18" i="48"/>
  <c r="T17" i="19"/>
  <c r="W100" i="16"/>
  <c r="D22" i="20"/>
  <c r="X26" i="48"/>
  <c r="AA15" i="46"/>
  <c r="D37" i="17"/>
  <c r="G58" i="20"/>
  <c r="U49" i="46"/>
  <c r="F64" i="16"/>
  <c r="I29" i="48"/>
  <c r="BG24" i="46"/>
  <c r="W110" i="17"/>
  <c r="X59" i="15"/>
  <c r="Y19" i="46"/>
  <c r="S112" i="19"/>
  <c r="Z122" i="46"/>
  <c r="W32" i="50"/>
  <c r="H23" i="46"/>
  <c r="H44" i="16"/>
  <c r="V29" i="26"/>
  <c r="AE38" i="26"/>
  <c r="W7" i="50"/>
  <c r="H31" i="17"/>
  <c r="R76" i="26"/>
  <c r="F66" i="46"/>
  <c r="G37" i="16"/>
  <c r="G31" i="16" s="1"/>
  <c r="T76" i="20"/>
  <c r="K100" i="17"/>
  <c r="BG144" i="46"/>
  <c r="S54" i="16"/>
  <c r="J22" i="48"/>
  <c r="G79" i="26"/>
  <c r="R80" i="26"/>
  <c r="R80" i="20"/>
  <c r="F13" i="21"/>
  <c r="G94" i="15"/>
  <c r="T94" i="15" s="1"/>
  <c r="K61" i="15"/>
  <c r="BK140" i="46"/>
  <c r="BG62" i="46"/>
  <c r="AC33" i="26"/>
  <c r="J142" i="19"/>
  <c r="L54" i="46"/>
  <c r="F9" i="48"/>
  <c r="T40" i="26"/>
  <c r="I64" i="26"/>
  <c r="J84" i="15"/>
  <c r="I71" i="16"/>
  <c r="F26" i="48"/>
  <c r="T25" i="19"/>
  <c r="G96" i="17"/>
  <c r="R22" i="21"/>
  <c r="E49" i="19"/>
  <c r="J6" i="16"/>
  <c r="Y36" i="46"/>
  <c r="E21" i="50"/>
  <c r="W84" i="15"/>
  <c r="T89" i="17"/>
  <c r="I30" i="17"/>
  <c r="AC102" i="46"/>
  <c r="W36" i="15"/>
  <c r="AA70" i="15"/>
  <c r="F15" i="21"/>
  <c r="F118" i="19"/>
  <c r="J31" i="26"/>
  <c r="I37" i="50"/>
  <c r="H24" i="50"/>
  <c r="AB77" i="15"/>
  <c r="G12" i="19"/>
  <c r="BI132" i="46"/>
  <c r="K15" i="17"/>
  <c r="E17" i="50"/>
  <c r="I8" i="46"/>
  <c r="T71" i="16"/>
  <c r="D18" i="16"/>
  <c r="G25" i="50"/>
  <c r="I60" i="46"/>
  <c r="R34" i="17"/>
  <c r="T19" i="44"/>
  <c r="X92" i="46"/>
  <c r="L66" i="46"/>
  <c r="R64" i="26"/>
  <c r="T64" i="26" s="1"/>
  <c r="E7" i="21"/>
  <c r="AC109" i="46"/>
  <c r="E38" i="21"/>
  <c r="E11" i="15"/>
  <c r="D47" i="21"/>
  <c r="BJ18" i="46"/>
  <c r="H54" i="17"/>
  <c r="R61" i="26"/>
  <c r="BH58" i="46"/>
  <c r="H14" i="50"/>
  <c r="J77" i="26"/>
  <c r="I73" i="15"/>
  <c r="U73" i="15" s="1"/>
  <c r="T79" i="15"/>
  <c r="J46" i="16"/>
  <c r="Y65" i="16"/>
  <c r="X73" i="46"/>
  <c r="K86" i="17"/>
  <c r="I60" i="26"/>
  <c r="G68" i="20"/>
  <c r="Q68" i="20" s="1"/>
  <c r="F75" i="26"/>
  <c r="AA39" i="26"/>
  <c r="AA50" i="46"/>
  <c r="H123" i="19"/>
  <c r="V55" i="15"/>
  <c r="D114" i="17"/>
  <c r="L31" i="48"/>
  <c r="J101" i="16"/>
  <c r="BH20" i="46"/>
  <c r="R57" i="26"/>
  <c r="T57" i="26" s="1"/>
  <c r="R25" i="26"/>
  <c r="T25" i="26" s="1"/>
  <c r="F90" i="46"/>
  <c r="U36" i="26"/>
  <c r="L69" i="46"/>
  <c r="W21" i="15"/>
  <c r="AA82" i="15"/>
  <c r="W11" i="17"/>
  <c r="E47" i="21"/>
  <c r="I109" i="46"/>
  <c r="L33" i="46"/>
  <c r="H126" i="46"/>
  <c r="Z38" i="15"/>
  <c r="X72" i="15"/>
  <c r="G69" i="46"/>
  <c r="Z124" i="46"/>
  <c r="U79" i="20"/>
  <c r="R81" i="26"/>
  <c r="BI63" i="46"/>
  <c r="U39" i="21"/>
  <c r="BJ118" i="46"/>
  <c r="S8" i="50"/>
  <c r="H84" i="17"/>
  <c r="J16" i="44"/>
  <c r="X82" i="15"/>
  <c r="G48" i="46"/>
  <c r="X131" i="46"/>
  <c r="X25" i="46"/>
  <c r="G58" i="16"/>
  <c r="E30" i="19"/>
  <c r="X84" i="46"/>
  <c r="BH65" i="46"/>
  <c r="H59" i="19"/>
  <c r="J19" i="26"/>
  <c r="J12" i="17"/>
  <c r="S26" i="19"/>
  <c r="K134" i="46"/>
  <c r="D72" i="16"/>
  <c r="R72" i="15"/>
  <c r="W28" i="21"/>
  <c r="W18" i="48"/>
  <c r="S64" i="26"/>
  <c r="G85" i="17"/>
  <c r="AB9" i="16"/>
  <c r="E44" i="21"/>
  <c r="I36" i="17"/>
  <c r="AB64" i="15"/>
  <c r="E140" i="19"/>
  <c r="I51" i="21"/>
  <c r="S50" i="17"/>
  <c r="S20" i="50"/>
  <c r="BK19" i="46"/>
  <c r="E52" i="15"/>
  <c r="H120" i="19"/>
  <c r="K88" i="46"/>
  <c r="X92" i="17"/>
  <c r="V66" i="20"/>
  <c r="S91" i="20"/>
  <c r="H61" i="15"/>
  <c r="F45" i="17"/>
  <c r="T115" i="17"/>
  <c r="X115" i="46"/>
  <c r="H43" i="20"/>
  <c r="H99" i="46"/>
  <c r="S107" i="20"/>
  <c r="W29" i="26"/>
  <c r="I34" i="17"/>
  <c r="I80" i="46"/>
  <c r="BO33" i="46" s="1"/>
  <c r="BG34" i="46"/>
  <c r="I81" i="16"/>
  <c r="AB42" i="15"/>
  <c r="W46" i="16"/>
  <c r="W41" i="16" s="1"/>
  <c r="Z38" i="46"/>
  <c r="AC69" i="46"/>
  <c r="X51" i="46"/>
  <c r="G12" i="46"/>
  <c r="I10" i="48"/>
  <c r="H69" i="16"/>
  <c r="T15" i="46"/>
  <c r="G53" i="15"/>
  <c r="H77" i="15"/>
  <c r="T53" i="19"/>
  <c r="T65" i="17"/>
  <c r="S24" i="50"/>
  <c r="J82" i="17"/>
  <c r="X29" i="17"/>
  <c r="F13" i="19"/>
  <c r="G43" i="48"/>
  <c r="X30" i="46"/>
  <c r="Z27" i="15"/>
  <c r="R63" i="16"/>
  <c r="D26" i="19"/>
  <c r="X67" i="46"/>
  <c r="J60" i="26"/>
  <c r="J38" i="48"/>
  <c r="W20" i="46"/>
  <c r="D46" i="16"/>
  <c r="D41" i="16" s="1"/>
  <c r="J9" i="19"/>
  <c r="Y51" i="17"/>
  <c r="E41" i="21"/>
  <c r="BG99" i="46"/>
  <c r="K108" i="46"/>
  <c r="V108" i="19"/>
  <c r="BG18" i="46"/>
  <c r="F29" i="20"/>
  <c r="S19" i="20"/>
  <c r="X49" i="46"/>
  <c r="D120" i="19"/>
  <c r="AC99" i="46"/>
  <c r="D65" i="15"/>
  <c r="E20" i="50"/>
  <c r="H9" i="44"/>
  <c r="F44" i="26"/>
  <c r="AE29" i="26"/>
  <c r="D26" i="44"/>
  <c r="X58" i="16"/>
  <c r="S33" i="50"/>
  <c r="T49" i="19"/>
  <c r="G38" i="21"/>
  <c r="S22" i="20"/>
  <c r="I79" i="17"/>
  <c r="R16" i="20"/>
  <c r="I23" i="21"/>
  <c r="V120" i="19"/>
  <c r="J32" i="19"/>
  <c r="I96" i="17"/>
  <c r="R34" i="26"/>
  <c r="AC49" i="46"/>
  <c r="I95" i="46"/>
  <c r="R110" i="19"/>
  <c r="E36" i="21"/>
  <c r="T33" i="26"/>
  <c r="I98" i="16"/>
  <c r="K67" i="46"/>
  <c r="F29" i="44"/>
  <c r="T53" i="15"/>
  <c r="F108" i="19"/>
  <c r="X107" i="46"/>
  <c r="G76" i="16"/>
  <c r="F71" i="17"/>
  <c r="H28" i="50"/>
  <c r="Y114" i="17"/>
  <c r="R127" i="19"/>
  <c r="Y69" i="16"/>
  <c r="W50" i="15"/>
  <c r="Z65" i="46"/>
  <c r="E44" i="20"/>
  <c r="U45" i="26"/>
  <c r="S77" i="15"/>
  <c r="D88" i="15"/>
  <c r="J11" i="48"/>
  <c r="AA52" i="46"/>
  <c r="V143" i="19"/>
  <c r="T72" i="15"/>
  <c r="W47" i="17"/>
  <c r="W52" i="46"/>
  <c r="X87" i="17"/>
  <c r="V90" i="20"/>
  <c r="AA46" i="16"/>
  <c r="L32" i="46"/>
  <c r="H84" i="20"/>
  <c r="E16" i="26"/>
  <c r="E77" i="17"/>
  <c r="D41" i="17"/>
  <c r="I127" i="46"/>
  <c r="E45" i="16"/>
  <c r="G78" i="17"/>
  <c r="K83" i="46"/>
  <c r="S79" i="20"/>
  <c r="W46" i="46"/>
  <c r="F131" i="19"/>
  <c r="G113" i="46"/>
  <c r="Z20" i="48"/>
  <c r="BJ14" i="46"/>
  <c r="H18" i="21"/>
  <c r="I22" i="46"/>
  <c r="S65" i="20"/>
  <c r="T111" i="17"/>
  <c r="U32" i="19"/>
  <c r="F81" i="26"/>
  <c r="J38" i="19"/>
  <c r="V57" i="20"/>
  <c r="Y71" i="15"/>
  <c r="W107" i="17"/>
  <c r="F113" i="46"/>
  <c r="D23" i="26"/>
  <c r="BH109" i="46"/>
  <c r="I74" i="46"/>
  <c r="T109" i="20"/>
  <c r="J65" i="17"/>
  <c r="F23" i="15"/>
  <c r="R54" i="20"/>
  <c r="S56" i="26"/>
  <c r="T56" i="26" s="1"/>
  <c r="T32" i="26"/>
  <c r="V9" i="46"/>
  <c r="W9" i="46"/>
  <c r="F73" i="20"/>
  <c r="BK28" i="46"/>
  <c r="F74" i="26"/>
  <c r="D49" i="20"/>
  <c r="X14" i="17"/>
  <c r="H146" i="46"/>
  <c r="Z138" i="46"/>
  <c r="S17" i="26"/>
  <c r="V59" i="46"/>
  <c r="V89" i="20"/>
  <c r="R9" i="44"/>
  <c r="K71" i="17"/>
  <c r="W49" i="17"/>
  <c r="H53" i="20"/>
  <c r="J134" i="19"/>
  <c r="U109" i="19"/>
  <c r="V18" i="21"/>
  <c r="E61" i="26"/>
  <c r="U23" i="19"/>
  <c r="AC63" i="46"/>
  <c r="F38" i="26"/>
  <c r="Y34" i="46"/>
  <c r="F19" i="21"/>
  <c r="BK76" i="46"/>
  <c r="S27" i="20"/>
  <c r="D34" i="17"/>
  <c r="G25" i="21"/>
  <c r="I30" i="19"/>
  <c r="V59" i="19"/>
  <c r="X141" i="46"/>
  <c r="H52" i="16"/>
  <c r="F22" i="20"/>
  <c r="E11" i="26"/>
  <c r="F40" i="50"/>
  <c r="D14" i="21"/>
  <c r="AC128" i="46"/>
  <c r="J31" i="48"/>
  <c r="D95" i="15"/>
  <c r="BJ7" i="46"/>
  <c r="F114" i="20"/>
  <c r="Q114" i="20" s="1"/>
  <c r="S29" i="17"/>
  <c r="F113" i="20"/>
  <c r="W60" i="17"/>
  <c r="J122" i="19"/>
  <c r="J37" i="46"/>
  <c r="H77" i="16"/>
  <c r="Z10" i="48"/>
  <c r="T19" i="21"/>
  <c r="W42" i="16"/>
  <c r="H6" i="46"/>
  <c r="AA65" i="16"/>
  <c r="I18" i="46"/>
  <c r="U37" i="50"/>
  <c r="R73" i="26"/>
  <c r="BG28" i="46"/>
  <c r="T17" i="50"/>
  <c r="AC19" i="46"/>
  <c r="W74" i="46"/>
  <c r="I38" i="50"/>
  <c r="BG138" i="46"/>
  <c r="J104" i="17"/>
  <c r="D114" i="19"/>
  <c r="S80" i="15"/>
  <c r="I12" i="50"/>
  <c r="U28" i="21"/>
  <c r="T36" i="50"/>
  <c r="E37" i="50"/>
  <c r="D93" i="15"/>
  <c r="AC140" i="46"/>
  <c r="T118" i="20"/>
  <c r="J29" i="21"/>
  <c r="W22" i="48"/>
  <c r="W73" i="17"/>
  <c r="BK26" i="46"/>
  <c r="BH71" i="46"/>
  <c r="BG36" i="46"/>
  <c r="X72" i="16"/>
  <c r="Z140" i="46"/>
  <c r="AB41" i="15"/>
  <c r="E20" i="16"/>
  <c r="D83" i="26"/>
  <c r="D25" i="16"/>
  <c r="W88" i="46"/>
  <c r="D103" i="20"/>
  <c r="AB93" i="16"/>
  <c r="D59" i="19"/>
  <c r="D61" i="26"/>
  <c r="J73" i="16"/>
  <c r="E48" i="17"/>
  <c r="BJ130" i="46"/>
  <c r="R41" i="19"/>
  <c r="I9" i="19"/>
  <c r="BI36" i="46"/>
  <c r="U30" i="19"/>
  <c r="H8" i="19"/>
  <c r="J134" i="46"/>
  <c r="R71" i="20"/>
  <c r="U139" i="19"/>
  <c r="F90" i="17"/>
  <c r="X108" i="17"/>
  <c r="I80" i="16"/>
  <c r="I117" i="19"/>
  <c r="V24" i="19"/>
  <c r="T21" i="20"/>
  <c r="E86" i="15"/>
  <c r="T34" i="21"/>
  <c r="T18" i="20"/>
  <c r="BK91" i="46"/>
  <c r="AA16" i="16"/>
  <c r="G110" i="19"/>
  <c r="H87" i="20"/>
  <c r="H112" i="19"/>
  <c r="H19" i="46"/>
  <c r="S60" i="20"/>
  <c r="AB10" i="46"/>
  <c r="W93" i="16"/>
  <c r="D7" i="19"/>
  <c r="E37" i="21"/>
  <c r="U62" i="46"/>
  <c r="J69" i="46"/>
  <c r="K81" i="46"/>
  <c r="F7" i="17"/>
  <c r="D58" i="17"/>
  <c r="L41" i="46"/>
  <c r="I144" i="19"/>
  <c r="K13" i="46"/>
  <c r="T86" i="17"/>
  <c r="S37" i="48"/>
  <c r="AA97" i="16"/>
  <c r="E106" i="16"/>
  <c r="G14" i="19"/>
  <c r="BH72" i="46"/>
  <c r="AC76" i="46"/>
  <c r="U13" i="50"/>
  <c r="H134" i="19"/>
  <c r="D7" i="20"/>
  <c r="S60" i="16"/>
  <c r="F61" i="26"/>
  <c r="Z75" i="46"/>
  <c r="D72" i="17"/>
  <c r="D74" i="17"/>
  <c r="G30" i="16" l="1"/>
  <c r="G35" i="16"/>
  <c r="G29" i="16" s="1"/>
  <c r="T19" i="26"/>
  <c r="AA30" i="16"/>
  <c r="AA35" i="16"/>
  <c r="T80" i="26"/>
  <c r="G7" i="26"/>
  <c r="J14" i="26"/>
  <c r="U67" i="15"/>
  <c r="V75" i="15"/>
  <c r="H12" i="26"/>
  <c r="F11" i="26"/>
  <c r="K75" i="15"/>
  <c r="D67" i="26"/>
  <c r="T81" i="26"/>
  <c r="J41" i="16"/>
  <c r="R75" i="15"/>
  <c r="G46" i="15"/>
  <c r="J32" i="16"/>
  <c r="W58" i="15"/>
  <c r="J58" i="15"/>
  <c r="T54" i="26"/>
  <c r="R50" i="26"/>
  <c r="T50" i="26" s="1"/>
  <c r="E35" i="16"/>
  <c r="E30" i="16"/>
  <c r="H67" i="26"/>
  <c r="Q82" i="20"/>
  <c r="Q75" i="20"/>
  <c r="Q72" i="20"/>
  <c r="G50" i="26"/>
  <c r="F50" i="26"/>
  <c r="Q73" i="20"/>
  <c r="I46" i="15"/>
  <c r="U46" i="15" s="1"/>
  <c r="U45" i="15"/>
  <c r="U54" i="15"/>
  <c r="U93" i="15"/>
  <c r="F31" i="16"/>
  <c r="J75" i="15"/>
  <c r="H48" i="15"/>
  <c r="I58" i="15"/>
  <c r="U58" i="15" s="1"/>
  <c r="U59" i="15"/>
  <c r="T18" i="26"/>
  <c r="U64" i="15"/>
  <c r="U47" i="15"/>
  <c r="I48" i="15"/>
  <c r="U48" i="15" s="1"/>
  <c r="Q71" i="20"/>
  <c r="D75" i="15"/>
  <c r="X58" i="15"/>
  <c r="H11" i="26"/>
  <c r="Q83" i="20"/>
  <c r="U94" i="15"/>
  <c r="S50" i="26"/>
  <c r="H41" i="16"/>
  <c r="H30" i="16"/>
  <c r="W75" i="15"/>
  <c r="G58" i="15"/>
  <c r="U77" i="15"/>
  <c r="Q61" i="20"/>
  <c r="Y94" i="15"/>
  <c r="X94" i="15"/>
  <c r="AA41" i="16"/>
  <c r="T21" i="26"/>
  <c r="W32" i="16"/>
  <c r="H50" i="26"/>
  <c r="AA58" i="15"/>
  <c r="AB30" i="16"/>
  <c r="AB35" i="16"/>
  <c r="G48" i="15"/>
  <c r="U86" i="15"/>
  <c r="U80" i="15"/>
  <c r="H32" i="16"/>
  <c r="I30" i="16"/>
  <c r="I35" i="16"/>
  <c r="I29" i="16" s="1"/>
  <c r="F67" i="26"/>
  <c r="Q113" i="20"/>
  <c r="T24" i="26"/>
  <c r="T75" i="26"/>
  <c r="F7" i="26"/>
  <c r="E50" i="26"/>
  <c r="BP13" i="46"/>
  <c r="J13" i="26"/>
  <c r="Q92" i="20"/>
  <c r="I12" i="26"/>
  <c r="J7" i="26"/>
  <c r="H35" i="16"/>
  <c r="H29" i="16" s="1"/>
  <c r="H31" i="16"/>
  <c r="Q103" i="20"/>
  <c r="J11" i="26"/>
  <c r="D7" i="26"/>
  <c r="U79" i="15"/>
  <c r="Q107" i="20"/>
  <c r="T63" i="26"/>
  <c r="Q62" i="20"/>
  <c r="I31" i="16"/>
  <c r="S75" i="15"/>
  <c r="Q63" i="20"/>
  <c r="T55" i="26"/>
  <c r="AE99" i="15"/>
  <c r="AE101" i="15"/>
  <c r="Q70" i="20"/>
  <c r="Q77" i="20"/>
  <c r="H58" i="15"/>
  <c r="AB75" i="15"/>
  <c r="Q65" i="20"/>
  <c r="U66" i="15"/>
  <c r="T72" i="26"/>
  <c r="F35" i="16"/>
  <c r="F29" i="16" s="1"/>
  <c r="F30" i="16"/>
  <c r="E7" i="26"/>
  <c r="U61" i="15"/>
  <c r="AA75" i="15"/>
  <c r="E15" i="15"/>
  <c r="R67" i="26"/>
  <c r="T67" i="26" s="1"/>
  <c r="T71" i="26"/>
  <c r="Q112" i="20"/>
  <c r="K58" i="15"/>
  <c r="U98" i="15"/>
  <c r="J50" i="26"/>
  <c r="T76" i="26"/>
  <c r="G75" i="15"/>
  <c r="Q106" i="20"/>
  <c r="Q118" i="20"/>
  <c r="E48" i="15"/>
  <c r="T17" i="26"/>
  <c r="I15" i="26"/>
  <c r="I50" i="26"/>
  <c r="Q96" i="20"/>
  <c r="F75" i="15"/>
  <c r="U70" i="15"/>
  <c r="W15" i="15"/>
  <c r="AA15" i="15"/>
  <c r="U84" i="15"/>
  <c r="BP33" i="46"/>
  <c r="G67" i="26"/>
  <c r="T61" i="26"/>
  <c r="T73" i="26"/>
  <c r="J12" i="26"/>
  <c r="J35" i="16"/>
  <c r="J30" i="16"/>
  <c r="T66" i="26"/>
  <c r="U72" i="15"/>
  <c r="H7" i="26"/>
  <c r="U60" i="15"/>
  <c r="U56" i="15"/>
  <c r="U63" i="15"/>
  <c r="U55" i="15"/>
  <c r="X75" i="15"/>
  <c r="Q100" i="20"/>
  <c r="Q105" i="20"/>
  <c r="Q109" i="20"/>
  <c r="AB32" i="16"/>
  <c r="I11" i="26"/>
  <c r="Q88" i="20"/>
  <c r="S58" i="15"/>
  <c r="Q94" i="20"/>
  <c r="E31" i="16"/>
  <c r="D31" i="16"/>
  <c r="T79" i="26"/>
  <c r="U92" i="15"/>
  <c r="T13" i="26"/>
  <c r="T11" i="26"/>
  <c r="I67" i="26"/>
  <c r="X92" i="15"/>
  <c r="Y92" i="15"/>
  <c r="H13" i="26"/>
  <c r="J67" i="26"/>
  <c r="I7" i="26"/>
  <c r="V58" i="15"/>
  <c r="T10" i="26"/>
  <c r="R7" i="26"/>
  <c r="T7" i="26" s="1"/>
  <c r="X93" i="15"/>
  <c r="Y93" i="15"/>
  <c r="F12" i="26"/>
  <c r="U85" i="15"/>
  <c r="D35" i="16"/>
  <c r="D30" i="16"/>
  <c r="R58" i="15"/>
  <c r="T20" i="26"/>
  <c r="Y95" i="15"/>
  <c r="X95" i="15"/>
  <c r="U51" i="15"/>
  <c r="X91" i="15"/>
  <c r="Y91" i="15"/>
  <c r="Q91" i="20"/>
  <c r="W30" i="16"/>
  <c r="W35" i="16"/>
  <c r="F15" i="26"/>
  <c r="T15" i="26"/>
  <c r="U90" i="15"/>
  <c r="D32" i="16"/>
  <c r="I75" i="15"/>
  <c r="U75" i="15" s="1"/>
  <c r="U76" i="15"/>
  <c r="Q74" i="20"/>
  <c r="F46" i="15"/>
  <c r="E67" i="26"/>
  <c r="J29" i="16" l="1"/>
  <c r="Z15" i="15"/>
  <c r="AB1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R30" authorId="0" shapeId="0" xr:uid="{3263169F-38EF-45C9-82FE-00900B35393E}">
      <text>
        <r>
          <rPr>
            <b/>
            <sz val="9"/>
            <color indexed="81"/>
            <rFont val="돋움"/>
            <family val="3"/>
            <charset val="129"/>
          </rPr>
          <t>장기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미접속자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가입점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C90" authorId="0" shapeId="0" xr:uid="{E354ED4D-14F9-43F9-9671-6974DB7F6247}">
      <text>
        <r>
          <rPr>
            <b/>
            <sz val="9"/>
            <color indexed="81"/>
            <rFont val="Tahoma"/>
            <family val="2"/>
          </rPr>
          <t>'24.11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9" authorId="0" shapeId="0" xr:uid="{C20FBAE4-00F1-474F-BB89-EE8DAF0D12FB}">
      <text>
        <r>
          <rPr>
            <sz val="9"/>
            <color indexed="81"/>
            <rFont val="KT서체 Medium"/>
            <family val="3"/>
            <charset val="129"/>
          </rPr>
          <t>센터장 포함 도매센터
전원 기준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1" authorId="0" shapeId="0" xr:uid="{C2A45B32-9B52-4111-8B9D-D86DD6D981B3}">
      <text>
        <r>
          <rPr>
            <b/>
            <sz val="9"/>
            <color indexed="81"/>
            <rFont val="KT서체 Medium"/>
            <family val="3"/>
            <charset val="129"/>
          </rPr>
          <t>센터장 포함 도매센터
전원 기준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<sst xmlns="http://schemas.openxmlformats.org/spreadsheetml/2006/main" count="5622" uniqueCount="1229">
  <si>
    <t>관리수수료</t>
    <phoneticPr fontId="1" type="noConversion"/>
  </si>
  <si>
    <t>월간 실적</t>
    <phoneticPr fontId="1" type="noConversion"/>
  </si>
  <si>
    <t>'24.1월</t>
    <phoneticPr fontId="1" type="noConversion"/>
  </si>
  <si>
    <t>'24.2월</t>
  </si>
  <si>
    <t>(단위 : 억원)</t>
    <phoneticPr fontId="1" type="noConversion"/>
  </si>
  <si>
    <t>신사업매출</t>
    <phoneticPr fontId="1" type="noConversion"/>
  </si>
  <si>
    <t>정책수수료</t>
    <phoneticPr fontId="1" type="noConversion"/>
  </si>
  <si>
    <t>기타수수료</t>
    <phoneticPr fontId="1" type="noConversion"/>
  </si>
  <si>
    <t>목표대비</t>
    <phoneticPr fontId="1" type="noConversion"/>
  </si>
  <si>
    <t>달성률</t>
    <phoneticPr fontId="1" type="noConversion"/>
  </si>
  <si>
    <t>상품매출</t>
    <phoneticPr fontId="1" type="noConversion"/>
  </si>
  <si>
    <t>전년대비</t>
    <phoneticPr fontId="1" type="noConversion"/>
  </si>
  <si>
    <t xml:space="preserve">   * 프리할부</t>
    <phoneticPr fontId="1" type="noConversion"/>
  </si>
  <si>
    <t>인건비</t>
    <phoneticPr fontId="1" type="noConversion"/>
  </si>
  <si>
    <t>임차관리비</t>
    <phoneticPr fontId="1" type="noConversion"/>
  </si>
  <si>
    <t>감가상각비</t>
    <phoneticPr fontId="1" type="noConversion"/>
  </si>
  <si>
    <t>기타운영비</t>
    <phoneticPr fontId="1" type="noConversion"/>
  </si>
  <si>
    <t>영업이익</t>
    <phoneticPr fontId="1" type="noConversion"/>
  </si>
  <si>
    <t>□ 재무실적</t>
    <phoneticPr fontId="1" type="noConversion"/>
  </si>
  <si>
    <t>소매</t>
    <phoneticPr fontId="1" type="noConversion"/>
  </si>
  <si>
    <t>도매</t>
    <phoneticPr fontId="1" type="noConversion"/>
  </si>
  <si>
    <t>온라인</t>
    <phoneticPr fontId="1" type="noConversion"/>
  </si>
  <si>
    <t>B2B</t>
    <phoneticPr fontId="1" type="noConversion"/>
  </si>
  <si>
    <t>정책비용계</t>
    <phoneticPr fontId="1" type="noConversion"/>
  </si>
  <si>
    <t xml:space="preserve">   판촉비</t>
    <phoneticPr fontId="1" type="noConversion"/>
  </si>
  <si>
    <t xml:space="preserve">   회의비</t>
    <phoneticPr fontId="1" type="noConversion"/>
  </si>
  <si>
    <t xml:space="preserve">   프로모션</t>
    <phoneticPr fontId="1" type="noConversion"/>
  </si>
  <si>
    <t xml:space="preserve">   프리할부</t>
    <phoneticPr fontId="1" type="noConversion"/>
  </si>
  <si>
    <t xml:space="preserve">   매장성수수료</t>
    <phoneticPr fontId="1" type="noConversion"/>
  </si>
  <si>
    <t xml:space="preserve">   P.3.0수수료</t>
    <phoneticPr fontId="1" type="noConversion"/>
  </si>
  <si>
    <t xml:space="preserve">   인건비</t>
    <phoneticPr fontId="1" type="noConversion"/>
  </si>
  <si>
    <t xml:space="preserve">   임차관리비</t>
    <phoneticPr fontId="1" type="noConversion"/>
  </si>
  <si>
    <t xml:space="preserve">   기타운영비</t>
    <phoneticPr fontId="1" type="noConversion"/>
  </si>
  <si>
    <t>공통비</t>
    <phoneticPr fontId="1" type="noConversion"/>
  </si>
  <si>
    <t>판매수수료</t>
    <phoneticPr fontId="1" type="noConversion"/>
  </si>
  <si>
    <t>도급매출</t>
    <phoneticPr fontId="1" type="noConversion"/>
  </si>
  <si>
    <t xml:space="preserve">   위탁수수료</t>
    <phoneticPr fontId="1" type="noConversion"/>
  </si>
  <si>
    <t xml:space="preserve">   KT코웍수수료</t>
    <phoneticPr fontId="1" type="noConversion"/>
  </si>
  <si>
    <t>도급비용</t>
    <phoneticPr fontId="1" type="noConversion"/>
  </si>
  <si>
    <t xml:space="preserve">   물류비</t>
    <phoneticPr fontId="1" type="noConversion"/>
  </si>
  <si>
    <t xml:space="preserve">   유류비</t>
    <phoneticPr fontId="1" type="noConversion"/>
  </si>
  <si>
    <t xml:space="preserve">   계약공통비</t>
    <phoneticPr fontId="1" type="noConversion"/>
  </si>
  <si>
    <t>매출원가</t>
    <phoneticPr fontId="1" type="noConversion"/>
  </si>
  <si>
    <t>마케팅비</t>
    <phoneticPr fontId="1" type="noConversion"/>
  </si>
  <si>
    <t>유지</t>
    <phoneticPr fontId="1" type="noConversion"/>
  </si>
  <si>
    <t>누적</t>
    <phoneticPr fontId="1" type="noConversion"/>
  </si>
  <si>
    <t>월평균</t>
    <phoneticPr fontId="1" type="noConversion"/>
  </si>
  <si>
    <t>신규</t>
    <phoneticPr fontId="1" type="noConversion"/>
  </si>
  <si>
    <t>해지</t>
    <phoneticPr fontId="1" type="noConversion"/>
  </si>
  <si>
    <t>기변OUT</t>
    <phoneticPr fontId="1" type="noConversion"/>
  </si>
  <si>
    <t>만기환수</t>
    <phoneticPr fontId="1" type="noConversion"/>
  </si>
  <si>
    <t>순증</t>
    <phoneticPr fontId="1" type="noConversion"/>
  </si>
  <si>
    <t>가입자이관(KT닷컴)</t>
    <phoneticPr fontId="1" type="noConversion"/>
  </si>
  <si>
    <t>IoT</t>
    <phoneticPr fontId="1" type="noConversion"/>
  </si>
  <si>
    <t>MNP</t>
    <phoneticPr fontId="1" type="noConversion"/>
  </si>
  <si>
    <t>010</t>
    <phoneticPr fontId="1" type="noConversion"/>
  </si>
  <si>
    <t>기변</t>
    <phoneticPr fontId="1" type="noConversion"/>
  </si>
  <si>
    <t>CAPA(신규+기변)</t>
    <phoneticPr fontId="1" type="noConversion"/>
  </si>
  <si>
    <t>신규</t>
    <phoneticPr fontId="1" type="noConversion"/>
  </si>
  <si>
    <t xml:space="preserve">   * 직권해지</t>
    <phoneticPr fontId="1" type="noConversion"/>
  </si>
  <si>
    <t xml:space="preserve">관리수수료
대상
8.5%
</t>
    <phoneticPr fontId="1" type="noConversion"/>
  </si>
  <si>
    <t>H/C대상
(도매,KT닷컴)
2%</t>
    <phoneticPr fontId="1" type="noConversion"/>
  </si>
  <si>
    <t>운영후불
(중고제외)</t>
    <phoneticPr fontId="1" type="noConversion"/>
  </si>
  <si>
    <t>CAPA(신규+기변)</t>
    <phoneticPr fontId="1" type="noConversion"/>
  </si>
  <si>
    <t xml:space="preserve">   *MNP비중</t>
    <phoneticPr fontId="1" type="noConversion"/>
  </si>
  <si>
    <t>소매</t>
    <phoneticPr fontId="1" type="noConversion"/>
  </si>
  <si>
    <t>프론티어</t>
    <phoneticPr fontId="1" type="noConversion"/>
  </si>
  <si>
    <t>기타</t>
    <phoneticPr fontId="1" type="noConversion"/>
  </si>
  <si>
    <t>강북</t>
    <phoneticPr fontId="1" type="noConversion"/>
  </si>
  <si>
    <t>강남</t>
    <phoneticPr fontId="1" type="noConversion"/>
  </si>
  <si>
    <t>강서</t>
    <phoneticPr fontId="1" type="noConversion"/>
  </si>
  <si>
    <t>강동</t>
    <phoneticPr fontId="1" type="noConversion"/>
  </si>
  <si>
    <t>인천</t>
    <phoneticPr fontId="1" type="noConversion"/>
  </si>
  <si>
    <t>부산</t>
    <phoneticPr fontId="1" type="noConversion"/>
  </si>
  <si>
    <t>대구</t>
    <phoneticPr fontId="1" type="noConversion"/>
  </si>
  <si>
    <t>충청</t>
    <phoneticPr fontId="1" type="noConversion"/>
  </si>
  <si>
    <t>호남</t>
    <phoneticPr fontId="1" type="noConversion"/>
  </si>
  <si>
    <t>강북본부</t>
    <phoneticPr fontId="1" type="noConversion"/>
  </si>
  <si>
    <t>강남본부</t>
    <phoneticPr fontId="1" type="noConversion"/>
  </si>
  <si>
    <t>강서본부</t>
    <phoneticPr fontId="1" type="noConversion"/>
  </si>
  <si>
    <t>서부본부</t>
    <phoneticPr fontId="1" type="noConversion"/>
  </si>
  <si>
    <t>도매
조직별</t>
    <phoneticPr fontId="1" type="noConversion"/>
  </si>
  <si>
    <t>판매ARPU</t>
    <phoneticPr fontId="1" type="noConversion"/>
  </si>
  <si>
    <t>전사</t>
    <phoneticPr fontId="1" type="noConversion"/>
  </si>
  <si>
    <t>□ 유선가입자</t>
    <phoneticPr fontId="1" type="noConversion"/>
  </si>
  <si>
    <t>유선전체
(I+TV)</t>
    <phoneticPr fontId="1" type="noConversion"/>
  </si>
  <si>
    <t>영업순증</t>
    <phoneticPr fontId="1" type="noConversion"/>
  </si>
  <si>
    <t>인터넷</t>
    <phoneticPr fontId="1" type="noConversion"/>
  </si>
  <si>
    <t>TV</t>
    <phoneticPr fontId="1" type="noConversion"/>
  </si>
  <si>
    <t>유선
순신규</t>
    <phoneticPr fontId="1" type="noConversion"/>
  </si>
  <si>
    <t>인터넷</t>
    <phoneticPr fontId="1" type="noConversion"/>
  </si>
  <si>
    <t>Mass</t>
    <phoneticPr fontId="1" type="noConversion"/>
  </si>
  <si>
    <t>Biz</t>
    <phoneticPr fontId="1" type="noConversion"/>
  </si>
  <si>
    <t>상품</t>
    <phoneticPr fontId="1" type="noConversion"/>
  </si>
  <si>
    <t>소매
조직별</t>
    <phoneticPr fontId="1" type="noConversion"/>
  </si>
  <si>
    <t>유선
Quality</t>
    <phoneticPr fontId="1" type="noConversion"/>
  </si>
  <si>
    <t>인터넷 1G비중</t>
    <phoneticPr fontId="1" type="noConversion"/>
  </si>
  <si>
    <t>인터넷 500M 비중</t>
    <phoneticPr fontId="1" type="noConversion"/>
  </si>
  <si>
    <t>무선증분매출</t>
    <phoneticPr fontId="1" type="noConversion"/>
  </si>
  <si>
    <t>TV 에센스↑ 비중</t>
    <phoneticPr fontId="1" type="noConversion"/>
  </si>
  <si>
    <t xml:space="preserve">  *신동건수</t>
    <phoneticPr fontId="1" type="noConversion"/>
  </si>
  <si>
    <t xml:space="preserve">   * 신동건수</t>
    <phoneticPr fontId="1" type="noConversion"/>
  </si>
  <si>
    <t>무선</t>
    <phoneticPr fontId="1" type="noConversion"/>
  </si>
  <si>
    <t>유선</t>
    <phoneticPr fontId="1" type="noConversion"/>
  </si>
  <si>
    <t>무선후불</t>
    <phoneticPr fontId="1" type="noConversion"/>
  </si>
  <si>
    <t>유선기타</t>
    <phoneticPr fontId="1" type="noConversion"/>
  </si>
  <si>
    <t>시연폰</t>
    <phoneticPr fontId="1" type="noConversion"/>
  </si>
  <si>
    <t>굿바이</t>
    <phoneticPr fontId="1" type="noConversion"/>
  </si>
  <si>
    <t>코코넛</t>
    <phoneticPr fontId="1" type="noConversion"/>
  </si>
  <si>
    <t>매장성수수료</t>
    <phoneticPr fontId="1" type="noConversion"/>
  </si>
  <si>
    <t>프라자3.0</t>
    <phoneticPr fontId="1" type="noConversion"/>
  </si>
  <si>
    <t>도매위탁</t>
    <phoneticPr fontId="1" type="noConversion"/>
  </si>
  <si>
    <t>2nd 등 기타단말</t>
    <phoneticPr fontId="1" type="noConversion"/>
  </si>
  <si>
    <t>KTAC 위탁</t>
    <phoneticPr fontId="1" type="noConversion"/>
  </si>
  <si>
    <t>KT SHOP 위탁</t>
    <phoneticPr fontId="1" type="noConversion"/>
  </si>
  <si>
    <t>무선 판매관련 수수료</t>
    <phoneticPr fontId="1" type="noConversion"/>
  </si>
  <si>
    <t>유선 판매관련 수수료</t>
    <phoneticPr fontId="1" type="noConversion"/>
  </si>
  <si>
    <t xml:space="preserve">SOIP, 기가아이즈, PSTN 등 </t>
    <phoneticPr fontId="1" type="noConversion"/>
  </si>
  <si>
    <t>아이폰 AS 업무위탁</t>
    <phoneticPr fontId="1" type="noConversion"/>
  </si>
  <si>
    <t>KT SHOP 도급수수료</t>
    <phoneticPr fontId="1" type="noConversion"/>
  </si>
  <si>
    <t>기타도급 및 지원</t>
    <phoneticPr fontId="1" type="noConversion"/>
  </si>
  <si>
    <t>PAD, wearable 등</t>
    <phoneticPr fontId="1" type="noConversion"/>
  </si>
  <si>
    <t xml:space="preserve">M2M 가입자 </t>
    <phoneticPr fontId="1" type="noConversion"/>
  </si>
  <si>
    <t>지급수수료</t>
    <phoneticPr fontId="1" type="noConversion"/>
  </si>
  <si>
    <t>운반비</t>
    <phoneticPr fontId="1" type="noConversion"/>
  </si>
  <si>
    <t>회의비</t>
    <phoneticPr fontId="1" type="noConversion"/>
  </si>
  <si>
    <t>통신비</t>
    <phoneticPr fontId="1" type="noConversion"/>
  </si>
  <si>
    <t>구분</t>
    <phoneticPr fontId="1" type="noConversion"/>
  </si>
  <si>
    <t>설명</t>
    <phoneticPr fontId="1" type="noConversion"/>
  </si>
  <si>
    <t>소매</t>
    <phoneticPr fontId="1" type="noConversion"/>
  </si>
  <si>
    <t>전사</t>
    <phoneticPr fontId="1" type="noConversion"/>
  </si>
  <si>
    <t>소매</t>
    <phoneticPr fontId="1" type="noConversion"/>
  </si>
  <si>
    <t>도매</t>
    <phoneticPr fontId="1" type="noConversion"/>
  </si>
  <si>
    <t>전월대비</t>
    <phoneticPr fontId="1" type="noConversion"/>
  </si>
  <si>
    <t>도매 도급수수료</t>
    <phoneticPr fontId="1" type="noConversion"/>
  </si>
  <si>
    <t>R-VOC</t>
    <phoneticPr fontId="1" type="noConversion"/>
  </si>
  <si>
    <t>대외민원</t>
    <phoneticPr fontId="1" type="noConversion"/>
  </si>
  <si>
    <t>도매</t>
    <phoneticPr fontId="1" type="noConversion"/>
  </si>
  <si>
    <t>불완전판매</t>
    <phoneticPr fontId="1" type="noConversion"/>
  </si>
  <si>
    <t>음성적재가입</t>
    <phoneticPr fontId="1" type="noConversion"/>
  </si>
  <si>
    <t xml:space="preserve">   * 발생률</t>
    <phoneticPr fontId="1" type="noConversion"/>
  </si>
  <si>
    <t>소매</t>
    <phoneticPr fontId="1" type="noConversion"/>
  </si>
  <si>
    <t>도매</t>
    <phoneticPr fontId="1" type="noConversion"/>
  </si>
  <si>
    <t>강북</t>
    <phoneticPr fontId="1" type="noConversion"/>
  </si>
  <si>
    <t>강동</t>
    <phoneticPr fontId="1" type="noConversion"/>
  </si>
  <si>
    <t>강남</t>
    <phoneticPr fontId="1" type="noConversion"/>
  </si>
  <si>
    <t>남부</t>
    <phoneticPr fontId="1" type="noConversion"/>
  </si>
  <si>
    <t>강서</t>
    <phoneticPr fontId="1" type="noConversion"/>
  </si>
  <si>
    <t>인천</t>
    <phoneticPr fontId="1" type="noConversion"/>
  </si>
  <si>
    <t>부산</t>
    <phoneticPr fontId="1" type="noConversion"/>
  </si>
  <si>
    <t>대구</t>
    <phoneticPr fontId="1" type="noConversion"/>
  </si>
  <si>
    <t>충청</t>
    <phoneticPr fontId="1" type="noConversion"/>
  </si>
  <si>
    <t>호남</t>
    <phoneticPr fontId="1" type="noConversion"/>
  </si>
  <si>
    <t>강원</t>
    <phoneticPr fontId="1" type="noConversion"/>
  </si>
  <si>
    <t>강서</t>
    <phoneticPr fontId="1" type="noConversion"/>
  </si>
  <si>
    <t>대구</t>
    <phoneticPr fontId="1" type="noConversion"/>
  </si>
  <si>
    <t>(단위 : 회선)</t>
    <phoneticPr fontId="1" type="noConversion"/>
  </si>
  <si>
    <t>(단위 : 회선, 원)</t>
    <phoneticPr fontId="1" type="noConversion"/>
  </si>
  <si>
    <t>'24.3월</t>
    <phoneticPr fontId="1" type="noConversion"/>
  </si>
  <si>
    <t>24.3월</t>
    <phoneticPr fontId="1" type="noConversion"/>
  </si>
  <si>
    <t>관리수수료(6.5%)+H/C(2%)</t>
    <phoneticPr fontId="1" type="noConversion"/>
  </si>
  <si>
    <t>도매 H/C</t>
    <phoneticPr fontId="1" type="noConversion"/>
  </si>
  <si>
    <t>'21년2월이후 도매위탁 가입자 2%</t>
    <phoneticPr fontId="1" type="noConversion"/>
  </si>
  <si>
    <t>총원</t>
    <phoneticPr fontId="1" type="noConversion"/>
  </si>
  <si>
    <t>인터넷순신규</t>
    <phoneticPr fontId="1" type="noConversion"/>
  </si>
  <si>
    <t>TV순신규</t>
    <phoneticPr fontId="1" type="noConversion"/>
  </si>
  <si>
    <t>동시판매</t>
    <phoneticPr fontId="1" type="noConversion"/>
  </si>
  <si>
    <t>로봇</t>
    <phoneticPr fontId="1" type="noConversion"/>
  </si>
  <si>
    <t>기타상품</t>
    <phoneticPr fontId="1" type="noConversion"/>
  </si>
  <si>
    <t>상품</t>
    <phoneticPr fontId="1" type="noConversion"/>
  </si>
  <si>
    <t>등급별</t>
    <phoneticPr fontId="1" type="noConversion"/>
  </si>
  <si>
    <t>마스터</t>
    <phoneticPr fontId="1" type="noConversion"/>
  </si>
  <si>
    <t>리더</t>
    <phoneticPr fontId="1" type="noConversion"/>
  </si>
  <si>
    <t>에이스</t>
    <phoneticPr fontId="1" type="noConversion"/>
  </si>
  <si>
    <t>포인트</t>
    <phoneticPr fontId="1" type="noConversion"/>
  </si>
  <si>
    <t>강남</t>
    <phoneticPr fontId="1" type="noConversion"/>
  </si>
  <si>
    <t>동부</t>
    <phoneticPr fontId="1" type="noConversion"/>
  </si>
  <si>
    <t>서부</t>
    <phoneticPr fontId="1" type="noConversion"/>
  </si>
  <si>
    <t>인력
전사</t>
    <phoneticPr fontId="1" type="noConversion"/>
  </si>
  <si>
    <t>본부별
인터넷
순신규</t>
    <phoneticPr fontId="1" type="noConversion"/>
  </si>
  <si>
    <t>본부별
TV순신규</t>
    <phoneticPr fontId="1" type="noConversion"/>
  </si>
  <si>
    <t>서부</t>
    <phoneticPr fontId="1" type="noConversion"/>
  </si>
  <si>
    <t xml:space="preserve"> *BIZ실적</t>
    <phoneticPr fontId="1" type="noConversion"/>
  </si>
  <si>
    <t>서부</t>
    <phoneticPr fontId="1" type="noConversion"/>
  </si>
  <si>
    <t>강북</t>
    <phoneticPr fontId="1" type="noConversion"/>
  </si>
  <si>
    <t>채널영업이익</t>
    <phoneticPr fontId="1" type="noConversion"/>
  </si>
  <si>
    <t>본부별</t>
    <phoneticPr fontId="1" type="noConversion"/>
  </si>
  <si>
    <t>부장</t>
    <phoneticPr fontId="1" type="noConversion"/>
  </si>
  <si>
    <t>임원(상무이상)</t>
    <phoneticPr fontId="1" type="noConversion"/>
  </si>
  <si>
    <t>차장</t>
    <phoneticPr fontId="1" type="noConversion"/>
  </si>
  <si>
    <t>과장</t>
    <phoneticPr fontId="1" type="noConversion"/>
  </si>
  <si>
    <t>대리</t>
    <phoneticPr fontId="1" type="noConversion"/>
  </si>
  <si>
    <t>사원</t>
    <phoneticPr fontId="1" type="noConversion"/>
  </si>
  <si>
    <t>일반직</t>
    <phoneticPr fontId="1" type="noConversion"/>
  </si>
  <si>
    <t>영업직</t>
    <phoneticPr fontId="1" type="noConversion"/>
  </si>
  <si>
    <t>SC직</t>
    <phoneticPr fontId="1" type="noConversion"/>
  </si>
  <si>
    <t>직급별</t>
    <phoneticPr fontId="1" type="noConversion"/>
  </si>
  <si>
    <t>전사계</t>
    <phoneticPr fontId="1" type="noConversion"/>
  </si>
  <si>
    <t>조직별</t>
    <phoneticPr fontId="1" type="noConversion"/>
  </si>
  <si>
    <t>본사계</t>
    <phoneticPr fontId="1" type="noConversion"/>
  </si>
  <si>
    <t>CEO</t>
    <phoneticPr fontId="1" type="noConversion"/>
  </si>
  <si>
    <t>경영기획총괄</t>
    <phoneticPr fontId="1" type="noConversion"/>
  </si>
  <si>
    <t>영업총괄</t>
    <phoneticPr fontId="1" type="noConversion"/>
  </si>
  <si>
    <t>현장계</t>
    <phoneticPr fontId="1" type="noConversion"/>
  </si>
  <si>
    <t>강북영업본부</t>
    <phoneticPr fontId="1" type="noConversion"/>
  </si>
  <si>
    <t>강남영업본부</t>
    <phoneticPr fontId="1" type="noConversion"/>
  </si>
  <si>
    <t>강서영업본부</t>
    <phoneticPr fontId="1" type="noConversion"/>
  </si>
  <si>
    <t>동부영업본부</t>
    <phoneticPr fontId="1" type="noConversion"/>
  </si>
  <si>
    <t>서부영업본부</t>
    <phoneticPr fontId="1" type="noConversion"/>
  </si>
  <si>
    <t>재적전출</t>
    <phoneticPr fontId="1" type="noConversion"/>
  </si>
  <si>
    <t>휴직</t>
    <phoneticPr fontId="1" type="noConversion"/>
  </si>
  <si>
    <t>수석</t>
    <phoneticPr fontId="1" type="noConversion"/>
  </si>
  <si>
    <t>인턴</t>
    <phoneticPr fontId="1" type="noConversion"/>
  </si>
  <si>
    <t>경영지원실</t>
    <phoneticPr fontId="1" type="noConversion"/>
  </si>
  <si>
    <t>감사실</t>
    <phoneticPr fontId="1" type="noConversion"/>
  </si>
  <si>
    <t>항목비중</t>
    <phoneticPr fontId="1" type="noConversion"/>
  </si>
  <si>
    <t>여성</t>
    <phoneticPr fontId="1" type="noConversion"/>
  </si>
  <si>
    <t>비중</t>
    <phoneticPr fontId="1" type="noConversion"/>
  </si>
  <si>
    <t>평균연령</t>
    <phoneticPr fontId="1" type="noConversion"/>
  </si>
  <si>
    <t>평균근속</t>
    <phoneticPr fontId="1" type="noConversion"/>
  </si>
  <si>
    <t>본부Staff</t>
    <phoneticPr fontId="1" type="noConversion"/>
  </si>
  <si>
    <t>소매채널</t>
    <phoneticPr fontId="1" type="noConversion"/>
  </si>
  <si>
    <t>강북본부</t>
    <phoneticPr fontId="12" type="noConversion"/>
  </si>
  <si>
    <t>강남본부</t>
    <phoneticPr fontId="12" type="noConversion"/>
  </si>
  <si>
    <t>강서본부</t>
    <phoneticPr fontId="12" type="noConversion"/>
  </si>
  <si>
    <t>동부본부</t>
    <phoneticPr fontId="12" type="noConversion"/>
  </si>
  <si>
    <t>서부본부</t>
    <phoneticPr fontId="12" type="noConversion"/>
  </si>
  <si>
    <t>강북소매</t>
    <phoneticPr fontId="12" type="noConversion"/>
  </si>
  <si>
    <t>강동소매</t>
    <phoneticPr fontId="12" type="noConversion"/>
  </si>
  <si>
    <t>강남소매</t>
    <phoneticPr fontId="12" type="noConversion"/>
  </si>
  <si>
    <t>남부소매</t>
    <phoneticPr fontId="12" type="noConversion"/>
  </si>
  <si>
    <t>강서소매</t>
    <phoneticPr fontId="12" type="noConversion"/>
  </si>
  <si>
    <t>인천소매</t>
    <phoneticPr fontId="12" type="noConversion"/>
  </si>
  <si>
    <t>부산소매</t>
    <phoneticPr fontId="12" type="noConversion"/>
  </si>
  <si>
    <t>대구소매</t>
    <phoneticPr fontId="12" type="noConversion"/>
  </si>
  <si>
    <t>충청소매</t>
    <phoneticPr fontId="12" type="noConversion"/>
  </si>
  <si>
    <t>호남소매</t>
    <phoneticPr fontId="12" type="noConversion"/>
  </si>
  <si>
    <t>TO</t>
    <phoneticPr fontId="1" type="noConversion"/>
  </si>
  <si>
    <t>과부족</t>
    <phoneticPr fontId="1" type="noConversion"/>
  </si>
  <si>
    <t>충원율</t>
    <phoneticPr fontId="1" type="noConversion"/>
  </si>
  <si>
    <t>매장당인원</t>
    <phoneticPr fontId="1" type="noConversion"/>
  </si>
  <si>
    <t>도매채널</t>
    <phoneticPr fontId="1" type="noConversion"/>
  </si>
  <si>
    <t>강북도매</t>
  </si>
  <si>
    <t>강원도매</t>
  </si>
  <si>
    <t>강남도매</t>
  </si>
  <si>
    <t>강서도매</t>
  </si>
  <si>
    <t>부산도매</t>
  </si>
  <si>
    <t>대구도매</t>
  </si>
  <si>
    <t>충청도매</t>
  </si>
  <si>
    <t>호남도매</t>
  </si>
  <si>
    <t>매장수/센터수</t>
    <phoneticPr fontId="1" type="noConversion"/>
  </si>
  <si>
    <t>출점</t>
    <phoneticPr fontId="1" type="noConversion"/>
  </si>
  <si>
    <t>퇴점</t>
    <phoneticPr fontId="1" type="noConversion"/>
  </si>
  <si>
    <t>소매
매장</t>
    <phoneticPr fontId="1" type="noConversion"/>
  </si>
  <si>
    <t>*개통센터</t>
    <phoneticPr fontId="1" type="noConversion"/>
  </si>
  <si>
    <t>기타(파견,시니어,계약,외국인 등)</t>
    <phoneticPr fontId="1" type="noConversion"/>
  </si>
  <si>
    <t>소매계</t>
    <phoneticPr fontId="1" type="noConversion"/>
  </si>
  <si>
    <t>도매계</t>
    <phoneticPr fontId="1" type="noConversion"/>
  </si>
  <si>
    <t>연간누적</t>
    <phoneticPr fontId="1" type="noConversion"/>
  </si>
  <si>
    <t>매장 Infra 계</t>
    <phoneticPr fontId="1" type="noConversion"/>
  </si>
  <si>
    <t>에비뉴</t>
    <phoneticPr fontId="1" type="noConversion"/>
  </si>
  <si>
    <t>자가</t>
    <phoneticPr fontId="1" type="noConversion"/>
  </si>
  <si>
    <t>투자매장</t>
    <phoneticPr fontId="1" type="noConversion"/>
  </si>
  <si>
    <t>후불</t>
    <phoneticPr fontId="1" type="noConversion"/>
  </si>
  <si>
    <t>순신규</t>
    <phoneticPr fontId="1" type="noConversion"/>
  </si>
  <si>
    <t>인당</t>
    <phoneticPr fontId="1" type="noConversion"/>
  </si>
  <si>
    <t>무선취급점</t>
    <phoneticPr fontId="1" type="noConversion"/>
  </si>
  <si>
    <t>5건이상</t>
    <phoneticPr fontId="1" type="noConversion"/>
  </si>
  <si>
    <t>유선취급점</t>
    <phoneticPr fontId="1" type="noConversion"/>
  </si>
  <si>
    <t>도매
Infra</t>
    <phoneticPr fontId="1" type="noConversion"/>
  </si>
  <si>
    <t>Out</t>
    <phoneticPr fontId="1" type="noConversion"/>
  </si>
  <si>
    <t>부족</t>
    <phoneticPr fontId="1" type="noConversion"/>
  </si>
  <si>
    <t>초과</t>
    <phoneticPr fontId="1" type="noConversion"/>
  </si>
  <si>
    <t>TO 과부족 매장수</t>
    <phoneticPr fontId="1" type="noConversion"/>
  </si>
  <si>
    <t>삼성</t>
    <phoneticPr fontId="1" type="noConversion"/>
  </si>
  <si>
    <t>애플</t>
    <phoneticPr fontId="1" type="noConversion"/>
  </si>
  <si>
    <t>1~3건</t>
    <phoneticPr fontId="1" type="noConversion"/>
  </si>
  <si>
    <t>4~6건</t>
    <phoneticPr fontId="1" type="noConversion"/>
  </si>
  <si>
    <t>7건이상</t>
    <phoneticPr fontId="1" type="noConversion"/>
  </si>
  <si>
    <t>1~2건</t>
    <phoneticPr fontId="1" type="noConversion"/>
  </si>
  <si>
    <t>3~4건</t>
    <phoneticPr fontId="1" type="noConversion"/>
  </si>
  <si>
    <t>기초재고</t>
    <phoneticPr fontId="1" type="noConversion"/>
  </si>
  <si>
    <t>매입</t>
    <phoneticPr fontId="1" type="noConversion"/>
  </si>
  <si>
    <t>KT</t>
    <phoneticPr fontId="1" type="noConversion"/>
  </si>
  <si>
    <t>삼성(직)</t>
    <phoneticPr fontId="1" type="noConversion"/>
  </si>
  <si>
    <t>애플(직)</t>
    <phoneticPr fontId="1" type="noConversion"/>
  </si>
  <si>
    <t>기말재고</t>
    <phoneticPr fontId="1" type="noConversion"/>
  </si>
  <si>
    <t>재고회전일</t>
    <phoneticPr fontId="1" type="noConversion"/>
  </si>
  <si>
    <t>재고</t>
    <phoneticPr fontId="1" type="noConversion"/>
  </si>
  <si>
    <t>직매입
마진</t>
    <phoneticPr fontId="1" type="noConversion"/>
  </si>
  <si>
    <t>마진 총액</t>
    <phoneticPr fontId="1" type="noConversion"/>
  </si>
  <si>
    <t>TCSI점수</t>
    <phoneticPr fontId="1" type="noConversion"/>
  </si>
  <si>
    <t>TCSI</t>
    <phoneticPr fontId="1" type="noConversion"/>
  </si>
  <si>
    <t>기말재고금액</t>
    <phoneticPr fontId="1" type="noConversion"/>
  </si>
  <si>
    <t>강북소매</t>
    <phoneticPr fontId="1" type="noConversion"/>
  </si>
  <si>
    <t>강동소매</t>
    <phoneticPr fontId="1" type="noConversion"/>
  </si>
  <si>
    <t>강남소매</t>
    <phoneticPr fontId="1" type="noConversion"/>
  </si>
  <si>
    <t>남부소매</t>
    <phoneticPr fontId="1" type="noConversion"/>
  </si>
  <si>
    <t>강서소매</t>
    <phoneticPr fontId="1" type="noConversion"/>
  </si>
  <si>
    <t>인천소매</t>
    <phoneticPr fontId="1" type="noConversion"/>
  </si>
  <si>
    <t>부산소매</t>
    <phoneticPr fontId="1" type="noConversion"/>
  </si>
  <si>
    <t>대구소매</t>
    <phoneticPr fontId="1" type="noConversion"/>
  </si>
  <si>
    <t>충청소매</t>
    <phoneticPr fontId="1" type="noConversion"/>
  </si>
  <si>
    <t>호남소매</t>
    <phoneticPr fontId="1" type="noConversion"/>
  </si>
  <si>
    <t>도매출고</t>
    <phoneticPr fontId="1" type="noConversion"/>
  </si>
  <si>
    <t>소매출고</t>
    <phoneticPr fontId="1" type="noConversion"/>
  </si>
  <si>
    <t>시연폰</t>
    <phoneticPr fontId="1" type="noConversion"/>
  </si>
  <si>
    <t>매입</t>
    <phoneticPr fontId="1" type="noConversion"/>
  </si>
  <si>
    <t>매각</t>
    <phoneticPr fontId="1" type="noConversion"/>
  </si>
  <si>
    <t>건수</t>
    <phoneticPr fontId="1" type="noConversion"/>
  </si>
  <si>
    <t>대당</t>
    <phoneticPr fontId="1" type="noConversion"/>
  </si>
  <si>
    <t>중고폰</t>
    <phoneticPr fontId="1" type="noConversion"/>
  </si>
  <si>
    <t>키오스크</t>
    <phoneticPr fontId="1" type="noConversion"/>
  </si>
  <si>
    <t>앱</t>
    <phoneticPr fontId="1" type="noConversion"/>
  </si>
  <si>
    <t>KT닷컴</t>
    <phoneticPr fontId="1" type="noConversion"/>
  </si>
  <si>
    <t>일반</t>
    <phoneticPr fontId="1" type="noConversion"/>
  </si>
  <si>
    <t>특별</t>
    <phoneticPr fontId="1" type="noConversion"/>
  </si>
  <si>
    <t xml:space="preserve">  *특별비중</t>
    <phoneticPr fontId="1" type="noConversion"/>
  </si>
  <si>
    <t>~30만원</t>
    <phoneticPr fontId="1" type="noConversion"/>
  </si>
  <si>
    <t>30~70만원</t>
    <phoneticPr fontId="1" type="noConversion"/>
  </si>
  <si>
    <t>70만원이상</t>
    <phoneticPr fontId="1" type="noConversion"/>
  </si>
  <si>
    <t xml:space="preserve">   매입채널별</t>
    <phoneticPr fontId="1" type="noConversion"/>
  </si>
  <si>
    <t xml:space="preserve">   매입형태별</t>
    <phoneticPr fontId="1" type="noConversion"/>
  </si>
  <si>
    <t xml:space="preserve">   금액대별</t>
    <phoneticPr fontId="1" type="noConversion"/>
  </si>
  <si>
    <t xml:space="preserve">  *70만원이상 비중</t>
    <phoneticPr fontId="1" type="noConversion"/>
  </si>
  <si>
    <t>하이오더</t>
    <phoneticPr fontId="1" type="noConversion"/>
  </si>
  <si>
    <t>테블릿수</t>
    <phoneticPr fontId="1" type="noConversion"/>
  </si>
  <si>
    <t>매장</t>
    <phoneticPr fontId="1" type="noConversion"/>
  </si>
  <si>
    <t>로봇</t>
    <phoneticPr fontId="1" type="noConversion"/>
  </si>
  <si>
    <t>전략상품</t>
    <phoneticPr fontId="1" type="noConversion"/>
  </si>
  <si>
    <t>KT.COM</t>
    <phoneticPr fontId="1" type="noConversion"/>
  </si>
  <si>
    <t>KT</t>
    <phoneticPr fontId="1" type="noConversion"/>
  </si>
  <si>
    <t>월1회</t>
    <phoneticPr fontId="1" type="noConversion"/>
  </si>
  <si>
    <t>월2회</t>
    <phoneticPr fontId="1" type="noConversion"/>
  </si>
  <si>
    <t>허브재고량</t>
    <phoneticPr fontId="1" type="noConversion"/>
  </si>
  <si>
    <t>코코넛</t>
    <phoneticPr fontId="1" type="noConversion"/>
  </si>
  <si>
    <t>허브출고량</t>
    <phoneticPr fontId="1" type="noConversion"/>
  </si>
  <si>
    <t>M&amp;S</t>
    <phoneticPr fontId="1" type="noConversion"/>
  </si>
  <si>
    <t xml:space="preserve">  *점평균 이용건수</t>
    <phoneticPr fontId="1" type="noConversion"/>
  </si>
  <si>
    <t>월3회 이상</t>
    <phoneticPr fontId="1" type="noConversion"/>
  </si>
  <si>
    <t>허브이용 매장수</t>
    <phoneticPr fontId="1" type="noConversion"/>
  </si>
  <si>
    <t>허브가입점수</t>
    <phoneticPr fontId="1" type="noConversion"/>
  </si>
  <si>
    <t>컨설팅 이용자수</t>
    <phoneticPr fontId="1" type="noConversion"/>
  </si>
  <si>
    <t>KT</t>
    <phoneticPr fontId="1" type="noConversion"/>
  </si>
  <si>
    <t xml:space="preserve">  * KT서식지 연동</t>
    <phoneticPr fontId="1" type="noConversion"/>
  </si>
  <si>
    <t>SKT</t>
    <phoneticPr fontId="1" type="noConversion"/>
  </si>
  <si>
    <t xml:space="preserve">LGU+ </t>
    <phoneticPr fontId="1" type="noConversion"/>
  </si>
  <si>
    <t>상담내용 저장</t>
    <phoneticPr fontId="1" type="noConversion"/>
  </si>
  <si>
    <t>재고조회</t>
    <phoneticPr fontId="1" type="noConversion"/>
  </si>
  <si>
    <t>퀵접수</t>
    <phoneticPr fontId="1" type="noConversion"/>
  </si>
  <si>
    <t>중고폰시세조회</t>
    <phoneticPr fontId="1" type="noConversion"/>
  </si>
  <si>
    <t>데이터삭제</t>
    <phoneticPr fontId="1" type="noConversion"/>
  </si>
  <si>
    <t>퀵 이용자수</t>
    <phoneticPr fontId="1" type="noConversion"/>
  </si>
  <si>
    <t>O2O</t>
    <phoneticPr fontId="1" type="noConversion"/>
  </si>
  <si>
    <t>온라인유통</t>
    <phoneticPr fontId="1" type="noConversion"/>
  </si>
  <si>
    <t>2nd 연계</t>
    <phoneticPr fontId="1" type="noConversion"/>
  </si>
  <si>
    <t>요고요금</t>
    <phoneticPr fontId="1" type="noConversion"/>
  </si>
  <si>
    <t>유심단독</t>
    <phoneticPr fontId="1" type="noConversion"/>
  </si>
  <si>
    <t>'24.4월</t>
  </si>
  <si>
    <t>'24.5월</t>
  </si>
  <si>
    <t>'24.6월</t>
  </si>
  <si>
    <t>'24.7월</t>
  </si>
  <si>
    <t>'24.8월</t>
  </si>
  <si>
    <t>'24.9월</t>
  </si>
  <si>
    <t>'24.10월</t>
  </si>
  <si>
    <t>'24.11월</t>
  </si>
  <si>
    <t>'24.12월</t>
  </si>
  <si>
    <t>연평균</t>
    <phoneticPr fontId="1" type="noConversion"/>
  </si>
  <si>
    <t>'23.1월</t>
  </si>
  <si>
    <t>'23.2월</t>
  </si>
  <si>
    <t>'23.3월</t>
  </si>
  <si>
    <t>'23.4월</t>
  </si>
  <si>
    <t>'23.5월</t>
  </si>
  <si>
    <t>'23.6월</t>
  </si>
  <si>
    <t>'23.7월</t>
  </si>
  <si>
    <t>'23.8월</t>
  </si>
  <si>
    <t>'23.9월</t>
  </si>
  <si>
    <t>'23.10월</t>
  </si>
  <si>
    <t>'23.11월</t>
  </si>
  <si>
    <t>'23.12월</t>
  </si>
  <si>
    <t>'22.1월</t>
  </si>
  <si>
    <t>'22.2월</t>
  </si>
  <si>
    <t>'22.3월</t>
  </si>
  <si>
    <t>'22.4월</t>
  </si>
  <si>
    <t>'22.5월</t>
  </si>
  <si>
    <t>'22.6월</t>
  </si>
  <si>
    <t>'22.7월</t>
  </si>
  <si>
    <t>'22.8월</t>
  </si>
  <si>
    <t>'22.9월</t>
  </si>
  <si>
    <t>'22.10월</t>
  </si>
  <si>
    <t>'22.11월</t>
  </si>
  <si>
    <t>'22.12월</t>
  </si>
  <si>
    <t>소매
매장수</t>
    <phoneticPr fontId="1" type="noConversion"/>
  </si>
  <si>
    <t>퇴점</t>
    <phoneticPr fontId="1" type="noConversion"/>
  </si>
  <si>
    <t>순증</t>
    <phoneticPr fontId="1" type="noConversion"/>
  </si>
  <si>
    <t>인력TO</t>
    <phoneticPr fontId="1" type="noConversion"/>
  </si>
  <si>
    <t>후불
인당
생산성</t>
    <phoneticPr fontId="1" type="noConversion"/>
  </si>
  <si>
    <t>신규</t>
    <phoneticPr fontId="1" type="noConversion"/>
  </si>
  <si>
    <t>OUT</t>
    <phoneticPr fontId="1" type="noConversion"/>
  </si>
  <si>
    <t>후불
점당
생산성</t>
    <phoneticPr fontId="1" type="noConversion"/>
  </si>
  <si>
    <t>일반후불
(전체)</t>
    <phoneticPr fontId="1" type="noConversion"/>
  </si>
  <si>
    <r>
      <t xml:space="preserve">부족
매장수
</t>
    </r>
    <r>
      <rPr>
        <b/>
        <sz val="11"/>
        <color theme="1"/>
        <rFont val="맑은 고딕"/>
        <family val="3"/>
        <charset val="129"/>
        <scheme val="minor"/>
      </rPr>
      <t>(인력TO대비)</t>
    </r>
    <phoneticPr fontId="1" type="noConversion"/>
  </si>
  <si>
    <r>
      <t xml:space="preserve">초과
매장수
</t>
    </r>
    <r>
      <rPr>
        <b/>
        <sz val="11"/>
        <color theme="1"/>
        <rFont val="맑은 고딕"/>
        <family val="3"/>
        <charset val="129"/>
        <scheme val="minor"/>
      </rPr>
      <t>(인력TO대비)</t>
    </r>
    <phoneticPr fontId="1" type="noConversion"/>
  </si>
  <si>
    <t>Mall 이용자수</t>
    <phoneticPr fontId="1" type="noConversion"/>
  </si>
  <si>
    <t>유선
순신규
점당
생산성</t>
    <phoneticPr fontId="1" type="noConversion"/>
  </si>
  <si>
    <t>유선
순신규
인당
생산성</t>
    <phoneticPr fontId="1" type="noConversion"/>
  </si>
  <si>
    <t>후불
센터당
생산성</t>
    <phoneticPr fontId="1" type="noConversion"/>
  </si>
  <si>
    <t xml:space="preserve">
유선
순신규
센터당
생산성</t>
    <phoneticPr fontId="1" type="noConversion"/>
  </si>
  <si>
    <t>후불
판매점당
생산성</t>
    <phoneticPr fontId="1" type="noConversion"/>
  </si>
  <si>
    <t>유선
순신규
판매점당
생산성</t>
    <phoneticPr fontId="1" type="noConversion"/>
  </si>
  <si>
    <t>도매
Infra 수</t>
    <phoneticPr fontId="1" type="noConversion"/>
  </si>
  <si>
    <t>22년.누적</t>
    <phoneticPr fontId="1" type="noConversion"/>
  </si>
  <si>
    <t>23년.누적</t>
    <phoneticPr fontId="1" type="noConversion"/>
  </si>
  <si>
    <t>24년.누적</t>
    <phoneticPr fontId="1" type="noConversion"/>
  </si>
  <si>
    <t>신동(MIT동판)률</t>
    <phoneticPr fontId="1" type="noConversion"/>
  </si>
  <si>
    <t>도매신동률</t>
    <phoneticPr fontId="1" type="noConversion"/>
  </si>
  <si>
    <t>소매신동률</t>
    <phoneticPr fontId="1" type="noConversion"/>
  </si>
  <si>
    <t>일반후불 계</t>
    <phoneticPr fontId="1" type="noConversion"/>
  </si>
  <si>
    <t>운영후불 계</t>
    <phoneticPr fontId="1" type="noConversion"/>
  </si>
  <si>
    <t>강북본부</t>
  </si>
  <si>
    <t>강남본부</t>
  </si>
  <si>
    <t>강서본부</t>
  </si>
  <si>
    <t>동부본부</t>
  </si>
  <si>
    <t>서부본부</t>
  </si>
  <si>
    <t>소매</t>
  </si>
  <si>
    <t>동부본부</t>
    <phoneticPr fontId="1" type="noConversion"/>
  </si>
  <si>
    <t>도매</t>
  </si>
  <si>
    <t>B2B</t>
  </si>
  <si>
    <t>기타</t>
  </si>
  <si>
    <t>신규+기변</t>
    <phoneticPr fontId="1" type="noConversion"/>
  </si>
  <si>
    <t>(소매)
본부별</t>
    <phoneticPr fontId="1" type="noConversion"/>
  </si>
  <si>
    <t>(소매)
지사별</t>
    <phoneticPr fontId="1" type="noConversion"/>
  </si>
  <si>
    <t>(도매)
본부별</t>
    <phoneticPr fontId="1" type="noConversion"/>
  </si>
  <si>
    <t>(도매)
지사별</t>
    <phoneticPr fontId="1" type="noConversion"/>
  </si>
  <si>
    <t>전사 계</t>
    <phoneticPr fontId="1" type="noConversion"/>
  </si>
  <si>
    <t>증분비 계</t>
    <phoneticPr fontId="1" type="noConversion"/>
  </si>
  <si>
    <t>증가</t>
    <phoneticPr fontId="1" type="noConversion"/>
  </si>
  <si>
    <t>감소</t>
    <phoneticPr fontId="1" type="noConversion"/>
  </si>
  <si>
    <t>증가 계</t>
    <phoneticPr fontId="12" type="noConversion"/>
  </si>
  <si>
    <t>감소 계</t>
    <phoneticPr fontId="12" type="noConversion"/>
  </si>
  <si>
    <t>유선 전체 계</t>
    <phoneticPr fontId="1" type="noConversion"/>
  </si>
  <si>
    <t>약갱</t>
    <phoneticPr fontId="1" type="noConversion"/>
  </si>
  <si>
    <t>유선 순신규</t>
    <phoneticPr fontId="1" type="noConversion"/>
  </si>
  <si>
    <t>유선 순신규 계</t>
    <phoneticPr fontId="1" type="noConversion"/>
  </si>
  <si>
    <t>순신규+약갱</t>
    <phoneticPr fontId="1" type="noConversion"/>
  </si>
  <si>
    <t>유선 전체
(순신규+약갱)</t>
    <phoneticPr fontId="1" type="noConversion"/>
  </si>
  <si>
    <t>인터넷
순신규</t>
    <phoneticPr fontId="1" type="noConversion"/>
  </si>
  <si>
    <t>기본단말</t>
  </si>
  <si>
    <t>추가단말</t>
  </si>
  <si>
    <t xml:space="preserve">   - Mass</t>
    <phoneticPr fontId="1" type="noConversion"/>
  </si>
  <si>
    <t xml:space="preserve">   - Biz</t>
    <phoneticPr fontId="1" type="noConversion"/>
  </si>
  <si>
    <t>1G 비중 계</t>
    <phoneticPr fontId="1" type="noConversion"/>
  </si>
  <si>
    <t>500M 비중 계</t>
    <phoneticPr fontId="1" type="noConversion"/>
  </si>
  <si>
    <t>인터넷 
Quality</t>
    <phoneticPr fontId="1" type="noConversion"/>
  </si>
  <si>
    <t>TV
Quality</t>
    <phoneticPr fontId="1" type="noConversion"/>
  </si>
  <si>
    <t>에센스 이상 계</t>
    <phoneticPr fontId="1" type="noConversion"/>
  </si>
  <si>
    <t>신규동판</t>
    <phoneticPr fontId="1" type="noConversion"/>
  </si>
  <si>
    <t>신동 유치율</t>
    <phoneticPr fontId="12" type="noConversion"/>
  </si>
  <si>
    <t>*신동 건수 계</t>
    <phoneticPr fontId="12" type="noConversion"/>
  </si>
  <si>
    <t>AI</t>
    <phoneticPr fontId="1" type="noConversion"/>
  </si>
  <si>
    <t>AH</t>
    <phoneticPr fontId="1" type="noConversion"/>
  </si>
  <si>
    <t>AJ</t>
    <phoneticPr fontId="1" type="noConversion"/>
  </si>
  <si>
    <t>AT</t>
    <phoneticPr fontId="1" type="noConversion"/>
  </si>
  <si>
    <t>전년 동월대비</t>
  </si>
  <si>
    <t>전년 동월대비</t>
    <phoneticPr fontId="1" type="noConversion"/>
  </si>
  <si>
    <t>전년대비(월평균)</t>
    <phoneticPr fontId="1" type="noConversion"/>
  </si>
  <si>
    <t>AX</t>
    <phoneticPr fontId="1" type="noConversion"/>
  </si>
  <si>
    <t>AY</t>
    <phoneticPr fontId="1" type="noConversion"/>
  </si>
  <si>
    <t>AZ</t>
    <phoneticPr fontId="1" type="noConversion"/>
  </si>
  <si>
    <t>AU</t>
    <phoneticPr fontId="1" type="noConversion"/>
  </si>
  <si>
    <t>운영후불
(중고제외)
목표</t>
    <phoneticPr fontId="1" type="noConversion"/>
  </si>
  <si>
    <t>전년 동기 대비</t>
    <phoneticPr fontId="1" type="noConversion"/>
  </si>
  <si>
    <t>BA</t>
    <phoneticPr fontId="1" type="noConversion"/>
  </si>
  <si>
    <t>전년 동기로 수식 변경 해주기</t>
    <phoneticPr fontId="1" type="noConversion"/>
  </si>
  <si>
    <t>실적</t>
    <phoneticPr fontId="1" type="noConversion"/>
  </si>
  <si>
    <t>목표</t>
    <phoneticPr fontId="1" type="noConversion"/>
  </si>
  <si>
    <t>동월 목표대비</t>
    <phoneticPr fontId="1" type="noConversion"/>
  </si>
  <si>
    <t>누적 목표대비</t>
    <phoneticPr fontId="1" type="noConversion"/>
  </si>
  <si>
    <t>판매ARPU
목표</t>
    <phoneticPr fontId="1" type="noConversion"/>
  </si>
  <si>
    <t xml:space="preserve">  *신규비중</t>
    <phoneticPr fontId="1" type="noConversion"/>
  </si>
  <si>
    <t xml:space="preserve">  - 010</t>
    <phoneticPr fontId="1" type="noConversion"/>
  </si>
  <si>
    <t xml:space="preserve">  - MNP</t>
    <phoneticPr fontId="1" type="noConversion"/>
  </si>
  <si>
    <t>-</t>
  </si>
  <si>
    <t>-</t>
    <phoneticPr fontId="1" type="noConversion"/>
  </si>
  <si>
    <t xml:space="preserve"> - 기본단말</t>
    <phoneticPr fontId="1" type="noConversion"/>
  </si>
  <si>
    <t xml:space="preserve"> - 추가단말</t>
    <phoneticPr fontId="1" type="noConversion"/>
  </si>
  <si>
    <t>남부</t>
  </si>
  <si>
    <t>강북</t>
  </si>
  <si>
    <t>강동</t>
  </si>
  <si>
    <t>강남</t>
  </si>
  <si>
    <t>강서</t>
  </si>
  <si>
    <t>인천</t>
  </si>
  <si>
    <t>부산</t>
  </si>
  <si>
    <t>대구</t>
  </si>
  <si>
    <t>충청</t>
  </si>
  <si>
    <t>호남</t>
  </si>
  <si>
    <t>강원</t>
  </si>
  <si>
    <t>*신규비중</t>
    <phoneticPr fontId="1" type="noConversion"/>
  </si>
  <si>
    <t>*MNP비중</t>
    <phoneticPr fontId="1" type="noConversion"/>
  </si>
  <si>
    <t>21.12월</t>
    <phoneticPr fontId="1" type="noConversion"/>
  </si>
  <si>
    <t>'22.1월</t>
    <phoneticPr fontId="1" type="noConversion"/>
  </si>
  <si>
    <t>'22.2월</t>
    <phoneticPr fontId="1" type="noConversion"/>
  </si>
  <si>
    <t>'22.3월</t>
    <phoneticPr fontId="1" type="noConversion"/>
  </si>
  <si>
    <t>'22.4월</t>
    <phoneticPr fontId="1" type="noConversion"/>
  </si>
  <si>
    <t>'22.5월</t>
    <phoneticPr fontId="1" type="noConversion"/>
  </si>
  <si>
    <t>'22.6월</t>
    <phoneticPr fontId="1" type="noConversion"/>
  </si>
  <si>
    <t>'22.7월</t>
    <phoneticPr fontId="1" type="noConversion"/>
  </si>
  <si>
    <t>'22.8월</t>
    <phoneticPr fontId="1" type="noConversion"/>
  </si>
  <si>
    <t>'22.9월</t>
    <phoneticPr fontId="1" type="noConversion"/>
  </si>
  <si>
    <t>'22.10월</t>
    <phoneticPr fontId="1" type="noConversion"/>
  </si>
  <si>
    <t>'22.11월</t>
    <phoneticPr fontId="1" type="noConversion"/>
  </si>
  <si>
    <t>'22.12월</t>
    <phoneticPr fontId="1" type="noConversion"/>
  </si>
  <si>
    <t>'23.1월</t>
    <phoneticPr fontId="1" type="noConversion"/>
  </si>
  <si>
    <t>'23.2월</t>
    <phoneticPr fontId="1" type="noConversion"/>
  </si>
  <si>
    <t>'23.3월</t>
    <phoneticPr fontId="1" type="noConversion"/>
  </si>
  <si>
    <t>'23.4월</t>
    <phoneticPr fontId="1" type="noConversion"/>
  </si>
  <si>
    <t>'23.5월</t>
    <phoneticPr fontId="1" type="noConversion"/>
  </si>
  <si>
    <t>'23.6월</t>
    <phoneticPr fontId="1" type="noConversion"/>
  </si>
  <si>
    <t>'23.7월</t>
    <phoneticPr fontId="1" type="noConversion"/>
  </si>
  <si>
    <t>'23.8월</t>
    <phoneticPr fontId="1" type="noConversion"/>
  </si>
  <si>
    <t>'23.9월</t>
    <phoneticPr fontId="1" type="noConversion"/>
  </si>
  <si>
    <t>'23.10월</t>
    <phoneticPr fontId="1" type="noConversion"/>
  </si>
  <si>
    <t>'23.11월</t>
    <phoneticPr fontId="1" type="noConversion"/>
  </si>
  <si>
    <t>'23.12월</t>
    <phoneticPr fontId="1" type="noConversion"/>
  </si>
  <si>
    <t>'24.1월</t>
  </si>
  <si>
    <t>'24.3월</t>
  </si>
  <si>
    <t>'22.누적</t>
    <phoneticPr fontId="1" type="noConversion"/>
  </si>
  <si>
    <t>'22.연평균</t>
    <phoneticPr fontId="1" type="noConversion"/>
  </si>
  <si>
    <t>'24.누적</t>
    <phoneticPr fontId="1" type="noConversion"/>
  </si>
  <si>
    <t>'24.연평균</t>
    <phoneticPr fontId="1" type="noConversion"/>
  </si>
  <si>
    <t>'23.누적</t>
    <phoneticPr fontId="1" type="noConversion"/>
  </si>
  <si>
    <t>'23.연평균</t>
    <phoneticPr fontId="1" type="noConversion"/>
  </si>
  <si>
    <t>I+TV 계</t>
    <phoneticPr fontId="1" type="noConversion"/>
  </si>
  <si>
    <t>유선 순신규
목표</t>
    <phoneticPr fontId="1" type="noConversion"/>
  </si>
  <si>
    <t>월간실적</t>
    <phoneticPr fontId="1" type="noConversion"/>
  </si>
  <si>
    <t>(월별)</t>
    <phoneticPr fontId="1" type="noConversion"/>
  </si>
  <si>
    <t>(출점)</t>
    <phoneticPr fontId="1" type="noConversion"/>
  </si>
  <si>
    <t>(퇴점</t>
    <phoneticPr fontId="1" type="noConversion"/>
  </si>
  <si>
    <t>챌린저</t>
  </si>
  <si>
    <t>시니어</t>
  </si>
  <si>
    <t>시니어</t>
    <phoneticPr fontId="1" type="noConversion"/>
  </si>
  <si>
    <t>- Mass</t>
    <phoneticPr fontId="1" type="noConversion"/>
  </si>
  <si>
    <t>- Biz</t>
    <phoneticPr fontId="1" type="noConversion"/>
  </si>
  <si>
    <t>- 테블릿수</t>
    <phoneticPr fontId="1" type="noConversion"/>
  </si>
  <si>
    <t>(단위:억원)</t>
    <phoneticPr fontId="1" type="noConversion"/>
  </si>
  <si>
    <t>도+소매</t>
  </si>
  <si>
    <t>원천인입건</t>
  </si>
  <si>
    <t>6개월평균실적</t>
  </si>
  <si>
    <t>접수건수</t>
  </si>
  <si>
    <t>귀책건수</t>
  </si>
  <si>
    <t xml:space="preserve">    * 귀책률</t>
  </si>
  <si>
    <t>* 발생률(%,a)</t>
    <phoneticPr fontId="1" type="noConversion"/>
  </si>
  <si>
    <t>불완전판매건</t>
  </si>
  <si>
    <t>후불평균실적</t>
  </si>
  <si>
    <t>전체발생률(%)</t>
  </si>
  <si>
    <t xml:space="preserve">   - 단말깡</t>
    <phoneticPr fontId="1" type="noConversion"/>
  </si>
  <si>
    <t xml:space="preserve">   - 가개통</t>
    <phoneticPr fontId="1" type="noConversion"/>
  </si>
  <si>
    <t xml:space="preserve">   - 소액깡</t>
    <phoneticPr fontId="1" type="noConversion"/>
  </si>
  <si>
    <t>불완전판매건</t>
    <phoneticPr fontId="1" type="noConversion"/>
  </si>
  <si>
    <t xml:space="preserve">   * 발생률</t>
  </si>
  <si>
    <t>비정형</t>
    <phoneticPr fontId="1" type="noConversion"/>
  </si>
  <si>
    <t>음성적재가입</t>
  </si>
  <si>
    <t>유선순신규실적</t>
  </si>
  <si>
    <t xml:space="preserve">   * 발생률(%,a)</t>
  </si>
  <si>
    <t xml:space="preserve">   * KT내 비중</t>
  </si>
  <si>
    <t>도+소매</t>
    <phoneticPr fontId="1" type="noConversion"/>
  </si>
  <si>
    <t>대리점 발생률(%,b)</t>
    <phoneticPr fontId="1" type="noConversion"/>
  </si>
  <si>
    <t>gap(a-b)</t>
    <phoneticPr fontId="1" type="noConversion"/>
  </si>
  <si>
    <t xml:space="preserve"> * 대리점 발생률(%,b)</t>
    <phoneticPr fontId="1" type="noConversion"/>
  </si>
  <si>
    <t>매장 인력 계</t>
    <phoneticPr fontId="1" type="noConversion"/>
  </si>
  <si>
    <t>- i형</t>
    <phoneticPr fontId="1" type="noConversion"/>
  </si>
  <si>
    <t>- L형</t>
    <phoneticPr fontId="1" type="noConversion"/>
  </si>
  <si>
    <t>GiGAeyes(i+L)</t>
    <phoneticPr fontId="1" type="noConversion"/>
  </si>
  <si>
    <t>i형</t>
  </si>
  <si>
    <t>i형</t>
    <phoneticPr fontId="1" type="noConversion"/>
  </si>
  <si>
    <t>L형</t>
  </si>
  <si>
    <t>L형</t>
    <phoneticPr fontId="1" type="noConversion"/>
  </si>
  <si>
    <t>AI링고전화</t>
    <phoneticPr fontId="1" type="noConversion"/>
  </si>
  <si>
    <t>AI전화</t>
    <phoneticPr fontId="1" type="noConversion"/>
  </si>
  <si>
    <t>전년</t>
    <phoneticPr fontId="1" type="noConversion"/>
  </si>
  <si>
    <t>내부목표</t>
    <phoneticPr fontId="1" type="noConversion"/>
  </si>
  <si>
    <t>23.1월</t>
    <phoneticPr fontId="1" type="noConversion"/>
  </si>
  <si>
    <t>23.2월</t>
  </si>
  <si>
    <t>23.3월</t>
  </si>
  <si>
    <t>23.4월</t>
  </si>
  <si>
    <t>23.5월</t>
  </si>
  <si>
    <t>23.6월</t>
  </si>
  <si>
    <t>23.7월</t>
  </si>
  <si>
    <t>23.8월</t>
  </si>
  <si>
    <t>23.9월</t>
  </si>
  <si>
    <t>23.10월</t>
  </si>
  <si>
    <t>23.11월</t>
  </si>
  <si>
    <t>23.12월</t>
  </si>
  <si>
    <t>계</t>
    <phoneticPr fontId="1" type="noConversion"/>
  </si>
  <si>
    <t>24.1월</t>
    <phoneticPr fontId="1" type="noConversion"/>
  </si>
  <si>
    <t>24.2월</t>
  </si>
  <si>
    <t>24.3월</t>
  </si>
  <si>
    <t>24.4월</t>
  </si>
  <si>
    <t>24.5월</t>
  </si>
  <si>
    <t>24.6월</t>
  </si>
  <si>
    <t>24.7월</t>
  </si>
  <si>
    <t>24.8월</t>
  </si>
  <si>
    <t>24.9월</t>
  </si>
  <si>
    <t>24.10월</t>
  </si>
  <si>
    <t>24.11월</t>
  </si>
  <si>
    <t>24.12월</t>
  </si>
  <si>
    <t>교육훈련비</t>
  </si>
  <si>
    <t>차량유지비</t>
  </si>
  <si>
    <t>전년 동기대비</t>
  </si>
  <si>
    <t>전년 동기대비</t>
    <phoneticPr fontId="1" type="noConversion"/>
  </si>
  <si>
    <t>당월실적</t>
    <phoneticPr fontId="1" type="noConversion"/>
  </si>
  <si>
    <t>(신규)</t>
    <phoneticPr fontId="1" type="noConversion"/>
  </si>
  <si>
    <t>(OUT)</t>
    <phoneticPr fontId="1" type="noConversion"/>
  </si>
  <si>
    <t>인당</t>
  </si>
  <si>
    <t>23.2월</t>
    <phoneticPr fontId="1" type="noConversion"/>
  </si>
  <si>
    <t>'23.월평균</t>
    <phoneticPr fontId="1" type="noConversion"/>
  </si>
  <si>
    <t xml:space="preserve">  *대리점 점수</t>
    <phoneticPr fontId="1" type="noConversion"/>
  </si>
  <si>
    <t xml:space="preserve">  *KT점수(m&amp;s포함)</t>
    <phoneticPr fontId="1" type="noConversion"/>
  </si>
  <si>
    <t>GiGA 비중 계</t>
    <phoneticPr fontId="1" type="noConversion"/>
  </si>
  <si>
    <t>인터넷 GIGA 비중</t>
    <phoneticPr fontId="1" type="noConversion"/>
  </si>
  <si>
    <r>
      <t>판매</t>
    </r>
    <r>
      <rPr>
        <sz val="11"/>
        <color theme="1"/>
        <rFont val="맑은 고딕"/>
        <family val="3"/>
        <charset val="129"/>
        <scheme val="minor"/>
      </rPr>
      <t>(win-win 제외)</t>
    </r>
    <phoneticPr fontId="1" type="noConversion"/>
  </si>
  <si>
    <t xml:space="preserve">    상품원가</t>
    <phoneticPr fontId="1" type="noConversion"/>
  </si>
  <si>
    <t>수수료매출 ⓒ</t>
    <phoneticPr fontId="1" type="noConversion"/>
  </si>
  <si>
    <t>상품매출 ⓓ</t>
    <phoneticPr fontId="1" type="noConversion"/>
  </si>
  <si>
    <t>판매비와 일반관리비</t>
    <phoneticPr fontId="1" type="noConversion"/>
  </si>
  <si>
    <t xml:space="preserve">    상품매출 (ⓐ+ⓓ)</t>
    <phoneticPr fontId="1" type="noConversion"/>
  </si>
  <si>
    <t>기타비용</t>
    <phoneticPr fontId="1" type="noConversion"/>
  </si>
  <si>
    <t xml:space="preserve">정책이익 </t>
    <phoneticPr fontId="1" type="noConversion"/>
  </si>
  <si>
    <t xml:space="preserve">매장이익 </t>
    <phoneticPr fontId="1" type="noConversion"/>
  </si>
  <si>
    <t>매장수익 ⓑ</t>
    <phoneticPr fontId="1" type="noConversion"/>
  </si>
  <si>
    <t xml:space="preserve">   기타수수료</t>
    <phoneticPr fontId="1" type="noConversion"/>
  </si>
  <si>
    <t>매장비용 ⓒ</t>
    <phoneticPr fontId="1" type="noConversion"/>
  </si>
  <si>
    <t xml:space="preserve">   기타 </t>
    <phoneticPr fontId="1" type="noConversion"/>
  </si>
  <si>
    <t>상여 평활화/정책발생주의 차이 등</t>
    <phoneticPr fontId="1" type="noConversion"/>
  </si>
  <si>
    <t xml:space="preserve">관리수수료 </t>
    <phoneticPr fontId="1" type="noConversion"/>
  </si>
  <si>
    <t xml:space="preserve">상품이익/지사비용직과 등 </t>
    <phoneticPr fontId="1" type="noConversion"/>
  </si>
  <si>
    <t xml:space="preserve">도급이익 </t>
    <phoneticPr fontId="1" type="noConversion"/>
  </si>
  <si>
    <t>상여평활화/상품이익/정책발생주의/지사비용직과 등</t>
    <phoneticPr fontId="1" type="noConversion"/>
  </si>
  <si>
    <t xml:space="preserve">매출계 </t>
    <phoneticPr fontId="1" type="noConversion"/>
  </si>
  <si>
    <t xml:space="preserve">비용계 </t>
    <phoneticPr fontId="1" type="noConversion"/>
  </si>
  <si>
    <t xml:space="preserve">공통비 </t>
    <phoneticPr fontId="1" type="noConversion"/>
  </si>
  <si>
    <r>
      <t xml:space="preserve">금액 </t>
    </r>
    <r>
      <rPr>
        <sz val="10"/>
        <color theme="1"/>
        <rFont val="KT서체 Light"/>
        <family val="3"/>
        <charset val="129"/>
      </rPr>
      <t>(단위 : 억원)</t>
    </r>
    <phoneticPr fontId="1" type="noConversion"/>
  </si>
  <si>
    <t>AL</t>
    <phoneticPr fontId="1" type="noConversion"/>
  </si>
  <si>
    <r>
      <t>금액</t>
    </r>
    <r>
      <rPr>
        <sz val="10"/>
        <color theme="1"/>
        <rFont val="KT서체 Light"/>
        <family val="3"/>
        <charset val="129"/>
      </rPr>
      <t xml:space="preserve"> (단위 : 억원)</t>
    </r>
    <phoneticPr fontId="1" type="noConversion"/>
  </si>
  <si>
    <r>
      <t xml:space="preserve">매각이익 </t>
    </r>
    <r>
      <rPr>
        <sz val="10"/>
        <color theme="1"/>
        <rFont val="KT서체 Light"/>
        <family val="3"/>
        <charset val="129"/>
      </rPr>
      <t>(단위 : 억원)</t>
    </r>
    <phoneticPr fontId="1" type="noConversion"/>
  </si>
  <si>
    <r>
      <t>Mall 매출액</t>
    </r>
    <r>
      <rPr>
        <sz val="10"/>
        <color theme="1"/>
        <rFont val="맑은 고딕"/>
        <family val="3"/>
        <charset val="129"/>
        <scheme val="minor"/>
      </rPr>
      <t>(천원)</t>
    </r>
    <phoneticPr fontId="1" type="noConversion"/>
  </si>
  <si>
    <t xml:space="preserve">※ 내부 도전목표 </t>
    <phoneticPr fontId="1" type="noConversion"/>
  </si>
  <si>
    <t>※ 대외민원/음성적재가입 데이터는 익익월 산출</t>
    <phoneticPr fontId="1" type="noConversion"/>
  </si>
  <si>
    <t>TV Mass
순신규</t>
  </si>
  <si>
    <t>'24.6월</t>
    <phoneticPr fontId="1" type="noConversion"/>
  </si>
  <si>
    <t>AM</t>
    <phoneticPr fontId="1" type="noConversion"/>
  </si>
  <si>
    <t>TV(*Mass 기준)</t>
    <phoneticPr fontId="1" type="noConversion"/>
  </si>
  <si>
    <t>I+TV(*Mass 기준)</t>
    <phoneticPr fontId="1" type="noConversion"/>
  </si>
  <si>
    <t>'24.2월</t>
    <phoneticPr fontId="1" type="noConversion"/>
  </si>
  <si>
    <t>24년.누적</t>
  </si>
  <si>
    <t>연평균</t>
  </si>
  <si>
    <t>U</t>
    <phoneticPr fontId="1" type="noConversion"/>
  </si>
  <si>
    <t>V</t>
    <phoneticPr fontId="1" type="noConversion"/>
  </si>
  <si>
    <t>Z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</si>
  <si>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</si>
  <si>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</si>
  <si>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</si>
  <si>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AD</t>
    <phoneticPr fontId="1" type="noConversion"/>
  </si>
  <si>
    <t>AE</t>
    <phoneticPr fontId="1" type="noConversion"/>
  </si>
  <si>
    <t>AF</t>
    <phoneticPr fontId="1" type="noConversion"/>
  </si>
  <si>
    <t>AK</t>
    <phoneticPr fontId="1" type="noConversion"/>
  </si>
  <si>
    <t>'23년 1월</t>
    <phoneticPr fontId="1" type="noConversion"/>
  </si>
  <si>
    <t>'23년 2월</t>
  </si>
  <si>
    <t>'23년 3월</t>
  </si>
  <si>
    <t>'23년 4월</t>
  </si>
  <si>
    <t>'23년 5월</t>
  </si>
  <si>
    <t>'23년 6월</t>
  </si>
  <si>
    <t>'23년 7월</t>
  </si>
  <si>
    <t>'23년 8월</t>
  </si>
  <si>
    <t>'23년 9월</t>
  </si>
  <si>
    <t>'23년 10월</t>
  </si>
  <si>
    <t>'23년 11월</t>
  </si>
  <si>
    <t>'23년 12월</t>
  </si>
  <si>
    <t>*개통센터</t>
  </si>
  <si>
    <t>MRI</t>
    <phoneticPr fontId="1" type="noConversion"/>
  </si>
  <si>
    <t>상품권</t>
    <phoneticPr fontId="1" type="noConversion"/>
  </si>
  <si>
    <t>유심</t>
    <phoneticPr fontId="1" type="noConversion"/>
  </si>
  <si>
    <t>목업폰</t>
    <phoneticPr fontId="1" type="noConversion"/>
  </si>
  <si>
    <t>E</t>
    <phoneticPr fontId="1" type="noConversion"/>
  </si>
  <si>
    <t>2020년</t>
    <phoneticPr fontId="1" type="noConversion"/>
  </si>
  <si>
    <t>2021년</t>
    <phoneticPr fontId="1" type="noConversion"/>
  </si>
  <si>
    <t>2022년</t>
    <phoneticPr fontId="1" type="noConversion"/>
  </si>
  <si>
    <t>2023년 (전년)</t>
    <phoneticPr fontId="1" type="noConversion"/>
  </si>
  <si>
    <t>'20.1월</t>
    <phoneticPr fontId="1" type="noConversion"/>
  </si>
  <si>
    <t>'20.2월</t>
    <phoneticPr fontId="1" type="noConversion"/>
  </si>
  <si>
    <t>'20.3월</t>
    <phoneticPr fontId="1" type="noConversion"/>
  </si>
  <si>
    <t>'20.4월</t>
    <phoneticPr fontId="1" type="noConversion"/>
  </si>
  <si>
    <t>'20.5월</t>
    <phoneticPr fontId="1" type="noConversion"/>
  </si>
  <si>
    <t>'20.6월</t>
    <phoneticPr fontId="1" type="noConversion"/>
  </si>
  <si>
    <t>'20.7월</t>
    <phoneticPr fontId="1" type="noConversion"/>
  </si>
  <si>
    <t>'20.8월</t>
    <phoneticPr fontId="1" type="noConversion"/>
  </si>
  <si>
    <t>'20.9월</t>
    <phoneticPr fontId="1" type="noConversion"/>
  </si>
  <si>
    <t>'20.10월</t>
    <phoneticPr fontId="1" type="noConversion"/>
  </si>
  <si>
    <t>'20.11월</t>
    <phoneticPr fontId="1" type="noConversion"/>
  </si>
  <si>
    <t>'20.12월</t>
    <phoneticPr fontId="1" type="noConversion"/>
  </si>
  <si>
    <t>'21.1월</t>
    <phoneticPr fontId="1" type="noConversion"/>
  </si>
  <si>
    <t>'21.2월</t>
  </si>
  <si>
    <t>'21.3월</t>
  </si>
  <si>
    <t>'21.4월</t>
  </si>
  <si>
    <t>'21.5월</t>
  </si>
  <si>
    <t>'21.6월</t>
  </si>
  <si>
    <t>'21.7월</t>
  </si>
  <si>
    <t>'21.8월</t>
  </si>
  <si>
    <t>'21.9월</t>
  </si>
  <si>
    <t>'21.10월</t>
  </si>
  <si>
    <t>'21.11월</t>
  </si>
  <si>
    <t>'21.12월</t>
  </si>
  <si>
    <t>'24.7월</t>
    <phoneticPr fontId="1" type="noConversion"/>
  </si>
  <si>
    <t>'24.8월</t>
    <phoneticPr fontId="1" type="noConversion"/>
  </si>
  <si>
    <t>법인영업</t>
    <phoneticPr fontId="1" type="noConversion"/>
  </si>
  <si>
    <t>(Biz)</t>
  </si>
  <si>
    <t>(법인유통영업)</t>
  </si>
  <si>
    <t>기업영업</t>
    <phoneticPr fontId="1" type="noConversion"/>
  </si>
  <si>
    <t>□ 재무검증</t>
    <phoneticPr fontId="1" type="noConversion"/>
  </si>
  <si>
    <t>BI</t>
  </si>
  <si>
    <t>실적</t>
  </si>
  <si>
    <t>(Biz)</t>
    <phoneticPr fontId="1" type="noConversion"/>
  </si>
  <si>
    <t>(법인유통영업)</t>
    <phoneticPr fontId="1" type="noConversion"/>
  </si>
  <si>
    <t>금</t>
    <phoneticPr fontId="1" type="noConversion"/>
  </si>
  <si>
    <t>악세서리</t>
    <phoneticPr fontId="1" type="noConversion"/>
  </si>
  <si>
    <t>매장운영</t>
    <phoneticPr fontId="1" type="noConversion"/>
  </si>
  <si>
    <t>코코넛퀵(포인트 사용)</t>
    <phoneticPr fontId="1" type="noConversion"/>
  </si>
  <si>
    <t>누적 조정</t>
    <phoneticPr fontId="1" type="noConversion"/>
  </si>
  <si>
    <t>복리후생비</t>
    <phoneticPr fontId="1" type="noConversion"/>
  </si>
  <si>
    <t xml:space="preserve"> 상품매출 (ⓐ+ⓓ)</t>
    <phoneticPr fontId="1" type="noConversion"/>
  </si>
  <si>
    <t xml:space="preserve"> 상품원가</t>
    <phoneticPr fontId="1" type="noConversion"/>
  </si>
  <si>
    <t xml:space="preserve"> 상품이익</t>
    <phoneticPr fontId="1" type="noConversion"/>
  </si>
  <si>
    <t xml:space="preserve">  통신 매출</t>
    <phoneticPr fontId="1" type="noConversion"/>
  </si>
  <si>
    <t xml:space="preserve">  유통플랫폼사업 매출</t>
    <phoneticPr fontId="1" type="noConversion"/>
  </si>
  <si>
    <t>프리미엄 모델 출시년월</t>
    <phoneticPr fontId="1" type="noConversion"/>
  </si>
  <si>
    <t>갤럭시s</t>
    <phoneticPr fontId="1" type="noConversion"/>
  </si>
  <si>
    <t>아이폰</t>
    <phoneticPr fontId="1" type="noConversion"/>
  </si>
  <si>
    <t>AQ</t>
    <phoneticPr fontId="1" type="noConversion"/>
  </si>
  <si>
    <t>AW</t>
    <phoneticPr fontId="1" type="noConversion"/>
  </si>
  <si>
    <t>폴더블</t>
    <phoneticPr fontId="1" type="noConversion"/>
  </si>
  <si>
    <t>BC</t>
    <phoneticPr fontId="1" type="noConversion"/>
  </si>
  <si>
    <t xml:space="preserve">  판매비와 일반관리비</t>
    <phoneticPr fontId="1" type="noConversion"/>
  </si>
  <si>
    <t>유무선</t>
    <phoneticPr fontId="1" type="noConversion"/>
  </si>
  <si>
    <t>채널</t>
    <phoneticPr fontId="1" type="noConversion"/>
  </si>
  <si>
    <t xml:space="preserve">  영업이익</t>
    <phoneticPr fontId="1" type="noConversion"/>
  </si>
  <si>
    <t xml:space="preserve">  소매</t>
    <phoneticPr fontId="1" type="noConversion"/>
  </si>
  <si>
    <t xml:space="preserve">  도매</t>
    <phoneticPr fontId="1" type="noConversion"/>
  </si>
  <si>
    <t xml:space="preserve">  법인영업</t>
    <phoneticPr fontId="1" type="noConversion"/>
  </si>
  <si>
    <t xml:space="preserve">  기업영업</t>
    <phoneticPr fontId="1" type="noConversion"/>
  </si>
  <si>
    <t>임직원 급여</t>
    <phoneticPr fontId="1" type="noConversion"/>
  </si>
  <si>
    <t>광고선전비</t>
    <phoneticPr fontId="1" type="noConversion"/>
  </si>
  <si>
    <t>지급임차료</t>
    <phoneticPr fontId="1" type="noConversion"/>
  </si>
  <si>
    <t>수도광열비</t>
    <phoneticPr fontId="1" type="noConversion"/>
  </si>
  <si>
    <t>전작 출시대비</t>
    <phoneticPr fontId="1" type="noConversion"/>
  </si>
  <si>
    <t>순액처리</t>
    <phoneticPr fontId="1" type="noConversion"/>
  </si>
  <si>
    <t>포상비</t>
    <phoneticPr fontId="1" type="noConversion"/>
  </si>
  <si>
    <t>B2B 도급 수수료</t>
    <phoneticPr fontId="1" type="noConversion"/>
  </si>
  <si>
    <t xml:space="preserve">  └ 복리포인트</t>
    <phoneticPr fontId="1" type="noConversion"/>
  </si>
  <si>
    <t>퇴직급여충당금</t>
    <phoneticPr fontId="1" type="noConversion"/>
  </si>
  <si>
    <t>판매촉진비</t>
    <phoneticPr fontId="1" type="noConversion"/>
  </si>
  <si>
    <t>대형마트, KTAC  등</t>
    <phoneticPr fontId="1" type="noConversion"/>
  </si>
  <si>
    <t xml:space="preserve">  기타</t>
    <phoneticPr fontId="1" type="noConversion"/>
  </si>
  <si>
    <t xml:space="preserve"> 유무선</t>
    <phoneticPr fontId="1" type="noConversion"/>
  </si>
  <si>
    <t xml:space="preserve"> 채널</t>
    <phoneticPr fontId="1" type="noConversion"/>
  </si>
  <si>
    <t xml:space="preserve"> 수수료 항목</t>
    <phoneticPr fontId="1" type="noConversion"/>
  </si>
  <si>
    <t xml:space="preserve">  점프업</t>
    <phoneticPr fontId="1" type="noConversion"/>
  </si>
  <si>
    <t xml:space="preserve">  유선 관리수수료</t>
    <phoneticPr fontId="1" type="noConversion"/>
  </si>
  <si>
    <t xml:space="preserve">  H/C</t>
    <phoneticPr fontId="1" type="noConversion"/>
  </si>
  <si>
    <t>가입자이관</t>
    <phoneticPr fontId="1" type="noConversion"/>
  </si>
  <si>
    <t>소매
8.5%</t>
    <phoneticPr fontId="1" type="noConversion"/>
  </si>
  <si>
    <t>B2B
8.5%</t>
    <phoneticPr fontId="1" type="noConversion"/>
  </si>
  <si>
    <t>유통플랫폼사업단</t>
    <phoneticPr fontId="1" type="noConversion"/>
  </si>
  <si>
    <t>* 10월 엣지 수익 쉐어 반영본</t>
    <phoneticPr fontId="1" type="noConversion"/>
  </si>
  <si>
    <t>23년 실적</t>
    <phoneticPr fontId="1" type="noConversion"/>
  </si>
  <si>
    <t>목표대비</t>
  </si>
  <si>
    <t>달성률</t>
  </si>
  <si>
    <t>전월대비</t>
  </si>
  <si>
    <t>운영후불</t>
    <phoneticPr fontId="1" type="noConversion"/>
  </si>
  <si>
    <t>KT닷컴</t>
  </si>
  <si>
    <t>온라인유통</t>
  </si>
  <si>
    <t>라이브방송</t>
    <phoneticPr fontId="1" type="noConversion"/>
  </si>
  <si>
    <t>횟수</t>
    <phoneticPr fontId="1" type="noConversion"/>
  </si>
  <si>
    <t>상담건수</t>
    <phoneticPr fontId="1" type="noConversion"/>
  </si>
  <si>
    <t>영업센터
인력</t>
    <phoneticPr fontId="1" type="noConversion"/>
  </si>
  <si>
    <t>인력</t>
    <phoneticPr fontId="1" type="noConversion"/>
  </si>
  <si>
    <t>O2O파트</t>
  </si>
  <si>
    <t>영업관리파트</t>
  </si>
  <si>
    <t>KT닷컴CRM1파트</t>
  </si>
  <si>
    <t>KT닷컴CRM2파트</t>
  </si>
  <si>
    <t>KT닷컴상담2파트</t>
  </si>
  <si>
    <t>KT닷컴상담1파트</t>
  </si>
  <si>
    <t>P</t>
    <phoneticPr fontId="1" type="noConversion"/>
  </si>
  <si>
    <t>Q</t>
    <phoneticPr fontId="1" type="noConversion"/>
  </si>
  <si>
    <t>R</t>
    <phoneticPr fontId="1" type="noConversion"/>
  </si>
  <si>
    <t>통신매출</t>
    <phoneticPr fontId="1" type="noConversion"/>
  </si>
  <si>
    <t>프라자3.0</t>
  </si>
  <si>
    <t>플라자 인건비 지원</t>
  </si>
  <si>
    <t xml:space="preserve"> 채널</t>
  </si>
  <si>
    <t>바로배송 위탁, 바로유심 용역 수수료</t>
  </si>
  <si>
    <t>B2B 도급 수수료</t>
  </si>
  <si>
    <t>KT 업무지원센터, 기업무선센터</t>
  </si>
  <si>
    <t>기타도급 및 지원</t>
  </si>
  <si>
    <t>유통플랫폼사업 매출</t>
    <phoneticPr fontId="1" type="noConversion"/>
  </si>
  <si>
    <t>유통플랫폼사업</t>
    <phoneticPr fontId="1" type="noConversion"/>
  </si>
  <si>
    <t>BL</t>
    <phoneticPr fontId="1" type="noConversion"/>
  </si>
  <si>
    <t>BS</t>
    <phoneticPr fontId="1" type="noConversion"/>
  </si>
  <si>
    <t>□ B2B</t>
    <phoneticPr fontId="1" type="noConversion"/>
  </si>
  <si>
    <t>B2B
전체</t>
    <phoneticPr fontId="1" type="noConversion"/>
  </si>
  <si>
    <t>중고개통</t>
  </si>
  <si>
    <t>운영후불</t>
  </si>
  <si>
    <t>2nd (pad)</t>
  </si>
  <si>
    <t>iot</t>
  </si>
  <si>
    <t>후불신규</t>
    <phoneticPr fontId="1" type="noConversion"/>
  </si>
  <si>
    <t>무선순증</t>
    <phoneticPr fontId="1" type="noConversion"/>
  </si>
  <si>
    <t>전략상품</t>
  </si>
  <si>
    <t>기업</t>
    <phoneticPr fontId="1" type="noConversion"/>
  </si>
  <si>
    <t>법인</t>
    <phoneticPr fontId="1" type="noConversion"/>
  </si>
  <si>
    <t>전년말 대비</t>
    <phoneticPr fontId="1" type="noConversion"/>
  </si>
  <si>
    <t>유지가입자</t>
  </si>
  <si>
    <t>무선</t>
  </si>
  <si>
    <t>IoT</t>
  </si>
  <si>
    <t>수수료가입자</t>
  </si>
  <si>
    <t>유지가입자</t>
    <phoneticPr fontId="1" type="noConversion"/>
  </si>
  <si>
    <t xml:space="preserve">* 기업채널 우정사업본부(약 7,300회선) 수수료가입자 누락(LTE → LTE기변)으로 별도 보존 예정  </t>
    <phoneticPr fontId="1" type="noConversion"/>
  </si>
  <si>
    <t>가입자</t>
    <phoneticPr fontId="1" type="noConversion"/>
  </si>
  <si>
    <t>신규점 생산성</t>
    <phoneticPr fontId="1" type="noConversion"/>
  </si>
  <si>
    <t>기존점</t>
    <phoneticPr fontId="1" type="noConversion"/>
  </si>
  <si>
    <t>전매장</t>
    <phoneticPr fontId="1" type="noConversion"/>
  </si>
  <si>
    <t>강북소매</t>
  </si>
  <si>
    <t>강동소매</t>
  </si>
  <si>
    <t>강남소매</t>
  </si>
  <si>
    <t>남부소매</t>
  </si>
  <si>
    <t>강서소매</t>
  </si>
  <si>
    <t>인천소매</t>
  </si>
  <si>
    <t>부산소매</t>
  </si>
  <si>
    <t>대구소매</t>
  </si>
  <si>
    <t>충청소매</t>
  </si>
  <si>
    <t>호남소매</t>
  </si>
  <si>
    <t/>
  </si>
  <si>
    <t>※ 입점월 모수 제외.</t>
    <phoneticPr fontId="1" type="noConversion"/>
  </si>
  <si>
    <r>
      <t xml:space="preserve">신규점
매장
생산성
</t>
    </r>
    <r>
      <rPr>
        <b/>
        <sz val="11"/>
        <color theme="1"/>
        <rFont val="맑은 고딕"/>
        <family val="3"/>
        <charset val="129"/>
        <scheme val="minor"/>
      </rPr>
      <t>(후불+순신규)</t>
    </r>
    <phoneticPr fontId="1" type="noConversion"/>
  </si>
  <si>
    <t>유심재고</t>
    <phoneticPr fontId="1" type="noConversion"/>
  </si>
  <si>
    <t>유심재고금액</t>
    <phoneticPr fontId="1" type="noConversion"/>
  </si>
  <si>
    <t>직매입
현황</t>
    <phoneticPr fontId="1" type="noConversion"/>
  </si>
  <si>
    <t>직매입 계</t>
    <phoneticPr fontId="1" type="noConversion"/>
  </si>
  <si>
    <t>매입금액</t>
    <phoneticPr fontId="1" type="noConversion"/>
  </si>
  <si>
    <t>마진</t>
  </si>
  <si>
    <t>주문수량</t>
    <phoneticPr fontId="1" type="noConversion"/>
  </si>
  <si>
    <t>입고수량</t>
  </si>
  <si>
    <t>주문수량</t>
  </si>
  <si>
    <t>제조사별
판매현황</t>
    <phoneticPr fontId="1" type="noConversion"/>
  </si>
  <si>
    <t>m&amp;s</t>
  </si>
  <si>
    <t>합계</t>
  </si>
  <si>
    <t>삼성</t>
  </si>
  <si>
    <t>애플</t>
  </si>
  <si>
    <t>KT 실적</t>
  </si>
  <si>
    <t>KT 내 비중</t>
  </si>
  <si>
    <t>엣지 현황</t>
    <phoneticPr fontId="1" type="noConversion"/>
  </si>
  <si>
    <t>엣지프로젝트</t>
    <phoneticPr fontId="1" type="noConversion"/>
  </si>
  <si>
    <t>수량</t>
    <phoneticPr fontId="1" type="noConversion"/>
  </si>
  <si>
    <t>마진</t>
    <phoneticPr fontId="1" type="noConversion"/>
  </si>
  <si>
    <t>* 4차 아이폰13 엣지 마진 0원</t>
    <phoneticPr fontId="1" type="noConversion"/>
  </si>
  <si>
    <t>*기본 단위 : 대</t>
    <phoneticPr fontId="1" type="noConversion"/>
  </si>
  <si>
    <t>항목별</t>
    <phoneticPr fontId="1" type="noConversion"/>
  </si>
  <si>
    <t>도매 도급수수료</t>
  </si>
  <si>
    <t>아이폰 AS 업무위탁</t>
  </si>
  <si>
    <t>KT SHOP 도급수수료</t>
  </si>
  <si>
    <t>관리수수료(6.5%)+H/C(2%)</t>
  </si>
  <si>
    <t>PAD, wearable 등</t>
  </si>
  <si>
    <t xml:space="preserve">M2M 가입자 </t>
  </si>
  <si>
    <t xml:space="preserve">SOIP, 기가아이즈, PSTN 등 </t>
  </si>
  <si>
    <t>CS업무처리 수수료</t>
  </si>
  <si>
    <t>도매(점프업 포함)
8.5%</t>
    <phoneticPr fontId="1" type="noConversion"/>
  </si>
  <si>
    <t>HC 포함</t>
    <phoneticPr fontId="1" type="noConversion"/>
  </si>
  <si>
    <t>BD</t>
    <phoneticPr fontId="1" type="noConversion"/>
  </si>
  <si>
    <t>BE</t>
    <phoneticPr fontId="1" type="noConversion"/>
  </si>
  <si>
    <t>BF</t>
    <phoneticPr fontId="1" type="noConversion"/>
  </si>
  <si>
    <t>BG</t>
    <phoneticPr fontId="1" type="noConversion"/>
  </si>
  <si>
    <t>BH</t>
    <phoneticPr fontId="1" type="noConversion"/>
  </si>
  <si>
    <t>BI</t>
    <phoneticPr fontId="1" type="noConversion"/>
  </si>
  <si>
    <t>BJ</t>
    <phoneticPr fontId="1" type="noConversion"/>
  </si>
  <si>
    <t>BM</t>
    <phoneticPr fontId="1" type="noConversion"/>
  </si>
  <si>
    <t>BP</t>
    <phoneticPr fontId="1" type="noConversion"/>
  </si>
  <si>
    <t>BQ</t>
    <phoneticPr fontId="1" type="noConversion"/>
  </si>
  <si>
    <t>BR</t>
    <phoneticPr fontId="1" type="noConversion"/>
  </si>
  <si>
    <t>BT</t>
    <phoneticPr fontId="1" type="noConversion"/>
  </si>
  <si>
    <t>BU</t>
    <phoneticPr fontId="1" type="noConversion"/>
  </si>
  <si>
    <t>BV</t>
    <phoneticPr fontId="1" type="noConversion"/>
  </si>
  <si>
    <t>'23년 계</t>
    <phoneticPr fontId="1" type="noConversion"/>
  </si>
  <si>
    <t>'24년 계</t>
    <phoneticPr fontId="1" type="noConversion"/>
  </si>
  <si>
    <t xml:space="preserve">  └ (복리포인트)</t>
    <phoneticPr fontId="1" type="noConversion"/>
  </si>
  <si>
    <t>도매 HC 포함</t>
    <phoneticPr fontId="1" type="noConversion"/>
  </si>
  <si>
    <t>'21년2월이후 도매위탁 가입자 2% (무선)</t>
    <phoneticPr fontId="1" type="noConversion"/>
  </si>
  <si>
    <t>합</t>
    <phoneticPr fontId="1" type="noConversion"/>
  </si>
  <si>
    <t>후불</t>
  </si>
  <si>
    <t>순신규</t>
  </si>
  <si>
    <t>합</t>
  </si>
  <si>
    <t>23년</t>
    <phoneticPr fontId="1" type="noConversion"/>
  </si>
  <si>
    <t>24년</t>
    <phoneticPr fontId="1" type="noConversion"/>
  </si>
  <si>
    <t>GAP</t>
    <phoneticPr fontId="1" type="noConversion"/>
  </si>
  <si>
    <t>동기간 신규점 매장수</t>
    <phoneticPr fontId="1" type="noConversion"/>
  </si>
  <si>
    <t>24년 후불</t>
    <phoneticPr fontId="1" type="noConversion"/>
  </si>
  <si>
    <t>24년 순신규</t>
    <phoneticPr fontId="1" type="noConversion"/>
  </si>
  <si>
    <t>23년 후불</t>
    <phoneticPr fontId="1" type="noConversion"/>
  </si>
  <si>
    <t>23년 순신규</t>
    <phoneticPr fontId="1" type="noConversion"/>
  </si>
  <si>
    <t>'24년 평균</t>
    <phoneticPr fontId="1" type="noConversion"/>
  </si>
  <si>
    <t>'23년 평균</t>
    <phoneticPr fontId="1" type="noConversion"/>
  </si>
  <si>
    <t xml:space="preserve"> (약정갱신 및 도매 Win-Win 가입자는 제외)</t>
    <phoneticPr fontId="1" type="noConversion"/>
  </si>
  <si>
    <t xml:space="preserve"> (단위 : 회선)</t>
    <phoneticPr fontId="1" type="noConversion"/>
  </si>
  <si>
    <t xml:space="preserve">  유통플랫폼사업</t>
    <phoneticPr fontId="1" type="noConversion"/>
  </si>
  <si>
    <t>2. 무선 가입자</t>
    <phoneticPr fontId="1" type="noConversion"/>
  </si>
  <si>
    <t xml:space="preserve">2-1. 무선가입자 상세 </t>
    <phoneticPr fontId="1" type="noConversion"/>
  </si>
  <si>
    <t xml:space="preserve">3. 유선가입자 </t>
    <phoneticPr fontId="1" type="noConversion"/>
  </si>
  <si>
    <t xml:space="preserve">3-1. 유선가입자 상세 </t>
    <phoneticPr fontId="1" type="noConversion"/>
  </si>
  <si>
    <t>6. B2B</t>
    <phoneticPr fontId="1" type="noConversion"/>
  </si>
  <si>
    <t>7. 유통플랫폼사업</t>
    <phoneticPr fontId="1" type="noConversion"/>
  </si>
  <si>
    <t>8. 인프라</t>
    <phoneticPr fontId="1" type="noConversion"/>
  </si>
  <si>
    <t>9. 인력</t>
    <phoneticPr fontId="1" type="noConversion"/>
  </si>
  <si>
    <t>10. 영업품질</t>
    <phoneticPr fontId="1" type="noConversion"/>
  </si>
  <si>
    <t>11. 재고</t>
    <phoneticPr fontId="1" type="noConversion"/>
  </si>
  <si>
    <t>12. 기타지표</t>
    <phoneticPr fontId="1" type="noConversion"/>
  </si>
  <si>
    <t>전년 동기간대비</t>
  </si>
  <si>
    <t>동기간 신규점 매장수</t>
  </si>
  <si>
    <t>23년</t>
  </si>
  <si>
    <t>24년</t>
  </si>
  <si>
    <t>GAP</t>
  </si>
  <si>
    <t>24년 누적</t>
    <phoneticPr fontId="1" type="noConversion"/>
  </si>
  <si>
    <t>BB</t>
    <phoneticPr fontId="1" type="noConversion"/>
  </si>
  <si>
    <t>전년동월대비</t>
    <phoneticPr fontId="1" type="noConversion"/>
  </si>
  <si>
    <t>AR</t>
    <phoneticPr fontId="1" type="noConversion"/>
  </si>
  <si>
    <t>목표 누적</t>
    <phoneticPr fontId="1" type="noConversion"/>
  </si>
  <si>
    <t>목표 평균</t>
    <phoneticPr fontId="1" type="noConversion"/>
  </si>
  <si>
    <t>매월 수식변경</t>
    <phoneticPr fontId="1" type="noConversion"/>
  </si>
  <si>
    <t>감사드림</t>
    <phoneticPr fontId="1" type="noConversion"/>
  </si>
  <si>
    <t>상품매출 (ⓐ+ⓓ)</t>
    <phoneticPr fontId="1" type="noConversion"/>
  </si>
  <si>
    <t>상품원가</t>
    <phoneticPr fontId="1" type="noConversion"/>
  </si>
  <si>
    <t>상품이익</t>
    <phoneticPr fontId="1" type="noConversion"/>
  </si>
  <si>
    <t>* 프리할부</t>
    <phoneticPr fontId="1" type="noConversion"/>
  </si>
  <si>
    <t>BN</t>
    <phoneticPr fontId="1" type="noConversion"/>
  </si>
  <si>
    <t xml:space="preserve">   KT코웍 및 기타수수료</t>
    <phoneticPr fontId="1" type="noConversion"/>
  </si>
  <si>
    <t>동월</t>
  </si>
  <si>
    <t>동기간</t>
  </si>
  <si>
    <t>4. 디지털</t>
    <phoneticPr fontId="1" type="noConversion"/>
  </si>
  <si>
    <t>5. 소상공인</t>
    <phoneticPr fontId="1" type="noConversion"/>
  </si>
  <si>
    <t>누적 함수</t>
    <phoneticPr fontId="1" type="noConversion"/>
  </si>
  <si>
    <t xml:space="preserve"> </t>
    <phoneticPr fontId="1" type="noConversion"/>
  </si>
  <si>
    <t xml:space="preserve">  디지털</t>
    <phoneticPr fontId="1" type="noConversion"/>
  </si>
  <si>
    <t>BO</t>
    <phoneticPr fontId="1" type="noConversion"/>
  </si>
  <si>
    <t>디지털</t>
    <phoneticPr fontId="1" type="noConversion"/>
  </si>
  <si>
    <t>재고 현황</t>
    <phoneticPr fontId="1" type="noConversion"/>
  </si>
  <si>
    <t>단말재고</t>
    <phoneticPr fontId="1" type="noConversion"/>
  </si>
  <si>
    <t>입고</t>
    <phoneticPr fontId="1" type="noConversion"/>
  </si>
  <si>
    <t>판매(win-win 제외)</t>
    <phoneticPr fontId="1" type="noConversion"/>
  </si>
  <si>
    <t>엣지
현황</t>
    <phoneticPr fontId="1" type="noConversion"/>
  </si>
  <si>
    <t>디지털</t>
  </si>
  <si>
    <t>디지털 바로배송/유심</t>
  </si>
  <si>
    <t>1. 재무</t>
    <phoneticPr fontId="1" type="noConversion"/>
  </si>
  <si>
    <t>하이오더 점포수</t>
    <phoneticPr fontId="1" type="noConversion"/>
  </si>
  <si>
    <t>점포수</t>
  </si>
  <si>
    <t>순번</t>
    <phoneticPr fontId="1" type="noConversion"/>
  </si>
  <si>
    <t>상세 내용</t>
    <phoneticPr fontId="1" type="noConversion"/>
  </si>
  <si>
    <t>마감일시</t>
  </si>
  <si>
    <t>페이지</t>
    <phoneticPr fontId="1" type="noConversion"/>
  </si>
  <si>
    <t>재무</t>
    <phoneticPr fontId="1" type="noConversion"/>
  </si>
  <si>
    <t>② 판매비와 일반관리비</t>
    <phoneticPr fontId="1" type="noConversion"/>
  </si>
  <si>
    <t>• • • • • • • • • • • • • • • • • • • • • • • • • • • • • • • • • •</t>
    <phoneticPr fontId="1" type="noConversion"/>
  </si>
  <si>
    <t>③ 채널별 영업이익</t>
    <phoneticPr fontId="1" type="noConversion"/>
  </si>
  <si>
    <t>④ 주요 채널 상세 재무지표 요약</t>
    <phoneticPr fontId="1" type="noConversion"/>
  </si>
  <si>
    <t>무선가입자</t>
    <phoneticPr fontId="1" type="noConversion"/>
  </si>
  <si>
    <t>① 일반 후불 (전체) 가입자(CAPA)</t>
    <phoneticPr fontId="1" type="noConversion"/>
  </si>
  <si>
    <t>② 운영 후불 (전체) 가입자(CAPA)</t>
    <phoneticPr fontId="1" type="noConversion"/>
  </si>
  <si>
    <t>~ 16일</t>
    <phoneticPr fontId="1" type="noConversion"/>
  </si>
  <si>
    <t>③ 도소매 조직별 가입자(CAPA)</t>
    <phoneticPr fontId="1" type="noConversion"/>
  </si>
  <si>
    <t>④ 채널별 판매 ARPU / 무선 증분 매출</t>
    <phoneticPr fontId="1" type="noConversion"/>
  </si>
  <si>
    <t>무선가입자 (상세)</t>
    <phoneticPr fontId="1" type="noConversion"/>
  </si>
  <si>
    <t>① 관리수수료 8.5% 대상 가입자(CAPA)</t>
    <phoneticPr fontId="1" type="noConversion"/>
  </si>
  <si>
    <t>② 위탁 H/C 2.2% 대상 가입자(CAPA)</t>
    <phoneticPr fontId="1" type="noConversion"/>
  </si>
  <si>
    <t>③ 채널별 일반 후불 (전체) 가입자(CAPA)</t>
    <phoneticPr fontId="1" type="noConversion"/>
  </si>
  <si>
    <t>④ 채널별 무선 관리수수료</t>
    <phoneticPr fontId="1" type="noConversion"/>
  </si>
  <si>
    <t>유선가입자</t>
    <phoneticPr fontId="1" type="noConversion"/>
  </si>
  <si>
    <t>① 유선 전체 (I+TV) 가입자</t>
    <phoneticPr fontId="1" type="noConversion"/>
  </si>
  <si>
    <t>② 유선 순신규 (I+TV) 가입자</t>
    <phoneticPr fontId="1" type="noConversion"/>
  </si>
  <si>
    <t>③ 도소매 조직별 (I+TV) 가입자</t>
    <phoneticPr fontId="1" type="noConversion"/>
  </si>
  <si>
    <t>④ 유선 Quality 채널별 비중</t>
    <phoneticPr fontId="1" type="noConversion"/>
  </si>
  <si>
    <t>유선가입자(상세)</t>
    <phoneticPr fontId="1" type="noConversion"/>
  </si>
  <si>
    <t>① 채널별 인터넷 (I) 가입자 상세</t>
    <phoneticPr fontId="1" type="noConversion"/>
  </si>
  <si>
    <t>② 채널별 TV 가입자 상세</t>
    <phoneticPr fontId="1" type="noConversion"/>
  </si>
  <si>
    <t>③ 채널별 유선 관리수수료</t>
    <phoneticPr fontId="1" type="noConversion"/>
  </si>
  <si>
    <t>① KT닷컴 운영 후불/ 유선 순신규 가입자</t>
    <phoneticPr fontId="1" type="noConversion"/>
  </si>
  <si>
    <t>② KT닷컴 전용 요고 요금제 실적</t>
    <phoneticPr fontId="1" type="noConversion"/>
  </si>
  <si>
    <t>③ 라이브 방송 실적</t>
    <phoneticPr fontId="1" type="noConversion"/>
  </si>
  <si>
    <t>④ 영업센터 파트별 인력 현황</t>
    <phoneticPr fontId="1" type="noConversion"/>
  </si>
  <si>
    <t xml:space="preserve">① 전체 무선 후불 / 유선 순신규 가입자 </t>
    <phoneticPr fontId="1" type="noConversion"/>
  </si>
  <si>
    <t>② 본부별 무선 후불 / 유선 순신규 가입자</t>
    <phoneticPr fontId="1" type="noConversion"/>
  </si>
  <si>
    <t>④ 본부별 인력 충원 / 등급 / 포인트</t>
    <phoneticPr fontId="1" type="noConversion"/>
  </si>
  <si>
    <t>① B2B 전체 유무선 가입자 실적</t>
    <phoneticPr fontId="1" type="noConversion"/>
  </si>
  <si>
    <t>② 기업영업 / 법인 영업 유무선 가입자 실적</t>
    <phoneticPr fontId="1" type="noConversion"/>
  </si>
  <si>
    <t>~ 13일</t>
    <phoneticPr fontId="1" type="noConversion"/>
  </si>
  <si>
    <t>① 시연폰 사업 매입 / 매각 현황</t>
    <phoneticPr fontId="1" type="noConversion"/>
  </si>
  <si>
    <t>② 중고폰 사업 매입 / 매각 현황</t>
    <phoneticPr fontId="1" type="noConversion"/>
  </si>
  <si>
    <t>③ 코코넛 허브 가입 및 출고 현황</t>
    <phoneticPr fontId="1" type="noConversion"/>
  </si>
  <si>
    <t>④ 코코넛 Mall 이용자 및 매출액</t>
    <phoneticPr fontId="1" type="noConversion"/>
  </si>
  <si>
    <t>인프라</t>
    <phoneticPr fontId="1" type="noConversion"/>
  </si>
  <si>
    <t>① 소매 매장 조직별 인프라 현황</t>
    <phoneticPr fontId="1" type="noConversion"/>
  </si>
  <si>
    <t>③ 도매센터 조직별 인프라 현황</t>
    <phoneticPr fontId="1" type="noConversion"/>
  </si>
  <si>
    <t>① 전사 인력 현황</t>
    <phoneticPr fontId="1" type="noConversion"/>
  </si>
  <si>
    <t>② 직급별 인력 현황</t>
    <phoneticPr fontId="1" type="noConversion"/>
  </si>
  <si>
    <t>③ 도소매 조직별 인력 현황</t>
    <phoneticPr fontId="1" type="noConversion"/>
  </si>
  <si>
    <t>영업품질</t>
    <phoneticPr fontId="1" type="noConversion"/>
  </si>
  <si>
    <t>① 도소매 R-VOC 인입 현황</t>
    <phoneticPr fontId="1" type="noConversion"/>
  </si>
  <si>
    <t>② 도소매 대외 민원 접수 / 귀책 건수</t>
    <phoneticPr fontId="1" type="noConversion"/>
  </si>
  <si>
    <t>③ 도소매 불완전 판매 현황</t>
    <phoneticPr fontId="1" type="noConversion"/>
  </si>
  <si>
    <t>④ 도소매 음성적 재가입 현황</t>
    <phoneticPr fontId="1" type="noConversion"/>
  </si>
  <si>
    <t>① 단말 / 유선 재고 현황</t>
    <phoneticPr fontId="1" type="noConversion"/>
  </si>
  <si>
    <t>② 제조사별 직매입 현황</t>
    <phoneticPr fontId="1" type="noConversion"/>
  </si>
  <si>
    <t>④ 엣지프로젝트 수량 및 마진 현황</t>
    <phoneticPr fontId="1" type="noConversion"/>
  </si>
  <si>
    <t>기타지표</t>
    <phoneticPr fontId="1" type="noConversion"/>
  </si>
  <si>
    <t xml:space="preserve">① 지사별 TCSI 점수 현황 </t>
    <phoneticPr fontId="1" type="noConversion"/>
  </si>
  <si>
    <t>② 전략 상품 판매 현황</t>
    <phoneticPr fontId="1" type="noConversion"/>
  </si>
  <si>
    <t>소상공인</t>
    <phoneticPr fontId="1" type="noConversion"/>
  </si>
  <si>
    <t>'25.1월</t>
  </si>
  <si>
    <t>'25.1월</t>
    <phoneticPr fontId="1" type="noConversion"/>
  </si>
  <si>
    <t>'25.2월</t>
  </si>
  <si>
    <t>'25.2월</t>
    <phoneticPr fontId="1" type="noConversion"/>
  </si>
  <si>
    <t>'25.3월</t>
  </si>
  <si>
    <t>'25.4월</t>
  </si>
  <si>
    <t>'25.5월</t>
  </si>
  <si>
    <t>'25.6월</t>
  </si>
  <si>
    <t>'25.7월</t>
  </si>
  <si>
    <t>'25.8월</t>
  </si>
  <si>
    <t>'25.9월</t>
  </si>
  <si>
    <t>'25.10월</t>
  </si>
  <si>
    <t>'25.11월</t>
  </si>
  <si>
    <t>'25.12월</t>
  </si>
  <si>
    <t>'25.누적</t>
    <phoneticPr fontId="1" type="noConversion"/>
  </si>
  <si>
    <t>'25.연평균</t>
    <phoneticPr fontId="1" type="noConversion"/>
  </si>
  <si>
    <t>25년.누적</t>
    <phoneticPr fontId="1" type="noConversion"/>
  </si>
  <si>
    <t>일반후불
(전체)
목표</t>
    <phoneticPr fontId="1" type="noConversion"/>
  </si>
  <si>
    <t>인터넷 
Quality
목표</t>
    <phoneticPr fontId="1" type="noConversion"/>
  </si>
  <si>
    <t>TV
Quality
목표</t>
    <phoneticPr fontId="1" type="noConversion"/>
  </si>
  <si>
    <t>신규동판
목표</t>
    <phoneticPr fontId="1" type="noConversion"/>
  </si>
  <si>
    <t>24년 월평균</t>
    <phoneticPr fontId="1" type="noConversion"/>
  </si>
  <si>
    <t>25년 목표</t>
    <phoneticPr fontId="1" type="noConversion"/>
  </si>
  <si>
    <t>일반후불</t>
    <phoneticPr fontId="1" type="noConversion"/>
  </si>
  <si>
    <t>24년 실적</t>
    <phoneticPr fontId="1" type="noConversion"/>
  </si>
  <si>
    <t>디지털영업센터</t>
    <phoneticPr fontId="1" type="noConversion"/>
  </si>
  <si>
    <t>센터장</t>
    <phoneticPr fontId="1" type="noConversion"/>
  </si>
  <si>
    <t>KT닷컴CRM3파트</t>
  </si>
  <si>
    <t>영업지원파트</t>
    <phoneticPr fontId="1" type="noConversion"/>
  </si>
  <si>
    <t>25년 누적</t>
  </si>
  <si>
    <t>25년 누적</t>
    <phoneticPr fontId="1" type="noConversion"/>
  </si>
  <si>
    <t>KT닷컴 실적</t>
    <phoneticPr fontId="1" type="noConversion"/>
  </si>
  <si>
    <t>일반후불</t>
  </si>
  <si>
    <t>25년.누적</t>
  </si>
  <si>
    <t>25년 후불</t>
    <phoneticPr fontId="1" type="noConversion"/>
  </si>
  <si>
    <t>25년 순신규</t>
    <phoneticPr fontId="1" type="noConversion"/>
  </si>
  <si>
    <t>계</t>
    <phoneticPr fontId="12" type="noConversion"/>
  </si>
  <si>
    <t>일반직</t>
    <phoneticPr fontId="12" type="noConversion"/>
  </si>
  <si>
    <t>영업직</t>
    <phoneticPr fontId="12" type="noConversion"/>
  </si>
  <si>
    <t>SC직</t>
    <phoneticPr fontId="12" type="noConversion"/>
  </si>
  <si>
    <r>
      <t xml:space="preserve">인력변동
총합
</t>
    </r>
    <r>
      <rPr>
        <sz val="9"/>
        <color indexed="8"/>
        <rFont val="맑은 고딕"/>
        <family val="3"/>
        <charset val="129"/>
        <scheme val="minor"/>
      </rPr>
      <t>(IN-OUT)</t>
    </r>
    <phoneticPr fontId="12" type="noConversion"/>
  </si>
  <si>
    <t>도+소+디지털</t>
    <phoneticPr fontId="1" type="noConversion"/>
  </si>
  <si>
    <t>본부별
일반후불</t>
    <phoneticPr fontId="1" type="noConversion"/>
  </si>
  <si>
    <t>소매</t>
    <phoneticPr fontId="12" type="noConversion"/>
  </si>
  <si>
    <t>도매</t>
    <phoneticPr fontId="12" type="noConversion"/>
  </si>
  <si>
    <t>기타</t>
    <phoneticPr fontId="12" type="noConversion"/>
  </si>
  <si>
    <r>
      <t xml:space="preserve">채용
</t>
    </r>
    <r>
      <rPr>
        <sz val="9"/>
        <color indexed="8"/>
        <rFont val="맑은 고딕"/>
        <family val="3"/>
        <charset val="129"/>
        <scheme val="minor"/>
      </rPr>
      <t>(IN)</t>
    </r>
    <phoneticPr fontId="12" type="noConversion"/>
  </si>
  <si>
    <r>
      <t xml:space="preserve">퇴직
</t>
    </r>
    <r>
      <rPr>
        <sz val="9"/>
        <color indexed="8"/>
        <rFont val="맑은 고딕"/>
        <family val="3"/>
        <charset val="129"/>
        <scheme val="minor"/>
      </rPr>
      <t>(OUT)</t>
    </r>
    <phoneticPr fontId="12" type="noConversion"/>
  </si>
  <si>
    <t>3개월 미만</t>
  </si>
  <si>
    <t>3개월 미만</t>
    <phoneticPr fontId="12" type="noConversion"/>
  </si>
  <si>
    <t>(채용률)</t>
  </si>
  <si>
    <t>(채용률)</t>
    <phoneticPr fontId="12" type="noConversion"/>
  </si>
  <si>
    <t>채용계</t>
    <phoneticPr fontId="12" type="noConversion"/>
  </si>
  <si>
    <t>퇴직계</t>
    <phoneticPr fontId="12" type="noConversion"/>
  </si>
  <si>
    <t>(퇴직률)</t>
  </si>
  <si>
    <t>(퇴직률)</t>
    <phoneticPr fontId="12" type="noConversion"/>
  </si>
  <si>
    <t>(비중)</t>
  </si>
  <si>
    <t>(비중)</t>
    <phoneticPr fontId="12" type="noConversion"/>
  </si>
  <si>
    <t>본부별
운영후불</t>
    <phoneticPr fontId="1" type="noConversion"/>
  </si>
  <si>
    <t>25년 목표(내부 도전목표)</t>
    <phoneticPr fontId="1" type="noConversion"/>
  </si>
  <si>
    <t>AG</t>
    <phoneticPr fontId="1" type="noConversion"/>
  </si>
  <si>
    <t>C</t>
    <phoneticPr fontId="1" type="noConversion"/>
  </si>
  <si>
    <t>AV</t>
    <phoneticPr fontId="1" type="noConversion"/>
  </si>
  <si>
    <t>검증용</t>
    <phoneticPr fontId="1" type="noConversion"/>
  </si>
  <si>
    <t>2023년</t>
    <phoneticPr fontId="1" type="noConversion"/>
  </si>
  <si>
    <t>2024년</t>
    <phoneticPr fontId="1" type="noConversion"/>
  </si>
  <si>
    <t>2025년</t>
    <phoneticPr fontId="1" type="noConversion"/>
  </si>
  <si>
    <t>'25.11월</t>
    <phoneticPr fontId="1" type="noConversion"/>
  </si>
  <si>
    <t>□ 디지털</t>
    <phoneticPr fontId="1" type="noConversion"/>
  </si>
  <si>
    <t>유선순신규</t>
    <phoneticPr fontId="1" type="noConversion"/>
  </si>
  <si>
    <t>신규+기변+중고</t>
    <phoneticPr fontId="1" type="noConversion"/>
  </si>
  <si>
    <t>O2O</t>
  </si>
  <si>
    <t>기타, 미정산건, 계상처리 등</t>
    <phoneticPr fontId="1" type="noConversion"/>
  </si>
  <si>
    <t>소상공인
8.5%</t>
    <phoneticPr fontId="1" type="noConversion"/>
  </si>
  <si>
    <t>일반후불
(중고포함)</t>
    <phoneticPr fontId="1" type="noConversion"/>
  </si>
  <si>
    <t>전년대비(월평균)</t>
  </si>
  <si>
    <t>전년 동기 대비</t>
  </si>
  <si>
    <t>'23년 실적</t>
    <phoneticPr fontId="1" type="noConversion"/>
  </si>
  <si>
    <t>B2B, 대형마트, 지원성 관리수수료, P3.0 등</t>
    <phoneticPr fontId="1" type="noConversion"/>
  </si>
  <si>
    <t>CC</t>
    <phoneticPr fontId="1" type="noConversion"/>
  </si>
  <si>
    <t>CD</t>
    <phoneticPr fontId="1" type="noConversion"/>
  </si>
  <si>
    <t>CE</t>
    <phoneticPr fontId="1" type="noConversion"/>
  </si>
  <si>
    <t>CF</t>
    <phoneticPr fontId="1" type="noConversion"/>
  </si>
  <si>
    <t>CG</t>
    <phoneticPr fontId="1" type="noConversion"/>
  </si>
  <si>
    <t>CH</t>
    <phoneticPr fontId="1" type="noConversion"/>
  </si>
  <si>
    <t>CI</t>
    <phoneticPr fontId="1" type="noConversion"/>
  </si>
  <si>
    <t>CJ</t>
    <phoneticPr fontId="1" type="noConversion"/>
  </si>
  <si>
    <t>CK</t>
    <phoneticPr fontId="1" type="noConversion"/>
  </si>
  <si>
    <t>전년평균대비</t>
    <phoneticPr fontId="1" type="noConversion"/>
  </si>
  <si>
    <t>과부족</t>
    <phoneticPr fontId="12" type="noConversion"/>
  </si>
  <si>
    <t>점포수</t>
    <phoneticPr fontId="1" type="noConversion"/>
  </si>
  <si>
    <t>(소상공인 포함)</t>
    <phoneticPr fontId="1" type="noConversion"/>
  </si>
  <si>
    <t>소상공인</t>
  </si>
  <si>
    <t>유통영업혁신단</t>
    <phoneticPr fontId="1" type="noConversion"/>
  </si>
  <si>
    <t>법인영업혁신단</t>
    <phoneticPr fontId="1" type="noConversion"/>
  </si>
  <si>
    <t>소상공인</t>
    <phoneticPr fontId="12" type="noConversion"/>
  </si>
  <si>
    <t>TV
(mass+biz)</t>
    <phoneticPr fontId="1" type="noConversion"/>
  </si>
  <si>
    <t>③ 소상공인 전체 인력 현황</t>
  </si>
  <si>
    <t>소상공인 인건비, 미정산건, 계상처리 등</t>
  </si>
  <si>
    <t>(소상공인)
본부별</t>
  </si>
  <si>
    <t>(소상공인)
지사별</t>
  </si>
  <si>
    <t>(소상공인 포함)</t>
  </si>
  <si>
    <t>관리수수료(점프업 제외), 매장성 수수료</t>
    <phoneticPr fontId="1" type="noConversion"/>
  </si>
  <si>
    <t>B2B, 대형마트, 지원성 관리수수료, P3.0 등</t>
  </si>
  <si>
    <t>기타(A/S, 임대, 물류, 중고폰 전문매장 등)</t>
    <phoneticPr fontId="1" type="noConversion"/>
  </si>
  <si>
    <t xml:space="preserve">  소상공인</t>
    <phoneticPr fontId="1" type="noConversion"/>
  </si>
  <si>
    <t>보험료, 접대비, 여비교통비, 세금과공과 등</t>
  </si>
  <si>
    <t>보험료, 접대비, 여비교통비, 세금과공과 등</t>
    <phoneticPr fontId="1" type="noConversion"/>
  </si>
  <si>
    <t>IT유지보수대행, 서비스이용료, 전문가자문료 등</t>
    <phoneticPr fontId="1" type="noConversion"/>
  </si>
  <si>
    <t>매장성 수수료 제외</t>
    <phoneticPr fontId="1" type="noConversion"/>
  </si>
  <si>
    <t>유선
순신규
(I+TV mass)</t>
    <phoneticPr fontId="1" type="noConversion"/>
  </si>
  <si>
    <t>I+TV (유통채널)</t>
    <phoneticPr fontId="1" type="noConversion"/>
  </si>
  <si>
    <t>스마트로VAN</t>
    <phoneticPr fontId="1" type="noConversion"/>
  </si>
  <si>
    <t>KT닷컴상담3파트</t>
  </si>
  <si>
    <t>'25년 미운영 채널</t>
    <phoneticPr fontId="1" type="noConversion"/>
  </si>
  <si>
    <t>신사업 제외</t>
    <phoneticPr fontId="1" type="noConversion"/>
  </si>
  <si>
    <t>전월</t>
    <phoneticPr fontId="1" type="noConversion"/>
  </si>
  <si>
    <t>부근무</t>
    <phoneticPr fontId="1" type="noConversion"/>
  </si>
  <si>
    <t>온라인 제휴
8.5%</t>
    <phoneticPr fontId="1" type="noConversion"/>
  </si>
  <si>
    <t>$A$1-1</t>
  </si>
  <si>
    <t>판매유지ARPU</t>
    <phoneticPr fontId="1" type="noConversion"/>
  </si>
  <si>
    <t>판매유지ARPU
목표</t>
    <phoneticPr fontId="1" type="noConversion"/>
  </si>
  <si>
    <t>1 ~ 3</t>
    <phoneticPr fontId="1" type="noConversion"/>
  </si>
  <si>
    <t>4 ~ 5</t>
    <phoneticPr fontId="1" type="noConversion"/>
  </si>
  <si>
    <t>6 ~ 7</t>
    <phoneticPr fontId="1" type="noConversion"/>
  </si>
  <si>
    <t>8 ~ 9</t>
    <phoneticPr fontId="1" type="noConversion"/>
  </si>
  <si>
    <t>10 ~ 11</t>
    <phoneticPr fontId="1" type="noConversion"/>
  </si>
  <si>
    <t>13 ~ 14</t>
    <phoneticPr fontId="1" type="noConversion"/>
  </si>
  <si>
    <t xml:space="preserve">  * 컨설팅 프린트</t>
    <phoneticPr fontId="1" type="noConversion"/>
  </si>
  <si>
    <t>KT닷컴유선파트</t>
    <phoneticPr fontId="1" type="noConversion"/>
  </si>
  <si>
    <t>BW</t>
    <phoneticPr fontId="1" type="noConversion"/>
  </si>
  <si>
    <t>AN</t>
    <phoneticPr fontId="1" type="noConversion"/>
  </si>
  <si>
    <t>'25년 실적</t>
    <phoneticPr fontId="1" type="noConversion"/>
  </si>
  <si>
    <t>'24년 실적</t>
    <phoneticPr fontId="1" type="noConversion"/>
  </si>
  <si>
    <t>AO</t>
    <phoneticPr fontId="1" type="noConversion"/>
  </si>
  <si>
    <t>전년동기비</t>
    <phoneticPr fontId="1" type="noConversion"/>
  </si>
  <si>
    <t>KT닷컴개통1파트</t>
    <phoneticPr fontId="1" type="noConversion"/>
  </si>
  <si>
    <t>KT닷컴개통2파트</t>
  </si>
  <si>
    <t>부근무</t>
  </si>
  <si>
    <t>신입사원(대졸 일반직)</t>
    <phoneticPr fontId="12" type="noConversion"/>
  </si>
  <si>
    <t>BX</t>
    <phoneticPr fontId="1" type="noConversion"/>
  </si>
  <si>
    <t>18 ~ 20</t>
    <phoneticPr fontId="1" type="noConversion"/>
  </si>
  <si>
    <t>21 ~ 22</t>
    <phoneticPr fontId="1" type="noConversion"/>
  </si>
  <si>
    <t xml:space="preserve"> 0. 목차</t>
    <phoneticPr fontId="1" type="noConversion"/>
  </si>
  <si>
    <t>KT닷컴 위탁</t>
    <phoneticPr fontId="1" type="noConversion"/>
  </si>
  <si>
    <t>AP</t>
    <phoneticPr fontId="1" type="noConversion"/>
  </si>
  <si>
    <t>BY</t>
    <phoneticPr fontId="1" type="noConversion"/>
  </si>
  <si>
    <t>유무선 관리 수수료(매장성 수수료/점프업 제외)</t>
    <phoneticPr fontId="1" type="noConversion"/>
  </si>
  <si>
    <t>관리수수료(점프업 제외)+매장성 수수료</t>
    <phoneticPr fontId="1" type="noConversion"/>
  </si>
  <si>
    <t>Bz</t>
    <phoneticPr fontId="1" type="noConversion"/>
  </si>
  <si>
    <t>합계</t>
    <phoneticPr fontId="1" type="noConversion"/>
  </si>
  <si>
    <t>유심판매
현황</t>
    <phoneticPr fontId="1" type="noConversion"/>
  </si>
  <si>
    <t>매출(억원)</t>
  </si>
  <si>
    <t>매출(억원)</t>
    <phoneticPr fontId="1" type="noConversion"/>
  </si>
  <si>
    <t>이익(억원)</t>
  </si>
  <si>
    <t>이익(억원)</t>
    <phoneticPr fontId="1" type="noConversion"/>
  </si>
  <si>
    <t>CA</t>
    <phoneticPr fontId="1" type="noConversion"/>
  </si>
  <si>
    <t>BH</t>
  </si>
  <si>
    <t>'26.1월</t>
    <phoneticPr fontId="1" type="noConversion"/>
  </si>
  <si>
    <t>'26.2월</t>
  </si>
  <si>
    <t>'26.3월</t>
  </si>
  <si>
    <t>'26.4월</t>
  </si>
  <si>
    <t>'26.5월</t>
  </si>
  <si>
    <t>'26.6월</t>
  </si>
  <si>
    <t>'26.7월</t>
  </si>
  <si>
    <t>'26.8월</t>
  </si>
  <si>
    <t>'26.9월</t>
  </si>
  <si>
    <t>'26.10월</t>
  </si>
  <si>
    <t>'26.11월</t>
  </si>
  <si>
    <t>'26.12월</t>
  </si>
  <si>
    <t>AS</t>
    <phoneticPr fontId="1" type="noConversion"/>
  </si>
  <si>
    <t>26년 목표</t>
    <phoneticPr fontId="1" type="noConversion"/>
  </si>
  <si>
    <t>26년 목표(내부 도전목표)</t>
    <phoneticPr fontId="1" type="noConversion"/>
  </si>
  <si>
    <t>S4:AD4</t>
    <phoneticPr fontId="1" type="noConversion"/>
  </si>
  <si>
    <t>CB</t>
    <phoneticPr fontId="1" type="noConversion"/>
  </si>
  <si>
    <t>CX</t>
    <phoneticPr fontId="1" type="noConversion"/>
  </si>
  <si>
    <t>익월반영</t>
    <phoneticPr fontId="1" type="noConversion"/>
  </si>
  <si>
    <t>연간누적실적</t>
    <phoneticPr fontId="1" type="noConversion"/>
  </si>
  <si>
    <r>
      <t xml:space="preserve">  총매출 </t>
    </r>
    <r>
      <rPr>
        <sz val="11"/>
        <color theme="1"/>
        <rFont val="KT Flow Thin"/>
        <family val="3"/>
        <charset val="129"/>
      </rPr>
      <t>(ⓐ+ⓑ+ⓒ+ⓓ)</t>
    </r>
    <phoneticPr fontId="1" type="noConversion"/>
  </si>
  <si>
    <r>
      <t>상품매출</t>
    </r>
    <r>
      <rPr>
        <sz val="9"/>
        <color theme="1"/>
        <rFont val="KT Flow Thin"/>
        <family val="3"/>
        <charset val="129"/>
      </rPr>
      <t>(통신)</t>
    </r>
    <r>
      <rPr>
        <b/>
        <sz val="9"/>
        <color theme="1"/>
        <rFont val="KT Flow Thin"/>
        <family val="3"/>
        <charset val="129"/>
      </rPr>
      <t xml:space="preserve"> </t>
    </r>
    <r>
      <rPr>
        <sz val="11"/>
        <color theme="1"/>
        <rFont val="KT Flow Thin"/>
        <family val="3"/>
        <charset val="129"/>
      </rPr>
      <t>ⓐ</t>
    </r>
    <phoneticPr fontId="1" type="noConversion"/>
  </si>
  <si>
    <r>
      <t>수수료매출</t>
    </r>
    <r>
      <rPr>
        <sz val="9"/>
        <color theme="1"/>
        <rFont val="KT Flow Thin"/>
        <family val="3"/>
        <charset val="129"/>
      </rPr>
      <t>(통신)</t>
    </r>
    <r>
      <rPr>
        <sz val="11"/>
        <color theme="1"/>
        <rFont val="KT Flow Thin"/>
        <family val="3"/>
        <charset val="129"/>
      </rPr>
      <t xml:space="preserve"> ⓑ</t>
    </r>
    <phoneticPr fontId="1" type="noConversion"/>
  </si>
  <si>
    <r>
      <t>B2B, 대형마트, 소상공인</t>
    </r>
    <r>
      <rPr>
        <sz val="8.5"/>
        <color theme="1"/>
        <rFont val="KT Flow Thin"/>
        <family val="3"/>
        <charset val="129"/>
      </rPr>
      <t>(25년~)</t>
    </r>
    <r>
      <rPr>
        <sz val="11"/>
        <color theme="1"/>
        <rFont val="KT Flow Thin"/>
        <family val="3"/>
        <charset val="129"/>
      </rPr>
      <t xml:space="preserve"> 등</t>
    </r>
    <phoneticPr fontId="1" type="noConversion"/>
  </si>
  <si>
    <r>
      <t>기타</t>
    </r>
    <r>
      <rPr>
        <b/>
        <sz val="9"/>
        <color theme="1"/>
        <rFont val="KT Flow Thin"/>
        <family val="3"/>
        <charset val="129"/>
      </rPr>
      <t xml:space="preserve"> (파견,시니어,계약,외국인 등)</t>
    </r>
    <phoneticPr fontId="1" type="noConversion"/>
  </si>
  <si>
    <r>
      <t xml:space="preserve">인력변동
총합
</t>
    </r>
    <r>
      <rPr>
        <sz val="9"/>
        <color indexed="8"/>
        <rFont val="KT Flow Thin"/>
        <family val="3"/>
        <charset val="129"/>
      </rPr>
      <t>(IN-OUT)</t>
    </r>
    <phoneticPr fontId="12" type="noConversion"/>
  </si>
  <si>
    <r>
      <t xml:space="preserve">채용
</t>
    </r>
    <r>
      <rPr>
        <sz val="9"/>
        <color indexed="8"/>
        <rFont val="KT Flow Thin"/>
        <family val="3"/>
        <charset val="129"/>
      </rPr>
      <t>(IN)</t>
    </r>
    <phoneticPr fontId="12" type="noConversion"/>
  </si>
  <si>
    <r>
      <t xml:space="preserve">퇴직
</t>
    </r>
    <r>
      <rPr>
        <sz val="9"/>
        <color indexed="8"/>
        <rFont val="KT Flow Thin"/>
        <family val="3"/>
        <charset val="129"/>
      </rPr>
      <t>(OUT)</t>
    </r>
    <phoneticPr fontId="12" type="noConversion"/>
  </si>
  <si>
    <r>
      <t xml:space="preserve">신규점
매장
생산성
</t>
    </r>
    <r>
      <rPr>
        <b/>
        <sz val="11"/>
        <color theme="1"/>
        <rFont val="KT Flow Thin"/>
        <family val="3"/>
        <charset val="129"/>
      </rPr>
      <t>(후불+순신규)</t>
    </r>
    <phoneticPr fontId="1" type="noConversion"/>
  </si>
  <si>
    <r>
      <t xml:space="preserve">금액 </t>
    </r>
    <r>
      <rPr>
        <sz val="10"/>
        <color theme="1"/>
        <rFont val="KT Flow Thin"/>
        <family val="3"/>
        <charset val="129"/>
      </rPr>
      <t>(단위 : 억원)</t>
    </r>
    <phoneticPr fontId="1" type="noConversion"/>
  </si>
  <si>
    <r>
      <t>금액</t>
    </r>
    <r>
      <rPr>
        <sz val="10"/>
        <color theme="1"/>
        <rFont val="KT Flow Thin"/>
        <family val="3"/>
        <charset val="129"/>
      </rPr>
      <t xml:space="preserve"> (단위 : 억원)</t>
    </r>
    <phoneticPr fontId="1" type="noConversion"/>
  </si>
  <si>
    <r>
      <t xml:space="preserve">매각이익 </t>
    </r>
    <r>
      <rPr>
        <sz val="10"/>
        <color theme="1"/>
        <rFont val="KT Flow Thin"/>
        <family val="3"/>
        <charset val="129"/>
      </rPr>
      <t>(단위 : 억원)</t>
    </r>
    <phoneticPr fontId="1" type="noConversion"/>
  </si>
  <si>
    <t>Mall 매출액(천원)</t>
    <phoneticPr fontId="1" type="noConversion"/>
  </si>
  <si>
    <r>
      <t xml:space="preserve">총매출 </t>
    </r>
    <r>
      <rPr>
        <sz val="11"/>
        <color theme="1"/>
        <rFont val="KT Flow Thin"/>
        <family val="3"/>
        <charset val="129"/>
      </rPr>
      <t>(ⓐ+ⓑ+ⓒ+ⓓ)</t>
    </r>
    <phoneticPr fontId="1" type="noConversion"/>
  </si>
  <si>
    <r>
      <t>B2B, 대형마트, 소상공인</t>
    </r>
    <r>
      <rPr>
        <sz val="8.5"/>
        <color theme="1"/>
        <rFont val="KT Flow Thin"/>
        <family val="3"/>
        <charset val="129"/>
      </rPr>
      <t>(25년~)</t>
    </r>
    <phoneticPr fontId="1" type="noConversion"/>
  </si>
  <si>
    <r>
      <t xml:space="preserve">CS업무처리 수수료 </t>
    </r>
    <r>
      <rPr>
        <sz val="9.5"/>
        <color theme="0" tint="-4.9989318521683403E-2"/>
        <rFont val="KT Flow Thin"/>
        <family val="3"/>
        <charset val="129"/>
      </rPr>
      <t>(전사)</t>
    </r>
    <phoneticPr fontId="1" type="noConversion"/>
  </si>
  <si>
    <r>
      <t xml:space="preserve">기타 </t>
    </r>
    <r>
      <rPr>
        <sz val="9.5"/>
        <color theme="0" tint="-0.499984740745262"/>
        <rFont val="KT Flow Thin"/>
        <family val="3"/>
        <charset val="129"/>
      </rPr>
      <t>(대형마트, ktac 등)</t>
    </r>
    <phoneticPr fontId="1" type="noConversion"/>
  </si>
  <si>
    <t>도매 H/C
2%</t>
    <phoneticPr fontId="1" type="noConversion"/>
  </si>
  <si>
    <t>KT닷컴 H/C
2%</t>
    <phoneticPr fontId="1" type="noConversion"/>
  </si>
  <si>
    <t>매장성 수수료 포함</t>
    <phoneticPr fontId="1" type="noConversion"/>
  </si>
  <si>
    <t>휴직자x</t>
    <phoneticPr fontId="12" type="noConversion"/>
  </si>
  <si>
    <t>'25년 전사 경영 FactBook</t>
    <phoneticPr fontId="1" type="noConversion"/>
  </si>
  <si>
    <r>
      <t>① 매출</t>
    </r>
    <r>
      <rPr>
        <sz val="12"/>
        <color theme="1" tint="0.499984740745262"/>
        <rFont val="KT Flow Thin"/>
        <family val="3"/>
        <charset val="129"/>
      </rPr>
      <t xml:space="preserve"> (통신매출, 유통플랫폼사업매출)   </t>
    </r>
    <phoneticPr fontId="1" type="noConversion"/>
  </si>
  <si>
    <r>
      <rPr>
        <b/>
        <sz val="14"/>
        <color rgb="FFFF0000"/>
        <rFont val="KT Flow Thin"/>
        <family val="3"/>
        <charset val="129"/>
      </rPr>
      <t>21일 ~ 26일</t>
    </r>
    <r>
      <rPr>
        <sz val="14"/>
        <color theme="1"/>
        <rFont val="KT Flow Thin"/>
        <family val="3"/>
        <charset val="129"/>
      </rPr>
      <t xml:space="preserve">
</t>
    </r>
    <r>
      <rPr>
        <sz val="12"/>
        <color theme="1"/>
        <rFont val="KT Flow Thin"/>
        <family val="3"/>
        <charset val="129"/>
      </rPr>
      <t>(회계 결산 마감 이후 반영)</t>
    </r>
    <phoneticPr fontId="1" type="noConversion"/>
  </si>
  <si>
    <r>
      <t>2</t>
    </r>
    <r>
      <rPr>
        <sz val="18"/>
        <color theme="1" tint="0.499984740745262"/>
        <rFont val="KT Flow Thin"/>
        <family val="3"/>
        <charset val="129"/>
      </rPr>
      <t>-(1)</t>
    </r>
    <phoneticPr fontId="1" type="noConversion"/>
  </si>
  <si>
    <r>
      <t>3</t>
    </r>
    <r>
      <rPr>
        <sz val="18"/>
        <color theme="1" tint="0.499984740745262"/>
        <rFont val="KT Flow Thin"/>
        <family val="3"/>
        <charset val="129"/>
      </rPr>
      <t>-(1)</t>
    </r>
    <phoneticPr fontId="1" type="noConversion"/>
  </si>
  <si>
    <r>
      <t xml:space="preserve">~ 13일
</t>
    </r>
    <r>
      <rPr>
        <sz val="12"/>
        <color theme="1"/>
        <rFont val="KT Flow Thin"/>
        <family val="3"/>
        <charset val="129"/>
      </rPr>
      <t>(전월 가입자 / 인력 마감 이후)</t>
    </r>
    <phoneticPr fontId="1" type="noConversion"/>
  </si>
  <si>
    <r>
      <rPr>
        <b/>
        <sz val="14"/>
        <color rgb="FFFF0000"/>
        <rFont val="KT Flow Thin"/>
        <family val="3"/>
        <charset val="129"/>
      </rPr>
      <t>13일 ~ 18일</t>
    </r>
    <r>
      <rPr>
        <sz val="14"/>
        <color theme="1"/>
        <rFont val="KT Flow Thin"/>
        <family val="3"/>
        <charset val="129"/>
      </rPr>
      <t xml:space="preserve">
</t>
    </r>
    <r>
      <rPr>
        <sz val="12"/>
        <color theme="1"/>
        <rFont val="KT Flow Thin"/>
        <family val="3"/>
        <charset val="129"/>
      </rPr>
      <t>(전월 가입자 / 매출액 마감 이후)</t>
    </r>
    <phoneticPr fontId="1" type="noConversion"/>
  </si>
  <si>
    <r>
      <t>② 매장 생산성</t>
    </r>
    <r>
      <rPr>
        <sz val="12"/>
        <color theme="1" tint="0.499984740745262"/>
        <rFont val="KT Flow Thin"/>
        <family val="3"/>
        <charset val="129"/>
      </rPr>
      <t xml:space="preserve"> (후불 + 유선 순신규)</t>
    </r>
    <phoneticPr fontId="1" type="noConversion"/>
  </si>
  <si>
    <r>
      <rPr>
        <sz val="14"/>
        <color theme="1"/>
        <rFont val="KT Flow Thin"/>
        <family val="3"/>
        <charset val="129"/>
      </rPr>
      <t>~ 16일</t>
    </r>
    <r>
      <rPr>
        <sz val="11"/>
        <color theme="1"/>
        <rFont val="KT Flow Thin"/>
        <family val="3"/>
        <charset val="129"/>
      </rPr>
      <t xml:space="preserve">
</t>
    </r>
    <r>
      <rPr>
        <sz val="11"/>
        <color rgb="FFFF0000"/>
        <rFont val="KT Flow Thin"/>
        <family val="3"/>
        <charset val="129"/>
      </rPr>
      <t>(대외 민원 / 음성적 재가입은
익익월 산출)</t>
    </r>
    <phoneticPr fontId="1" type="noConversion"/>
  </si>
  <si>
    <r>
      <t xml:space="preserve">③ 제조사별 판매 현황 </t>
    </r>
    <r>
      <rPr>
        <sz val="12"/>
        <color theme="1" tint="0.499984740745262"/>
        <rFont val="KT Flow Thin"/>
        <family val="3"/>
        <charset val="129"/>
      </rPr>
      <t>(KT 내 비중)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</si>
</sst>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&quot;세&quot;"/>
    <numFmt numFmtId="178" formatCode="#,##0&quot;명&quot;"/>
    <numFmt numFmtId="179" formatCode="0.0&quot;년&quot;"/>
    <numFmt numFmtId="180" formatCode="#,##0&quot;명&quot;;[Red]\-#,##0&quot;명&quot;"/>
    <numFmt numFmtId="181" formatCode="0.0&quot;명&quot;"/>
    <numFmt numFmtId="182" formatCode="#,##0&quot;점&quot;"/>
    <numFmt numFmtId="183" formatCode="#,##0&quot;센터&quot;"/>
    <numFmt numFmtId="184" formatCode="#,##0&quot;점&quot;;[Red]\-#,##0&quot;점&quot;"/>
    <numFmt numFmtId="185" formatCode="0\ &quot;월&quot;"/>
    <numFmt numFmtId="186" formatCode="#,##0\ ;[Red]\△#,##0\ "/>
    <numFmt numFmtId="187" formatCode="0.0%\ "/>
    <numFmt numFmtId="188" formatCode="0.0%\p\ ;[Red]\△0.0%\p\ "/>
    <numFmt numFmtId="189" formatCode="#,##0.0\ ;[Red]\△#,##0.0\ "/>
    <numFmt numFmtId="190" formatCode="0.00\ "/>
    <numFmt numFmtId="191" formatCode="#,##0.00\ ;[Red]\△#,##0.00\ "/>
    <numFmt numFmtId="192" formatCode="#,##0_ ;[Red]\-#,##0\ "/>
    <numFmt numFmtId="193" formatCode="#,##0_ ;[Red]\△#,##0\ "/>
    <numFmt numFmtId="194" formatCode="0_);[Red]\(0\)"/>
    <numFmt numFmtId="195" formatCode="_-* #,##0.0_-;\-* #,##0.0_-;_-* &quot;-&quot;_-;_-@_-"/>
    <numFmt numFmtId="196" formatCode="#,##0&quot;점&quot;\ ;[Red]\-#,##0&quot;점&quot;\ "/>
    <numFmt numFmtId="197" formatCode="#,##0&quot;점&quot;\ ;[Red]\△#,##0&quot;점&quot;\ "/>
    <numFmt numFmtId="198" formatCode="#,##0.0_ ;[Red]\△#,##0.0\ "/>
    <numFmt numFmtId="199" formatCode="#,##0&quot;명&quot;;[Red]\△#,##0&quot;명&quot;"/>
    <numFmt numFmtId="200" formatCode="[Red]0.0%\p\ ;\△0.0%\p\ "/>
    <numFmt numFmtId="201" formatCode="0.0\ "/>
    <numFmt numFmtId="202" formatCode="#,##0_ "/>
    <numFmt numFmtId="203" formatCode="#,##0_);[Red]\(#,##0\)"/>
    <numFmt numFmtId="204" formatCode="#,##0\ "/>
    <numFmt numFmtId="205" formatCode="0.0\ ;[Red]\△0.0\ "/>
    <numFmt numFmtId="206" formatCode="#,##0&quot;억&quot;\ "/>
    <numFmt numFmtId="207" formatCode="#,##0.0&quot;억&quot;\ "/>
    <numFmt numFmtId="208" formatCode="#,##0.0\ "/>
    <numFmt numFmtId="209" formatCode="#,##0.0_ "/>
    <numFmt numFmtId="210" formatCode="0.0"/>
    <numFmt numFmtId="211" formatCode="#,##0.0_ ;\-#,##0.0\ "/>
    <numFmt numFmtId="212" formatCode="#,##0.0_ ;[Red]\-#,##0.0\ "/>
    <numFmt numFmtId="213" formatCode="0.0_ "/>
    <numFmt numFmtId="214" formatCode="#,##0.0_);[Red]\(#,##0.0\)"/>
    <numFmt numFmtId="215" formatCode="_-* #,##0.0_-;\-* #,##0.0_-;_-* &quot;-&quot;?_-;_-@_-"/>
    <numFmt numFmtId="216" formatCode="0.0%\p\ ;\△0.0%\p\ "/>
    <numFmt numFmtId="217" formatCode="0_ ;[Red]\-0\ "/>
    <numFmt numFmtId="218" formatCode="0_ "/>
    <numFmt numFmtId="219" formatCode="0.000000_ "/>
    <numFmt numFmtId="220" formatCode="0.00000000000000_ "/>
    <numFmt numFmtId="221" formatCode="0.0_);[Red]\(0.0\)"/>
    <numFmt numFmtId="222" formatCode="0.0&quot;일&quot;\ "/>
    <numFmt numFmtId="223" formatCode="#,###\ ;[Red]\△#,###\ "/>
    <numFmt numFmtId="224" formatCode="0.0&quot;억&quot;\ ;[Red]\△0.0&quot;억&quot;\ "/>
    <numFmt numFmtId="225" formatCode="0.0%\ ;[Red]\△0.0%\ "/>
    <numFmt numFmtId="226" formatCode="#,##0.0"/>
    <numFmt numFmtId="227" formatCode="\+#,##0.0\ ;[Red]\△#,##0.0"/>
    <numFmt numFmtId="228" formatCode="\+#,##0&quot;점&quot;\ ;[Red]\△#,##0&quot;점&quot;\ "/>
    <numFmt numFmtId="229" formatCode="#&quot;명&quot;"/>
    <numFmt numFmtId="230" formatCode="#&quot;월&quot;"/>
    <numFmt numFmtId="231" formatCode="#&quot;건&quot;"/>
    <numFmt numFmtId="232" formatCode="0&quot;건&quot;"/>
    <numFmt numFmtId="233" formatCode="#,##0.00_ "/>
    <numFmt numFmtId="234" formatCode="#,###&quot;명&quot;"/>
    <numFmt numFmtId="235" formatCode="\(#,##0.0%\)"/>
    <numFmt numFmtId="236" formatCode="#,##0.0&quot;명&quot;"/>
    <numFmt numFmtId="237" formatCode="#,###"/>
    <numFmt numFmtId="238" formatCode="#,###.0&quot;명&quot;"/>
    <numFmt numFmtId="239" formatCode="[Blue]\+#,##0&quot;명&quot;;[Red]\-#,##0&quot;명&quot;"/>
    <numFmt numFmtId="240" formatCode="[Blue]\+#,##0;[Red]\-#,##0"/>
    <numFmt numFmtId="241" formatCode="[Blue]\+#,##0.0&quot;명&quot;;[Red]\-#,##0.0&quot;명&quot;"/>
    <numFmt numFmtId="242" formatCode="#,##0\ ;[Red]\△#,##0"/>
    <numFmt numFmtId="243" formatCode="_-* #,##0.0_-;\-* #,##0.0_-;_-* &quot;-&quot;??_-;_-@_-"/>
    <numFmt numFmtId="244" formatCode="#,##0.0\ ;[Red]\△#,##0.0"/>
    <numFmt numFmtId="245" formatCode="\(#,##0%\)"/>
    <numFmt numFmtId="246" formatCode="0.000%"/>
    <numFmt numFmtId="247" formatCode="#,##0;[Red]&quot;▲&quot;#,##0;\-"/>
    <numFmt numFmtId="248" formatCode="#,##0;[Red]\(#,##0\);\-"/>
    <numFmt numFmtId="249" formatCode="0.0&quot;억&quot;"/>
    <numFmt numFmtId="250" formatCode="#,##0.00\ "/>
  </numFmts>
  <fonts count="16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KT서체 Medium"/>
      <family val="3"/>
      <charset val="129"/>
    </font>
    <font>
      <sz val="11"/>
      <color theme="1"/>
      <name val="KT서체 Light"/>
      <family val="3"/>
      <charset val="129"/>
    </font>
    <font>
      <sz val="12"/>
      <color theme="1"/>
      <name val="KT서체 Medium"/>
      <family val="3"/>
      <charset val="129"/>
    </font>
    <font>
      <sz val="12"/>
      <color theme="1"/>
      <name val="KT서체 Light"/>
      <family val="3"/>
      <charset val="129"/>
    </font>
    <font>
      <b/>
      <sz val="12"/>
      <color theme="1"/>
      <name val="KT서체 Light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1"/>
      <color theme="1"/>
      <name val="KT서체 Light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KT서체 Light"/>
      <family val="3"/>
      <charset val="129"/>
    </font>
    <font>
      <b/>
      <sz val="11"/>
      <color theme="1"/>
      <name val="KT서체 Light"/>
      <family val="3"/>
      <charset val="129"/>
    </font>
    <font>
      <sz val="9"/>
      <color indexed="81"/>
      <name val="Tahoma"/>
      <family val="2"/>
    </font>
    <font>
      <b/>
      <sz val="9"/>
      <color indexed="81"/>
      <name val="KT서체 Medium"/>
      <family val="3"/>
      <charset val="129"/>
    </font>
    <font>
      <sz val="9"/>
      <color indexed="81"/>
      <name val="KT서체 Medium"/>
      <family val="3"/>
      <charset val="129"/>
    </font>
    <font>
      <sz val="12"/>
      <color theme="0"/>
      <name val="KT서체 Light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28"/>
      <color theme="1"/>
      <name val="KT서체 Medium"/>
      <family val="3"/>
      <charset val="129"/>
    </font>
    <font>
      <sz val="28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2"/>
      <color rgb="FF000000"/>
      <name val="KT서체 Light"/>
      <family val="3"/>
      <charset val="129"/>
    </font>
    <font>
      <b/>
      <sz val="11"/>
      <color rgb="FF000000"/>
      <name val="맑은 고딕"/>
      <family val="3"/>
      <charset val="129"/>
    </font>
    <font>
      <i/>
      <sz val="11"/>
      <color theme="0" tint="-0.34998626667073579"/>
      <name val="맑은 고딕"/>
      <family val="3"/>
      <charset val="129"/>
      <scheme val="minor"/>
    </font>
    <font>
      <sz val="11"/>
      <color rgb="FF000000"/>
      <name val="KT서체 Light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8"/>
      <color theme="1"/>
      <name val="KT서체 Medium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i/>
      <sz val="11"/>
      <color theme="2" tint="-0.499984740745262"/>
      <name val="맑은 고딕"/>
      <family val="3"/>
      <charset val="129"/>
      <scheme val="minor"/>
    </font>
    <font>
      <sz val="10"/>
      <color theme="2" tint="-0.499984740745262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10"/>
      <color rgb="FF757171"/>
      <name val="맑은 고딕"/>
      <family val="3"/>
      <charset val="129"/>
    </font>
    <font>
      <sz val="11"/>
      <color rgb="FFA6A6A6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i/>
      <sz val="11"/>
      <color rgb="FF000000"/>
      <name val="맑은 고딕"/>
      <family val="3"/>
      <charset val="129"/>
    </font>
    <font>
      <sz val="11"/>
      <name val="Calibri"/>
      <family val="2"/>
    </font>
    <font>
      <sz val="11"/>
      <name val="KT서체 Light"/>
      <family val="3"/>
      <charset val="129"/>
    </font>
    <font>
      <sz val="10"/>
      <color theme="1"/>
      <name val="Calibri"/>
      <family val="2"/>
    </font>
    <font>
      <sz val="11"/>
      <color theme="1"/>
      <name val="KT Flow Thin"/>
      <family val="3"/>
      <charset val="129"/>
    </font>
    <font>
      <sz val="12"/>
      <color theme="1"/>
      <name val="KT Flow Thin"/>
      <family val="3"/>
      <charset val="129"/>
    </font>
    <font>
      <b/>
      <sz val="12"/>
      <color rgb="FFFFFF00"/>
      <name val="KT Flow Thin"/>
      <family val="3"/>
      <charset val="129"/>
    </font>
    <font>
      <sz val="28"/>
      <color theme="1"/>
      <name val="KT Flow Thin"/>
      <family val="3"/>
      <charset val="129"/>
    </font>
    <font>
      <b/>
      <sz val="28"/>
      <color theme="1"/>
      <name val="KT Flow Thin"/>
      <family val="3"/>
      <charset val="129"/>
    </font>
    <font>
      <i/>
      <sz val="11"/>
      <color theme="0"/>
      <name val="KT Flow Thin"/>
      <family val="3"/>
      <charset val="129"/>
    </font>
    <font>
      <i/>
      <sz val="12"/>
      <color theme="1" tint="0.249977111117893"/>
      <name val="KT Flow Thin"/>
      <family val="3"/>
      <charset val="129"/>
    </font>
    <font>
      <i/>
      <sz val="12"/>
      <color theme="0" tint="-0.34998626667073579"/>
      <name val="KT Flow Thin"/>
      <family val="3"/>
      <charset val="129"/>
    </font>
    <font>
      <b/>
      <sz val="11"/>
      <color theme="1"/>
      <name val="KT Flow Thin"/>
      <family val="3"/>
      <charset val="129"/>
    </font>
    <font>
      <b/>
      <sz val="12"/>
      <color theme="1"/>
      <name val="KT Flow Thin"/>
      <family val="3"/>
      <charset val="129"/>
    </font>
    <font>
      <sz val="11"/>
      <color theme="0" tint="-0.34998626667073579"/>
      <name val="KT Flow Thin"/>
      <family val="3"/>
      <charset val="129"/>
    </font>
    <font>
      <sz val="11"/>
      <color rgb="FF0000FF"/>
      <name val="KT Flow Thin"/>
      <family val="3"/>
      <charset val="129"/>
    </font>
    <font>
      <i/>
      <sz val="11"/>
      <color theme="1"/>
      <name val="KT Flow Thin"/>
      <family val="3"/>
      <charset val="129"/>
    </font>
    <font>
      <i/>
      <sz val="11"/>
      <color theme="0" tint="-0.34998626667073579"/>
      <name val="KT Flow Thin"/>
      <family val="3"/>
      <charset val="129"/>
    </font>
    <font>
      <sz val="9"/>
      <color theme="1"/>
      <name val="KT Flow Thin"/>
      <family val="3"/>
      <charset val="129"/>
    </font>
    <font>
      <b/>
      <sz val="9"/>
      <color theme="1"/>
      <name val="KT Flow Thin"/>
      <family val="3"/>
      <charset val="129"/>
    </font>
    <font>
      <sz val="11"/>
      <name val="KT Flow Thin"/>
      <family val="3"/>
      <charset val="129"/>
    </font>
    <font>
      <sz val="11"/>
      <color theme="0"/>
      <name val="KT Flow Thin"/>
      <family val="3"/>
      <charset val="129"/>
    </font>
    <font>
      <sz val="8.5"/>
      <color theme="1"/>
      <name val="KT Flow Thin"/>
      <family val="3"/>
      <charset val="129"/>
    </font>
    <font>
      <sz val="11"/>
      <color theme="0" tint="-0.499984740745262"/>
      <name val="KT Flow Thin"/>
      <family val="3"/>
      <charset val="129"/>
    </font>
    <font>
      <sz val="10"/>
      <color theme="1"/>
      <name val="KT Flow Thin"/>
      <family val="3"/>
      <charset val="129"/>
    </font>
    <font>
      <sz val="10"/>
      <name val="KT Flow Thin"/>
      <family val="3"/>
      <charset val="129"/>
    </font>
    <font>
      <b/>
      <sz val="10"/>
      <color theme="1"/>
      <name val="KT Flow Thin"/>
      <family val="3"/>
      <charset val="129"/>
    </font>
    <font>
      <i/>
      <sz val="10"/>
      <name val="KT Flow Thin"/>
      <family val="3"/>
      <charset val="129"/>
    </font>
    <font>
      <i/>
      <sz val="11"/>
      <color theme="0" tint="-0.14999847407452621"/>
      <name val="KT Flow Thin"/>
      <family val="3"/>
      <charset val="129"/>
    </font>
    <font>
      <i/>
      <sz val="10"/>
      <color theme="1"/>
      <name val="KT Flow Thin"/>
      <family val="3"/>
      <charset val="129"/>
    </font>
    <font>
      <sz val="10"/>
      <color theme="0" tint="-0.499984740745262"/>
      <name val="KT Flow Thin"/>
      <family val="3"/>
      <charset val="129"/>
    </font>
    <font>
      <sz val="8.4"/>
      <color theme="0" tint="-0.499984740745262"/>
      <name val="KT Flow Thin"/>
      <family val="3"/>
      <charset val="129"/>
    </font>
    <font>
      <b/>
      <sz val="9"/>
      <color theme="0"/>
      <name val="KT Flow Thin"/>
      <family val="3"/>
      <charset val="129"/>
    </font>
    <font>
      <sz val="20"/>
      <color theme="1"/>
      <name val="KT Flow Thin"/>
      <family val="3"/>
      <charset val="129"/>
    </font>
    <font>
      <sz val="9"/>
      <color theme="0"/>
      <name val="KT Flow Thin"/>
      <family val="3"/>
      <charset val="129"/>
    </font>
    <font>
      <sz val="10"/>
      <color theme="0"/>
      <name val="KT Flow Thin"/>
      <family val="3"/>
      <charset val="129"/>
    </font>
    <font>
      <b/>
      <sz val="11"/>
      <color indexed="8"/>
      <name val="KT Flow Thin"/>
      <family val="3"/>
      <charset val="129"/>
    </font>
    <font>
      <sz val="9"/>
      <color indexed="8"/>
      <name val="KT Flow Thin"/>
      <family val="3"/>
      <charset val="129"/>
    </font>
    <font>
      <b/>
      <sz val="10"/>
      <name val="KT Flow Thin"/>
      <family val="3"/>
      <charset val="129"/>
    </font>
    <font>
      <sz val="10"/>
      <color indexed="8"/>
      <name val="KT Flow Thin"/>
      <family val="3"/>
      <charset val="129"/>
    </font>
    <font>
      <i/>
      <sz val="10"/>
      <color theme="2" tint="-0.499984740745262"/>
      <name val="KT Flow Thin"/>
      <family val="3"/>
      <charset val="129"/>
    </font>
    <font>
      <b/>
      <sz val="10"/>
      <color theme="2" tint="-0.499984740745262"/>
      <name val="KT Flow Thin"/>
      <family val="3"/>
      <charset val="129"/>
    </font>
    <font>
      <sz val="10"/>
      <color theme="2" tint="-0.499984740745262"/>
      <name val="KT Flow Thin"/>
      <family val="3"/>
      <charset val="129"/>
    </font>
    <font>
      <b/>
      <sz val="10"/>
      <color indexed="8"/>
      <name val="KT Flow Thin"/>
      <family val="3"/>
      <charset val="129"/>
    </font>
    <font>
      <b/>
      <sz val="10"/>
      <color theme="0" tint="-0.499984740745262"/>
      <name val="KT Flow Thin"/>
      <family val="3"/>
      <charset val="129"/>
    </font>
    <font>
      <b/>
      <sz val="10"/>
      <color rgb="FFFF0000"/>
      <name val="KT Flow Thin"/>
      <family val="3"/>
      <charset val="129"/>
    </font>
    <font>
      <b/>
      <sz val="10"/>
      <color theme="0"/>
      <name val="KT Flow Thin"/>
      <family val="3"/>
      <charset val="129"/>
    </font>
    <font>
      <sz val="12"/>
      <color theme="0"/>
      <name val="KT Flow Thin"/>
      <family val="3"/>
      <charset val="129"/>
    </font>
    <font>
      <sz val="12"/>
      <name val="KT Flow Thin"/>
      <family val="3"/>
      <charset val="129"/>
    </font>
    <font>
      <sz val="12"/>
      <color rgb="FF000000"/>
      <name val="KT Flow Thin"/>
      <family val="3"/>
      <charset val="129"/>
    </font>
    <font>
      <b/>
      <sz val="11"/>
      <color rgb="FF000000"/>
      <name val="KT Flow Thin"/>
      <family val="3"/>
      <charset val="129"/>
    </font>
    <font>
      <b/>
      <sz val="11"/>
      <name val="KT Flow Thin"/>
      <family val="3"/>
      <charset val="129"/>
    </font>
    <font>
      <i/>
      <sz val="9"/>
      <color theme="1"/>
      <name val="KT Flow Thin"/>
      <family val="3"/>
      <charset val="129"/>
    </font>
    <font>
      <sz val="11"/>
      <color rgb="FFFF0000"/>
      <name val="KT Flow Thin"/>
      <family val="3"/>
      <charset val="129"/>
    </font>
    <font>
      <sz val="28"/>
      <color theme="0"/>
      <name val="KT Flow Thin"/>
      <family val="3"/>
      <charset val="129"/>
    </font>
    <font>
      <sz val="12"/>
      <color rgb="FFFF0000"/>
      <name val="KT Flow Thin"/>
      <family val="3"/>
      <charset val="129"/>
    </font>
    <font>
      <b/>
      <sz val="28"/>
      <color theme="0"/>
      <name val="KT Flow Thin"/>
      <family val="3"/>
      <charset val="129"/>
    </font>
    <font>
      <b/>
      <sz val="12"/>
      <color theme="0"/>
      <name val="KT Flow Thin"/>
      <family val="3"/>
      <charset val="129"/>
    </font>
    <font>
      <sz val="9"/>
      <name val="KT Flow Thin"/>
      <family val="3"/>
      <charset val="129"/>
    </font>
    <font>
      <i/>
      <sz val="9"/>
      <color theme="0"/>
      <name val="KT Flow Thin"/>
      <family val="3"/>
      <charset val="129"/>
    </font>
    <font>
      <i/>
      <sz val="9"/>
      <name val="KT Flow Thin"/>
      <family val="3"/>
      <charset val="129"/>
    </font>
    <font>
      <sz val="24"/>
      <color theme="0"/>
      <name val="KT Flow Thin"/>
      <family val="3"/>
      <charset val="129"/>
    </font>
    <font>
      <sz val="10"/>
      <color rgb="FFFF0000"/>
      <name val="KT Flow Thin"/>
      <family val="3"/>
      <charset val="129"/>
    </font>
    <font>
      <b/>
      <sz val="11"/>
      <color theme="1" tint="0.34998626667073579"/>
      <name val="KT Flow Thin"/>
      <family val="3"/>
      <charset val="129"/>
    </font>
    <font>
      <sz val="11"/>
      <color theme="1" tint="0.34998626667073579"/>
      <name val="KT Flow Thin"/>
      <family val="3"/>
      <charset val="129"/>
    </font>
    <font>
      <i/>
      <sz val="11"/>
      <color theme="1" tint="0.249977111117893"/>
      <name val="KT Flow Thin"/>
      <family val="3"/>
      <charset val="129"/>
    </font>
    <font>
      <b/>
      <sz val="16"/>
      <name val="KT Flow Thin"/>
      <family val="3"/>
      <charset val="129"/>
    </font>
    <font>
      <i/>
      <sz val="11"/>
      <color theme="4" tint="0.79998168889431442"/>
      <name val="KT Flow Thin"/>
      <family val="3"/>
      <charset val="129"/>
    </font>
    <font>
      <i/>
      <sz val="11"/>
      <color theme="4" tint="0.59999389629810485"/>
      <name val="KT Flow Thin"/>
      <family val="3"/>
      <charset val="129"/>
    </font>
    <font>
      <i/>
      <sz val="11"/>
      <color theme="4" tint="0.39997558519241921"/>
      <name val="KT Flow Thin"/>
      <family val="3"/>
      <charset val="129"/>
    </font>
    <font>
      <b/>
      <sz val="16"/>
      <color theme="1"/>
      <name val="KT Flow Thin"/>
      <family val="3"/>
      <charset val="129"/>
    </font>
    <font>
      <b/>
      <i/>
      <sz val="11"/>
      <color theme="0"/>
      <name val="KT Flow Thin"/>
      <family val="3"/>
      <charset val="129"/>
    </font>
    <font>
      <sz val="9.5"/>
      <color theme="0" tint="-4.9989318521683403E-2"/>
      <name val="KT Flow Thin"/>
      <family val="3"/>
      <charset val="129"/>
    </font>
    <font>
      <sz val="11"/>
      <color indexed="8"/>
      <name val="KT Flow Thin"/>
      <family val="3"/>
      <charset val="129"/>
    </font>
    <font>
      <sz val="10.5"/>
      <color theme="1"/>
      <name val="KT Flow Thin"/>
      <family val="3"/>
      <charset val="129"/>
    </font>
    <font>
      <sz val="9.5"/>
      <color theme="0" tint="-0.499984740745262"/>
      <name val="KT Flow Thin"/>
      <family val="3"/>
      <charset val="129"/>
    </font>
    <font>
      <sz val="9.5"/>
      <color theme="1"/>
      <name val="KT Flow Thin"/>
      <family val="3"/>
      <charset val="129"/>
    </font>
    <font>
      <i/>
      <sz val="10"/>
      <color rgb="FF000000"/>
      <name val="KT Flow Thin"/>
      <family val="3"/>
      <charset val="129"/>
    </font>
    <font>
      <sz val="11"/>
      <color rgb="FF000000"/>
      <name val="KT Flow Thin"/>
      <family val="3"/>
      <charset val="129"/>
    </font>
    <font>
      <sz val="8.5"/>
      <color theme="0" tint="-0.499984740745262"/>
      <name val="KT Flow Thin"/>
      <family val="3"/>
      <charset val="129"/>
    </font>
    <font>
      <b/>
      <sz val="20"/>
      <color rgb="FFFF0000"/>
      <name val="KT Flow Thin"/>
      <family val="3"/>
      <charset val="129"/>
    </font>
    <font>
      <sz val="24"/>
      <color theme="1"/>
      <name val="KT Flow Bold"/>
      <family val="3"/>
      <charset val="129"/>
    </font>
    <font>
      <b/>
      <sz val="11"/>
      <color theme="1"/>
      <name val="KT Flow Bold"/>
      <family val="3"/>
      <charset val="129"/>
    </font>
    <font>
      <sz val="11"/>
      <color theme="1"/>
      <name val="KT Flow Bold"/>
      <family val="3"/>
      <charset val="129"/>
    </font>
    <font>
      <sz val="11"/>
      <color rgb="FFFF0000"/>
      <name val="KT Flow Bold"/>
      <family val="3"/>
      <charset val="129"/>
    </font>
    <font>
      <sz val="28"/>
      <color theme="1"/>
      <name val="KT Flow Bold"/>
      <family val="3"/>
      <charset val="129"/>
    </font>
    <font>
      <b/>
      <sz val="28"/>
      <color theme="1"/>
      <name val="KT Flow Bold"/>
      <family val="3"/>
      <charset val="129"/>
    </font>
    <font>
      <sz val="26"/>
      <color theme="1"/>
      <name val="KT Flow Bold"/>
      <family val="3"/>
      <charset val="129"/>
    </font>
    <font>
      <sz val="11"/>
      <color theme="0"/>
      <name val="KT Flow Bold"/>
      <family val="3"/>
      <charset val="129"/>
    </font>
    <font>
      <sz val="8"/>
      <color theme="1" tint="0.499984740745262"/>
      <name val="KT Flow Thin"/>
      <family val="3"/>
      <charset val="129"/>
    </font>
    <font>
      <sz val="28"/>
      <color theme="1"/>
      <name val="KT Flow Medium"/>
      <family val="3"/>
      <charset val="129"/>
    </font>
    <font>
      <b/>
      <sz val="28"/>
      <color theme="1"/>
      <name val="KT Flow Medium"/>
      <family val="3"/>
      <charset val="129"/>
    </font>
    <font>
      <sz val="18"/>
      <color theme="1"/>
      <name val="KT Flow Thin"/>
      <family val="3"/>
      <charset val="129"/>
    </font>
    <font>
      <sz val="18"/>
      <name val="KT Flow Thin"/>
      <family val="3"/>
      <charset val="129"/>
    </font>
    <font>
      <sz val="14"/>
      <color theme="1"/>
      <name val="KT Flow Thin"/>
      <family val="3"/>
      <charset val="129"/>
    </font>
    <font>
      <sz val="12"/>
      <color theme="1" tint="0.499984740745262"/>
      <name val="KT Flow Thin"/>
      <family val="3"/>
      <charset val="129"/>
    </font>
    <font>
      <b/>
      <sz val="14"/>
      <color rgb="FFFF0000"/>
      <name val="KT Flow Thin"/>
      <family val="3"/>
      <charset val="129"/>
    </font>
    <font>
      <sz val="16"/>
      <name val="KT Flow Thin"/>
      <family val="3"/>
      <charset val="129"/>
    </font>
    <font>
      <sz val="18"/>
      <color theme="1" tint="0.499984740745262"/>
      <name val="KT Flow Thin"/>
      <family val="3"/>
      <charset val="129"/>
    </font>
    <font>
      <sz val="26"/>
      <color theme="1"/>
      <name val="KT Flow Medium"/>
      <family val="3"/>
      <charset val="129"/>
    </font>
    <font>
      <sz val="18"/>
      <color theme="1"/>
      <name val="KT Flow Medium"/>
      <family val="3"/>
      <charset val="129"/>
    </font>
    <font>
      <sz val="18"/>
      <name val="KT Flow Medium"/>
      <family val="3"/>
      <charset val="129"/>
    </font>
  </fonts>
  <fills count="7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theme="1" tint="0.499984740745262"/>
      </patternFill>
    </fill>
    <fill>
      <patternFill patternType="gray0625">
        <bgColor theme="5" tint="0.79998168889431442"/>
      </patternFill>
    </fill>
    <fill>
      <patternFill patternType="solid">
        <fgColor rgb="FFEBFFEB"/>
        <bgColor indexed="64"/>
      </patternFill>
    </fill>
    <fill>
      <patternFill patternType="gray0625">
        <bgColor theme="1"/>
      </patternFill>
    </fill>
    <fill>
      <patternFill patternType="gray0625">
        <bgColor theme="1" tint="0.249977111117893"/>
      </patternFill>
    </fill>
    <fill>
      <patternFill patternType="gray0625"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>
        <fgColor theme="0" tint="-0.34998626667073579"/>
        <bgColor theme="1" tint="0.499984740745262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D966"/>
        <bgColor rgb="FF000000"/>
      </patternFill>
    </fill>
    <fill>
      <patternFill patternType="lightUp">
        <fgColor theme="0" tint="-0.34998626667073579"/>
        <bgColor theme="0" tint="-0.499984740745262"/>
      </patternFill>
    </fill>
    <fill>
      <patternFill patternType="solid">
        <fgColor rgb="FFD6DCE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rgb="FFB4C6E7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1F7E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1F7ED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lightUp">
        <fgColor theme="0" tint="-0.34998626667073579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darkUp">
        <fgColor theme="0" tint="-0.34998626667073579"/>
        <bgColor theme="0"/>
      </patternFill>
    </fill>
    <fill>
      <patternFill patternType="solid">
        <fgColor theme="9" tint="0.79992065187536243"/>
        <bgColor theme="0" tint="-0.34998626667073579"/>
      </patternFill>
    </fill>
    <fill>
      <patternFill patternType="solid">
        <fgColor theme="1" tint="0.499984740745262"/>
        <bgColor rgb="FF000000"/>
      </patternFill>
    </fill>
    <fill>
      <patternFill patternType="darkUp">
        <fgColor theme="0" tint="-0.24994659260841701"/>
        <bgColor indexed="65"/>
      </patternFill>
    </fill>
    <fill>
      <patternFill patternType="solid">
        <fgColor theme="1" tint="0.499984740745262"/>
        <bgColor indexed="64"/>
      </patternFill>
    </fill>
  </fills>
  <borders count="1256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medium">
        <color theme="8" tint="-0.249977111117893"/>
      </top>
      <bottom/>
      <diagonal/>
    </border>
    <border>
      <left/>
      <right/>
      <top/>
      <bottom style="medium">
        <color theme="8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 style="medium">
        <color theme="8" tint="-0.249977111117893"/>
      </top>
      <bottom/>
      <diagonal/>
    </border>
    <border>
      <left/>
      <right style="medium">
        <color theme="2" tint="-0.249977111117893"/>
      </right>
      <top style="medium">
        <color theme="8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/>
      <right style="medium">
        <color theme="2" tint="-0.249977111117893"/>
      </right>
      <top/>
      <bottom style="medium">
        <color theme="8" tint="-0.249977111117893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/>
      <bottom style="medium">
        <color theme="8" tint="-0.24994659260841701"/>
      </bottom>
      <diagonal/>
    </border>
    <border>
      <left/>
      <right style="medium">
        <color theme="2" tint="-0.249977111117893"/>
      </right>
      <top style="medium">
        <color theme="8" tint="-0.24994659260841701"/>
      </top>
      <bottom/>
      <diagonal/>
    </border>
    <border>
      <left/>
      <right style="medium">
        <color theme="2" tint="-0.249977111117893"/>
      </right>
      <top/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8" tint="-0.24994659260841701"/>
      </top>
      <bottom/>
      <diagonal/>
    </border>
    <border>
      <left/>
      <right/>
      <top style="thin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2" tint="-0.249977111117893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theme="2" tint="-0.249977111117893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/>
      <bottom style="thin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/>
      <bottom style="thin">
        <color theme="8" tint="-0.249977111117893"/>
      </bottom>
      <diagonal/>
    </border>
    <border>
      <left style="medium">
        <color theme="2" tint="-0.249977111117893"/>
      </left>
      <right/>
      <top/>
      <bottom style="thin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8" tint="-0.249977111117893"/>
      </bottom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/>
      <bottom style="medium">
        <color theme="8" tint="-0.249977111117893"/>
      </bottom>
      <diagonal/>
    </border>
    <border>
      <left/>
      <right style="thin">
        <color theme="2" tint="-0.24994659260841701"/>
      </right>
      <top style="medium">
        <color theme="8" tint="-0.249977111117893"/>
      </top>
      <bottom/>
      <diagonal/>
    </border>
    <border>
      <left style="thin">
        <color theme="2" tint="-0.24994659260841701"/>
      </left>
      <right/>
      <top/>
      <bottom style="medium">
        <color theme="8" tint="-0.249977111117893"/>
      </bottom>
      <diagonal/>
    </border>
    <border>
      <left/>
      <right style="medium">
        <color theme="2" tint="-0.24994659260841701"/>
      </right>
      <top/>
      <bottom style="medium">
        <color theme="8" tint="-0.249977111117893"/>
      </bottom>
      <diagonal/>
    </border>
    <border>
      <left style="thin">
        <color theme="2" tint="-0.24994659260841701"/>
      </left>
      <right/>
      <top style="medium">
        <color theme="8" tint="-0.249977111117893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medium">
        <color theme="2" tint="-0.24994659260841701"/>
      </right>
      <top/>
      <bottom/>
      <diagonal/>
    </border>
    <border>
      <left style="medium">
        <color theme="2" tint="-0.249977111117893"/>
      </left>
      <right/>
      <top/>
      <bottom style="medium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8" tint="-0.249977111117893"/>
      </bottom>
      <diagonal/>
    </border>
    <border>
      <left style="medium">
        <color theme="2" tint="-0.249977111117893"/>
      </left>
      <right/>
      <top style="medium">
        <color theme="9" tint="-0.24994659260841701"/>
      </top>
      <bottom/>
      <diagonal/>
    </border>
    <border>
      <left style="thin">
        <color theme="2" tint="-0.24994659260841701"/>
      </left>
      <right/>
      <top style="medium">
        <color theme="9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9" tint="-0.24994659260841701"/>
      </bottom>
      <diagonal/>
    </border>
    <border>
      <left style="thin">
        <color theme="2" tint="-0.24994659260841701"/>
      </left>
      <right/>
      <top/>
      <bottom style="medium">
        <color theme="9" tint="-0.24994659260841701"/>
      </bottom>
      <diagonal/>
    </border>
    <border>
      <left style="thin">
        <color theme="8" tint="-0.249977111117893"/>
      </left>
      <right/>
      <top/>
      <bottom style="thin">
        <color theme="9" tint="-0.24994659260841701"/>
      </bottom>
      <diagonal/>
    </border>
    <border>
      <left style="medium">
        <color theme="2" tint="-0.249977111117893"/>
      </left>
      <right/>
      <top/>
      <bottom style="thin">
        <color theme="9" tint="-0.24994659260841701"/>
      </bottom>
      <diagonal/>
    </border>
    <border>
      <left style="thin">
        <color theme="2" tint="-0.24994659260841701"/>
      </left>
      <right/>
      <top/>
      <bottom style="thin">
        <color theme="9" tint="-0.24994659260841701"/>
      </bottom>
      <diagonal/>
    </border>
    <border>
      <left/>
      <right/>
      <top style="medium">
        <color theme="7" tint="-0.24994659260841701"/>
      </top>
      <bottom/>
      <diagonal/>
    </border>
    <border>
      <left style="medium">
        <color theme="2" tint="-0.249977111117893"/>
      </left>
      <right/>
      <top style="medium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medium">
        <color theme="7" tint="-0.24994659260841701"/>
      </top>
      <bottom/>
      <diagonal/>
    </border>
    <border>
      <left style="thin">
        <color theme="2" tint="-0.24994659260841701"/>
      </left>
      <right/>
      <top style="medium">
        <color theme="7" tint="-0.24994659260841701"/>
      </top>
      <bottom/>
      <diagonal/>
    </border>
    <border>
      <left/>
      <right style="medium">
        <color theme="2" tint="-0.249977111117893"/>
      </right>
      <top style="medium">
        <color theme="7" tint="-0.24994659260841701"/>
      </top>
      <bottom/>
      <diagonal/>
    </border>
    <border>
      <left/>
      <right/>
      <top/>
      <bottom style="medium">
        <color theme="7" tint="-0.24994659260841701"/>
      </bottom>
      <diagonal/>
    </border>
    <border>
      <left style="medium">
        <color theme="2" tint="-0.249977111117893"/>
      </left>
      <right/>
      <top/>
      <bottom style="medium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7" tint="-0.24994659260841701"/>
      </bottom>
      <diagonal/>
    </border>
    <border>
      <left style="thin">
        <color theme="2" tint="-0.24994659260841701"/>
      </left>
      <right/>
      <top/>
      <bottom style="medium">
        <color theme="7" tint="-0.24994659260841701"/>
      </bottom>
      <diagonal/>
    </border>
    <border>
      <left/>
      <right style="medium">
        <color theme="2" tint="-0.249977111117893"/>
      </right>
      <top/>
      <bottom style="medium">
        <color theme="7" tint="-0.24994659260841701"/>
      </bottom>
      <diagonal/>
    </border>
    <border>
      <left/>
      <right/>
      <top style="thin">
        <color theme="8" tint="-0.249977111117893"/>
      </top>
      <bottom/>
      <diagonal/>
    </border>
    <border>
      <left style="medium">
        <color theme="2" tint="-0.249977111117893"/>
      </left>
      <right/>
      <top style="thin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8" tint="-0.249977111117893"/>
      </top>
      <bottom/>
      <diagonal/>
    </border>
    <border>
      <left style="thin">
        <color theme="2" tint="-0.24994659260841701"/>
      </left>
      <right/>
      <top style="thin">
        <color theme="8" tint="-0.249977111117893"/>
      </top>
      <bottom/>
      <diagonal/>
    </border>
    <border>
      <left style="thin">
        <color theme="2" tint="-0.24994659260841701"/>
      </left>
      <right/>
      <top/>
      <bottom style="thin">
        <color theme="8" tint="-0.249977111117893"/>
      </bottom>
      <diagonal/>
    </border>
    <border>
      <left style="thin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 style="thin">
        <color theme="7" tint="-0.24994659260841701"/>
      </top>
      <bottom/>
      <diagonal/>
    </border>
    <border>
      <left style="medium">
        <color theme="2" tint="-0.249977111117893"/>
      </left>
      <right/>
      <top style="thin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thin">
        <color theme="7" tint="-0.24994659260841701"/>
      </top>
      <bottom/>
      <diagonal/>
    </border>
    <border>
      <left style="thin">
        <color theme="2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2" tint="-0.249977111117893"/>
      </right>
      <top style="thin">
        <color theme="7" tint="-0.24994659260841701"/>
      </top>
      <bottom/>
      <diagonal/>
    </border>
    <border>
      <left/>
      <right/>
      <top style="hair">
        <color theme="7" tint="-0.24994659260841701"/>
      </top>
      <bottom/>
      <diagonal/>
    </border>
    <border>
      <left style="medium">
        <color theme="2" tint="-0.249977111117893"/>
      </left>
      <right/>
      <top style="hair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7" tint="-0.24994659260841701"/>
      </top>
      <bottom/>
      <diagonal/>
    </border>
    <border>
      <left style="thin">
        <color theme="2" tint="-0.24994659260841701"/>
      </left>
      <right/>
      <top style="hair">
        <color theme="7" tint="-0.24994659260841701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theme="8" tint="-0.249977111117893"/>
      </top>
      <bottom/>
      <diagonal/>
    </border>
    <border>
      <left/>
      <right style="medium">
        <color rgb="FFFF0000"/>
      </right>
      <top style="thin">
        <color theme="8" tint="-0.249977111117893"/>
      </top>
      <bottom/>
      <diagonal/>
    </border>
    <border>
      <left/>
      <right style="medium">
        <color rgb="FFFF0000"/>
      </right>
      <top/>
      <bottom style="thin">
        <color theme="8" tint="-0.249977111117893"/>
      </bottom>
      <diagonal/>
    </border>
    <border>
      <left/>
      <right style="medium">
        <color rgb="FFFF0000"/>
      </right>
      <top/>
      <bottom style="medium">
        <color theme="8" tint="-0.249977111117893"/>
      </bottom>
      <diagonal/>
    </border>
    <border>
      <left/>
      <right style="medium">
        <color rgb="FFFF0000"/>
      </right>
      <top style="medium">
        <color theme="9" tint="-0.24994659260841701"/>
      </top>
      <bottom/>
      <diagonal/>
    </border>
    <border>
      <left/>
      <right style="medium">
        <color rgb="FFFF0000"/>
      </right>
      <top/>
      <bottom style="medium">
        <color theme="9" tint="-0.24994659260841701"/>
      </bottom>
      <diagonal/>
    </border>
    <border>
      <left/>
      <right style="medium">
        <color rgb="FFFF0000"/>
      </right>
      <top/>
      <bottom style="thin">
        <color theme="9" tint="-0.24994659260841701"/>
      </bottom>
      <diagonal/>
    </border>
    <border>
      <left/>
      <right style="medium">
        <color rgb="FFFF0000"/>
      </right>
      <top style="medium">
        <color theme="7" tint="-0.24994659260841701"/>
      </top>
      <bottom/>
      <diagonal/>
    </border>
    <border>
      <left/>
      <right style="medium">
        <color rgb="FFFF0000"/>
      </right>
      <top style="hair">
        <color theme="7" tint="-0.24994659260841701"/>
      </top>
      <bottom/>
      <diagonal/>
    </border>
    <border>
      <left/>
      <right style="medium">
        <color rgb="FFFF0000"/>
      </right>
      <top/>
      <bottom style="medium">
        <color theme="7" tint="-0.24994659260841701"/>
      </bottom>
      <diagonal/>
    </border>
    <border>
      <left style="thin">
        <color theme="2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theme="2" tint="-0.24994659260841701"/>
      </left>
      <right/>
      <top/>
      <bottom style="medium">
        <color theme="8" tint="-0.24994659260841701"/>
      </bottom>
      <diagonal/>
    </border>
    <border>
      <left style="thin">
        <color theme="2" tint="-0.24994659260841701"/>
      </left>
      <right/>
      <top style="thin">
        <color theme="2" tint="-0.249977111117893"/>
      </top>
      <bottom/>
      <diagonal/>
    </border>
    <border>
      <left style="thin">
        <color theme="2" tint="-0.24994659260841701"/>
      </left>
      <right/>
      <top/>
      <bottom style="thin">
        <color theme="0" tint="-0.24994659260841701"/>
      </bottom>
      <diagonal/>
    </border>
    <border>
      <left style="thin">
        <color theme="2" tint="-0.24994659260841701"/>
      </left>
      <right/>
      <top style="thin">
        <color theme="9" tint="-0.24994659260841701"/>
      </top>
      <bottom/>
      <diagonal/>
    </border>
    <border>
      <left style="thin">
        <color theme="2" tint="-0.24994659260841701"/>
      </left>
      <right/>
      <top style="medium">
        <color theme="2" tint="-0.249977111117893"/>
      </top>
      <bottom/>
      <diagonal/>
    </border>
    <border>
      <left style="thin">
        <color theme="2" tint="-0.24994659260841701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2" tint="-0.249977111117893"/>
      </right>
      <top/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 style="medium">
        <color theme="2" tint="-0.249977111117893"/>
      </left>
      <right/>
      <top/>
      <bottom style="thin">
        <color theme="8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8" tint="-0.24994659260841701"/>
      </bottom>
      <diagonal/>
    </border>
    <border>
      <left style="thin">
        <color theme="2" tint="-0.24994659260841701"/>
      </left>
      <right/>
      <top/>
      <bottom style="thin">
        <color theme="8" tint="-0.24994659260841701"/>
      </bottom>
      <diagonal/>
    </border>
    <border>
      <left/>
      <right style="medium">
        <color rgb="FFFF0000"/>
      </right>
      <top/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/>
      <diagonal/>
    </border>
    <border>
      <left/>
      <right style="medium">
        <color theme="2" tint="-0.249977111117893"/>
      </right>
      <top style="thin">
        <color theme="8" tint="-0.24994659260841701"/>
      </top>
      <bottom/>
      <diagonal/>
    </border>
    <border>
      <left style="medium">
        <color theme="2" tint="-0.249977111117893"/>
      </left>
      <right/>
      <top style="thin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thin">
        <color theme="8" tint="-0.24994659260841701"/>
      </top>
      <bottom/>
      <diagonal/>
    </border>
    <border>
      <left style="thin">
        <color theme="2" tint="-0.24994659260841701"/>
      </left>
      <right/>
      <top style="thin">
        <color theme="8" tint="-0.24994659260841701"/>
      </top>
      <bottom/>
      <diagonal/>
    </border>
    <border>
      <left/>
      <right style="medium">
        <color rgb="FFFF0000"/>
      </right>
      <top style="thin">
        <color theme="8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8" tint="-0.24994659260841701"/>
      </bottom>
      <diagonal/>
    </border>
    <border>
      <left/>
      <right style="medium">
        <color rgb="FFFF0000"/>
      </right>
      <top/>
      <bottom style="medium">
        <color theme="8" tint="-0.24994659260841701"/>
      </bottom>
      <diagonal/>
    </border>
    <border>
      <left/>
      <right/>
      <top/>
      <bottom style="thin">
        <color theme="7" tint="-0.24994659260841701"/>
      </bottom>
      <diagonal/>
    </border>
    <border>
      <left/>
      <right style="medium">
        <color theme="2" tint="-0.249977111117893"/>
      </right>
      <top/>
      <bottom style="thin">
        <color theme="7" tint="-0.24994659260841701"/>
      </bottom>
      <diagonal/>
    </border>
    <border>
      <left style="medium">
        <color theme="2" tint="-0.249977111117893"/>
      </left>
      <right/>
      <top/>
      <bottom style="thin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7" tint="-0.24994659260841701"/>
      </bottom>
      <diagonal/>
    </border>
    <border>
      <left style="thin">
        <color theme="2" tint="-0.24994659260841701"/>
      </left>
      <right/>
      <top/>
      <bottom style="thin">
        <color theme="7" tint="-0.24994659260841701"/>
      </bottom>
      <diagonal/>
    </border>
    <border>
      <left/>
      <right style="medium">
        <color rgb="FFFF0000"/>
      </right>
      <top/>
      <bottom style="thin">
        <color theme="7" tint="-0.24994659260841701"/>
      </bottom>
      <diagonal/>
    </border>
    <border>
      <left/>
      <right style="medium">
        <color rgb="FFFF0000"/>
      </right>
      <top style="thin">
        <color theme="7" tint="-0.24994659260841701"/>
      </top>
      <bottom/>
      <diagonal/>
    </border>
    <border>
      <left/>
      <right/>
      <top style="dotted">
        <color theme="7" tint="-0.24994659260841701"/>
      </top>
      <bottom/>
      <diagonal/>
    </border>
    <border>
      <left/>
      <right style="medium">
        <color theme="2" tint="-0.249977111117893"/>
      </right>
      <top style="dotted">
        <color theme="7" tint="-0.24994659260841701"/>
      </top>
      <bottom/>
      <diagonal/>
    </border>
    <border>
      <left style="medium">
        <color theme="2" tint="-0.249977111117893"/>
      </left>
      <right/>
      <top style="dotted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7" tint="-0.24994659260841701"/>
      </top>
      <bottom/>
      <diagonal/>
    </border>
    <border>
      <left style="thin">
        <color theme="2" tint="-0.24994659260841701"/>
      </left>
      <right/>
      <top style="dotted">
        <color theme="7" tint="-0.24994659260841701"/>
      </top>
      <bottom/>
      <diagonal/>
    </border>
    <border>
      <left/>
      <right style="medium">
        <color rgb="FFFF0000"/>
      </right>
      <top style="dotted">
        <color theme="7" tint="-0.24994659260841701"/>
      </top>
      <bottom/>
      <diagonal/>
    </border>
    <border>
      <left/>
      <right/>
      <top/>
      <bottom style="dotted">
        <color theme="7" tint="-0.24994659260841701"/>
      </bottom>
      <diagonal/>
    </border>
    <border>
      <left/>
      <right style="medium">
        <color theme="2" tint="-0.249977111117893"/>
      </right>
      <top/>
      <bottom style="dotted">
        <color theme="7" tint="-0.24994659260841701"/>
      </bottom>
      <diagonal/>
    </border>
    <border>
      <left style="medium">
        <color theme="2" tint="-0.249977111117893"/>
      </left>
      <right/>
      <top/>
      <bottom style="dotted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7" tint="-0.24994659260841701"/>
      </bottom>
      <diagonal/>
    </border>
    <border>
      <left style="thin">
        <color theme="2" tint="-0.24994659260841701"/>
      </left>
      <right/>
      <top/>
      <bottom style="dotted">
        <color theme="7" tint="-0.24994659260841701"/>
      </bottom>
      <diagonal/>
    </border>
    <border>
      <left/>
      <right style="medium">
        <color rgb="FFFF0000"/>
      </right>
      <top/>
      <bottom style="dotted">
        <color theme="7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2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rgb="FFFF0000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9" tint="-0.24994659260841701"/>
      </top>
      <bottom style="medium">
        <color rgb="FFFF0000"/>
      </bottom>
      <diagonal/>
    </border>
    <border>
      <left/>
      <right/>
      <top style="medium">
        <color theme="8" tint="-0.249977111117893"/>
      </top>
      <bottom style="thin">
        <color theme="8" tint="-0.249977111117893"/>
      </bottom>
      <diagonal/>
    </border>
    <border>
      <left/>
      <right/>
      <top style="dotted">
        <color theme="8" tint="-0.24994659260841701"/>
      </top>
      <bottom/>
      <diagonal/>
    </border>
    <border>
      <left style="medium">
        <color theme="2" tint="-0.249977111117893"/>
      </left>
      <right/>
      <top style="dotted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8" tint="-0.24994659260841701"/>
      </top>
      <bottom/>
      <diagonal/>
    </border>
    <border>
      <left style="thin">
        <color theme="2" tint="-0.24994659260841701"/>
      </left>
      <right/>
      <top style="dotted">
        <color theme="8" tint="-0.24994659260841701"/>
      </top>
      <bottom/>
      <diagonal/>
    </border>
    <border>
      <left/>
      <right style="medium">
        <color rgb="FFFF0000"/>
      </right>
      <top style="dotted">
        <color theme="8" tint="-0.24994659260841701"/>
      </top>
      <bottom/>
      <diagonal/>
    </border>
    <border>
      <left/>
      <right/>
      <top/>
      <bottom style="dotted">
        <color theme="8" tint="-0.24994659260841701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8" tint="-0.24994659260841701"/>
      </bottom>
      <diagonal/>
    </border>
    <border>
      <left style="thin">
        <color theme="2" tint="-0.24994659260841701"/>
      </left>
      <right/>
      <top/>
      <bottom style="dotted">
        <color theme="8" tint="-0.24994659260841701"/>
      </bottom>
      <diagonal/>
    </border>
    <border>
      <left/>
      <right style="medium">
        <color rgb="FFFF0000"/>
      </right>
      <top/>
      <bottom style="dotted">
        <color theme="8" tint="-0.24994659260841701"/>
      </bottom>
      <diagonal/>
    </border>
    <border>
      <left style="thin">
        <color theme="7" tint="-0.24994659260841701"/>
      </left>
      <right/>
      <top style="medium">
        <color theme="7" tint="-0.24994659260841701"/>
      </top>
      <bottom/>
      <diagonal/>
    </border>
    <border>
      <left style="thin">
        <color theme="7" tint="-0.24994659260841701"/>
      </left>
      <right/>
      <top/>
      <bottom/>
      <diagonal/>
    </border>
    <border>
      <left style="thin">
        <color theme="7" tint="-0.24994659260841701"/>
      </left>
      <right/>
      <top/>
      <bottom style="dotted">
        <color theme="7" tint="-0.24994659260841701"/>
      </bottom>
      <diagonal/>
    </border>
    <border>
      <left style="thin">
        <color theme="7" tint="-0.24994659260841701"/>
      </left>
      <right/>
      <top/>
      <bottom style="thin">
        <color theme="7" tint="-0.24994659260841701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  <border>
      <left style="thin">
        <color theme="7" tint="-0.24994659260841701"/>
      </left>
      <right/>
      <top/>
      <bottom style="medium">
        <color theme="7" tint="-0.24994659260841701"/>
      </bottom>
      <diagonal/>
    </border>
    <border>
      <left style="thin">
        <color theme="7" tint="-0.24994659260841701"/>
      </left>
      <right/>
      <top style="dotted">
        <color theme="7" tint="-0.24994659260841701"/>
      </top>
      <bottom/>
      <diagonal/>
    </border>
    <border>
      <left style="thin">
        <color theme="8" tint="-0.249977111117893"/>
      </left>
      <right/>
      <top style="dotted">
        <color theme="8" tint="-0.249977111117893"/>
      </top>
      <bottom/>
      <diagonal/>
    </border>
    <border>
      <left/>
      <right/>
      <top style="dotted">
        <color theme="8" tint="-0.249977111117893"/>
      </top>
      <bottom/>
      <diagonal/>
    </border>
    <border>
      <left style="medium">
        <color theme="2" tint="-0.249977111117893"/>
      </left>
      <right/>
      <top style="dotted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dotted">
        <color theme="8" tint="-0.249977111117893"/>
      </top>
      <bottom/>
      <diagonal/>
    </border>
    <border>
      <left style="thin">
        <color theme="2" tint="-0.24994659260841701"/>
      </left>
      <right/>
      <top style="dotted">
        <color theme="8" tint="-0.249977111117893"/>
      </top>
      <bottom/>
      <diagonal/>
    </border>
    <border>
      <left/>
      <right style="medium">
        <color rgb="FFFF0000"/>
      </right>
      <top style="dotted">
        <color theme="8" tint="-0.249977111117893"/>
      </top>
      <bottom/>
      <diagonal/>
    </border>
    <border>
      <left style="thin">
        <color theme="8" tint="-0.249977111117893"/>
      </left>
      <right/>
      <top/>
      <bottom style="dotted">
        <color theme="8" tint="-0.249977111117893"/>
      </bottom>
      <diagonal/>
    </border>
    <border>
      <left/>
      <right/>
      <top/>
      <bottom style="dotted">
        <color theme="8" tint="-0.249977111117893"/>
      </bottom>
      <diagonal/>
    </border>
    <border>
      <left style="medium">
        <color theme="2" tint="-0.249977111117893"/>
      </left>
      <right/>
      <top/>
      <bottom style="dotted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8" tint="-0.249977111117893"/>
      </bottom>
      <diagonal/>
    </border>
    <border>
      <left style="thin">
        <color theme="2" tint="-0.24994659260841701"/>
      </left>
      <right/>
      <top/>
      <bottom style="dotted">
        <color theme="8" tint="-0.249977111117893"/>
      </bottom>
      <diagonal/>
    </border>
    <border>
      <left/>
      <right style="medium">
        <color rgb="FFFF0000"/>
      </right>
      <top/>
      <bottom style="dotted">
        <color theme="8" tint="-0.249977111117893"/>
      </bottom>
      <diagonal/>
    </border>
    <border>
      <left/>
      <right/>
      <top style="dotted">
        <color theme="9" tint="-0.24994659260841701"/>
      </top>
      <bottom/>
      <diagonal/>
    </border>
    <border>
      <left style="medium">
        <color theme="2" tint="-0.249977111117893"/>
      </left>
      <right/>
      <top style="dotted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9" tint="-0.24994659260841701"/>
      </top>
      <bottom/>
      <diagonal/>
    </border>
    <border>
      <left style="thin">
        <color theme="2" tint="-0.24994659260841701"/>
      </left>
      <right/>
      <top style="dotted">
        <color theme="9" tint="-0.24994659260841701"/>
      </top>
      <bottom/>
      <diagonal/>
    </border>
    <border>
      <left/>
      <right style="medium">
        <color rgb="FFFF0000"/>
      </right>
      <top style="dotted">
        <color theme="9" tint="-0.24994659260841701"/>
      </top>
      <bottom/>
      <diagonal/>
    </border>
    <border>
      <left/>
      <right/>
      <top/>
      <bottom style="dotted">
        <color theme="9" tint="-0.24994659260841701"/>
      </bottom>
      <diagonal/>
    </border>
    <border>
      <left style="medium">
        <color theme="2" tint="-0.249977111117893"/>
      </left>
      <right/>
      <top/>
      <bottom style="dotted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9" tint="-0.24994659260841701"/>
      </bottom>
      <diagonal/>
    </border>
    <border>
      <left style="thin">
        <color theme="2" tint="-0.24994659260841701"/>
      </left>
      <right/>
      <top/>
      <bottom style="dotted">
        <color theme="9" tint="-0.24994659260841701"/>
      </bottom>
      <diagonal/>
    </border>
    <border>
      <left/>
      <right style="medium">
        <color rgb="FFFF0000"/>
      </right>
      <top/>
      <bottom style="dotted">
        <color theme="9" tint="-0.24994659260841701"/>
      </bottom>
      <diagonal/>
    </border>
    <border>
      <left style="thin">
        <color theme="9" tint="-0.24994659260841701"/>
      </left>
      <right/>
      <top style="dotted">
        <color theme="9" tint="-0.24994659260841701"/>
      </top>
      <bottom/>
      <diagonal/>
    </border>
    <border>
      <left style="thin">
        <color theme="9" tint="-0.24994659260841701"/>
      </left>
      <right/>
      <top/>
      <bottom style="dotted">
        <color theme="9" tint="-0.24994659260841701"/>
      </bottom>
      <diagonal/>
    </border>
    <border>
      <left style="medium">
        <color theme="2" tint="-0.249977111117893"/>
      </left>
      <right/>
      <top style="thin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FF0000"/>
      </left>
      <right/>
      <top style="medium">
        <color theme="8" tint="-0.249977111117893"/>
      </top>
      <bottom/>
      <diagonal/>
    </border>
    <border>
      <left style="medium">
        <color rgb="FFFF0000"/>
      </left>
      <right/>
      <top style="thin">
        <color theme="8" tint="-0.249977111117893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theme="7" tint="-0.24994659260841701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 style="thin">
        <color theme="0" tint="-0.24994659260841701"/>
      </left>
      <right/>
      <top/>
      <bottom style="medium">
        <color theme="7" tint="-0.24994659260841701"/>
      </bottom>
      <diagonal/>
    </border>
    <border>
      <left style="medium">
        <color theme="7" tint="-0.24994659260841701"/>
      </left>
      <right style="thin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 style="thin">
        <color theme="7" tint="-0.24994659260841701"/>
      </right>
      <top/>
      <bottom/>
      <diagonal/>
    </border>
    <border>
      <left style="medium">
        <color theme="7" tint="-0.24994659260841701"/>
      </left>
      <right style="thin">
        <color theme="7" tint="-0.24994659260841701"/>
      </right>
      <top/>
      <bottom style="medium">
        <color theme="7" tint="-0.2499465926084170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theme="2" tint="-0.24994659260841701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rgb="FFFF0000"/>
      </bottom>
      <diagonal/>
    </border>
    <border>
      <left style="thin">
        <color theme="2" tint="-0.24994659260841701"/>
      </left>
      <right style="medium">
        <color rgb="FFFF0000"/>
      </right>
      <top style="medium">
        <color theme="7" tint="-0.24994659260841701"/>
      </top>
      <bottom/>
      <diagonal/>
    </border>
    <border>
      <left style="thin">
        <color theme="2" tint="-0.24994659260841701"/>
      </left>
      <right style="medium">
        <color rgb="FFFF0000"/>
      </right>
      <top style="thin">
        <color theme="7" tint="-0.24994659260841701"/>
      </top>
      <bottom/>
      <diagonal/>
    </border>
    <border>
      <left style="thin">
        <color theme="2" tint="-0.24994659260841701"/>
      </left>
      <right style="medium">
        <color rgb="FFFF0000"/>
      </right>
      <top/>
      <bottom style="thin">
        <color theme="7" tint="-0.24994659260841701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theme="7" tint="-0.24994659260841701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/>
      <bottom/>
      <diagonal/>
    </border>
    <border>
      <left style="medium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8" tint="-0.249977111117893"/>
      </bottom>
      <diagonal/>
    </border>
    <border>
      <left style="medium">
        <color rgb="FFFF0000"/>
      </left>
      <right/>
      <top/>
      <bottom style="medium">
        <color theme="8" tint="-0.249977111117893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theme="8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medium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 style="thin">
        <color theme="2" tint="-0.24994659260841701"/>
      </right>
      <top style="thin">
        <color theme="8" tint="-0.249977111117893"/>
      </top>
      <bottom/>
      <diagonal/>
    </border>
    <border>
      <left/>
      <right style="thin">
        <color theme="2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2" tint="-0.24994659260841701"/>
      </right>
      <top/>
      <bottom style="thin">
        <color theme="8" tint="-0.249977111117893"/>
      </bottom>
      <diagonal/>
    </border>
    <border>
      <left/>
      <right style="thin">
        <color theme="2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/>
      <right style="medium">
        <color theme="8" tint="-0.249977111117893"/>
      </right>
      <top/>
      <bottom/>
      <diagonal/>
    </border>
    <border>
      <left/>
      <right style="medium">
        <color theme="8" tint="-0.249977111117893"/>
      </right>
      <top style="thin">
        <color theme="8" tint="-0.249977111117893"/>
      </top>
      <bottom/>
      <diagonal/>
    </border>
    <border>
      <left/>
      <right style="medium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 style="medium">
        <color theme="8" tint="-0.249977111117893"/>
      </bottom>
      <diagonal/>
    </border>
    <border>
      <left/>
      <right style="thin">
        <color theme="2" tint="-0.249977111117893"/>
      </right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/>
      <top style="medium">
        <color rgb="FFFF0000"/>
      </top>
      <bottom style="medium">
        <color theme="8" tint="-0.249977111117893"/>
      </bottom>
      <diagonal/>
    </border>
    <border>
      <left/>
      <right style="medium">
        <color rgb="FFFF0000"/>
      </right>
      <top style="medium">
        <color rgb="FFFF0000"/>
      </top>
      <bottom style="medium">
        <color theme="8" tint="-0.249977111117893"/>
      </bottom>
      <diagonal/>
    </border>
    <border>
      <left style="thin">
        <color theme="2" tint="-0.249977111117893"/>
      </left>
      <right/>
      <top/>
      <bottom style="medium">
        <color theme="8" tint="-0.249977111117893"/>
      </bottom>
      <diagonal/>
    </border>
    <border>
      <left style="thin">
        <color theme="2" tint="-0.249977111117893"/>
      </left>
      <right/>
      <top style="medium">
        <color theme="8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theme="8" tint="-0.249977111117893"/>
      </top>
      <bottom/>
      <diagonal/>
    </border>
    <border>
      <left style="thin">
        <color theme="2" tint="-0.249977111117893"/>
      </left>
      <right/>
      <top/>
      <bottom style="thin">
        <color theme="8" tint="-0.249977111117893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/>
      <bottom/>
      <diagonal/>
    </border>
    <border>
      <left/>
      <right style="medium">
        <color theme="7" tint="-0.24994659260841701"/>
      </right>
      <top style="dotted">
        <color theme="7" tint="-0.24994659260841701"/>
      </top>
      <bottom/>
      <diagonal/>
    </border>
    <border>
      <left style="medium">
        <color theme="7" tint="-0.24994659260841701"/>
      </left>
      <right/>
      <top/>
      <bottom style="thin">
        <color theme="7" tint="-0.24994659260841701"/>
      </bottom>
      <diagonal/>
    </border>
    <border>
      <left/>
      <right style="medium">
        <color theme="7" tint="-0.24994659260841701"/>
      </right>
      <top/>
      <bottom style="thin">
        <color theme="7" tint="-0.24994659260841701"/>
      </bottom>
      <diagonal/>
    </border>
    <border>
      <left style="medium">
        <color theme="7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7" tint="-0.24994659260841701"/>
      </right>
      <top style="thin">
        <color theme="7" tint="-0.24994659260841701"/>
      </top>
      <bottom/>
      <diagonal/>
    </border>
    <border>
      <left style="medium">
        <color theme="7" tint="-0.24994659260841701"/>
      </left>
      <right/>
      <top style="dotted">
        <color theme="7" tint="-0.24994659260841701"/>
      </top>
      <bottom/>
      <diagonal/>
    </border>
    <border>
      <left style="medium">
        <color theme="7" tint="-0.24994659260841701"/>
      </left>
      <right/>
      <top/>
      <bottom style="dotted">
        <color theme="7" tint="-0.24994659260841701"/>
      </bottom>
      <diagonal/>
    </border>
    <border>
      <left/>
      <right style="medium">
        <color theme="7" tint="-0.24994659260841701"/>
      </right>
      <top/>
      <bottom style="dotted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 style="medium">
        <color theme="2" tint="-0.249977111117893"/>
      </left>
      <right/>
      <top style="medium">
        <color theme="8" tint="-0.24994659260841701"/>
      </top>
      <bottom/>
      <diagonal/>
    </border>
    <border>
      <left style="thin">
        <color theme="2" tint="-0.24994659260841701"/>
      </left>
      <right/>
      <top style="medium">
        <color theme="8" tint="-0.24994659260841701"/>
      </top>
      <bottom/>
      <diagonal/>
    </border>
    <border>
      <left/>
      <right style="medium">
        <color rgb="FFFF0000"/>
      </right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/>
      <top/>
      <bottom style="thin">
        <color theme="8" tint="-0.24994659260841701"/>
      </bottom>
      <diagonal/>
    </border>
    <border>
      <left/>
      <right style="medium">
        <color theme="8" tint="-0.24994659260841701"/>
      </right>
      <top/>
      <bottom style="thin">
        <color theme="8" tint="-0.24994659260841701"/>
      </bottom>
      <diagonal/>
    </border>
    <border>
      <left style="medium">
        <color theme="8" tint="-0.24994659260841701"/>
      </left>
      <right/>
      <top style="thin">
        <color theme="8" tint="-0.24994659260841701"/>
      </top>
      <bottom/>
      <diagonal/>
    </border>
    <border>
      <left/>
      <right style="medium">
        <color theme="8" tint="-0.24994659260841701"/>
      </right>
      <top style="thin">
        <color theme="8" tint="-0.24994659260841701"/>
      </top>
      <bottom/>
      <diagonal/>
    </border>
    <border>
      <left style="medium">
        <color theme="8" tint="-0.24994659260841701"/>
      </left>
      <right/>
      <top/>
      <bottom style="medium">
        <color theme="8" tint="-0.24994659260841701"/>
      </bottom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 style="dotted">
        <color theme="8" tint="-0.24994659260841701"/>
      </top>
      <bottom/>
      <diagonal/>
    </border>
    <border>
      <left/>
      <right style="medium">
        <color theme="8" tint="-0.249977111117893"/>
      </right>
      <top/>
      <bottom style="dotted">
        <color theme="8" tint="-0.24994659260841701"/>
      </bottom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theme="8" tint="-0.249977111117893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 style="thin">
        <color theme="9" tint="-0.24994659260841701"/>
      </right>
      <top/>
      <bottom/>
      <diagonal/>
    </border>
    <border>
      <left style="medium">
        <color theme="9" tint="-0.24994659260841701"/>
      </left>
      <right style="thin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7" tint="-0.24994659260841701"/>
      </right>
      <top style="hair">
        <color theme="7" tint="-0.24994659260841701"/>
      </top>
      <bottom/>
      <diagonal/>
    </border>
    <border>
      <left style="medium">
        <color theme="8" tint="-0.249977111117893"/>
      </left>
      <right/>
      <top/>
      <bottom style="thin">
        <color theme="8" tint="-0.249977111117893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/>
      <right style="medium">
        <color theme="9" tint="-0.24994659260841701"/>
      </right>
      <top style="thin">
        <color theme="2" tint="-0.249977111117893"/>
      </top>
      <bottom/>
      <diagonal/>
    </border>
    <border>
      <left/>
      <right style="medium">
        <color theme="9" tint="-0.24994659260841701"/>
      </right>
      <top/>
      <bottom style="thin">
        <color theme="0" tint="-0.24994659260841701"/>
      </bottom>
      <diagonal/>
    </border>
    <border>
      <left/>
      <right style="medium">
        <color theme="9" tint="-0.24994659260841701"/>
      </right>
      <top style="medium">
        <color theme="2" tint="-0.249977111117893"/>
      </top>
      <bottom/>
      <diagonal/>
    </border>
    <border>
      <left/>
      <right style="medium">
        <color theme="9" tint="-0.24994659260841701"/>
      </right>
      <top/>
      <bottom style="medium">
        <color theme="2" tint="-0.249977111117893"/>
      </bottom>
      <diagonal/>
    </border>
    <border>
      <left/>
      <right style="thin">
        <color theme="2" tint="-0.24994659260841701"/>
      </right>
      <top style="medium">
        <color theme="7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7" tint="-0.24994659260841701"/>
      </bottom>
      <diagonal/>
    </border>
    <border>
      <left style="thin">
        <color theme="2" tint="-0.249977111117893"/>
      </left>
      <right/>
      <top style="thin">
        <color theme="7" tint="-0.24994659260841701"/>
      </top>
      <bottom/>
      <diagonal/>
    </border>
    <border>
      <left/>
      <right style="thin">
        <color theme="2" tint="-0.24994659260841701"/>
      </right>
      <top style="thin">
        <color theme="7" tint="-0.24994659260841701"/>
      </top>
      <bottom/>
      <diagonal/>
    </border>
    <border>
      <left style="thin">
        <color theme="2" tint="-0.249977111117893"/>
      </left>
      <right/>
      <top/>
      <bottom style="thin">
        <color theme="7" tint="-0.24994659260841701"/>
      </bottom>
      <diagonal/>
    </border>
    <border>
      <left/>
      <right style="medium">
        <color theme="8" tint="-0.249977111117893"/>
      </right>
      <top style="dotted">
        <color theme="8" tint="-0.249977111117893"/>
      </top>
      <bottom/>
      <diagonal/>
    </border>
    <border>
      <left/>
      <right style="medium">
        <color theme="8" tint="-0.249977111117893"/>
      </right>
      <top/>
      <bottom style="dotted">
        <color theme="8" tint="-0.249977111117893"/>
      </bottom>
      <diagonal/>
    </border>
    <border>
      <left/>
      <right style="medium">
        <color theme="9" tint="-0.24994659260841701"/>
      </right>
      <top style="dotted">
        <color theme="9" tint="-0.24994659260841701"/>
      </top>
      <bottom/>
      <diagonal/>
    </border>
    <border>
      <left/>
      <right style="medium">
        <color theme="9" tint="-0.24994659260841701"/>
      </right>
      <top/>
      <bottom style="dotted">
        <color theme="9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/>
      <top style="hair">
        <color theme="8" tint="-0.24994659260841701"/>
      </top>
      <bottom/>
      <diagonal/>
    </border>
    <border>
      <left/>
      <right/>
      <top style="hair">
        <color theme="8" tint="-0.24994659260841701"/>
      </top>
      <bottom/>
      <diagonal/>
    </border>
    <border>
      <left style="medium">
        <color theme="2" tint="-0.249977111117893"/>
      </left>
      <right/>
      <top style="hair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8" tint="-0.24994659260841701"/>
      </top>
      <bottom/>
      <diagonal/>
    </border>
    <border>
      <left style="thin">
        <color theme="2" tint="-0.24994659260841701"/>
      </left>
      <right/>
      <top style="hair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medium">
        <color theme="8" tint="-0.24994659260841701"/>
      </bottom>
      <diagonal/>
    </border>
    <border>
      <left style="thin">
        <color theme="9" tint="-0.24994659260841701"/>
      </left>
      <right/>
      <top/>
      <bottom style="hair">
        <color theme="9" tint="-0.24994659260841701"/>
      </bottom>
      <diagonal/>
    </border>
    <border>
      <left/>
      <right/>
      <top/>
      <bottom style="hair">
        <color theme="9" tint="-0.24994659260841701"/>
      </bottom>
      <diagonal/>
    </border>
    <border>
      <left style="medium">
        <color theme="2" tint="-0.249977111117893"/>
      </left>
      <right/>
      <top/>
      <bottom style="hair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hair">
        <color theme="9" tint="-0.24994659260841701"/>
      </bottom>
      <diagonal/>
    </border>
    <border>
      <left style="thin">
        <color theme="2" tint="-0.24994659260841701"/>
      </left>
      <right/>
      <top/>
      <bottom style="hair">
        <color theme="9" tint="-0.24994659260841701"/>
      </bottom>
      <diagonal/>
    </border>
    <border>
      <left/>
      <right style="medium">
        <color rgb="FFFF0000"/>
      </right>
      <top/>
      <bottom style="hair">
        <color theme="9" tint="-0.24994659260841701"/>
      </bottom>
      <diagonal/>
    </border>
    <border>
      <left style="thin">
        <color theme="8" tint="-0.24994659260841701"/>
      </left>
      <right/>
      <top/>
      <bottom style="hair">
        <color theme="8" tint="-0.24994659260841701"/>
      </bottom>
      <diagonal/>
    </border>
    <border>
      <left style="thin">
        <color theme="8" tint="-0.24994659260841701"/>
      </left>
      <right/>
      <top style="medium">
        <color theme="8" tint="-0.24994659260841701"/>
      </top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medium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9" tint="-0.24994659260841701"/>
      </left>
      <right/>
      <top style="hair">
        <color theme="9" tint="-0.24994659260841701"/>
      </top>
      <bottom/>
      <diagonal/>
    </border>
    <border>
      <left/>
      <right/>
      <top style="hair">
        <color theme="9" tint="-0.24994659260841701"/>
      </top>
      <bottom/>
      <diagonal/>
    </border>
    <border>
      <left style="medium">
        <color theme="2" tint="-0.249977111117893"/>
      </left>
      <right/>
      <top style="hair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9" tint="-0.24994659260841701"/>
      </top>
      <bottom/>
      <diagonal/>
    </border>
    <border>
      <left style="thin">
        <color theme="2" tint="-0.24994659260841701"/>
      </left>
      <right/>
      <top style="hair">
        <color theme="9" tint="-0.24994659260841701"/>
      </top>
      <bottom/>
      <diagonal/>
    </border>
    <border>
      <left/>
      <right style="medium">
        <color rgb="FFFF0000"/>
      </right>
      <top style="hair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2" tint="-0.249977111117893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2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rgb="FFFF0000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1" tint="0.499984740745262"/>
      </left>
      <right/>
      <top style="medium">
        <color theme="8" tint="-0.249977111117893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 style="thin">
        <color theme="8" tint="-0.249977111117893"/>
      </top>
      <bottom/>
      <diagonal/>
    </border>
    <border>
      <left style="medium">
        <color theme="1" tint="0.499984740745262"/>
      </left>
      <right/>
      <top/>
      <bottom style="thin">
        <color theme="8" tint="-0.249977111117893"/>
      </bottom>
      <diagonal/>
    </border>
    <border>
      <left style="medium">
        <color theme="1" tint="0.499984740745262"/>
      </left>
      <right/>
      <top/>
      <bottom style="medium">
        <color theme="8" tint="-0.249977111117893"/>
      </bottom>
      <diagonal/>
    </border>
    <border>
      <left style="medium">
        <color theme="8" tint="-0.24994659260841701"/>
      </left>
      <right/>
      <top style="medium">
        <color theme="8" tint="-0.249977111117893"/>
      </top>
      <bottom/>
      <diagonal/>
    </border>
    <border>
      <left style="medium">
        <color theme="8" tint="-0.24994659260841701"/>
      </left>
      <right/>
      <top style="thin">
        <color theme="8" tint="-0.249977111117893"/>
      </top>
      <bottom/>
      <diagonal/>
    </border>
    <border>
      <left style="medium">
        <color theme="8" tint="-0.24994659260841701"/>
      </left>
      <right/>
      <top/>
      <bottom style="thin">
        <color theme="8" tint="-0.249977111117893"/>
      </bottom>
      <diagonal/>
    </border>
    <border>
      <left style="medium">
        <color theme="8" tint="-0.24994659260841701"/>
      </left>
      <right/>
      <top/>
      <bottom style="medium">
        <color theme="8" tint="-0.249977111117893"/>
      </bottom>
      <diagonal/>
    </border>
    <border>
      <left/>
      <right style="medium">
        <color theme="1" tint="0.499984740745262"/>
      </right>
      <top style="thin">
        <color theme="8" tint="-0.249977111117893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8" tint="-0.249977111117893"/>
      </bottom>
      <diagonal/>
    </border>
    <border>
      <left/>
      <right style="medium">
        <color theme="2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 style="medium">
        <color theme="8" tint="-0.249977111117893"/>
      </top>
      <bottom/>
      <diagonal/>
    </border>
    <border>
      <left/>
      <right style="thin">
        <color theme="2" tint="-0.24994659260841701"/>
      </right>
      <top style="medium">
        <color theme="9" tint="-0.24994659260841701"/>
      </top>
      <bottom/>
      <diagonal/>
    </border>
    <border>
      <left/>
      <right style="thin">
        <color theme="2" tint="-0.24994659260841701"/>
      </right>
      <top/>
      <bottom style="medium">
        <color theme="9" tint="-0.24994659260841701"/>
      </bottom>
      <diagonal/>
    </border>
    <border>
      <left/>
      <right style="medium">
        <color theme="2" tint="-0.249977111117893"/>
      </right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/>
      <diagonal/>
    </border>
    <border>
      <left style="medium">
        <color theme="2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theme="0" tint="-0.24994659260841701"/>
      </left>
      <right/>
      <top/>
      <bottom style="medium">
        <color theme="8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2" tint="-0.249977111117893"/>
      </right>
      <top style="dotted">
        <color theme="9" tint="-0.24994659260841701"/>
      </top>
      <bottom/>
      <diagonal/>
    </border>
    <border>
      <left/>
      <right style="medium">
        <color theme="2" tint="-0.249977111117893"/>
      </right>
      <top/>
      <bottom style="medium">
        <color theme="9" tint="-0.24994659260841701"/>
      </bottom>
      <diagonal/>
    </border>
    <border>
      <left style="thin">
        <color theme="8" tint="-0.249977111117893"/>
      </left>
      <right/>
      <top style="dotted">
        <color theme="8" tint="-0.24994659260841701"/>
      </top>
      <bottom/>
      <diagonal/>
    </border>
    <border>
      <left/>
      <right style="medium">
        <color theme="2" tint="-0.249977111117893"/>
      </right>
      <top style="dotted">
        <color theme="8" tint="-0.24994659260841701"/>
      </top>
      <bottom/>
      <diagonal/>
    </border>
    <border>
      <left/>
      <right style="thin">
        <color theme="8" tint="-0.24994659260841701"/>
      </right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medium">
        <color theme="2" tint="-0.249977111117893"/>
      </left>
      <right/>
      <top style="hair">
        <color theme="0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0" tint="-0.24994659260841701"/>
      </top>
      <bottom/>
      <diagonal/>
    </border>
    <border>
      <left style="thin">
        <color theme="2" tint="-0.24994659260841701"/>
      </left>
      <right/>
      <top style="hair">
        <color theme="0" tint="-0.24994659260841701"/>
      </top>
      <bottom/>
      <diagonal/>
    </border>
    <border>
      <left/>
      <right style="medium">
        <color rgb="FFFF0000"/>
      </right>
      <top style="hair">
        <color theme="0" tint="-0.24994659260841701"/>
      </top>
      <bottom/>
      <diagonal/>
    </border>
    <border>
      <left style="thin">
        <color theme="8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medium">
        <color theme="2" tint="-0.249977111117893"/>
      </left>
      <right/>
      <top/>
      <bottom style="hair">
        <color theme="0" tint="-0.24994659260841701"/>
      </bottom>
      <diagonal/>
    </border>
    <border>
      <left style="medium">
        <color rgb="FFFF0000"/>
      </left>
      <right style="medium">
        <color rgb="FFFF0000"/>
      </right>
      <top/>
      <bottom style="hair">
        <color theme="0" tint="-0.24994659260841701"/>
      </bottom>
      <diagonal/>
    </border>
    <border>
      <left style="thin">
        <color theme="2" tint="-0.24994659260841701"/>
      </left>
      <right/>
      <top/>
      <bottom style="hair">
        <color theme="0" tint="-0.24994659260841701"/>
      </bottom>
      <diagonal/>
    </border>
    <border>
      <left/>
      <right style="medium">
        <color rgb="FFFF0000"/>
      </right>
      <top/>
      <bottom style="hair">
        <color theme="0" tint="-0.24994659260841701"/>
      </bottom>
      <diagonal/>
    </border>
    <border>
      <left style="thin">
        <color theme="8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2" tint="-0.249977111117893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2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rgb="FFFF0000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2" tint="-0.249977111117893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medium">
        <color theme="9"/>
      </top>
      <bottom/>
      <diagonal/>
    </border>
    <border>
      <left/>
      <right/>
      <top style="medium">
        <color theme="2" tint="-0.24994659260841701"/>
      </top>
      <bottom/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medium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/>
      <bottom style="medium">
        <color theme="2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theme="2" tint="-0.24994659260841701"/>
      </bottom>
      <diagonal/>
    </border>
    <border>
      <left style="thin">
        <color theme="2" tint="-0.24994659260841701"/>
      </left>
      <right/>
      <top/>
      <bottom style="medium">
        <color theme="2" tint="-0.24994659260841701"/>
      </bottom>
      <diagonal/>
    </border>
    <border>
      <left/>
      <right style="medium">
        <color theme="2" tint="-0.249977111117893"/>
      </right>
      <top/>
      <bottom style="medium">
        <color theme="2" tint="-0.24994659260841701"/>
      </bottom>
      <diagonal/>
    </border>
    <border>
      <left style="thin">
        <color theme="2" tint="-0.249977111117893"/>
      </left>
      <right/>
      <top style="medium">
        <color theme="7" tint="-0.24994659260841701"/>
      </top>
      <bottom/>
      <diagonal/>
    </border>
    <border>
      <left/>
      <right/>
      <top/>
      <bottom style="thin">
        <color theme="4"/>
      </bottom>
      <diagonal/>
    </border>
    <border>
      <left style="medium">
        <color rgb="FFFF0000"/>
      </left>
      <right/>
      <top style="medium">
        <color theme="9" tint="-0.24994659260841701"/>
      </top>
      <bottom/>
      <diagonal/>
    </border>
    <border>
      <left style="medium">
        <color rgb="FFFF0000"/>
      </left>
      <right/>
      <top/>
      <bottom style="medium">
        <color theme="9" tint="-0.24994659260841701"/>
      </bottom>
      <diagonal/>
    </border>
    <border>
      <left style="thin">
        <color theme="0" tint="-0.499984740745262"/>
      </left>
      <right/>
      <top style="medium">
        <color rgb="FFFF0000"/>
      </top>
      <bottom/>
      <diagonal/>
    </border>
    <border>
      <left/>
      <right style="thin">
        <color theme="0" tint="-0.499984740745262"/>
      </right>
      <top style="medium">
        <color rgb="FFFF0000"/>
      </top>
      <bottom/>
      <diagonal/>
    </border>
    <border>
      <left style="thin">
        <color theme="2" tint="-0.24994659260841701"/>
      </left>
      <right style="thin">
        <color theme="0" tint="-0.499984740745262"/>
      </right>
      <top style="medium">
        <color theme="8" tint="-0.249977111117893"/>
      </top>
      <bottom/>
      <diagonal/>
    </border>
    <border>
      <left style="thin">
        <color theme="0" tint="-0.499984740745262"/>
      </left>
      <right/>
      <top style="thin">
        <color theme="8" tint="-0.249977111117893"/>
      </top>
      <bottom/>
      <diagonal/>
    </border>
    <border>
      <left style="thin">
        <color theme="2" tint="-0.24994659260841701"/>
      </left>
      <right style="thin">
        <color theme="0" tint="-0.499984740745262"/>
      </right>
      <top style="thin">
        <color theme="8" tint="-0.249977111117893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2" tint="-0.2499465926084170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medium">
        <color theme="8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theme="8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rgb="FFFF0000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rgb="FFFF0000"/>
      </right>
      <top style="thin">
        <color theme="9" tint="-0.24994659260841701"/>
      </top>
      <bottom/>
      <diagonal/>
    </border>
    <border>
      <left/>
      <right style="medium">
        <color theme="0" tint="-0.34998626667073579"/>
      </right>
      <top style="dotted">
        <color theme="8" tint="-0.24994659260841701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/>
      <bottom style="dotted">
        <color theme="8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dotted">
        <color theme="8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dotted">
        <color theme="8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medium">
        <color theme="8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medium">
        <color theme="8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n">
        <color theme="8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8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medium">
        <color theme="8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 style="medium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dotted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n">
        <color theme="7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dotted">
        <color theme="7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medium">
        <color theme="7" tint="-0.24994659260841701"/>
      </bottom>
      <diagonal/>
    </border>
    <border>
      <left/>
      <right style="thick">
        <color theme="0" tint="-0.499984740745262"/>
      </right>
      <top/>
      <bottom style="medium">
        <color theme="7" tint="-0.24994659260841701"/>
      </bottom>
      <diagonal/>
    </border>
    <border>
      <left/>
      <right style="thick">
        <color theme="0" tint="-0.499984740745262"/>
      </right>
      <top style="dotted">
        <color theme="7" tint="-0.24994659260841701"/>
      </top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thick">
        <color theme="0" tint="-0.499984740745262"/>
      </right>
      <top/>
      <bottom style="dotted">
        <color theme="7" tint="-0.24994659260841701"/>
      </bottom>
      <diagonal/>
    </border>
    <border>
      <left/>
      <right style="thick">
        <color theme="0" tint="-0.499984740745262"/>
      </right>
      <top/>
      <bottom style="thin">
        <color theme="7" tint="-0.24994659260841701"/>
      </bottom>
      <diagonal/>
    </border>
    <border>
      <left/>
      <right style="thick">
        <color theme="0" tint="-0.499984740745262"/>
      </right>
      <top style="thin">
        <color theme="7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thick">
        <color theme="0" tint="-0.499984740745262"/>
      </right>
      <top/>
      <bottom style="medium">
        <color theme="8"/>
      </bottom>
      <diagonal/>
    </border>
    <border>
      <left style="medium">
        <color theme="0" tint="-0.34998626667073579"/>
      </left>
      <right/>
      <top style="dotted">
        <color theme="8"/>
      </top>
      <bottom/>
      <diagonal/>
    </border>
    <border>
      <left/>
      <right/>
      <top style="dotted">
        <color theme="8"/>
      </top>
      <bottom/>
      <diagonal/>
    </border>
    <border>
      <left/>
      <right style="thick">
        <color theme="0" tint="-0.499984740745262"/>
      </right>
      <top style="dotted">
        <color theme="8"/>
      </top>
      <bottom/>
      <diagonal/>
    </border>
    <border>
      <left style="medium">
        <color theme="2" tint="-0.249977111117893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thick">
        <color theme="0" tint="-0.499984740745262"/>
      </right>
      <top style="medium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ck">
        <color theme="0" tint="-0.499984740745262"/>
      </right>
      <top style="medium">
        <color theme="7" tint="-0.24994659260841701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 style="dotted">
        <color theme="8"/>
      </top>
      <bottom/>
      <diagonal/>
    </border>
    <border>
      <left style="thick">
        <color theme="0" tint="-0.499984740745262"/>
      </left>
      <right/>
      <top/>
      <bottom style="medium">
        <color theme="8"/>
      </bottom>
      <diagonal/>
    </border>
    <border>
      <left style="thick">
        <color theme="0" tint="-0.499984740745262"/>
      </left>
      <right/>
      <top style="medium">
        <color theme="8"/>
      </top>
      <bottom/>
      <diagonal/>
    </border>
    <border>
      <left style="thick">
        <color theme="0" tint="-0.499984740745262"/>
      </left>
      <right/>
      <top style="thin">
        <color theme="8"/>
      </top>
      <bottom/>
      <diagonal/>
    </border>
    <border>
      <left style="thick">
        <color theme="0" tint="-0.499984740745262"/>
      </left>
      <right/>
      <top style="medium">
        <color theme="7" tint="-0.24994659260841701"/>
      </top>
      <bottom/>
      <diagonal/>
    </border>
    <border>
      <left style="thick">
        <color theme="0" tint="-0.499984740745262"/>
      </left>
      <right/>
      <top style="dotted">
        <color theme="7" tint="-0.24994659260841701"/>
      </top>
      <bottom/>
      <diagonal/>
    </border>
    <border>
      <left style="thick">
        <color theme="0" tint="-0.499984740745262"/>
      </left>
      <right/>
      <top/>
      <bottom style="thin">
        <color theme="7" tint="-0.24994659260841701"/>
      </bottom>
      <diagonal/>
    </border>
    <border>
      <left style="thick">
        <color theme="0" tint="-0.499984740745262"/>
      </left>
      <right/>
      <top style="thin">
        <color theme="7" tint="-0.24994659260841701"/>
      </top>
      <bottom/>
      <diagonal/>
    </border>
    <border>
      <left style="thick">
        <color theme="0" tint="-0.499984740745262"/>
      </left>
      <right/>
      <top/>
      <bottom style="dotted">
        <color theme="7" tint="-0.24994659260841701"/>
      </bottom>
      <diagonal/>
    </border>
    <border>
      <left style="thick">
        <color theme="0" tint="-0.499984740745262"/>
      </left>
      <right/>
      <top/>
      <bottom style="medium">
        <color theme="7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 style="medium">
        <color theme="8"/>
      </top>
      <bottom/>
      <diagonal/>
    </border>
    <border>
      <left/>
      <right/>
      <top style="medium">
        <color theme="8" tint="-0.24994659260841701"/>
      </top>
      <bottom style="medium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/>
      <top/>
      <bottom style="thick">
        <color theme="0" tint="-0.499984740745262"/>
      </bottom>
      <diagonal/>
    </border>
    <border>
      <left style="thin">
        <color theme="0" tint="-0.34998626667073579"/>
      </left>
      <right/>
      <top/>
      <bottom style="medium">
        <color theme="8" tint="-0.249977111117893"/>
      </bottom>
      <diagonal/>
    </border>
    <border>
      <left style="thin">
        <color theme="0" tint="-0.34998626667073579"/>
      </left>
      <right/>
      <top style="medium">
        <color theme="8" tint="-0.249977111117893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/>
      <top style="medium">
        <color theme="0" tint="-0.34998626667073579"/>
      </top>
      <bottom style="medium">
        <color theme="8" tint="-0.249977111117893"/>
      </bottom>
      <diagonal/>
    </border>
    <border>
      <left style="medium">
        <color rgb="FFFF0000"/>
      </left>
      <right/>
      <top style="medium">
        <color theme="7" tint="-0.24994659260841701"/>
      </top>
      <bottom/>
      <diagonal/>
    </border>
    <border>
      <left style="medium">
        <color rgb="FFFF0000"/>
      </left>
      <right/>
      <top style="thin">
        <color theme="7" tint="-0.24994659260841701"/>
      </top>
      <bottom/>
      <diagonal/>
    </border>
    <border>
      <left style="medium">
        <color rgb="FFFF0000"/>
      </left>
      <right/>
      <top/>
      <bottom style="thin">
        <color theme="7" tint="-0.24994659260841701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medium">
        <color theme="7" tint="-0.24994659260841701"/>
      </top>
      <bottom style="thin">
        <color theme="7" tint="-0.24994659260841701"/>
      </bottom>
      <diagonal/>
    </border>
    <border>
      <left style="medium">
        <color rgb="FFFF0000"/>
      </left>
      <right/>
      <top style="medium">
        <color rgb="FFFF0000"/>
      </top>
      <bottom style="medium">
        <color theme="7" tint="-0.249946592608417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7" tint="-0.2499465926084170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theme="8" tint="-0.249977111117893"/>
      </bottom>
      <diagonal/>
    </border>
    <border>
      <left style="medium">
        <color rgb="FFFF0000"/>
      </left>
      <right/>
      <top/>
      <bottom style="thin">
        <color theme="8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2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8" tint="-0.249977111117893"/>
      </bottom>
      <diagonal/>
    </border>
    <border>
      <left/>
      <right style="medium">
        <color theme="0" tint="-0.34998626667073579"/>
      </right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8" tint="-0.24994659260841701"/>
      </bottom>
      <diagonal/>
    </border>
    <border>
      <left/>
      <right style="medium">
        <color theme="0" tint="-0.34998626667073579"/>
      </right>
      <top/>
      <bottom style="thin">
        <color theme="8" tint="-0.24994659260841701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0.34998626667073579"/>
      </left>
      <right/>
      <top/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 style="thin">
        <color theme="2" tint="-0.24994659260841701"/>
      </left>
      <right/>
      <top/>
      <bottom style="medium">
        <color indexed="64"/>
      </bottom>
      <diagonal/>
    </border>
    <border>
      <left/>
      <right style="medium">
        <color theme="0" tint="-0.34998626667073579"/>
      </right>
      <top style="thin">
        <color theme="8" tint="-0.249977111117893"/>
      </top>
      <bottom/>
      <diagonal/>
    </border>
    <border>
      <left style="medium">
        <color theme="0" tint="-0.34998626667073579"/>
      </left>
      <right/>
      <top/>
      <bottom style="thin">
        <color theme="4"/>
      </bottom>
      <diagonal/>
    </border>
    <border>
      <left/>
      <right style="medium">
        <color theme="0" tint="-0.34998626667073579"/>
      </right>
      <top/>
      <bottom style="thin">
        <color theme="4"/>
      </bottom>
      <diagonal/>
    </border>
    <border>
      <left/>
      <right style="medium">
        <color theme="0" tint="-0.34998626667073579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 tint="-0.34998626667073579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 tint="-0.34998626667073579"/>
      </left>
      <right/>
      <top style="medium">
        <color theme="8" tint="-0.24994659260841701"/>
      </top>
      <bottom/>
      <diagonal/>
    </border>
    <border>
      <left/>
      <right style="medium">
        <color theme="0" tint="-0.34998626667073579"/>
      </right>
      <top style="medium">
        <color theme="8" tint="-0.24994659260841701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0" tint="-0.499984740745262"/>
      </top>
      <bottom style="medium">
        <color theme="4" tint="-0.499984740745262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medium">
        <color theme="4" tint="-0.499984740745262"/>
      </bottom>
      <diagonal/>
    </border>
    <border>
      <left style="medium">
        <color theme="0" tint="-0.34998626667073579"/>
      </left>
      <right/>
      <top/>
      <bottom style="medium">
        <color theme="4" tint="-0.499984740745262"/>
      </bottom>
      <diagonal/>
    </border>
    <border>
      <left/>
      <right style="medium">
        <color theme="0" tint="-0.34998626667073579"/>
      </right>
      <top/>
      <bottom style="medium">
        <color theme="4" tint="-0.499984740745262"/>
      </bottom>
      <diagonal/>
    </border>
    <border>
      <left style="medium">
        <color theme="0" tint="-0.34998626667073579"/>
      </left>
      <right/>
      <top/>
      <bottom style="medium">
        <color theme="8" tint="-0.249977111117893"/>
      </bottom>
      <diagonal/>
    </border>
    <border>
      <left/>
      <right style="medium">
        <color theme="0" tint="-0.34998626667073579"/>
      </right>
      <top/>
      <bottom style="medium">
        <color theme="8" tint="-0.249977111117893"/>
      </bottom>
      <diagonal/>
    </border>
    <border>
      <left/>
      <right style="medium">
        <color theme="8" tint="-0.24994659260841701"/>
      </right>
      <top/>
      <bottom style="medium">
        <color theme="4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9" tint="-0.24994659260841701"/>
      </top>
      <bottom/>
      <diagonal/>
    </border>
    <border>
      <left/>
      <right style="thin">
        <color theme="0" tint="-0.34998626667073579"/>
      </right>
      <top style="thin">
        <color theme="2" tint="-0.249977111117893"/>
      </top>
      <bottom/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medium">
        <color theme="9" tint="-0.24994659260841701"/>
      </bottom>
      <diagonal/>
    </border>
    <border>
      <left/>
      <right/>
      <top/>
      <bottom style="medium">
        <color rgb="FF548235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2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2" tint="-0.24994659260841701"/>
      </bottom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2" tint="-0.2499465926084170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2" tint="-0.2499465926084170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8" tint="-0.249977111117893"/>
      </bottom>
      <diagonal/>
    </border>
    <border>
      <left/>
      <right/>
      <top style="medium">
        <color theme="0" tint="-0.34998626667073579"/>
      </top>
      <bottom style="thin">
        <color theme="8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8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/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theme="9" tint="-0.24994659260841701"/>
      </top>
      <bottom/>
      <diagonal/>
    </border>
    <border>
      <left/>
      <right style="medium">
        <color theme="0" tint="-0.34998626667073579"/>
      </right>
      <top style="medium">
        <color theme="9" tint="-0.24994659260841701"/>
      </top>
      <bottom/>
      <diagonal/>
    </border>
    <border>
      <left/>
      <right style="medium">
        <color theme="0" tint="-0.34998626667073579"/>
      </right>
      <top style="thin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theme="0" tint="-0.34998626667073579"/>
      </bottom>
      <diagonal/>
    </border>
    <border>
      <left/>
      <right style="thin">
        <color theme="2" tint="-0.24994659260841701"/>
      </right>
      <top/>
      <bottom style="medium">
        <color theme="0" tint="-0.34998626667073579"/>
      </bottom>
      <diagonal/>
    </border>
    <border>
      <left style="thin">
        <color theme="2" tint="-0.24994659260841701"/>
      </left>
      <right/>
      <top/>
      <bottom style="medium">
        <color theme="0" tint="-0.34998626667073579"/>
      </bottom>
      <diagonal/>
    </border>
    <border>
      <left/>
      <right style="thin">
        <color theme="9" tint="-0.24994659260841701"/>
      </right>
      <top style="medium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8" tint="-0.249977111117893"/>
      </top>
      <bottom/>
      <diagonal/>
    </border>
    <border>
      <left/>
      <right style="thin">
        <color theme="9" tint="-0.24994659260841701"/>
      </right>
      <top/>
      <bottom style="medium">
        <color theme="9" tint="-0.24994659260841701"/>
      </bottom>
      <diagonal/>
    </border>
    <border>
      <left style="thin">
        <color theme="0" tint="-0.34998626667073579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theme="2" tint="-0.24994659260841701"/>
      </left>
      <right/>
      <top style="medium">
        <color theme="2" tint="-0.24994659260841701"/>
      </top>
      <bottom/>
      <diagonal/>
    </border>
    <border>
      <left style="medium">
        <color rgb="FFFF0000"/>
      </left>
      <right style="medium">
        <color rgb="FFFF0000"/>
      </right>
      <top style="medium">
        <color theme="2" tint="-0.2499465926084170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theme="2" tint="-0.24994659260841701"/>
      </bottom>
      <diagonal/>
    </border>
    <border>
      <left/>
      <right/>
      <top style="thin">
        <color theme="9" tint="0.59999389629810485"/>
      </top>
      <bottom/>
      <diagonal/>
    </border>
    <border>
      <left style="thin">
        <color theme="2" tint="-0.24994659260841701"/>
      </left>
      <right/>
      <top style="thin">
        <color theme="9" tint="0.59999389629810485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0.59999389629810485"/>
      </top>
      <bottom/>
      <diagonal/>
    </border>
    <border>
      <left/>
      <right/>
      <top/>
      <bottom style="thin">
        <color theme="9" tint="0.59999389629810485"/>
      </bottom>
      <diagonal/>
    </border>
    <border>
      <left style="thin">
        <color theme="2" tint="-0.24994659260841701"/>
      </left>
      <right/>
      <top/>
      <bottom style="thin">
        <color theme="9" tint="0.59999389629810485"/>
      </bottom>
      <diagonal/>
    </border>
    <border>
      <left style="medium">
        <color rgb="FFFF0000"/>
      </left>
      <right style="medium">
        <color rgb="FFFF0000"/>
      </right>
      <top/>
      <bottom style="thin">
        <color theme="9" tint="0.59999389629810485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2" tint="-0.24994659260841701"/>
      </left>
      <right/>
      <top/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2" tint="-0.24994659260841701"/>
      </left>
      <right/>
      <top style="thin">
        <color theme="0" tint="-0.14999847407452621"/>
      </top>
      <bottom/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9847407452621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0" tint="-0.24994659260841701"/>
      </left>
      <right/>
      <top/>
      <bottom style="thin">
        <color theme="8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auto="1"/>
      </bottom>
      <diagonal/>
    </border>
    <border>
      <left/>
      <right/>
      <top style="medium">
        <color theme="2" tint="-0.249977111117893"/>
      </top>
      <bottom style="thin">
        <color auto="1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auto="1"/>
      </bottom>
      <diagonal/>
    </border>
    <border>
      <left style="medium">
        <color theme="2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thin">
        <color theme="2" tint="-9.9978637043366805E-2"/>
      </bottom>
      <diagonal/>
    </border>
    <border>
      <left/>
      <right style="medium">
        <color theme="2" tint="-0.249977111117893"/>
      </right>
      <top style="medium">
        <color theme="9" tint="-0.24994659260841701"/>
      </top>
      <bottom/>
      <diagonal/>
    </border>
    <border>
      <left style="thin">
        <color theme="9" tint="-0.24994659260841701"/>
      </left>
      <right/>
      <top style="medium">
        <color theme="9" tint="-0.24994659260841701"/>
      </top>
      <bottom style="thin">
        <color theme="2" tint="-9.9978637043366805E-2"/>
      </bottom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medium">
        <color theme="2" tint="-0.249977111117893"/>
      </right>
      <top/>
      <bottom style="thin">
        <color theme="9" tint="-0.24994659260841701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medium">
        <color theme="2" tint="-0.249977111117893"/>
      </right>
      <top/>
      <bottom style="medium">
        <color theme="4" tint="-0.499984740745262"/>
      </bottom>
      <diagonal/>
    </border>
    <border>
      <left/>
      <right/>
      <top/>
      <bottom style="medium">
        <color theme="0" tint="-0.14999847407452621"/>
      </bottom>
      <diagonal/>
    </border>
    <border>
      <left style="medium">
        <color theme="0" tint="-0.34998626667073579"/>
      </left>
      <right/>
      <top/>
      <bottom style="medium">
        <color theme="0" tint="-0.14999847407452621"/>
      </bottom>
      <diagonal/>
    </border>
    <border>
      <left/>
      <right style="medium">
        <color theme="0" tint="-0.34998626667073579"/>
      </right>
      <top/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0" tint="-0.14999847407452621"/>
      </bottom>
      <diagonal/>
    </border>
    <border>
      <left style="thin">
        <color theme="0" tint="-0.34998626667073579"/>
      </left>
      <right/>
      <top/>
      <bottom style="medium">
        <color theme="0" tint="-0.14999847407452621"/>
      </bottom>
      <diagonal/>
    </border>
    <border>
      <left style="thin">
        <color theme="2" tint="-0.24994659260841701"/>
      </left>
      <right/>
      <top/>
      <bottom style="medium">
        <color theme="0" tint="-0.14999847407452621"/>
      </bottom>
      <diagonal/>
    </border>
    <border>
      <left/>
      <right style="medium">
        <color theme="8" tint="-0.24994659260841701"/>
      </right>
      <top/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34998626667073579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2" tint="-0.2499465926084170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8" tint="-0.2499465926084170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/>
      <bottom style="medium">
        <color theme="9" tint="-0.249977111117893"/>
      </bottom>
      <diagonal/>
    </border>
    <border>
      <left style="thin">
        <color theme="2" tint="-0.24994659260841701"/>
      </left>
      <right/>
      <top/>
      <bottom style="medium">
        <color theme="9" tint="-0.249977111117893"/>
      </bottom>
      <diagonal/>
    </border>
    <border>
      <left/>
      <right style="medium">
        <color rgb="FFFF0000"/>
      </right>
      <top/>
      <bottom style="medium">
        <color theme="9" tint="-0.249977111117893"/>
      </bottom>
      <diagonal/>
    </border>
    <border>
      <left/>
      <right style="medium">
        <color theme="8" tint="-0.249977111117893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theme="2" tint="-0.24994659260841701"/>
      </left>
      <right/>
      <top/>
      <bottom style="thin">
        <color rgb="FF0070C0"/>
      </bottom>
      <diagonal/>
    </border>
    <border>
      <left/>
      <right style="medium">
        <color rgb="FFFF0000"/>
      </right>
      <top/>
      <bottom style="thin">
        <color rgb="FF0070C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70C0"/>
      </bottom>
      <diagonal/>
    </border>
    <border>
      <left style="medium">
        <color rgb="FFFF0000"/>
      </left>
      <right/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theme="2" tint="-0.24994659260841701"/>
      </left>
      <right/>
      <top style="thin">
        <color rgb="FF0070C0"/>
      </top>
      <bottom/>
      <diagonal/>
    </border>
    <border>
      <left/>
      <right style="medium">
        <color rgb="FFFF0000"/>
      </right>
      <top style="thin">
        <color rgb="FF0070C0"/>
      </top>
      <bottom/>
      <diagonal/>
    </border>
    <border>
      <left style="medium">
        <color rgb="FFFF0000"/>
      </left>
      <right style="medium">
        <color rgb="FFFF0000"/>
      </right>
      <top style="thin">
        <color rgb="FF0070C0"/>
      </top>
      <bottom/>
      <diagonal/>
    </border>
    <border>
      <left/>
      <right style="medium">
        <color theme="8" tint="-0.249977111117893"/>
      </right>
      <top style="thin">
        <color rgb="FF0070C0"/>
      </top>
      <bottom/>
      <diagonal/>
    </border>
    <border>
      <left/>
      <right/>
      <top/>
      <bottom style="thin">
        <color theme="9" tint="-0.249977111117893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7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medium">
        <color rgb="FFFF0000"/>
      </left>
      <right style="medium">
        <color rgb="FFFF0000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2" tint="-0.24994659260841701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2" tint="-0.24994659260841701"/>
      </left>
      <right/>
      <top style="thin">
        <color theme="0" tint="-0.34998626667073579"/>
      </top>
      <bottom/>
      <diagonal/>
    </border>
    <border>
      <left/>
      <right style="medium">
        <color theme="8" tint="-0.249977111117893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2" tint="-0.24994659260841701"/>
      </left>
      <right/>
      <top/>
      <bottom style="thin">
        <color theme="0" tint="-0.34998626667073579"/>
      </bottom>
      <diagonal/>
    </border>
    <border>
      <left/>
      <right style="medium">
        <color theme="8" tint="-0.249977111117893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8" tint="-0.249977111117893"/>
      </bottom>
      <diagonal/>
    </border>
    <border>
      <left/>
      <right/>
      <top style="medium">
        <color theme="0" tint="-0.34998626667073579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0" tint="-0.34998626667073579"/>
      </left>
      <right/>
      <top/>
      <bottom style="medium">
        <color theme="9" tint="-0.249977111117893"/>
      </bottom>
      <diagonal/>
    </border>
    <border>
      <left style="thin">
        <color theme="2" tint="-0.24994659260841701"/>
      </left>
      <right/>
      <top style="thin">
        <color theme="7" tint="-0.249977111117893"/>
      </top>
      <bottom/>
      <diagonal/>
    </border>
    <border>
      <left/>
      <right style="medium">
        <color theme="0" tint="-0.34998626667073579"/>
      </right>
      <top style="medium">
        <color theme="2" tint="-0.24994659260841701"/>
      </top>
      <bottom style="medium">
        <color theme="9" tint="-0.249977111117893"/>
      </bottom>
      <diagonal/>
    </border>
    <border>
      <left/>
      <right style="medium">
        <color theme="0" tint="-0.34998626667073579"/>
      </right>
      <top style="medium">
        <color theme="8" tint="-0.249977111117893"/>
      </top>
      <bottom/>
      <diagonal/>
    </border>
    <border>
      <left/>
      <right style="medium">
        <color theme="0" tint="-0.34998626667073579"/>
      </right>
      <top style="dotted">
        <color theme="8"/>
      </top>
      <bottom/>
      <diagonal/>
    </border>
    <border>
      <left/>
      <right style="medium">
        <color theme="0" tint="-0.34998626667073579"/>
      </right>
      <top style="thin">
        <color theme="8" tint="-0.24994659260841701"/>
      </top>
      <bottom/>
      <diagonal/>
    </border>
    <border>
      <left/>
      <right style="medium">
        <color theme="0" tint="-0.34998626667073579"/>
      </right>
      <top/>
      <bottom style="medium">
        <color theme="8" tint="-0.24994659260841701"/>
      </bottom>
      <diagonal/>
    </border>
    <border>
      <left/>
      <right style="medium">
        <color theme="0" tint="-0.34998626667073579"/>
      </right>
      <top style="medium">
        <color theme="7" tint="-0.24994659260841701"/>
      </top>
      <bottom/>
      <diagonal/>
    </border>
    <border>
      <left/>
      <right style="medium">
        <color theme="0" tint="-0.34998626667073579"/>
      </right>
      <top style="dotted">
        <color theme="7" tint="-0.24994659260841701"/>
      </top>
      <bottom/>
      <diagonal/>
    </border>
    <border>
      <left/>
      <right style="medium">
        <color theme="0" tint="-0.34998626667073579"/>
      </right>
      <top/>
      <bottom style="thin">
        <color theme="7" tint="-0.24994659260841701"/>
      </bottom>
      <diagonal/>
    </border>
    <border>
      <left/>
      <right style="medium">
        <color theme="0" tint="-0.34998626667073579"/>
      </right>
      <top style="thin">
        <color theme="7" tint="-0.24994659260841701"/>
      </top>
      <bottom/>
      <diagonal/>
    </border>
    <border>
      <left/>
      <right style="medium">
        <color theme="0" tint="-0.34998626667073579"/>
      </right>
      <top/>
      <bottom style="dotted">
        <color theme="7" tint="-0.24994659260841701"/>
      </bottom>
      <diagonal/>
    </border>
    <border>
      <left/>
      <right style="medium">
        <color theme="0" tint="-0.34998626667073579"/>
      </right>
      <top/>
      <bottom style="medium">
        <color theme="7" tint="-0.24994659260841701"/>
      </bottom>
      <diagonal/>
    </border>
    <border>
      <left style="medium">
        <color rgb="FFFF0000"/>
      </left>
      <right/>
      <top style="medium">
        <color theme="0" tint="-0.34998626667073579"/>
      </top>
      <bottom/>
      <diagonal/>
    </border>
    <border>
      <left/>
      <right style="thin">
        <color theme="2" tint="-0.249977111117893"/>
      </right>
      <top style="medium">
        <color theme="0" tint="-0.34998626667073579"/>
      </top>
      <bottom/>
      <diagonal/>
    </border>
    <border>
      <left style="thin">
        <color theme="2" tint="-0.249977111117893"/>
      </left>
      <right/>
      <top style="medium">
        <color theme="0" tint="-0.34998626667073579"/>
      </top>
      <bottom/>
      <diagonal/>
    </border>
    <border>
      <left/>
      <right style="thin">
        <color theme="0" tint="-0.24994659260841701"/>
      </right>
      <top style="medium">
        <color theme="8" tint="-0.249977111117893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8" tint="-0.249977111117893"/>
      </top>
      <bottom/>
      <diagonal/>
    </border>
    <border>
      <left/>
      <right style="thin">
        <color theme="0" tint="-0.24994659260841701"/>
      </right>
      <top/>
      <bottom style="thin">
        <color theme="8" tint="-0.249977111117893"/>
      </bottom>
      <diagonal/>
    </border>
    <border>
      <left/>
      <right/>
      <top/>
      <bottom style="medium">
        <color rgb="FF0070C0"/>
      </bottom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8" tint="-0.249977111117893"/>
      </bottom>
      <diagonal/>
    </border>
    <border>
      <left/>
      <right/>
      <top style="medium">
        <color theme="0" tint="-0.34998626667073579"/>
      </top>
      <bottom style="medium">
        <color theme="9" tint="-0.24994659260841701"/>
      </bottom>
      <diagonal/>
    </border>
    <border>
      <left style="medium">
        <color theme="0" tint="-0.34998626667073579"/>
      </left>
      <right/>
      <top style="medium">
        <color theme="8" tint="-0.249977111117893"/>
      </top>
      <bottom/>
      <diagonal/>
    </border>
    <border>
      <left style="medium">
        <color theme="0" tint="-0.34998626667073579"/>
      </left>
      <right/>
      <top/>
      <bottom style="thin">
        <color rgb="FF0070C0"/>
      </bottom>
      <diagonal/>
    </border>
    <border>
      <left style="medium">
        <color theme="0" tint="-0.34998626667073579"/>
      </left>
      <right/>
      <top style="thin">
        <color rgb="FF0070C0"/>
      </top>
      <bottom/>
      <diagonal/>
    </border>
    <border>
      <left style="medium">
        <color theme="0" tint="-0.34998626667073579"/>
      </left>
      <right/>
      <top style="medium">
        <color theme="9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8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2" tint="-0.24994659260841701"/>
      </top>
      <bottom/>
      <diagonal/>
    </border>
    <border>
      <left style="medium">
        <color theme="0" tint="-0.34998626667073579"/>
      </left>
      <right/>
      <top style="medium">
        <color theme="2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7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7" tint="-0.24994659260841701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/>
      <bottom style="medium">
        <color theme="0" tint="-0.34998626667073579"/>
      </bottom>
      <diagonal/>
    </border>
    <border>
      <left/>
      <right style="thin">
        <color theme="8" tint="-0.249977111117893"/>
      </right>
      <top style="medium">
        <color theme="0" tint="-0.34998626667073579"/>
      </top>
      <bottom style="thin">
        <color theme="8" tint="-0.249977111117893"/>
      </bottom>
      <diagonal/>
    </border>
    <border>
      <left style="medium">
        <color theme="0" tint="-0.34998626667073579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0" tint="-0.34998626667073579"/>
      </left>
      <right/>
      <top style="thin">
        <color theme="8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8" tint="-0.249977111117893"/>
      </top>
      <bottom/>
      <diagonal/>
    </border>
    <border>
      <left/>
      <right style="medium">
        <color theme="0" tint="-0.34998626667073579"/>
      </right>
      <top style="thin">
        <color theme="8" tint="-0.499984740745262"/>
      </top>
      <bottom/>
      <diagonal/>
    </border>
    <border>
      <left style="medium">
        <color theme="0" tint="-0.24994659260841701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2" tint="-0.249977111117893"/>
      </top>
      <bottom/>
      <diagonal/>
    </border>
    <border>
      <left/>
      <right/>
      <top style="medium">
        <color theme="0" tint="-0.34998626667073579"/>
      </top>
      <bottom style="medium">
        <color theme="8" tint="-0.24994659260841701"/>
      </bottom>
      <diagonal/>
    </border>
    <border>
      <left/>
      <right style="medium">
        <color theme="8" tint="-0.249977111117893"/>
      </right>
      <top/>
      <bottom style="thin">
        <color theme="8" tint="-0.24994659260841701"/>
      </bottom>
      <diagonal/>
    </border>
    <border>
      <left/>
      <right style="medium">
        <color theme="9" tint="-0.249977111117893"/>
      </right>
      <top style="medium">
        <color theme="9" tint="-0.24994659260841701"/>
      </top>
      <bottom/>
      <diagonal/>
    </border>
    <border>
      <left/>
      <right style="medium">
        <color theme="9" tint="-0.249977111117893"/>
      </right>
      <top/>
      <bottom style="hair">
        <color theme="9" tint="-0.24994659260841701"/>
      </bottom>
      <diagonal/>
    </border>
    <border>
      <left/>
      <right style="medium">
        <color theme="9" tint="-0.249977111117893"/>
      </right>
      <top style="hair">
        <color theme="9" tint="-0.24994659260841701"/>
      </top>
      <bottom/>
      <diagonal/>
    </border>
    <border>
      <left/>
      <right style="medium">
        <color theme="9" tint="-0.249977111117893"/>
      </right>
      <top/>
      <bottom style="thin">
        <color theme="9" tint="-0.24994659260841701"/>
      </bottom>
      <diagonal/>
    </border>
    <border>
      <left/>
      <right style="medium">
        <color theme="9" tint="-0.249977111117893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theme="9" tint="-0.249977111117893"/>
      </right>
      <top/>
      <bottom style="medium">
        <color theme="9" tint="-0.24994659260841701"/>
      </bottom>
      <diagonal/>
    </border>
    <border>
      <left style="medium">
        <color theme="9" tint="-0.249977111117893"/>
      </left>
      <right style="thin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77111117893"/>
      </left>
      <right style="thin">
        <color theme="9" tint="-0.24994659260841701"/>
      </right>
      <top/>
      <bottom/>
      <diagonal/>
    </border>
    <border>
      <left style="medium">
        <color theme="9" tint="-0.249977111117893"/>
      </left>
      <right style="thin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8" tint="-0.249977111117893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7" tint="-0.249977111117893"/>
      </left>
      <right style="thin">
        <color theme="7" tint="-0.24994659260841701"/>
      </right>
      <top style="medium">
        <color theme="7" tint="-0.249977111117893"/>
      </top>
      <bottom/>
      <diagonal/>
    </border>
    <border>
      <left style="thin">
        <color theme="7" tint="-0.24994659260841701"/>
      </left>
      <right/>
      <top style="medium">
        <color theme="7" tint="-0.249977111117893"/>
      </top>
      <bottom/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2" tint="-0.249977111117893"/>
      </left>
      <right/>
      <top style="medium">
        <color theme="7" tint="-0.249977111117893"/>
      </top>
      <bottom/>
      <diagonal/>
    </border>
    <border>
      <left style="medium">
        <color rgb="FFFF0000"/>
      </left>
      <right/>
      <top style="medium">
        <color theme="7" tint="-0.249977111117893"/>
      </top>
      <bottom/>
      <diagonal/>
    </border>
    <border>
      <left/>
      <right style="medium">
        <color rgb="FFFF0000"/>
      </right>
      <top style="medium">
        <color theme="7" tint="-0.249977111117893"/>
      </top>
      <bottom/>
      <diagonal/>
    </border>
    <border>
      <left/>
      <right style="thin">
        <color theme="2" tint="-0.24994659260841701"/>
      </right>
      <top style="medium">
        <color theme="7" tint="-0.249977111117893"/>
      </top>
      <bottom/>
      <diagonal/>
    </border>
    <border>
      <left/>
      <right style="thin">
        <color theme="2" tint="-0.249977111117893"/>
      </right>
      <top style="medium">
        <color theme="7" tint="-0.249977111117893"/>
      </top>
      <bottom/>
      <diagonal/>
    </border>
    <border>
      <left style="thin">
        <color theme="2" tint="-0.24994659260841701"/>
      </left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thin">
        <color theme="7" tint="-0.24994659260841701"/>
      </right>
      <top/>
      <bottom/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4659260841701"/>
      </bottom>
      <diagonal/>
    </border>
    <border>
      <left/>
      <right style="medium">
        <color theme="7" tint="-0.249977111117893"/>
      </right>
      <top style="medium">
        <color theme="7" tint="-0.24994659260841701"/>
      </top>
      <bottom/>
      <diagonal/>
    </border>
    <border>
      <left/>
      <right style="medium">
        <color theme="7" tint="-0.249977111117893"/>
      </right>
      <top style="thin">
        <color theme="7" tint="-0.24994659260841701"/>
      </top>
      <bottom/>
      <diagonal/>
    </border>
    <border>
      <left/>
      <right style="medium">
        <color theme="7" tint="-0.249977111117893"/>
      </right>
      <top/>
      <bottom style="thin">
        <color theme="7" tint="-0.24994659260841701"/>
      </bottom>
      <diagonal/>
    </border>
    <border>
      <left style="medium">
        <color theme="7" tint="-0.249977111117893"/>
      </left>
      <right style="thin">
        <color theme="7" tint="-0.24994659260841701"/>
      </right>
      <top/>
      <bottom style="medium">
        <color theme="7" tint="-0.249977111117893"/>
      </bottom>
      <diagonal/>
    </border>
    <border>
      <left style="thin">
        <color theme="7" tint="-0.24994659260841701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 style="medium">
        <color theme="2" tint="-0.249977111117893"/>
      </left>
      <right/>
      <top/>
      <bottom style="medium">
        <color theme="7" tint="-0.249977111117893"/>
      </bottom>
      <diagonal/>
    </border>
    <border>
      <left style="medium">
        <color rgb="FFFF0000"/>
      </left>
      <right/>
      <top/>
      <bottom style="medium">
        <color theme="7" tint="-0.249977111117893"/>
      </bottom>
      <diagonal/>
    </border>
    <border>
      <left/>
      <right style="medium">
        <color rgb="FFFF0000"/>
      </right>
      <top/>
      <bottom style="medium">
        <color theme="7" tint="-0.249977111117893"/>
      </bottom>
      <diagonal/>
    </border>
    <border>
      <left/>
      <right style="thin">
        <color theme="2" tint="-0.24994659260841701"/>
      </right>
      <top/>
      <bottom style="medium">
        <color theme="7" tint="-0.249977111117893"/>
      </bottom>
      <diagonal/>
    </border>
    <border>
      <left/>
      <right style="thin">
        <color theme="2" tint="-0.249977111117893"/>
      </right>
      <top/>
      <bottom style="medium">
        <color theme="7" tint="-0.249977111117893"/>
      </bottom>
      <diagonal/>
    </border>
    <border>
      <left style="thin">
        <color theme="2" tint="-0.249977111117893"/>
      </left>
      <right/>
      <top/>
      <bottom style="medium">
        <color theme="7" tint="-0.249977111117893"/>
      </bottom>
      <diagonal/>
    </border>
    <border>
      <left style="thin">
        <color theme="2" tint="-0.24994659260841701"/>
      </left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7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7" tint="-0.249977111117893"/>
      </bottom>
      <diagonal/>
    </border>
    <border>
      <left/>
      <right/>
      <top style="medium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8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8" tint="-0.249977111117893"/>
      </bottom>
      <diagonal/>
    </border>
    <border>
      <left style="medium">
        <color theme="2" tint="-0.249977111117893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theme="2" tint="-0.249977111117893"/>
      </right>
      <top style="thick">
        <color theme="0" tint="-0.34998626667073579"/>
      </top>
      <bottom/>
      <diagonal/>
    </border>
    <border>
      <left style="thin">
        <color theme="2" tint="-0.249977111117893"/>
      </left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 style="medium">
        <color theme="8" tint="-0.249977111117893"/>
      </bottom>
      <diagonal/>
    </border>
    <border>
      <left/>
      <right/>
      <top style="thick">
        <color theme="0" tint="-0.34998626667073579"/>
      </top>
      <bottom style="medium">
        <color theme="8" tint="-0.249977111117893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medium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medium">
        <color theme="8" tint="-0.249977111117893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medium">
        <color theme="7" tint="-0.249977111117893"/>
      </bottom>
      <diagonal/>
    </border>
    <border>
      <left/>
      <right/>
      <top style="thick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medium">
        <color theme="7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medium">
        <color theme="7" tint="-0.249977111117893"/>
      </bottom>
      <diagonal/>
    </border>
    <border>
      <left style="thin">
        <color theme="2" tint="-0.24994659260841701"/>
      </left>
      <right/>
      <top/>
      <bottom style="medium">
        <color rgb="FFFF0000"/>
      </bottom>
      <diagonal/>
    </border>
    <border>
      <left style="thin">
        <color theme="0" tint="-0.34998626667073579"/>
      </left>
      <right/>
      <top/>
      <bottom style="medium">
        <color theme="7" tint="-0.249977111117893"/>
      </bottom>
      <diagonal/>
    </border>
    <border>
      <left style="medium">
        <color theme="2" tint="-0.24994659260841701"/>
      </left>
      <right/>
      <top/>
      <bottom style="medium">
        <color theme="7" tint="-0.249977111117893"/>
      </bottom>
      <diagonal/>
    </border>
    <border>
      <left style="thin">
        <color theme="2" tint="-0.24994659260841701"/>
      </left>
      <right style="medium">
        <color rgb="FFFF0000"/>
      </right>
      <top style="medium">
        <color theme="7" tint="-0.249977111117893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 style="hair">
        <color theme="0" tint="-0.24994659260841701"/>
      </top>
      <bottom/>
      <diagonal/>
    </border>
    <border>
      <left/>
      <right style="medium">
        <color theme="8" tint="-0.249977111117893"/>
      </right>
      <top/>
      <bottom style="hair">
        <color theme="0" tint="-0.24994659260841701"/>
      </bottom>
      <diagonal/>
    </border>
    <border>
      <left/>
      <right style="medium">
        <color theme="8" tint="-0.249977111117893"/>
      </right>
      <top style="thin">
        <color theme="8" tint="-0.24994659260841701"/>
      </top>
      <bottom/>
      <diagonal/>
    </border>
    <border>
      <left/>
      <right style="medium">
        <color theme="8" tint="-0.249977111117893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8" tint="-0.24994659260841701"/>
      </left>
      <right/>
      <top/>
      <bottom style="medium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7" tint="-0.249977111117893"/>
      </top>
      <bottom/>
      <diagonal/>
    </border>
    <border>
      <left/>
      <right style="medium">
        <color theme="0" tint="-0.34998626667073579"/>
      </right>
      <top style="medium">
        <color theme="7" tint="-0.249977111117893"/>
      </top>
      <bottom/>
      <diagonal/>
    </border>
    <border>
      <left style="medium">
        <color rgb="FFFF0000"/>
      </left>
      <right style="medium">
        <color rgb="FFFF0000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thin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77111117893"/>
      </left>
      <right/>
      <top/>
      <bottom/>
      <diagonal/>
    </border>
    <border>
      <left style="medium">
        <color theme="7" tint="-0.249977111117893"/>
      </left>
      <right/>
      <top style="medium">
        <color theme="7" tint="-0.24994659260841701"/>
      </top>
      <bottom/>
      <diagonal/>
    </border>
    <border>
      <left style="medium">
        <color theme="7" tint="-0.249977111117893"/>
      </left>
      <right/>
      <top/>
      <bottom style="medium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7" tint="-0.249977111117893"/>
      </bottom>
      <diagonal/>
    </border>
    <border>
      <left/>
      <right style="medium">
        <color theme="0" tint="-0.34998626667073579"/>
      </right>
      <top/>
      <bottom style="medium">
        <color theme="7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8" tint="-0.24994659260841701"/>
      </bottom>
      <diagonal/>
    </border>
    <border>
      <left style="thick">
        <color theme="0" tint="-0.34998626667073579"/>
      </left>
      <right style="medium">
        <color theme="0" tint="-0.34998626667073579"/>
      </right>
      <top style="medium">
        <color theme="2" tint="-0.24994659260841701"/>
      </top>
      <bottom style="medium">
        <color theme="8" tint="-0.24994659260841701"/>
      </bottom>
      <diagonal/>
    </border>
    <border>
      <left style="thick">
        <color theme="0" tint="-0.34998626667073579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 style="thin">
        <color theme="0" tint="-0.1499984740745262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2" tint="-0.249977111117893"/>
      </right>
      <top style="thick">
        <color theme="0" tint="-0.34998626667073579"/>
      </top>
      <bottom/>
      <diagonal/>
    </border>
    <border>
      <left/>
      <right style="thick">
        <color theme="9" tint="-0.249977111117893"/>
      </right>
      <top style="medium">
        <color theme="2" tint="-0.24994659260841701"/>
      </top>
      <bottom/>
      <diagonal/>
    </border>
    <border>
      <left/>
      <right style="thick">
        <color theme="9" tint="-0.249977111117893"/>
      </right>
      <top/>
      <bottom/>
      <diagonal/>
    </border>
    <border>
      <left/>
      <right style="thick">
        <color theme="9" tint="-0.249977111117893"/>
      </right>
      <top/>
      <bottom style="thin">
        <color theme="8" tint="-0.249977111117893"/>
      </bottom>
      <diagonal/>
    </border>
    <border>
      <left/>
      <right style="thick">
        <color theme="9" tint="-0.249977111117893"/>
      </right>
      <top style="thin">
        <color theme="9" tint="0.59999389629810485"/>
      </top>
      <bottom/>
      <diagonal/>
    </border>
    <border>
      <left/>
      <right style="thick">
        <color theme="9" tint="-0.249977111117893"/>
      </right>
      <top/>
      <bottom style="thin">
        <color theme="9" tint="0.59999389629810485"/>
      </bottom>
      <diagonal/>
    </border>
    <border>
      <left/>
      <right style="thick">
        <color theme="9" tint="-0.249977111117893"/>
      </right>
      <top style="thin">
        <color theme="8" tint="-0.249977111117893"/>
      </top>
      <bottom/>
      <diagonal/>
    </border>
    <border>
      <left style="thick">
        <color theme="9" tint="-0.249977111117893"/>
      </left>
      <right/>
      <top style="medium">
        <color theme="2" tint="-0.24994659260841701"/>
      </top>
      <bottom/>
      <diagonal/>
    </border>
    <border>
      <left style="thick">
        <color theme="9" tint="-0.249977111117893"/>
      </left>
      <right/>
      <top/>
      <bottom/>
      <diagonal/>
    </border>
    <border>
      <left style="thick">
        <color theme="9" tint="-0.249977111117893"/>
      </left>
      <right/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 style="medium">
        <color theme="2" tint="-0.249977111117893"/>
      </left>
      <right/>
      <top/>
      <bottom style="thick">
        <color theme="9" tint="-0.249977111117893"/>
      </bottom>
      <diagonal/>
    </border>
    <border>
      <left style="medium">
        <color rgb="FFFF0000"/>
      </left>
      <right style="medium">
        <color rgb="FFFF0000"/>
      </right>
      <top/>
      <bottom style="thick">
        <color theme="9" tint="-0.249977111117893"/>
      </bottom>
      <diagonal/>
    </border>
    <border>
      <left style="thin">
        <color theme="2" tint="-0.24994659260841701"/>
      </left>
      <right/>
      <top/>
      <bottom style="thick">
        <color theme="9" tint="-0.249977111117893"/>
      </bottom>
      <diagonal/>
    </border>
    <border>
      <left/>
      <right style="thick">
        <color theme="9" tint="-0.249977111117893"/>
      </right>
      <top/>
      <bottom style="thick">
        <color theme="9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0" tint="-0.34998626667073579"/>
      </top>
      <bottom/>
      <diagonal/>
    </border>
    <border>
      <left style="thin">
        <color theme="2" tint="-0.24994659260841701"/>
      </left>
      <right/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/>
      <right style="thick">
        <color theme="0" tint="-0.34998626667073579"/>
      </right>
      <top/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 style="medium">
        <color rgb="FFFF0000"/>
      </left>
      <right style="medium">
        <color rgb="FFFF0000"/>
      </right>
      <top/>
      <bottom style="thick">
        <color theme="0" tint="-0.34998626667073579"/>
      </bottom>
      <diagonal/>
    </border>
    <border>
      <left style="thin">
        <color theme="2" tint="-0.24994659260841701"/>
      </left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7" tint="-0.249977111117893"/>
      </left>
      <right/>
      <top style="thick">
        <color theme="7" tint="-0.249977111117893"/>
      </top>
      <bottom/>
      <diagonal/>
    </border>
    <border>
      <left/>
      <right/>
      <top style="thick">
        <color theme="7" tint="-0.249977111117893"/>
      </top>
      <bottom/>
      <diagonal/>
    </border>
    <border>
      <left style="medium">
        <color rgb="FFFF0000"/>
      </left>
      <right style="medium">
        <color rgb="FFFF0000"/>
      </right>
      <top style="thick">
        <color theme="7" tint="-0.249977111117893"/>
      </top>
      <bottom/>
      <diagonal/>
    </border>
    <border>
      <left style="thin">
        <color theme="2" tint="-0.24994659260841701"/>
      </left>
      <right/>
      <top style="thick">
        <color theme="7" tint="-0.249977111117893"/>
      </top>
      <bottom/>
      <diagonal/>
    </border>
    <border>
      <left/>
      <right style="thick">
        <color theme="7" tint="-0.249977111117893"/>
      </right>
      <top style="thick">
        <color theme="7" tint="-0.249977111117893"/>
      </top>
      <bottom/>
      <diagonal/>
    </border>
    <border>
      <left style="thick">
        <color theme="7" tint="-0.249977111117893"/>
      </left>
      <right/>
      <top/>
      <bottom/>
      <diagonal/>
    </border>
    <border>
      <left/>
      <right style="thick">
        <color theme="7" tint="-0.249977111117893"/>
      </right>
      <top/>
      <bottom/>
      <diagonal/>
    </border>
    <border>
      <left style="thick">
        <color theme="7" tint="-0.249977111117893"/>
      </left>
      <right/>
      <top/>
      <bottom style="thick">
        <color theme="7" tint="-0.249977111117893"/>
      </bottom>
      <diagonal/>
    </border>
    <border>
      <left/>
      <right/>
      <top/>
      <bottom style="thick">
        <color theme="7" tint="-0.249977111117893"/>
      </bottom>
      <diagonal/>
    </border>
    <border>
      <left style="medium">
        <color theme="2" tint="-0.249977111117893"/>
      </left>
      <right/>
      <top/>
      <bottom style="thick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ck">
        <color theme="7" tint="-0.249977111117893"/>
      </bottom>
      <diagonal/>
    </border>
    <border>
      <left style="thin">
        <color theme="2" tint="-0.24994659260841701"/>
      </left>
      <right/>
      <top/>
      <bottom style="thick">
        <color theme="7" tint="-0.249977111117893"/>
      </bottom>
      <diagonal/>
    </border>
    <border>
      <left/>
      <right style="thick">
        <color theme="7" tint="-0.249977111117893"/>
      </right>
      <top/>
      <bottom style="thick">
        <color theme="7" tint="-0.249977111117893"/>
      </bottom>
      <diagonal/>
    </border>
    <border>
      <left/>
      <right style="thin">
        <color theme="2" tint="-0.24994659260841701"/>
      </right>
      <top style="thick">
        <color theme="7" tint="-0.249977111117893"/>
      </top>
      <bottom/>
      <diagonal/>
    </border>
    <border>
      <left style="medium">
        <color rgb="FFFF0000"/>
      </left>
      <right/>
      <top style="thick">
        <color theme="7" tint="-0.249977111117893"/>
      </top>
      <bottom/>
      <diagonal/>
    </border>
    <border>
      <left/>
      <right style="thick">
        <color theme="7" tint="-0.249977111117893"/>
      </right>
      <top style="thin">
        <color theme="2" tint="-0.249977111117893"/>
      </top>
      <bottom/>
      <diagonal/>
    </border>
    <border>
      <left/>
      <right style="thick">
        <color theme="7" tint="-0.249977111117893"/>
      </right>
      <top/>
      <bottom style="thin">
        <color theme="0" tint="-0.24994659260841701"/>
      </bottom>
      <diagonal/>
    </border>
    <border>
      <left/>
      <right style="thick">
        <color theme="7" tint="-0.249977111117893"/>
      </right>
      <top style="medium">
        <color theme="2" tint="-0.249977111117893"/>
      </top>
      <bottom/>
      <diagonal/>
    </border>
    <border>
      <left/>
      <right style="thick">
        <color theme="7" tint="-0.249977111117893"/>
      </right>
      <top/>
      <bottom style="medium">
        <color theme="2" tint="-0.249977111117893"/>
      </bottom>
      <diagonal/>
    </border>
    <border>
      <left/>
      <right style="thin">
        <color theme="2" tint="-0.24994659260841701"/>
      </right>
      <top/>
      <bottom style="thick">
        <color theme="7" tint="-0.249977111117893"/>
      </bottom>
      <diagonal/>
    </border>
    <border>
      <left style="medium">
        <color rgb="FFFF0000"/>
      </left>
      <right/>
      <top/>
      <bottom style="thick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2" tint="-0.24994659260841701"/>
      </bottom>
      <diagonal/>
    </border>
    <border>
      <left style="thick">
        <color theme="8" tint="-0.249977111117893"/>
      </left>
      <right style="thin">
        <color theme="8" tint="-0.249977111117893"/>
      </right>
      <top style="thick">
        <color theme="8" tint="-0.249977111117893"/>
      </top>
      <bottom/>
      <diagonal/>
    </border>
    <border>
      <left/>
      <right/>
      <top style="thick">
        <color theme="8" tint="-0.249977111117893"/>
      </top>
      <bottom/>
      <diagonal/>
    </border>
    <border>
      <left style="medium">
        <color theme="2" tint="-0.249977111117893"/>
      </left>
      <right/>
      <top style="thick">
        <color theme="8" tint="-0.249977111117893"/>
      </top>
      <bottom/>
      <diagonal/>
    </border>
    <border>
      <left style="thin">
        <color theme="2" tint="-0.24994659260841701"/>
      </left>
      <right/>
      <top style="thick">
        <color theme="8" tint="-0.249977111117893"/>
      </top>
      <bottom/>
      <diagonal/>
    </border>
    <border>
      <left/>
      <right style="thick">
        <color theme="8" tint="-0.249977111117893"/>
      </right>
      <top style="thick">
        <color theme="8" tint="-0.249977111117893"/>
      </top>
      <bottom/>
      <diagonal/>
    </border>
    <border>
      <left style="thick">
        <color theme="8" tint="-0.249977111117893"/>
      </left>
      <right style="thin">
        <color theme="8" tint="-0.249977111117893"/>
      </right>
      <top/>
      <bottom/>
      <diagonal/>
    </border>
    <border>
      <left/>
      <right style="thick">
        <color theme="8" tint="-0.249977111117893"/>
      </right>
      <top/>
      <bottom/>
      <diagonal/>
    </border>
    <border>
      <left style="thick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 style="thick">
        <color theme="8" tint="-0.249977111117893"/>
      </right>
      <top style="thin">
        <color theme="8" tint="-0.249977111117893"/>
      </top>
      <bottom/>
      <diagonal/>
    </border>
    <border>
      <left style="thick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ck">
        <color theme="8" tint="-0.249977111117893"/>
      </right>
      <top/>
      <bottom style="thin">
        <color theme="8" tint="-0.249977111117893"/>
      </bottom>
      <diagonal/>
    </border>
    <border>
      <left style="thick">
        <color theme="8" tint="-0.249977111117893"/>
      </left>
      <right style="thin">
        <color theme="8" tint="-0.249977111117893"/>
      </right>
      <top/>
      <bottom style="thick">
        <color theme="8" tint="-0.249977111117893"/>
      </bottom>
      <diagonal/>
    </border>
    <border>
      <left/>
      <right/>
      <top/>
      <bottom style="thick">
        <color theme="8" tint="-0.249977111117893"/>
      </bottom>
      <diagonal/>
    </border>
    <border>
      <left style="medium">
        <color theme="2" tint="-0.249977111117893"/>
      </left>
      <right/>
      <top/>
      <bottom style="thick">
        <color theme="8" tint="-0.249977111117893"/>
      </bottom>
      <diagonal/>
    </border>
    <border>
      <left style="thin">
        <color theme="2" tint="-0.24994659260841701"/>
      </left>
      <right/>
      <top/>
      <bottom style="thick">
        <color theme="8" tint="-0.249977111117893"/>
      </bottom>
      <diagonal/>
    </border>
    <border>
      <left/>
      <right style="thick">
        <color theme="8" tint="-0.249977111117893"/>
      </right>
      <top/>
      <bottom style="thick">
        <color theme="8" tint="-0.249977111117893"/>
      </bottom>
      <diagonal/>
    </border>
    <border>
      <left style="thick">
        <color theme="9" tint="-0.249977111117893"/>
      </left>
      <right style="thin">
        <color theme="8" tint="-0.249977111117893"/>
      </right>
      <top style="thick">
        <color theme="9" tint="-0.249977111117893"/>
      </top>
      <bottom/>
      <diagonal/>
    </border>
    <border>
      <left/>
      <right/>
      <top style="thick">
        <color theme="9" tint="-0.249977111117893"/>
      </top>
      <bottom/>
      <diagonal/>
    </border>
    <border>
      <left style="medium">
        <color theme="2" tint="-0.249977111117893"/>
      </left>
      <right/>
      <top style="thick">
        <color theme="9" tint="-0.249977111117893"/>
      </top>
      <bottom/>
      <diagonal/>
    </border>
    <border>
      <left style="thin">
        <color theme="2" tint="-0.24994659260841701"/>
      </left>
      <right/>
      <top style="thick">
        <color theme="9" tint="-0.249977111117893"/>
      </top>
      <bottom/>
      <diagonal/>
    </border>
    <border>
      <left/>
      <right style="thick">
        <color theme="9" tint="-0.249977111117893"/>
      </right>
      <top style="thick">
        <color theme="9" tint="-0.249977111117893"/>
      </top>
      <bottom/>
      <diagonal/>
    </border>
    <border>
      <left style="thick">
        <color theme="9" tint="-0.249977111117893"/>
      </left>
      <right style="thin">
        <color theme="8" tint="-0.249977111117893"/>
      </right>
      <top/>
      <bottom/>
      <diagonal/>
    </border>
    <border>
      <left/>
      <right style="thick">
        <color theme="9" tint="-0.249977111117893"/>
      </right>
      <top/>
      <bottom style="thin">
        <color theme="9" tint="-0.24994659260841701"/>
      </bottom>
      <diagonal/>
    </border>
    <border>
      <left style="thick">
        <color theme="9" tint="-0.249977111117893"/>
      </left>
      <right style="thin">
        <color theme="8" tint="-0.249977111117893"/>
      </right>
      <top/>
      <bottom style="thick">
        <color theme="9" tint="-0.249977111117893"/>
      </bottom>
      <diagonal/>
    </border>
    <border>
      <left style="thick">
        <color theme="9" tint="-0.249977111117893"/>
      </left>
      <right style="thin">
        <color theme="8" tint="-0.249977111117893"/>
      </right>
      <top/>
      <bottom style="thin">
        <color theme="9" tint="-0.24994659260841701"/>
      </bottom>
      <diagonal/>
    </border>
    <border>
      <left style="thick">
        <color theme="9" tint="-0.249977111117893"/>
      </left>
      <right style="thin">
        <color theme="8" tint="-0.249977111117893"/>
      </right>
      <top style="thin">
        <color theme="9" tint="-0.24994659260841701"/>
      </top>
      <bottom/>
      <diagonal/>
    </border>
    <border>
      <left/>
      <right style="thick">
        <color theme="9" tint="-0.249977111117893"/>
      </right>
      <top style="thin">
        <color theme="9" tint="-0.24994659260841701"/>
      </top>
      <bottom/>
      <diagonal/>
    </border>
    <border>
      <left style="thick">
        <color theme="7" tint="-0.249977111117893"/>
      </left>
      <right style="thin">
        <color theme="8" tint="-0.249977111117893"/>
      </right>
      <top/>
      <bottom/>
      <diagonal/>
    </border>
    <border>
      <left style="thick">
        <color theme="7" tint="-0.249977111117893"/>
      </left>
      <right style="thin">
        <color theme="8" tint="-0.249977111117893"/>
      </right>
      <top/>
      <bottom style="thick">
        <color theme="7" tint="-0.249977111117893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 style="medium">
        <color theme="8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thin">
        <color theme="2" tint="-0.24994659260841701"/>
      </left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 style="medium">
        <color theme="0" tint="-0.34998626667073579"/>
      </right>
      <top/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9" tint="-0.24994659260841701"/>
      </bottom>
      <diagonal/>
    </border>
    <border>
      <left style="medium">
        <color theme="0" tint="-0.34998626667073579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0" tint="-0.34998626667073579"/>
      </left>
      <right/>
      <top style="thin">
        <color theme="9" tint="0.59999389629810485"/>
      </top>
      <bottom/>
      <diagonal/>
    </border>
    <border>
      <left style="medium">
        <color theme="0" tint="-0.34998626667073579"/>
      </left>
      <right/>
      <top/>
      <bottom style="thin">
        <color theme="9" tint="0.59999389629810485"/>
      </bottom>
      <diagonal/>
    </border>
    <border>
      <left style="medium">
        <color theme="0" tint="-0.34998626667073579"/>
      </left>
      <right/>
      <top/>
      <bottom style="thick">
        <color theme="9" tint="-0.249977111117893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/>
      <diagonal/>
    </border>
    <border>
      <left style="medium">
        <color theme="0" tint="-0.34998626667073579"/>
      </left>
      <right/>
      <top/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7" tint="-0.249977111117893"/>
      </top>
      <bottom/>
      <diagonal/>
    </border>
    <border>
      <left style="medium">
        <color theme="0" tint="-0.34998626667073579"/>
      </left>
      <right/>
      <top/>
      <bottom style="thick">
        <color theme="7" tint="-0.249977111117893"/>
      </bottom>
      <diagonal/>
    </border>
    <border>
      <left style="medium">
        <color theme="0" tint="-0.34998626667073579"/>
      </left>
      <right/>
      <top style="thin">
        <color theme="2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2" tint="-0.249977111117893"/>
      </bottom>
      <diagonal/>
    </border>
    <border>
      <left style="medium">
        <color theme="0" tint="-0.34998626667073579"/>
      </left>
      <right style="medium">
        <color theme="2" tint="-0.249977111117893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2" tint="-0.249977111117893"/>
      </right>
      <top/>
      <bottom style="thick">
        <color theme="7" tint="-0.249977111117893"/>
      </bottom>
      <diagonal/>
    </border>
    <border>
      <left/>
      <right style="medium">
        <color theme="2" tint="-0.249977111117893"/>
      </right>
      <top style="medium">
        <color theme="2" tint="-0.24994659260841701"/>
      </top>
      <bottom/>
      <diagonal/>
    </border>
    <border>
      <left style="medium">
        <color theme="7" tint="-0.24994659260841701"/>
      </left>
      <right/>
      <top style="medium">
        <color theme="7" tint="-0.249977111117893"/>
      </top>
      <bottom/>
      <diagonal/>
    </border>
    <border>
      <left/>
      <right style="medium">
        <color theme="2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4659260841701"/>
      </right>
      <top style="medium">
        <color theme="7" tint="-0.249977111117893"/>
      </top>
      <bottom/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8" tint="-0.249977111117893"/>
      </left>
      <right/>
      <top/>
      <bottom style="medium">
        <color theme="7" tint="-0.249977111117893"/>
      </bottom>
      <diagonal/>
    </border>
    <border>
      <left/>
      <right style="medium">
        <color theme="2" tint="-0.249977111117893"/>
      </right>
      <top/>
      <bottom style="medium">
        <color theme="7" tint="-0.249977111117893"/>
      </bottom>
      <diagonal/>
    </border>
    <border>
      <left/>
      <right/>
      <top/>
      <bottom style="medium">
        <color rgb="FF2F75B5"/>
      </bottom>
      <diagonal/>
    </border>
    <border>
      <left/>
      <right style="thin">
        <color rgb="FFAEAAAA"/>
      </right>
      <top/>
      <bottom style="medium">
        <color rgb="FF2F75B5"/>
      </bottom>
      <diagonal/>
    </border>
    <border>
      <left/>
      <right/>
      <top style="medium">
        <color rgb="FF2F75B5"/>
      </top>
      <bottom/>
      <diagonal/>
    </border>
    <border>
      <left/>
      <right style="thin">
        <color rgb="FFBFBFBF"/>
      </right>
      <top style="medium">
        <color rgb="FF2F75B5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2F75B5"/>
      </top>
      <bottom/>
      <diagonal/>
    </border>
    <border>
      <left/>
      <right style="thin">
        <color rgb="FFBFBFBF"/>
      </right>
      <top style="thin">
        <color rgb="FF2F75B5"/>
      </top>
      <bottom/>
      <diagonal/>
    </border>
    <border>
      <left/>
      <right/>
      <top/>
      <bottom style="thin">
        <color rgb="FF2F75B5"/>
      </bottom>
      <diagonal/>
    </border>
    <border>
      <left/>
      <right style="thin">
        <color rgb="FFBFBFBF"/>
      </right>
      <top/>
      <bottom style="thin">
        <color rgb="FF2F75B5"/>
      </bottom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4" tint="-0.499984740745262"/>
      </bottom>
      <diagonal/>
    </border>
    <border>
      <left style="thin">
        <color theme="8" tint="-0.249977111117893"/>
      </left>
      <right/>
      <top/>
      <bottom style="medium">
        <color theme="4" tint="-0.499984740745262"/>
      </bottom>
      <diagonal/>
    </border>
    <border>
      <left/>
      <right style="thin">
        <color rgb="FFBFBFBF"/>
      </right>
      <top/>
      <bottom style="medium">
        <color theme="4" tint="-0.499984740745262"/>
      </bottom>
      <diagonal/>
    </border>
    <border>
      <left style="medium">
        <color theme="0" tint="-0.34998626667073579"/>
      </left>
      <right/>
      <top style="thin">
        <color rgb="FF2F75B5"/>
      </top>
      <bottom/>
      <diagonal/>
    </border>
    <border>
      <left style="medium">
        <color theme="0" tint="-0.34998626667073579"/>
      </left>
      <right/>
      <top/>
      <bottom style="thin">
        <color rgb="FF2F75B5"/>
      </bottom>
      <diagonal/>
    </border>
    <border>
      <left/>
      <right/>
      <top style="thin">
        <color rgb="FFAEAAAA"/>
      </top>
      <bottom/>
      <diagonal/>
    </border>
    <border>
      <left/>
      <right/>
      <top/>
      <bottom style="thick">
        <color rgb="FF808080"/>
      </bottom>
      <diagonal/>
    </border>
    <border>
      <left/>
      <right/>
      <top style="medium">
        <color rgb="FFBF8F00"/>
      </top>
      <bottom style="thin">
        <color rgb="FFBF8F00"/>
      </bottom>
      <diagonal/>
    </border>
    <border>
      <left/>
      <right/>
      <top/>
      <bottom style="thin">
        <color rgb="FFBF8F00"/>
      </bottom>
      <diagonal/>
    </border>
    <border>
      <left/>
      <right/>
      <top/>
      <bottom style="medium">
        <color rgb="FFBF8F00"/>
      </bottom>
      <diagonal/>
    </border>
    <border>
      <left style="medium">
        <color theme="0" tint="-0.34998626667073579"/>
      </left>
      <right/>
      <top style="medium">
        <color theme="2" tint="-0.249977111117893"/>
      </top>
      <bottom/>
      <diagonal/>
    </border>
    <border>
      <left style="medium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/>
      <top style="thin">
        <color theme="8" tint="-0.249977111117893"/>
      </top>
      <bottom style="medium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medium">
        <color theme="8" tint="-0.249977111117893"/>
      </bottom>
      <diagonal/>
    </border>
    <border>
      <left style="thin">
        <color theme="0" tint="-0.34998626667073579"/>
      </left>
      <right/>
      <top/>
      <bottom style="medium">
        <color theme="8" tint="-0.24994659260841701"/>
      </bottom>
      <diagonal/>
    </border>
    <border diagonalUp="1">
      <left/>
      <right style="thin">
        <color theme="2" tint="-0.24994659260841701"/>
      </right>
      <top style="medium">
        <color theme="8" tint="-0.24994659260841701"/>
      </top>
      <bottom style="medium">
        <color theme="8" tint="-0.24994659260841701"/>
      </bottom>
      <diagonal style="medium">
        <color theme="8" tint="-0.24994659260841701"/>
      </diagonal>
    </border>
    <border>
      <left style="medium">
        <color theme="0" tint="-0.34998626667073579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medium">
        <color theme="7" tint="-0.249977111117893"/>
      </right>
      <top/>
      <bottom style="thin">
        <color theme="7" tint="-0.249977111117893"/>
      </bottom>
      <diagonal/>
    </border>
    <border>
      <left/>
      <right/>
      <top/>
      <bottom style="thin">
        <color theme="7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7" tint="-0.249977111117893"/>
      </bottom>
      <diagonal/>
    </border>
    <border>
      <left/>
      <right style="medium">
        <color theme="0" tint="-0.34998626667073579"/>
      </right>
      <top/>
      <bottom style="thin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7" tint="-0.249977111117893"/>
      </bottom>
      <diagonal/>
    </border>
    <border>
      <left/>
      <right style="medium">
        <color theme="0" tint="-0.34998626667073579"/>
      </right>
      <top style="medium">
        <color theme="9" tint="-0.249977111117893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9" tint="-0.24994659260841701"/>
      </bottom>
      <diagonal/>
    </border>
    <border>
      <left/>
      <right style="medium">
        <color theme="0" tint="-0.34998626667073579"/>
      </right>
      <top style="medium">
        <color theme="9" tint="-0.24994659260841701"/>
      </top>
      <bottom style="thin">
        <color theme="2" tint="-9.9978637043366805E-2"/>
      </bottom>
      <diagonal/>
    </border>
    <border>
      <left/>
      <right style="medium">
        <color theme="0" tint="-0.34998626667073579"/>
      </right>
      <top/>
      <bottom style="thin">
        <color theme="2" tint="-9.9978637043366805E-2"/>
      </bottom>
      <diagonal/>
    </border>
    <border>
      <left style="thin">
        <color theme="9" tint="-0.24994659260841701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 style="medium">
        <color theme="0" tint="-0.34998626667073579"/>
      </left>
      <right/>
      <top style="thin">
        <color theme="9" tint="-0.249977111117893"/>
      </top>
      <bottom/>
      <diagonal/>
    </border>
    <border>
      <left style="thin">
        <color theme="2" tint="-0.24994659260841701"/>
      </left>
      <right/>
      <top style="thin">
        <color theme="9" tint="-0.249977111117893"/>
      </top>
      <bottom/>
      <diagonal/>
    </border>
    <border>
      <left/>
      <right style="medium">
        <color rgb="FFFF0000"/>
      </right>
      <top style="thin">
        <color theme="9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-0.249977111117893"/>
      </top>
      <bottom/>
      <diagonal/>
    </border>
    <border>
      <left/>
      <right style="medium">
        <color theme="9" tint="-0.249977111117893"/>
      </right>
      <top style="thin">
        <color theme="9" tint="-0.249977111117893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thin">
        <color theme="0" tint="-0.249977111117893"/>
      </right>
      <top style="medium">
        <color theme="1" tint="0.499984740745262"/>
      </top>
      <bottom/>
      <diagonal/>
    </border>
    <border>
      <left style="thin">
        <color theme="0" tint="-0.249977111117893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0" tint="-0.249977111117893"/>
      </right>
      <top/>
      <bottom style="thin">
        <color theme="1" tint="0.499984740745262"/>
      </bottom>
      <diagonal/>
    </border>
    <border>
      <left style="thin">
        <color theme="0" tint="-0.249977111117893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0" tint="-0.249977111117893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0" tint="-0.249977111117893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8" tint="-0.249977111117893"/>
      </left>
      <right/>
      <top/>
      <bottom style="thin">
        <color indexed="64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2" tint="-0.249977111117893"/>
      </top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8" tint="-0.249977111117893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8" tint="-0.249977111117893"/>
      </top>
      <bottom style="thin">
        <color theme="2" tint="-9.9978637043366805E-2"/>
      </bottom>
      <diagonal/>
    </border>
    <border>
      <left/>
      <right style="medium">
        <color theme="0" tint="-0.249977111117893"/>
      </right>
      <top style="thin">
        <color theme="8" tint="-0.249977111117893"/>
      </top>
      <bottom/>
      <diagonal/>
    </border>
    <border>
      <left style="medium">
        <color theme="0" tint="-0.34998626667073579"/>
      </left>
      <right/>
      <top/>
      <bottom style="hair">
        <color theme="9" tint="-0.24994659260841701"/>
      </bottom>
      <diagonal/>
    </border>
    <border>
      <left/>
      <right style="medium">
        <color theme="0" tint="-0.34998626667073579"/>
      </right>
      <top/>
      <bottom style="hair">
        <color theme="9" tint="-0.24994659260841701"/>
      </bottom>
      <diagonal/>
    </border>
    <border>
      <left style="medium">
        <color theme="0" tint="-0.34998626667073579"/>
      </left>
      <right/>
      <top style="hair">
        <color theme="9" tint="-0.24994659260841701"/>
      </top>
      <bottom/>
      <diagonal/>
    </border>
    <border>
      <left/>
      <right style="medium">
        <color theme="0" tint="-0.34998626667073579"/>
      </right>
      <top style="hair">
        <color theme="9" tint="-0.24994659260841701"/>
      </top>
      <bottom/>
      <diagonal/>
    </border>
    <border>
      <left style="medium">
        <color theme="0" tint="-0.34998626667073579"/>
      </left>
      <right/>
      <top/>
      <bottom style="thin">
        <color theme="9" tint="-0.24994659260841701"/>
      </bottom>
      <diagonal/>
    </border>
    <border>
      <left/>
      <right style="medium">
        <color theme="0" tint="-0.34998626667073579"/>
      </right>
      <top/>
      <bottom style="thin">
        <color theme="9" tint="-0.24994659260841701"/>
      </bottom>
      <diagonal/>
    </border>
    <border>
      <left style="medium">
        <color theme="0" tint="-0.34998626667073579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theme="0" tint="-0.34998626667073579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0" tint="-0.34998626667073579"/>
      </left>
      <right/>
      <top style="thin">
        <color theme="9" tint="-0.24994659260841701"/>
      </top>
      <bottom/>
      <diagonal/>
    </border>
    <border>
      <left/>
      <right style="medium">
        <color theme="0" tint="-0.34998626667073579"/>
      </right>
      <top style="thin">
        <color theme="9" tint="-0.24994659260841701"/>
      </top>
      <bottom/>
      <diagonal/>
    </border>
    <border>
      <left/>
      <right/>
      <top style="medium">
        <color theme="0" tint="-0.34998626667073579"/>
      </top>
      <bottom style="thick">
        <color theme="0" tint="-0.49998474074526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499984740745262"/>
      </bottom>
      <diagonal/>
    </border>
    <border>
      <left style="medium">
        <color theme="0" tint="-0.34998626667073579"/>
      </left>
      <right/>
      <top style="hair">
        <color theme="8" tint="-0.24994659260841701"/>
      </top>
      <bottom/>
      <diagonal/>
    </border>
    <border>
      <left/>
      <right style="medium">
        <color theme="0" tint="-0.34998626667073579"/>
      </right>
      <top style="hair">
        <color theme="8" tint="-0.24994659260841701"/>
      </top>
      <bottom/>
      <diagonal/>
    </border>
    <border>
      <left style="medium">
        <color theme="0" tint="-0.34998626667073579"/>
      </left>
      <right/>
      <top style="thin">
        <color theme="8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theme="0" tint="-0.34998626667073579"/>
      </right>
      <top style="thin">
        <color rgb="FF0070C0"/>
      </top>
      <bottom/>
      <diagonal/>
    </border>
    <border>
      <left/>
      <right style="medium">
        <color theme="0" tint="-0.34998626667073579"/>
      </right>
      <top/>
      <bottom style="thin">
        <color rgb="FF0070C0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8" tint="-0.249977111117893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rgb="FF0070C0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rgb="FF0070C0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2" tint="-0.249977111117893"/>
      </left>
      <right/>
      <top style="medium">
        <color theme="0" tint="-0.34998626667073579"/>
      </top>
      <bottom style="medium">
        <color theme="8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9" tint="-0.249977111117893"/>
      </bottom>
      <diagonal/>
    </border>
    <border>
      <left style="medium">
        <color rgb="FFFF0000"/>
      </left>
      <right style="dotted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/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rgb="FFFF0000"/>
      </right>
      <top style="thin">
        <color theme="0" tint="-0.24994659260841701"/>
      </top>
      <bottom style="thin">
        <color indexed="64"/>
      </bottom>
      <diagonal/>
    </border>
    <border>
      <left style="medium">
        <color rgb="FFFF0000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indexed="64"/>
      </top>
      <bottom style="dotted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dotted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rgb="FFFF0000"/>
      </left>
      <right style="dotted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rgb="FFFF0000"/>
      </right>
      <top/>
      <bottom/>
      <diagonal/>
    </border>
    <border>
      <left/>
      <right/>
      <top style="medium">
        <color theme="9" tint="-0.249977111117893"/>
      </top>
      <bottom style="thin">
        <color theme="0" tint="-0.24994659260841701"/>
      </bottom>
      <diagonal/>
    </border>
    <border>
      <left/>
      <right style="dotted">
        <color theme="0" tint="-0.24994659260841701"/>
      </right>
      <top style="medium">
        <color theme="9" tint="-0.249977111117893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/>
      <top style="medium">
        <color theme="9" tint="-0.249977111117893"/>
      </top>
      <bottom/>
      <diagonal/>
    </border>
    <border>
      <left/>
      <right style="dotted">
        <color theme="0" tint="-0.24994659260841701"/>
      </right>
      <top style="medium">
        <color theme="9" tint="-0.249977111117893"/>
      </top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medium">
        <color theme="9" tint="-0.249977111117893"/>
      </top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 style="medium">
        <color theme="9" tint="-0.249977111117893"/>
      </top>
      <bottom/>
      <diagonal/>
    </border>
    <border>
      <left style="double">
        <color theme="0" tint="-0.24994659260841701"/>
      </left>
      <right/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9" tint="-0.249977111117893"/>
      </right>
      <top style="medium">
        <color theme="9" tint="-0.249977111117893"/>
      </top>
      <bottom/>
      <diagonal/>
    </border>
    <border>
      <left style="thin">
        <color theme="0" tint="-0.24994659260841701"/>
      </left>
      <right style="thin">
        <color theme="9" tint="-0.249977111117893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thin">
        <color theme="9" tint="0.39997558519241921"/>
      </bottom>
      <diagonal/>
    </border>
    <border>
      <left/>
      <right style="double">
        <color theme="0" tint="-0.24994659260841701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 tint="-0.24994659260841701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double">
        <color theme="0" tint="-0.24994659260841701"/>
      </right>
      <top style="thin">
        <color theme="9" tint="-0.249977111117893"/>
      </top>
      <bottom/>
      <diagonal/>
    </border>
    <border>
      <left style="double">
        <color theme="0" tint="-0.24994659260841701"/>
      </left>
      <right/>
      <top style="thin">
        <color theme="9" tint="-0.249977111117893"/>
      </top>
      <bottom/>
      <diagonal/>
    </border>
    <border>
      <left/>
      <right style="double">
        <color theme="0" tint="-0.24994659260841701"/>
      </right>
      <top/>
      <bottom style="dotted">
        <color theme="9" tint="-0.249977111117893"/>
      </bottom>
      <diagonal/>
    </border>
    <border>
      <left style="double">
        <color theme="0" tint="-0.24994659260841701"/>
      </left>
      <right/>
      <top/>
      <bottom style="dotted">
        <color theme="9" tint="-0.249977111117893"/>
      </bottom>
      <diagonal/>
    </border>
    <border>
      <left/>
      <right/>
      <top/>
      <bottom style="dotted">
        <color theme="9" tint="-0.249977111117893"/>
      </bottom>
      <diagonal/>
    </border>
    <border>
      <left style="medium">
        <color rgb="FFFF0000"/>
      </left>
      <right style="dotted">
        <color theme="0" tint="-0.24994659260841701"/>
      </right>
      <top/>
      <bottom style="dotted">
        <color theme="9" tint="-0.249977111117893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dotted">
        <color theme="9" tint="-0.249977111117893"/>
      </bottom>
      <diagonal/>
    </border>
    <border>
      <left style="dotted">
        <color theme="0" tint="-0.24994659260841701"/>
      </left>
      <right style="thin">
        <color theme="0" tint="-0.24994659260841701"/>
      </right>
      <top/>
      <bottom style="dotted">
        <color theme="9" tint="-0.249977111117893"/>
      </bottom>
      <diagonal/>
    </border>
    <border>
      <left style="medium">
        <color rgb="FFFF0000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medium">
        <color rgb="FFFF0000"/>
      </right>
      <top style="dotted">
        <color theme="0" tint="-0.24994659260841701"/>
      </top>
      <bottom/>
      <diagonal/>
    </border>
    <border>
      <left/>
      <right style="double">
        <color theme="0" tint="-0.24994659260841701"/>
      </right>
      <top style="dotted">
        <color theme="9" tint="-0.249977111117893"/>
      </top>
      <bottom/>
      <diagonal/>
    </border>
    <border>
      <left style="double">
        <color theme="0" tint="-0.24994659260841701"/>
      </left>
      <right/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/>
      <diagonal/>
    </border>
    <border>
      <left style="medium">
        <color rgb="FFFF0000"/>
      </left>
      <right style="dotted">
        <color theme="0" tint="-0.24994659260841701"/>
      </right>
      <top style="dotted">
        <color theme="9" tint="-0.249977111117893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9" tint="-0.249977111117893"/>
      </top>
      <bottom/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9" tint="-0.249977111117893"/>
      </top>
      <bottom/>
      <diagonal/>
    </border>
    <border>
      <left style="thin">
        <color theme="0" tint="-0.24994659260841701"/>
      </left>
      <right style="medium">
        <color rgb="FFFF0000"/>
      </right>
      <top style="dotted">
        <color theme="9" tint="-0.249977111117893"/>
      </top>
      <bottom/>
      <diagonal/>
    </border>
    <border>
      <left style="medium">
        <color rgb="FFFF0000"/>
      </left>
      <right style="dotted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9" tint="-0.249977111117893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9" tint="-0.249977111117893"/>
      </right>
      <top/>
      <bottom style="medium">
        <color theme="9" tint="-0.249977111117893"/>
      </bottom>
      <diagonal/>
    </border>
    <border>
      <left style="thin">
        <color theme="9" tint="-0.249977111117893"/>
      </left>
      <right/>
      <top/>
      <bottom style="medium">
        <color theme="9" tint="-0.249977111117893"/>
      </bottom>
      <diagonal/>
    </border>
    <border>
      <left/>
      <right style="double">
        <color theme="0" tint="-0.24994659260841701"/>
      </right>
      <top/>
      <bottom style="medium">
        <color theme="9" tint="-0.249977111117893"/>
      </bottom>
      <diagonal/>
    </border>
    <border>
      <left/>
      <right/>
      <top style="thin">
        <color theme="0" tint="-0.249977111117893"/>
      </top>
      <bottom style="double">
        <color theme="0" tint="-0.249977111117893"/>
      </bottom>
      <diagonal/>
    </border>
    <border>
      <left/>
      <right style="medium">
        <color theme="0" tint="-0.34998626667073579"/>
      </right>
      <top/>
      <bottom style="medium">
        <color theme="2" tint="-0.24994659260841701"/>
      </bottom>
      <diagonal/>
    </border>
    <border>
      <left/>
      <right style="medium">
        <color theme="0" tint="-0.34998626667073579"/>
      </right>
      <top/>
      <bottom style="medium">
        <color rgb="FF548235"/>
      </bottom>
      <diagonal/>
    </border>
    <border>
      <left/>
      <right style="medium">
        <color theme="0" tint="-0.34998626667073579"/>
      </right>
      <top/>
      <bottom style="medium">
        <color theme="2" tint="-0.249977111117893"/>
      </bottom>
      <diagonal/>
    </border>
    <border>
      <left/>
      <right style="medium">
        <color theme="0" tint="-0.34998626667073579"/>
      </right>
      <top/>
      <bottom style="medium">
        <color theme="9" tint="-0.24994659260841701"/>
      </bottom>
      <diagonal/>
    </border>
    <border>
      <left/>
      <right/>
      <top style="thin">
        <color rgb="FF305496"/>
      </top>
      <bottom/>
      <diagonal/>
    </border>
    <border>
      <left/>
      <right/>
      <top/>
      <bottom style="medium">
        <color rgb="FF305496"/>
      </bottom>
      <diagonal/>
    </border>
    <border>
      <left style="double">
        <color rgb="FFBFBFBF"/>
      </left>
      <right/>
      <top style="medium">
        <color rgb="FF548235"/>
      </top>
      <bottom/>
      <diagonal/>
    </border>
    <border>
      <left style="double">
        <color rgb="FFBFBFBF"/>
      </left>
      <right/>
      <top/>
      <bottom/>
      <diagonal/>
    </border>
    <border>
      <left style="double">
        <color rgb="FFBFBFBF"/>
      </left>
      <right/>
      <top style="thin">
        <color rgb="FF548235"/>
      </top>
      <bottom/>
      <diagonal/>
    </border>
    <border>
      <left style="double">
        <color rgb="FFBFBFBF"/>
      </left>
      <right/>
      <top/>
      <bottom style="thin">
        <color rgb="FFA9D08E"/>
      </bottom>
      <diagonal/>
    </border>
    <border>
      <left style="double">
        <color rgb="FFBFBFBF"/>
      </left>
      <right/>
      <top style="dotted">
        <color rgb="FF548235"/>
      </top>
      <bottom/>
      <diagonal/>
    </border>
    <border>
      <left style="double">
        <color rgb="FFBFBFBF"/>
      </left>
      <right/>
      <top/>
      <bottom style="dotted">
        <color rgb="FF548235"/>
      </bottom>
      <diagonal/>
    </border>
    <border>
      <left style="double">
        <color rgb="FFBFBFBF"/>
      </left>
      <right/>
      <top/>
      <bottom style="medium">
        <color rgb="FF548235"/>
      </bottom>
      <diagonal/>
    </border>
    <border>
      <left/>
      <right/>
      <top style="medium">
        <color rgb="FFBF8F00"/>
      </top>
      <bottom/>
      <diagonal/>
    </border>
    <border>
      <left/>
      <right/>
      <top style="thin">
        <color rgb="FFBF8F00"/>
      </top>
      <bottom/>
      <diagonal/>
    </border>
    <border>
      <left style="thin">
        <color rgb="FF808080"/>
      </left>
      <right/>
      <top style="medium">
        <color rgb="FF305496"/>
      </top>
      <bottom/>
      <diagonal/>
    </border>
    <border>
      <left style="thin">
        <color rgb="FF808080"/>
      </left>
      <right/>
      <top style="thin">
        <color rgb="FF305496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medium">
        <color rgb="FF305496"/>
      </bottom>
      <diagonal/>
    </border>
    <border>
      <left style="thin">
        <color rgb="FF808080"/>
      </left>
      <right/>
      <top/>
      <bottom style="medium">
        <color rgb="FFFF0000"/>
      </bottom>
      <diagonal/>
    </border>
    <border>
      <left/>
      <right/>
      <top style="medium">
        <color rgb="FF305496"/>
      </top>
      <bottom/>
      <diagonal/>
    </border>
    <border>
      <left style="thin">
        <color rgb="FFAEAAAA"/>
      </left>
      <right style="medium">
        <color rgb="FFFF0000"/>
      </right>
      <top style="medium">
        <color rgb="FF305496"/>
      </top>
      <bottom/>
      <diagonal/>
    </border>
    <border>
      <left style="thin">
        <color rgb="FFAEAAAA"/>
      </left>
      <right style="medium">
        <color rgb="FFFF0000"/>
      </right>
      <top style="thin">
        <color rgb="FF305496"/>
      </top>
      <bottom/>
      <diagonal/>
    </border>
    <border>
      <left style="thin">
        <color rgb="FFAEAAAA"/>
      </left>
      <right style="medium">
        <color rgb="FFFF0000"/>
      </right>
      <top/>
      <bottom/>
      <diagonal/>
    </border>
    <border>
      <left style="thin">
        <color rgb="FFAEAAAA"/>
      </left>
      <right style="medium">
        <color rgb="FFFF0000"/>
      </right>
      <top/>
      <bottom style="medium">
        <color rgb="FF305496"/>
      </bottom>
      <diagonal/>
    </border>
    <border>
      <left/>
      <right/>
      <top style="thin">
        <color rgb="FF9BC2E6"/>
      </top>
      <bottom/>
      <diagonal/>
    </border>
    <border>
      <left style="thin">
        <color rgb="FFAEAAAA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BF8F00"/>
      </top>
      <bottom/>
      <diagonal/>
    </border>
    <border>
      <left style="medium">
        <color rgb="FFFF0000"/>
      </left>
      <right/>
      <top style="thin">
        <color rgb="FFBF8F00"/>
      </top>
      <bottom/>
      <diagonal/>
    </border>
    <border>
      <left style="medium">
        <color rgb="FFFF0000"/>
      </left>
      <right/>
      <top/>
      <bottom style="thin">
        <color rgb="FFBF8F00"/>
      </bottom>
      <diagonal/>
    </border>
    <border>
      <left style="medium">
        <color rgb="FFFF0000"/>
      </left>
      <right/>
      <top/>
      <bottom style="medium">
        <color rgb="FFBF8F00"/>
      </bottom>
      <diagonal/>
    </border>
    <border>
      <left style="medium">
        <color rgb="FF808080"/>
      </left>
      <right/>
      <top style="medium">
        <color rgb="FF305496"/>
      </top>
      <bottom/>
      <diagonal/>
    </border>
    <border>
      <left style="medium">
        <color rgb="FF808080"/>
      </left>
      <right/>
      <top/>
      <bottom/>
      <diagonal/>
    </border>
    <border>
      <left style="medium">
        <color rgb="FF808080"/>
      </left>
      <right/>
      <top style="thin">
        <color rgb="FF305496"/>
      </top>
      <bottom/>
      <diagonal/>
    </border>
    <border>
      <left style="medium">
        <color rgb="FF808080"/>
      </left>
      <right/>
      <top/>
      <bottom style="thin">
        <color rgb="FF305496"/>
      </bottom>
      <diagonal/>
    </border>
    <border>
      <left style="medium">
        <color rgb="FF808080"/>
      </left>
      <right/>
      <top/>
      <bottom style="medium">
        <color rgb="FF305496"/>
      </bottom>
      <diagonal/>
    </border>
    <border>
      <left/>
      <right/>
      <top style="dotted">
        <color rgb="FF305496"/>
      </top>
      <bottom/>
      <diagonal/>
    </border>
    <border>
      <left/>
      <right/>
      <top/>
      <bottom style="dotted">
        <color rgb="FF305496"/>
      </bottom>
      <diagonal/>
    </border>
    <border>
      <left/>
      <right/>
      <top style="medium">
        <color rgb="FF548235"/>
      </top>
      <bottom/>
      <diagonal/>
    </border>
    <border>
      <left/>
      <right/>
      <top style="dotted">
        <color rgb="FF548235"/>
      </top>
      <bottom/>
      <diagonal/>
    </border>
    <border>
      <left/>
      <right/>
      <top/>
      <bottom style="dotted">
        <color rgb="FF548235"/>
      </bottom>
      <diagonal/>
    </border>
    <border>
      <left/>
      <right/>
      <top/>
      <bottom style="dotted">
        <color rgb="FFBF8F00"/>
      </bottom>
      <diagonal/>
    </border>
    <border>
      <left/>
      <right/>
      <top style="dotted">
        <color rgb="FFBF8F00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 style="medium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 style="thin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/>
      <bottom/>
      <diagonal/>
    </border>
    <border>
      <left style="medium">
        <color theme="2" tint="-0.249977111117893"/>
      </left>
      <right style="medium">
        <color theme="0" tint="-0.34998626667073579"/>
      </right>
      <top/>
      <bottom style="medium">
        <color theme="8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0" tint="-0.499984740745262"/>
      </left>
      <right/>
      <top/>
      <bottom style="medium">
        <color theme="4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theme="4" tint="-0.249977111117893"/>
      </bottom>
      <diagonal/>
    </border>
    <border>
      <left style="thin">
        <color theme="2" tint="-0.24994659260841701"/>
      </left>
      <right/>
      <top/>
      <bottom style="medium">
        <color theme="4" tint="-0.249977111117893"/>
      </bottom>
      <diagonal/>
    </border>
    <border>
      <left style="thin">
        <color theme="0" tint="-0.499984740745262"/>
      </left>
      <right/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4" tint="-0.249977111117893"/>
      </bottom>
      <diagonal/>
    </border>
    <border>
      <left style="medium">
        <color theme="0" tint="-0.34998626667073579"/>
      </left>
      <right/>
      <top/>
      <bottom style="medium">
        <color theme="4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4" tint="-0.249977111117893"/>
      </bottom>
      <diagonal/>
    </border>
    <border>
      <left/>
      <right/>
      <top style="double">
        <color theme="0" tint="-0.34998626667073579"/>
      </top>
      <bottom/>
      <diagonal/>
    </border>
    <border>
      <left/>
      <right style="medium">
        <color theme="2" tint="-0.249977111117893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9" tint="-0.249977111117893"/>
      </top>
      <bottom/>
      <diagonal/>
    </border>
    <border>
      <left/>
      <right style="medium">
        <color theme="0" tint="-0.34998626667073579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 style="medium">
        <color theme="0" tint="-0.34998626667073579"/>
      </right>
      <top/>
      <bottom/>
      <diagonal/>
    </border>
    <border>
      <left style="double">
        <color theme="0" tint="-0.24994659260841701"/>
      </left>
      <right style="medium">
        <color theme="0" tint="-0.34998626667073579"/>
      </right>
      <top style="thin">
        <color theme="9" tint="-0.249977111117893"/>
      </top>
      <bottom/>
      <diagonal/>
    </border>
    <border>
      <left style="double">
        <color theme="0" tint="-0.24994659260841701"/>
      </left>
      <right style="medium">
        <color theme="0" tint="-0.34998626667073579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 style="medium">
        <color theme="0" tint="-0.34998626667073579"/>
      </right>
      <top style="dotted">
        <color theme="9" tint="-0.249977111117893"/>
      </top>
      <bottom/>
      <diagonal/>
    </border>
    <border>
      <left style="double">
        <color theme="0" tint="-0.24994659260841701"/>
      </left>
      <right style="medium">
        <color theme="0" tint="-0.34998626667073579"/>
      </right>
      <top/>
      <bottom style="medium">
        <color theme="9" tint="-0.249977111117893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theme="7" tint="-0.249977111117893"/>
      </bottom>
      <diagonal/>
    </border>
    <border>
      <left style="thick">
        <color theme="7" tint="-0.249977111117893"/>
      </left>
      <right style="thin">
        <color theme="8" tint="-0.249977111117893"/>
      </right>
      <top/>
      <bottom style="medium">
        <color theme="7" tint="-0.249977111117893"/>
      </bottom>
      <diagonal/>
    </border>
    <border>
      <left/>
      <right style="thick">
        <color theme="7" tint="-0.249977111117893"/>
      </right>
      <top/>
      <bottom style="medium">
        <color theme="7" tint="-0.249977111117893"/>
      </bottom>
      <diagonal/>
    </border>
    <border>
      <left style="thick">
        <color theme="7" tint="-0.249977111117893"/>
      </left>
      <right style="thin">
        <color theme="8" tint="-0.249977111117893"/>
      </right>
      <top style="medium">
        <color theme="7" tint="-0.249977111117893"/>
      </top>
      <bottom/>
      <diagonal/>
    </border>
    <border>
      <left/>
      <right style="thick">
        <color theme="7" tint="-0.249977111117893"/>
      </right>
      <top style="medium">
        <color theme="7" tint="-0.249977111117893"/>
      </top>
      <bottom/>
      <diagonal/>
    </border>
    <border>
      <left/>
      <right/>
      <top style="thick">
        <color theme="9" tint="-0.249977111117893"/>
      </top>
      <bottom style="medium">
        <color theme="7" tint="-0.249977111117893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4659260841701"/>
      </bottom>
      <diagonal/>
    </border>
    <border>
      <left style="medium">
        <color theme="0" tint="-0.34998626667073579"/>
      </left>
      <right/>
      <top/>
      <bottom style="medium">
        <color theme="9" tint="-0.24994659260841701"/>
      </bottom>
      <diagonal/>
    </border>
    <border>
      <left style="medium">
        <color theme="0" tint="-0.34998626667073579"/>
      </left>
      <right/>
      <top style="thick">
        <color theme="8" tint="-0.249977111117893"/>
      </top>
      <bottom/>
      <diagonal/>
    </border>
    <border>
      <left style="medium">
        <color theme="0" tint="-0.34998626667073579"/>
      </left>
      <right/>
      <top/>
      <bottom style="thick">
        <color theme="8" tint="-0.249977111117893"/>
      </bottom>
      <diagonal/>
    </border>
    <border>
      <left style="medium">
        <color theme="0" tint="-0.34998626667073579"/>
      </left>
      <right/>
      <top style="thick">
        <color theme="9" tint="-0.249977111117893"/>
      </top>
      <bottom/>
      <diagonal/>
    </border>
    <border>
      <left style="medium">
        <color theme="0" tint="-0.34998626667073579"/>
      </left>
      <right/>
      <top style="thick">
        <color theme="9" tint="-0.249977111117893"/>
      </top>
      <bottom style="medium">
        <color theme="7" tint="-0.249977111117893"/>
      </bottom>
      <diagonal/>
    </border>
    <border>
      <left style="medium">
        <color theme="0" tint="-0.34998626667073579"/>
      </left>
      <right/>
      <top style="medium">
        <color theme="7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7" tint="-0.249977111117893"/>
      </bottom>
      <diagonal/>
    </border>
    <border>
      <left style="medium">
        <color theme="0" tint="-0.34998626667073579"/>
      </left>
      <right/>
      <top style="medium">
        <color theme="7" tint="-0.24994659260841701"/>
      </top>
      <bottom/>
      <diagonal/>
    </border>
    <border>
      <left style="medium">
        <color theme="0" tint="-0.34998626667073579"/>
      </left>
      <right/>
      <top style="hair">
        <color theme="7" tint="-0.24994659260841701"/>
      </top>
      <bottom/>
      <diagonal/>
    </border>
    <border>
      <left style="medium">
        <color theme="0" tint="-0.34998626667073579"/>
      </left>
      <right/>
      <top/>
      <bottom style="medium">
        <color theme="7" tint="-0.24994659260841701"/>
      </bottom>
      <diagonal/>
    </border>
    <border>
      <left style="medium">
        <color theme="0" tint="-0.34998626667073579"/>
      </left>
      <right/>
      <top style="thin">
        <color theme="7" tint="-0.24994659260841701"/>
      </top>
      <bottom/>
      <diagonal/>
    </border>
    <border>
      <left style="medium">
        <color theme="0" tint="-0.34998626667073579"/>
      </left>
      <right/>
      <top/>
      <bottom style="thin">
        <color theme="7" tint="-0.24994659260841701"/>
      </bottom>
      <diagonal/>
    </border>
    <border>
      <left style="medium">
        <color theme="0" tint="-0.34998626667073579"/>
      </left>
      <right/>
      <top style="dotted">
        <color theme="8" tint="-0.249977111117893"/>
      </top>
      <bottom/>
      <diagonal/>
    </border>
    <border>
      <left style="medium">
        <color theme="0" tint="-0.34998626667073579"/>
      </left>
      <right/>
      <top/>
      <bottom style="dotted">
        <color theme="8" tint="-0.249977111117893"/>
      </bottom>
      <diagonal/>
    </border>
    <border>
      <left style="medium">
        <color theme="0" tint="-0.34998626667073579"/>
      </left>
      <right/>
      <top style="dotted">
        <color theme="8" tint="-0.24994659260841701"/>
      </top>
      <bottom/>
      <diagonal/>
    </border>
    <border>
      <left style="medium">
        <color theme="0" tint="-0.34998626667073579"/>
      </left>
      <right/>
      <top style="dotted">
        <color theme="9" tint="-0.24994659260841701"/>
      </top>
      <bottom/>
      <diagonal/>
    </border>
    <border>
      <left style="medium">
        <color theme="0" tint="-0.34998626667073579"/>
      </left>
      <right/>
      <top/>
      <bottom style="dotted">
        <color theme="9" tint="-0.24994659260841701"/>
      </bottom>
      <diagonal/>
    </border>
    <border>
      <left style="medium">
        <color theme="0" tint="-0.34998626667073579"/>
      </left>
      <right/>
      <top style="hair">
        <color theme="0" tint="-0.24994659260841701"/>
      </top>
      <bottom/>
      <diagonal/>
    </border>
    <border>
      <left style="medium">
        <color theme="0" tint="-0.34998626667073579"/>
      </left>
      <right/>
      <top/>
      <bottom style="hair">
        <color theme="0" tint="-0.24994659260841701"/>
      </bottom>
      <diagonal/>
    </border>
    <border>
      <left style="medium">
        <color theme="0" tint="-0.34998626667073579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34998626667073579"/>
      </left>
      <right style="thin">
        <color theme="0" tint="-0.499984740745262"/>
      </right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9" tint="0.39997558519241921"/>
      </bottom>
      <diagonal/>
    </border>
    <border>
      <left style="medium">
        <color theme="0" tint="-0.34998626667073579"/>
      </left>
      <right/>
      <top style="dotted">
        <color theme="9" tint="-0.249977111117893"/>
      </top>
      <bottom/>
      <diagonal/>
    </border>
    <border>
      <left/>
      <right style="dotted">
        <color theme="0" tint="-0.24994659260841701"/>
      </right>
      <top/>
      <bottom style="thin">
        <color theme="0" tint="-0.24994659260841701"/>
      </bottom>
      <diagonal/>
    </border>
    <border>
      <left style="dotted">
        <color theme="0" tint="-0.24994659260841701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double">
        <color theme="0" tint="-0.34998626667073579"/>
      </top>
      <bottom/>
      <diagonal/>
    </border>
    <border>
      <left/>
      <right style="medium">
        <color theme="0" tint="-0.34998626667073579"/>
      </right>
      <top style="double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double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7" tint="-0.24994659260841701"/>
      </top>
      <bottom style="thin">
        <color theme="7" tint="-0.24994659260841701"/>
      </bottom>
      <diagonal/>
    </border>
    <border>
      <left/>
      <right style="medium">
        <color rgb="FFFF0000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7" tint="-0.24994659260841701"/>
      </bottom>
      <diagonal/>
    </border>
    <border>
      <left style="thin">
        <color theme="8" tint="-0.24994659260841701"/>
      </left>
      <right/>
      <top/>
      <bottom style="hair">
        <color theme="2" tint="-9.9978637043366805E-2"/>
      </bottom>
      <diagonal/>
    </border>
    <border>
      <left/>
      <right/>
      <top/>
      <bottom style="hair">
        <color theme="2" tint="-9.9978637043366805E-2"/>
      </bottom>
      <diagonal/>
    </border>
    <border>
      <left/>
      <right/>
      <top style="hair">
        <color theme="0" tint="-0.24994659260841701"/>
      </top>
      <bottom style="hair">
        <color theme="2" tint="-9.9978637043366805E-2"/>
      </bottom>
      <diagonal/>
    </border>
    <border>
      <left style="thin">
        <color theme="8" tint="-0.24994659260841701"/>
      </left>
      <right/>
      <top style="hair">
        <color theme="2" tint="-9.9978637043366805E-2"/>
      </top>
      <bottom/>
      <diagonal/>
    </border>
    <border>
      <left/>
      <right/>
      <top style="hair">
        <color theme="2" tint="-9.9978637043366805E-2"/>
      </top>
      <bottom/>
      <diagonal/>
    </border>
    <border>
      <left style="thin">
        <color theme="0" tint="-0.34998626667073579"/>
      </left>
      <right/>
      <top style="medium">
        <color theme="2" tint="-0.249977111117893"/>
      </top>
      <bottom/>
      <diagonal/>
    </border>
    <border>
      <left style="thin">
        <color theme="0" tint="-0.34998626667073579"/>
      </left>
      <right/>
      <top style="medium">
        <color theme="9" tint="-0.249977111117893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2" tint="-0.24994659260841701"/>
      </top>
      <bottom style="medium">
        <color theme="9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9" tint="-0.249977111117893"/>
      </top>
      <bottom/>
      <diagonal/>
    </border>
    <border>
      <left style="thin">
        <color theme="0" tint="-0.34998626667073579"/>
      </left>
      <right/>
      <top style="medium">
        <color theme="7" tint="-0.249977111117893"/>
      </top>
      <bottom/>
      <diagonal/>
    </border>
    <border>
      <left style="thin">
        <color theme="0" tint="-0.34998626667073579"/>
      </left>
      <right/>
      <top style="dotted">
        <color theme="7" tint="-0.24994659260841701"/>
      </top>
      <bottom/>
      <diagonal/>
    </border>
    <border>
      <left style="thin">
        <color theme="0" tint="-0.34998626667073579"/>
      </left>
      <right/>
      <top/>
      <bottom style="thin">
        <color theme="7" tint="-0.24994659260841701"/>
      </bottom>
      <diagonal/>
    </border>
    <border>
      <left style="thin">
        <color theme="0" tint="-0.34998626667073579"/>
      </left>
      <right/>
      <top/>
      <bottom style="dotted">
        <color theme="7" tint="-0.24994659260841701"/>
      </bottom>
      <diagonal/>
    </border>
    <border>
      <left style="thin">
        <color theme="0" tint="-0.34998626667073579"/>
      </left>
      <right/>
      <top/>
      <bottom style="medium">
        <color theme="7" tint="-0.24994659260841701"/>
      </bottom>
      <diagonal/>
    </border>
    <border>
      <left style="thin">
        <color theme="0" tint="-0.34998626667073579"/>
      </left>
      <right/>
      <top style="dotted">
        <color theme="8"/>
      </top>
      <bottom/>
      <diagonal/>
    </border>
    <border>
      <left style="thin">
        <color theme="0" tint="-0.34998626667073579"/>
      </left>
      <right/>
      <top style="medium">
        <color theme="8" tint="-0.24994659260841701"/>
      </top>
      <bottom/>
      <diagonal/>
    </border>
    <border>
      <left style="thin">
        <color theme="0" tint="-0.34998626667073579"/>
      </left>
      <right/>
      <top style="thin">
        <color theme="8" tint="-0.24994659260841701"/>
      </top>
      <bottom/>
      <diagonal/>
    </border>
    <border>
      <left style="thin">
        <color theme="0" tint="-0.34998626667073579"/>
      </left>
      <right/>
      <top/>
      <bottom style="thin">
        <color rgb="FF0070C0"/>
      </bottom>
      <diagonal/>
    </border>
    <border>
      <left style="thin">
        <color theme="0" tint="-0.34998626667073579"/>
      </left>
      <right/>
      <top style="thin">
        <color rgb="FF0070C0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/>
      <top/>
      <bottom style="thin">
        <color theme="8" tint="-0.24994659260841701"/>
      </bottom>
      <diagonal/>
    </border>
    <border>
      <left style="thin">
        <color theme="0" tint="-0.34998626667073579"/>
      </left>
      <right/>
      <top style="hair">
        <color theme="8" tint="-0.24994659260841701"/>
      </top>
      <bottom/>
      <diagonal/>
    </border>
    <border>
      <left style="thin">
        <color theme="0" tint="-0.34998626667073579"/>
      </left>
      <right/>
      <top style="medium">
        <color theme="9" tint="-0.24994659260841701"/>
      </top>
      <bottom/>
      <diagonal/>
    </border>
    <border>
      <left style="thin">
        <color theme="0" tint="-0.34998626667073579"/>
      </left>
      <right/>
      <top/>
      <bottom style="hair">
        <color theme="9" tint="-0.24994659260841701"/>
      </bottom>
      <diagonal/>
    </border>
    <border>
      <left style="thin">
        <color theme="0" tint="-0.34998626667073579"/>
      </left>
      <right/>
      <top style="hair">
        <color theme="9" tint="-0.24994659260841701"/>
      </top>
      <bottom/>
      <diagonal/>
    </border>
    <border>
      <left style="thin">
        <color theme="0" tint="-0.34998626667073579"/>
      </left>
      <right/>
      <top/>
      <bottom style="thin">
        <color theme="9" tint="-0.24994659260841701"/>
      </bottom>
      <diagonal/>
    </border>
    <border>
      <left style="thin">
        <color theme="0" tint="-0.34998626667073579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 tint="-0.34998626667073579"/>
      </left>
      <right/>
      <top style="thin">
        <color theme="9" tint="-0.249977111117893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dotted">
        <color auto="1"/>
      </bottom>
      <diagonal/>
    </border>
    <border>
      <left style="double">
        <color theme="0" tint="-0.2499465926084170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/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7" tint="-0.249977111117893"/>
      </bottom>
      <diagonal/>
    </border>
    <border>
      <left style="thin">
        <color theme="0" tint="-0.34998626667073579"/>
      </left>
      <right/>
      <top style="medium">
        <color theme="7" tint="-0.24994659260841701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0" tint="-0.34998626667073579"/>
      </top>
      <bottom style="thin">
        <color theme="8" tint="-0.249977111117893"/>
      </bottom>
      <diagonal/>
    </border>
    <border>
      <left style="medium">
        <color theme="2" tint="-0.249977111117893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8" tint="-0.249977111117893"/>
      </top>
      <bottom style="thin">
        <color theme="0" tint="-0.34998626667073579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0" tint="-0.34998626667073579"/>
      </bottom>
      <diagonal/>
    </border>
    <border>
      <left style="medium">
        <color theme="2" tint="-0.249977111117893"/>
      </left>
      <right/>
      <top/>
      <bottom style="thin">
        <color theme="0" tint="-0.34998626667073579"/>
      </bottom>
      <diagonal/>
    </border>
    <border>
      <left style="medium">
        <color theme="8" tint="-0.249977111117893"/>
      </left>
      <right/>
      <top style="thin">
        <color theme="0" tint="-0.34998626667073579"/>
      </top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9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thick">
        <color theme="8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9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thick">
        <color theme="9" tint="-0.249977111117893"/>
      </top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 tint="-0.34998626667073579"/>
      </left>
      <right/>
      <top/>
      <bottom style="thin">
        <color theme="0" tint="-0.14996795556505021"/>
      </bottom>
      <diagonal/>
    </border>
    <border>
      <left style="thin">
        <color theme="2" tint="-0.24994659260841701"/>
      </left>
      <right/>
      <top/>
      <bottom style="thin">
        <color theme="0" tint="-0.1499679555650502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14996795556505021"/>
      </bottom>
      <diagonal/>
    </border>
    <border>
      <left/>
      <right style="thin">
        <color theme="8" tint="-0.24994659260841701"/>
      </right>
      <top style="medium">
        <color theme="8" tint="-0.249977111117893"/>
      </top>
      <bottom/>
      <diagonal/>
    </border>
    <border>
      <left/>
      <right style="thin">
        <color theme="8" tint="-0.24994659260841701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/>
      <top style="thin">
        <color theme="8" tint="-0.249977111117893"/>
      </top>
      <bottom/>
      <diagonal/>
    </border>
    <border>
      <left style="medium">
        <color rgb="FFFF0000"/>
      </left>
      <right style="thin">
        <color theme="0" tint="-0.499984740745262"/>
      </right>
      <top/>
      <bottom/>
      <diagonal/>
    </border>
    <border>
      <left style="medium">
        <color rgb="FFFF0000"/>
      </left>
      <right style="medium">
        <color theme="8" tint="-0.24994659260841701"/>
      </right>
      <top/>
      <bottom/>
      <diagonal/>
    </border>
    <border>
      <left style="medium">
        <color rgb="FFFF0000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2" tint="-0.249977111117893"/>
      </right>
      <top/>
      <bottom/>
      <diagonal/>
    </border>
    <border>
      <left style="medium">
        <color theme="2" tint="-0.24994659260841701"/>
      </left>
      <right/>
      <top/>
      <bottom style="medium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rgb="FF0070C0"/>
      </bottom>
      <diagonal/>
    </border>
    <border>
      <left/>
      <right style="thin">
        <color theme="8" tint="-0.249977111117893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ck">
        <color theme="7" tint="-0.249977111117893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medium">
        <color theme="0" tint="-0.34998626667073579"/>
      </left>
      <right/>
      <top style="thin">
        <color rgb="FFFFC000"/>
      </top>
      <bottom/>
      <diagonal/>
    </border>
    <border>
      <left/>
      <right style="thin">
        <color theme="2" tint="-0.24994659260841701"/>
      </right>
      <top style="thin">
        <color rgb="FFFFC000"/>
      </top>
      <bottom/>
      <diagonal/>
    </border>
    <border>
      <left style="thin">
        <color theme="2" tint="-0.24994659260841701"/>
      </left>
      <right/>
      <top style="thin">
        <color rgb="FFFFC000"/>
      </top>
      <bottom/>
      <diagonal/>
    </border>
    <border>
      <left style="medium">
        <color rgb="FFFF0000"/>
      </left>
      <right style="medium">
        <color rgb="FFFF0000"/>
      </right>
      <top style="thin">
        <color rgb="FFFFC000"/>
      </top>
      <bottom/>
      <diagonal/>
    </border>
    <border>
      <left style="medium">
        <color rgb="FFFF0000"/>
      </left>
      <right/>
      <top style="thin">
        <color rgb="FFFFC000"/>
      </top>
      <bottom/>
      <diagonal/>
    </border>
    <border>
      <left/>
      <right style="thick">
        <color theme="7" tint="-0.249977111117893"/>
      </right>
      <top style="thin">
        <color rgb="FFFFC000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9" tint="-0.2499465926084170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7" tint="-0.249977111117893"/>
      </top>
      <bottom/>
      <diagonal/>
    </border>
  </borders>
  <cellStyleXfs count="1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0" borderId="0"/>
    <xf numFmtId="0" fontId="31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46" fillId="0" borderId="0"/>
    <xf numFmtId="0" fontId="48" fillId="0" borderId="0" applyNumberForma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63" fillId="0" borderId="0"/>
  </cellStyleXfs>
  <cellXfs count="7595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6" fillId="4" borderId="0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0" xfId="0" applyFill="1" applyBorder="1">
      <alignment vertical="center"/>
    </xf>
    <xf numFmtId="0" fontId="6" fillId="6" borderId="6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2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36" xfId="0" applyBorder="1">
      <alignment vertical="center"/>
    </xf>
    <xf numFmtId="0" fontId="0" fillId="8" borderId="0" xfId="0" applyFill="1" applyBorder="1">
      <alignment vertical="center"/>
    </xf>
    <xf numFmtId="0" fontId="6" fillId="10" borderId="43" xfId="0" applyFont="1" applyFill="1" applyBorder="1" applyAlignment="1">
      <alignment horizontal="center" vertical="center"/>
    </xf>
    <xf numFmtId="0" fontId="0" fillId="11" borderId="4" xfId="0" applyFill="1" applyBorder="1">
      <alignment vertical="center"/>
    </xf>
    <xf numFmtId="0" fontId="0" fillId="11" borderId="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9" borderId="0" xfId="0" applyFill="1" applyBorder="1">
      <alignment vertical="center"/>
    </xf>
    <xf numFmtId="0" fontId="0" fillId="8" borderId="6" xfId="0" applyFill="1" applyBorder="1">
      <alignment vertical="center"/>
    </xf>
    <xf numFmtId="0" fontId="0" fillId="0" borderId="36" xfId="0" applyFill="1" applyBorder="1">
      <alignment vertical="center"/>
    </xf>
    <xf numFmtId="0" fontId="0" fillId="0" borderId="32" xfId="0" applyFill="1" applyBorder="1">
      <alignment vertical="center"/>
    </xf>
    <xf numFmtId="0" fontId="0" fillId="0" borderId="56" xfId="0" applyFill="1" applyBorder="1">
      <alignment vertical="center"/>
    </xf>
    <xf numFmtId="0" fontId="0" fillId="6" borderId="34" xfId="0" applyFill="1" applyBorder="1">
      <alignment vertical="center"/>
    </xf>
    <xf numFmtId="0" fontId="0" fillId="0" borderId="63" xfId="0" applyFill="1" applyBorder="1">
      <alignment vertical="center"/>
    </xf>
    <xf numFmtId="0" fontId="0" fillId="9" borderId="58" xfId="0" applyFill="1" applyBorder="1">
      <alignment vertical="center"/>
    </xf>
    <xf numFmtId="0" fontId="0" fillId="11" borderId="68" xfId="0" applyFill="1" applyBorder="1">
      <alignment vertical="center"/>
    </xf>
    <xf numFmtId="0" fontId="0" fillId="8" borderId="37" xfId="0" applyFill="1" applyBorder="1">
      <alignment vertical="center"/>
    </xf>
    <xf numFmtId="0" fontId="8" fillId="0" borderId="0" xfId="0" applyFont="1" applyBorder="1">
      <alignment vertical="center"/>
    </xf>
    <xf numFmtId="0" fontId="0" fillId="0" borderId="58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68" xfId="0" applyBorder="1">
      <alignment vertical="center"/>
    </xf>
    <xf numFmtId="0" fontId="0" fillId="13" borderId="0" xfId="0" applyFill="1" applyBorder="1">
      <alignment vertical="center"/>
    </xf>
    <xf numFmtId="0" fontId="0" fillId="13" borderId="12" xfId="0" applyFill="1" applyBorder="1">
      <alignment vertical="center"/>
    </xf>
    <xf numFmtId="0" fontId="0" fillId="2" borderId="11" xfId="0" applyFill="1" applyBorder="1">
      <alignment vertical="center"/>
    </xf>
    <xf numFmtId="0" fontId="4" fillId="0" borderId="0" xfId="0" quotePrefix="1" applyFont="1" applyAlignment="1">
      <alignment horizontal="center" vertical="center"/>
    </xf>
    <xf numFmtId="0" fontId="6" fillId="14" borderId="0" xfId="0" quotePrefix="1" applyFont="1" applyFill="1" applyBorder="1" applyAlignment="1">
      <alignment horizontal="center" vertical="center"/>
    </xf>
    <xf numFmtId="0" fontId="6" fillId="14" borderId="46" xfId="0" quotePrefix="1" applyFont="1" applyFill="1" applyBorder="1" applyAlignment="1">
      <alignment horizontal="center" vertical="center"/>
    </xf>
    <xf numFmtId="0" fontId="9" fillId="11" borderId="4" xfId="0" applyFont="1" applyFill="1" applyBorder="1">
      <alignment vertical="center"/>
    </xf>
    <xf numFmtId="0" fontId="9" fillId="11" borderId="0" xfId="0" applyFont="1" applyFill="1" applyBorder="1">
      <alignment vertical="center"/>
    </xf>
    <xf numFmtId="0" fontId="10" fillId="0" borderId="0" xfId="0" applyFont="1" applyBorder="1">
      <alignment vertical="center"/>
    </xf>
    <xf numFmtId="0" fontId="9" fillId="11" borderId="68" xfId="0" applyFont="1" applyFill="1" applyBorder="1">
      <alignment vertical="center"/>
    </xf>
    <xf numFmtId="0" fontId="9" fillId="8" borderId="0" xfId="0" applyFont="1" applyFill="1" applyBorder="1">
      <alignment vertical="center"/>
    </xf>
    <xf numFmtId="0" fontId="9" fillId="8" borderId="6" xfId="0" applyFont="1" applyFill="1" applyBorder="1">
      <alignment vertical="center"/>
    </xf>
    <xf numFmtId="0" fontId="9" fillId="0" borderId="0" xfId="0" applyFont="1" applyBorder="1">
      <alignment vertical="center"/>
    </xf>
    <xf numFmtId="0" fontId="9" fillId="9" borderId="0" xfId="0" applyFont="1" applyFill="1" applyBorder="1">
      <alignment vertical="center"/>
    </xf>
    <xf numFmtId="0" fontId="9" fillId="9" borderId="58" xfId="0" applyFont="1" applyFill="1" applyBorder="1">
      <alignment vertical="center"/>
    </xf>
    <xf numFmtId="0" fontId="9" fillId="9" borderId="76" xfId="0" applyFont="1" applyFill="1" applyBorder="1">
      <alignment vertical="center"/>
    </xf>
    <xf numFmtId="0" fontId="9" fillId="0" borderId="68" xfId="0" applyFont="1" applyBorder="1">
      <alignment vertical="center"/>
    </xf>
    <xf numFmtId="0" fontId="9" fillId="0" borderId="0" xfId="0" applyFont="1">
      <alignment vertical="center"/>
    </xf>
    <xf numFmtId="0" fontId="0" fillId="0" borderId="0" xfId="0" applyFill="1" applyBorder="1" applyAlignment="1">
      <alignment vertical="center" wrapText="1"/>
    </xf>
    <xf numFmtId="0" fontId="0" fillId="11" borderId="111" xfId="0" applyFill="1" applyBorder="1">
      <alignment vertical="center"/>
    </xf>
    <xf numFmtId="0" fontId="0" fillId="0" borderId="119" xfId="0" applyFill="1" applyBorder="1">
      <alignment vertical="center"/>
    </xf>
    <xf numFmtId="0" fontId="0" fillId="0" borderId="120" xfId="0" applyFill="1" applyBorder="1">
      <alignment vertical="center"/>
    </xf>
    <xf numFmtId="0" fontId="0" fillId="0" borderId="76" xfId="0" applyFill="1" applyBorder="1">
      <alignment vertical="center"/>
    </xf>
    <xf numFmtId="0" fontId="0" fillId="0" borderId="80" xfId="0" applyFill="1" applyBorder="1">
      <alignment vertical="center"/>
    </xf>
    <xf numFmtId="0" fontId="0" fillId="2" borderId="63" xfId="0" applyFill="1" applyBorder="1">
      <alignment vertical="center"/>
    </xf>
    <xf numFmtId="0" fontId="0" fillId="2" borderId="67" xfId="0" applyFill="1" applyBorder="1">
      <alignment vertical="center"/>
    </xf>
    <xf numFmtId="0" fontId="0" fillId="2" borderId="126" xfId="0" applyFill="1" applyBorder="1">
      <alignment vertical="center"/>
    </xf>
    <xf numFmtId="0" fontId="0" fillId="2" borderId="127" xfId="0" applyFill="1" applyBorder="1">
      <alignment vertical="center"/>
    </xf>
    <xf numFmtId="0" fontId="0" fillId="2" borderId="132" xfId="0" applyFill="1" applyBorder="1">
      <alignment vertical="center"/>
    </xf>
    <xf numFmtId="0" fontId="0" fillId="2" borderId="133" xfId="0" applyFill="1" applyBorder="1">
      <alignment vertical="center"/>
    </xf>
    <xf numFmtId="0" fontId="0" fillId="13" borderId="106" xfId="0" applyFill="1" applyBorder="1">
      <alignment vertical="center"/>
    </xf>
    <xf numFmtId="0" fontId="0" fillId="13" borderId="105" xfId="0" applyFill="1" applyBorder="1">
      <alignment vertical="center"/>
    </xf>
    <xf numFmtId="0" fontId="0" fillId="0" borderId="126" xfId="0" applyFill="1" applyBorder="1">
      <alignment vertical="center"/>
    </xf>
    <xf numFmtId="0" fontId="0" fillId="0" borderId="127" xfId="0" applyFill="1" applyBorder="1">
      <alignment vertical="center"/>
    </xf>
    <xf numFmtId="0" fontId="0" fillId="13" borderId="19" xfId="0" applyFill="1" applyBorder="1">
      <alignment vertical="center"/>
    </xf>
    <xf numFmtId="0" fontId="0" fillId="13" borderId="21" xfId="0" applyFill="1" applyBorder="1">
      <alignment vertical="center"/>
    </xf>
    <xf numFmtId="0" fontId="0" fillId="0" borderId="143" xfId="0" applyFill="1" applyBorder="1">
      <alignment vertical="center"/>
    </xf>
    <xf numFmtId="0" fontId="0" fillId="0" borderId="148" xfId="0" applyFill="1" applyBorder="1">
      <alignment vertical="center"/>
    </xf>
    <xf numFmtId="0" fontId="0" fillId="8" borderId="34" xfId="0" applyFill="1" applyBorder="1">
      <alignment vertical="center"/>
    </xf>
    <xf numFmtId="0" fontId="9" fillId="9" borderId="152" xfId="0" applyFont="1" applyFill="1" applyBorder="1">
      <alignment vertical="center"/>
    </xf>
    <xf numFmtId="0" fontId="9" fillId="3" borderId="159" xfId="0" applyFont="1" applyFill="1" applyBorder="1">
      <alignment vertical="center"/>
    </xf>
    <xf numFmtId="0" fontId="0" fillId="3" borderId="160" xfId="0" applyFill="1" applyBorder="1">
      <alignment vertical="center"/>
    </xf>
    <xf numFmtId="0" fontId="0" fillId="0" borderId="85" xfId="0" applyBorder="1">
      <alignment vertical="center"/>
    </xf>
    <xf numFmtId="0" fontId="0" fillId="0" borderId="165" xfId="0" applyBorder="1">
      <alignment vertical="center"/>
    </xf>
    <xf numFmtId="0" fontId="9" fillId="8" borderId="73" xfId="0" applyFont="1" applyFill="1" applyBorder="1">
      <alignment vertical="center"/>
    </xf>
    <xf numFmtId="0" fontId="9" fillId="8" borderId="74" xfId="0" applyFont="1" applyFill="1" applyBorder="1">
      <alignment vertical="center"/>
    </xf>
    <xf numFmtId="0" fontId="8" fillId="8" borderId="74" xfId="0" applyFont="1" applyFill="1" applyBorder="1">
      <alignment vertical="center"/>
    </xf>
    <xf numFmtId="0" fontId="10" fillId="0" borderId="74" xfId="0" applyFont="1" applyBorder="1">
      <alignment vertical="center"/>
    </xf>
    <xf numFmtId="0" fontId="10" fillId="0" borderId="182" xfId="0" applyFont="1" applyBorder="1">
      <alignment vertical="center"/>
    </xf>
    <xf numFmtId="0" fontId="9" fillId="0" borderId="74" xfId="0" applyFont="1" applyBorder="1">
      <alignment vertical="center"/>
    </xf>
    <xf numFmtId="0" fontId="9" fillId="0" borderId="182" xfId="0" applyFont="1" applyBorder="1">
      <alignment vertical="center"/>
    </xf>
    <xf numFmtId="0" fontId="9" fillId="8" borderId="37" xfId="0" applyFont="1" applyFill="1" applyBorder="1">
      <alignment vertical="center"/>
    </xf>
    <xf numFmtId="0" fontId="11" fillId="0" borderId="153" xfId="0" applyFont="1" applyBorder="1" applyAlignment="1">
      <alignment horizontal="center" vertical="center"/>
    </xf>
    <xf numFmtId="0" fontId="8" fillId="0" borderId="153" xfId="0" applyFont="1" applyBorder="1">
      <alignment vertical="center"/>
    </xf>
    <xf numFmtId="0" fontId="0" fillId="0" borderId="153" xfId="0" applyBorder="1">
      <alignment vertical="center"/>
    </xf>
    <xf numFmtId="0" fontId="11" fillId="0" borderId="157" xfId="0" applyFont="1" applyBorder="1" applyAlignment="1">
      <alignment horizontal="center" vertical="center"/>
    </xf>
    <xf numFmtId="0" fontId="6" fillId="10" borderId="196" xfId="0" quotePrefix="1" applyFont="1" applyFill="1" applyBorder="1" applyAlignment="1">
      <alignment horizontal="center" vertical="center"/>
    </xf>
    <xf numFmtId="0" fontId="6" fillId="10" borderId="197" xfId="0" quotePrefix="1" applyFont="1" applyFill="1" applyBorder="1" applyAlignment="1">
      <alignment horizontal="center" vertical="center"/>
    </xf>
    <xf numFmtId="0" fontId="6" fillId="10" borderId="198" xfId="0" quotePrefix="1" applyFont="1" applyFill="1" applyBorder="1" applyAlignment="1">
      <alignment horizontal="center" vertical="center"/>
    </xf>
    <xf numFmtId="0" fontId="8" fillId="0" borderId="157" xfId="0" applyFont="1" applyBorder="1">
      <alignment vertical="center"/>
    </xf>
    <xf numFmtId="0" fontId="8" fillId="0" borderId="0" xfId="0" applyFont="1" applyFill="1" applyBorder="1">
      <alignment vertical="center"/>
    </xf>
    <xf numFmtId="0" fontId="0" fillId="12" borderId="0" xfId="0" applyFill="1" applyBorder="1">
      <alignment vertical="center"/>
    </xf>
    <xf numFmtId="0" fontId="8" fillId="12" borderId="0" xfId="0" applyFont="1" applyFill="1" applyBorder="1">
      <alignment vertical="center"/>
    </xf>
    <xf numFmtId="0" fontId="8" fillId="12" borderId="63" xfId="0" applyFont="1" applyFill="1" applyBorder="1">
      <alignment vertical="center"/>
    </xf>
    <xf numFmtId="0" fontId="11" fillId="8" borderId="156" xfId="0" applyFont="1" applyFill="1" applyBorder="1" applyAlignment="1">
      <alignment horizontal="center" vertical="center"/>
    </xf>
    <xf numFmtId="0" fontId="0" fillId="8" borderId="76" xfId="0" applyFill="1" applyBorder="1">
      <alignment vertical="center"/>
    </xf>
    <xf numFmtId="0" fontId="11" fillId="8" borderId="153" xfId="0" applyFont="1" applyFill="1" applyBorder="1" applyAlignment="1">
      <alignment horizontal="center" vertical="center"/>
    </xf>
    <xf numFmtId="0" fontId="11" fillId="8" borderId="155" xfId="0" applyFont="1" applyFill="1" applyBorder="1" applyAlignment="1">
      <alignment horizontal="center" vertical="center"/>
    </xf>
    <xf numFmtId="0" fontId="0" fillId="8" borderId="119" xfId="0" applyFill="1" applyBorder="1">
      <alignment vertical="center"/>
    </xf>
    <xf numFmtId="0" fontId="9" fillId="13" borderId="0" xfId="0" applyFont="1" applyFill="1" applyBorder="1">
      <alignment vertical="center"/>
    </xf>
    <xf numFmtId="0" fontId="9" fillId="13" borderId="6" xfId="0" applyFont="1" applyFill="1" applyBorder="1">
      <alignment vertical="center"/>
    </xf>
    <xf numFmtId="0" fontId="0" fillId="13" borderId="6" xfId="0" applyFill="1" applyBorder="1">
      <alignment vertical="center"/>
    </xf>
    <xf numFmtId="0" fontId="0" fillId="8" borderId="68" xfId="0" applyFill="1" applyBorder="1">
      <alignment vertical="center"/>
    </xf>
    <xf numFmtId="0" fontId="6" fillId="6" borderId="0" xfId="0" applyFont="1" applyFill="1" applyBorder="1" applyAlignment="1">
      <alignment horizontal="center" vertical="center"/>
    </xf>
    <xf numFmtId="0" fontId="6" fillId="4" borderId="48" xfId="0" quotePrefix="1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center" vertical="center"/>
    </xf>
    <xf numFmtId="0" fontId="0" fillId="11" borderId="18" xfId="0" applyFill="1" applyBorder="1">
      <alignment vertical="center"/>
    </xf>
    <xf numFmtId="0" fontId="0" fillId="13" borderId="13" xfId="0" applyFill="1" applyBorder="1">
      <alignment vertical="center"/>
    </xf>
    <xf numFmtId="0" fontId="6" fillId="14" borderId="43" xfId="0" quotePrefix="1" applyFont="1" applyFill="1" applyBorder="1" applyAlignment="1">
      <alignment horizontal="center" vertical="center"/>
    </xf>
    <xf numFmtId="0" fontId="6" fillId="14" borderId="90" xfId="0" quotePrefix="1" applyFont="1" applyFill="1" applyBorder="1" applyAlignment="1">
      <alignment horizontal="center" vertical="center"/>
    </xf>
    <xf numFmtId="0" fontId="7" fillId="6" borderId="268" xfId="0" quotePrefix="1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9" borderId="153" xfId="0" applyFont="1" applyFill="1" applyBorder="1">
      <alignment vertical="center"/>
    </xf>
    <xf numFmtId="0" fontId="9" fillId="13" borderId="153" xfId="0" applyFont="1" applyFill="1" applyBorder="1">
      <alignment vertical="center"/>
    </xf>
    <xf numFmtId="0" fontId="8" fillId="13" borderId="153" xfId="0" applyFont="1" applyFill="1" applyBorder="1">
      <alignment vertical="center"/>
    </xf>
    <xf numFmtId="0" fontId="9" fillId="13" borderId="158" xfId="0" applyFont="1" applyFill="1" applyBorder="1">
      <alignment vertical="center"/>
    </xf>
    <xf numFmtId="0" fontId="9" fillId="11" borderId="74" xfId="0" applyFont="1" applyFill="1" applyBorder="1">
      <alignment vertical="center"/>
    </xf>
    <xf numFmtId="0" fontId="9" fillId="11" borderId="181" xfId="0" applyFont="1" applyFill="1" applyBorder="1">
      <alignment vertical="center"/>
    </xf>
    <xf numFmtId="0" fontId="0" fillId="11" borderId="171" xfId="0" applyFill="1" applyBorder="1">
      <alignment vertical="center"/>
    </xf>
    <xf numFmtId="0" fontId="10" fillId="0" borderId="75" xfId="0" applyFont="1" applyBorder="1">
      <alignment vertical="center"/>
    </xf>
    <xf numFmtId="0" fontId="4" fillId="0" borderId="18" xfId="0" quotePrefix="1" applyFont="1" applyBorder="1">
      <alignment vertical="center"/>
    </xf>
    <xf numFmtId="0" fontId="4" fillId="0" borderId="0" xfId="0" quotePrefix="1" applyFont="1" applyBorder="1">
      <alignment vertical="center"/>
    </xf>
    <xf numFmtId="0" fontId="14" fillId="0" borderId="0" xfId="0" quotePrefix="1" applyFont="1" applyBorder="1">
      <alignment vertical="center"/>
    </xf>
    <xf numFmtId="0" fontId="4" fillId="2" borderId="0" xfId="0" quotePrefix="1" applyFont="1" applyFill="1" applyBorder="1">
      <alignment vertical="center"/>
    </xf>
    <xf numFmtId="0" fontId="4" fillId="0" borderId="298" xfId="0" quotePrefix="1" applyFont="1" applyBorder="1">
      <alignment vertical="center"/>
    </xf>
    <xf numFmtId="0" fontId="14" fillId="2" borderId="0" xfId="0" quotePrefix="1" applyFont="1" applyFill="1" applyBorder="1">
      <alignment vertical="center"/>
    </xf>
    <xf numFmtId="0" fontId="4" fillId="11" borderId="0" xfId="0" quotePrefix="1" applyFont="1" applyFill="1" applyBorder="1">
      <alignment vertical="center"/>
    </xf>
    <xf numFmtId="0" fontId="4" fillId="11" borderId="111" xfId="0" quotePrefix="1" applyFont="1" applyFill="1" applyBorder="1">
      <alignment vertical="center"/>
    </xf>
    <xf numFmtId="0" fontId="0" fillId="0" borderId="19" xfId="0" applyFill="1" applyBorder="1">
      <alignment vertical="center"/>
    </xf>
    <xf numFmtId="0" fontId="10" fillId="0" borderId="19" xfId="0" applyFont="1" applyBorder="1">
      <alignment vertical="center"/>
    </xf>
    <xf numFmtId="0" fontId="9" fillId="11" borderId="18" xfId="0" applyFont="1" applyFill="1" applyBorder="1">
      <alignment vertical="center"/>
    </xf>
    <xf numFmtId="0" fontId="8" fillId="11" borderId="0" xfId="0" applyFont="1" applyFill="1" applyBorder="1">
      <alignment vertical="center"/>
    </xf>
    <xf numFmtId="0" fontId="0" fillId="0" borderId="58" xfId="0" applyBorder="1">
      <alignment vertical="center"/>
    </xf>
    <xf numFmtId="0" fontId="0" fillId="12" borderId="119" xfId="0" applyFill="1" applyBorder="1">
      <alignment vertical="center"/>
    </xf>
    <xf numFmtId="0" fontId="0" fillId="16" borderId="0" xfId="0" applyFill="1" applyBorder="1">
      <alignment vertical="center"/>
    </xf>
    <xf numFmtId="0" fontId="0" fillId="16" borderId="119" xfId="0" applyFill="1" applyBorder="1">
      <alignment vertical="center"/>
    </xf>
    <xf numFmtId="0" fontId="0" fillId="3" borderId="63" xfId="0" applyFill="1" applyBorder="1">
      <alignment vertical="center"/>
    </xf>
    <xf numFmtId="0" fontId="10" fillId="0" borderId="302" xfId="0" applyFont="1" applyBorder="1">
      <alignment vertical="center"/>
    </xf>
    <xf numFmtId="0" fontId="0" fillId="0" borderId="298" xfId="0" applyFill="1" applyBorder="1">
      <alignment vertical="center"/>
    </xf>
    <xf numFmtId="0" fontId="0" fillId="0" borderId="106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11" xfId="0" applyFill="1" applyBorder="1">
      <alignment vertical="center"/>
    </xf>
    <xf numFmtId="0" fontId="0" fillId="13" borderId="74" xfId="0" applyFill="1" applyBorder="1" applyAlignment="1">
      <alignment vertical="center"/>
    </xf>
    <xf numFmtId="0" fontId="0" fillId="13" borderId="316" xfId="0" applyFill="1" applyBorder="1" applyAlignment="1">
      <alignment vertical="center"/>
    </xf>
    <xf numFmtId="0" fontId="0" fillId="13" borderId="317" xfId="0" applyFill="1" applyBorder="1">
      <alignment vertical="center"/>
    </xf>
    <xf numFmtId="0" fontId="0" fillId="13" borderId="314" xfId="0" applyFill="1" applyBorder="1" applyAlignment="1">
      <alignment vertical="center"/>
    </xf>
    <xf numFmtId="0" fontId="0" fillId="5" borderId="32" xfId="0" applyFill="1" applyBorder="1">
      <alignment vertical="center"/>
    </xf>
    <xf numFmtId="0" fontId="0" fillId="6" borderId="306" xfId="0" applyFill="1" applyBorder="1" applyAlignment="1">
      <alignment vertical="center"/>
    </xf>
    <xf numFmtId="0" fontId="0" fillId="6" borderId="307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6" borderId="322" xfId="0" applyFill="1" applyBorder="1" applyAlignment="1">
      <alignment vertical="center"/>
    </xf>
    <xf numFmtId="0" fontId="0" fillId="6" borderId="323" xfId="0" applyFill="1" applyBorder="1">
      <alignment vertical="center"/>
    </xf>
    <xf numFmtId="0" fontId="0" fillId="6" borderId="74" xfId="0" applyFill="1" applyBorder="1" applyAlignment="1">
      <alignment vertical="center"/>
    </xf>
    <xf numFmtId="0" fontId="0" fillId="6" borderId="0" xfId="0" applyFill="1" applyBorder="1" applyAlignment="1">
      <alignment horizontal="right" vertical="center"/>
    </xf>
    <xf numFmtId="0" fontId="0" fillId="6" borderId="314" xfId="0" applyFill="1" applyBorder="1" applyAlignment="1">
      <alignment vertical="center"/>
    </xf>
    <xf numFmtId="0" fontId="0" fillId="0" borderId="32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9" fillId="8" borderId="314" xfId="0" applyFont="1" applyFill="1" applyBorder="1">
      <alignment vertical="center"/>
    </xf>
    <xf numFmtId="0" fontId="0" fillId="8" borderId="32" xfId="0" applyFill="1" applyBorder="1">
      <alignment vertical="center"/>
    </xf>
    <xf numFmtId="0" fontId="9" fillId="0" borderId="58" xfId="0" applyFont="1" applyBorder="1">
      <alignment vertical="center"/>
    </xf>
    <xf numFmtId="0" fontId="9" fillId="12" borderId="0" xfId="0" applyFont="1" applyFill="1" applyBorder="1">
      <alignment vertical="center"/>
    </xf>
    <xf numFmtId="0" fontId="9" fillId="11" borderId="30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0" borderId="337" xfId="0" applyFont="1" applyBorder="1" applyAlignment="1">
      <alignment horizontal="center" vertical="center"/>
    </xf>
    <xf numFmtId="0" fontId="11" fillId="0" borderId="338" xfId="0" applyFont="1" applyBorder="1" applyAlignment="1">
      <alignment horizontal="center" vertical="center"/>
    </xf>
    <xf numFmtId="0" fontId="11" fillId="2" borderId="338" xfId="0" applyFont="1" applyFill="1" applyBorder="1" applyAlignment="1">
      <alignment horizontal="center" vertical="center"/>
    </xf>
    <xf numFmtId="0" fontId="11" fillId="0" borderId="339" xfId="0" applyFont="1" applyBorder="1" applyAlignment="1">
      <alignment horizontal="center" vertical="center"/>
    </xf>
    <xf numFmtId="0" fontId="15" fillId="2" borderId="76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5" fillId="2" borderId="119" xfId="0" applyFont="1" applyFill="1" applyBorder="1">
      <alignment vertical="center"/>
    </xf>
    <xf numFmtId="0" fontId="15" fillId="2" borderId="63" xfId="0" applyFont="1" applyFill="1" applyBorder="1">
      <alignment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17" borderId="0" xfId="0" applyFont="1" applyFill="1" applyBorder="1" applyAlignment="1">
      <alignment horizontal="center" vertical="center" wrapText="1"/>
    </xf>
    <xf numFmtId="0" fontId="11" fillId="17" borderId="0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0" fillId="0" borderId="0" xfId="0" applyFill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34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85" fontId="9" fillId="18" borderId="0" xfId="0" applyNumberFormat="1" applyFont="1" applyFill="1" applyAlignment="1">
      <alignment horizontal="center" vertical="center"/>
    </xf>
    <xf numFmtId="0" fontId="15" fillId="8" borderId="337" xfId="0" applyFont="1" applyFill="1" applyBorder="1" applyAlignment="1">
      <alignment horizontal="left" vertical="center"/>
    </xf>
    <xf numFmtId="0" fontId="15" fillId="8" borderId="0" xfId="0" applyFont="1" applyFill="1" applyBorder="1" applyAlignment="1">
      <alignment horizontal="left" vertical="center"/>
    </xf>
    <xf numFmtId="0" fontId="15" fillId="3" borderId="68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0" fontId="15" fillId="3" borderId="37" xfId="0" applyFont="1" applyFill="1" applyBorder="1" applyAlignment="1">
      <alignment horizontal="left" vertical="center"/>
    </xf>
    <xf numFmtId="0" fontId="11" fillId="0" borderId="338" xfId="0" applyFont="1" applyBorder="1" applyAlignment="1">
      <alignment horizontal="left" vertical="center"/>
    </xf>
    <xf numFmtId="0" fontId="11" fillId="2" borderId="338" xfId="0" applyFont="1" applyFill="1" applyBorder="1" applyAlignment="1">
      <alignment horizontal="left" vertical="center"/>
    </xf>
    <xf numFmtId="0" fontId="11" fillId="0" borderId="33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15" fillId="8" borderId="37" xfId="0" applyFont="1" applyFill="1" applyBorder="1" applyAlignment="1">
      <alignment horizontal="left" vertical="center"/>
    </xf>
    <xf numFmtId="0" fontId="0" fillId="8" borderId="68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11" fillId="0" borderId="338" xfId="0" applyFont="1" applyFill="1" applyBorder="1" applyAlignment="1">
      <alignment horizontal="left" vertical="center"/>
    </xf>
    <xf numFmtId="0" fontId="11" fillId="2" borderId="339" xfId="0" applyFont="1" applyFill="1" applyBorder="1" applyAlignment="1">
      <alignment horizontal="left" vertical="center"/>
    </xf>
    <xf numFmtId="0" fontId="16" fillId="13" borderId="0" xfId="0" applyFont="1" applyFill="1" applyBorder="1" applyAlignment="1">
      <alignment horizontal="left" vertical="center"/>
    </xf>
    <xf numFmtId="0" fontId="15" fillId="13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5" fillId="8" borderId="68" xfId="0" applyFont="1" applyFill="1" applyBorder="1" applyAlignment="1">
      <alignment horizontal="left" vertical="center"/>
    </xf>
    <xf numFmtId="0" fontId="15" fillId="19" borderId="68" xfId="0" applyFont="1" applyFill="1" applyBorder="1" applyAlignment="1">
      <alignment horizontal="left" vertical="center"/>
    </xf>
    <xf numFmtId="0" fontId="15" fillId="19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17" borderId="0" xfId="0" applyFont="1" applyFill="1" applyBorder="1" applyAlignment="1">
      <alignment horizontal="left" vertical="center"/>
    </xf>
    <xf numFmtId="0" fontId="0" fillId="17" borderId="0" xfId="0" applyFill="1" applyBorder="1" applyAlignment="1">
      <alignment horizontal="center" vertical="center"/>
    </xf>
    <xf numFmtId="0" fontId="0" fillId="17" borderId="0" xfId="0" applyFill="1" applyBorder="1">
      <alignment vertical="center"/>
    </xf>
    <xf numFmtId="0" fontId="15" fillId="19" borderId="6" xfId="0" applyFont="1" applyFill="1" applyBorder="1" applyAlignment="1">
      <alignment horizontal="left" vertical="center"/>
    </xf>
    <xf numFmtId="0" fontId="13" fillId="0" borderId="267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 vertical="center"/>
    </xf>
    <xf numFmtId="0" fontId="0" fillId="0" borderId="6" xfId="0" applyFill="1" applyBorder="1">
      <alignment vertical="center"/>
    </xf>
    <xf numFmtId="0" fontId="9" fillId="11" borderId="85" xfId="0" applyFont="1" applyFill="1" applyBorder="1">
      <alignment vertical="center"/>
    </xf>
    <xf numFmtId="0" fontId="17" fillId="0" borderId="0" xfId="0" applyFont="1" applyBorder="1" applyAlignment="1">
      <alignment horizontal="center" vertical="center"/>
    </xf>
    <xf numFmtId="0" fontId="17" fillId="11" borderId="85" xfId="0" applyFont="1" applyFill="1" applyBorder="1" applyAlignment="1">
      <alignment horizontal="center" vertical="center"/>
    </xf>
    <xf numFmtId="0" fontId="17" fillId="11" borderId="228" xfId="0" applyFont="1" applyFill="1" applyBorder="1" applyAlignment="1">
      <alignment horizontal="center" vertical="center"/>
    </xf>
    <xf numFmtId="0" fontId="17" fillId="8" borderId="217" xfId="0" applyFont="1" applyFill="1" applyBorder="1" applyAlignment="1">
      <alignment horizontal="left" vertical="center"/>
    </xf>
    <xf numFmtId="0" fontId="17" fillId="8" borderId="85" xfId="0" applyFont="1" applyFill="1" applyBorder="1" applyAlignment="1">
      <alignment horizontal="center" vertical="center"/>
    </xf>
    <xf numFmtId="0" fontId="17" fillId="8" borderId="220" xfId="0" applyFont="1" applyFill="1" applyBorder="1" applyAlignment="1">
      <alignment horizontal="center" vertical="center"/>
    </xf>
    <xf numFmtId="0" fontId="17" fillId="19" borderId="217" xfId="0" applyFont="1" applyFill="1" applyBorder="1" applyAlignment="1">
      <alignment horizontal="left" vertical="center"/>
    </xf>
    <xf numFmtId="0" fontId="17" fillId="19" borderId="85" xfId="0" applyFont="1" applyFill="1" applyBorder="1" applyAlignment="1">
      <alignment horizontal="center" vertical="center"/>
    </xf>
    <xf numFmtId="0" fontId="17" fillId="19" borderId="228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17" borderId="0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8" borderId="217" xfId="0" applyFont="1" applyFill="1" applyBorder="1" applyAlignment="1">
      <alignment horizontal="center" vertical="center"/>
    </xf>
    <xf numFmtId="0" fontId="17" fillId="0" borderId="217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17" fillId="0" borderId="228" xfId="0" applyFont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9" borderId="153" xfId="0" applyFont="1" applyFill="1" applyBorder="1">
      <alignment vertical="center"/>
    </xf>
    <xf numFmtId="0" fontId="17" fillId="8" borderId="156" xfId="0" applyFont="1" applyFill="1" applyBorder="1" applyAlignment="1">
      <alignment horizontal="center" vertical="center"/>
    </xf>
    <xf numFmtId="0" fontId="17" fillId="8" borderId="153" xfId="0" applyFont="1" applyFill="1" applyBorder="1" applyAlignment="1">
      <alignment horizontal="center" vertical="center"/>
    </xf>
    <xf numFmtId="0" fontId="17" fillId="8" borderId="155" xfId="0" applyFont="1" applyFill="1" applyBorder="1" applyAlignment="1">
      <alignment horizontal="center" vertical="center"/>
    </xf>
    <xf numFmtId="0" fontId="18" fillId="0" borderId="156" xfId="0" applyFont="1" applyBorder="1">
      <alignment vertical="center"/>
    </xf>
    <xf numFmtId="0" fontId="18" fillId="0" borderId="153" xfId="0" applyFont="1" applyBorder="1">
      <alignment vertical="center"/>
    </xf>
    <xf numFmtId="0" fontId="18" fillId="0" borderId="155" xfId="0" applyFont="1" applyBorder="1">
      <alignment vertical="center"/>
    </xf>
    <xf numFmtId="0" fontId="18" fillId="0" borderId="157" xfId="0" applyFont="1" applyBorder="1">
      <alignment vertical="center"/>
    </xf>
    <xf numFmtId="0" fontId="18" fillId="0" borderId="0" xfId="0" applyFont="1" applyBorder="1">
      <alignment vertical="center"/>
    </xf>
    <xf numFmtId="0" fontId="19" fillId="8" borderId="217" xfId="0" applyFont="1" applyFill="1" applyBorder="1" applyAlignment="1">
      <alignment horizontal="center" vertical="center"/>
    </xf>
    <xf numFmtId="0" fontId="10" fillId="8" borderId="68" xfId="0" applyFont="1" applyFill="1" applyBorder="1" applyAlignment="1">
      <alignment horizontal="left" vertical="center"/>
    </xf>
    <xf numFmtId="0" fontId="19" fillId="8" borderId="85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left" vertical="center"/>
    </xf>
    <xf numFmtId="0" fontId="19" fillId="8" borderId="220" xfId="0" applyFont="1" applyFill="1" applyBorder="1" applyAlignment="1">
      <alignment horizontal="center" vertical="center"/>
    </xf>
    <xf numFmtId="0" fontId="9" fillId="11" borderId="6" xfId="0" applyFont="1" applyFill="1" applyBorder="1">
      <alignment vertical="center"/>
    </xf>
    <xf numFmtId="0" fontId="0" fillId="13" borderId="6" xfId="0" applyFill="1" applyBorder="1" applyAlignment="1">
      <alignment horizontal="left" vertical="center"/>
    </xf>
    <xf numFmtId="0" fontId="10" fillId="20" borderId="0" xfId="0" applyFont="1" applyFill="1" applyBorder="1" applyAlignment="1">
      <alignment horizontal="left" vertical="center"/>
    </xf>
    <xf numFmtId="0" fontId="10" fillId="20" borderId="37" xfId="0" applyFont="1" applyFill="1" applyBorder="1" applyAlignment="1">
      <alignment horizontal="left" vertical="center"/>
    </xf>
    <xf numFmtId="0" fontId="19" fillId="8" borderId="34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left" vertical="center"/>
    </xf>
    <xf numFmtId="0" fontId="17" fillId="8" borderId="228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41" fontId="0" fillId="11" borderId="328" xfId="2" applyFont="1" applyFill="1" applyBorder="1" applyAlignment="1">
      <alignment horizontal="center" vertical="center"/>
    </xf>
    <xf numFmtId="41" fontId="0" fillId="11" borderId="4" xfId="2" applyFont="1" applyFill="1" applyBorder="1" applyAlignment="1">
      <alignment horizontal="center" vertical="center"/>
    </xf>
    <xf numFmtId="41" fontId="0" fillId="11" borderId="224" xfId="2" applyFont="1" applyFill="1" applyBorder="1" applyAlignment="1">
      <alignment horizontal="center" vertical="center"/>
    </xf>
    <xf numFmtId="41" fontId="0" fillId="13" borderId="329" xfId="2" applyFont="1" applyFill="1" applyBorder="1" applyAlignment="1">
      <alignment horizontal="center" vertical="center"/>
    </xf>
    <xf numFmtId="41" fontId="0" fillId="13" borderId="0" xfId="2" applyFont="1" applyFill="1" applyBorder="1" applyAlignment="1">
      <alignment horizontal="center" vertical="center"/>
    </xf>
    <xf numFmtId="41" fontId="0" fillId="13" borderId="225" xfId="2" applyFont="1" applyFill="1" applyBorder="1" applyAlignment="1">
      <alignment horizontal="center" vertical="center"/>
    </xf>
    <xf numFmtId="41" fontId="0" fillId="8" borderId="330" xfId="2" applyFont="1" applyFill="1" applyBorder="1" applyAlignment="1">
      <alignment horizontal="center" vertical="center"/>
    </xf>
    <xf numFmtId="41" fontId="0" fillId="8" borderId="68" xfId="2" applyFont="1" applyFill="1" applyBorder="1" applyAlignment="1">
      <alignment horizontal="center" vertical="center"/>
    </xf>
    <xf numFmtId="41" fontId="0" fillId="8" borderId="226" xfId="2" applyFont="1" applyFill="1" applyBorder="1" applyAlignment="1">
      <alignment horizontal="center" vertical="center"/>
    </xf>
    <xf numFmtId="41" fontId="0" fillId="8" borderId="329" xfId="2" applyFont="1" applyFill="1" applyBorder="1" applyAlignment="1">
      <alignment horizontal="center" vertical="center"/>
    </xf>
    <xf numFmtId="41" fontId="0" fillId="8" borderId="0" xfId="2" applyFont="1" applyFill="1" applyBorder="1" applyAlignment="1">
      <alignment horizontal="center" vertical="center"/>
    </xf>
    <xf numFmtId="41" fontId="0" fillId="8" borderId="225" xfId="2" applyFont="1" applyFill="1" applyBorder="1" applyAlignment="1">
      <alignment horizontal="center" vertical="center"/>
    </xf>
    <xf numFmtId="41" fontId="0" fillId="8" borderId="331" xfId="2" applyFont="1" applyFill="1" applyBorder="1" applyAlignment="1">
      <alignment horizontal="center" vertical="center"/>
    </xf>
    <xf numFmtId="41" fontId="0" fillId="8" borderId="37" xfId="2" applyFont="1" applyFill="1" applyBorder="1" applyAlignment="1">
      <alignment horizontal="center" vertical="center"/>
    </xf>
    <xf numFmtId="41" fontId="0" fillId="8" borderId="227" xfId="2" applyFont="1" applyFill="1" applyBorder="1" applyAlignment="1">
      <alignment horizontal="center" vertical="center"/>
    </xf>
    <xf numFmtId="41" fontId="0" fillId="9" borderId="11" xfId="2" applyFont="1" applyFill="1" applyBorder="1">
      <alignment vertical="center"/>
    </xf>
    <xf numFmtId="41" fontId="0" fillId="9" borderId="0" xfId="2" applyFont="1" applyFill="1" applyBorder="1">
      <alignment vertical="center"/>
    </xf>
    <xf numFmtId="41" fontId="0" fillId="0" borderId="11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0" fillId="8" borderId="11" xfId="2" applyFont="1" applyFill="1" applyBorder="1">
      <alignment vertical="center"/>
    </xf>
    <xf numFmtId="41" fontId="0" fillId="8" borderId="0" xfId="2" applyFont="1" applyFill="1" applyBorder="1">
      <alignment vertical="center"/>
    </xf>
    <xf numFmtId="41" fontId="0" fillId="3" borderId="330" xfId="2" applyFont="1" applyFill="1" applyBorder="1" applyAlignment="1">
      <alignment horizontal="center" vertical="center"/>
    </xf>
    <xf numFmtId="41" fontId="0" fillId="3" borderId="68" xfId="2" applyFont="1" applyFill="1" applyBorder="1" applyAlignment="1">
      <alignment horizontal="center" vertical="center"/>
    </xf>
    <xf numFmtId="41" fontId="0" fillId="3" borderId="226" xfId="2" applyFont="1" applyFill="1" applyBorder="1" applyAlignment="1">
      <alignment horizontal="center" vertical="center"/>
    </xf>
    <xf numFmtId="41" fontId="0" fillId="3" borderId="329" xfId="2" applyFont="1" applyFill="1" applyBorder="1" applyAlignment="1">
      <alignment horizontal="center" vertical="center"/>
    </xf>
    <xf numFmtId="41" fontId="0" fillId="3" borderId="0" xfId="2" applyFont="1" applyFill="1" applyBorder="1" applyAlignment="1">
      <alignment horizontal="center" vertical="center"/>
    </xf>
    <xf numFmtId="41" fontId="0" fillId="3" borderId="225" xfId="2" applyFont="1" applyFill="1" applyBorder="1" applyAlignment="1">
      <alignment horizontal="center" vertical="center"/>
    </xf>
    <xf numFmtId="41" fontId="0" fillId="3" borderId="331" xfId="2" applyFont="1" applyFill="1" applyBorder="1" applyAlignment="1">
      <alignment horizontal="center" vertical="center"/>
    </xf>
    <xf numFmtId="41" fontId="0" fillId="3" borderId="37" xfId="2" applyFont="1" applyFill="1" applyBorder="1" applyAlignment="1">
      <alignment horizontal="center" vertical="center"/>
    </xf>
    <xf numFmtId="41" fontId="0" fillId="3" borderId="227" xfId="2" applyFont="1" applyFill="1" applyBorder="1" applyAlignment="1">
      <alignment horizontal="center" vertical="center"/>
    </xf>
    <xf numFmtId="41" fontId="11" fillId="0" borderId="329" xfId="2" applyFont="1" applyBorder="1" applyAlignment="1">
      <alignment horizontal="center" vertical="center"/>
    </xf>
    <xf numFmtId="41" fontId="11" fillId="0" borderId="0" xfId="2" applyFont="1" applyBorder="1" applyAlignment="1">
      <alignment horizontal="center" vertical="center"/>
    </xf>
    <xf numFmtId="41" fontId="11" fillId="0" borderId="225" xfId="2" applyFont="1" applyBorder="1" applyAlignment="1">
      <alignment horizontal="center" vertical="center"/>
    </xf>
    <xf numFmtId="41" fontId="11" fillId="2" borderId="329" xfId="2" applyFont="1" applyFill="1" applyBorder="1" applyAlignment="1">
      <alignment horizontal="center" vertical="center"/>
    </xf>
    <xf numFmtId="41" fontId="11" fillId="2" borderId="0" xfId="2" applyFont="1" applyFill="1" applyBorder="1" applyAlignment="1">
      <alignment horizontal="center" vertical="center"/>
    </xf>
    <xf numFmtId="41" fontId="11" fillId="2" borderId="225" xfId="2" applyFont="1" applyFill="1" applyBorder="1" applyAlignment="1">
      <alignment horizontal="center" vertical="center"/>
    </xf>
    <xf numFmtId="41" fontId="11" fillId="0" borderId="332" xfId="2" applyFont="1" applyBorder="1" applyAlignment="1">
      <alignment horizontal="center" vertical="center"/>
    </xf>
    <xf numFmtId="41" fontId="11" fillId="0" borderId="6" xfId="2" applyFont="1" applyBorder="1" applyAlignment="1">
      <alignment horizontal="center" vertical="center"/>
    </xf>
    <xf numFmtId="41" fontId="11" fillId="0" borderId="230" xfId="2" applyFont="1" applyBorder="1" applyAlignment="1">
      <alignment horizontal="center" vertical="center"/>
    </xf>
    <xf numFmtId="41" fontId="11" fillId="0" borderId="329" xfId="2" applyFont="1" applyFill="1" applyBorder="1" applyAlignment="1">
      <alignment horizontal="center" vertical="center"/>
    </xf>
    <xf numFmtId="41" fontId="11" fillId="0" borderId="0" xfId="2" applyFont="1" applyFill="1" applyBorder="1" applyAlignment="1">
      <alignment horizontal="center" vertical="center"/>
    </xf>
    <xf numFmtId="41" fontId="11" fillId="0" borderId="225" xfId="2" applyFont="1" applyFill="1" applyBorder="1" applyAlignment="1">
      <alignment horizontal="center" vertical="center"/>
    </xf>
    <xf numFmtId="41" fontId="11" fillId="2" borderId="332" xfId="2" applyFont="1" applyFill="1" applyBorder="1" applyAlignment="1">
      <alignment horizontal="center" vertical="center"/>
    </xf>
    <xf numFmtId="41" fontId="11" fillId="2" borderId="6" xfId="2" applyFont="1" applyFill="1" applyBorder="1" applyAlignment="1">
      <alignment horizontal="center" vertical="center"/>
    </xf>
    <xf numFmtId="41" fontId="11" fillId="2" borderId="230" xfId="2" applyFont="1" applyFill="1" applyBorder="1" applyAlignment="1">
      <alignment horizontal="center" vertical="center"/>
    </xf>
    <xf numFmtId="41" fontId="0" fillId="3" borderId="0" xfId="2" applyFont="1" applyFill="1" applyBorder="1">
      <alignment vertical="center"/>
    </xf>
    <xf numFmtId="0" fontId="6" fillId="4" borderId="0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21" fillId="21" borderId="0" xfId="0" applyFont="1" applyFill="1">
      <alignment vertical="center"/>
    </xf>
    <xf numFmtId="0" fontId="6" fillId="21" borderId="0" xfId="0" applyFont="1" applyFill="1" applyBorder="1" applyAlignment="1">
      <alignment horizontal="center" vertical="center"/>
    </xf>
    <xf numFmtId="0" fontId="13" fillId="0" borderId="264" xfId="0" applyFont="1" applyFill="1" applyBorder="1" applyAlignment="1">
      <alignment horizontal="center" vertical="center" wrapText="1"/>
    </xf>
    <xf numFmtId="176" fontId="0" fillId="0" borderId="0" xfId="3" applyNumberFormat="1" applyFont="1">
      <alignment vertical="center"/>
    </xf>
    <xf numFmtId="41" fontId="0" fillId="0" borderId="0" xfId="2" applyFont="1">
      <alignment vertical="center"/>
    </xf>
    <xf numFmtId="41" fontId="0" fillId="0" borderId="36" xfId="2" applyFont="1" applyFill="1" applyBorder="1">
      <alignment vertical="center"/>
    </xf>
    <xf numFmtId="41" fontId="0" fillId="0" borderId="329" xfId="2" applyFont="1" applyFill="1" applyBorder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41" fontId="0" fillId="0" borderId="225" xfId="2" applyFont="1" applyFill="1" applyBorder="1" applyAlignment="1">
      <alignment horizontal="center" vertical="center"/>
    </xf>
    <xf numFmtId="41" fontId="0" fillId="0" borderId="332" xfId="2" applyFont="1" applyFill="1" applyBorder="1" applyAlignment="1">
      <alignment horizontal="center" vertical="center"/>
    </xf>
    <xf numFmtId="41" fontId="0" fillId="0" borderId="6" xfId="2" applyFont="1" applyFill="1" applyBorder="1" applyAlignment="1">
      <alignment horizontal="center" vertical="center"/>
    </xf>
    <xf numFmtId="41" fontId="0" fillId="0" borderId="230" xfId="2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6" fillId="13" borderId="0" xfId="0" quotePrefix="1" applyFont="1" applyFill="1" applyBorder="1" applyAlignment="1">
      <alignment horizontal="left" vertical="center"/>
    </xf>
    <xf numFmtId="41" fontId="11" fillId="0" borderId="330" xfId="2" applyFont="1" applyBorder="1" applyAlignment="1">
      <alignment horizontal="center" vertical="center"/>
    </xf>
    <xf numFmtId="41" fontId="11" fillId="0" borderId="68" xfId="2" applyFont="1" applyBorder="1" applyAlignment="1">
      <alignment horizontal="center" vertical="center"/>
    </xf>
    <xf numFmtId="41" fontId="11" fillId="0" borderId="226" xfId="2" applyFont="1" applyBorder="1" applyAlignment="1">
      <alignment horizontal="center" vertical="center"/>
    </xf>
    <xf numFmtId="41" fontId="11" fillId="0" borderId="334" xfId="2" applyFont="1" applyBorder="1" applyAlignment="1">
      <alignment horizontal="center" vertical="center"/>
    </xf>
    <xf numFmtId="41" fontId="11" fillId="0" borderId="256" xfId="2" applyFont="1" applyBorder="1" applyAlignment="1">
      <alignment horizontal="center" vertical="center"/>
    </xf>
    <xf numFmtId="41" fontId="11" fillId="2" borderId="256" xfId="2" applyFont="1" applyFill="1" applyBorder="1" applyAlignment="1">
      <alignment horizontal="center" vertical="center"/>
    </xf>
    <xf numFmtId="41" fontId="11" fillId="0" borderId="336" xfId="2" applyFont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11" fillId="17" borderId="0" xfId="2" applyFont="1" applyFill="1" applyBorder="1" applyAlignment="1">
      <alignment horizontal="center" vertical="center"/>
    </xf>
    <xf numFmtId="41" fontId="0" fillId="0" borderId="0" xfId="2" applyFont="1" applyFill="1" applyAlignment="1">
      <alignment horizontal="center" vertical="center"/>
    </xf>
    <xf numFmtId="41" fontId="0" fillId="9" borderId="190" xfId="2" applyFont="1" applyFill="1" applyBorder="1" applyAlignment="1">
      <alignment horizontal="center" vertical="center"/>
    </xf>
    <xf numFmtId="41" fontId="0" fillId="9" borderId="58" xfId="2" applyFont="1" applyFill="1" applyBorder="1" applyAlignment="1">
      <alignment horizontal="center" vertical="center"/>
    </xf>
    <xf numFmtId="41" fontId="0" fillId="9" borderId="238" xfId="2" applyFont="1" applyFill="1" applyBorder="1" applyAlignment="1">
      <alignment horizontal="center" vertical="center"/>
    </xf>
    <xf numFmtId="41" fontId="0" fillId="3" borderId="188" xfId="2" applyFont="1" applyFill="1" applyBorder="1" applyAlignment="1">
      <alignment horizontal="center" vertical="center"/>
    </xf>
    <xf numFmtId="41" fontId="0" fillId="3" borderId="239" xfId="2" applyFont="1" applyFill="1" applyBorder="1" applyAlignment="1">
      <alignment horizontal="center" vertical="center"/>
    </xf>
    <xf numFmtId="41" fontId="0" fillId="8" borderId="243" xfId="2" applyFont="1" applyFill="1" applyBorder="1" applyAlignment="1">
      <alignment horizontal="center" vertical="center"/>
    </xf>
    <xf numFmtId="41" fontId="0" fillId="8" borderId="76" xfId="2" applyFont="1" applyFill="1" applyBorder="1" applyAlignment="1">
      <alignment horizontal="center" vertical="center"/>
    </xf>
    <xf numFmtId="41" fontId="0" fillId="8" borderId="244" xfId="2" applyFont="1" applyFill="1" applyBorder="1" applyAlignment="1">
      <alignment horizontal="center" vertical="center"/>
    </xf>
    <xf numFmtId="41" fontId="0" fillId="8" borderId="188" xfId="2" applyFont="1" applyFill="1" applyBorder="1" applyAlignment="1">
      <alignment horizontal="center" vertical="center"/>
    </xf>
    <xf numFmtId="41" fontId="0" fillId="8" borderId="239" xfId="2" applyFont="1" applyFill="1" applyBorder="1" applyAlignment="1">
      <alignment horizontal="center" vertical="center"/>
    </xf>
    <xf numFmtId="41" fontId="0" fillId="8" borderId="241" xfId="2" applyFont="1" applyFill="1" applyBorder="1" applyAlignment="1">
      <alignment horizontal="center" vertical="center"/>
    </xf>
    <xf numFmtId="41" fontId="0" fillId="8" borderId="119" xfId="2" applyFont="1" applyFill="1" applyBorder="1" applyAlignment="1">
      <alignment horizontal="center" vertical="center"/>
    </xf>
    <xf numFmtId="41" fontId="0" fillId="8" borderId="242" xfId="2" applyFont="1" applyFill="1" applyBorder="1" applyAlignment="1">
      <alignment horizontal="center" vertical="center"/>
    </xf>
    <xf numFmtId="41" fontId="15" fillId="2" borderId="243" xfId="2" applyFont="1" applyFill="1" applyBorder="1" applyAlignment="1">
      <alignment horizontal="center" vertical="center"/>
    </xf>
    <xf numFmtId="41" fontId="15" fillId="2" borderId="76" xfId="2" applyFont="1" applyFill="1" applyBorder="1" applyAlignment="1">
      <alignment horizontal="center" vertical="center"/>
    </xf>
    <xf numFmtId="41" fontId="15" fillId="2" borderId="244" xfId="2" applyFont="1" applyFill="1" applyBorder="1" applyAlignment="1">
      <alignment horizontal="center" vertical="center"/>
    </xf>
    <xf numFmtId="41" fontId="15" fillId="2" borderId="188" xfId="2" applyFont="1" applyFill="1" applyBorder="1" applyAlignment="1">
      <alignment horizontal="center" vertical="center"/>
    </xf>
    <xf numFmtId="41" fontId="15" fillId="2" borderId="0" xfId="2" applyFont="1" applyFill="1" applyBorder="1" applyAlignment="1">
      <alignment horizontal="center" vertical="center"/>
    </xf>
    <xf numFmtId="41" fontId="15" fillId="2" borderId="239" xfId="2" applyFont="1" applyFill="1" applyBorder="1" applyAlignment="1">
      <alignment horizontal="center" vertical="center"/>
    </xf>
    <xf numFmtId="41" fontId="15" fillId="0" borderId="188" xfId="2" applyFont="1" applyBorder="1" applyAlignment="1">
      <alignment horizontal="center" vertical="center"/>
    </xf>
    <xf numFmtId="41" fontId="15" fillId="0" borderId="0" xfId="2" applyFont="1" applyBorder="1" applyAlignment="1">
      <alignment horizontal="center" vertical="center"/>
    </xf>
    <xf numFmtId="41" fontId="15" fillId="0" borderId="239" xfId="2" applyFont="1" applyBorder="1" applyAlignment="1">
      <alignment horizontal="center" vertical="center"/>
    </xf>
    <xf numFmtId="41" fontId="15" fillId="2" borderId="241" xfId="2" applyFont="1" applyFill="1" applyBorder="1" applyAlignment="1">
      <alignment horizontal="center" vertical="center"/>
    </xf>
    <xf numFmtId="41" fontId="15" fillId="2" borderId="119" xfId="2" applyFont="1" applyFill="1" applyBorder="1" applyAlignment="1">
      <alignment horizontal="center" vertical="center"/>
    </xf>
    <xf numFmtId="41" fontId="15" fillId="2" borderId="242" xfId="2" applyFont="1" applyFill="1" applyBorder="1" applyAlignment="1">
      <alignment horizontal="center" vertical="center"/>
    </xf>
    <xf numFmtId="41" fontId="15" fillId="2" borderId="191" xfId="2" applyFont="1" applyFill="1" applyBorder="1" applyAlignment="1">
      <alignment horizontal="center" vertical="center"/>
    </xf>
    <xf numFmtId="41" fontId="15" fillId="2" borderId="63" xfId="2" applyFont="1" applyFill="1" applyBorder="1" applyAlignment="1">
      <alignment horizontal="center" vertical="center"/>
    </xf>
    <xf numFmtId="41" fontId="15" fillId="2" borderId="248" xfId="2" applyFont="1" applyFill="1" applyBorder="1" applyAlignment="1">
      <alignment horizontal="center" vertical="center"/>
    </xf>
    <xf numFmtId="41" fontId="0" fillId="5" borderId="0" xfId="2" applyFont="1" applyFill="1" applyAlignment="1">
      <alignment horizontal="center" vertical="center"/>
    </xf>
    <xf numFmtId="41" fontId="0" fillId="17" borderId="0" xfId="2" applyFont="1" applyFill="1" applyAlignment="1">
      <alignment horizontal="center" vertical="center"/>
    </xf>
    <xf numFmtId="41" fontId="15" fillId="5" borderId="0" xfId="2" applyFont="1" applyFill="1" applyAlignment="1">
      <alignment horizontal="center" vertical="center"/>
    </xf>
    <xf numFmtId="41" fontId="15" fillId="5" borderId="0" xfId="2" applyFont="1" applyFill="1" applyBorder="1" applyAlignment="1">
      <alignment horizontal="center" vertical="center"/>
    </xf>
    <xf numFmtId="41" fontId="0" fillId="5" borderId="0" xfId="2" applyFont="1" applyFill="1" applyBorder="1" applyAlignment="1">
      <alignment horizontal="center" vertical="center"/>
    </xf>
    <xf numFmtId="2" fontId="0" fillId="11" borderId="328" xfId="0" applyNumberFormat="1" applyFill="1" applyBorder="1" applyAlignment="1">
      <alignment horizontal="center" vertical="center"/>
    </xf>
    <xf numFmtId="2" fontId="0" fillId="11" borderId="4" xfId="0" applyNumberFormat="1" applyFill="1" applyBorder="1" applyAlignment="1">
      <alignment horizontal="center" vertical="center"/>
    </xf>
    <xf numFmtId="2" fontId="0" fillId="11" borderId="224" xfId="0" applyNumberFormat="1" applyFill="1" applyBorder="1" applyAlignment="1">
      <alignment horizontal="center" vertical="center"/>
    </xf>
    <xf numFmtId="2" fontId="0" fillId="5" borderId="0" xfId="0" applyNumberFormat="1" applyFill="1" applyBorder="1" applyAlignment="1">
      <alignment horizontal="center" vertical="center"/>
    </xf>
    <xf numFmtId="41" fontId="0" fillId="13" borderId="329" xfId="2" applyFont="1" applyFill="1" applyBorder="1" applyAlignment="1">
      <alignment horizontal="center" vertical="center" shrinkToFit="1"/>
    </xf>
    <xf numFmtId="41" fontId="0" fillId="13" borderId="0" xfId="2" applyFont="1" applyFill="1" applyBorder="1" applyAlignment="1">
      <alignment horizontal="center" vertical="center" shrinkToFit="1"/>
    </xf>
    <xf numFmtId="41" fontId="0" fillId="13" borderId="225" xfId="2" applyFont="1" applyFill="1" applyBorder="1" applyAlignment="1">
      <alignment horizontal="center" vertical="center" shrinkToFit="1"/>
    </xf>
    <xf numFmtId="41" fontId="0" fillId="5" borderId="0" xfId="2" applyFont="1" applyFill="1" applyBorder="1" applyAlignment="1">
      <alignment horizontal="center" vertical="center" shrinkToFit="1"/>
    </xf>
    <xf numFmtId="41" fontId="0" fillId="8" borderId="330" xfId="2" applyFont="1" applyFill="1" applyBorder="1" applyAlignment="1">
      <alignment horizontal="center" vertical="center" shrinkToFit="1"/>
    </xf>
    <xf numFmtId="41" fontId="0" fillId="8" borderId="68" xfId="2" applyFont="1" applyFill="1" applyBorder="1" applyAlignment="1">
      <alignment horizontal="center" vertical="center" shrinkToFit="1"/>
    </xf>
    <xf numFmtId="41" fontId="0" fillId="8" borderId="226" xfId="2" applyFont="1" applyFill="1" applyBorder="1" applyAlignment="1">
      <alignment horizontal="center" vertical="center" shrinkToFit="1"/>
    </xf>
    <xf numFmtId="41" fontId="0" fillId="8" borderId="329" xfId="2" applyFont="1" applyFill="1" applyBorder="1" applyAlignment="1">
      <alignment horizontal="center" vertical="center" shrinkToFit="1"/>
    </xf>
    <xf numFmtId="41" fontId="0" fillId="8" borderId="0" xfId="2" applyFont="1" applyFill="1" applyBorder="1" applyAlignment="1">
      <alignment horizontal="center" vertical="center" shrinkToFit="1"/>
    </xf>
    <xf numFmtId="41" fontId="0" fillId="8" borderId="225" xfId="2" applyFont="1" applyFill="1" applyBorder="1" applyAlignment="1">
      <alignment horizontal="center" vertical="center" shrinkToFit="1"/>
    </xf>
    <xf numFmtId="41" fontId="0" fillId="8" borderId="331" xfId="2" applyFont="1" applyFill="1" applyBorder="1" applyAlignment="1">
      <alignment horizontal="center" vertical="center" shrinkToFit="1"/>
    </xf>
    <xf numFmtId="41" fontId="0" fillId="8" borderId="37" xfId="2" applyFont="1" applyFill="1" applyBorder="1" applyAlignment="1">
      <alignment horizontal="center" vertical="center" shrinkToFit="1"/>
    </xf>
    <xf numFmtId="41" fontId="0" fillId="8" borderId="227" xfId="2" applyFont="1" applyFill="1" applyBorder="1" applyAlignment="1">
      <alignment horizontal="center" vertical="center" shrinkToFit="1"/>
    </xf>
    <xf numFmtId="41" fontId="0" fillId="19" borderId="330" xfId="2" applyFont="1" applyFill="1" applyBorder="1" applyAlignment="1">
      <alignment horizontal="center" vertical="center" shrinkToFit="1"/>
    </xf>
    <xf numFmtId="41" fontId="0" fillId="19" borderId="68" xfId="2" applyFont="1" applyFill="1" applyBorder="1" applyAlignment="1">
      <alignment horizontal="center" vertical="center" shrinkToFit="1"/>
    </xf>
    <xf numFmtId="41" fontId="0" fillId="19" borderId="226" xfId="2" applyFont="1" applyFill="1" applyBorder="1" applyAlignment="1">
      <alignment horizontal="center" vertical="center" shrinkToFit="1"/>
    </xf>
    <xf numFmtId="41" fontId="0" fillId="19" borderId="329" xfId="2" applyFont="1" applyFill="1" applyBorder="1" applyAlignment="1">
      <alignment horizontal="center" vertical="center" shrinkToFit="1"/>
    </xf>
    <xf numFmtId="41" fontId="0" fillId="19" borderId="0" xfId="2" applyFont="1" applyFill="1" applyBorder="1" applyAlignment="1">
      <alignment horizontal="center" vertical="center" shrinkToFit="1"/>
    </xf>
    <xf numFmtId="41" fontId="0" fillId="19" borderId="225" xfId="2" applyFont="1" applyFill="1" applyBorder="1" applyAlignment="1">
      <alignment horizontal="center" vertical="center" shrinkToFit="1"/>
    </xf>
    <xf numFmtId="41" fontId="0" fillId="19" borderId="332" xfId="2" applyFont="1" applyFill="1" applyBorder="1" applyAlignment="1">
      <alignment horizontal="center" vertical="center" shrinkToFit="1"/>
    </xf>
    <xf numFmtId="41" fontId="0" fillId="19" borderId="6" xfId="2" applyFont="1" applyFill="1" applyBorder="1" applyAlignment="1">
      <alignment horizontal="center" vertical="center" shrinkToFit="1"/>
    </xf>
    <xf numFmtId="41" fontId="0" fillId="19" borderId="230" xfId="2" applyFont="1" applyFill="1" applyBorder="1" applyAlignment="1">
      <alignment horizontal="center" vertical="center" shrinkToFit="1"/>
    </xf>
    <xf numFmtId="41" fontId="0" fillId="8" borderId="332" xfId="2" applyFont="1" applyFill="1" applyBorder="1" applyAlignment="1">
      <alignment horizontal="center" vertical="center"/>
    </xf>
    <xf numFmtId="41" fontId="0" fillId="8" borderId="6" xfId="2" applyFont="1" applyFill="1" applyBorder="1" applyAlignment="1">
      <alignment horizontal="center" vertical="center"/>
    </xf>
    <xf numFmtId="41" fontId="0" fillId="8" borderId="230" xfId="2" applyFont="1" applyFill="1" applyBorder="1" applyAlignment="1">
      <alignment horizontal="center" vertical="center"/>
    </xf>
    <xf numFmtId="0" fontId="18" fillId="11" borderId="0" xfId="0" applyFont="1" applyFill="1" applyBorder="1">
      <alignment vertical="center"/>
    </xf>
    <xf numFmtId="176" fontId="0" fillId="11" borderId="328" xfId="3" applyNumberFormat="1" applyFont="1" applyFill="1" applyBorder="1" applyAlignment="1">
      <alignment horizontal="right" vertical="center"/>
    </xf>
    <xf numFmtId="176" fontId="0" fillId="11" borderId="4" xfId="3" applyNumberFormat="1" applyFont="1" applyFill="1" applyBorder="1" applyAlignment="1">
      <alignment horizontal="right" vertical="center"/>
    </xf>
    <xf numFmtId="176" fontId="0" fillId="11" borderId="224" xfId="3" applyNumberFormat="1" applyFont="1" applyFill="1" applyBorder="1" applyAlignment="1">
      <alignment horizontal="right" vertical="center"/>
    </xf>
    <xf numFmtId="176" fontId="0" fillId="13" borderId="329" xfId="3" applyNumberFormat="1" applyFont="1" applyFill="1" applyBorder="1" applyAlignment="1">
      <alignment horizontal="right" vertical="center"/>
    </xf>
    <xf numFmtId="176" fontId="0" fillId="13" borderId="0" xfId="3" applyNumberFormat="1" applyFont="1" applyFill="1" applyBorder="1" applyAlignment="1">
      <alignment horizontal="right" vertical="center"/>
    </xf>
    <xf numFmtId="176" fontId="0" fillId="13" borderId="225" xfId="3" applyNumberFormat="1" applyFont="1" applyFill="1" applyBorder="1" applyAlignment="1">
      <alignment horizontal="right" vertical="center"/>
    </xf>
    <xf numFmtId="176" fontId="0" fillId="8" borderId="330" xfId="3" applyNumberFormat="1" applyFont="1" applyFill="1" applyBorder="1" applyAlignment="1">
      <alignment horizontal="right" vertical="center"/>
    </xf>
    <xf numFmtId="176" fontId="0" fillId="8" borderId="68" xfId="3" applyNumberFormat="1" applyFont="1" applyFill="1" applyBorder="1" applyAlignment="1">
      <alignment horizontal="right" vertical="center"/>
    </xf>
    <xf numFmtId="176" fontId="0" fillId="8" borderId="226" xfId="3" applyNumberFormat="1" applyFont="1" applyFill="1" applyBorder="1" applyAlignment="1">
      <alignment horizontal="right" vertical="center"/>
    </xf>
    <xf numFmtId="176" fontId="0" fillId="20" borderId="329" xfId="3" applyNumberFormat="1" applyFont="1" applyFill="1" applyBorder="1" applyAlignment="1">
      <alignment horizontal="right" vertical="center"/>
    </xf>
    <xf numFmtId="176" fontId="0" fillId="20" borderId="0" xfId="3" applyNumberFormat="1" applyFont="1" applyFill="1" applyBorder="1" applyAlignment="1">
      <alignment horizontal="right" vertical="center"/>
    </xf>
    <xf numFmtId="176" fontId="0" fillId="20" borderId="225" xfId="3" applyNumberFormat="1" applyFont="1" applyFill="1" applyBorder="1" applyAlignment="1">
      <alignment horizontal="right" vertical="center"/>
    </xf>
    <xf numFmtId="176" fontId="0" fillId="20" borderId="331" xfId="3" applyNumberFormat="1" applyFont="1" applyFill="1" applyBorder="1" applyAlignment="1">
      <alignment horizontal="right" vertical="center"/>
    </xf>
    <xf numFmtId="176" fontId="0" fillId="20" borderId="37" xfId="3" applyNumberFormat="1" applyFont="1" applyFill="1" applyBorder="1" applyAlignment="1">
      <alignment horizontal="right" vertical="center"/>
    </xf>
    <xf numFmtId="176" fontId="0" fillId="20" borderId="227" xfId="3" applyNumberFormat="1" applyFont="1" applyFill="1" applyBorder="1" applyAlignment="1">
      <alignment horizontal="right" vertical="center"/>
    </xf>
    <xf numFmtId="176" fontId="0" fillId="13" borderId="332" xfId="3" applyNumberFormat="1" applyFont="1" applyFill="1" applyBorder="1" applyAlignment="1">
      <alignment horizontal="right" vertical="center"/>
    </xf>
    <xf numFmtId="176" fontId="0" fillId="13" borderId="6" xfId="3" applyNumberFormat="1" applyFont="1" applyFill="1" applyBorder="1" applyAlignment="1">
      <alignment horizontal="right" vertical="center"/>
    </xf>
    <xf numFmtId="176" fontId="0" fillId="13" borderId="230" xfId="3" applyNumberFormat="1" applyFont="1" applyFill="1" applyBorder="1" applyAlignment="1">
      <alignment horizontal="right" vertical="center"/>
    </xf>
    <xf numFmtId="176" fontId="0" fillId="8" borderId="328" xfId="3" applyNumberFormat="1" applyFont="1" applyFill="1" applyBorder="1" applyAlignment="1">
      <alignment horizontal="right" vertical="center"/>
    </xf>
    <xf numFmtId="176" fontId="0" fillId="8" borderId="4" xfId="3" applyNumberFormat="1" applyFont="1" applyFill="1" applyBorder="1" applyAlignment="1">
      <alignment horizontal="right" vertical="center"/>
    </xf>
    <xf numFmtId="176" fontId="0" fillId="8" borderId="224" xfId="3" applyNumberFormat="1" applyFont="1" applyFill="1" applyBorder="1" applyAlignment="1">
      <alignment horizontal="right" vertical="center"/>
    </xf>
    <xf numFmtId="176" fontId="0" fillId="8" borderId="329" xfId="3" applyNumberFormat="1" applyFont="1" applyFill="1" applyBorder="1" applyAlignment="1">
      <alignment horizontal="right" vertical="center"/>
    </xf>
    <xf numFmtId="176" fontId="0" fillId="8" borderId="0" xfId="3" applyNumberFormat="1" applyFont="1" applyFill="1" applyBorder="1" applyAlignment="1">
      <alignment horizontal="right" vertical="center"/>
    </xf>
    <xf numFmtId="176" fontId="0" fillId="8" borderId="225" xfId="3" applyNumberFormat="1" applyFont="1" applyFill="1" applyBorder="1" applyAlignment="1">
      <alignment horizontal="right" vertical="center"/>
    </xf>
    <xf numFmtId="41" fontId="0" fillId="11" borderId="11" xfId="2" applyFont="1" applyFill="1" applyBorder="1">
      <alignment vertical="center"/>
    </xf>
    <xf numFmtId="41" fontId="0" fillId="11" borderId="0" xfId="2" applyFont="1" applyFill="1" applyBorder="1">
      <alignment vertical="center"/>
    </xf>
    <xf numFmtId="0" fontId="15" fillId="0" borderId="0" xfId="0" quotePrefix="1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329" xfId="2" applyFont="1" applyFill="1" applyBorder="1" applyAlignment="1">
      <alignment horizontal="center" vertical="center"/>
    </xf>
    <xf numFmtId="41" fontId="15" fillId="0" borderId="0" xfId="2" applyFont="1" applyFill="1" applyBorder="1" applyAlignment="1">
      <alignment horizontal="center" vertical="center"/>
    </xf>
    <xf numFmtId="41" fontId="15" fillId="0" borderId="225" xfId="2" applyFont="1" applyFill="1" applyBorder="1" applyAlignment="1">
      <alignment horizontal="center" vertical="center"/>
    </xf>
    <xf numFmtId="176" fontId="0" fillId="13" borderId="329" xfId="3" applyNumberFormat="1" applyFont="1" applyFill="1" applyBorder="1" applyAlignment="1">
      <alignment horizontal="center" vertical="center"/>
    </xf>
    <xf numFmtId="176" fontId="0" fillId="13" borderId="0" xfId="3" applyNumberFormat="1" applyFont="1" applyFill="1" applyBorder="1" applyAlignment="1">
      <alignment horizontal="center" vertical="center"/>
    </xf>
    <xf numFmtId="176" fontId="0" fillId="13" borderId="225" xfId="3" applyNumberFormat="1" applyFont="1" applyFill="1" applyBorder="1" applyAlignment="1">
      <alignment horizontal="center" vertical="center"/>
    </xf>
    <xf numFmtId="176" fontId="0" fillId="5" borderId="0" xfId="3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13" borderId="225" xfId="2" applyNumberFormat="1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0" fontId="6" fillId="4" borderId="0" xfId="0" quotePrefix="1" applyFont="1" applyFill="1" applyAlignment="1">
      <alignment horizontal="center" vertical="center"/>
    </xf>
    <xf numFmtId="41" fontId="0" fillId="11" borderId="4" xfId="2" applyFont="1" applyFill="1" applyBorder="1">
      <alignment vertical="center"/>
    </xf>
    <xf numFmtId="41" fontId="0" fillId="11" borderId="9" xfId="2" applyFont="1" applyFill="1" applyBorder="1">
      <alignment vertical="center"/>
    </xf>
    <xf numFmtId="0" fontId="9" fillId="9" borderId="0" xfId="0" applyFont="1" applyFill="1">
      <alignment vertical="center"/>
    </xf>
    <xf numFmtId="0" fontId="0" fillId="9" borderId="0" xfId="0" applyFill="1">
      <alignment vertical="center"/>
    </xf>
    <xf numFmtId="41" fontId="0" fillId="0" borderId="0" xfId="2" applyFont="1" applyBorder="1">
      <alignment vertical="center"/>
    </xf>
    <xf numFmtId="0" fontId="9" fillId="8" borderId="0" xfId="0" applyFont="1" applyFill="1">
      <alignment vertical="center"/>
    </xf>
    <xf numFmtId="0" fontId="0" fillId="8" borderId="0" xfId="0" applyFill="1">
      <alignment vertical="center"/>
    </xf>
    <xf numFmtId="41" fontId="0" fillId="11" borderId="68" xfId="2" applyFont="1" applyFill="1" applyBorder="1">
      <alignment vertical="center"/>
    </xf>
    <xf numFmtId="41" fontId="0" fillId="11" borderId="69" xfId="2" applyFont="1" applyFill="1" applyBorder="1">
      <alignment vertical="center"/>
    </xf>
    <xf numFmtId="41" fontId="0" fillId="8" borderId="37" xfId="2" applyFont="1" applyFill="1" applyBorder="1">
      <alignment vertical="center"/>
    </xf>
    <xf numFmtId="41" fontId="0" fillId="8" borderId="38" xfId="2" applyFont="1" applyFill="1" applyBorder="1">
      <alignment vertical="center"/>
    </xf>
    <xf numFmtId="41" fontId="0" fillId="8" borderId="48" xfId="2" applyFont="1" applyFill="1" applyBorder="1">
      <alignment vertical="center"/>
    </xf>
    <xf numFmtId="41" fontId="0" fillId="8" borderId="6" xfId="2" applyFont="1" applyFill="1" applyBorder="1">
      <alignment vertical="center"/>
    </xf>
    <xf numFmtId="0" fontId="9" fillId="11" borderId="0" xfId="0" applyFont="1" applyFill="1">
      <alignment vertical="center"/>
    </xf>
    <xf numFmtId="0" fontId="0" fillId="11" borderId="0" xfId="0" applyFill="1">
      <alignment vertical="center"/>
    </xf>
    <xf numFmtId="41" fontId="0" fillId="11" borderId="345" xfId="2" applyFont="1" applyFill="1" applyBorder="1">
      <alignment vertical="center"/>
    </xf>
    <xf numFmtId="41" fontId="0" fillId="11" borderId="344" xfId="2" applyFont="1" applyFill="1" applyBorder="1">
      <alignment vertical="center"/>
    </xf>
    <xf numFmtId="41" fontId="0" fillId="11" borderId="346" xfId="2" applyFont="1" applyFill="1" applyBorder="1">
      <alignment vertical="center"/>
    </xf>
    <xf numFmtId="41" fontId="0" fillId="11" borderId="347" xfId="2" applyFont="1" applyFill="1" applyBorder="1">
      <alignment vertical="center"/>
    </xf>
    <xf numFmtId="41" fontId="0" fillId="8" borderId="348" xfId="2" applyFont="1" applyFill="1" applyBorder="1">
      <alignment vertical="center"/>
    </xf>
    <xf numFmtId="41" fontId="8" fillId="0" borderId="0" xfId="2" applyFont="1" applyFill="1" applyBorder="1">
      <alignment vertical="center"/>
    </xf>
    <xf numFmtId="195" fontId="0" fillId="8" borderId="226" xfId="2" applyNumberFormat="1" applyFont="1" applyFill="1" applyBorder="1" applyAlignment="1">
      <alignment horizontal="center" vertical="center"/>
    </xf>
    <xf numFmtId="192" fontId="0" fillId="13" borderId="0" xfId="2" applyNumberFormat="1" applyFont="1" applyFill="1" applyBorder="1" applyAlignment="1">
      <alignment horizontal="right" vertical="center"/>
    </xf>
    <xf numFmtId="0" fontId="9" fillId="11" borderId="10" xfId="0" applyFont="1" applyFill="1" applyBorder="1">
      <alignment vertical="center"/>
    </xf>
    <xf numFmtId="0" fontId="0" fillId="0" borderId="12" xfId="0" quotePrefix="1" applyFill="1" applyBorder="1">
      <alignment vertical="center"/>
    </xf>
    <xf numFmtId="0" fontId="9" fillId="11" borderId="20" xfId="0" applyFont="1" applyFill="1" applyBorder="1">
      <alignment vertical="center"/>
    </xf>
    <xf numFmtId="0" fontId="9" fillId="11" borderId="111" xfId="0" applyFont="1" applyFill="1" applyBorder="1">
      <alignment vertical="center"/>
    </xf>
    <xf numFmtId="0" fontId="9" fillId="11" borderId="112" xfId="0" applyFont="1" applyFill="1" applyBorder="1">
      <alignment vertical="center"/>
    </xf>
    <xf numFmtId="0" fontId="0" fillId="0" borderId="350" xfId="0" applyFill="1" applyBorder="1">
      <alignment vertical="center"/>
    </xf>
    <xf numFmtId="0" fontId="0" fillId="0" borderId="189" xfId="0" applyFill="1" applyBorder="1">
      <alignment vertical="center"/>
    </xf>
    <xf numFmtId="0" fontId="0" fillId="12" borderId="189" xfId="0" applyFill="1" applyBorder="1">
      <alignment vertical="center"/>
    </xf>
    <xf numFmtId="0" fontId="9" fillId="8" borderId="34" xfId="0" applyFont="1" applyFill="1" applyBorder="1">
      <alignment vertical="center"/>
    </xf>
    <xf numFmtId="0" fontId="9" fillId="9" borderId="156" xfId="0" applyFont="1" applyFill="1" applyBorder="1" applyAlignment="1">
      <alignment vertical="center" wrapText="1"/>
    </xf>
    <xf numFmtId="0" fontId="9" fillId="13" borderId="126" xfId="0" applyFont="1" applyFill="1" applyBorder="1">
      <alignment vertical="center"/>
    </xf>
    <xf numFmtId="0" fontId="10" fillId="0" borderId="0" xfId="0" applyFont="1">
      <alignment vertical="center"/>
    </xf>
    <xf numFmtId="41" fontId="10" fillId="9" borderId="0" xfId="2" applyFont="1" applyFill="1" applyBorder="1">
      <alignment vertical="center"/>
    </xf>
    <xf numFmtId="176" fontId="10" fillId="0" borderId="0" xfId="3" applyNumberFormat="1" applyFont="1" applyFill="1" applyBorder="1">
      <alignment vertical="center"/>
    </xf>
    <xf numFmtId="41" fontId="10" fillId="11" borderId="9" xfId="2" applyFont="1" applyFill="1" applyBorder="1">
      <alignment vertical="center"/>
    </xf>
    <xf numFmtId="41" fontId="10" fillId="11" borderId="4" xfId="2" applyFont="1" applyFill="1" applyBorder="1">
      <alignment vertical="center"/>
    </xf>
    <xf numFmtId="41" fontId="10" fillId="9" borderId="11" xfId="2" applyFont="1" applyFill="1" applyBorder="1">
      <alignment vertical="center"/>
    </xf>
    <xf numFmtId="41" fontId="10" fillId="0" borderId="11" xfId="2" applyFont="1" applyFill="1" applyBorder="1">
      <alignment vertical="center"/>
    </xf>
    <xf numFmtId="41" fontId="10" fillId="0" borderId="0" xfId="2" applyFont="1" applyFill="1" applyBorder="1">
      <alignment vertical="center"/>
    </xf>
    <xf numFmtId="41" fontId="10" fillId="0" borderId="0" xfId="2" applyFont="1">
      <alignment vertical="center"/>
    </xf>
    <xf numFmtId="187" fontId="10" fillId="0" borderId="0" xfId="0" applyNumberFormat="1" applyFont="1">
      <alignment vertical="center"/>
    </xf>
    <xf numFmtId="41" fontId="10" fillId="0" borderId="52" xfId="2" applyFont="1" applyFill="1" applyBorder="1">
      <alignment vertical="center"/>
    </xf>
    <xf numFmtId="41" fontId="10" fillId="0" borderId="36" xfId="2" applyFont="1" applyFill="1" applyBorder="1">
      <alignment vertical="center"/>
    </xf>
    <xf numFmtId="41" fontId="10" fillId="9" borderId="59" xfId="2" applyFont="1" applyFill="1" applyBorder="1">
      <alignment vertical="center"/>
    </xf>
    <xf numFmtId="41" fontId="10" fillId="9" borderId="58" xfId="2" applyFont="1" applyFill="1" applyBorder="1">
      <alignment vertical="center"/>
    </xf>
    <xf numFmtId="41" fontId="10" fillId="11" borderId="11" xfId="2" applyFont="1" applyFill="1" applyBorder="1">
      <alignment vertical="center"/>
    </xf>
    <xf numFmtId="41" fontId="10" fillId="11" borderId="0" xfId="2" applyFont="1" applyFill="1" applyBorder="1">
      <alignment vertical="center"/>
    </xf>
    <xf numFmtId="187" fontId="10" fillId="0" borderId="0" xfId="3" applyNumberFormat="1" applyFont="1" applyFill="1" applyBorder="1">
      <alignment vertical="center"/>
    </xf>
    <xf numFmtId="0" fontId="0" fillId="6" borderId="0" xfId="0" applyFont="1" applyFill="1" applyBorder="1">
      <alignment vertical="center"/>
    </xf>
    <xf numFmtId="0" fontId="0" fillId="2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176" fontId="2" fillId="0" borderId="186" xfId="3" applyNumberFormat="1" applyFont="1" applyFill="1" applyBorder="1">
      <alignment vertical="center"/>
    </xf>
    <xf numFmtId="9" fontId="2" fillId="13" borderId="187" xfId="3" applyFont="1" applyFill="1" applyBorder="1">
      <alignment vertical="center"/>
    </xf>
    <xf numFmtId="9" fontId="2" fillId="0" borderId="187" xfId="3" applyFont="1" applyFill="1" applyBorder="1">
      <alignment vertical="center"/>
    </xf>
    <xf numFmtId="9" fontId="2" fillId="13" borderId="211" xfId="3" applyFont="1" applyFill="1" applyBorder="1">
      <alignment vertical="center"/>
    </xf>
    <xf numFmtId="9" fontId="2" fillId="8" borderId="187" xfId="3" applyFont="1" applyFill="1" applyBorder="1">
      <alignment vertical="center"/>
    </xf>
    <xf numFmtId="9" fontId="2" fillId="8" borderId="46" xfId="3" applyFont="1" applyFill="1" applyBorder="1">
      <alignment vertical="center"/>
    </xf>
    <xf numFmtId="9" fontId="2" fillId="0" borderId="46" xfId="3" applyFont="1" applyFill="1" applyBorder="1">
      <alignment vertical="center"/>
    </xf>
    <xf numFmtId="9" fontId="2" fillId="9" borderId="61" xfId="3" applyFont="1" applyFill="1" applyBorder="1">
      <alignment vertical="center"/>
    </xf>
    <xf numFmtId="9" fontId="2" fillId="8" borderId="79" xfId="3" applyFont="1" applyFill="1" applyBorder="1">
      <alignment vertical="center"/>
    </xf>
    <xf numFmtId="9" fontId="2" fillId="8" borderId="123" xfId="3" applyFont="1" applyFill="1" applyBorder="1">
      <alignment vertical="center"/>
    </xf>
    <xf numFmtId="187" fontId="10" fillId="11" borderId="11" xfId="0" applyNumberFormat="1" applyFont="1" applyFill="1" applyBorder="1" applyAlignment="1">
      <alignment horizontal="right" vertical="center"/>
    </xf>
    <xf numFmtId="187" fontId="10" fillId="3" borderId="161" xfId="0" applyNumberFormat="1" applyFont="1" applyFill="1" applyBorder="1" applyAlignment="1">
      <alignment horizontal="right" vertical="center"/>
    </xf>
    <xf numFmtId="187" fontId="10" fillId="3" borderId="160" xfId="0" applyNumberFormat="1" applyFont="1" applyFill="1" applyBorder="1" applyAlignment="1">
      <alignment horizontal="right" vertical="center"/>
    </xf>
    <xf numFmtId="187" fontId="10" fillId="3" borderId="11" xfId="0" applyNumberFormat="1" applyFont="1" applyFill="1" applyBorder="1" applyAlignment="1">
      <alignment horizontal="right" vertical="center"/>
    </xf>
    <xf numFmtId="187" fontId="10" fillId="2" borderId="144" xfId="0" applyNumberFormat="1" applyFont="1" applyFill="1" applyBorder="1" applyAlignment="1">
      <alignment horizontal="right" vertical="center"/>
    </xf>
    <xf numFmtId="187" fontId="10" fillId="2" borderId="143" xfId="0" applyNumberFormat="1" applyFont="1" applyFill="1" applyBorder="1" applyAlignment="1">
      <alignment horizontal="right" vertical="center"/>
    </xf>
    <xf numFmtId="200" fontId="10" fillId="5" borderId="48" xfId="0" applyNumberFormat="1" applyFont="1" applyFill="1" applyBorder="1" applyAlignment="1">
      <alignment horizontal="right" vertical="center"/>
    </xf>
    <xf numFmtId="200" fontId="10" fillId="5" borderId="6" xfId="0" applyNumberFormat="1" applyFont="1" applyFill="1" applyBorder="1" applyAlignment="1">
      <alignment horizontal="right" vertical="center"/>
    </xf>
    <xf numFmtId="0" fontId="10" fillId="0" borderId="36" xfId="0" applyFont="1" applyBorder="1">
      <alignment vertical="center"/>
    </xf>
    <xf numFmtId="41" fontId="10" fillId="8" borderId="50" xfId="2" applyFont="1" applyFill="1" applyBorder="1">
      <alignment vertical="center"/>
    </xf>
    <xf numFmtId="41" fontId="10" fillId="8" borderId="34" xfId="2" applyFont="1" applyFill="1" applyBorder="1">
      <alignment vertical="center"/>
    </xf>
    <xf numFmtId="41" fontId="10" fillId="8" borderId="11" xfId="2" applyFont="1" applyFill="1" applyBorder="1">
      <alignment vertical="center"/>
    </xf>
    <xf numFmtId="41" fontId="10" fillId="8" borderId="0" xfId="2" applyFont="1" applyFill="1" applyBorder="1">
      <alignment vertical="center"/>
    </xf>
    <xf numFmtId="187" fontId="10" fillId="8" borderId="11" xfId="0" applyNumberFormat="1" applyFont="1" applyFill="1" applyBorder="1">
      <alignment vertical="center"/>
    </xf>
    <xf numFmtId="41" fontId="10" fillId="11" borderId="172" xfId="2" applyFont="1" applyFill="1" applyBorder="1">
      <alignment vertical="center"/>
    </xf>
    <xf numFmtId="41" fontId="10" fillId="11" borderId="171" xfId="2" applyFont="1" applyFill="1" applyBorder="1">
      <alignment vertical="center"/>
    </xf>
    <xf numFmtId="41" fontId="10" fillId="0" borderId="177" xfId="2" applyFont="1" applyFill="1" applyBorder="1">
      <alignment vertical="center"/>
    </xf>
    <xf numFmtId="41" fontId="10" fillId="0" borderId="176" xfId="2" applyFont="1" applyFill="1" applyBorder="1">
      <alignment vertical="center"/>
    </xf>
    <xf numFmtId="187" fontId="10" fillId="9" borderId="11" xfId="0" applyNumberFormat="1" applyFont="1" applyFill="1" applyBorder="1">
      <alignment vertical="center"/>
    </xf>
    <xf numFmtId="41" fontId="10" fillId="13" borderId="11" xfId="2" applyFont="1" applyFill="1" applyBorder="1">
      <alignment vertical="center"/>
    </xf>
    <xf numFmtId="41" fontId="10" fillId="13" borderId="0" xfId="2" applyFont="1" applyFill="1" applyBorder="1">
      <alignment vertical="center"/>
    </xf>
    <xf numFmtId="187" fontId="10" fillId="13" borderId="11" xfId="3" applyNumberFormat="1" applyFont="1" applyFill="1" applyBorder="1">
      <alignment vertical="center"/>
    </xf>
    <xf numFmtId="187" fontId="10" fillId="13" borderId="0" xfId="3" applyNumberFormat="1" applyFont="1" applyFill="1" applyBorder="1">
      <alignment vertical="center"/>
    </xf>
    <xf numFmtId="187" fontId="10" fillId="0" borderId="11" xfId="3" applyNumberFormat="1" applyFont="1" applyFill="1" applyBorder="1">
      <alignment vertical="center"/>
    </xf>
    <xf numFmtId="187" fontId="10" fillId="0" borderId="134" xfId="3" applyNumberFormat="1" applyFont="1" applyFill="1" applyBorder="1">
      <alignment vertical="center"/>
    </xf>
    <xf numFmtId="187" fontId="10" fillId="0" borderId="132" xfId="3" applyNumberFormat="1" applyFont="1" applyFill="1" applyBorder="1">
      <alignment vertical="center"/>
    </xf>
    <xf numFmtId="187" fontId="10" fillId="13" borderId="11" xfId="0" applyNumberFormat="1" applyFont="1" applyFill="1" applyBorder="1">
      <alignment vertical="center"/>
    </xf>
    <xf numFmtId="187" fontId="10" fillId="11" borderId="0" xfId="0" applyNumberFormat="1" applyFont="1" applyFill="1" applyAlignment="1">
      <alignment horizontal="right" vertical="center"/>
    </xf>
    <xf numFmtId="187" fontId="10" fillId="5" borderId="11" xfId="0" applyNumberFormat="1" applyFont="1" applyFill="1" applyBorder="1" applyAlignment="1">
      <alignment horizontal="right" vertical="center"/>
    </xf>
    <xf numFmtId="187" fontId="10" fillId="5" borderId="0" xfId="0" applyNumberFormat="1" applyFont="1" applyFill="1" applyAlignment="1">
      <alignment horizontal="right" vertical="center"/>
    </xf>
    <xf numFmtId="187" fontId="10" fillId="5" borderId="52" xfId="0" applyNumberFormat="1" applyFont="1" applyFill="1" applyBorder="1" applyAlignment="1">
      <alignment horizontal="right" vertical="center"/>
    </xf>
    <xf numFmtId="187" fontId="10" fillId="5" borderId="36" xfId="0" applyNumberFormat="1" applyFont="1" applyFill="1" applyBorder="1" applyAlignment="1">
      <alignment horizontal="right" vertical="center"/>
    </xf>
    <xf numFmtId="41" fontId="10" fillId="9" borderId="77" xfId="2" applyFont="1" applyFill="1" applyBorder="1">
      <alignment vertical="center"/>
    </xf>
    <xf numFmtId="41" fontId="10" fillId="9" borderId="76" xfId="2" applyFont="1" applyFill="1" applyBorder="1">
      <alignment vertical="center"/>
    </xf>
    <xf numFmtId="41" fontId="10" fillId="13" borderId="128" xfId="2" applyFont="1" applyFill="1" applyBorder="1">
      <alignment vertical="center"/>
    </xf>
    <xf numFmtId="41" fontId="10" fillId="13" borderId="126" xfId="2" applyFont="1" applyFill="1" applyBorder="1">
      <alignment vertical="center"/>
    </xf>
    <xf numFmtId="187" fontId="10" fillId="13" borderId="11" xfId="0" applyNumberFormat="1" applyFont="1" applyFill="1" applyBorder="1" applyAlignment="1">
      <alignment horizontal="right" vertical="center"/>
    </xf>
    <xf numFmtId="41" fontId="10" fillId="0" borderId="134" xfId="2" applyFont="1" applyFill="1" applyBorder="1">
      <alignment vertical="center"/>
    </xf>
    <xf numFmtId="41" fontId="10" fillId="0" borderId="132" xfId="2" applyFont="1" applyFill="1" applyBorder="1">
      <alignment vertical="center"/>
    </xf>
    <xf numFmtId="187" fontId="10" fillId="2" borderId="128" xfId="0" applyNumberFormat="1" applyFont="1" applyFill="1" applyBorder="1" applyAlignment="1">
      <alignment horizontal="right" vertical="center"/>
    </xf>
    <xf numFmtId="187" fontId="10" fillId="2" borderId="126" xfId="0" applyNumberFormat="1" applyFont="1" applyFill="1" applyBorder="1" applyAlignment="1">
      <alignment horizontal="right" vertical="center"/>
    </xf>
    <xf numFmtId="41" fontId="0" fillId="6" borderId="50" xfId="2" applyFont="1" applyFill="1" applyBorder="1">
      <alignment vertical="center"/>
    </xf>
    <xf numFmtId="41" fontId="0" fillId="6" borderId="34" xfId="2" applyFont="1" applyFill="1" applyBorder="1">
      <alignment vertical="center"/>
    </xf>
    <xf numFmtId="41" fontId="0" fillId="6" borderId="11" xfId="2" applyFont="1" applyFill="1" applyBorder="1">
      <alignment vertical="center"/>
    </xf>
    <xf numFmtId="41" fontId="0" fillId="6" borderId="0" xfId="2" applyFont="1" applyFill="1" applyBorder="1">
      <alignment vertical="center"/>
    </xf>
    <xf numFmtId="41" fontId="0" fillId="5" borderId="11" xfId="2" applyFont="1" applyFill="1" applyBorder="1">
      <alignment vertical="center"/>
    </xf>
    <xf numFmtId="41" fontId="0" fillId="5" borderId="0" xfId="2" applyFont="1" applyFill="1" applyBorder="1">
      <alignment vertical="center"/>
    </xf>
    <xf numFmtId="41" fontId="0" fillId="6" borderId="308" xfId="2" applyFont="1" applyFill="1" applyBorder="1">
      <alignment vertical="center"/>
    </xf>
    <xf numFmtId="41" fontId="0" fillId="6" borderId="307" xfId="2" applyFont="1" applyFill="1" applyBorder="1">
      <alignment vertical="center"/>
    </xf>
    <xf numFmtId="41" fontId="0" fillId="13" borderId="318" xfId="2" applyFont="1" applyFill="1" applyBorder="1">
      <alignment vertical="center"/>
    </xf>
    <xf numFmtId="41" fontId="0" fillId="13" borderId="317" xfId="2" applyFont="1" applyFill="1" applyBorder="1">
      <alignment vertical="center"/>
    </xf>
    <xf numFmtId="41" fontId="0" fillId="5" borderId="56" xfId="2" applyFont="1" applyFill="1" applyBorder="1">
      <alignment vertical="center"/>
    </xf>
    <xf numFmtId="41" fontId="0" fillId="5" borderId="32" xfId="2" applyFont="1" applyFill="1" applyBorder="1">
      <alignment vertical="center"/>
    </xf>
    <xf numFmtId="41" fontId="0" fillId="6" borderId="324" xfId="2" applyFont="1" applyFill="1" applyBorder="1">
      <alignment vertical="center"/>
    </xf>
    <xf numFmtId="41" fontId="0" fillId="6" borderId="323" xfId="2" applyFont="1" applyFill="1" applyBorder="1">
      <alignment vertical="center"/>
    </xf>
    <xf numFmtId="195" fontId="11" fillId="0" borderId="68" xfId="2" applyNumberFormat="1" applyFont="1" applyBorder="1" applyAlignment="1">
      <alignment horizontal="center" vertical="center"/>
    </xf>
    <xf numFmtId="195" fontId="11" fillId="0" borderId="0" xfId="2" applyNumberFormat="1" applyFont="1" applyBorder="1" applyAlignment="1">
      <alignment horizontal="center" vertical="center"/>
    </xf>
    <xf numFmtId="195" fontId="11" fillId="2" borderId="0" xfId="2" applyNumberFormat="1" applyFont="1" applyFill="1" applyBorder="1" applyAlignment="1">
      <alignment horizontal="center" vertical="center"/>
    </xf>
    <xf numFmtId="195" fontId="11" fillId="0" borderId="6" xfId="2" applyNumberFormat="1" applyFont="1" applyBorder="1" applyAlignment="1">
      <alignment horizontal="center" vertical="center"/>
    </xf>
    <xf numFmtId="195" fontId="0" fillId="8" borderId="68" xfId="2" applyNumberFormat="1" applyFont="1" applyFill="1" applyBorder="1" applyAlignment="1">
      <alignment horizontal="center" vertical="center"/>
    </xf>
    <xf numFmtId="195" fontId="0" fillId="8" borderId="0" xfId="2" applyNumberFormat="1" applyFont="1" applyFill="1" applyBorder="1" applyAlignment="1">
      <alignment horizontal="center" vertical="center"/>
    </xf>
    <xf numFmtId="195" fontId="0" fillId="8" borderId="225" xfId="2" applyNumberFormat="1" applyFont="1" applyFill="1" applyBorder="1" applyAlignment="1">
      <alignment horizontal="center" vertical="center"/>
    </xf>
    <xf numFmtId="195" fontId="0" fillId="8" borderId="37" xfId="2" applyNumberFormat="1" applyFont="1" applyFill="1" applyBorder="1" applyAlignment="1">
      <alignment horizontal="center" vertical="center"/>
    </xf>
    <xf numFmtId="195" fontId="0" fillId="8" borderId="227" xfId="2" applyNumberFormat="1" applyFont="1" applyFill="1" applyBorder="1" applyAlignment="1">
      <alignment horizontal="center" vertical="center"/>
    </xf>
    <xf numFmtId="195" fontId="11" fillId="0" borderId="226" xfId="2" applyNumberFormat="1" applyFont="1" applyBorder="1" applyAlignment="1">
      <alignment horizontal="center" vertical="center"/>
    </xf>
    <xf numFmtId="195" fontId="11" fillId="0" borderId="225" xfId="2" applyNumberFormat="1" applyFont="1" applyBorder="1" applyAlignment="1">
      <alignment horizontal="center" vertical="center"/>
    </xf>
    <xf numFmtId="195" fontId="11" fillId="2" borderId="225" xfId="2" applyNumberFormat="1" applyFont="1" applyFill="1" applyBorder="1" applyAlignment="1">
      <alignment horizontal="center" vertical="center"/>
    </xf>
    <xf numFmtId="195" fontId="11" fillId="0" borderId="230" xfId="2" applyNumberFormat="1" applyFont="1" applyBorder="1" applyAlignment="1">
      <alignment horizontal="center" vertical="center"/>
    </xf>
    <xf numFmtId="195" fontId="0" fillId="8" borderId="330" xfId="2" applyNumberFormat="1" applyFont="1" applyFill="1" applyBorder="1" applyAlignment="1">
      <alignment horizontal="center" vertical="center"/>
    </xf>
    <xf numFmtId="195" fontId="0" fillId="8" borderId="329" xfId="2" applyNumberFormat="1" applyFont="1" applyFill="1" applyBorder="1" applyAlignment="1">
      <alignment horizontal="center" vertical="center"/>
    </xf>
    <xf numFmtId="195" fontId="0" fillId="8" borderId="331" xfId="2" applyNumberFormat="1" applyFont="1" applyFill="1" applyBorder="1" applyAlignment="1">
      <alignment horizontal="center" vertical="center"/>
    </xf>
    <xf numFmtId="195" fontId="11" fillId="0" borderId="334" xfId="2" applyNumberFormat="1" applyFont="1" applyBorder="1" applyAlignment="1">
      <alignment horizontal="center" vertical="center"/>
    </xf>
    <xf numFmtId="195" fontId="11" fillId="0" borderId="256" xfId="2" applyNumberFormat="1" applyFont="1" applyBorder="1" applyAlignment="1">
      <alignment horizontal="center" vertical="center"/>
    </xf>
    <xf numFmtId="195" fontId="11" fillId="2" borderId="256" xfId="2" applyNumberFormat="1" applyFont="1" applyFill="1" applyBorder="1" applyAlignment="1">
      <alignment horizontal="center" vertical="center"/>
    </xf>
    <xf numFmtId="195" fontId="11" fillId="0" borderId="336" xfId="2" applyNumberFormat="1" applyFont="1" applyBorder="1" applyAlignment="1">
      <alignment horizontal="center" vertical="center"/>
    </xf>
    <xf numFmtId="195" fontId="0" fillId="0" borderId="0" xfId="2" applyNumberFormat="1" applyFont="1" applyAlignment="1">
      <alignment horizontal="center" vertical="center"/>
    </xf>
    <xf numFmtId="195" fontId="0" fillId="11" borderId="328" xfId="2" applyNumberFormat="1" applyFont="1" applyFill="1" applyBorder="1" applyAlignment="1">
      <alignment horizontal="center" vertical="center"/>
    </xf>
    <xf numFmtId="195" fontId="0" fillId="11" borderId="4" xfId="2" applyNumberFormat="1" applyFont="1" applyFill="1" applyBorder="1" applyAlignment="1">
      <alignment horizontal="center" vertical="center"/>
    </xf>
    <xf numFmtId="195" fontId="0" fillId="11" borderId="224" xfId="2" applyNumberFormat="1" applyFont="1" applyFill="1" applyBorder="1" applyAlignment="1">
      <alignment horizontal="center" vertical="center"/>
    </xf>
    <xf numFmtId="0" fontId="9" fillId="11" borderId="302" xfId="0" quotePrefix="1" applyFont="1" applyFill="1" applyBorder="1" applyAlignment="1">
      <alignment horizontal="center" vertical="center"/>
    </xf>
    <xf numFmtId="0" fontId="10" fillId="0" borderId="305" xfId="0" applyFont="1" applyBorder="1">
      <alignment vertical="center"/>
    </xf>
    <xf numFmtId="0" fontId="0" fillId="0" borderId="358" xfId="0" applyFill="1" applyBorder="1">
      <alignment vertical="center"/>
    </xf>
    <xf numFmtId="0" fontId="0" fillId="0" borderId="364" xfId="0" applyFill="1" applyBorder="1">
      <alignment vertical="center"/>
    </xf>
    <xf numFmtId="0" fontId="10" fillId="0" borderId="369" xfId="0" applyFont="1" applyBorder="1">
      <alignment vertical="center"/>
    </xf>
    <xf numFmtId="0" fontId="0" fillId="0" borderId="370" xfId="0" applyFill="1" applyBorder="1">
      <alignment vertical="center"/>
    </xf>
    <xf numFmtId="0" fontId="10" fillId="0" borderId="363" xfId="0" applyFont="1" applyBorder="1">
      <alignment vertical="center"/>
    </xf>
    <xf numFmtId="202" fontId="0" fillId="0" borderId="0" xfId="0" applyNumberFormat="1">
      <alignment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192" fontId="0" fillId="9" borderId="190" xfId="2" applyNumberFormat="1" applyFont="1" applyFill="1" applyBorder="1" applyAlignment="1">
      <alignment horizontal="right" vertical="center"/>
    </xf>
    <xf numFmtId="192" fontId="0" fillId="9" borderId="58" xfId="2" applyNumberFormat="1" applyFont="1" applyFill="1" applyBorder="1" applyAlignment="1">
      <alignment horizontal="right" vertical="center"/>
    </xf>
    <xf numFmtId="192" fontId="0" fillId="9" borderId="238" xfId="2" applyNumberFormat="1" applyFont="1" applyFill="1" applyBorder="1" applyAlignment="1">
      <alignment horizontal="right" vertical="center"/>
    </xf>
    <xf numFmtId="192" fontId="0" fillId="3" borderId="188" xfId="2" applyNumberFormat="1" applyFont="1" applyFill="1" applyBorder="1" applyAlignment="1">
      <alignment horizontal="right" vertical="center"/>
    </xf>
    <xf numFmtId="192" fontId="0" fillId="3" borderId="0" xfId="2" applyNumberFormat="1" applyFont="1" applyFill="1" applyBorder="1" applyAlignment="1">
      <alignment horizontal="right" vertical="center"/>
    </xf>
    <xf numFmtId="192" fontId="0" fillId="3" borderId="239" xfId="2" applyNumberFormat="1" applyFont="1" applyFill="1" applyBorder="1" applyAlignment="1">
      <alignment horizontal="right" vertical="center"/>
    </xf>
    <xf numFmtId="192" fontId="0" fillId="8" borderId="243" xfId="2" applyNumberFormat="1" applyFont="1" applyFill="1" applyBorder="1" applyAlignment="1">
      <alignment horizontal="right" vertical="center"/>
    </xf>
    <xf numFmtId="192" fontId="0" fillId="8" borderId="76" xfId="2" applyNumberFormat="1" applyFont="1" applyFill="1" applyBorder="1" applyAlignment="1">
      <alignment horizontal="right" vertical="center"/>
    </xf>
    <xf numFmtId="192" fontId="0" fillId="8" borderId="244" xfId="2" applyNumberFormat="1" applyFont="1" applyFill="1" applyBorder="1" applyAlignment="1">
      <alignment horizontal="right" vertical="center"/>
    </xf>
    <xf numFmtId="192" fontId="0" fillId="8" borderId="188" xfId="2" applyNumberFormat="1" applyFont="1" applyFill="1" applyBorder="1" applyAlignment="1">
      <alignment horizontal="right" vertical="center"/>
    </xf>
    <xf numFmtId="192" fontId="0" fillId="8" borderId="0" xfId="2" applyNumberFormat="1" applyFont="1" applyFill="1" applyBorder="1" applyAlignment="1">
      <alignment horizontal="right" vertical="center"/>
    </xf>
    <xf numFmtId="192" fontId="0" fillId="8" borderId="239" xfId="2" applyNumberFormat="1" applyFont="1" applyFill="1" applyBorder="1" applyAlignment="1">
      <alignment horizontal="right" vertical="center"/>
    </xf>
    <xf numFmtId="192" fontId="0" fillId="8" borderId="241" xfId="2" applyNumberFormat="1" applyFont="1" applyFill="1" applyBorder="1" applyAlignment="1">
      <alignment horizontal="right" vertical="center"/>
    </xf>
    <xf numFmtId="192" fontId="0" fillId="8" borderId="119" xfId="2" applyNumberFormat="1" applyFont="1" applyFill="1" applyBorder="1" applyAlignment="1">
      <alignment horizontal="right" vertical="center"/>
    </xf>
    <xf numFmtId="192" fontId="0" fillId="8" borderId="242" xfId="2" applyNumberFormat="1" applyFont="1" applyFill="1" applyBorder="1" applyAlignment="1">
      <alignment horizontal="right" vertical="center"/>
    </xf>
    <xf numFmtId="192" fontId="15" fillId="2" borderId="243" xfId="2" applyNumberFormat="1" applyFont="1" applyFill="1" applyBorder="1" applyAlignment="1">
      <alignment horizontal="right" vertical="center"/>
    </xf>
    <xf numFmtId="192" fontId="15" fillId="2" borderId="76" xfId="2" applyNumberFormat="1" applyFont="1" applyFill="1" applyBorder="1" applyAlignment="1">
      <alignment horizontal="right" vertical="center"/>
    </xf>
    <xf numFmtId="192" fontId="15" fillId="2" borderId="244" xfId="2" applyNumberFormat="1" applyFont="1" applyFill="1" applyBorder="1" applyAlignment="1">
      <alignment horizontal="right" vertical="center"/>
    </xf>
    <xf numFmtId="192" fontId="15" fillId="2" borderId="188" xfId="2" applyNumberFormat="1" applyFont="1" applyFill="1" applyBorder="1" applyAlignment="1">
      <alignment horizontal="right" vertical="center"/>
    </xf>
    <xf numFmtId="192" fontId="15" fillId="2" borderId="0" xfId="2" applyNumberFormat="1" applyFont="1" applyFill="1" applyBorder="1" applyAlignment="1">
      <alignment horizontal="right" vertical="center"/>
    </xf>
    <xf numFmtId="192" fontId="15" fillId="2" borderId="239" xfId="2" applyNumberFormat="1" applyFont="1" applyFill="1" applyBorder="1" applyAlignment="1">
      <alignment horizontal="right" vertical="center"/>
    </xf>
    <xf numFmtId="192" fontId="15" fillId="0" borderId="188" xfId="2" applyNumberFormat="1" applyFont="1" applyBorder="1" applyAlignment="1">
      <alignment horizontal="right" vertical="center"/>
    </xf>
    <xf numFmtId="192" fontId="15" fillId="0" borderId="0" xfId="2" applyNumberFormat="1" applyFont="1" applyBorder="1" applyAlignment="1">
      <alignment horizontal="right" vertical="center"/>
    </xf>
    <xf numFmtId="192" fontId="15" fillId="0" borderId="239" xfId="2" applyNumberFormat="1" applyFont="1" applyBorder="1" applyAlignment="1">
      <alignment horizontal="right" vertical="center"/>
    </xf>
    <xf numFmtId="192" fontId="15" fillId="2" borderId="241" xfId="2" applyNumberFormat="1" applyFont="1" applyFill="1" applyBorder="1" applyAlignment="1">
      <alignment horizontal="right" vertical="center"/>
    </xf>
    <xf numFmtId="192" fontId="15" fillId="2" borderId="119" xfId="2" applyNumberFormat="1" applyFont="1" applyFill="1" applyBorder="1" applyAlignment="1">
      <alignment horizontal="right" vertical="center"/>
    </xf>
    <xf numFmtId="192" fontId="15" fillId="2" borderId="242" xfId="2" applyNumberFormat="1" applyFont="1" applyFill="1" applyBorder="1" applyAlignment="1">
      <alignment horizontal="right" vertical="center"/>
    </xf>
    <xf numFmtId="192" fontId="15" fillId="2" borderId="191" xfId="2" applyNumberFormat="1" applyFont="1" applyFill="1" applyBorder="1" applyAlignment="1">
      <alignment horizontal="right" vertical="center"/>
    </xf>
    <xf numFmtId="192" fontId="15" fillId="2" borderId="63" xfId="2" applyNumberFormat="1" applyFont="1" applyFill="1" applyBorder="1" applyAlignment="1">
      <alignment horizontal="right" vertical="center"/>
    </xf>
    <xf numFmtId="192" fontId="15" fillId="2" borderId="248" xfId="2" applyNumberFormat="1" applyFont="1" applyFill="1" applyBorder="1" applyAlignment="1">
      <alignment horizontal="right" vertical="center"/>
    </xf>
    <xf numFmtId="195" fontId="0" fillId="8" borderId="243" xfId="2" applyNumberFormat="1" applyFont="1" applyFill="1" applyBorder="1" applyAlignment="1">
      <alignment horizontal="center" vertical="center"/>
    </xf>
    <xf numFmtId="195" fontId="0" fillId="8" borderId="76" xfId="2" applyNumberFormat="1" applyFont="1" applyFill="1" applyBorder="1" applyAlignment="1">
      <alignment horizontal="center" vertical="center"/>
    </xf>
    <xf numFmtId="195" fontId="0" fillId="8" borderId="188" xfId="2" applyNumberFormat="1" applyFont="1" applyFill="1" applyBorder="1" applyAlignment="1">
      <alignment horizontal="center" vertical="center"/>
    </xf>
    <xf numFmtId="195" fontId="0" fillId="8" borderId="241" xfId="2" applyNumberFormat="1" applyFont="1" applyFill="1" applyBorder="1" applyAlignment="1">
      <alignment horizontal="center" vertical="center"/>
    </xf>
    <xf numFmtId="195" fontId="0" fillId="8" borderId="119" xfId="2" applyNumberFormat="1" applyFont="1" applyFill="1" applyBorder="1" applyAlignment="1">
      <alignment horizontal="center" vertical="center"/>
    </xf>
    <xf numFmtId="195" fontId="15" fillId="2" borderId="243" xfId="2" applyNumberFormat="1" applyFont="1" applyFill="1" applyBorder="1" applyAlignment="1">
      <alignment horizontal="center" vertical="center"/>
    </xf>
    <xf numFmtId="195" fontId="15" fillId="2" borderId="76" xfId="2" applyNumberFormat="1" applyFont="1" applyFill="1" applyBorder="1" applyAlignment="1">
      <alignment horizontal="center" vertical="center"/>
    </xf>
    <xf numFmtId="195" fontId="15" fillId="2" borderId="188" xfId="2" applyNumberFormat="1" applyFont="1" applyFill="1" applyBorder="1" applyAlignment="1">
      <alignment horizontal="center" vertical="center"/>
    </xf>
    <xf numFmtId="195" fontId="15" fillId="2" borderId="0" xfId="2" applyNumberFormat="1" applyFont="1" applyFill="1" applyBorder="1" applyAlignment="1">
      <alignment horizontal="center" vertical="center"/>
    </xf>
    <xf numFmtId="195" fontId="15" fillId="0" borderId="188" xfId="2" applyNumberFormat="1" applyFont="1" applyBorder="1" applyAlignment="1">
      <alignment horizontal="center" vertical="center"/>
    </xf>
    <xf numFmtId="195" fontId="15" fillId="0" borderId="0" xfId="2" applyNumberFormat="1" applyFont="1" applyBorder="1" applyAlignment="1">
      <alignment horizontal="center" vertical="center"/>
    </xf>
    <xf numFmtId="195" fontId="15" fillId="2" borderId="191" xfId="2" applyNumberFormat="1" applyFont="1" applyFill="1" applyBorder="1" applyAlignment="1">
      <alignment horizontal="center" vertical="center"/>
    </xf>
    <xf numFmtId="195" fontId="15" fillId="2" borderId="63" xfId="2" applyNumberFormat="1" applyFont="1" applyFill="1" applyBorder="1" applyAlignment="1">
      <alignment horizontal="center" vertical="center"/>
    </xf>
    <xf numFmtId="195" fontId="15" fillId="2" borderId="241" xfId="2" applyNumberFormat="1" applyFont="1" applyFill="1" applyBorder="1" applyAlignment="1">
      <alignment horizontal="center" vertical="center"/>
    </xf>
    <xf numFmtId="195" fontId="15" fillId="2" borderId="119" xfId="2" applyNumberFormat="1" applyFont="1" applyFill="1" applyBorder="1" applyAlignment="1">
      <alignment horizontal="center" vertical="center"/>
    </xf>
    <xf numFmtId="195" fontId="0" fillId="8" borderId="244" xfId="2" applyNumberFormat="1" applyFont="1" applyFill="1" applyBorder="1" applyAlignment="1">
      <alignment horizontal="center" vertical="center"/>
    </xf>
    <xf numFmtId="195" fontId="0" fillId="8" borderId="239" xfId="2" applyNumberFormat="1" applyFont="1" applyFill="1" applyBorder="1" applyAlignment="1">
      <alignment horizontal="center" vertical="center"/>
    </xf>
    <xf numFmtId="195" fontId="0" fillId="8" borderId="242" xfId="2" applyNumberFormat="1" applyFont="1" applyFill="1" applyBorder="1" applyAlignment="1">
      <alignment horizontal="center" vertical="center"/>
    </xf>
    <xf numFmtId="195" fontId="15" fillId="2" borderId="244" xfId="2" applyNumberFormat="1" applyFont="1" applyFill="1" applyBorder="1" applyAlignment="1">
      <alignment horizontal="center" vertical="center"/>
    </xf>
    <xf numFmtId="195" fontId="15" fillId="2" borderId="239" xfId="2" applyNumberFormat="1" applyFont="1" applyFill="1" applyBorder="1" applyAlignment="1">
      <alignment horizontal="center" vertical="center"/>
    </xf>
    <xf numFmtId="195" fontId="15" fillId="0" borderId="239" xfId="2" applyNumberFormat="1" applyFont="1" applyBorder="1" applyAlignment="1">
      <alignment horizontal="center" vertical="center"/>
    </xf>
    <xf numFmtId="195" fontId="15" fillId="2" borderId="248" xfId="2" applyNumberFormat="1" applyFont="1" applyFill="1" applyBorder="1" applyAlignment="1">
      <alignment horizontal="center" vertical="center"/>
    </xf>
    <xf numFmtId="195" fontId="15" fillId="2" borderId="242" xfId="2" applyNumberFormat="1" applyFont="1" applyFill="1" applyBorder="1" applyAlignment="1">
      <alignment horizontal="center" vertical="center"/>
    </xf>
    <xf numFmtId="195" fontId="0" fillId="9" borderId="58" xfId="2" applyNumberFormat="1" applyFont="1" applyFill="1" applyBorder="1" applyAlignment="1">
      <alignment horizontal="center" vertical="center"/>
    </xf>
    <xf numFmtId="195" fontId="0" fillId="9" borderId="238" xfId="2" applyNumberFormat="1" applyFont="1" applyFill="1" applyBorder="1" applyAlignment="1">
      <alignment horizontal="center" vertical="center"/>
    </xf>
    <xf numFmtId="195" fontId="0" fillId="3" borderId="0" xfId="2" applyNumberFormat="1" applyFont="1" applyFill="1" applyBorder="1" applyAlignment="1">
      <alignment horizontal="center" vertical="center"/>
    </xf>
    <xf numFmtId="195" fontId="0" fillId="3" borderId="239" xfId="2" applyNumberFormat="1" applyFont="1" applyFill="1" applyBorder="1" applyAlignment="1">
      <alignment horizontal="center" vertical="center"/>
    </xf>
    <xf numFmtId="192" fontId="0" fillId="5" borderId="0" xfId="2" applyNumberFormat="1" applyFont="1" applyFill="1" applyAlignment="1">
      <alignment horizontal="right" vertical="center"/>
    </xf>
    <xf numFmtId="192" fontId="15" fillId="5" borderId="0" xfId="2" applyNumberFormat="1" applyFont="1" applyFill="1" applyAlignment="1">
      <alignment horizontal="right" vertical="center"/>
    </xf>
    <xf numFmtId="192" fontId="0" fillId="11" borderId="328" xfId="2" applyNumberFormat="1" applyFont="1" applyFill="1" applyBorder="1" applyAlignment="1">
      <alignment horizontal="right" vertical="center"/>
    </xf>
    <xf numFmtId="192" fontId="0" fillId="11" borderId="4" xfId="2" applyNumberFormat="1" applyFont="1" applyFill="1" applyBorder="1" applyAlignment="1">
      <alignment horizontal="right" vertical="center"/>
    </xf>
    <xf numFmtId="192" fontId="0" fillId="11" borderId="224" xfId="2" applyNumberFormat="1" applyFont="1" applyFill="1" applyBorder="1" applyAlignment="1">
      <alignment horizontal="right" vertical="center"/>
    </xf>
    <xf numFmtId="192" fontId="0" fillId="13" borderId="329" xfId="2" applyNumberFormat="1" applyFont="1" applyFill="1" applyBorder="1" applyAlignment="1">
      <alignment horizontal="right" vertical="center"/>
    </xf>
    <xf numFmtId="192" fontId="0" fillId="13" borderId="225" xfId="2" applyNumberFormat="1" applyFont="1" applyFill="1" applyBorder="1" applyAlignment="1">
      <alignment horizontal="right" vertical="center"/>
    </xf>
    <xf numFmtId="192" fontId="0" fillId="8" borderId="330" xfId="2" applyNumberFormat="1" applyFont="1" applyFill="1" applyBorder="1" applyAlignment="1">
      <alignment horizontal="right" vertical="center"/>
    </xf>
    <xf numFmtId="192" fontId="0" fillId="8" borderId="68" xfId="2" applyNumberFormat="1" applyFont="1" applyFill="1" applyBorder="1" applyAlignment="1">
      <alignment horizontal="right" vertical="center"/>
    </xf>
    <xf numFmtId="192" fontId="0" fillId="8" borderId="226" xfId="2" applyNumberFormat="1" applyFont="1" applyFill="1" applyBorder="1" applyAlignment="1">
      <alignment horizontal="right" vertical="center"/>
    </xf>
    <xf numFmtId="192" fontId="0" fillId="8" borderId="329" xfId="2" applyNumberFormat="1" applyFont="1" applyFill="1" applyBorder="1" applyAlignment="1">
      <alignment horizontal="right" vertical="center"/>
    </xf>
    <xf numFmtId="192" fontId="0" fillId="8" borderId="225" xfId="2" applyNumberFormat="1" applyFont="1" applyFill="1" applyBorder="1" applyAlignment="1">
      <alignment horizontal="right" vertical="center"/>
    </xf>
    <xf numFmtId="192" fontId="0" fillId="8" borderId="331" xfId="2" applyNumberFormat="1" applyFont="1" applyFill="1" applyBorder="1" applyAlignment="1">
      <alignment horizontal="right" vertical="center"/>
    </xf>
    <xf numFmtId="192" fontId="0" fillId="8" borderId="37" xfId="2" applyNumberFormat="1" applyFont="1" applyFill="1" applyBorder="1" applyAlignment="1">
      <alignment horizontal="right" vertical="center"/>
    </xf>
    <xf numFmtId="192" fontId="0" fillId="8" borderId="227" xfId="2" applyNumberFormat="1" applyFont="1" applyFill="1" applyBorder="1" applyAlignment="1">
      <alignment horizontal="right" vertical="center"/>
    </xf>
    <xf numFmtId="192" fontId="11" fillId="0" borderId="68" xfId="2" applyNumberFormat="1" applyFont="1" applyBorder="1" applyAlignment="1">
      <alignment horizontal="right" vertical="center"/>
    </xf>
    <xf numFmtId="192" fontId="11" fillId="0" borderId="226" xfId="2" applyNumberFormat="1" applyFont="1" applyBorder="1" applyAlignment="1">
      <alignment horizontal="right" vertical="center"/>
    </xf>
    <xf numFmtId="192" fontId="11" fillId="0" borderId="0" xfId="2" applyNumberFormat="1" applyFont="1" applyBorder="1" applyAlignment="1">
      <alignment horizontal="right" vertical="center"/>
    </xf>
    <xf numFmtId="192" fontId="11" fillId="0" borderId="225" xfId="2" applyNumberFormat="1" applyFont="1" applyBorder="1" applyAlignment="1">
      <alignment horizontal="right" vertical="center"/>
    </xf>
    <xf numFmtId="192" fontId="11" fillId="2" borderId="0" xfId="2" applyNumberFormat="1" applyFont="1" applyFill="1" applyBorder="1" applyAlignment="1">
      <alignment horizontal="right" vertical="center"/>
    </xf>
    <xf numFmtId="192" fontId="11" fillId="2" borderId="225" xfId="2" applyNumberFormat="1" applyFont="1" applyFill="1" applyBorder="1" applyAlignment="1">
      <alignment horizontal="right" vertical="center"/>
    </xf>
    <xf numFmtId="192" fontId="11" fillId="0" borderId="6" xfId="2" applyNumberFormat="1" applyFont="1" applyBorder="1" applyAlignment="1">
      <alignment horizontal="right" vertical="center"/>
    </xf>
    <xf numFmtId="192" fontId="11" fillId="0" borderId="230" xfId="2" applyNumberFormat="1" applyFont="1" applyBorder="1" applyAlignment="1">
      <alignment horizontal="right" vertical="center"/>
    </xf>
    <xf numFmtId="192" fontId="0" fillId="11" borderId="333" xfId="2" applyNumberFormat="1" applyFont="1" applyFill="1" applyBorder="1" applyAlignment="1">
      <alignment horizontal="right" vertical="center"/>
    </xf>
    <xf numFmtId="192" fontId="0" fillId="13" borderId="256" xfId="2" applyNumberFormat="1" applyFont="1" applyFill="1" applyBorder="1" applyAlignment="1">
      <alignment horizontal="right" vertical="center"/>
    </xf>
    <xf numFmtId="192" fontId="0" fillId="8" borderId="334" xfId="2" applyNumberFormat="1" applyFont="1" applyFill="1" applyBorder="1" applyAlignment="1">
      <alignment horizontal="right" vertical="center"/>
    </xf>
    <xf numFmtId="192" fontId="0" fillId="8" borderId="256" xfId="2" applyNumberFormat="1" applyFont="1" applyFill="1" applyBorder="1" applyAlignment="1">
      <alignment horizontal="right" vertical="center"/>
    </xf>
    <xf numFmtId="192" fontId="0" fillId="8" borderId="335" xfId="2" applyNumberFormat="1" applyFont="1" applyFill="1" applyBorder="1" applyAlignment="1">
      <alignment horizontal="right" vertical="center"/>
    </xf>
    <xf numFmtId="192" fontId="11" fillId="0" borderId="334" xfId="2" applyNumberFormat="1" applyFont="1" applyBorder="1" applyAlignment="1">
      <alignment horizontal="right" vertical="center"/>
    </xf>
    <xf numFmtId="192" fontId="11" fillId="0" borderId="256" xfId="2" applyNumberFormat="1" applyFont="1" applyBorder="1" applyAlignment="1">
      <alignment horizontal="right" vertical="center"/>
    </xf>
    <xf numFmtId="192" fontId="11" fillId="2" borderId="256" xfId="2" applyNumberFormat="1" applyFont="1" applyFill="1" applyBorder="1" applyAlignment="1">
      <alignment horizontal="right" vertical="center"/>
    </xf>
    <xf numFmtId="192" fontId="11" fillId="0" borderId="336" xfId="2" applyNumberFormat="1" applyFont="1" applyBorder="1" applyAlignment="1">
      <alignment horizontal="right" vertical="center"/>
    </xf>
    <xf numFmtId="195" fontId="0" fillId="9" borderId="190" xfId="2" applyNumberFormat="1" applyFont="1" applyFill="1" applyBorder="1" applyAlignment="1">
      <alignment horizontal="center" vertical="center"/>
    </xf>
    <xf numFmtId="195" fontId="0" fillId="3" borderId="188" xfId="2" applyNumberFormat="1" applyFont="1" applyFill="1" applyBorder="1" applyAlignment="1">
      <alignment horizontal="center" vertical="center"/>
    </xf>
    <xf numFmtId="195" fontId="0" fillId="5" borderId="0" xfId="2" applyNumberFormat="1" applyFont="1" applyFill="1" applyAlignment="1">
      <alignment horizontal="center" vertical="center"/>
    </xf>
    <xf numFmtId="41" fontId="0" fillId="12" borderId="0" xfId="2" applyFont="1" applyFill="1" applyBorder="1">
      <alignment vertical="center"/>
    </xf>
    <xf numFmtId="41" fontId="0" fillId="0" borderId="58" xfId="2" applyFont="1" applyFill="1" applyBorder="1">
      <alignment vertical="center"/>
    </xf>
    <xf numFmtId="201" fontId="0" fillId="16" borderId="119" xfId="0" applyNumberFormat="1" applyFill="1" applyBorder="1">
      <alignment vertical="center"/>
    </xf>
    <xf numFmtId="207" fontId="0" fillId="0" borderId="0" xfId="0" applyNumberFormat="1">
      <alignment vertical="center"/>
    </xf>
    <xf numFmtId="207" fontId="0" fillId="3" borderId="0" xfId="0" applyNumberFormat="1" applyFill="1">
      <alignment vertical="center"/>
    </xf>
    <xf numFmtId="207" fontId="0" fillId="3" borderId="63" xfId="0" applyNumberFormat="1" applyFill="1" applyBorder="1">
      <alignment vertical="center"/>
    </xf>
    <xf numFmtId="0" fontId="19" fillId="11" borderId="217" xfId="0" applyFont="1" applyFill="1" applyBorder="1" applyAlignment="1">
      <alignment horizontal="center" vertical="center"/>
    </xf>
    <xf numFmtId="0" fontId="19" fillId="11" borderId="85" xfId="0" applyFont="1" applyFill="1" applyBorder="1" applyAlignment="1">
      <alignment horizontal="center" vertical="center"/>
    </xf>
    <xf numFmtId="0" fontId="19" fillId="11" borderId="220" xfId="0" applyFont="1" applyFill="1" applyBorder="1" applyAlignment="1">
      <alignment horizontal="center" vertical="center"/>
    </xf>
    <xf numFmtId="0" fontId="10" fillId="11" borderId="68" xfId="0" applyFont="1" applyFill="1" applyBorder="1" applyAlignment="1">
      <alignment horizontal="left" vertical="center"/>
    </xf>
    <xf numFmtId="176" fontId="0" fillId="11" borderId="330" xfId="3" applyNumberFormat="1" applyFont="1" applyFill="1" applyBorder="1" applyAlignment="1">
      <alignment horizontal="right" vertical="center"/>
    </xf>
    <xf numFmtId="176" fontId="0" fillId="11" borderId="68" xfId="3" applyNumberFormat="1" applyFont="1" applyFill="1" applyBorder="1" applyAlignment="1">
      <alignment horizontal="right" vertical="center"/>
    </xf>
    <xf numFmtId="176" fontId="0" fillId="11" borderId="226" xfId="3" applyNumberFormat="1" applyFont="1" applyFill="1" applyBorder="1" applyAlignment="1">
      <alignment horizontal="right" vertical="center"/>
    </xf>
    <xf numFmtId="0" fontId="10" fillId="13" borderId="0" xfId="0" applyFont="1" applyFill="1" applyBorder="1" applyAlignment="1">
      <alignment horizontal="left" vertical="center"/>
    </xf>
    <xf numFmtId="0" fontId="10" fillId="13" borderId="37" xfId="0" applyFont="1" applyFill="1" applyBorder="1" applyAlignment="1">
      <alignment horizontal="left" vertical="center"/>
    </xf>
    <xf numFmtId="176" fontId="0" fillId="13" borderId="331" xfId="3" applyNumberFormat="1" applyFont="1" applyFill="1" applyBorder="1" applyAlignment="1">
      <alignment horizontal="right" vertical="center"/>
    </xf>
    <xf numFmtId="176" fontId="0" fillId="13" borderId="37" xfId="3" applyNumberFormat="1" applyFont="1" applyFill="1" applyBorder="1" applyAlignment="1">
      <alignment horizontal="right" vertical="center"/>
    </xf>
    <xf numFmtId="176" fontId="0" fillId="13" borderId="227" xfId="3" applyNumberFormat="1" applyFont="1" applyFill="1" applyBorder="1" applyAlignment="1">
      <alignment horizontal="right" vertical="center"/>
    </xf>
    <xf numFmtId="0" fontId="9" fillId="8" borderId="4" xfId="0" applyFont="1" applyFill="1" applyBorder="1">
      <alignment vertical="center"/>
    </xf>
    <xf numFmtId="0" fontId="0" fillId="8" borderId="4" xfId="0" applyFill="1" applyBorder="1" applyAlignment="1">
      <alignment horizontal="left" vertical="center"/>
    </xf>
    <xf numFmtId="0" fontId="0" fillId="20" borderId="0" xfId="0" applyFill="1" applyBorder="1" applyAlignment="1">
      <alignment horizontal="left" vertical="center"/>
    </xf>
    <xf numFmtId="0" fontId="0" fillId="0" borderId="6" xfId="0" applyBorder="1">
      <alignment vertical="center"/>
    </xf>
    <xf numFmtId="202" fontId="10" fillId="5" borderId="0" xfId="0" applyNumberFormat="1" applyFont="1" applyFill="1" applyAlignment="1">
      <alignment horizontal="center" vertical="center"/>
    </xf>
    <xf numFmtId="204" fontId="0" fillId="0" borderId="0" xfId="0" applyNumberFormat="1">
      <alignment vertical="center"/>
    </xf>
    <xf numFmtId="210" fontId="0" fillId="0" borderId="0" xfId="0" applyNumberFormat="1">
      <alignment vertical="center"/>
    </xf>
    <xf numFmtId="178" fontId="0" fillId="0" borderId="68" xfId="0" applyNumberFormat="1" applyBorder="1">
      <alignment vertical="center"/>
    </xf>
    <xf numFmtId="178" fontId="0" fillId="13" borderId="0" xfId="0" applyNumberFormat="1" applyFill="1">
      <alignment vertical="center"/>
    </xf>
    <xf numFmtId="178" fontId="0" fillId="0" borderId="0" xfId="0" applyNumberFormat="1">
      <alignment vertical="center"/>
    </xf>
    <xf numFmtId="178" fontId="0" fillId="13" borderId="6" xfId="0" applyNumberFormat="1" applyFill="1" applyBorder="1">
      <alignment vertical="center"/>
    </xf>
    <xf numFmtId="178" fontId="0" fillId="8" borderId="0" xfId="0" applyNumberFormat="1" applyFill="1">
      <alignment vertical="center"/>
    </xf>
    <xf numFmtId="178" fontId="0" fillId="9" borderId="58" xfId="0" applyNumberFormat="1" applyFill="1" applyBorder="1">
      <alignment vertical="center"/>
    </xf>
    <xf numFmtId="178" fontId="0" fillId="8" borderId="76" xfId="0" applyNumberFormat="1" applyFill="1" applyBorder="1">
      <alignment vertical="center"/>
    </xf>
    <xf numFmtId="178" fontId="0" fillId="8" borderId="119" xfId="0" applyNumberFormat="1" applyFill="1" applyBorder="1">
      <alignment vertical="center"/>
    </xf>
    <xf numFmtId="178" fontId="0" fillId="0" borderId="63" xfId="0" applyNumberFormat="1" applyBorder="1">
      <alignment vertical="center"/>
    </xf>
    <xf numFmtId="178" fontId="0" fillId="12" borderId="0" xfId="0" applyNumberFormat="1" applyFill="1">
      <alignment vertical="center"/>
    </xf>
    <xf numFmtId="178" fontId="0" fillId="12" borderId="63" xfId="0" applyNumberFormat="1" applyFill="1" applyBorder="1">
      <alignment vertical="center"/>
    </xf>
    <xf numFmtId="0" fontId="6" fillId="10" borderId="393" xfId="0" quotePrefix="1" applyFont="1" applyFill="1" applyBorder="1" applyAlignment="1">
      <alignment horizontal="center" vertical="center"/>
    </xf>
    <xf numFmtId="0" fontId="6" fillId="10" borderId="394" xfId="0" quotePrefix="1" applyFont="1" applyFill="1" applyBorder="1" applyAlignment="1">
      <alignment horizontal="center" vertical="center"/>
    </xf>
    <xf numFmtId="9" fontId="2" fillId="8" borderId="399" xfId="3" applyFont="1" applyFill="1" applyBorder="1">
      <alignment vertical="center"/>
    </xf>
    <xf numFmtId="9" fontId="2" fillId="0" borderId="399" xfId="3" applyFont="1" applyFill="1" applyBorder="1">
      <alignment vertical="center"/>
    </xf>
    <xf numFmtId="9" fontId="2" fillId="13" borderId="399" xfId="3" applyFont="1" applyFill="1" applyBorder="1">
      <alignment vertical="center"/>
    </xf>
    <xf numFmtId="9" fontId="2" fillId="13" borderId="402" xfId="3" applyFont="1" applyFill="1" applyBorder="1">
      <alignment vertical="center"/>
    </xf>
    <xf numFmtId="192" fontId="0" fillId="0" borderId="0" xfId="0" applyNumberFormat="1">
      <alignment vertical="center"/>
    </xf>
    <xf numFmtId="41" fontId="4" fillId="0" borderId="252" xfId="2" quotePrefix="1" applyFont="1" applyFill="1" applyBorder="1" applyAlignment="1">
      <alignment horizontal="center" vertical="center"/>
    </xf>
    <xf numFmtId="41" fontId="4" fillId="0" borderId="18" xfId="2" quotePrefix="1" applyFont="1" applyFill="1" applyBorder="1" applyAlignment="1">
      <alignment horizontal="center" vertical="center"/>
    </xf>
    <xf numFmtId="195" fontId="4" fillId="0" borderId="11" xfId="2" quotePrefix="1" applyNumberFormat="1" applyFont="1" applyFill="1" applyBorder="1" applyAlignment="1">
      <alignment horizontal="center" vertical="center"/>
    </xf>
    <xf numFmtId="195" fontId="4" fillId="0" borderId="0" xfId="2" quotePrefix="1" applyNumberFormat="1" applyFont="1" applyFill="1" applyBorder="1" applyAlignment="1">
      <alignment horizontal="center" vertical="center"/>
    </xf>
    <xf numFmtId="41" fontId="4" fillId="0" borderId="11" xfId="2" quotePrefix="1" applyFont="1" applyFill="1" applyBorder="1" applyAlignment="1">
      <alignment horizontal="center" vertical="center"/>
    </xf>
    <xf numFmtId="41" fontId="4" fillId="0" borderId="0" xfId="2" quotePrefix="1" applyFont="1" applyFill="1" applyBorder="1" applyAlignment="1">
      <alignment horizontal="center" vertical="center"/>
    </xf>
    <xf numFmtId="41" fontId="4" fillId="11" borderId="11" xfId="2" quotePrefix="1" applyFont="1" applyFill="1" applyBorder="1" applyAlignment="1">
      <alignment horizontal="center" vertical="center"/>
    </xf>
    <xf numFmtId="41" fontId="4" fillId="11" borderId="0" xfId="2" quotePrefix="1" applyFont="1" applyFill="1" applyBorder="1" applyAlignment="1">
      <alignment horizontal="center" vertical="center"/>
    </xf>
    <xf numFmtId="195" fontId="4" fillId="11" borderId="11" xfId="2" quotePrefix="1" applyNumberFormat="1" applyFont="1" applyFill="1" applyBorder="1" applyAlignment="1">
      <alignment horizontal="center" vertical="center"/>
    </xf>
    <xf numFmtId="195" fontId="4" fillId="11" borderId="0" xfId="2" quotePrefix="1" applyNumberFormat="1" applyFont="1" applyFill="1" applyBorder="1" applyAlignment="1">
      <alignment horizontal="center" vertical="center"/>
    </xf>
    <xf numFmtId="41" fontId="4" fillId="0" borderId="299" xfId="2" quotePrefix="1" applyFont="1" applyFill="1" applyBorder="1" applyAlignment="1">
      <alignment horizontal="center" vertical="center"/>
    </xf>
    <xf numFmtId="41" fontId="4" fillId="0" borderId="298" xfId="2" quotePrefix="1" applyFont="1" applyFill="1" applyBorder="1" applyAlignment="1">
      <alignment horizontal="center" vertical="center"/>
    </xf>
    <xf numFmtId="41" fontId="4" fillId="2" borderId="11" xfId="2" quotePrefix="1" applyFont="1" applyFill="1" applyBorder="1" applyAlignment="1">
      <alignment horizontal="center" vertical="center"/>
    </xf>
    <xf numFmtId="41" fontId="4" fillId="2" borderId="0" xfId="2" quotePrefix="1" applyFont="1" applyFill="1" applyBorder="1" applyAlignment="1">
      <alignment horizontal="center" vertical="center"/>
    </xf>
    <xf numFmtId="187" fontId="4" fillId="2" borderId="11" xfId="0" quotePrefix="1" applyNumberFormat="1" applyFont="1" applyFill="1" applyBorder="1" applyAlignment="1">
      <alignment horizontal="right" vertical="center"/>
    </xf>
    <xf numFmtId="187" fontId="4" fillId="2" borderId="0" xfId="0" quotePrefix="1" applyNumberFormat="1" applyFont="1" applyFill="1" applyBorder="1" applyAlignment="1">
      <alignment horizontal="right" vertical="center"/>
    </xf>
    <xf numFmtId="0" fontId="4" fillId="11" borderId="113" xfId="0" quotePrefix="1" applyFont="1" applyFill="1" applyBorder="1" applyAlignment="1">
      <alignment horizontal="center" vertical="center"/>
    </xf>
    <xf numFmtId="41" fontId="4" fillId="11" borderId="111" xfId="2" quotePrefix="1" applyFont="1" applyFill="1" applyBorder="1" applyAlignment="1">
      <alignment horizontal="center" vertical="center"/>
    </xf>
    <xf numFmtId="0" fontId="4" fillId="11" borderId="11" xfId="0" quotePrefix="1" applyFont="1" applyFill="1" applyBorder="1" applyAlignment="1">
      <alignment horizontal="center" vertical="center"/>
    </xf>
    <xf numFmtId="9" fontId="0" fillId="0" borderId="0" xfId="3" applyFont="1">
      <alignment vertical="center"/>
    </xf>
    <xf numFmtId="195" fontId="0" fillId="5" borderId="11" xfId="2" applyNumberFormat="1" applyFont="1" applyFill="1" applyBorder="1">
      <alignment vertical="center"/>
    </xf>
    <xf numFmtId="195" fontId="0" fillId="5" borderId="0" xfId="2" applyNumberFormat="1" applyFont="1" applyFill="1" applyBorder="1">
      <alignment vertical="center"/>
    </xf>
    <xf numFmtId="0" fontId="4" fillId="0" borderId="0" xfId="0" applyFont="1" applyFill="1">
      <alignment vertical="center"/>
    </xf>
    <xf numFmtId="0" fontId="6" fillId="0" borderId="0" xfId="0" quotePrefix="1" applyFont="1" applyFill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95" fontId="0" fillId="13" borderId="329" xfId="2" applyNumberFormat="1" applyFont="1" applyFill="1" applyBorder="1" applyAlignment="1">
      <alignment horizontal="center" vertical="center"/>
    </xf>
    <xf numFmtId="195" fontId="0" fillId="13" borderId="0" xfId="2" applyNumberFormat="1" applyFont="1" applyFill="1" applyBorder="1" applyAlignment="1">
      <alignment horizontal="center" vertical="center"/>
    </xf>
    <xf numFmtId="41" fontId="0" fillId="11" borderId="0" xfId="0" applyNumberFormat="1" applyFill="1">
      <alignment vertical="center"/>
    </xf>
    <xf numFmtId="41" fontId="0" fillId="3" borderId="0" xfId="0" applyNumberFormat="1" applyFill="1">
      <alignment vertical="center"/>
    </xf>
    <xf numFmtId="176" fontId="0" fillId="3" borderId="0" xfId="3" applyNumberFormat="1" applyFont="1" applyFill="1">
      <alignment vertical="center"/>
    </xf>
    <xf numFmtId="187" fontId="10" fillId="0" borderId="11" xfId="0" applyNumberFormat="1" applyFont="1" applyBorder="1" applyAlignment="1">
      <alignment horizontal="right" vertical="center"/>
    </xf>
    <xf numFmtId="187" fontId="10" fillId="0" borderId="0" xfId="0" applyNumberFormat="1" applyFont="1" applyAlignment="1">
      <alignment horizontal="right" vertical="center"/>
    </xf>
    <xf numFmtId="187" fontId="10" fillId="0" borderId="167" xfId="0" applyNumberFormat="1" applyFont="1" applyBorder="1" applyAlignment="1">
      <alignment horizontal="right" vertical="center"/>
    </xf>
    <xf numFmtId="187" fontId="10" fillId="0" borderId="166" xfId="0" applyNumberFormat="1" applyFont="1" applyBorder="1" applyAlignment="1">
      <alignment horizontal="right" vertical="center"/>
    </xf>
    <xf numFmtId="187" fontId="10" fillId="3" borderId="0" xfId="0" applyNumberFormat="1" applyFont="1" applyFill="1" applyAlignment="1">
      <alignment horizontal="right" vertical="center"/>
    </xf>
    <xf numFmtId="187" fontId="10" fillId="8" borderId="0" xfId="0" applyNumberFormat="1" applyFont="1" applyFill="1">
      <alignment vertical="center"/>
    </xf>
    <xf numFmtId="187" fontId="10" fillId="9" borderId="0" xfId="0" applyNumberFormat="1" applyFont="1" applyFill="1">
      <alignment vertical="center"/>
    </xf>
    <xf numFmtId="187" fontId="10" fillId="13" borderId="0" xfId="0" applyNumberFormat="1" applyFont="1" applyFill="1">
      <alignment vertical="center"/>
    </xf>
    <xf numFmtId="187" fontId="10" fillId="0" borderId="11" xfId="0" applyNumberFormat="1" applyFont="1" applyBorder="1">
      <alignment vertical="center"/>
    </xf>
    <xf numFmtId="187" fontId="10" fillId="0" borderId="121" xfId="0" applyNumberFormat="1" applyFont="1" applyBorder="1">
      <alignment vertical="center"/>
    </xf>
    <xf numFmtId="187" fontId="10" fillId="0" borderId="119" xfId="0" applyNumberFormat="1" applyFont="1" applyBorder="1">
      <alignment vertical="center"/>
    </xf>
    <xf numFmtId="187" fontId="10" fillId="13" borderId="0" xfId="0" applyNumberFormat="1" applyFont="1" applyFill="1" applyAlignment="1">
      <alignment horizontal="right" vertical="center"/>
    </xf>
    <xf numFmtId="0" fontId="0" fillId="29" borderId="11" xfId="0" applyFill="1" applyBorder="1">
      <alignment vertical="center"/>
    </xf>
    <xf numFmtId="0" fontId="0" fillId="29" borderId="0" xfId="0" applyFill="1" applyBorder="1">
      <alignment vertical="center"/>
    </xf>
    <xf numFmtId="41" fontId="10" fillId="0" borderId="0" xfId="2" applyFont="1" applyBorder="1">
      <alignment vertical="center"/>
    </xf>
    <xf numFmtId="0" fontId="0" fillId="0" borderId="358" xfId="0" applyBorder="1">
      <alignment vertical="center"/>
    </xf>
    <xf numFmtId="0" fontId="0" fillId="0" borderId="364" xfId="0" applyBorder="1">
      <alignment vertical="center"/>
    </xf>
    <xf numFmtId="0" fontId="0" fillId="0" borderId="370" xfId="0" applyBorder="1">
      <alignment vertical="center"/>
    </xf>
    <xf numFmtId="0" fontId="0" fillId="0" borderId="106" xfId="0" applyBorder="1">
      <alignment vertical="center"/>
    </xf>
    <xf numFmtId="0" fontId="14" fillId="0" borderId="0" xfId="0" quotePrefix="1" applyFont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176" fontId="0" fillId="18" borderId="0" xfId="3" applyNumberFormat="1" applyFont="1" applyFill="1">
      <alignment vertical="center"/>
    </xf>
    <xf numFmtId="0" fontId="22" fillId="9" borderId="153" xfId="0" applyFont="1" applyFill="1" applyBorder="1">
      <alignment vertical="center"/>
    </xf>
    <xf numFmtId="176" fontId="0" fillId="11" borderId="68" xfId="3" applyNumberFormat="1" applyFont="1" applyFill="1" applyBorder="1" applyAlignment="1">
      <alignment horizontal="center" vertical="center"/>
    </xf>
    <xf numFmtId="176" fontId="0" fillId="11" borderId="4" xfId="3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176" fontId="2" fillId="0" borderId="187" xfId="3" applyNumberFormat="1" applyFont="1" applyFill="1" applyBorder="1">
      <alignment vertical="center"/>
    </xf>
    <xf numFmtId="41" fontId="0" fillId="0" borderId="0" xfId="3" applyNumberFormat="1" applyFont="1">
      <alignment vertical="center"/>
    </xf>
    <xf numFmtId="176" fontId="0" fillId="11" borderId="68" xfId="3" applyNumberFormat="1" applyFont="1" applyFill="1" applyBorder="1" applyAlignment="1">
      <alignment vertical="center"/>
    </xf>
    <xf numFmtId="176" fontId="0" fillId="13" borderId="0" xfId="3" applyNumberFormat="1" applyFont="1" applyFill="1" applyBorder="1" applyAlignment="1">
      <alignment vertical="center"/>
    </xf>
    <xf numFmtId="176" fontId="0" fillId="13" borderId="37" xfId="3" applyNumberFormat="1" applyFont="1" applyFill="1" applyBorder="1" applyAlignment="1">
      <alignment vertical="center"/>
    </xf>
    <xf numFmtId="176" fontId="0" fillId="8" borderId="4" xfId="3" applyNumberFormat="1" applyFont="1" applyFill="1" applyBorder="1" applyAlignment="1">
      <alignment vertical="center"/>
    </xf>
    <xf numFmtId="176" fontId="0" fillId="20" borderId="0" xfId="3" applyNumberFormat="1" applyFont="1" applyFill="1" applyBorder="1" applyAlignment="1">
      <alignment vertical="center"/>
    </xf>
    <xf numFmtId="176" fontId="0" fillId="8" borderId="68" xfId="3" applyNumberFormat="1" applyFont="1" applyFill="1" applyBorder="1" applyAlignment="1">
      <alignment vertical="center"/>
    </xf>
    <xf numFmtId="176" fontId="0" fillId="20" borderId="37" xfId="3" applyNumberFormat="1" applyFont="1" applyFill="1" applyBorder="1" applyAlignment="1">
      <alignment vertical="center"/>
    </xf>
    <xf numFmtId="176" fontId="0" fillId="11" borderId="4" xfId="3" applyNumberFormat="1" applyFont="1" applyFill="1" applyBorder="1" applyAlignment="1">
      <alignment vertical="center"/>
    </xf>
    <xf numFmtId="176" fontId="0" fillId="13" borderId="6" xfId="3" applyNumberFormat="1" applyFont="1" applyFill="1" applyBorder="1" applyAlignment="1">
      <alignment vertical="center"/>
    </xf>
    <xf numFmtId="195" fontId="11" fillId="0" borderId="0" xfId="2" applyNumberFormat="1" applyFont="1" applyFill="1" applyBorder="1" applyAlignment="1">
      <alignment horizontal="center" vertical="center"/>
    </xf>
    <xf numFmtId="187" fontId="4" fillId="0" borderId="11" xfId="0" quotePrefix="1" applyNumberFormat="1" applyFont="1" applyBorder="1" applyAlignment="1">
      <alignment horizontal="right" vertical="center"/>
    </xf>
    <xf numFmtId="9" fontId="10" fillId="11" borderId="395" xfId="3" applyFont="1" applyFill="1" applyBorder="1" applyAlignment="1">
      <alignment horizontal="right" vertical="center"/>
    </xf>
    <xf numFmtId="9" fontId="2" fillId="0" borderId="397" xfId="3" applyFont="1" applyFill="1" applyBorder="1">
      <alignment vertical="center"/>
    </xf>
    <xf numFmtId="9" fontId="2" fillId="13" borderId="401" xfId="3" applyFont="1" applyFill="1" applyBorder="1">
      <alignment vertical="center"/>
    </xf>
    <xf numFmtId="199" fontId="0" fillId="9" borderId="61" xfId="0" applyNumberFormat="1" applyFill="1" applyBorder="1">
      <alignment vertical="center"/>
    </xf>
    <xf numFmtId="182" fontId="0" fillId="9" borderId="61" xfId="0" applyNumberFormat="1" applyFill="1" applyBorder="1">
      <alignment vertical="center"/>
    </xf>
    <xf numFmtId="181" fontId="0" fillId="9" borderId="202" xfId="0" applyNumberFormat="1" applyFill="1" applyBorder="1">
      <alignment vertical="center"/>
    </xf>
    <xf numFmtId="199" fontId="0" fillId="8" borderId="79" xfId="0" applyNumberFormat="1" applyFill="1" applyBorder="1">
      <alignment vertical="center"/>
    </xf>
    <xf numFmtId="182" fontId="0" fillId="8" borderId="79" xfId="0" applyNumberFormat="1" applyFill="1" applyBorder="1">
      <alignment vertical="center"/>
    </xf>
    <xf numFmtId="181" fontId="0" fillId="8" borderId="203" xfId="0" applyNumberFormat="1" applyFill="1" applyBorder="1">
      <alignment vertical="center"/>
    </xf>
    <xf numFmtId="199" fontId="0" fillId="8" borderId="46" xfId="0" applyNumberFormat="1" applyFill="1" applyBorder="1">
      <alignment vertical="center"/>
    </xf>
    <xf numFmtId="182" fontId="0" fillId="8" borderId="46" xfId="0" applyNumberFormat="1" applyFill="1" applyBorder="1">
      <alignment vertical="center"/>
    </xf>
    <xf numFmtId="181" fontId="0" fillId="8" borderId="199" xfId="0" applyNumberFormat="1" applyFill="1" applyBorder="1">
      <alignment vertical="center"/>
    </xf>
    <xf numFmtId="199" fontId="0" fillId="8" borderId="123" xfId="0" applyNumberFormat="1" applyFill="1" applyBorder="1">
      <alignment vertical="center"/>
    </xf>
    <xf numFmtId="182" fontId="0" fillId="8" borderId="123" xfId="0" applyNumberFormat="1" applyFill="1" applyBorder="1">
      <alignment vertical="center"/>
    </xf>
    <xf numFmtId="181" fontId="0" fillId="8" borderId="204" xfId="0" applyNumberFormat="1" applyFill="1" applyBorder="1">
      <alignment vertical="center"/>
    </xf>
    <xf numFmtId="199" fontId="0" fillId="0" borderId="46" xfId="0" applyNumberFormat="1" applyBorder="1">
      <alignment vertical="center"/>
    </xf>
    <xf numFmtId="182" fontId="0" fillId="0" borderId="46" xfId="0" applyNumberFormat="1" applyBorder="1">
      <alignment vertical="center"/>
    </xf>
    <xf numFmtId="181" fontId="0" fillId="0" borderId="199" xfId="0" applyNumberFormat="1" applyBorder="1">
      <alignment vertical="center"/>
    </xf>
    <xf numFmtId="182" fontId="0" fillId="0" borderId="66" xfId="0" applyNumberFormat="1" applyBorder="1">
      <alignment vertical="center"/>
    </xf>
    <xf numFmtId="181" fontId="0" fillId="0" borderId="205" xfId="0" applyNumberFormat="1" applyBorder="1">
      <alignment vertical="center"/>
    </xf>
    <xf numFmtId="183" fontId="0" fillId="9" borderId="61" xfId="0" applyNumberFormat="1" applyFill="1" applyBorder="1">
      <alignment vertical="center"/>
    </xf>
    <xf numFmtId="183" fontId="0" fillId="8" borderId="79" xfId="0" applyNumberFormat="1" applyFill="1" applyBorder="1">
      <alignment vertical="center"/>
    </xf>
    <xf numFmtId="183" fontId="0" fillId="8" borderId="46" xfId="0" applyNumberFormat="1" applyFill="1" applyBorder="1">
      <alignment vertical="center"/>
    </xf>
    <xf numFmtId="183" fontId="0" fillId="8" borderId="123" xfId="0" applyNumberFormat="1" applyFill="1" applyBorder="1">
      <alignment vertical="center"/>
    </xf>
    <xf numFmtId="183" fontId="0" fillId="0" borderId="46" xfId="0" applyNumberFormat="1" applyBorder="1">
      <alignment vertical="center"/>
    </xf>
    <xf numFmtId="183" fontId="0" fillId="12" borderId="46" xfId="0" applyNumberFormat="1" applyFill="1" applyBorder="1">
      <alignment vertical="center"/>
    </xf>
    <xf numFmtId="183" fontId="0" fillId="12" borderId="349" xfId="0" applyNumberFormat="1" applyFill="1" applyBorder="1">
      <alignment vertical="center"/>
    </xf>
    <xf numFmtId="206" fontId="0" fillId="16" borderId="0" xfId="0" applyNumberFormat="1" applyFill="1">
      <alignment vertical="center"/>
    </xf>
    <xf numFmtId="0" fontId="4" fillId="11" borderId="106" xfId="0" quotePrefix="1" applyFont="1" applyFill="1" applyBorder="1">
      <alignment vertical="center"/>
    </xf>
    <xf numFmtId="195" fontId="4" fillId="11" borderId="107" xfId="2" quotePrefix="1" applyNumberFormat="1" applyFont="1" applyFill="1" applyBorder="1" applyAlignment="1">
      <alignment horizontal="center" vertical="center"/>
    </xf>
    <xf numFmtId="195" fontId="4" fillId="11" borderId="106" xfId="2" quotePrefix="1" applyNumberFormat="1" applyFont="1" applyFill="1" applyBorder="1" applyAlignment="1">
      <alignment horizontal="center" vertical="center"/>
    </xf>
    <xf numFmtId="187" fontId="4" fillId="0" borderId="0" xfId="0" quotePrefix="1" applyNumberFormat="1" applyFont="1" applyBorder="1" applyAlignment="1">
      <alignment horizontal="right" vertical="center"/>
    </xf>
    <xf numFmtId="0" fontId="4" fillId="11" borderId="19" xfId="0" quotePrefix="1" applyFont="1" applyFill="1" applyBorder="1">
      <alignment vertical="center"/>
    </xf>
    <xf numFmtId="0" fontId="4" fillId="11" borderId="117" xfId="0" quotePrefix="1" applyFont="1" applyFill="1" applyBorder="1" applyAlignment="1">
      <alignment horizontal="center" vertical="center"/>
    </xf>
    <xf numFmtId="211" fontId="4" fillId="11" borderId="19" xfId="2" quotePrefix="1" applyNumberFormat="1" applyFont="1" applyFill="1" applyBorder="1" applyAlignment="1">
      <alignment horizontal="right" vertical="center"/>
    </xf>
    <xf numFmtId="195" fontId="4" fillId="11" borderId="19" xfId="2" quotePrefix="1" applyNumberFormat="1" applyFont="1" applyFill="1" applyBorder="1" applyAlignment="1">
      <alignment horizontal="center" vertical="center"/>
    </xf>
    <xf numFmtId="210" fontId="0" fillId="0" borderId="0" xfId="0" applyNumberFormat="1" applyAlignment="1">
      <alignment horizontal="center" vertical="center"/>
    </xf>
    <xf numFmtId="0" fontId="20" fillId="0" borderId="0" xfId="0" applyFont="1">
      <alignment vertical="center"/>
    </xf>
    <xf numFmtId="0" fontId="9" fillId="9" borderId="195" xfId="0" applyFont="1" applyFill="1" applyBorder="1" applyAlignment="1">
      <alignment horizontal="center" vertical="center"/>
    </xf>
    <xf numFmtId="0" fontId="0" fillId="0" borderId="405" xfId="0" applyFill="1" applyBorder="1">
      <alignment vertical="center"/>
    </xf>
    <xf numFmtId="0" fontId="0" fillId="0" borderId="406" xfId="0" applyFill="1" applyBorder="1">
      <alignment vertical="center"/>
    </xf>
    <xf numFmtId="0" fontId="0" fillId="0" borderId="407" xfId="0" applyFill="1" applyBorder="1">
      <alignment vertical="center"/>
    </xf>
    <xf numFmtId="0" fontId="0" fillId="13" borderId="406" xfId="0" applyFill="1" applyBorder="1">
      <alignment vertical="center"/>
    </xf>
    <xf numFmtId="210" fontId="9" fillId="11" borderId="0" xfId="0" applyNumberFormat="1" applyFont="1" applyFill="1" applyAlignment="1">
      <alignment horizontal="center" vertical="center"/>
    </xf>
    <xf numFmtId="210" fontId="0" fillId="1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422" xfId="0" applyFill="1" applyBorder="1" applyAlignment="1">
      <alignment horizontal="center" vertical="center"/>
    </xf>
    <xf numFmtId="0" fontId="0" fillId="2" borderId="128" xfId="0" applyFill="1" applyBorder="1" applyAlignment="1">
      <alignment horizontal="center" vertical="center"/>
    </xf>
    <xf numFmtId="0" fontId="0" fillId="2" borderId="126" xfId="0" applyFill="1" applyBorder="1" applyAlignment="1">
      <alignment horizontal="center" vertical="center"/>
    </xf>
    <xf numFmtId="0" fontId="0" fillId="2" borderId="42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424" xfId="0" applyFill="1" applyBorder="1" applyAlignment="1">
      <alignment horizontal="center" vertical="center"/>
    </xf>
    <xf numFmtId="0" fontId="0" fillId="2" borderId="134" xfId="0" applyFill="1" applyBorder="1" applyAlignment="1">
      <alignment horizontal="center" vertical="center"/>
    </xf>
    <xf numFmtId="0" fontId="0" fillId="2" borderId="132" xfId="0" applyFill="1" applyBorder="1" applyAlignment="1">
      <alignment horizontal="center" vertical="center"/>
    </xf>
    <xf numFmtId="0" fontId="0" fillId="2" borderId="425" xfId="0" applyFill="1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4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24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42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427" xfId="0" applyBorder="1" applyAlignment="1">
      <alignment horizontal="center" vertical="center"/>
    </xf>
    <xf numFmtId="210" fontId="0" fillId="13" borderId="428" xfId="0" applyNumberFormat="1" applyFill="1" applyBorder="1" applyAlignment="1">
      <alignment horizontal="center" vertical="center"/>
    </xf>
    <xf numFmtId="210" fontId="0" fillId="13" borderId="429" xfId="0" applyNumberFormat="1" applyFill="1" applyBorder="1" applyAlignment="1">
      <alignment horizontal="center" vertical="center"/>
    </xf>
    <xf numFmtId="210" fontId="0" fillId="13" borderId="430" xfId="0" applyNumberFormat="1" applyFill="1" applyBorder="1" applyAlignment="1">
      <alignment horizontal="center" vertical="center"/>
    </xf>
    <xf numFmtId="210" fontId="0" fillId="0" borderId="431" xfId="0" applyNumberFormat="1" applyBorder="1" applyAlignment="1">
      <alignment horizontal="center" vertical="center"/>
    </xf>
    <xf numFmtId="210" fontId="0" fillId="0" borderId="432" xfId="0" applyNumberFormat="1" applyBorder="1" applyAlignment="1">
      <alignment horizontal="center" vertical="center"/>
    </xf>
    <xf numFmtId="210" fontId="0" fillId="0" borderId="433" xfId="0" applyNumberFormat="1" applyBorder="1" applyAlignment="1">
      <alignment horizontal="center" vertical="center"/>
    </xf>
    <xf numFmtId="210" fontId="0" fillId="13" borderId="431" xfId="0" applyNumberFormat="1" applyFill="1" applyBorder="1" applyAlignment="1">
      <alignment horizontal="center" vertical="center"/>
    </xf>
    <xf numFmtId="210" fontId="0" fillId="13" borderId="432" xfId="0" applyNumberFormat="1" applyFill="1" applyBorder="1" applyAlignment="1">
      <alignment horizontal="center" vertical="center"/>
    </xf>
    <xf numFmtId="210" fontId="0" fillId="13" borderId="433" xfId="0" applyNumberFormat="1" applyFill="1" applyBorder="1" applyAlignment="1">
      <alignment horizontal="center" vertical="center"/>
    </xf>
    <xf numFmtId="210" fontId="9" fillId="11" borderId="434" xfId="0" applyNumberFormat="1" applyFont="1" applyFill="1" applyBorder="1" applyAlignment="1">
      <alignment horizontal="center" vertical="center"/>
    </xf>
    <xf numFmtId="210" fontId="9" fillId="11" borderId="435" xfId="0" applyNumberFormat="1" applyFont="1" applyFill="1" applyBorder="1" applyAlignment="1">
      <alignment horizontal="center" vertical="center"/>
    </xf>
    <xf numFmtId="210" fontId="9" fillId="11" borderId="436" xfId="0" applyNumberFormat="1" applyFont="1" applyFill="1" applyBorder="1" applyAlignment="1">
      <alignment horizontal="center" vertical="center"/>
    </xf>
    <xf numFmtId="210" fontId="0" fillId="13" borderId="11" xfId="0" applyNumberFormat="1" applyFill="1" applyBorder="1" applyAlignment="1">
      <alignment horizontal="center" vertical="center"/>
    </xf>
    <xf numFmtId="210" fontId="0" fillId="13" borderId="0" xfId="0" applyNumberFormat="1" applyFill="1" applyBorder="1" applyAlignment="1">
      <alignment horizontal="center" vertical="center"/>
    </xf>
    <xf numFmtId="210" fontId="0" fillId="13" borderId="424" xfId="0" applyNumberFormat="1" applyFill="1" applyBorder="1" applyAlignment="1">
      <alignment horizontal="center" vertical="center"/>
    </xf>
    <xf numFmtId="210" fontId="9" fillId="11" borderId="437" xfId="0" applyNumberFormat="1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438" xfId="0" applyBorder="1" applyAlignment="1">
      <alignment horizontal="center" vertical="center"/>
    </xf>
    <xf numFmtId="0" fontId="10" fillId="4" borderId="455" xfId="0" applyFont="1" applyFill="1" applyBorder="1" applyAlignment="1">
      <alignment horizontal="center" vertical="center"/>
    </xf>
    <xf numFmtId="0" fontId="10" fillId="4" borderId="455" xfId="0" quotePrefix="1" applyFont="1" applyFill="1" applyBorder="1" applyAlignment="1">
      <alignment horizontal="center" vertical="center"/>
    </xf>
    <xf numFmtId="212" fontId="0" fillId="0" borderId="0" xfId="0" applyNumberFormat="1">
      <alignment vertical="center"/>
    </xf>
    <xf numFmtId="0" fontId="21" fillId="0" borderId="0" xfId="0" applyFont="1" applyAlignment="1">
      <alignment horizontal="center" vertical="center"/>
    </xf>
    <xf numFmtId="41" fontId="4" fillId="0" borderId="459" xfId="2" quotePrefix="1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41" fontId="0" fillId="6" borderId="460" xfId="2" applyFont="1" applyFill="1" applyBorder="1">
      <alignment vertical="center"/>
    </xf>
    <xf numFmtId="187" fontId="4" fillId="8" borderId="0" xfId="0" quotePrefix="1" applyNumberFormat="1" applyFont="1" applyFill="1" applyBorder="1" applyAlignment="1">
      <alignment horizontal="right" vertical="center"/>
    </xf>
    <xf numFmtId="187" fontId="4" fillId="8" borderId="0" xfId="0" applyNumberFormat="1" applyFont="1" applyFill="1" applyBorder="1" applyAlignment="1">
      <alignment horizontal="right" vertical="center"/>
    </xf>
    <xf numFmtId="41" fontId="0" fillId="6" borderId="460" xfId="2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0" fontId="9" fillId="11" borderId="171" xfId="0" applyFont="1" applyFill="1" applyBorder="1" applyAlignment="1">
      <alignment horizontal="center" vertical="center"/>
    </xf>
    <xf numFmtId="0" fontId="9" fillId="5" borderId="36" xfId="0" applyFont="1" applyFill="1" applyBorder="1">
      <alignment vertical="center"/>
    </xf>
    <xf numFmtId="0" fontId="9" fillId="11" borderId="76" xfId="0" applyFont="1" applyFill="1" applyBorder="1" applyAlignment="1">
      <alignment horizontal="center" vertical="center"/>
    </xf>
    <xf numFmtId="41" fontId="10" fillId="11" borderId="459" xfId="2" applyFont="1" applyFill="1" applyBorder="1">
      <alignment vertical="center"/>
    </xf>
    <xf numFmtId="41" fontId="10" fillId="11" borderId="4" xfId="0" applyNumberFormat="1" applyFont="1" applyFill="1" applyBorder="1">
      <alignment vertical="center"/>
    </xf>
    <xf numFmtId="176" fontId="0" fillId="3" borderId="160" xfId="0" applyNumberFormat="1" applyFill="1" applyBorder="1">
      <alignment vertical="center"/>
    </xf>
    <xf numFmtId="41" fontId="10" fillId="8" borderId="34" xfId="0" applyNumberFormat="1" applyFont="1" applyFill="1" applyBorder="1">
      <alignment vertical="center"/>
    </xf>
    <xf numFmtId="202" fontId="0" fillId="0" borderId="0" xfId="0" applyNumberFormat="1" applyBorder="1">
      <alignment vertical="center"/>
    </xf>
    <xf numFmtId="202" fontId="0" fillId="0" borderId="0" xfId="0" applyNumberFormat="1" applyFill="1" applyBorder="1">
      <alignment vertical="center"/>
    </xf>
    <xf numFmtId="202" fontId="0" fillId="11" borderId="0" xfId="0" applyNumberFormat="1" applyFill="1" applyBorder="1">
      <alignment vertical="center"/>
    </xf>
    <xf numFmtId="0" fontId="10" fillId="11" borderId="171" xfId="0" applyFont="1" applyFill="1" applyBorder="1" applyAlignment="1">
      <alignment horizontal="right" vertical="center"/>
    </xf>
    <xf numFmtId="202" fontId="10" fillId="11" borderId="171" xfId="0" applyNumberFormat="1" applyFont="1" applyFill="1" applyBorder="1" applyAlignment="1">
      <alignment horizontal="right" vertical="center"/>
    </xf>
    <xf numFmtId="202" fontId="10" fillId="5" borderId="36" xfId="0" applyNumberFormat="1" applyFont="1" applyFill="1" applyBorder="1" applyAlignment="1">
      <alignment horizontal="right" vertical="center"/>
    </xf>
    <xf numFmtId="41" fontId="10" fillId="11" borderId="4" xfId="0" applyNumberFormat="1" applyFont="1" applyFill="1" applyBorder="1" applyAlignment="1">
      <alignment horizontal="right" vertical="center"/>
    </xf>
    <xf numFmtId="176" fontId="10" fillId="2" borderId="143" xfId="0" applyNumberFormat="1" applyFont="1" applyFill="1" applyBorder="1" applyAlignment="1">
      <alignment horizontal="right" vertical="center"/>
    </xf>
    <xf numFmtId="41" fontId="0" fillId="11" borderId="171" xfId="0" applyNumberFormat="1" applyFill="1" applyBorder="1">
      <alignment vertical="center"/>
    </xf>
    <xf numFmtId="202" fontId="10" fillId="9" borderId="58" xfId="0" applyNumberFormat="1" applyFont="1" applyFill="1" applyBorder="1">
      <alignment vertical="center"/>
    </xf>
    <xf numFmtId="202" fontId="0" fillId="9" borderId="0" xfId="0" applyNumberFormat="1" applyFill="1" applyBorder="1">
      <alignment vertical="center"/>
    </xf>
    <xf numFmtId="202" fontId="10" fillId="9" borderId="76" xfId="0" applyNumberFormat="1" applyFont="1" applyFill="1" applyBorder="1">
      <alignment vertical="center"/>
    </xf>
    <xf numFmtId="202" fontId="10" fillId="13" borderId="126" xfId="0" applyNumberFormat="1" applyFont="1" applyFill="1" applyBorder="1">
      <alignment vertical="center"/>
    </xf>
    <xf numFmtId="203" fontId="0" fillId="0" borderId="0" xfId="0" applyNumberFormat="1" applyBorder="1">
      <alignment vertical="center"/>
    </xf>
    <xf numFmtId="203" fontId="0" fillId="0" borderId="0" xfId="0" applyNumberFormat="1" applyFill="1" applyBorder="1">
      <alignment vertical="center"/>
    </xf>
    <xf numFmtId="203" fontId="10" fillId="13" borderId="126" xfId="0" applyNumberFormat="1" applyFont="1" applyFill="1" applyBorder="1">
      <alignment vertical="center"/>
    </xf>
    <xf numFmtId="41" fontId="10" fillId="5" borderId="36" xfId="0" applyNumberFormat="1" applyFont="1" applyFill="1" applyBorder="1" applyAlignment="1">
      <alignment horizontal="right" vertical="center"/>
    </xf>
    <xf numFmtId="41" fontId="10" fillId="9" borderId="58" xfId="0" applyNumberFormat="1" applyFont="1" applyFill="1" applyBorder="1">
      <alignment vertical="center"/>
    </xf>
    <xf numFmtId="202" fontId="10" fillId="13" borderId="0" xfId="2" applyNumberFormat="1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9" fillId="5" borderId="0" xfId="0" applyFont="1" applyFill="1">
      <alignment vertical="center"/>
    </xf>
    <xf numFmtId="41" fontId="10" fillId="13" borderId="126" xfId="0" applyNumberFormat="1" applyFont="1" applyFill="1" applyBorder="1">
      <alignment vertical="center"/>
    </xf>
    <xf numFmtId="187" fontId="10" fillId="0" borderId="428" xfId="0" applyNumberFormat="1" applyFont="1" applyBorder="1" applyAlignment="1">
      <alignment horizontal="right" vertical="center"/>
    </xf>
    <xf numFmtId="187" fontId="10" fillId="0" borderId="429" xfId="0" applyNumberFormat="1" applyFont="1" applyBorder="1" applyAlignment="1">
      <alignment horizontal="right" vertical="center"/>
    </xf>
    <xf numFmtId="202" fontId="0" fillId="11" borderId="18" xfId="0" applyNumberFormat="1" applyFill="1" applyBorder="1">
      <alignment vertical="center"/>
    </xf>
    <xf numFmtId="209" fontId="0" fillId="11" borderId="18" xfId="0" applyNumberFormat="1" applyFill="1" applyBorder="1">
      <alignment vertical="center"/>
    </xf>
    <xf numFmtId="209" fontId="0" fillId="11" borderId="0" xfId="0" applyNumberFormat="1" applyFill="1" applyBorder="1">
      <alignment vertical="center"/>
    </xf>
    <xf numFmtId="209" fontId="0" fillId="0" borderId="0" xfId="0" applyNumberFormat="1" applyBorder="1">
      <alignment vertical="center"/>
    </xf>
    <xf numFmtId="209" fontId="0" fillId="0" borderId="0" xfId="0" applyNumberFormat="1" applyFill="1" applyBorder="1">
      <alignment vertical="center"/>
    </xf>
    <xf numFmtId="209" fontId="0" fillId="0" borderId="19" xfId="0" applyNumberFormat="1" applyFill="1" applyBorder="1">
      <alignment vertical="center"/>
    </xf>
    <xf numFmtId="202" fontId="0" fillId="0" borderId="58" xfId="0" applyNumberFormat="1" applyBorder="1">
      <alignment vertical="center"/>
    </xf>
    <xf numFmtId="202" fontId="0" fillId="3" borderId="0" xfId="0" applyNumberFormat="1" applyFill="1" applyBorder="1">
      <alignment vertical="center"/>
    </xf>
    <xf numFmtId="202" fontId="0" fillId="12" borderId="0" xfId="0" applyNumberFormat="1" applyFill="1" applyBorder="1">
      <alignment vertical="center"/>
    </xf>
    <xf numFmtId="202" fontId="0" fillId="16" borderId="0" xfId="0" applyNumberFormat="1" applyFill="1" applyBorder="1">
      <alignment vertical="center"/>
    </xf>
    <xf numFmtId="202" fontId="0" fillId="16" borderId="119" xfId="0" applyNumberFormat="1" applyFill="1" applyBorder="1">
      <alignment vertical="center"/>
    </xf>
    <xf numFmtId="202" fontId="0" fillId="3" borderId="63" xfId="0" applyNumberFormat="1" applyFill="1" applyBorder="1">
      <alignment vertical="center"/>
    </xf>
    <xf numFmtId="213" fontId="0" fillId="11" borderId="0" xfId="0" applyNumberFormat="1" applyFill="1" applyBorder="1">
      <alignment vertical="center"/>
    </xf>
    <xf numFmtId="213" fontId="0" fillId="0" borderId="0" xfId="0" applyNumberFormat="1" applyBorder="1">
      <alignment vertical="center"/>
    </xf>
    <xf numFmtId="213" fontId="0" fillId="0" borderId="0" xfId="0" applyNumberFormat="1" applyFill="1" applyBorder="1">
      <alignment vertical="center"/>
    </xf>
    <xf numFmtId="213" fontId="0" fillId="0" borderId="19" xfId="0" applyNumberFormat="1" applyFill="1" applyBorder="1">
      <alignment vertical="center"/>
    </xf>
    <xf numFmtId="202" fontId="0" fillId="8" borderId="34" xfId="0" applyNumberFormat="1" applyFill="1" applyBorder="1">
      <alignment vertical="center"/>
    </xf>
    <xf numFmtId="203" fontId="0" fillId="8" borderId="34" xfId="0" applyNumberFormat="1" applyFill="1" applyBorder="1">
      <alignment vertical="center"/>
    </xf>
    <xf numFmtId="203" fontId="0" fillId="8" borderId="0" xfId="0" applyNumberFormat="1" applyFill="1" applyBorder="1">
      <alignment vertical="center"/>
    </xf>
    <xf numFmtId="203" fontId="0" fillId="8" borderId="32" xfId="0" applyNumberFormat="1" applyFill="1" applyBorder="1">
      <alignment vertical="center"/>
    </xf>
    <xf numFmtId="203" fontId="0" fillId="0" borderId="58" xfId="0" applyNumberFormat="1" applyBorder="1">
      <alignment vertical="center"/>
    </xf>
    <xf numFmtId="203" fontId="0" fillId="9" borderId="0" xfId="0" applyNumberFormat="1" applyFill="1" applyBorder="1">
      <alignment vertical="center"/>
    </xf>
    <xf numFmtId="203" fontId="0" fillId="3" borderId="0" xfId="0" applyNumberFormat="1" applyFill="1" applyBorder="1">
      <alignment vertical="center"/>
    </xf>
    <xf numFmtId="203" fontId="0" fillId="12" borderId="0" xfId="0" applyNumberFormat="1" applyFill="1" applyBorder="1">
      <alignment vertical="center"/>
    </xf>
    <xf numFmtId="203" fontId="0" fillId="16" borderId="0" xfId="0" applyNumberFormat="1" applyFill="1" applyBorder="1">
      <alignment vertical="center"/>
    </xf>
    <xf numFmtId="203" fontId="0" fillId="16" borderId="119" xfId="0" applyNumberFormat="1" applyFill="1" applyBorder="1">
      <alignment vertical="center"/>
    </xf>
    <xf numFmtId="203" fontId="0" fillId="3" borderId="63" xfId="0" applyNumberFormat="1" applyFill="1" applyBorder="1">
      <alignment vertical="center"/>
    </xf>
    <xf numFmtId="203" fontId="0" fillId="11" borderId="18" xfId="0" applyNumberFormat="1" applyFill="1" applyBorder="1">
      <alignment vertical="center"/>
    </xf>
    <xf numFmtId="202" fontId="0" fillId="0" borderId="298" xfId="0" applyNumberFormat="1" applyFill="1" applyBorder="1">
      <alignment vertical="center"/>
    </xf>
    <xf numFmtId="202" fontId="0" fillId="11" borderId="111" xfId="0" applyNumberFormat="1" applyFill="1" applyBorder="1">
      <alignment vertical="center"/>
    </xf>
    <xf numFmtId="207" fontId="0" fillId="0" borderId="0" xfId="0" applyNumberFormat="1" applyBorder="1">
      <alignment vertical="center"/>
    </xf>
    <xf numFmtId="207" fontId="0" fillId="3" borderId="0" xfId="0" applyNumberFormat="1" applyFill="1" applyBorder="1">
      <alignment vertical="center"/>
    </xf>
    <xf numFmtId="202" fontId="0" fillId="8" borderId="0" xfId="0" applyNumberFormat="1" applyFill="1" applyBorder="1">
      <alignment vertical="center"/>
    </xf>
    <xf numFmtId="202" fontId="0" fillId="8" borderId="32" xfId="0" applyNumberFormat="1" applyFill="1" applyBorder="1">
      <alignment vertical="center"/>
    </xf>
    <xf numFmtId="202" fontId="0" fillId="0" borderId="36" xfId="0" applyNumberFormat="1" applyFill="1" applyBorder="1">
      <alignment vertical="center"/>
    </xf>
    <xf numFmtId="0" fontId="0" fillId="0" borderId="429" xfId="0" applyBorder="1">
      <alignment vertical="center"/>
    </xf>
    <xf numFmtId="0" fontId="0" fillId="11" borderId="435" xfId="0" applyFill="1" applyBorder="1">
      <alignment vertical="center"/>
    </xf>
    <xf numFmtId="206" fontId="0" fillId="16" borderId="0" xfId="0" applyNumberFormat="1" applyFill="1" applyBorder="1">
      <alignment vertical="center"/>
    </xf>
    <xf numFmtId="214" fontId="0" fillId="11" borderId="18" xfId="0" applyNumberFormat="1" applyFill="1" applyBorder="1">
      <alignment vertical="center"/>
    </xf>
    <xf numFmtId="214" fontId="0" fillId="11" borderId="0" xfId="0" applyNumberFormat="1" applyFill="1" applyBorder="1">
      <alignment vertical="center"/>
    </xf>
    <xf numFmtId="214" fontId="0" fillId="0" borderId="0" xfId="0" applyNumberFormat="1" applyBorder="1">
      <alignment vertical="center"/>
    </xf>
    <xf numFmtId="214" fontId="0" fillId="0" borderId="0" xfId="0" applyNumberFormat="1" applyFill="1" applyBorder="1">
      <alignment vertical="center"/>
    </xf>
    <xf numFmtId="214" fontId="0" fillId="0" borderId="19" xfId="0" applyNumberFormat="1" applyFill="1" applyBorder="1">
      <alignment vertical="center"/>
    </xf>
    <xf numFmtId="203" fontId="0" fillId="11" borderId="0" xfId="0" applyNumberFormat="1" applyFill="1" applyBorder="1">
      <alignment vertical="center"/>
    </xf>
    <xf numFmtId="203" fontId="0" fillId="0" borderId="36" xfId="0" applyNumberFormat="1" applyFill="1" applyBorder="1">
      <alignment vertical="center"/>
    </xf>
    <xf numFmtId="214" fontId="0" fillId="16" borderId="119" xfId="0" applyNumberFormat="1" applyFill="1" applyBorder="1">
      <alignment vertical="center"/>
    </xf>
    <xf numFmtId="203" fontId="0" fillId="0" borderId="298" xfId="0" applyNumberFormat="1" applyFill="1" applyBorder="1">
      <alignment vertical="center"/>
    </xf>
    <xf numFmtId="203" fontId="0" fillId="0" borderId="358" xfId="0" applyNumberFormat="1" applyFill="1" applyBorder="1">
      <alignment vertical="center"/>
    </xf>
    <xf numFmtId="203" fontId="0" fillId="0" borderId="364" xfId="0" applyNumberFormat="1" applyFill="1" applyBorder="1">
      <alignment vertical="center"/>
    </xf>
    <xf numFmtId="203" fontId="0" fillId="0" borderId="106" xfId="0" applyNumberFormat="1" applyFill="1" applyBorder="1">
      <alignment vertical="center"/>
    </xf>
    <xf numFmtId="203" fontId="0" fillId="11" borderId="111" xfId="0" applyNumberFormat="1" applyFill="1" applyBorder="1">
      <alignment vertical="center"/>
    </xf>
    <xf numFmtId="203" fontId="0" fillId="0" borderId="370" xfId="0" applyNumberFormat="1" applyFill="1" applyBorder="1">
      <alignment vertical="center"/>
    </xf>
    <xf numFmtId="203" fontId="0" fillId="0" borderId="19" xfId="0" applyNumberFormat="1" applyFill="1" applyBorder="1">
      <alignment vertical="center"/>
    </xf>
    <xf numFmtId="178" fontId="0" fillId="8" borderId="0" xfId="0" applyNumberFormat="1" applyFill="1" applyBorder="1">
      <alignment vertical="center"/>
    </xf>
    <xf numFmtId="178" fontId="0" fillId="0" borderId="0" xfId="0" applyNumberFormat="1" applyBorder="1">
      <alignment vertical="center"/>
    </xf>
    <xf numFmtId="178" fontId="0" fillId="12" borderId="0" xfId="0" applyNumberFormat="1" applyFill="1" applyBorder="1">
      <alignment vertical="center"/>
    </xf>
    <xf numFmtId="0" fontId="6" fillId="4" borderId="461" xfId="0" quotePrefix="1" applyFont="1" applyFill="1" applyBorder="1" applyAlignment="1">
      <alignment horizontal="center" vertical="center"/>
    </xf>
    <xf numFmtId="0" fontId="6" fillId="4" borderId="465" xfId="0" quotePrefix="1" applyFont="1" applyFill="1" applyBorder="1" applyAlignment="1">
      <alignment horizontal="center" vertical="center"/>
    </xf>
    <xf numFmtId="178" fontId="0" fillId="9" borderId="466" xfId="0" applyNumberFormat="1" applyFill="1" applyBorder="1">
      <alignment vertical="center"/>
    </xf>
    <xf numFmtId="0" fontId="6" fillId="10" borderId="467" xfId="0" quotePrefix="1" applyFont="1" applyFill="1" applyBorder="1" applyAlignment="1">
      <alignment horizontal="center" vertical="center"/>
    </xf>
    <xf numFmtId="178" fontId="0" fillId="11" borderId="0" xfId="0" applyNumberFormat="1" applyFill="1">
      <alignment vertical="center"/>
    </xf>
    <xf numFmtId="178" fontId="0" fillId="13" borderId="0" xfId="0" applyNumberFormat="1" applyFill="1" applyBorder="1">
      <alignment vertical="center"/>
    </xf>
    <xf numFmtId="178" fontId="0" fillId="0" borderId="0" xfId="0" applyNumberFormat="1" applyFill="1" applyBorder="1">
      <alignment vertical="center"/>
    </xf>
    <xf numFmtId="0" fontId="11" fillId="0" borderId="189" xfId="0" applyFont="1" applyBorder="1" applyAlignment="1">
      <alignment horizontal="left" vertical="center"/>
    </xf>
    <xf numFmtId="0" fontId="11" fillId="0" borderId="192" xfId="0" applyFont="1" applyBorder="1" applyAlignment="1">
      <alignment horizontal="left" vertical="center"/>
    </xf>
    <xf numFmtId="0" fontId="11" fillId="8" borderId="156" xfId="0" applyFont="1" applyFill="1" applyBorder="1" applyAlignment="1">
      <alignment horizontal="left" vertical="center"/>
    </xf>
    <xf numFmtId="0" fontId="11" fillId="8" borderId="153" xfId="0" applyFont="1" applyFill="1" applyBorder="1" applyAlignment="1">
      <alignment horizontal="left" vertical="center"/>
    </xf>
    <xf numFmtId="0" fontId="11" fillId="8" borderId="155" xfId="0" applyFont="1" applyFill="1" applyBorder="1" applyAlignment="1">
      <alignment horizontal="left" vertical="center"/>
    </xf>
    <xf numFmtId="0" fontId="8" fillId="0" borderId="458" xfId="0" applyFont="1" applyFill="1" applyBorder="1">
      <alignment vertical="center"/>
    </xf>
    <xf numFmtId="0" fontId="8" fillId="0" borderId="189" xfId="0" applyFont="1" applyFill="1" applyBorder="1">
      <alignment vertical="center"/>
    </xf>
    <xf numFmtId="0" fontId="8" fillId="12" borderId="189" xfId="0" applyFont="1" applyFill="1" applyBorder="1">
      <alignment vertical="center"/>
    </xf>
    <xf numFmtId="0" fontId="8" fillId="12" borderId="192" xfId="0" applyFont="1" applyFill="1" applyBorder="1">
      <alignment vertical="center"/>
    </xf>
    <xf numFmtId="192" fontId="6" fillId="4" borderId="48" xfId="0" quotePrefix="1" applyNumberFormat="1" applyFont="1" applyFill="1" applyBorder="1" applyAlignment="1">
      <alignment horizontal="center" vertical="center"/>
    </xf>
    <xf numFmtId="187" fontId="4" fillId="2" borderId="0" xfId="0" quotePrefix="1" applyNumberFormat="1" applyFont="1" applyFill="1" applyAlignment="1">
      <alignment horizontal="right" vertical="center"/>
    </xf>
    <xf numFmtId="187" fontId="4" fillId="0" borderId="0" xfId="0" quotePrefix="1" applyNumberFormat="1" applyFont="1" applyAlignment="1">
      <alignment horizontal="right" vertical="center"/>
    </xf>
    <xf numFmtId="0" fontId="10" fillId="8" borderId="0" xfId="0" applyFont="1" applyFill="1">
      <alignment vertical="center"/>
    </xf>
    <xf numFmtId="0" fontId="0" fillId="0" borderId="176" xfId="0" applyBorder="1">
      <alignment vertical="center"/>
    </xf>
    <xf numFmtId="0" fontId="10" fillId="5" borderId="0" xfId="0" applyFont="1" applyFill="1">
      <alignment vertical="center"/>
    </xf>
    <xf numFmtId="0" fontId="10" fillId="5" borderId="36" xfId="0" applyFont="1" applyFill="1" applyBorder="1">
      <alignment vertical="center"/>
    </xf>
    <xf numFmtId="187" fontId="8" fillId="18" borderId="0" xfId="0" applyNumberFormat="1" applyFont="1" applyFill="1">
      <alignment vertical="center"/>
    </xf>
    <xf numFmtId="187" fontId="0" fillId="18" borderId="0" xfId="0" applyNumberFormat="1" applyFill="1">
      <alignment vertical="center"/>
    </xf>
    <xf numFmtId="176" fontId="10" fillId="11" borderId="76" xfId="0" applyNumberFormat="1" applyFont="1" applyFill="1" applyBorder="1" applyAlignment="1">
      <alignment horizontal="right" vertical="center"/>
    </xf>
    <xf numFmtId="176" fontId="10" fillId="5" borderId="36" xfId="0" applyNumberFormat="1" applyFont="1" applyFill="1" applyBorder="1" applyAlignment="1">
      <alignment horizontal="right" vertical="center"/>
    </xf>
    <xf numFmtId="176" fontId="10" fillId="5" borderId="6" xfId="0" applyNumberFormat="1" applyFont="1" applyFill="1" applyBorder="1" applyAlignment="1">
      <alignment horizontal="right" vertical="center"/>
    </xf>
    <xf numFmtId="41" fontId="0" fillId="0" borderId="58" xfId="2" applyFont="1" applyBorder="1">
      <alignment vertical="center"/>
    </xf>
    <xf numFmtId="195" fontId="0" fillId="16" borderId="119" xfId="2" applyNumberFormat="1" applyFont="1" applyFill="1" applyBorder="1">
      <alignment vertical="center"/>
    </xf>
    <xf numFmtId="176" fontId="0" fillId="8" borderId="4" xfId="0" applyNumberFormat="1" applyFill="1" applyBorder="1" applyAlignment="1">
      <alignment horizontal="center" vertical="center"/>
    </xf>
    <xf numFmtId="176" fontId="0" fillId="20" borderId="0" xfId="0" applyNumberFormat="1" applyFill="1" applyBorder="1" applyAlignment="1">
      <alignment horizontal="center" vertical="center"/>
    </xf>
    <xf numFmtId="176" fontId="0" fillId="8" borderId="68" xfId="0" applyNumberFormat="1" applyFill="1" applyBorder="1" applyAlignment="1">
      <alignment horizontal="center" vertical="center"/>
    </xf>
    <xf numFmtId="176" fontId="0" fillId="20" borderId="37" xfId="0" applyNumberFormat="1" applyFill="1" applyBorder="1" applyAlignment="1">
      <alignment horizontal="center" vertical="center"/>
    </xf>
    <xf numFmtId="0" fontId="0" fillId="13" borderId="0" xfId="0" applyFill="1">
      <alignment vertical="center"/>
    </xf>
    <xf numFmtId="0" fontId="8" fillId="12" borderId="0" xfId="0" applyFont="1" applyFill="1">
      <alignment vertical="center"/>
    </xf>
    <xf numFmtId="41" fontId="30" fillId="0" borderId="329" xfId="2" applyFont="1" applyBorder="1" applyAlignment="1">
      <alignment horizontal="center" vertical="center"/>
    </xf>
    <xf numFmtId="41" fontId="30" fillId="0" borderId="0" xfId="2" applyFont="1" applyBorder="1" applyAlignment="1">
      <alignment horizontal="center" vertical="center"/>
    </xf>
    <xf numFmtId="41" fontId="30" fillId="2" borderId="329" xfId="2" applyFont="1" applyFill="1" applyBorder="1" applyAlignment="1">
      <alignment horizontal="center" vertical="center"/>
    </xf>
    <xf numFmtId="41" fontId="30" fillId="2" borderId="0" xfId="2" applyFont="1" applyFill="1" applyBorder="1" applyAlignment="1">
      <alignment horizontal="center" vertical="center"/>
    </xf>
    <xf numFmtId="41" fontId="30" fillId="0" borderId="332" xfId="2" applyFont="1" applyBorder="1" applyAlignment="1">
      <alignment horizontal="center" vertical="center"/>
    </xf>
    <xf numFmtId="41" fontId="30" fillId="0" borderId="6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15" fontId="0" fillId="8" borderId="68" xfId="2" applyNumberFormat="1" applyFont="1" applyFill="1" applyBorder="1" applyAlignment="1">
      <alignment horizontal="center" vertical="center"/>
    </xf>
    <xf numFmtId="215" fontId="0" fillId="8" borderId="0" xfId="2" applyNumberFormat="1" applyFont="1" applyFill="1" applyBorder="1" applyAlignment="1">
      <alignment horizontal="center" vertical="center"/>
    </xf>
    <xf numFmtId="215" fontId="0" fillId="8" borderId="37" xfId="2" applyNumberFormat="1" applyFont="1" applyFill="1" applyBorder="1" applyAlignment="1">
      <alignment horizontal="center" vertical="center"/>
    </xf>
    <xf numFmtId="214" fontId="0" fillId="11" borderId="4" xfId="2" applyNumberFormat="1" applyFont="1" applyFill="1" applyBorder="1" applyAlignment="1">
      <alignment horizontal="center" vertical="center"/>
    </xf>
    <xf numFmtId="214" fontId="0" fillId="13" borderId="0" xfId="2" applyNumberFormat="1" applyFont="1" applyFill="1" applyBorder="1" applyAlignment="1">
      <alignment horizontal="center" vertical="center"/>
    </xf>
    <xf numFmtId="214" fontId="0" fillId="8" borderId="68" xfId="2" applyNumberFormat="1" applyFont="1" applyFill="1" applyBorder="1" applyAlignment="1">
      <alignment horizontal="center" vertical="center"/>
    </xf>
    <xf numFmtId="214" fontId="0" fillId="8" borderId="0" xfId="2" applyNumberFormat="1" applyFont="1" applyFill="1" applyBorder="1" applyAlignment="1">
      <alignment horizontal="center" vertical="center"/>
    </xf>
    <xf numFmtId="214" fontId="0" fillId="8" borderId="37" xfId="2" applyNumberFormat="1" applyFont="1" applyFill="1" applyBorder="1" applyAlignment="1">
      <alignment horizontal="center" vertical="center"/>
    </xf>
    <xf numFmtId="214" fontId="11" fillId="0" borderId="68" xfId="2" applyNumberFormat="1" applyFont="1" applyBorder="1" applyAlignment="1">
      <alignment horizontal="center" vertical="center"/>
    </xf>
    <xf numFmtId="214" fontId="11" fillId="0" borderId="0" xfId="2" applyNumberFormat="1" applyFont="1" applyBorder="1" applyAlignment="1">
      <alignment horizontal="center" vertical="center"/>
    </xf>
    <xf numFmtId="214" fontId="11" fillId="2" borderId="0" xfId="2" applyNumberFormat="1" applyFont="1" applyFill="1" applyBorder="1" applyAlignment="1">
      <alignment horizontal="center" vertical="center"/>
    </xf>
    <xf numFmtId="214" fontId="11" fillId="0" borderId="6" xfId="2" applyNumberFormat="1" applyFont="1" applyBorder="1" applyAlignment="1">
      <alignment horizontal="center" vertical="center"/>
    </xf>
    <xf numFmtId="195" fontId="0" fillId="11" borderId="18" xfId="2" applyNumberFormat="1" applyFont="1" applyFill="1" applyBorder="1">
      <alignment vertical="center"/>
    </xf>
    <xf numFmtId="195" fontId="0" fillId="11" borderId="0" xfId="2" applyNumberFormat="1" applyFont="1" applyFill="1" applyBorder="1">
      <alignment vertical="center"/>
    </xf>
    <xf numFmtId="195" fontId="0" fillId="0" borderId="0" xfId="2" applyNumberFormat="1" applyFont="1" applyBorder="1">
      <alignment vertical="center"/>
    </xf>
    <xf numFmtId="195" fontId="0" fillId="0" borderId="0" xfId="2" applyNumberFormat="1" applyFont="1" applyFill="1" applyBorder="1">
      <alignment vertical="center"/>
    </xf>
    <xf numFmtId="195" fontId="0" fillId="0" borderId="19" xfId="2" applyNumberFormat="1" applyFont="1" applyFill="1" applyBorder="1">
      <alignment vertical="center"/>
    </xf>
    <xf numFmtId="0" fontId="4" fillId="5" borderId="0" xfId="0" applyFont="1" applyFill="1">
      <alignment vertical="center"/>
    </xf>
    <xf numFmtId="0" fontId="0" fillId="11" borderId="0" xfId="0" applyFill="1" applyBorder="1" applyAlignment="1">
      <alignment horizontal="center" vertical="center"/>
    </xf>
    <xf numFmtId="176" fontId="0" fillId="11" borderId="4" xfId="0" applyNumberFormat="1" applyFill="1" applyBorder="1" applyAlignment="1">
      <alignment horizontal="center" vertical="center"/>
    </xf>
    <xf numFmtId="176" fontId="0" fillId="13" borderId="0" xfId="0" applyNumberFormat="1" applyFill="1" applyBorder="1" applyAlignment="1">
      <alignment horizontal="center" vertical="center"/>
    </xf>
    <xf numFmtId="176" fontId="0" fillId="13" borderId="6" xfId="0" applyNumberFormat="1" applyFill="1" applyBorder="1" applyAlignment="1">
      <alignment horizontal="center" vertical="center"/>
    </xf>
    <xf numFmtId="176" fontId="0" fillId="8" borderId="0" xfId="0" applyNumberFormat="1" applyFill="1" applyBorder="1" applyAlignment="1">
      <alignment horizontal="center" vertical="center"/>
    </xf>
    <xf numFmtId="209" fontId="0" fillId="9" borderId="58" xfId="2" applyNumberFormat="1" applyFont="1" applyFill="1" applyBorder="1" applyAlignment="1">
      <alignment horizontal="right" vertical="center"/>
    </xf>
    <xf numFmtId="209" fontId="0" fillId="3" borderId="0" xfId="2" applyNumberFormat="1" applyFont="1" applyFill="1" applyBorder="1" applyAlignment="1">
      <alignment horizontal="right" vertical="center"/>
    </xf>
    <xf numFmtId="209" fontId="0" fillId="8" borderId="76" xfId="2" applyNumberFormat="1" applyFont="1" applyFill="1" applyBorder="1" applyAlignment="1">
      <alignment horizontal="right" vertical="center"/>
    </xf>
    <xf numFmtId="209" fontId="0" fillId="8" borderId="0" xfId="2" applyNumberFormat="1" applyFont="1" applyFill="1" applyBorder="1" applyAlignment="1">
      <alignment horizontal="right" vertical="center"/>
    </xf>
    <xf numFmtId="209" fontId="0" fillId="8" borderId="119" xfId="2" applyNumberFormat="1" applyFont="1" applyFill="1" applyBorder="1" applyAlignment="1">
      <alignment horizontal="right" vertical="center"/>
    </xf>
    <xf numFmtId="209" fontId="15" fillId="2" borderId="76" xfId="2" applyNumberFormat="1" applyFont="1" applyFill="1" applyBorder="1" applyAlignment="1">
      <alignment horizontal="right" vertical="center"/>
    </xf>
    <xf numFmtId="209" fontId="15" fillId="2" borderId="0" xfId="2" applyNumberFormat="1" applyFont="1" applyFill="1" applyBorder="1" applyAlignment="1">
      <alignment horizontal="right" vertical="center"/>
    </xf>
    <xf numFmtId="209" fontId="15" fillId="0" borderId="0" xfId="2" applyNumberFormat="1" applyFont="1" applyBorder="1" applyAlignment="1">
      <alignment horizontal="right" vertical="center"/>
    </xf>
    <xf numFmtId="209" fontId="15" fillId="2" borderId="119" xfId="2" applyNumberFormat="1" applyFont="1" applyFill="1" applyBorder="1" applyAlignment="1">
      <alignment horizontal="right" vertical="center"/>
    </xf>
    <xf numFmtId="209" fontId="15" fillId="2" borderId="63" xfId="2" applyNumberFormat="1" applyFont="1" applyFill="1" applyBorder="1" applyAlignment="1">
      <alignment horizontal="right" vertical="center"/>
    </xf>
    <xf numFmtId="195" fontId="0" fillId="9" borderId="58" xfId="2" applyNumberFormat="1" applyFont="1" applyFill="1" applyBorder="1" applyAlignment="1">
      <alignment horizontal="right" vertical="center"/>
    </xf>
    <xf numFmtId="195" fontId="0" fillId="3" borderId="0" xfId="2" applyNumberFormat="1" applyFont="1" applyFill="1" applyBorder="1" applyAlignment="1">
      <alignment horizontal="right" vertical="center"/>
    </xf>
    <xf numFmtId="195" fontId="0" fillId="8" borderId="76" xfId="2" applyNumberFormat="1" applyFont="1" applyFill="1" applyBorder="1" applyAlignment="1">
      <alignment horizontal="right" vertical="center"/>
    </xf>
    <xf numFmtId="195" fontId="0" fillId="8" borderId="0" xfId="2" applyNumberFormat="1" applyFont="1" applyFill="1" applyBorder="1" applyAlignment="1">
      <alignment horizontal="right" vertical="center"/>
    </xf>
    <xf numFmtId="195" fontId="0" fillId="8" borderId="119" xfId="2" applyNumberFormat="1" applyFont="1" applyFill="1" applyBorder="1" applyAlignment="1">
      <alignment horizontal="right" vertical="center"/>
    </xf>
    <xf numFmtId="195" fontId="15" fillId="2" borderId="76" xfId="2" applyNumberFormat="1" applyFont="1" applyFill="1" applyBorder="1" applyAlignment="1">
      <alignment horizontal="right" vertical="center"/>
    </xf>
    <xf numFmtId="195" fontId="15" fillId="2" borderId="0" xfId="2" applyNumberFormat="1" applyFont="1" applyFill="1" applyBorder="1" applyAlignment="1">
      <alignment horizontal="right" vertical="center"/>
    </xf>
    <xf numFmtId="195" fontId="15" fillId="0" borderId="0" xfId="2" applyNumberFormat="1" applyFont="1" applyBorder="1" applyAlignment="1">
      <alignment horizontal="right" vertical="center"/>
    </xf>
    <xf numFmtId="195" fontId="15" fillId="2" borderId="63" xfId="2" applyNumberFormat="1" applyFont="1" applyFill="1" applyBorder="1" applyAlignment="1">
      <alignment horizontal="right" vertical="center"/>
    </xf>
    <xf numFmtId="41" fontId="0" fillId="8" borderId="34" xfId="2" applyFont="1" applyFill="1" applyBorder="1">
      <alignment vertical="center"/>
    </xf>
    <xf numFmtId="41" fontId="0" fillId="8" borderId="32" xfId="2" applyFont="1" applyFill="1" applyBorder="1">
      <alignment vertical="center"/>
    </xf>
    <xf numFmtId="202" fontId="10" fillId="11" borderId="4" xfId="0" applyNumberFormat="1" applyFont="1" applyFill="1" applyBorder="1">
      <alignment vertical="center"/>
    </xf>
    <xf numFmtId="202" fontId="10" fillId="11" borderId="0" xfId="0" applyNumberFormat="1" applyFont="1" applyFill="1">
      <alignment vertical="center"/>
    </xf>
    <xf numFmtId="176" fontId="10" fillId="11" borderId="0" xfId="3" applyNumberFormat="1" applyFont="1" applyFill="1" applyBorder="1" applyAlignment="1">
      <alignment horizontal="right" vertical="center"/>
    </xf>
    <xf numFmtId="176" fontId="10" fillId="3" borderId="160" xfId="3" applyNumberFormat="1" applyFont="1" applyFill="1" applyBorder="1">
      <alignment vertical="center"/>
    </xf>
    <xf numFmtId="176" fontId="10" fillId="0" borderId="0" xfId="3" applyNumberFormat="1" applyFont="1" applyBorder="1">
      <alignment vertical="center"/>
    </xf>
    <xf numFmtId="176" fontId="10" fillId="0" borderId="166" xfId="3" applyNumberFormat="1" applyFont="1" applyFill="1" applyBorder="1">
      <alignment vertical="center"/>
    </xf>
    <xf numFmtId="218" fontId="0" fillId="0" borderId="0" xfId="0" applyNumberFormat="1">
      <alignment vertical="center"/>
    </xf>
    <xf numFmtId="209" fontId="0" fillId="0" borderId="0" xfId="0" applyNumberFormat="1">
      <alignment vertical="center"/>
    </xf>
    <xf numFmtId="195" fontId="0" fillId="5" borderId="406" xfId="2" applyNumberFormat="1" applyFont="1" applyFill="1" applyBorder="1">
      <alignment vertical="center"/>
    </xf>
    <xf numFmtId="204" fontId="0" fillId="6" borderId="31" xfId="0" applyNumberFormat="1" applyFill="1" applyBorder="1">
      <alignment vertical="center"/>
    </xf>
    <xf numFmtId="204" fontId="0" fillId="8" borderId="0" xfId="0" applyNumberFormat="1" applyFill="1">
      <alignment vertical="center"/>
    </xf>
    <xf numFmtId="0" fontId="0" fillId="8" borderId="74" xfId="0" applyFill="1" applyBorder="1">
      <alignment vertical="center"/>
    </xf>
    <xf numFmtId="0" fontId="0" fillId="8" borderId="0" xfId="0" applyFill="1" applyAlignment="1">
      <alignment horizontal="left" vertical="center"/>
    </xf>
    <xf numFmtId="209" fontId="11" fillId="0" borderId="68" xfId="2" applyNumberFormat="1" applyFont="1" applyBorder="1" applyAlignment="1">
      <alignment vertical="center"/>
    </xf>
    <xf numFmtId="209" fontId="11" fillId="0" borderId="0" xfId="2" applyNumberFormat="1" applyFont="1" applyBorder="1" applyAlignment="1">
      <alignment vertical="center"/>
    </xf>
    <xf numFmtId="209" fontId="11" fillId="2" borderId="0" xfId="2" applyNumberFormat="1" applyFont="1" applyFill="1" applyBorder="1" applyAlignment="1">
      <alignment vertical="center"/>
    </xf>
    <xf numFmtId="209" fontId="11" fillId="0" borderId="6" xfId="2" applyNumberFormat="1" applyFont="1" applyBorder="1" applyAlignment="1">
      <alignment vertical="center"/>
    </xf>
    <xf numFmtId="199" fontId="0" fillId="38" borderId="46" xfId="0" applyNumberFormat="1" applyFill="1" applyBorder="1">
      <alignment vertical="center"/>
    </xf>
    <xf numFmtId="9" fontId="2" fillId="38" borderId="46" xfId="3" applyFont="1" applyFill="1" applyBorder="1">
      <alignment vertical="center"/>
    </xf>
    <xf numFmtId="183" fontId="0" fillId="38" borderId="46" xfId="0" applyNumberFormat="1" applyFill="1" applyBorder="1">
      <alignment vertical="center"/>
    </xf>
    <xf numFmtId="0" fontId="18" fillId="18" borderId="0" xfId="0" applyFont="1" applyFill="1">
      <alignment vertical="center"/>
    </xf>
    <xf numFmtId="0" fontId="18" fillId="18" borderId="0" xfId="0" applyFont="1" applyFill="1" applyAlignment="1">
      <alignment horizontal="center" vertical="center"/>
    </xf>
    <xf numFmtId="195" fontId="4" fillId="5" borderId="0" xfId="2" quotePrefix="1" applyNumberFormat="1" applyFont="1" applyFill="1" applyBorder="1" applyAlignment="1">
      <alignment horizontal="center" vertical="center"/>
    </xf>
    <xf numFmtId="41" fontId="4" fillId="5" borderId="0" xfId="2" quotePrefix="1" applyFont="1" applyFill="1" applyBorder="1" applyAlignment="1">
      <alignment horizontal="center" vertical="center"/>
    </xf>
    <xf numFmtId="176" fontId="0" fillId="3" borderId="160" xfId="3" applyNumberFormat="1" applyFont="1" applyFill="1" applyBorder="1">
      <alignment vertical="center"/>
    </xf>
    <xf numFmtId="176" fontId="0" fillId="0" borderId="0" xfId="3" applyNumberFormat="1" applyFont="1" applyBorder="1">
      <alignment vertical="center"/>
    </xf>
    <xf numFmtId="176" fontId="0" fillId="0" borderId="0" xfId="3" applyNumberFormat="1" applyFont="1" applyFill="1" applyBorder="1">
      <alignment vertical="center"/>
    </xf>
    <xf numFmtId="176" fontId="0" fillId="0" borderId="166" xfId="3" applyNumberFormat="1" applyFont="1" applyFill="1" applyBorder="1">
      <alignment vertical="center"/>
    </xf>
    <xf numFmtId="176" fontId="0" fillId="3" borderId="0" xfId="3" applyNumberFormat="1" applyFont="1" applyFill="1" applyBorder="1">
      <alignment vertical="center"/>
    </xf>
    <xf numFmtId="0" fontId="10" fillId="9" borderId="58" xfId="0" applyFont="1" applyFill="1" applyBorder="1">
      <alignment vertical="center"/>
    </xf>
    <xf numFmtId="176" fontId="0" fillId="9" borderId="0" xfId="3" applyNumberFormat="1" applyFont="1" applyFill="1" applyBorder="1">
      <alignment vertical="center"/>
    </xf>
    <xf numFmtId="176" fontId="10" fillId="9" borderId="0" xfId="3" applyNumberFormat="1" applyFont="1" applyFill="1" applyBorder="1">
      <alignment vertical="center"/>
    </xf>
    <xf numFmtId="0" fontId="10" fillId="9" borderId="0" xfId="0" quotePrefix="1" applyFont="1" applyFill="1">
      <alignment vertical="center"/>
    </xf>
    <xf numFmtId="0" fontId="10" fillId="13" borderId="0" xfId="0" applyFont="1" applyFill="1">
      <alignment vertical="center"/>
    </xf>
    <xf numFmtId="176" fontId="10" fillId="0" borderId="132" xfId="3" applyNumberFormat="1" applyFont="1" applyFill="1" applyBorder="1">
      <alignment vertical="center"/>
    </xf>
    <xf numFmtId="176" fontId="10" fillId="11" borderId="76" xfId="3" applyNumberFormat="1" applyFont="1" applyFill="1" applyBorder="1" applyAlignment="1">
      <alignment horizontal="center" vertical="center"/>
    </xf>
    <xf numFmtId="176" fontId="10" fillId="5" borderId="0" xfId="3" applyNumberFormat="1" applyFont="1" applyFill="1" applyBorder="1">
      <alignment vertical="center"/>
    </xf>
    <xf numFmtId="176" fontId="10" fillId="5" borderId="36" xfId="3" applyNumberFormat="1" applyFont="1" applyFill="1" applyBorder="1">
      <alignment vertical="center"/>
    </xf>
    <xf numFmtId="9" fontId="0" fillId="13" borderId="0" xfId="3" applyFont="1" applyFill="1" applyBorder="1" applyAlignment="1">
      <alignment horizontal="center" vertical="center"/>
    </xf>
    <xf numFmtId="176" fontId="0" fillId="20" borderId="0" xfId="0" applyNumberFormat="1" applyFill="1" applyAlignment="1">
      <alignment horizontal="center" vertical="center"/>
    </xf>
    <xf numFmtId="9" fontId="0" fillId="11" borderId="4" xfId="3" applyFont="1" applyFill="1" applyBorder="1" applyAlignment="1">
      <alignment horizontal="center" vertical="center"/>
    </xf>
    <xf numFmtId="9" fontId="0" fillId="13" borderId="6" xfId="3" applyFont="1" applyFill="1" applyBorder="1" applyAlignment="1">
      <alignment horizontal="center" vertical="center"/>
    </xf>
    <xf numFmtId="9" fontId="0" fillId="8" borderId="4" xfId="3" applyFont="1" applyFill="1" applyBorder="1" applyAlignment="1">
      <alignment horizontal="center" vertical="center"/>
    </xf>
    <xf numFmtId="9" fontId="0" fillId="8" borderId="0" xfId="3" applyFont="1" applyFill="1" applyBorder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212" fontId="0" fillId="11" borderId="0" xfId="0" applyNumberFormat="1" applyFill="1" applyAlignment="1">
      <alignment horizontal="center" vertical="center"/>
    </xf>
    <xf numFmtId="192" fontId="0" fillId="11" borderId="0" xfId="0" applyNumberFormat="1" applyFill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1" fontId="10" fillId="13" borderId="0" xfId="2" applyFont="1" applyFill="1" applyBorder="1" applyAlignment="1">
      <alignment horizontal="center" vertical="center"/>
    </xf>
    <xf numFmtId="192" fontId="0" fillId="5" borderId="0" xfId="2" applyNumberFormat="1" applyFont="1" applyFill="1" applyBorder="1" applyAlignment="1">
      <alignment horizontal="center" vertical="center"/>
    </xf>
    <xf numFmtId="192" fontId="0" fillId="0" borderId="0" xfId="0" applyNumberFormat="1" applyBorder="1" applyAlignment="1">
      <alignment horizontal="center" vertical="center"/>
    </xf>
    <xf numFmtId="192" fontId="0" fillId="11" borderId="0" xfId="0" applyNumberFormat="1" applyFill="1" applyBorder="1" applyAlignment="1">
      <alignment horizontal="center" vertical="center"/>
    </xf>
    <xf numFmtId="192" fontId="0" fillId="11" borderId="2" xfId="0" applyNumberFormat="1" applyFill="1" applyBorder="1" applyAlignment="1">
      <alignment horizontal="center" vertical="center"/>
    </xf>
    <xf numFmtId="192" fontId="0" fillId="11" borderId="46" xfId="0" applyNumberFormat="1" applyFill="1" applyBorder="1" applyAlignment="1">
      <alignment horizontal="center" vertical="center"/>
    </xf>
    <xf numFmtId="176" fontId="0" fillId="29" borderId="0" xfId="3" applyNumberFormat="1" applyFont="1" applyFill="1" applyBorder="1" applyAlignment="1">
      <alignment horizontal="center" vertical="center"/>
    </xf>
    <xf numFmtId="202" fontId="0" fillId="5" borderId="0" xfId="0" applyNumberFormat="1" applyFill="1">
      <alignment vertical="center"/>
    </xf>
    <xf numFmtId="0" fontId="6" fillId="4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0" fillId="0" borderId="298" xfId="0" applyBorder="1">
      <alignment vertical="center"/>
    </xf>
    <xf numFmtId="187" fontId="4" fillId="5" borderId="0" xfId="0" quotePrefix="1" applyNumberFormat="1" applyFont="1" applyFill="1" applyAlignment="1">
      <alignment horizontal="right" vertical="center"/>
    </xf>
    <xf numFmtId="41" fontId="0" fillId="8" borderId="0" xfId="2" applyFont="1" applyFill="1">
      <alignment vertical="center"/>
    </xf>
    <xf numFmtId="41" fontId="11" fillId="42" borderId="6" xfId="2" applyFont="1" applyFill="1" applyBorder="1" applyAlignment="1">
      <alignment horizontal="center" vertical="center"/>
    </xf>
    <xf numFmtId="41" fontId="0" fillId="42" borderId="4" xfId="2" applyFont="1" applyFill="1" applyBorder="1" applyAlignment="1">
      <alignment horizontal="center" vertical="center"/>
    </xf>
    <xf numFmtId="41" fontId="0" fillId="42" borderId="0" xfId="2" applyFont="1" applyFill="1" applyBorder="1" applyAlignment="1">
      <alignment horizontal="center" vertical="center"/>
    </xf>
    <xf numFmtId="41" fontId="0" fillId="42" borderId="68" xfId="2" applyFont="1" applyFill="1" applyBorder="1" applyAlignment="1">
      <alignment horizontal="center" vertical="center"/>
    </xf>
    <xf numFmtId="41" fontId="0" fillId="42" borderId="37" xfId="2" applyFont="1" applyFill="1" applyBorder="1" applyAlignment="1">
      <alignment horizontal="center" vertical="center"/>
    </xf>
    <xf numFmtId="41" fontId="11" fillId="42" borderId="68" xfId="2" applyFont="1" applyFill="1" applyBorder="1" applyAlignment="1">
      <alignment horizontal="center" vertical="center"/>
    </xf>
    <xf numFmtId="41" fontId="11" fillId="42" borderId="0" xfId="2" applyFont="1" applyFill="1" applyBorder="1" applyAlignment="1">
      <alignment horizontal="center" vertical="center"/>
    </xf>
    <xf numFmtId="41" fontId="11" fillId="0" borderId="6" xfId="2" applyFont="1" applyFill="1" applyBorder="1" applyAlignment="1">
      <alignment horizontal="center" vertical="center"/>
    </xf>
    <xf numFmtId="178" fontId="0" fillId="5" borderId="0" xfId="0" applyNumberFormat="1" applyFill="1">
      <alignment vertical="center"/>
    </xf>
    <xf numFmtId="0" fontId="0" fillId="9" borderId="0" xfId="0" quotePrefix="1" applyFill="1">
      <alignment vertical="center"/>
    </xf>
    <xf numFmtId="0" fontId="0" fillId="0" borderId="132" xfId="0" applyBorder="1">
      <alignment vertical="center"/>
    </xf>
    <xf numFmtId="41" fontId="0" fillId="0" borderId="0" xfId="2" applyFont="1" applyBorder="1" applyAlignment="1">
      <alignment horizontal="right" vertical="center"/>
    </xf>
    <xf numFmtId="41" fontId="0" fillId="0" borderId="58" xfId="0" applyNumberFormat="1" applyBorder="1">
      <alignment vertical="center"/>
    </xf>
    <xf numFmtId="210" fontId="0" fillId="0" borderId="19" xfId="0" applyNumberFormat="1" applyBorder="1">
      <alignment vertical="center"/>
    </xf>
    <xf numFmtId="9" fontId="0" fillId="20" borderId="0" xfId="3" applyFont="1" applyFill="1" applyBorder="1" applyAlignment="1">
      <alignment horizontal="center" vertical="center"/>
    </xf>
    <xf numFmtId="9" fontId="0" fillId="8" borderId="68" xfId="3" applyFont="1" applyFill="1" applyBorder="1" applyAlignment="1">
      <alignment horizontal="center" vertical="center"/>
    </xf>
    <xf numFmtId="9" fontId="0" fillId="20" borderId="37" xfId="3" applyFont="1" applyFill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17" fillId="0" borderId="228" xfId="0" applyFont="1" applyBorder="1" applyAlignment="1">
      <alignment horizontal="center" vertical="center"/>
    </xf>
    <xf numFmtId="0" fontId="17" fillId="8" borderId="217" xfId="0" applyFont="1" applyFill="1" applyBorder="1" applyAlignment="1">
      <alignment horizontal="center" vertical="center"/>
    </xf>
    <xf numFmtId="0" fontId="17" fillId="8" borderId="8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41" fontId="10" fillId="5" borderId="0" xfId="2" applyFont="1" applyFill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10" fillId="5" borderId="0" xfId="0" quotePrefix="1" applyFont="1" applyFill="1" applyAlignment="1">
      <alignment horizontal="left" vertical="center"/>
    </xf>
    <xf numFmtId="0" fontId="10" fillId="5" borderId="0" xfId="0" quotePrefix="1" applyFont="1" applyFill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41" fontId="10" fillId="8" borderId="34" xfId="2" applyFont="1" applyFill="1" applyBorder="1" applyAlignment="1">
      <alignment horizontal="center" vertical="center"/>
    </xf>
    <xf numFmtId="41" fontId="10" fillId="8" borderId="571" xfId="2" applyFont="1" applyFill="1" applyBorder="1" applyAlignment="1">
      <alignment horizontal="center" vertical="center"/>
    </xf>
    <xf numFmtId="0" fontId="9" fillId="8" borderId="572" xfId="0" applyFont="1" applyFill="1" applyBorder="1" applyAlignment="1">
      <alignment horizontal="left" vertical="center"/>
    </xf>
    <xf numFmtId="0" fontId="10" fillId="8" borderId="570" xfId="0" applyFont="1" applyFill="1" applyBorder="1" applyAlignment="1">
      <alignment horizontal="center" vertical="center"/>
    </xf>
    <xf numFmtId="41" fontId="10" fillId="8" borderId="50" xfId="2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1" fontId="10" fillId="0" borderId="0" xfId="2" applyFont="1" applyBorder="1" applyAlignment="1">
      <alignment horizontal="center" vertical="center"/>
    </xf>
    <xf numFmtId="41" fontId="10" fillId="0" borderId="12" xfId="2" applyFont="1" applyBorder="1" applyAlignment="1">
      <alignment horizontal="center" vertical="center"/>
    </xf>
    <xf numFmtId="41" fontId="10" fillId="0" borderId="11" xfId="2" applyFont="1" applyBorder="1" applyAlignment="1">
      <alignment horizontal="center" vertical="center"/>
    </xf>
    <xf numFmtId="41" fontId="10" fillId="0" borderId="12" xfId="2" applyFont="1" applyFill="1" applyBorder="1" applyAlignment="1">
      <alignment horizontal="center" vertical="center"/>
    </xf>
    <xf numFmtId="41" fontId="10" fillId="0" borderId="11" xfId="2" applyFont="1" applyFill="1" applyBorder="1" applyAlignment="1">
      <alignment horizontal="center" vertical="center"/>
    </xf>
    <xf numFmtId="41" fontId="10" fillId="8" borderId="0" xfId="2" applyFont="1" applyFill="1" applyBorder="1" applyAlignment="1">
      <alignment horizontal="center" vertical="center"/>
    </xf>
    <xf numFmtId="41" fontId="10" fillId="8" borderId="12" xfId="2" applyFont="1" applyFill="1" applyBorder="1" applyAlignment="1">
      <alignment horizontal="center" vertical="center"/>
    </xf>
    <xf numFmtId="0" fontId="10" fillId="8" borderId="574" xfId="0" applyFont="1" applyFill="1" applyBorder="1" applyAlignment="1">
      <alignment horizontal="center" vertical="center"/>
    </xf>
    <xf numFmtId="41" fontId="10" fillId="8" borderId="12" xfId="2" applyFont="1" applyFill="1" applyBorder="1">
      <alignment vertical="center"/>
    </xf>
    <xf numFmtId="41" fontId="10" fillId="0" borderId="11" xfId="2" applyFont="1" applyBorder="1">
      <alignment vertical="center"/>
    </xf>
    <xf numFmtId="41" fontId="10" fillId="0" borderId="12" xfId="2" applyFont="1" applyBorder="1">
      <alignment vertical="center"/>
    </xf>
    <xf numFmtId="41" fontId="10" fillId="8" borderId="56" xfId="2" applyFont="1" applyFill="1" applyBorder="1" applyAlignment="1">
      <alignment horizontal="center" vertical="center"/>
    </xf>
    <xf numFmtId="41" fontId="10" fillId="8" borderId="32" xfId="2" applyFont="1" applyFill="1" applyBorder="1" applyAlignment="1">
      <alignment horizontal="center" vertical="center"/>
    </xf>
    <xf numFmtId="41" fontId="10" fillId="8" borderId="576" xfId="2" applyFont="1" applyFill="1" applyBorder="1" applyAlignment="1">
      <alignment horizontal="center" vertical="center"/>
    </xf>
    <xf numFmtId="0" fontId="10" fillId="8" borderId="577" xfId="0" applyFont="1" applyFill="1" applyBorder="1" applyAlignment="1">
      <alignment horizontal="center" vertical="center"/>
    </xf>
    <xf numFmtId="41" fontId="10" fillId="0" borderId="579" xfId="2" applyFont="1" applyFill="1" applyBorder="1" applyAlignment="1">
      <alignment horizontal="center" vertical="center"/>
    </xf>
    <xf numFmtId="0" fontId="4" fillId="5" borderId="0" xfId="0" quotePrefix="1" applyFont="1" applyFill="1" applyAlignment="1">
      <alignment horizontal="left" vertical="center"/>
    </xf>
    <xf numFmtId="0" fontId="4" fillId="5" borderId="0" xfId="0" quotePrefix="1" applyFont="1" applyFill="1" applyAlignment="1">
      <alignment horizontal="center" vertical="center"/>
    </xf>
    <xf numFmtId="41" fontId="6" fillId="10" borderId="46" xfId="2" applyFont="1" applyFill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14" fillId="0" borderId="0" xfId="0" quotePrefix="1" applyFont="1" applyAlignment="1">
      <alignment horizontal="center" vertical="center"/>
    </xf>
    <xf numFmtId="41" fontId="4" fillId="4" borderId="568" xfId="2" quotePrefix="1" applyFont="1" applyFill="1" applyBorder="1" applyAlignment="1">
      <alignment horizontal="center" vertical="center"/>
    </xf>
    <xf numFmtId="192" fontId="10" fillId="29" borderId="0" xfId="0" applyNumberFormat="1" applyFont="1" applyFill="1" applyBorder="1" applyAlignment="1">
      <alignment horizontal="center" vertical="center"/>
    </xf>
    <xf numFmtId="192" fontId="0" fillId="0" borderId="596" xfId="0" applyNumberFormat="1" applyBorder="1" applyAlignment="1">
      <alignment horizontal="center" vertical="center"/>
    </xf>
    <xf numFmtId="192" fontId="0" fillId="0" borderId="597" xfId="0" applyNumberFormat="1" applyBorder="1" applyAlignment="1">
      <alignment horizontal="center" vertical="center"/>
    </xf>
    <xf numFmtId="192" fontId="0" fillId="5" borderId="598" xfId="2" applyNumberFormat="1" applyFont="1" applyFill="1" applyBorder="1" applyAlignment="1">
      <alignment horizontal="center" vertical="center"/>
    </xf>
    <xf numFmtId="192" fontId="0" fillId="5" borderId="599" xfId="2" applyNumberFormat="1" applyFont="1" applyFill="1" applyBorder="1" applyAlignment="1">
      <alignment horizontal="center" vertical="center"/>
    </xf>
    <xf numFmtId="192" fontId="0" fillId="5" borderId="600" xfId="2" applyNumberFormat="1" applyFont="1" applyFill="1" applyBorder="1" applyAlignment="1">
      <alignment horizontal="center" vertical="center"/>
    </xf>
    <xf numFmtId="192" fontId="0" fillId="5" borderId="601" xfId="2" applyNumberFormat="1" applyFont="1" applyFill="1" applyBorder="1" applyAlignment="1">
      <alignment horizontal="center" vertical="center"/>
    </xf>
    <xf numFmtId="192" fontId="0" fillId="5" borderId="602" xfId="2" applyNumberFormat="1" applyFont="1" applyFill="1" applyBorder="1" applyAlignment="1">
      <alignment horizontal="center" vertical="center"/>
    </xf>
    <xf numFmtId="192" fontId="0" fillId="5" borderId="603" xfId="2" applyNumberFormat="1" applyFont="1" applyFill="1" applyBorder="1" applyAlignment="1">
      <alignment horizontal="center" vertical="center"/>
    </xf>
    <xf numFmtId="192" fontId="0" fillId="5" borderId="604" xfId="2" applyNumberFormat="1" applyFont="1" applyFill="1" applyBorder="1" applyAlignment="1">
      <alignment horizontal="center" vertical="center"/>
    </xf>
    <xf numFmtId="192" fontId="0" fillId="5" borderId="605" xfId="2" applyNumberFormat="1" applyFont="1" applyFill="1" applyBorder="1" applyAlignment="1">
      <alignment horizontal="center" vertical="center"/>
    </xf>
    <xf numFmtId="192" fontId="0" fillId="5" borderId="606" xfId="2" applyNumberFormat="1" applyFont="1" applyFill="1" applyBorder="1" applyAlignment="1">
      <alignment horizontal="center" vertical="center"/>
    </xf>
    <xf numFmtId="192" fontId="6" fillId="5" borderId="0" xfId="0" quotePrefix="1" applyNumberFormat="1" applyFont="1" applyFill="1" applyAlignment="1">
      <alignment horizontal="center" vertical="center"/>
    </xf>
    <xf numFmtId="192" fontId="0" fillId="5" borderId="0" xfId="0" applyNumberFormat="1" applyFill="1" applyAlignment="1">
      <alignment horizontal="center" vertical="center"/>
    </xf>
    <xf numFmtId="192" fontId="0" fillId="8" borderId="11" xfId="0" applyNumberFormat="1" applyFill="1" applyBorder="1" applyAlignment="1">
      <alignment horizontal="center" vertical="center"/>
    </xf>
    <xf numFmtId="192" fontId="0" fillId="8" borderId="46" xfId="3" applyNumberFormat="1" applyFont="1" applyFill="1" applyBorder="1" applyAlignment="1">
      <alignment horizontal="center" vertical="center"/>
    </xf>
    <xf numFmtId="192" fontId="0" fillId="8" borderId="86" xfId="3" applyNumberFormat="1" applyFont="1" applyFill="1" applyBorder="1" applyAlignment="1">
      <alignment horizontal="center" vertical="center"/>
    </xf>
    <xf numFmtId="192" fontId="0" fillId="8" borderId="0" xfId="0" applyNumberFormat="1" applyFill="1" applyBorder="1" applyAlignment="1">
      <alignment horizontal="center" vertical="center"/>
    </xf>
    <xf numFmtId="192" fontId="0" fillId="8" borderId="607" xfId="0" applyNumberFormat="1" applyFill="1" applyBorder="1" applyAlignment="1">
      <alignment horizontal="center" vertical="center"/>
    </xf>
    <xf numFmtId="192" fontId="0" fillId="8" borderId="518" xfId="0" applyNumberFormat="1" applyFill="1" applyBorder="1" applyAlignment="1">
      <alignment horizontal="center" vertical="center"/>
    </xf>
    <xf numFmtId="192" fontId="0" fillId="8" borderId="608" xfId="3" applyNumberFormat="1" applyFont="1" applyFill="1" applyBorder="1" applyAlignment="1">
      <alignment horizontal="center" vertical="center"/>
    </xf>
    <xf numFmtId="192" fontId="0" fillId="8" borderId="609" xfId="3" applyNumberFormat="1" applyFont="1" applyFill="1" applyBorder="1" applyAlignment="1">
      <alignment horizontal="center" vertical="center"/>
    </xf>
    <xf numFmtId="176" fontId="0" fillId="29" borderId="611" xfId="3" applyNumberFormat="1" applyFont="1" applyFill="1" applyBorder="1" applyAlignment="1">
      <alignment horizontal="center" vertical="center"/>
    </xf>
    <xf numFmtId="176" fontId="0" fillId="29" borderId="616" xfId="3" applyNumberFormat="1" applyFont="1" applyFill="1" applyBorder="1" applyAlignment="1">
      <alignment horizontal="center" vertical="center"/>
    </xf>
    <xf numFmtId="176" fontId="0" fillId="11" borderId="0" xfId="3" applyNumberFormat="1" applyFont="1" applyFill="1" applyBorder="1" applyAlignment="1">
      <alignment horizontal="center" vertical="center"/>
    </xf>
    <xf numFmtId="192" fontId="0" fillId="11" borderId="46" xfId="3" applyNumberFormat="1" applyFont="1" applyFill="1" applyBorder="1" applyAlignment="1">
      <alignment horizontal="center" vertical="center"/>
    </xf>
    <xf numFmtId="192" fontId="0" fillId="11" borderId="86" xfId="3" applyNumberFormat="1" applyFont="1" applyFill="1" applyBorder="1" applyAlignment="1">
      <alignment horizontal="center" vertical="center"/>
    </xf>
    <xf numFmtId="186" fontId="0" fillId="11" borderId="225" xfId="0" applyNumberFormat="1" applyFill="1" applyBorder="1" applyAlignment="1">
      <alignment horizontal="center" vertical="center"/>
    </xf>
    <xf numFmtId="192" fontId="0" fillId="11" borderId="611" xfId="0" applyNumberFormat="1" applyFill="1" applyBorder="1" applyAlignment="1">
      <alignment horizontal="center" vertical="center"/>
    </xf>
    <xf numFmtId="192" fontId="0" fillId="11" borderId="612" xfId="3" applyNumberFormat="1" applyFont="1" applyFill="1" applyBorder="1" applyAlignment="1">
      <alignment horizontal="center" vertical="center"/>
    </xf>
    <xf numFmtId="192" fontId="0" fillId="11" borderId="613" xfId="3" applyNumberFormat="1" applyFont="1" applyFill="1" applyBorder="1" applyAlignment="1">
      <alignment horizontal="center" vertical="center"/>
    </xf>
    <xf numFmtId="192" fontId="0" fillId="11" borderId="614" xfId="0" applyNumberFormat="1" applyFill="1" applyBorder="1" applyAlignment="1">
      <alignment horizontal="center" vertical="center"/>
    </xf>
    <xf numFmtId="176" fontId="0" fillId="11" borderId="611" xfId="3" applyNumberFormat="1" applyFont="1" applyFill="1" applyBorder="1" applyAlignment="1">
      <alignment horizontal="center" vertical="center"/>
    </xf>
    <xf numFmtId="192" fontId="0" fillId="11" borderId="612" xfId="0" applyNumberFormat="1" applyFill="1" applyBorder="1" applyAlignment="1">
      <alignment horizontal="center" vertical="center"/>
    </xf>
    <xf numFmtId="186" fontId="0" fillId="11" borderId="610" xfId="0" applyNumberFormat="1" applyFill="1" applyBorder="1" applyAlignment="1">
      <alignment horizontal="center" vertical="center"/>
    </xf>
    <xf numFmtId="192" fontId="0" fillId="4" borderId="0" xfId="0" applyNumberFormat="1" applyFill="1" applyBorder="1" applyAlignment="1">
      <alignment horizontal="center" vertical="center"/>
    </xf>
    <xf numFmtId="192" fontId="0" fillId="4" borderId="187" xfId="0" applyNumberFormat="1" applyFill="1" applyBorder="1" applyAlignment="1">
      <alignment horizontal="center" vertical="center"/>
    </xf>
    <xf numFmtId="192" fontId="0" fillId="4" borderId="615" xfId="0" applyNumberFormat="1" applyFill="1" applyBorder="1" applyAlignment="1">
      <alignment horizontal="center" vertical="center"/>
    </xf>
    <xf numFmtId="192" fontId="0" fillId="4" borderId="616" xfId="0" applyNumberFormat="1" applyFill="1" applyBorder="1" applyAlignment="1">
      <alignment horizontal="center" vertical="center"/>
    </xf>
    <xf numFmtId="0" fontId="4" fillId="5" borderId="518" xfId="0" applyFont="1" applyFill="1" applyBorder="1">
      <alignment vertical="center"/>
    </xf>
    <xf numFmtId="0" fontId="6" fillId="14" borderId="608" xfId="0" quotePrefix="1" applyFont="1" applyFill="1" applyBorder="1" applyAlignment="1">
      <alignment horizontal="center" vertical="center"/>
    </xf>
    <xf numFmtId="0" fontId="6" fillId="14" borderId="609" xfId="0" quotePrefix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4" fillId="5" borderId="0" xfId="0" quotePrefix="1" applyFont="1" applyFill="1" applyBorder="1">
      <alignment vertical="center"/>
    </xf>
    <xf numFmtId="0" fontId="0" fillId="5" borderId="518" xfId="0" applyFill="1" applyBorder="1">
      <alignment vertical="center"/>
    </xf>
    <xf numFmtId="192" fontId="0" fillId="11" borderId="4" xfId="0" applyNumberFormat="1" applyFill="1" applyBorder="1" applyAlignment="1">
      <alignment horizontal="center" vertical="center"/>
    </xf>
    <xf numFmtId="192" fontId="0" fillId="4" borderId="4" xfId="0" applyNumberFormat="1" applyFill="1" applyBorder="1" applyAlignment="1">
      <alignment horizontal="center" vertical="center"/>
    </xf>
    <xf numFmtId="186" fontId="0" fillId="11" borderId="224" xfId="0" applyNumberFormat="1" applyFill="1" applyBorder="1" applyAlignment="1">
      <alignment horizontal="center" vertical="center"/>
    </xf>
    <xf numFmtId="192" fontId="0" fillId="4" borderId="211" xfId="0" applyNumberFormat="1" applyFill="1" applyBorder="1" applyAlignment="1">
      <alignment horizontal="center" vertical="center"/>
    </xf>
    <xf numFmtId="176" fontId="0" fillId="29" borderId="6" xfId="3" applyNumberFormat="1" applyFont="1" applyFill="1" applyBorder="1" applyAlignment="1">
      <alignment horizontal="center" vertical="center"/>
    </xf>
    <xf numFmtId="0" fontId="4" fillId="5" borderId="0" xfId="0" quotePrefix="1" applyFont="1" applyFill="1" applyBorder="1" applyAlignment="1">
      <alignment horizontal="center" vertical="center"/>
    </xf>
    <xf numFmtId="0" fontId="0" fillId="11" borderId="611" xfId="0" applyFill="1" applyBorder="1" applyAlignment="1">
      <alignment horizontal="center" vertical="center"/>
    </xf>
    <xf numFmtId="0" fontId="4" fillId="5" borderId="518" xfId="0" quotePrefix="1" applyFont="1" applyFill="1" applyBorder="1" applyAlignment="1">
      <alignment horizontal="center" vertical="center"/>
    </xf>
    <xf numFmtId="192" fontId="0" fillId="5" borderId="616" xfId="0" applyNumberFormat="1" applyFill="1" applyBorder="1" applyAlignment="1">
      <alignment horizontal="center" vertical="center"/>
    </xf>
    <xf numFmtId="176" fontId="0" fillId="5" borderId="616" xfId="3" applyNumberFormat="1" applyFont="1" applyFill="1" applyBorder="1" applyAlignment="1">
      <alignment horizontal="center" vertical="center"/>
    </xf>
    <xf numFmtId="192" fontId="0" fillId="5" borderId="617" xfId="3" applyNumberFormat="1" applyFont="1" applyFill="1" applyBorder="1" applyAlignment="1">
      <alignment horizontal="center" vertical="center"/>
    </xf>
    <xf numFmtId="192" fontId="0" fillId="5" borderId="618" xfId="3" applyNumberFormat="1" applyFont="1" applyFill="1" applyBorder="1" applyAlignment="1">
      <alignment horizontal="center" vertical="center"/>
    </xf>
    <xf numFmtId="192" fontId="0" fillId="5" borderId="619" xfId="0" applyNumberFormat="1" applyFill="1" applyBorder="1" applyAlignment="1">
      <alignment horizontal="center" vertical="center"/>
    </xf>
    <xf numFmtId="192" fontId="0" fillId="5" borderId="617" xfId="0" applyNumberFormat="1" applyFill="1" applyBorder="1" applyAlignment="1">
      <alignment horizontal="center" vertical="center"/>
    </xf>
    <xf numFmtId="186" fontId="0" fillId="5" borderId="620" xfId="0" applyNumberFormat="1" applyFill="1" applyBorder="1" applyAlignment="1">
      <alignment horizontal="center" vertical="center"/>
    </xf>
    <xf numFmtId="192" fontId="0" fillId="5" borderId="11" xfId="0" applyNumberFormat="1" applyFill="1" applyBorder="1" applyAlignment="1">
      <alignment horizontal="center" vertical="center"/>
    </xf>
    <xf numFmtId="192" fontId="0" fillId="5" borderId="0" xfId="0" applyNumberFormat="1" applyFill="1" applyBorder="1" applyAlignment="1">
      <alignment horizontal="center" vertical="center"/>
    </xf>
    <xf numFmtId="192" fontId="0" fillId="5" borderId="46" xfId="3" applyNumberFormat="1" applyFont="1" applyFill="1" applyBorder="1" applyAlignment="1">
      <alignment horizontal="center" vertical="center"/>
    </xf>
    <xf numFmtId="192" fontId="0" fillId="5" borderId="86" xfId="3" applyNumberFormat="1" applyFont="1" applyFill="1" applyBorder="1" applyAlignment="1">
      <alignment horizontal="center" vertical="center"/>
    </xf>
    <xf numFmtId="192" fontId="0" fillId="5" borderId="2" xfId="0" applyNumberFormat="1" applyFill="1" applyBorder="1" applyAlignment="1">
      <alignment horizontal="center" vertical="center"/>
    </xf>
    <xf numFmtId="192" fontId="0" fillId="5" borderId="46" xfId="0" applyNumberFormat="1" applyFill="1" applyBorder="1" applyAlignment="1">
      <alignment horizontal="center" vertical="center"/>
    </xf>
    <xf numFmtId="186" fontId="0" fillId="5" borderId="225" xfId="0" applyNumberFormat="1" applyFill="1" applyBorder="1" applyAlignment="1">
      <alignment horizontal="center" vertical="center"/>
    </xf>
    <xf numFmtId="192" fontId="0" fillId="5" borderId="611" xfId="0" applyNumberFormat="1" applyFill="1" applyBorder="1" applyAlignment="1">
      <alignment horizontal="center" vertical="center"/>
    </xf>
    <xf numFmtId="192" fontId="0" fillId="5" borderId="612" xfId="3" applyNumberFormat="1" applyFont="1" applyFill="1" applyBorder="1" applyAlignment="1">
      <alignment horizontal="center" vertical="center"/>
    </xf>
    <xf numFmtId="192" fontId="0" fillId="5" borderId="613" xfId="3" applyNumberFormat="1" applyFont="1" applyFill="1" applyBorder="1" applyAlignment="1">
      <alignment horizontal="center" vertical="center"/>
    </xf>
    <xf numFmtId="192" fontId="0" fillId="5" borderId="614" xfId="0" applyNumberFormat="1" applyFill="1" applyBorder="1" applyAlignment="1">
      <alignment horizontal="center" vertical="center"/>
    </xf>
    <xf numFmtId="176" fontId="0" fillId="5" borderId="611" xfId="3" applyNumberFormat="1" applyFont="1" applyFill="1" applyBorder="1" applyAlignment="1">
      <alignment horizontal="center" vertical="center"/>
    </xf>
    <xf numFmtId="192" fontId="0" fillId="5" borderId="612" xfId="0" applyNumberFormat="1" applyFill="1" applyBorder="1" applyAlignment="1">
      <alignment horizontal="center" vertical="center"/>
    </xf>
    <xf numFmtId="186" fontId="0" fillId="5" borderId="610" xfId="0" applyNumberFormat="1" applyFill="1" applyBorder="1" applyAlignment="1">
      <alignment horizontal="center" vertical="center"/>
    </xf>
    <xf numFmtId="192" fontId="0" fillId="5" borderId="43" xfId="3" applyNumberFormat="1" applyFont="1" applyFill="1" applyBorder="1" applyAlignment="1">
      <alignment horizontal="center" vertical="center"/>
    </xf>
    <xf numFmtId="192" fontId="0" fillId="5" borderId="90" xfId="3" applyNumberFormat="1" applyFont="1" applyFill="1" applyBorder="1" applyAlignment="1">
      <alignment horizontal="center" vertical="center"/>
    </xf>
    <xf numFmtId="192" fontId="0" fillId="5" borderId="49" xfId="0" applyNumberFormat="1" applyFill="1" applyBorder="1" applyAlignment="1">
      <alignment horizontal="center" vertical="center"/>
    </xf>
    <xf numFmtId="176" fontId="0" fillId="5" borderId="6" xfId="3" applyNumberFormat="1" applyFont="1" applyFill="1" applyBorder="1" applyAlignment="1">
      <alignment horizontal="center" vertical="center"/>
    </xf>
    <xf numFmtId="192" fontId="0" fillId="5" borderId="43" xfId="0" applyNumberFormat="1" applyFill="1" applyBorder="1" applyAlignment="1">
      <alignment horizontal="center" vertical="center"/>
    </xf>
    <xf numFmtId="186" fontId="0" fillId="5" borderId="230" xfId="0" applyNumberFormat="1" applyFill="1" applyBorder="1" applyAlignment="1">
      <alignment horizontal="center" vertical="center"/>
    </xf>
    <xf numFmtId="192" fontId="0" fillId="5" borderId="607" xfId="0" applyNumberFormat="1" applyFill="1" applyBorder="1" applyAlignment="1">
      <alignment horizontal="center" vertical="center"/>
    </xf>
    <xf numFmtId="192" fontId="0" fillId="5" borderId="518" xfId="0" applyNumberFormat="1" applyFill="1" applyBorder="1" applyAlignment="1">
      <alignment horizontal="center" vertical="center"/>
    </xf>
    <xf numFmtId="192" fontId="0" fillId="5" borderId="608" xfId="3" applyNumberFormat="1" applyFont="1" applyFill="1" applyBorder="1" applyAlignment="1">
      <alignment horizontal="center" vertical="center"/>
    </xf>
    <xf numFmtId="192" fontId="0" fillId="5" borderId="609" xfId="3" applyNumberFormat="1" applyFont="1" applyFill="1" applyBorder="1" applyAlignment="1">
      <alignment horizontal="center" vertical="center"/>
    </xf>
    <xf numFmtId="0" fontId="0" fillId="5" borderId="616" xfId="0" applyFill="1" applyBorder="1" applyAlignment="1">
      <alignment horizontal="center" vertical="center"/>
    </xf>
    <xf numFmtId="0" fontId="0" fillId="5" borderId="611" xfId="0" applyFill="1" applyBorder="1" applyAlignment="1">
      <alignment horizontal="center" vertical="center"/>
    </xf>
    <xf numFmtId="0" fontId="20" fillId="5" borderId="0" xfId="0" applyFont="1" applyFill="1">
      <alignment vertical="center"/>
    </xf>
    <xf numFmtId="0" fontId="10" fillId="4" borderId="63" xfId="0" quotePrefix="1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203" fontId="0" fillId="0" borderId="0" xfId="0" applyNumberFormat="1">
      <alignment vertical="center"/>
    </xf>
    <xf numFmtId="202" fontId="0" fillId="9" borderId="0" xfId="0" applyNumberFormat="1" applyFill="1">
      <alignment vertical="center"/>
    </xf>
    <xf numFmtId="202" fontId="0" fillId="3" borderId="0" xfId="0" applyNumberFormat="1" applyFill="1">
      <alignment vertical="center"/>
    </xf>
    <xf numFmtId="203" fontId="0" fillId="3" borderId="0" xfId="0" applyNumberFormat="1" applyFill="1">
      <alignment vertical="center"/>
    </xf>
    <xf numFmtId="202" fontId="0" fillId="0" borderId="76" xfId="0" applyNumberFormat="1" applyBorder="1">
      <alignment vertical="center"/>
    </xf>
    <xf numFmtId="207" fontId="0" fillId="0" borderId="58" xfId="0" applyNumberFormat="1" applyBorder="1">
      <alignment vertical="center"/>
    </xf>
    <xf numFmtId="0" fontId="9" fillId="0" borderId="76" xfId="0" applyFont="1" applyBorder="1">
      <alignment vertical="center"/>
    </xf>
    <xf numFmtId="0" fontId="0" fillId="0" borderId="76" xfId="0" applyBorder="1">
      <alignment vertical="center"/>
    </xf>
    <xf numFmtId="0" fontId="9" fillId="0" borderId="119" xfId="0" applyFont="1" applyBorder="1">
      <alignment vertical="center"/>
    </xf>
    <xf numFmtId="0" fontId="0" fillId="3" borderId="119" xfId="0" applyFill="1" applyBorder="1">
      <alignment vertical="center"/>
    </xf>
    <xf numFmtId="207" fontId="0" fillId="3" borderId="119" xfId="0" applyNumberFormat="1" applyFill="1" applyBorder="1">
      <alignment vertical="center"/>
    </xf>
    <xf numFmtId="0" fontId="0" fillId="3" borderId="58" xfId="0" applyFill="1" applyBorder="1">
      <alignment vertical="center"/>
    </xf>
    <xf numFmtId="41" fontId="0" fillId="3" borderId="58" xfId="2" applyFont="1" applyFill="1" applyBorder="1">
      <alignment vertical="center"/>
    </xf>
    <xf numFmtId="0" fontId="0" fillId="3" borderId="76" xfId="0" applyFill="1" applyBorder="1">
      <alignment vertical="center"/>
    </xf>
    <xf numFmtId="41" fontId="0" fillId="3" borderId="76" xfId="2" applyFont="1" applyFill="1" applyBorder="1">
      <alignment vertical="center"/>
    </xf>
    <xf numFmtId="176" fontId="0" fillId="3" borderId="76" xfId="2" applyNumberFormat="1" applyFont="1" applyFill="1" applyBorder="1">
      <alignment vertical="center"/>
    </xf>
    <xf numFmtId="176" fontId="0" fillId="0" borderId="63" xfId="3" applyNumberFormat="1" applyFont="1" applyFill="1" applyBorder="1">
      <alignment vertical="center"/>
    </xf>
    <xf numFmtId="41" fontId="0" fillId="11" borderId="0" xfId="2" applyFont="1" applyFill="1">
      <alignment vertical="center"/>
    </xf>
    <xf numFmtId="0" fontId="0" fillId="0" borderId="479" xfId="0" applyBorder="1">
      <alignment vertical="center"/>
    </xf>
    <xf numFmtId="0" fontId="0" fillId="17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1" fontId="10" fillId="5" borderId="0" xfId="2" applyFont="1" applyFill="1" applyBorder="1" applyAlignment="1">
      <alignment horizontal="center" vertical="center"/>
    </xf>
    <xf numFmtId="192" fontId="10" fillId="29" borderId="0" xfId="0" applyNumberFormat="1" applyFont="1" applyFill="1" applyBorder="1">
      <alignment vertical="center"/>
    </xf>
    <xf numFmtId="0" fontId="10" fillId="0" borderId="0" xfId="0" applyFont="1" applyBorder="1" applyAlignment="1">
      <alignment horizontal="left" vertical="center"/>
    </xf>
    <xf numFmtId="192" fontId="10" fillId="0" borderId="0" xfId="0" applyNumberFormat="1" applyFont="1" applyBorder="1" applyAlignment="1">
      <alignment horizontal="center" vertical="center"/>
    </xf>
    <xf numFmtId="0" fontId="6" fillId="15" borderId="187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86" xfId="0" applyFont="1" applyFill="1" applyBorder="1" applyAlignment="1">
      <alignment horizontal="center" vertical="center"/>
    </xf>
    <xf numFmtId="0" fontId="29" fillId="31" borderId="211" xfId="0" quotePrefix="1" applyFont="1" applyFill="1" applyBorder="1" applyAlignment="1">
      <alignment horizontal="center" vertical="center"/>
    </xf>
    <xf numFmtId="0" fontId="29" fillId="31" borderId="6" xfId="0" quotePrefix="1" applyFont="1" applyFill="1" applyBorder="1" applyAlignment="1">
      <alignment horizontal="center" vertical="center"/>
    </xf>
    <xf numFmtId="0" fontId="29" fillId="31" borderId="229" xfId="0" quotePrefix="1" applyFont="1" applyFill="1" applyBorder="1" applyAlignment="1">
      <alignment horizontal="center" vertical="center"/>
    </xf>
    <xf numFmtId="221" fontId="0" fillId="0" borderId="0" xfId="0" applyNumberFormat="1" applyAlignment="1">
      <alignment horizontal="center" vertical="center"/>
    </xf>
    <xf numFmtId="221" fontId="9" fillId="11" borderId="185" xfId="0" applyNumberFormat="1" applyFont="1" applyFill="1" applyBorder="1" applyAlignment="1">
      <alignment horizontal="center" vertical="center"/>
    </xf>
    <xf numFmtId="221" fontId="9" fillId="11" borderId="4" xfId="0" applyNumberFormat="1" applyFont="1" applyFill="1" applyBorder="1" applyAlignment="1">
      <alignment horizontal="center" vertical="center"/>
    </xf>
    <xf numFmtId="221" fontId="9" fillId="11" borderId="87" xfId="0" applyNumberFormat="1" applyFont="1" applyFill="1" applyBorder="1" applyAlignment="1">
      <alignment horizontal="center" vertical="center"/>
    </xf>
    <xf numFmtId="227" fontId="9" fillId="11" borderId="185" xfId="0" applyNumberFormat="1" applyFont="1" applyFill="1" applyBorder="1" applyAlignment="1">
      <alignment horizontal="center" vertical="center"/>
    </xf>
    <xf numFmtId="227" fontId="9" fillId="11" borderId="4" xfId="0" applyNumberFormat="1" applyFont="1" applyFill="1" applyBorder="1" applyAlignment="1">
      <alignment horizontal="center" vertical="center"/>
    </xf>
    <xf numFmtId="227" fontId="9" fillId="11" borderId="663" xfId="0" applyNumberFormat="1" applyFont="1" applyFill="1" applyBorder="1" applyAlignment="1">
      <alignment horizontal="center" vertical="center"/>
    </xf>
    <xf numFmtId="196" fontId="9" fillId="11" borderId="4" xfId="0" applyNumberFormat="1" applyFont="1" applyFill="1" applyBorder="1" applyAlignment="1">
      <alignment horizontal="center" vertical="center"/>
    </xf>
    <xf numFmtId="228" fontId="9" fillId="11" borderId="4" xfId="0" applyNumberFormat="1" applyFont="1" applyFill="1" applyBorder="1" applyAlignment="1">
      <alignment horizontal="center" vertical="center"/>
    </xf>
    <xf numFmtId="221" fontId="0" fillId="13" borderId="187" xfId="0" applyNumberFormat="1" applyFill="1" applyBorder="1" applyAlignment="1">
      <alignment horizontal="center" vertical="center"/>
    </xf>
    <xf numFmtId="221" fontId="0" fillId="13" borderId="0" xfId="0" applyNumberFormat="1" applyFill="1" applyAlignment="1">
      <alignment horizontal="center" vertical="center"/>
    </xf>
    <xf numFmtId="221" fontId="0" fillId="13" borderId="86" xfId="0" applyNumberFormat="1" applyFill="1" applyBorder="1" applyAlignment="1">
      <alignment horizontal="center" vertical="center"/>
    </xf>
    <xf numFmtId="227" fontId="0" fillId="13" borderId="187" xfId="0" applyNumberFormat="1" applyFill="1" applyBorder="1" applyAlignment="1">
      <alignment horizontal="center" vertical="center"/>
    </xf>
    <xf numFmtId="227" fontId="0" fillId="13" borderId="0" xfId="0" applyNumberFormat="1" applyFill="1" applyAlignment="1">
      <alignment horizontal="center" vertical="center"/>
    </xf>
    <xf numFmtId="227" fontId="0" fillId="13" borderId="664" xfId="0" applyNumberFormat="1" applyFill="1" applyBorder="1" applyAlignment="1">
      <alignment horizontal="center" vertical="center"/>
    </xf>
    <xf numFmtId="221" fontId="0" fillId="8" borderId="186" xfId="0" applyNumberFormat="1" applyFill="1" applyBorder="1" applyAlignment="1">
      <alignment horizontal="center" vertical="center"/>
    </xf>
    <xf numFmtId="221" fontId="0" fillId="8" borderId="68" xfId="0" applyNumberFormat="1" applyFill="1" applyBorder="1" applyAlignment="1">
      <alignment horizontal="center" vertical="center"/>
    </xf>
    <xf numFmtId="221" fontId="0" fillId="8" borderId="88" xfId="0" applyNumberFormat="1" applyFill="1" applyBorder="1" applyAlignment="1">
      <alignment horizontal="center" vertical="center"/>
    </xf>
    <xf numFmtId="227" fontId="0" fillId="8" borderId="186" xfId="0" applyNumberFormat="1" applyFill="1" applyBorder="1" applyAlignment="1">
      <alignment horizontal="center" vertical="center"/>
    </xf>
    <xf numFmtId="227" fontId="0" fillId="8" borderId="68" xfId="0" applyNumberFormat="1" applyFill="1" applyBorder="1" applyAlignment="1">
      <alignment horizontal="center" vertical="center"/>
    </xf>
    <xf numFmtId="227" fontId="0" fillId="8" borderId="665" xfId="0" applyNumberFormat="1" applyFill="1" applyBorder="1" applyAlignment="1">
      <alignment horizontal="center" vertical="center"/>
    </xf>
    <xf numFmtId="196" fontId="0" fillId="8" borderId="68" xfId="0" applyNumberFormat="1" applyFill="1" applyBorder="1" applyAlignment="1">
      <alignment horizontal="center" vertical="center"/>
    </xf>
    <xf numFmtId="228" fontId="0" fillId="8" borderId="68" xfId="0" applyNumberFormat="1" applyFill="1" applyBorder="1" applyAlignment="1">
      <alignment horizontal="center" vertical="center"/>
    </xf>
    <xf numFmtId="221" fontId="0" fillId="8" borderId="187" xfId="0" applyNumberFormat="1" applyFill="1" applyBorder="1" applyAlignment="1">
      <alignment horizontal="center" vertical="center"/>
    </xf>
    <xf numFmtId="221" fontId="0" fillId="8" borderId="0" xfId="0" applyNumberFormat="1" applyFill="1" applyAlignment="1">
      <alignment horizontal="center" vertical="center"/>
    </xf>
    <xf numFmtId="221" fontId="0" fillId="8" borderId="86" xfId="0" applyNumberFormat="1" applyFill="1" applyBorder="1" applyAlignment="1">
      <alignment horizontal="center" vertical="center"/>
    </xf>
    <xf numFmtId="227" fontId="0" fillId="8" borderId="187" xfId="0" applyNumberFormat="1" applyFill="1" applyBorder="1" applyAlignment="1">
      <alignment horizontal="center" vertical="center"/>
    </xf>
    <xf numFmtId="227" fontId="0" fillId="8" borderId="0" xfId="0" applyNumberFormat="1" applyFill="1" applyAlignment="1">
      <alignment horizontal="center" vertical="center"/>
    </xf>
    <xf numFmtId="227" fontId="0" fillId="8" borderId="664" xfId="0" applyNumberFormat="1" applyFill="1" applyBorder="1" applyAlignment="1">
      <alignment horizontal="center" vertical="center"/>
    </xf>
    <xf numFmtId="196" fontId="0" fillId="8" borderId="0" xfId="0" applyNumberFormat="1" applyFill="1" applyAlignment="1">
      <alignment horizontal="center" vertical="center"/>
    </xf>
    <xf numFmtId="228" fontId="0" fillId="8" borderId="0" xfId="0" applyNumberFormat="1" applyFill="1" applyAlignment="1">
      <alignment horizontal="center" vertical="center"/>
    </xf>
    <xf numFmtId="221" fontId="0" fillId="8" borderId="471" xfId="0" applyNumberFormat="1" applyFill="1" applyBorder="1" applyAlignment="1">
      <alignment horizontal="center" vertical="center"/>
    </xf>
    <xf numFmtId="221" fontId="0" fillId="8" borderId="37" xfId="0" applyNumberFormat="1" applyFill="1" applyBorder="1" applyAlignment="1">
      <alignment horizontal="center" vertical="center"/>
    </xf>
    <xf numFmtId="221" fontId="0" fillId="8" borderId="89" xfId="0" applyNumberFormat="1" applyFill="1" applyBorder="1" applyAlignment="1">
      <alignment horizontal="center" vertical="center"/>
    </xf>
    <xf numFmtId="227" fontId="0" fillId="8" borderId="471" xfId="0" applyNumberFormat="1" applyFill="1" applyBorder="1" applyAlignment="1">
      <alignment horizontal="center" vertical="center"/>
    </xf>
    <xf numFmtId="227" fontId="0" fillId="8" borderId="37" xfId="0" applyNumberFormat="1" applyFill="1" applyBorder="1" applyAlignment="1">
      <alignment horizontal="center" vertical="center"/>
    </xf>
    <xf numFmtId="227" fontId="0" fillId="8" borderId="666" xfId="0" applyNumberFormat="1" applyFill="1" applyBorder="1" applyAlignment="1">
      <alignment horizontal="center" vertical="center"/>
    </xf>
    <xf numFmtId="196" fontId="0" fillId="8" borderId="37" xfId="0" applyNumberFormat="1" applyFill="1" applyBorder="1" applyAlignment="1">
      <alignment horizontal="center" vertical="center"/>
    </xf>
    <xf numFmtId="228" fontId="0" fillId="8" borderId="37" xfId="0" applyNumberFormat="1" applyFill="1" applyBorder="1" applyAlignment="1">
      <alignment horizontal="center" vertical="center"/>
    </xf>
    <xf numFmtId="221" fontId="0" fillId="0" borderId="186" xfId="0" applyNumberFormat="1" applyBorder="1" applyAlignment="1">
      <alignment horizontal="center" vertical="center"/>
    </xf>
    <xf numFmtId="221" fontId="0" fillId="0" borderId="68" xfId="0" applyNumberFormat="1" applyBorder="1" applyAlignment="1">
      <alignment horizontal="center" vertical="center"/>
    </xf>
    <xf numFmtId="221" fontId="0" fillId="0" borderId="88" xfId="0" applyNumberFormat="1" applyBorder="1" applyAlignment="1">
      <alignment horizontal="center" vertical="center"/>
    </xf>
    <xf numFmtId="227" fontId="0" fillId="0" borderId="186" xfId="0" applyNumberFormat="1" applyBorder="1" applyAlignment="1">
      <alignment horizontal="center" vertical="center"/>
    </xf>
    <xf numFmtId="227" fontId="0" fillId="0" borderId="68" xfId="0" applyNumberFormat="1" applyBorder="1" applyAlignment="1">
      <alignment horizontal="center" vertical="center"/>
    </xf>
    <xf numFmtId="227" fontId="0" fillId="0" borderId="665" xfId="0" applyNumberFormat="1" applyBorder="1" applyAlignment="1">
      <alignment horizontal="center" vertical="center"/>
    </xf>
    <xf numFmtId="196" fontId="0" fillId="0" borderId="68" xfId="0" applyNumberFormat="1" applyBorder="1" applyAlignment="1">
      <alignment horizontal="center" vertical="center"/>
    </xf>
    <xf numFmtId="228" fontId="0" fillId="0" borderId="68" xfId="0" applyNumberFormat="1" applyBorder="1" applyAlignment="1">
      <alignment horizontal="center" vertical="center"/>
    </xf>
    <xf numFmtId="221" fontId="0" fillId="0" borderId="187" xfId="0" applyNumberFormat="1" applyBorder="1" applyAlignment="1">
      <alignment horizontal="center" vertical="center"/>
    </xf>
    <xf numFmtId="221" fontId="0" fillId="0" borderId="86" xfId="0" applyNumberFormat="1" applyBorder="1" applyAlignment="1">
      <alignment horizontal="center" vertical="center"/>
    </xf>
    <xf numFmtId="227" fontId="0" fillId="0" borderId="187" xfId="0" applyNumberFormat="1" applyBorder="1" applyAlignment="1">
      <alignment horizontal="center" vertical="center"/>
    </xf>
    <xf numFmtId="227" fontId="0" fillId="0" borderId="0" xfId="0" applyNumberFormat="1" applyAlignment="1">
      <alignment horizontal="center" vertical="center"/>
    </xf>
    <xf numFmtId="227" fontId="0" fillId="0" borderId="664" xfId="0" applyNumberFormat="1" applyBorder="1" applyAlignment="1">
      <alignment horizontal="center" vertical="center"/>
    </xf>
    <xf numFmtId="196" fontId="0" fillId="0" borderId="0" xfId="0" applyNumberFormat="1" applyAlignment="1">
      <alignment horizontal="center" vertical="center"/>
    </xf>
    <xf numFmtId="228" fontId="0" fillId="0" borderId="0" xfId="0" applyNumberFormat="1" applyAlignment="1">
      <alignment horizontal="center" vertical="center"/>
    </xf>
    <xf numFmtId="221" fontId="0" fillId="2" borderId="187" xfId="0" applyNumberFormat="1" applyFill="1" applyBorder="1" applyAlignment="1">
      <alignment horizontal="center" vertical="center"/>
    </xf>
    <xf numFmtId="221" fontId="0" fillId="2" borderId="0" xfId="0" applyNumberFormat="1" applyFill="1" applyAlignment="1">
      <alignment horizontal="center" vertical="center"/>
    </xf>
    <xf numFmtId="221" fontId="0" fillId="2" borderId="86" xfId="0" applyNumberFormat="1" applyFill="1" applyBorder="1" applyAlignment="1">
      <alignment horizontal="center" vertical="center"/>
    </xf>
    <xf numFmtId="227" fontId="0" fillId="2" borderId="187" xfId="0" applyNumberFormat="1" applyFill="1" applyBorder="1" applyAlignment="1">
      <alignment horizontal="center" vertical="center"/>
    </xf>
    <xf numFmtId="227" fontId="0" fillId="2" borderId="0" xfId="0" applyNumberFormat="1" applyFill="1" applyAlignment="1">
      <alignment horizontal="center" vertical="center"/>
    </xf>
    <xf numFmtId="227" fontId="0" fillId="2" borderId="664" xfId="0" applyNumberFormat="1" applyFill="1" applyBorder="1" applyAlignment="1">
      <alignment horizontal="center" vertical="center"/>
    </xf>
    <xf numFmtId="196" fontId="0" fillId="2" borderId="0" xfId="0" applyNumberFormat="1" applyFill="1" applyAlignment="1">
      <alignment horizontal="center" vertical="center"/>
    </xf>
    <xf numFmtId="228" fontId="0" fillId="2" borderId="0" xfId="0" applyNumberFormat="1" applyFill="1" applyAlignment="1">
      <alignment horizontal="center" vertical="center"/>
    </xf>
    <xf numFmtId="221" fontId="0" fillId="0" borderId="200" xfId="0" applyNumberFormat="1" applyBorder="1" applyAlignment="1">
      <alignment horizontal="center" vertical="center"/>
    </xf>
    <xf numFmtId="221" fontId="0" fillId="0" borderId="213" xfId="0" applyNumberFormat="1" applyBorder="1" applyAlignment="1">
      <alignment horizontal="center" vertical="center"/>
    </xf>
    <xf numFmtId="221" fontId="0" fillId="0" borderId="212" xfId="0" applyNumberFormat="1" applyBorder="1" applyAlignment="1">
      <alignment horizontal="center" vertical="center"/>
    </xf>
    <xf numFmtId="228" fontId="0" fillId="0" borderId="667" xfId="0" applyNumberFormat="1" applyBorder="1" applyAlignment="1">
      <alignment horizontal="center" vertical="center"/>
    </xf>
    <xf numFmtId="41" fontId="0" fillId="8" borderId="518" xfId="2" applyFont="1" applyFill="1" applyBorder="1" applyAlignment="1">
      <alignment horizontal="center" vertical="center"/>
    </xf>
    <xf numFmtId="41" fontId="0" fillId="5" borderId="518" xfId="2" applyFont="1" applyFill="1" applyBorder="1" applyAlignment="1">
      <alignment horizontal="center" vertical="center"/>
    </xf>
    <xf numFmtId="0" fontId="6" fillId="4" borderId="643" xfId="0" quotePrefix="1" applyFont="1" applyFill="1" applyBorder="1" applyAlignment="1">
      <alignment horizontal="center" vertical="center"/>
    </xf>
    <xf numFmtId="192" fontId="6" fillId="4" borderId="0" xfId="0" quotePrefix="1" applyNumberFormat="1" applyFont="1" applyFill="1" applyBorder="1" applyAlignment="1">
      <alignment horizontal="center" vertical="center"/>
    </xf>
    <xf numFmtId="192" fontId="0" fillId="5" borderId="0" xfId="0" applyNumberFormat="1" applyFill="1">
      <alignment vertical="center"/>
    </xf>
    <xf numFmtId="192" fontId="0" fillId="11" borderId="671" xfId="0" applyNumberFormat="1" applyFill="1" applyBorder="1" applyAlignment="1">
      <alignment horizontal="center" vertical="center"/>
    </xf>
    <xf numFmtId="192" fontId="0" fillId="11" borderId="485" xfId="0" applyNumberFormat="1" applyFill="1" applyBorder="1" applyAlignment="1">
      <alignment horizontal="center" vertical="center"/>
    </xf>
    <xf numFmtId="192" fontId="0" fillId="11" borderId="672" xfId="0" applyNumberFormat="1" applyFill="1" applyBorder="1" applyAlignment="1">
      <alignment horizontal="center" vertical="center"/>
    </xf>
    <xf numFmtId="192" fontId="0" fillId="5" borderId="485" xfId="0" applyNumberFormat="1" applyFill="1" applyBorder="1" applyAlignment="1">
      <alignment horizontal="center" vertical="center"/>
    </xf>
    <xf numFmtId="192" fontId="0" fillId="8" borderId="485" xfId="0" applyNumberFormat="1" applyFill="1" applyBorder="1" applyAlignment="1">
      <alignment horizontal="center" vertical="center"/>
    </xf>
    <xf numFmtId="192" fontId="0" fillId="8" borderId="647" xfId="0" applyNumberFormat="1" applyFill="1" applyBorder="1" applyAlignment="1">
      <alignment horizontal="center" vertical="center"/>
    </xf>
    <xf numFmtId="192" fontId="0" fillId="5" borderId="647" xfId="0" applyNumberFormat="1" applyFill="1" applyBorder="1" applyAlignment="1">
      <alignment horizontal="center" vertical="center"/>
    </xf>
    <xf numFmtId="1" fontId="0" fillId="0" borderId="68" xfId="0" applyNumberFormat="1" applyBorder="1">
      <alignment vertical="center"/>
    </xf>
    <xf numFmtId="1" fontId="0" fillId="13" borderId="0" xfId="0" applyNumberFormat="1" applyFill="1" applyBorder="1">
      <alignment vertical="center"/>
    </xf>
    <xf numFmtId="1" fontId="0" fillId="0" borderId="0" xfId="0" applyNumberFormat="1" applyBorder="1">
      <alignment vertical="center"/>
    </xf>
    <xf numFmtId="1" fontId="0" fillId="0" borderId="0" xfId="0" applyNumberFormat="1" applyFill="1" applyBorder="1">
      <alignment vertical="center"/>
    </xf>
    <xf numFmtId="1" fontId="0" fillId="13" borderId="6" xfId="0" applyNumberFormat="1" applyFill="1" applyBorder="1">
      <alignment vertical="center"/>
    </xf>
    <xf numFmtId="1" fontId="0" fillId="8" borderId="0" xfId="0" applyNumberFormat="1" applyFill="1" applyBorder="1">
      <alignment vertical="center"/>
    </xf>
    <xf numFmtId="1" fontId="0" fillId="9" borderId="58" xfId="0" applyNumberFormat="1" applyFill="1" applyBorder="1">
      <alignment vertical="center"/>
    </xf>
    <xf numFmtId="1" fontId="0" fillId="8" borderId="76" xfId="0" applyNumberFormat="1" applyFill="1" applyBorder="1">
      <alignment vertical="center"/>
    </xf>
    <xf numFmtId="1" fontId="0" fillId="8" borderId="119" xfId="0" applyNumberFormat="1" applyFill="1" applyBorder="1">
      <alignment vertical="center"/>
    </xf>
    <xf numFmtId="1" fontId="0" fillId="0" borderId="63" xfId="0" applyNumberFormat="1" applyFill="1" applyBorder="1">
      <alignment vertical="center"/>
    </xf>
    <xf numFmtId="1" fontId="8" fillId="0" borderId="0" xfId="0" applyNumberFormat="1" applyFont="1" applyFill="1" applyBorder="1">
      <alignment vertical="center"/>
    </xf>
    <xf numFmtId="1" fontId="8" fillId="12" borderId="0" xfId="0" applyNumberFormat="1" applyFont="1" applyFill="1" applyBorder="1">
      <alignment vertical="center"/>
    </xf>
    <xf numFmtId="1" fontId="8" fillId="12" borderId="63" xfId="0" applyNumberFormat="1" applyFont="1" applyFill="1" applyBorder="1">
      <alignment vertical="center"/>
    </xf>
    <xf numFmtId="229" fontId="0" fillId="9" borderId="58" xfId="0" applyNumberFormat="1" applyFill="1" applyBorder="1">
      <alignment vertical="center"/>
    </xf>
    <xf numFmtId="229" fontId="0" fillId="8" borderId="76" xfId="0" applyNumberFormat="1" applyFill="1" applyBorder="1">
      <alignment vertical="center"/>
    </xf>
    <xf numFmtId="229" fontId="0" fillId="8" borderId="0" xfId="0" applyNumberFormat="1" applyFill="1" applyBorder="1">
      <alignment vertical="center"/>
    </xf>
    <xf numFmtId="229" fontId="0" fillId="8" borderId="119" xfId="0" applyNumberFormat="1" applyFill="1" applyBorder="1">
      <alignment vertical="center"/>
    </xf>
    <xf numFmtId="41" fontId="0" fillId="11" borderId="465" xfId="2" applyFont="1" applyFill="1" applyBorder="1">
      <alignment vertical="center"/>
    </xf>
    <xf numFmtId="0" fontId="0" fillId="0" borderId="725" xfId="0" applyBorder="1">
      <alignment vertical="center"/>
    </xf>
    <xf numFmtId="0" fontId="0" fillId="3" borderId="725" xfId="0" applyFill="1" applyBorder="1">
      <alignment vertical="center"/>
    </xf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center" vertical="center"/>
    </xf>
    <xf numFmtId="204" fontId="0" fillId="0" borderId="0" xfId="0" applyNumberFormat="1" applyBorder="1">
      <alignment vertical="center"/>
    </xf>
    <xf numFmtId="0" fontId="39" fillId="5" borderId="0" xfId="0" applyFont="1" applyFill="1">
      <alignment vertical="center"/>
    </xf>
    <xf numFmtId="195" fontId="0" fillId="13" borderId="225" xfId="2" applyNumberFormat="1" applyFont="1" applyFill="1" applyBorder="1" applyAlignment="1">
      <alignment horizontal="center" vertical="center"/>
    </xf>
    <xf numFmtId="9" fontId="0" fillId="11" borderId="68" xfId="3" applyFont="1" applyFill="1" applyBorder="1" applyAlignment="1">
      <alignment vertical="center"/>
    </xf>
    <xf numFmtId="9" fontId="0" fillId="13" borderId="0" xfId="3" applyFont="1" applyFill="1" applyBorder="1" applyAlignment="1">
      <alignment vertical="center"/>
    </xf>
    <xf numFmtId="9" fontId="0" fillId="13" borderId="37" xfId="3" applyFont="1" applyFill="1" applyBorder="1" applyAlignment="1">
      <alignment vertical="center"/>
    </xf>
    <xf numFmtId="9" fontId="0" fillId="13" borderId="0" xfId="2" applyNumberFormat="1" applyFont="1" applyFill="1" applyBorder="1" applyAlignment="1">
      <alignment horizontal="center" vertical="center"/>
    </xf>
    <xf numFmtId="9" fontId="0" fillId="8" borderId="4" xfId="0" applyNumberFormat="1" applyFill="1" applyBorder="1" applyAlignment="1">
      <alignment horizontal="center" vertical="center"/>
    </xf>
    <xf numFmtId="9" fontId="0" fillId="20" borderId="0" xfId="0" applyNumberFormat="1" applyFill="1" applyBorder="1" applyAlignment="1">
      <alignment horizontal="center" vertical="center"/>
    </xf>
    <xf numFmtId="9" fontId="0" fillId="8" borderId="68" xfId="0" applyNumberFormat="1" applyFill="1" applyBorder="1" applyAlignment="1">
      <alignment horizontal="center" vertical="center"/>
    </xf>
    <xf numFmtId="9" fontId="0" fillId="20" borderId="37" xfId="0" applyNumberFormat="1" applyFill="1" applyBorder="1" applyAlignment="1">
      <alignment horizontal="center" vertical="center"/>
    </xf>
    <xf numFmtId="9" fontId="0" fillId="11" borderId="4" xfId="0" applyNumberFormat="1" applyFill="1" applyBorder="1" applyAlignment="1">
      <alignment horizontal="center" vertical="center"/>
    </xf>
    <xf numFmtId="9" fontId="0" fillId="13" borderId="0" xfId="0" applyNumberFormat="1" applyFill="1" applyBorder="1" applyAlignment="1">
      <alignment horizontal="center" vertical="center"/>
    </xf>
    <xf numFmtId="9" fontId="0" fillId="13" borderId="6" xfId="0" applyNumberFormat="1" applyFill="1" applyBorder="1" applyAlignment="1">
      <alignment horizontal="center" vertical="center"/>
    </xf>
    <xf numFmtId="9" fontId="0" fillId="8" borderId="0" xfId="0" applyNumberFormat="1" applyFill="1" applyBorder="1" applyAlignment="1">
      <alignment horizontal="center" vertical="center"/>
    </xf>
    <xf numFmtId="202" fontId="6" fillId="4" borderId="0" xfId="0" applyNumberFormat="1" applyFont="1" applyFill="1" applyBorder="1" applyAlignment="1">
      <alignment horizontal="center" vertical="center"/>
    </xf>
    <xf numFmtId="202" fontId="0" fillId="0" borderId="0" xfId="2" applyNumberFormat="1" applyFont="1">
      <alignment vertical="center"/>
    </xf>
    <xf numFmtId="202" fontId="0" fillId="17" borderId="0" xfId="0" applyNumberFormat="1" applyFill="1" applyBorder="1">
      <alignment vertical="center"/>
    </xf>
    <xf numFmtId="202" fontId="0" fillId="0" borderId="6" xfId="0" applyNumberFormat="1" applyFill="1" applyBorder="1">
      <alignment vertical="center"/>
    </xf>
    <xf numFmtId="176" fontId="0" fillId="0" borderId="0" xfId="3" applyNumberFormat="1" applyFont="1" applyAlignment="1">
      <alignment horizontal="right" vertical="center"/>
    </xf>
    <xf numFmtId="202" fontId="20" fillId="0" borderId="0" xfId="0" applyNumberFormat="1" applyFont="1">
      <alignment vertical="center"/>
    </xf>
    <xf numFmtId="202" fontId="0" fillId="11" borderId="0" xfId="0" applyNumberFormat="1" applyFill="1">
      <alignment vertical="center"/>
    </xf>
    <xf numFmtId="41" fontId="10" fillId="14" borderId="0" xfId="2" applyFont="1" applyFill="1" applyBorder="1" applyAlignment="1">
      <alignment horizontal="center" vertical="center"/>
    </xf>
    <xf numFmtId="41" fontId="10" fillId="5" borderId="0" xfId="2" applyFont="1" applyFill="1" applyBorder="1">
      <alignment vertical="center"/>
    </xf>
    <xf numFmtId="41" fontId="25" fillId="4" borderId="568" xfId="2" quotePrefix="1" applyFont="1" applyFill="1" applyBorder="1" applyAlignment="1">
      <alignment horizontal="center" vertical="center"/>
    </xf>
    <xf numFmtId="230" fontId="34" fillId="18" borderId="0" xfId="0" applyNumberFormat="1" applyFont="1" applyFill="1" applyAlignment="1">
      <alignment horizontal="center" vertical="center"/>
    </xf>
    <xf numFmtId="41" fontId="43" fillId="5" borderId="0" xfId="2" applyFont="1" applyFill="1" applyAlignment="1">
      <alignment horizontal="center" vertical="center"/>
    </xf>
    <xf numFmtId="41" fontId="0" fillId="3" borderId="0" xfId="2" applyFont="1" applyFill="1">
      <alignment vertical="center"/>
    </xf>
    <xf numFmtId="230" fontId="9" fillId="18" borderId="0" xfId="0" applyNumberFormat="1" applyFont="1" applyFill="1" applyAlignment="1">
      <alignment horizontal="center" vertical="center"/>
    </xf>
    <xf numFmtId="41" fontId="9" fillId="11" borderId="0" xfId="0" applyNumberFormat="1" applyFont="1" applyFill="1">
      <alignment vertical="center"/>
    </xf>
    <xf numFmtId="41" fontId="9" fillId="11" borderId="4" xfId="2" applyFont="1" applyFill="1" applyBorder="1">
      <alignment vertical="center"/>
    </xf>
    <xf numFmtId="41" fontId="9" fillId="11" borderId="0" xfId="2" applyFont="1" applyFill="1">
      <alignment vertical="center"/>
    </xf>
    <xf numFmtId="176" fontId="8" fillId="11" borderId="0" xfId="3" applyNumberFormat="1" applyFont="1" applyFill="1" applyAlignment="1">
      <alignment horizontal="center" vertical="center"/>
    </xf>
    <xf numFmtId="176" fontId="0" fillId="0" borderId="166" xfId="3" applyNumberFormat="1" applyFont="1" applyBorder="1">
      <alignment vertical="center"/>
    </xf>
    <xf numFmtId="176" fontId="8" fillId="2" borderId="143" xfId="3" applyNumberFormat="1" applyFont="1" applyFill="1" applyBorder="1" applyAlignment="1">
      <alignment horizontal="center" vertical="center"/>
    </xf>
    <xf numFmtId="41" fontId="10" fillId="8" borderId="0" xfId="0" applyNumberFormat="1" applyFont="1" applyFill="1">
      <alignment vertical="center"/>
    </xf>
    <xf numFmtId="1" fontId="10" fillId="8" borderId="0" xfId="0" applyNumberFormat="1" applyFont="1" applyFill="1">
      <alignment vertical="center"/>
    </xf>
    <xf numFmtId="9" fontId="8" fillId="8" borderId="0" xfId="3" applyFont="1" applyFill="1">
      <alignment vertical="center"/>
    </xf>
    <xf numFmtId="41" fontId="10" fillId="11" borderId="171" xfId="2" applyFont="1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176" xfId="0" applyFont="1" applyBorder="1" applyAlignment="1">
      <alignment horizontal="right" vertical="center"/>
    </xf>
    <xf numFmtId="0" fontId="10" fillId="0" borderId="176" xfId="0" applyFont="1" applyBorder="1">
      <alignment vertical="center"/>
    </xf>
    <xf numFmtId="41" fontId="10" fillId="11" borderId="0" xfId="2" applyFont="1" applyFill="1" applyBorder="1" applyAlignment="1">
      <alignment horizontal="right" vertical="center"/>
    </xf>
    <xf numFmtId="41" fontId="10" fillId="11" borderId="0" xfId="0" applyNumberFormat="1" applyFont="1" applyFill="1" applyAlignment="1">
      <alignment horizontal="right" vertical="center"/>
    </xf>
    <xf numFmtId="41" fontId="10" fillId="11" borderId="171" xfId="0" applyNumberFormat="1" applyFont="1" applyFill="1" applyBorder="1" applyAlignment="1">
      <alignment horizontal="right" vertical="center"/>
    </xf>
    <xf numFmtId="41" fontId="10" fillId="11" borderId="171" xfId="0" applyNumberFormat="1" applyFont="1" applyFill="1" applyBorder="1" applyAlignment="1">
      <alignment horizontal="center" vertical="center"/>
    </xf>
    <xf numFmtId="41" fontId="10" fillId="0" borderId="11" xfId="2" applyFont="1" applyFill="1" applyBorder="1" applyAlignment="1">
      <alignment horizontal="right" vertical="center"/>
    </xf>
    <xf numFmtId="0" fontId="10" fillId="5" borderId="0" xfId="0" applyFont="1" applyFill="1" applyAlignment="1">
      <alignment horizontal="right" vertical="center"/>
    </xf>
    <xf numFmtId="41" fontId="10" fillId="5" borderId="0" xfId="0" applyNumberFormat="1" applyFont="1" applyFill="1" applyAlignment="1">
      <alignment horizontal="right" vertical="center"/>
    </xf>
    <xf numFmtId="202" fontId="10" fillId="5" borderId="0" xfId="0" applyNumberFormat="1" applyFont="1" applyFill="1" applyAlignment="1">
      <alignment horizontal="right" vertical="center"/>
    </xf>
    <xf numFmtId="41" fontId="10" fillId="0" borderId="52" xfId="2" applyFont="1" applyFill="1" applyBorder="1" applyAlignment="1">
      <alignment horizontal="right" vertical="center"/>
    </xf>
    <xf numFmtId="0" fontId="10" fillId="5" borderId="36" xfId="0" applyFont="1" applyFill="1" applyBorder="1" applyAlignment="1">
      <alignment horizontal="right" vertical="center"/>
    </xf>
    <xf numFmtId="41" fontId="10" fillId="5" borderId="36" xfId="0" applyNumberFormat="1" applyFont="1" applyFill="1" applyBorder="1">
      <alignment vertical="center"/>
    </xf>
    <xf numFmtId="202" fontId="10" fillId="11" borderId="0" xfId="0" applyNumberFormat="1" applyFont="1" applyFill="1" applyAlignment="1">
      <alignment horizontal="right" vertical="center"/>
    </xf>
    <xf numFmtId="0" fontId="8" fillId="11" borderId="0" xfId="0" applyFont="1" applyFill="1" applyAlignment="1">
      <alignment horizontal="center" vertical="center"/>
    </xf>
    <xf numFmtId="176" fontId="10" fillId="11" borderId="0" xfId="0" applyNumberFormat="1" applyFont="1" applyFill="1" applyAlignment="1">
      <alignment horizontal="center" vertical="center"/>
    </xf>
    <xf numFmtId="176" fontId="10" fillId="11" borderId="0" xfId="0" applyNumberFormat="1" applyFont="1" applyFill="1" applyAlignment="1">
      <alignment horizontal="right" vertical="center"/>
    </xf>
    <xf numFmtId="0" fontId="0" fillId="0" borderId="166" xfId="0" applyBorder="1">
      <alignment vertical="center"/>
    </xf>
    <xf numFmtId="176" fontId="0" fillId="0" borderId="166" xfId="0" applyNumberFormat="1" applyBorder="1">
      <alignment vertical="center"/>
    </xf>
    <xf numFmtId="176" fontId="0" fillId="3" borderId="0" xfId="0" applyNumberFormat="1" applyFill="1">
      <alignment vertical="center"/>
    </xf>
    <xf numFmtId="0" fontId="8" fillId="8" borderId="0" xfId="0" applyFont="1" applyFill="1">
      <alignment vertical="center"/>
    </xf>
    <xf numFmtId="176" fontId="8" fillId="8" borderId="0" xfId="0" applyNumberFormat="1" applyFont="1" applyFill="1">
      <alignment vertical="center"/>
    </xf>
    <xf numFmtId="41" fontId="0" fillId="0" borderId="176" xfId="0" applyNumberFormat="1" applyBorder="1">
      <alignment vertical="center"/>
    </xf>
    <xf numFmtId="202" fontId="0" fillId="0" borderId="176" xfId="0" applyNumberFormat="1" applyBorder="1">
      <alignment vertical="center"/>
    </xf>
    <xf numFmtId="176" fontId="0" fillId="9" borderId="0" xfId="0" applyNumberFormat="1" applyFill="1">
      <alignment vertical="center"/>
    </xf>
    <xf numFmtId="202" fontId="0" fillId="9" borderId="0" xfId="0" quotePrefix="1" applyNumberFormat="1" applyFill="1">
      <alignment vertical="center"/>
    </xf>
    <xf numFmtId="0" fontId="9" fillId="13" borderId="0" xfId="0" applyFont="1" applyFill="1">
      <alignment vertical="center"/>
    </xf>
    <xf numFmtId="202" fontId="10" fillId="13" borderId="0" xfId="0" applyNumberFormat="1" applyFont="1" applyFill="1">
      <alignment vertical="center"/>
    </xf>
    <xf numFmtId="0" fontId="8" fillId="13" borderId="0" xfId="0" applyFont="1" applyFill="1">
      <alignment vertical="center"/>
    </xf>
    <xf numFmtId="176" fontId="10" fillId="13" borderId="0" xfId="0" applyNumberFormat="1" applyFont="1" applyFill="1">
      <alignment vertical="center"/>
    </xf>
    <xf numFmtId="0" fontId="8" fillId="0" borderId="154" xfId="0" applyFont="1" applyBorder="1">
      <alignment vertical="center"/>
    </xf>
    <xf numFmtId="176" fontId="0" fillId="0" borderId="132" xfId="0" applyNumberFormat="1" applyBorder="1">
      <alignment vertical="center"/>
    </xf>
    <xf numFmtId="0" fontId="8" fillId="0" borderId="155" xfId="0" applyFont="1" applyBorder="1">
      <alignment vertical="center"/>
    </xf>
    <xf numFmtId="0" fontId="0" fillId="0" borderId="119" xfId="0" applyBorder="1">
      <alignment vertical="center"/>
    </xf>
    <xf numFmtId="176" fontId="0" fillId="0" borderId="119" xfId="0" applyNumberFormat="1" applyBorder="1">
      <alignment vertical="center"/>
    </xf>
    <xf numFmtId="176" fontId="10" fillId="5" borderId="0" xfId="0" applyNumberFormat="1" applyFont="1" applyFill="1" applyAlignment="1">
      <alignment horizontal="right" vertical="center"/>
    </xf>
    <xf numFmtId="202" fontId="10" fillId="9" borderId="0" xfId="0" applyNumberFormat="1" applyFont="1" applyFill="1">
      <alignment vertical="center"/>
    </xf>
    <xf numFmtId="0" fontId="8" fillId="9" borderId="0" xfId="0" applyFont="1" applyFill="1">
      <alignment vertical="center"/>
    </xf>
    <xf numFmtId="176" fontId="10" fillId="9" borderId="0" xfId="0" applyNumberFormat="1" applyFont="1" applyFill="1">
      <alignment vertical="center"/>
    </xf>
    <xf numFmtId="203" fontId="0" fillId="0" borderId="132" xfId="0" applyNumberFormat="1" applyBorder="1">
      <alignment vertical="center"/>
    </xf>
    <xf numFmtId="213" fontId="0" fillId="0" borderId="0" xfId="0" applyNumberFormat="1" applyAlignment="1">
      <alignment horizontal="center" vertical="center"/>
    </xf>
    <xf numFmtId="218" fontId="0" fillId="0" borderId="0" xfId="0" applyNumberFormat="1" applyAlignment="1">
      <alignment horizontal="center" vertical="center"/>
    </xf>
    <xf numFmtId="210" fontId="0" fillId="6" borderId="34" xfId="0" applyNumberFormat="1" applyFill="1" applyBorder="1">
      <alignment vertical="center"/>
    </xf>
    <xf numFmtId="0" fontId="32" fillId="0" borderId="0" xfId="0" applyFont="1">
      <alignment vertical="center"/>
    </xf>
    <xf numFmtId="0" fontId="33" fillId="52" borderId="902" xfId="0" applyFont="1" applyFill="1" applyBorder="1" applyAlignment="1">
      <alignment horizontal="center" vertical="center"/>
    </xf>
    <xf numFmtId="178" fontId="32" fillId="0" borderId="892" xfId="0" applyNumberFormat="1" applyFont="1" applyBorder="1">
      <alignment vertical="center"/>
    </xf>
    <xf numFmtId="178" fontId="32" fillId="53" borderId="0" xfId="0" applyNumberFormat="1" applyFont="1" applyFill="1">
      <alignment vertical="center"/>
    </xf>
    <xf numFmtId="178" fontId="32" fillId="0" borderId="0" xfId="0" applyNumberFormat="1" applyFont="1">
      <alignment vertical="center"/>
    </xf>
    <xf numFmtId="178" fontId="32" fillId="53" borderId="887" xfId="0" applyNumberFormat="1" applyFont="1" applyFill="1" applyBorder="1">
      <alignment vertical="center"/>
    </xf>
    <xf numFmtId="178" fontId="32" fillId="47" borderId="0" xfId="0" applyNumberFormat="1" applyFont="1" applyFill="1">
      <alignment vertical="center"/>
    </xf>
    <xf numFmtId="0" fontId="44" fillId="0" borderId="0" xfId="0" quotePrefix="1" applyFont="1">
      <alignment vertical="center"/>
    </xf>
    <xf numFmtId="178" fontId="32" fillId="54" borderId="903" xfId="0" applyNumberFormat="1" applyFont="1" applyFill="1" applyBorder="1">
      <alignment vertical="center"/>
    </xf>
    <xf numFmtId="178" fontId="32" fillId="47" borderId="904" xfId="0" applyNumberFormat="1" applyFont="1" applyFill="1" applyBorder="1">
      <alignment vertical="center"/>
    </xf>
    <xf numFmtId="178" fontId="32" fillId="55" borderId="0" xfId="0" applyNumberFormat="1" applyFont="1" applyFill="1">
      <alignment vertical="center"/>
    </xf>
    <xf numFmtId="178" fontId="32" fillId="56" borderId="0" xfId="0" applyNumberFormat="1" applyFont="1" applyFill="1">
      <alignment vertical="center"/>
    </xf>
    <xf numFmtId="178" fontId="32" fillId="56" borderId="905" xfId="0" applyNumberFormat="1" applyFont="1" applyFill="1" applyBorder="1">
      <alignment vertical="center"/>
    </xf>
    <xf numFmtId="41" fontId="0" fillId="0" borderId="68" xfId="2" applyFont="1" applyBorder="1">
      <alignment vertical="center"/>
    </xf>
    <xf numFmtId="41" fontId="0" fillId="13" borderId="0" xfId="2" applyFont="1" applyFill="1" applyBorder="1">
      <alignment vertical="center"/>
    </xf>
    <xf numFmtId="41" fontId="0" fillId="13" borderId="6" xfId="2" applyFont="1" applyFill="1" applyBorder="1">
      <alignment vertical="center"/>
    </xf>
    <xf numFmtId="41" fontId="4" fillId="0" borderId="0" xfId="2" quotePrefix="1" applyFont="1">
      <alignment vertical="center"/>
    </xf>
    <xf numFmtId="41" fontId="0" fillId="9" borderId="58" xfId="2" applyFont="1" applyFill="1" applyBorder="1">
      <alignment vertical="center"/>
    </xf>
    <xf numFmtId="41" fontId="0" fillId="8" borderId="76" xfId="2" applyFont="1" applyFill="1" applyBorder="1">
      <alignment vertical="center"/>
    </xf>
    <xf numFmtId="41" fontId="0" fillId="8" borderId="119" xfId="2" applyFont="1" applyFill="1" applyBorder="1">
      <alignment vertical="center"/>
    </xf>
    <xf numFmtId="41" fontId="0" fillId="0" borderId="63" xfId="2" applyFont="1" applyFill="1" applyBorder="1">
      <alignment vertical="center"/>
    </xf>
    <xf numFmtId="41" fontId="8" fillId="12" borderId="0" xfId="2" applyFont="1" applyFill="1" applyBorder="1">
      <alignment vertical="center"/>
    </xf>
    <xf numFmtId="41" fontId="8" fillId="12" borderId="63" xfId="2" applyFont="1" applyFill="1" applyBorder="1">
      <alignment vertical="center"/>
    </xf>
    <xf numFmtId="41" fontId="0" fillId="4" borderId="0" xfId="2" applyFont="1" applyFill="1">
      <alignment vertical="center"/>
    </xf>
    <xf numFmtId="41" fontId="0" fillId="18" borderId="11" xfId="2" applyFont="1" applyFill="1" applyBorder="1">
      <alignment vertical="center"/>
    </xf>
    <xf numFmtId="41" fontId="0" fillId="18" borderId="0" xfId="2" applyFont="1" applyFill="1" applyBorder="1">
      <alignment vertical="center"/>
    </xf>
    <xf numFmtId="202" fontId="0" fillId="11" borderId="0" xfId="2" applyNumberFormat="1" applyFont="1" applyFill="1" applyBorder="1">
      <alignment vertical="center"/>
    </xf>
    <xf numFmtId="202" fontId="0" fillId="11" borderId="11" xfId="2" applyNumberFormat="1" applyFont="1" applyFill="1" applyBorder="1">
      <alignment vertical="center"/>
    </xf>
    <xf numFmtId="202" fontId="0" fillId="0" borderId="0" xfId="2" applyNumberFormat="1" applyFont="1" applyFill="1" applyBorder="1">
      <alignment vertical="center"/>
    </xf>
    <xf numFmtId="202" fontId="0" fillId="0" borderId="11" xfId="2" applyNumberFormat="1" applyFont="1" applyFill="1" applyBorder="1">
      <alignment vertical="center"/>
    </xf>
    <xf numFmtId="202" fontId="0" fillId="9" borderId="0" xfId="2" applyNumberFormat="1" applyFont="1" applyFill="1" applyBorder="1">
      <alignment vertical="center"/>
    </xf>
    <xf numFmtId="202" fontId="0" fillId="9" borderId="11" xfId="2" applyNumberFormat="1" applyFont="1" applyFill="1" applyBorder="1">
      <alignment vertical="center"/>
    </xf>
    <xf numFmtId="202" fontId="0" fillId="8" borderId="0" xfId="2" applyNumberFormat="1" applyFont="1" applyFill="1" applyBorder="1">
      <alignment vertical="center"/>
    </xf>
    <xf numFmtId="202" fontId="0" fillId="8" borderId="11" xfId="2" applyNumberFormat="1" applyFont="1" applyFill="1" applyBorder="1">
      <alignment vertical="center"/>
    </xf>
    <xf numFmtId="202" fontId="0" fillId="8" borderId="37" xfId="2" applyNumberFormat="1" applyFont="1" applyFill="1" applyBorder="1">
      <alignment vertical="center"/>
    </xf>
    <xf numFmtId="202" fontId="0" fillId="11" borderId="68" xfId="2" applyNumberFormat="1" applyFont="1" applyFill="1" applyBorder="1">
      <alignment vertical="center"/>
    </xf>
    <xf numFmtId="202" fontId="0" fillId="11" borderId="69" xfId="2" applyNumberFormat="1" applyFont="1" applyFill="1" applyBorder="1">
      <alignment vertical="center"/>
    </xf>
    <xf numFmtId="202" fontId="0" fillId="8" borderId="38" xfId="2" applyNumberFormat="1" applyFont="1" applyFill="1" applyBorder="1">
      <alignment vertical="center"/>
    </xf>
    <xf numFmtId="202" fontId="0" fillId="0" borderId="0" xfId="2" applyNumberFormat="1" applyFont="1" applyBorder="1">
      <alignment vertical="center"/>
    </xf>
    <xf numFmtId="202" fontId="0" fillId="8" borderId="6" xfId="2" applyNumberFormat="1" applyFont="1" applyFill="1" applyBorder="1">
      <alignment vertical="center"/>
    </xf>
    <xf numFmtId="202" fontId="0" fillId="8" borderId="48" xfId="2" applyNumberFormat="1" applyFont="1" applyFill="1" applyBorder="1">
      <alignment vertical="center"/>
    </xf>
    <xf numFmtId="41" fontId="0" fillId="2" borderId="0" xfId="2" applyFont="1" applyFill="1" applyBorder="1">
      <alignment vertical="center"/>
    </xf>
    <xf numFmtId="221" fontId="32" fillId="57" borderId="0" xfId="0" applyNumberFormat="1" applyFont="1" applyFill="1" applyAlignment="1">
      <alignment horizontal="center" vertical="center"/>
    </xf>
    <xf numFmtId="221" fontId="32" fillId="57" borderId="546" xfId="0" applyNumberFormat="1" applyFont="1" applyFill="1" applyBorder="1" applyAlignment="1">
      <alignment horizontal="center" vertical="center"/>
    </xf>
    <xf numFmtId="221" fontId="32" fillId="0" borderId="0" xfId="0" applyNumberFormat="1" applyFont="1" applyAlignment="1">
      <alignment horizontal="center" vertical="center"/>
    </xf>
    <xf numFmtId="221" fontId="32" fillId="0" borderId="546" xfId="0" applyNumberFormat="1" applyFont="1" applyBorder="1" applyAlignment="1">
      <alignment horizontal="center" vertical="center"/>
    </xf>
    <xf numFmtId="221" fontId="32" fillId="0" borderId="562" xfId="0" applyNumberFormat="1" applyFont="1" applyBorder="1" applyAlignment="1">
      <alignment horizontal="center" vertical="center"/>
    </xf>
    <xf numFmtId="221" fontId="32" fillId="0" borderId="913" xfId="0" applyNumberFormat="1" applyFont="1" applyBorder="1" applyAlignment="1">
      <alignment horizontal="center" vertical="center"/>
    </xf>
    <xf numFmtId="221" fontId="32" fillId="0" borderId="560" xfId="0" applyNumberFormat="1" applyFont="1" applyBorder="1" applyAlignment="1">
      <alignment horizontal="center" vertical="center"/>
    </xf>
    <xf numFmtId="221" fontId="32" fillId="0" borderId="914" xfId="0" applyNumberFormat="1" applyFont="1" applyBorder="1" applyAlignment="1">
      <alignment horizontal="center" vertical="center"/>
    </xf>
    <xf numFmtId="178" fontId="0" fillId="0" borderId="63" xfId="0" applyNumberFormat="1" applyFill="1" applyBorder="1">
      <alignment vertical="center"/>
    </xf>
    <xf numFmtId="178" fontId="8" fillId="0" borderId="0" xfId="0" applyNumberFormat="1" applyFont="1" applyFill="1" applyBorder="1">
      <alignment vertical="center"/>
    </xf>
    <xf numFmtId="178" fontId="8" fillId="12" borderId="0" xfId="0" applyNumberFormat="1" applyFont="1" applyFill="1" applyBorder="1">
      <alignment vertical="center"/>
    </xf>
    <xf numFmtId="178" fontId="8" fillId="12" borderId="63" xfId="0" applyNumberFormat="1" applyFont="1" applyFill="1" applyBorder="1">
      <alignment vertical="center"/>
    </xf>
    <xf numFmtId="183" fontId="0" fillId="38" borderId="199" xfId="0" applyNumberFormat="1" applyFill="1" applyBorder="1">
      <alignment vertical="center"/>
    </xf>
    <xf numFmtId="199" fontId="0" fillId="38" borderId="753" xfId="0" applyNumberFormat="1" applyFill="1" applyBorder="1">
      <alignment vertical="center"/>
    </xf>
    <xf numFmtId="9" fontId="2" fillId="38" borderId="753" xfId="3" applyFont="1" applyFill="1" applyBorder="1">
      <alignment vertical="center"/>
    </xf>
    <xf numFmtId="183" fontId="0" fillId="38" borderId="753" xfId="0" applyNumberFormat="1" applyFill="1" applyBorder="1">
      <alignment vertical="center"/>
    </xf>
    <xf numFmtId="183" fontId="0" fillId="38" borderId="201" xfId="0" applyNumberFormat="1" applyFill="1" applyBorder="1">
      <alignment vertical="center"/>
    </xf>
    <xf numFmtId="210" fontId="0" fillId="0" borderId="0" xfId="0" applyNumberFormat="1" applyFill="1" applyBorder="1">
      <alignment vertical="center"/>
    </xf>
    <xf numFmtId="210" fontId="0" fillId="0" borderId="19" xfId="0" applyNumberFormat="1" applyFill="1" applyBorder="1">
      <alignment vertical="center"/>
    </xf>
    <xf numFmtId="0" fontId="10" fillId="11" borderId="4" xfId="0" applyFont="1" applyFill="1" applyBorder="1">
      <alignment vertical="center"/>
    </xf>
    <xf numFmtId="3" fontId="10" fillId="11" borderId="0" xfId="0" applyNumberFormat="1" applyFont="1" applyFill="1">
      <alignment vertical="center"/>
    </xf>
    <xf numFmtId="176" fontId="8" fillId="2" borderId="143" xfId="0" applyNumberFormat="1" applyFont="1" applyFill="1" applyBorder="1" applyAlignment="1">
      <alignment horizontal="center" vertical="center"/>
    </xf>
    <xf numFmtId="176" fontId="8" fillId="11" borderId="0" xfId="0" applyNumberFormat="1" applyFont="1" applyFill="1" applyAlignment="1">
      <alignment horizontal="center" vertical="center"/>
    </xf>
    <xf numFmtId="200" fontId="8" fillId="5" borderId="6" xfId="0" applyNumberFormat="1" applyFont="1" applyFill="1" applyBorder="1" applyAlignment="1">
      <alignment horizontal="center" vertical="center"/>
    </xf>
    <xf numFmtId="41" fontId="0" fillId="9" borderId="0" xfId="0" applyNumberFormat="1" applyFill="1">
      <alignment vertical="center"/>
    </xf>
    <xf numFmtId="187" fontId="8" fillId="13" borderId="0" xfId="0" applyNumberFormat="1" applyFont="1" applyFill="1">
      <alignment vertical="center"/>
    </xf>
    <xf numFmtId="187" fontId="0" fillId="0" borderId="0" xfId="0" applyNumberFormat="1">
      <alignment vertical="center"/>
    </xf>
    <xf numFmtId="187" fontId="0" fillId="0" borderId="119" xfId="0" applyNumberFormat="1" applyBorder="1">
      <alignment vertical="center"/>
    </xf>
    <xf numFmtId="176" fontId="9" fillId="11" borderId="76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>
      <alignment vertical="center"/>
    </xf>
    <xf numFmtId="176" fontId="9" fillId="5" borderId="36" xfId="0" applyNumberFormat="1" applyFont="1" applyFill="1" applyBorder="1">
      <alignment vertical="center"/>
    </xf>
    <xf numFmtId="0" fontId="9" fillId="18" borderId="0" xfId="0" applyFont="1" applyFill="1" applyAlignment="1">
      <alignment horizontal="center" vertical="center"/>
    </xf>
    <xf numFmtId="202" fontId="0" fillId="3" borderId="58" xfId="0" applyNumberFormat="1" applyFill="1" applyBorder="1">
      <alignment vertical="center"/>
    </xf>
    <xf numFmtId="0" fontId="9" fillId="0" borderId="153" xfId="0" applyFont="1" applyBorder="1">
      <alignment vertical="center"/>
    </xf>
    <xf numFmtId="222" fontId="0" fillId="0" borderId="0" xfId="0" applyNumberFormat="1">
      <alignment vertical="center"/>
    </xf>
    <xf numFmtId="0" fontId="9" fillId="0" borderId="155" xfId="0" applyFont="1" applyBorder="1">
      <alignment vertical="center"/>
    </xf>
    <xf numFmtId="0" fontId="9" fillId="0" borderId="156" xfId="0" applyFont="1" applyBorder="1">
      <alignment vertical="center"/>
    </xf>
    <xf numFmtId="203" fontId="0" fillId="0" borderId="76" xfId="0" applyNumberFormat="1" applyBorder="1">
      <alignment vertical="center"/>
    </xf>
    <xf numFmtId="0" fontId="0" fillId="3" borderId="916" xfId="0" applyFill="1" applyBorder="1">
      <alignment vertical="center"/>
    </xf>
    <xf numFmtId="0" fontId="17" fillId="8" borderId="217" xfId="0" applyFont="1" applyFill="1" applyBorder="1" applyAlignment="1">
      <alignment horizontal="center" vertical="center"/>
    </xf>
    <xf numFmtId="0" fontId="17" fillId="8" borderId="85" xfId="0" applyFont="1" applyFill="1" applyBorder="1" applyAlignment="1">
      <alignment horizontal="center" vertical="center"/>
    </xf>
    <xf numFmtId="0" fontId="17" fillId="8" borderId="228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202" fontId="39" fillId="5" borderId="0" xfId="0" applyNumberFormat="1" applyFont="1" applyFill="1">
      <alignment vertical="center"/>
    </xf>
    <xf numFmtId="9" fontId="39" fillId="5" borderId="0" xfId="3" applyFont="1" applyFill="1">
      <alignment vertical="center"/>
    </xf>
    <xf numFmtId="0" fontId="38" fillId="5" borderId="0" xfId="0" applyFont="1" applyFill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41" fontId="10" fillId="8" borderId="11" xfId="2" applyFont="1" applyFill="1" applyBorder="1" applyAlignment="1">
      <alignment horizontal="center" vertical="center"/>
    </xf>
    <xf numFmtId="0" fontId="10" fillId="5" borderId="0" xfId="0" applyFont="1" applyFill="1" applyBorder="1">
      <alignment vertical="center"/>
    </xf>
    <xf numFmtId="41" fontId="10" fillId="8" borderId="579" xfId="2" applyFont="1" applyFill="1" applyBorder="1" applyAlignment="1">
      <alignment horizontal="center" vertical="center"/>
    </xf>
    <xf numFmtId="41" fontId="10" fillId="0" borderId="579" xfId="2" applyFont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94" fontId="10" fillId="5" borderId="0" xfId="2" applyNumberFormat="1" applyFont="1" applyFill="1" applyBorder="1" applyAlignment="1">
      <alignment horizontal="center" vertical="center"/>
    </xf>
    <xf numFmtId="0" fontId="6" fillId="4" borderId="941" xfId="0" quotePrefix="1" applyFont="1" applyFill="1" applyBorder="1" applyAlignment="1">
      <alignment horizontal="center" vertical="center"/>
    </xf>
    <xf numFmtId="192" fontId="6" fillId="4" borderId="941" xfId="0" quotePrefix="1" applyNumberFormat="1" applyFont="1" applyFill="1" applyBorder="1" applyAlignment="1">
      <alignment horizontal="center" vertical="center"/>
    </xf>
    <xf numFmtId="41" fontId="10" fillId="0" borderId="963" xfId="2" applyFont="1" applyBorder="1" applyAlignment="1">
      <alignment horizontal="center" vertical="center"/>
    </xf>
    <xf numFmtId="41" fontId="10" fillId="0" borderId="963" xfId="2" applyFont="1" applyFill="1" applyBorder="1" applyAlignment="1">
      <alignment horizontal="center" vertical="center"/>
    </xf>
    <xf numFmtId="41" fontId="10" fillId="8" borderId="963" xfId="2" applyFont="1" applyFill="1" applyBorder="1" applyAlignment="1">
      <alignment horizontal="center" vertical="center"/>
    </xf>
    <xf numFmtId="41" fontId="10" fillId="8" borderId="963" xfId="2" applyFont="1" applyFill="1" applyBorder="1">
      <alignment vertical="center"/>
    </xf>
    <xf numFmtId="41" fontId="10" fillId="0" borderId="963" xfId="2" applyFont="1" applyBorder="1">
      <alignment vertical="center"/>
    </xf>
    <xf numFmtId="41" fontId="10" fillId="5" borderId="11" xfId="2" applyFont="1" applyFill="1" applyBorder="1">
      <alignment vertical="center"/>
    </xf>
    <xf numFmtId="41" fontId="10" fillId="5" borderId="12" xfId="2" applyFont="1" applyFill="1" applyBorder="1">
      <alignment vertical="center"/>
    </xf>
    <xf numFmtId="41" fontId="10" fillId="5" borderId="579" xfId="2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41" fontId="10" fillId="5" borderId="963" xfId="2" applyFont="1" applyFill="1" applyBorder="1">
      <alignment vertical="center"/>
    </xf>
    <xf numFmtId="41" fontId="9" fillId="5" borderId="0" xfId="2" applyFont="1" applyFill="1" applyBorder="1" applyAlignment="1">
      <alignment horizontal="center" vertical="center"/>
    </xf>
    <xf numFmtId="192" fontId="9" fillId="5" borderId="0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194" fontId="10" fillId="29" borderId="0" xfId="2" applyNumberFormat="1" applyFont="1" applyFill="1" applyBorder="1" applyAlignment="1">
      <alignment horizontal="center" vertical="center"/>
    </xf>
    <xf numFmtId="0" fontId="7" fillId="38" borderId="0" xfId="0" quotePrefix="1" applyFont="1" applyFill="1" applyBorder="1" applyAlignment="1">
      <alignment horizontal="center" vertical="center"/>
    </xf>
    <xf numFmtId="41" fontId="7" fillId="38" borderId="0" xfId="2" quotePrefix="1" applyFont="1" applyFill="1" applyBorder="1" applyAlignment="1">
      <alignment horizontal="center" vertical="center"/>
    </xf>
    <xf numFmtId="41" fontId="4" fillId="13" borderId="962" xfId="2" quotePrefix="1" applyFont="1" applyFill="1" applyBorder="1" applyAlignment="1">
      <alignment horizontal="center" vertical="center"/>
    </xf>
    <xf numFmtId="41" fontId="4" fillId="13" borderId="0" xfId="2" quotePrefix="1" applyFont="1" applyFill="1" applyBorder="1" applyAlignment="1">
      <alignment horizontal="center" vertical="center"/>
    </xf>
    <xf numFmtId="41" fontId="25" fillId="28" borderId="0" xfId="2" quotePrefix="1" applyFont="1" applyFill="1" applyBorder="1" applyAlignment="1">
      <alignment horizontal="center" vertical="center"/>
    </xf>
    <xf numFmtId="41" fontId="25" fillId="28" borderId="963" xfId="2" quotePrefix="1" applyFont="1" applyFill="1" applyBorder="1" applyAlignment="1">
      <alignment horizontal="center" vertical="center"/>
    </xf>
    <xf numFmtId="192" fontId="6" fillId="3" borderId="0" xfId="0" quotePrefix="1" applyNumberFormat="1" applyFont="1" applyFill="1" applyBorder="1" applyAlignment="1">
      <alignment horizontal="center" vertical="center"/>
    </xf>
    <xf numFmtId="0" fontId="6" fillId="3" borderId="0" xfId="0" quotePrefix="1" applyFont="1" applyFill="1" applyBorder="1" applyAlignment="1">
      <alignment horizontal="center" vertical="center"/>
    </xf>
    <xf numFmtId="41" fontId="7" fillId="9" borderId="0" xfId="2" quotePrefix="1" applyFont="1" applyFill="1" applyBorder="1" applyAlignment="1">
      <alignment horizontal="center" vertical="center"/>
    </xf>
    <xf numFmtId="41" fontId="7" fillId="9" borderId="963" xfId="2" quotePrefix="1" applyFont="1" applyFill="1" applyBorder="1" applyAlignment="1">
      <alignment horizontal="center" vertical="center"/>
    </xf>
    <xf numFmtId="0" fontId="7" fillId="6" borderId="966" xfId="0" quotePrefix="1" applyFont="1" applyFill="1" applyBorder="1" applyAlignment="1">
      <alignment horizontal="center" vertical="center"/>
    </xf>
    <xf numFmtId="0" fontId="6" fillId="10" borderId="381" xfId="0" applyFont="1" applyFill="1" applyBorder="1" applyAlignment="1">
      <alignment horizontal="center" vertical="center"/>
    </xf>
    <xf numFmtId="41" fontId="10" fillId="8" borderId="69" xfId="2" applyFont="1" applyFill="1" applyBorder="1" applyAlignment="1">
      <alignment horizontal="center" vertical="center"/>
    </xf>
    <xf numFmtId="41" fontId="10" fillId="8" borderId="68" xfId="2" applyFont="1" applyFill="1" applyBorder="1" applyAlignment="1">
      <alignment horizontal="center" vertical="center"/>
    </xf>
    <xf numFmtId="41" fontId="10" fillId="8" borderId="340" xfId="2" applyFont="1" applyFill="1" applyBorder="1" applyAlignment="1">
      <alignment horizontal="center" vertical="center"/>
    </xf>
    <xf numFmtId="41" fontId="10" fillId="8" borderId="969" xfId="2" applyFont="1" applyFill="1" applyBorder="1" applyAlignment="1">
      <alignment horizontal="center" vertical="center"/>
    </xf>
    <xf numFmtId="41" fontId="9" fillId="11" borderId="68" xfId="2" applyFont="1" applyFill="1" applyBorder="1" applyAlignment="1">
      <alignment horizontal="center" vertical="center"/>
    </xf>
    <xf numFmtId="192" fontId="9" fillId="11" borderId="68" xfId="0" applyNumberFormat="1" applyFont="1" applyFill="1" applyBorder="1" applyAlignment="1">
      <alignment horizontal="center" vertical="center"/>
    </xf>
    <xf numFmtId="192" fontId="10" fillId="29" borderId="68" xfId="0" applyNumberFormat="1" applyFont="1" applyFill="1" applyBorder="1">
      <alignment vertical="center"/>
    </xf>
    <xf numFmtId="192" fontId="10" fillId="29" borderId="68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vertical="center"/>
    </xf>
    <xf numFmtId="9" fontId="0" fillId="0" borderId="0" xfId="3" applyNumberFormat="1" applyFont="1">
      <alignment vertical="center"/>
    </xf>
    <xf numFmtId="41" fontId="0" fillId="6" borderId="472" xfId="2" applyFont="1" applyFill="1" applyBorder="1">
      <alignment vertical="center"/>
    </xf>
    <xf numFmtId="41" fontId="0" fillId="6" borderId="465" xfId="2" applyFont="1" applyFill="1" applyBorder="1">
      <alignment vertical="center"/>
    </xf>
    <xf numFmtId="41" fontId="0" fillId="6" borderId="465" xfId="2" applyNumberFormat="1" applyFont="1" applyFill="1" applyBorder="1">
      <alignment vertical="center"/>
    </xf>
    <xf numFmtId="41" fontId="0" fillId="6" borderId="473" xfId="2" applyNumberFormat="1" applyFont="1" applyFill="1" applyBorder="1">
      <alignment vertical="center"/>
    </xf>
    <xf numFmtId="41" fontId="0" fillId="6" borderId="485" xfId="2" applyFont="1" applyFill="1" applyBorder="1">
      <alignment vertical="center"/>
    </xf>
    <xf numFmtId="41" fontId="0" fillId="6" borderId="406" xfId="2" applyFont="1" applyFill="1" applyBorder="1">
      <alignment vertical="center"/>
    </xf>
    <xf numFmtId="195" fontId="0" fillId="5" borderId="485" xfId="2" applyNumberFormat="1" applyFont="1" applyFill="1" applyBorder="1">
      <alignment vertical="center"/>
    </xf>
    <xf numFmtId="41" fontId="0" fillId="5" borderId="485" xfId="2" applyFont="1" applyFill="1" applyBorder="1">
      <alignment vertical="center"/>
    </xf>
    <xf numFmtId="41" fontId="0" fillId="5" borderId="406" xfId="2" applyFont="1" applyFill="1" applyBorder="1">
      <alignment vertical="center"/>
    </xf>
    <xf numFmtId="41" fontId="0" fillId="6" borderId="970" xfId="2" applyFont="1" applyFill="1" applyBorder="1">
      <alignment vertical="center"/>
    </xf>
    <xf numFmtId="41" fontId="0" fillId="6" borderId="971" xfId="2" applyFont="1" applyFill="1" applyBorder="1">
      <alignment vertical="center"/>
    </xf>
    <xf numFmtId="41" fontId="0" fillId="13" borderId="972" xfId="2" applyFont="1" applyFill="1" applyBorder="1">
      <alignment vertical="center"/>
    </xf>
    <xf numFmtId="41" fontId="0" fillId="13" borderId="973" xfId="2" applyFont="1" applyFill="1" applyBorder="1">
      <alignment vertical="center"/>
    </xf>
    <xf numFmtId="41" fontId="0" fillId="5" borderId="974" xfId="2" applyFont="1" applyFill="1" applyBorder="1">
      <alignment vertical="center"/>
    </xf>
    <xf numFmtId="41" fontId="0" fillId="5" borderId="975" xfId="2" applyFont="1" applyFill="1" applyBorder="1">
      <alignment vertical="center"/>
    </xf>
    <xf numFmtId="41" fontId="0" fillId="6" borderId="976" xfId="2" applyFont="1" applyFill="1" applyBorder="1">
      <alignment vertical="center"/>
    </xf>
    <xf numFmtId="41" fontId="0" fillId="6" borderId="977" xfId="2" applyFont="1" applyFill="1" applyBorder="1">
      <alignment vertical="center"/>
    </xf>
    <xf numFmtId="0" fontId="0" fillId="6" borderId="406" xfId="0" applyFont="1" applyFill="1" applyBorder="1">
      <alignment vertical="center"/>
    </xf>
    <xf numFmtId="0" fontId="0" fillId="2" borderId="406" xfId="0" applyFont="1" applyFill="1" applyBorder="1">
      <alignment vertical="center"/>
    </xf>
    <xf numFmtId="0" fontId="0" fillId="0" borderId="406" xfId="0" applyFont="1" applyFill="1" applyBorder="1">
      <alignment vertical="center"/>
    </xf>
    <xf numFmtId="204" fontId="0" fillId="6" borderId="979" xfId="0" applyNumberFormat="1" applyFill="1" applyBorder="1">
      <alignment vertical="center"/>
    </xf>
    <xf numFmtId="204" fontId="0" fillId="8" borderId="0" xfId="0" applyNumberFormat="1" applyFill="1" applyBorder="1">
      <alignment vertical="center"/>
    </xf>
    <xf numFmtId="204" fontId="0" fillId="8" borderId="406" xfId="0" applyNumberFormat="1" applyFill="1" applyBorder="1">
      <alignment vertical="center"/>
    </xf>
    <xf numFmtId="204" fontId="0" fillId="0" borderId="406" xfId="0" applyNumberFormat="1" applyBorder="1">
      <alignment vertical="center"/>
    </xf>
    <xf numFmtId="204" fontId="0" fillId="0" borderId="479" xfId="0" applyNumberFormat="1" applyBorder="1">
      <alignment vertical="center"/>
    </xf>
    <xf numFmtId="41" fontId="0" fillId="0" borderId="479" xfId="2" applyFont="1" applyBorder="1">
      <alignment vertical="center"/>
    </xf>
    <xf numFmtId="204" fontId="0" fillId="0" borderId="480" xfId="0" applyNumberFormat="1" applyBorder="1">
      <alignment vertical="center"/>
    </xf>
    <xf numFmtId="192" fontId="6" fillId="4" borderId="669" xfId="0" quotePrefix="1" applyNumberFormat="1" applyFont="1" applyFill="1" applyBorder="1" applyAlignment="1">
      <alignment horizontal="center" vertical="center"/>
    </xf>
    <xf numFmtId="0" fontId="10" fillId="4" borderId="980" xfId="0" quotePrefix="1" applyFont="1" applyFill="1" applyBorder="1" applyAlignment="1">
      <alignment horizontal="center" vertical="center"/>
    </xf>
    <xf numFmtId="0" fontId="10" fillId="4" borderId="981" xfId="0" quotePrefix="1" applyFont="1" applyFill="1" applyBorder="1" applyAlignment="1">
      <alignment horizontal="center" vertical="center"/>
    </xf>
    <xf numFmtId="195" fontId="4" fillId="0" borderId="485" xfId="2" quotePrefix="1" applyNumberFormat="1" applyFont="1" applyFill="1" applyBorder="1" applyAlignment="1">
      <alignment horizontal="center" vertical="center"/>
    </xf>
    <xf numFmtId="195" fontId="4" fillId="0" borderId="406" xfId="2" quotePrefix="1" applyNumberFormat="1" applyFont="1" applyFill="1" applyBorder="1" applyAlignment="1">
      <alignment horizontal="center" vertical="center"/>
    </xf>
    <xf numFmtId="41" fontId="4" fillId="0" borderId="406" xfId="2" quotePrefix="1" applyFont="1" applyFill="1" applyBorder="1" applyAlignment="1">
      <alignment horizontal="center" vertical="center"/>
    </xf>
    <xf numFmtId="41" fontId="4" fillId="11" borderId="406" xfId="2" quotePrefix="1" applyFont="1" applyFill="1" applyBorder="1" applyAlignment="1">
      <alignment horizontal="center" vertical="center"/>
    </xf>
    <xf numFmtId="195" fontId="4" fillId="11" borderId="485" xfId="2" quotePrefix="1" applyNumberFormat="1" applyFont="1" applyFill="1" applyBorder="1" applyAlignment="1">
      <alignment horizontal="center" vertical="center"/>
    </xf>
    <xf numFmtId="195" fontId="4" fillId="11" borderId="406" xfId="2" quotePrefix="1" applyNumberFormat="1" applyFont="1" applyFill="1" applyBorder="1" applyAlignment="1">
      <alignment horizontal="center" vertical="center"/>
    </xf>
    <xf numFmtId="195" fontId="4" fillId="11" borderId="483" xfId="2" quotePrefix="1" applyNumberFormat="1" applyFont="1" applyFill="1" applyBorder="1" applyAlignment="1">
      <alignment horizontal="center" vertical="center"/>
    </xf>
    <xf numFmtId="195" fontId="4" fillId="11" borderId="484" xfId="2" quotePrefix="1" applyNumberFormat="1" applyFont="1" applyFill="1" applyBorder="1" applyAlignment="1">
      <alignment horizontal="center" vertical="center"/>
    </xf>
    <xf numFmtId="41" fontId="4" fillId="0" borderId="983" xfId="2" quotePrefix="1" applyFont="1" applyFill="1" applyBorder="1" applyAlignment="1">
      <alignment horizontal="center" vertical="center"/>
    </xf>
    <xf numFmtId="41" fontId="4" fillId="2" borderId="406" xfId="2" quotePrefix="1" applyFont="1" applyFill="1" applyBorder="1" applyAlignment="1">
      <alignment horizontal="center" vertical="center"/>
    </xf>
    <xf numFmtId="187" fontId="4" fillId="8" borderId="406" xfId="0" applyNumberFormat="1" applyFont="1" applyFill="1" applyBorder="1" applyAlignment="1">
      <alignment horizontal="right" vertical="center"/>
    </xf>
    <xf numFmtId="187" fontId="4" fillId="8" borderId="406" xfId="0" quotePrefix="1" applyNumberFormat="1" applyFont="1" applyFill="1" applyBorder="1" applyAlignment="1">
      <alignment horizontal="right" vertical="center"/>
    </xf>
    <xf numFmtId="41" fontId="4" fillId="11" borderId="652" xfId="2" quotePrefix="1" applyFont="1" applyFill="1" applyBorder="1" applyAlignment="1">
      <alignment horizontal="center" vertical="center"/>
    </xf>
    <xf numFmtId="211" fontId="4" fillId="11" borderId="479" xfId="2" quotePrefix="1" applyNumberFormat="1" applyFont="1" applyFill="1" applyBorder="1" applyAlignment="1">
      <alignment horizontal="right" vertical="center"/>
    </xf>
    <xf numFmtId="195" fontId="4" fillId="11" borderId="479" xfId="2" quotePrefix="1" applyNumberFormat="1" applyFont="1" applyFill="1" applyBorder="1" applyAlignment="1">
      <alignment horizontal="center" vertical="center"/>
    </xf>
    <xf numFmtId="195" fontId="4" fillId="11" borderId="480" xfId="2" quotePrefix="1" applyNumberFormat="1" applyFont="1" applyFill="1" applyBorder="1" applyAlignment="1">
      <alignment horizontal="center" vertical="center"/>
    </xf>
    <xf numFmtId="237" fontId="30" fillId="0" borderId="989" xfId="0" applyNumberFormat="1" applyFont="1" applyBorder="1" applyAlignment="1">
      <alignment horizontal="center" vertical="center"/>
    </xf>
    <xf numFmtId="237" fontId="30" fillId="0" borderId="990" xfId="0" applyNumberFormat="1" applyFont="1" applyBorder="1" applyAlignment="1">
      <alignment horizontal="center" vertical="center"/>
    </xf>
    <xf numFmtId="235" fontId="50" fillId="0" borderId="987" xfId="0" applyNumberFormat="1" applyFont="1" applyBorder="1" applyAlignment="1">
      <alignment horizontal="center" vertical="center"/>
    </xf>
    <xf numFmtId="235" fontId="50" fillId="0" borderId="988" xfId="0" applyNumberFormat="1" applyFont="1" applyBorder="1" applyAlignment="1">
      <alignment horizontal="center" vertical="center"/>
    </xf>
    <xf numFmtId="240" fontId="30" fillId="0" borderId="992" xfId="0" applyNumberFormat="1" applyFont="1" applyBorder="1" applyAlignment="1">
      <alignment horizontal="center" vertical="center"/>
    </xf>
    <xf numFmtId="240" fontId="30" fillId="0" borderId="993" xfId="0" applyNumberFormat="1" applyFont="1" applyBorder="1" applyAlignment="1">
      <alignment horizontal="center" vertical="center"/>
    </xf>
    <xf numFmtId="240" fontId="30" fillId="0" borderId="994" xfId="0" applyNumberFormat="1" applyFont="1" applyBorder="1" applyAlignment="1">
      <alignment horizontal="center" vertical="center"/>
    </xf>
    <xf numFmtId="240" fontId="30" fillId="0" borderId="995" xfId="0" applyNumberFormat="1" applyFont="1" applyBorder="1" applyAlignment="1">
      <alignment horizontal="center" vertical="center"/>
    </xf>
    <xf numFmtId="0" fontId="0" fillId="3" borderId="160" xfId="0" applyFill="1" applyBorder="1" applyAlignment="1">
      <alignment horizontal="right" vertical="center"/>
    </xf>
    <xf numFmtId="41" fontId="0" fillId="11" borderId="611" xfId="2" applyFont="1" applyFill="1" applyBorder="1">
      <alignment vertical="center"/>
    </xf>
    <xf numFmtId="41" fontId="0" fillId="5" borderId="616" xfId="2" applyFont="1" applyFill="1" applyBorder="1">
      <alignment vertical="center"/>
    </xf>
    <xf numFmtId="41" fontId="0" fillId="5" borderId="611" xfId="2" applyFont="1" applyFill="1" applyBorder="1">
      <alignment vertical="center"/>
    </xf>
    <xf numFmtId="0" fontId="9" fillId="11" borderId="465" xfId="0" applyFont="1" applyFill="1" applyBorder="1" applyAlignment="1">
      <alignment horizontal="center" vertical="center"/>
    </xf>
    <xf numFmtId="192" fontId="0" fillId="5" borderId="406" xfId="0" applyNumberFormat="1" applyFill="1" applyBorder="1" applyAlignment="1">
      <alignment horizontal="center" vertical="center"/>
    </xf>
    <xf numFmtId="0" fontId="0" fillId="5" borderId="479" xfId="0" applyFill="1" applyBorder="1" applyAlignment="1">
      <alignment horizontal="center" vertical="center"/>
    </xf>
    <xf numFmtId="41" fontId="0" fillId="5" borderId="479" xfId="2" applyFont="1" applyFill="1" applyBorder="1">
      <alignment vertical="center"/>
    </xf>
    <xf numFmtId="192" fontId="0" fillId="5" borderId="479" xfId="2" applyNumberFormat="1" applyFont="1" applyFill="1" applyBorder="1" applyAlignment="1">
      <alignment horizontal="center" vertical="center"/>
    </xf>
    <xf numFmtId="192" fontId="0" fillId="5" borderId="479" xfId="0" applyNumberFormat="1" applyFill="1" applyBorder="1" applyAlignment="1">
      <alignment horizontal="center" vertical="center"/>
    </xf>
    <xf numFmtId="192" fontId="0" fillId="5" borderId="480" xfId="0" applyNumberFormat="1" applyFill="1" applyBorder="1" applyAlignment="1">
      <alignment horizontal="center" vertical="center"/>
    </xf>
    <xf numFmtId="0" fontId="10" fillId="4" borderId="477" xfId="0" applyFont="1" applyFill="1" applyBorder="1" applyAlignment="1">
      <alignment horizontal="center" vertical="center"/>
    </xf>
    <xf numFmtId="0" fontId="10" fillId="4" borderId="477" xfId="0" quotePrefix="1" applyFont="1" applyFill="1" applyBorder="1" applyAlignment="1">
      <alignment horizontal="center" vertical="center"/>
    </xf>
    <xf numFmtId="0" fontId="6" fillId="4" borderId="477" xfId="0" quotePrefix="1" applyFont="1" applyFill="1" applyBorder="1" applyAlignment="1">
      <alignment horizontal="center" vertical="center"/>
    </xf>
    <xf numFmtId="0" fontId="10" fillId="4" borderId="520" xfId="0" quotePrefix="1" applyFont="1" applyFill="1" applyBorder="1" applyAlignment="1">
      <alignment horizontal="center" vertical="center"/>
    </xf>
    <xf numFmtId="192" fontId="0" fillId="11" borderId="406" xfId="0" applyNumberFormat="1" applyFill="1" applyBorder="1" applyAlignment="1">
      <alignment horizontal="center" vertical="center"/>
    </xf>
    <xf numFmtId="0" fontId="4" fillId="5" borderId="472" xfId="0" applyFont="1" applyFill="1" applyBorder="1">
      <alignment vertical="center"/>
    </xf>
    <xf numFmtId="0" fontId="4" fillId="5" borderId="465" xfId="0" applyFont="1" applyFill="1" applyBorder="1">
      <alignment vertical="center"/>
    </xf>
    <xf numFmtId="0" fontId="4" fillId="5" borderId="465" xfId="0" quotePrefix="1" applyFont="1" applyFill="1" applyBorder="1" applyAlignment="1">
      <alignment horizontal="center" vertical="center"/>
    </xf>
    <xf numFmtId="0" fontId="14" fillId="0" borderId="465" xfId="0" quotePrefix="1" applyFont="1" applyBorder="1" applyAlignment="1">
      <alignment horizontal="right" vertical="center"/>
    </xf>
    <xf numFmtId="41" fontId="0" fillId="5" borderId="996" xfId="2" applyFont="1" applyFill="1" applyBorder="1">
      <alignment vertical="center"/>
    </xf>
    <xf numFmtId="41" fontId="0" fillId="5" borderId="997" xfId="2" applyFont="1" applyFill="1" applyBorder="1">
      <alignment vertical="center"/>
    </xf>
    <xf numFmtId="41" fontId="0" fillId="5" borderId="673" xfId="2" applyFont="1" applyFill="1" applyBorder="1">
      <alignment vertical="center"/>
    </xf>
    <xf numFmtId="41" fontId="0" fillId="5" borderId="672" xfId="2" applyFont="1" applyFill="1" applyBorder="1">
      <alignment vertical="center"/>
    </xf>
    <xf numFmtId="192" fontId="0" fillId="5" borderId="478" xfId="0" applyNumberFormat="1" applyFill="1" applyBorder="1" applyAlignment="1">
      <alignment horizontal="center" vertical="center"/>
    </xf>
    <xf numFmtId="0" fontId="6" fillId="4" borderId="508" xfId="0" quotePrefix="1" applyFont="1" applyFill="1" applyBorder="1" applyAlignment="1">
      <alignment horizontal="center" vertical="center"/>
    </xf>
    <xf numFmtId="192" fontId="0" fillId="4" borderId="998" xfId="0" applyNumberFormat="1" applyFill="1" applyBorder="1" applyAlignment="1">
      <alignment horizontal="center" vertical="center"/>
    </xf>
    <xf numFmtId="192" fontId="0" fillId="4" borderId="999" xfId="0" applyNumberFormat="1" applyFill="1" applyBorder="1" applyAlignment="1">
      <alignment horizontal="center" vertical="center"/>
    </xf>
    <xf numFmtId="192" fontId="0" fillId="4" borderId="1000" xfId="0" applyNumberFormat="1" applyFill="1" applyBorder="1" applyAlignment="1">
      <alignment horizontal="center" vertical="center"/>
    </xf>
    <xf numFmtId="192" fontId="0" fillId="4" borderId="1001" xfId="0" applyNumberFormat="1" applyFill="1" applyBorder="1" applyAlignment="1">
      <alignment horizontal="center" vertical="center"/>
    </xf>
    <xf numFmtId="192" fontId="0" fillId="4" borderId="1002" xfId="0" applyNumberFormat="1" applyFill="1" applyBorder="1" applyAlignment="1">
      <alignment horizontal="center" vertical="center"/>
    </xf>
    <xf numFmtId="0" fontId="14" fillId="5" borderId="518" xfId="0" quotePrefix="1" applyFont="1" applyFill="1" applyBorder="1" applyAlignment="1">
      <alignment horizontal="right" vertical="center"/>
    </xf>
    <xf numFmtId="41" fontId="0" fillId="5" borderId="621" xfId="2" applyFont="1" applyFill="1" applyBorder="1" applyAlignment="1">
      <alignment horizontal="center" vertical="center"/>
    </xf>
    <xf numFmtId="192" fontId="6" fillId="4" borderId="863" xfId="0" quotePrefix="1" applyNumberFormat="1" applyFont="1" applyFill="1" applyBorder="1" applyAlignment="1">
      <alignment horizontal="center" vertical="center"/>
    </xf>
    <xf numFmtId="192" fontId="6" fillId="4" borderId="472" xfId="0" quotePrefix="1" applyNumberFormat="1" applyFont="1" applyFill="1" applyBorder="1" applyAlignment="1">
      <alignment horizontal="center" vertical="center"/>
    </xf>
    <xf numFmtId="0" fontId="10" fillId="4" borderId="465" xfId="0" quotePrefix="1" applyFont="1" applyFill="1" applyBorder="1" applyAlignment="1">
      <alignment horizontal="center" vertical="center"/>
    </xf>
    <xf numFmtId="0" fontId="6" fillId="4" borderId="864" xfId="0" quotePrefix="1" applyFont="1" applyFill="1" applyBorder="1" applyAlignment="1">
      <alignment horizontal="center" vertical="center"/>
    </xf>
    <xf numFmtId="192" fontId="0" fillId="8" borderId="999" xfId="0" applyNumberFormat="1" applyFill="1" applyBorder="1" applyAlignment="1">
      <alignment horizontal="center" vertical="center"/>
    </xf>
    <xf numFmtId="192" fontId="0" fillId="8" borderId="1004" xfId="0" applyNumberFormat="1" applyFill="1" applyBorder="1" applyAlignment="1">
      <alignment horizontal="center" vertical="center"/>
    </xf>
    <xf numFmtId="192" fontId="0" fillId="29" borderId="999" xfId="0" applyNumberFormat="1" applyFill="1" applyBorder="1" applyAlignment="1">
      <alignment horizontal="center" vertical="center"/>
    </xf>
    <xf numFmtId="192" fontId="0" fillId="29" borderId="1004" xfId="0" applyNumberFormat="1" applyFill="1" applyBorder="1" applyAlignment="1">
      <alignment horizontal="center" vertical="center"/>
    </xf>
    <xf numFmtId="192" fontId="0" fillId="5" borderId="684" xfId="0" applyNumberFormat="1" applyFill="1" applyBorder="1" applyAlignment="1">
      <alignment horizontal="center" vertical="center"/>
    </xf>
    <xf numFmtId="192" fontId="0" fillId="29" borderId="1002" xfId="0" applyNumberFormat="1" applyFill="1" applyBorder="1" applyAlignment="1">
      <alignment horizontal="center" vertical="center"/>
    </xf>
    <xf numFmtId="192" fontId="6" fillId="4" borderId="519" xfId="0" quotePrefix="1" applyNumberFormat="1" applyFont="1" applyFill="1" applyBorder="1" applyAlignment="1">
      <alignment horizontal="center" vertical="center"/>
    </xf>
    <xf numFmtId="240" fontId="30" fillId="0" borderId="1009" xfId="0" applyNumberFormat="1" applyFont="1" applyBorder="1" applyAlignment="1">
      <alignment horizontal="center" vertical="center"/>
    </xf>
    <xf numFmtId="239" fontId="19" fillId="0" borderId="1010" xfId="0" applyNumberFormat="1" applyFont="1" applyBorder="1" applyAlignment="1">
      <alignment horizontal="center" vertical="center"/>
    </xf>
    <xf numFmtId="240" fontId="30" fillId="0" borderId="1011" xfId="0" applyNumberFormat="1" applyFont="1" applyBorder="1" applyAlignment="1">
      <alignment horizontal="center" vertical="center"/>
    </xf>
    <xf numFmtId="239" fontId="19" fillId="0" borderId="1012" xfId="0" applyNumberFormat="1" applyFont="1" applyBorder="1" applyAlignment="1">
      <alignment horizontal="center" vertical="center"/>
    </xf>
    <xf numFmtId="237" fontId="30" fillId="0" borderId="1017" xfId="0" applyNumberFormat="1" applyFont="1" applyBorder="1" applyAlignment="1">
      <alignment horizontal="center" vertical="center"/>
    </xf>
    <xf numFmtId="236" fontId="30" fillId="0" borderId="1018" xfId="0" applyNumberFormat="1" applyFont="1" applyBorder="1" applyAlignment="1">
      <alignment horizontal="center" vertical="center"/>
    </xf>
    <xf numFmtId="235" fontId="50" fillId="0" borderId="1015" xfId="0" applyNumberFormat="1" applyFont="1" applyBorder="1" applyAlignment="1">
      <alignment horizontal="center" vertical="center"/>
    </xf>
    <xf numFmtId="235" fontId="50" fillId="0" borderId="1016" xfId="0" applyNumberFormat="1" applyFont="1" applyBorder="1" applyAlignment="1">
      <alignment horizontal="center" vertical="center"/>
    </xf>
    <xf numFmtId="238" fontId="30" fillId="0" borderId="1018" xfId="0" applyNumberFormat="1" applyFont="1" applyBorder="1" applyAlignment="1">
      <alignment horizontal="center" vertical="center"/>
    </xf>
    <xf numFmtId="239" fontId="37" fillId="8" borderId="1005" xfId="0" applyNumberFormat="1" applyFont="1" applyFill="1" applyBorder="1" applyAlignment="1">
      <alignment horizontal="center" vertical="center"/>
    </xf>
    <xf numFmtId="239" fontId="37" fillId="8" borderId="1006" xfId="0" applyNumberFormat="1" applyFont="1" applyFill="1" applyBorder="1" applyAlignment="1">
      <alignment horizontal="center" vertical="center"/>
    </xf>
    <xf numFmtId="239" fontId="37" fillId="8" borderId="1007" xfId="0" applyNumberFormat="1" applyFont="1" applyFill="1" applyBorder="1" applyAlignment="1">
      <alignment horizontal="center" vertical="center"/>
    </xf>
    <xf numFmtId="239" fontId="37" fillId="8" borderId="1008" xfId="0" applyNumberFormat="1" applyFont="1" applyFill="1" applyBorder="1" applyAlignment="1">
      <alignment horizontal="center" vertical="center"/>
    </xf>
    <xf numFmtId="239" fontId="34" fillId="8" borderId="1027" xfId="0" applyNumberFormat="1" applyFont="1" applyFill="1" applyBorder="1" applyAlignment="1">
      <alignment horizontal="center" vertical="center"/>
    </xf>
    <xf numFmtId="239" fontId="34" fillId="8" borderId="644" xfId="0" applyNumberFormat="1" applyFont="1" applyFill="1" applyBorder="1" applyAlignment="1">
      <alignment horizontal="center" vertical="center"/>
    </xf>
    <xf numFmtId="240" fontId="30" fillId="0" borderId="1029" xfId="0" applyNumberFormat="1" applyFont="1" applyBorder="1" applyAlignment="1">
      <alignment horizontal="center" vertical="center"/>
    </xf>
    <xf numFmtId="241" fontId="34" fillId="8" borderId="1030" xfId="0" applyNumberFormat="1" applyFont="1" applyFill="1" applyBorder="1" applyAlignment="1">
      <alignment horizontal="center" vertical="center"/>
    </xf>
    <xf numFmtId="241" fontId="30" fillId="0" borderId="664" xfId="0" applyNumberFormat="1" applyFont="1" applyBorder="1" applyAlignment="1">
      <alignment horizontal="center" vertical="center"/>
    </xf>
    <xf numFmtId="239" fontId="34" fillId="8" borderId="1032" xfId="0" applyNumberFormat="1" applyFont="1" applyFill="1" applyBorder="1" applyAlignment="1">
      <alignment horizontal="center" vertical="center"/>
    </xf>
    <xf numFmtId="237" fontId="30" fillId="0" borderId="1029" xfId="0" applyNumberFormat="1" applyFont="1" applyBorder="1" applyAlignment="1">
      <alignment horizontal="center" vertical="center"/>
    </xf>
    <xf numFmtId="235" fontId="50" fillId="0" borderId="1029" xfId="0" applyNumberFormat="1" applyFont="1" applyBorder="1" applyAlignment="1">
      <alignment horizontal="center" vertical="center"/>
    </xf>
    <xf numFmtId="237" fontId="30" fillId="58" borderId="1029" xfId="0" applyNumberFormat="1" applyFont="1" applyFill="1" applyBorder="1" applyAlignment="1">
      <alignment horizontal="center" vertical="center"/>
    </xf>
    <xf numFmtId="234" fontId="37" fillId="8" borderId="985" xfId="0" applyNumberFormat="1" applyFont="1" applyFill="1" applyBorder="1" applyAlignment="1">
      <alignment horizontal="center" vertical="center"/>
    </xf>
    <xf numFmtId="234" fontId="37" fillId="8" borderId="986" xfId="0" applyNumberFormat="1" applyFont="1" applyFill="1" applyBorder="1" applyAlignment="1">
      <alignment horizontal="center" vertical="center"/>
    </xf>
    <xf numFmtId="235" fontId="50" fillId="8" borderId="987" xfId="0" applyNumberFormat="1" applyFont="1" applyFill="1" applyBorder="1" applyAlignment="1">
      <alignment horizontal="center" vertical="center"/>
    </xf>
    <xf numFmtId="235" fontId="50" fillId="8" borderId="988" xfId="0" applyNumberFormat="1" applyFont="1" applyFill="1" applyBorder="1" applyAlignment="1">
      <alignment horizontal="center" vertical="center"/>
    </xf>
    <xf numFmtId="234" fontId="37" fillId="8" borderId="1013" xfId="0" applyNumberFormat="1" applyFont="1" applyFill="1" applyBorder="1" applyAlignment="1">
      <alignment horizontal="center" vertical="center"/>
    </xf>
    <xf numFmtId="234" fontId="37" fillId="8" borderId="1014" xfId="0" applyNumberFormat="1" applyFont="1" applyFill="1" applyBorder="1" applyAlignment="1">
      <alignment horizontal="center" vertical="center"/>
    </xf>
    <xf numFmtId="235" fontId="50" fillId="8" borderId="1015" xfId="0" applyNumberFormat="1" applyFont="1" applyFill="1" applyBorder="1" applyAlignment="1">
      <alignment horizontal="center" vertical="center"/>
    </xf>
    <xf numFmtId="235" fontId="50" fillId="8" borderId="1016" xfId="0" applyNumberFormat="1" applyFont="1" applyFill="1" applyBorder="1" applyAlignment="1">
      <alignment horizontal="center" vertical="center"/>
    </xf>
    <xf numFmtId="0" fontId="30" fillId="0" borderId="1037" xfId="0" applyFont="1" applyBorder="1" applyAlignment="1">
      <alignment horizontal="left" vertical="center"/>
    </xf>
    <xf numFmtId="0" fontId="52" fillId="0" borderId="1031" xfId="0" applyFont="1" applyBorder="1" applyAlignment="1">
      <alignment horizontal="center" vertical="center"/>
    </xf>
    <xf numFmtId="0" fontId="53" fillId="8" borderId="1037" xfId="0" applyFont="1" applyFill="1" applyBorder="1" applyAlignment="1">
      <alignment horizontal="center" vertical="center"/>
    </xf>
    <xf numFmtId="0" fontId="53" fillId="0" borderId="1037" xfId="0" applyFont="1" applyBorder="1" applyAlignment="1">
      <alignment horizontal="center" vertical="center"/>
    </xf>
    <xf numFmtId="0" fontId="37" fillId="8" borderId="1031" xfId="0" applyFont="1" applyFill="1" applyBorder="1" applyAlignment="1">
      <alignment horizontal="left" vertical="center"/>
    </xf>
    <xf numFmtId="0" fontId="53" fillId="0" borderId="1038" xfId="0" applyFont="1" applyBorder="1" applyAlignment="1">
      <alignment horizontal="center" vertical="center"/>
    </xf>
    <xf numFmtId="0" fontId="52" fillId="0" borderId="1039" xfId="0" applyFont="1" applyBorder="1" applyAlignment="1">
      <alignment horizontal="center" vertical="center"/>
    </xf>
    <xf numFmtId="235" fontId="50" fillId="0" borderId="1040" xfId="0" applyNumberFormat="1" applyFont="1" applyBorder="1" applyAlignment="1">
      <alignment horizontal="center" vertical="center"/>
    </xf>
    <xf numFmtId="235" fontId="50" fillId="0" borderId="1041" xfId="0" applyNumberFormat="1" applyFont="1" applyBorder="1" applyAlignment="1">
      <alignment horizontal="center" vertical="center"/>
    </xf>
    <xf numFmtId="178" fontId="50" fillId="0" borderId="1041" xfId="0" applyNumberFormat="1" applyFont="1" applyBorder="1" applyAlignment="1">
      <alignment horizontal="center" vertical="center"/>
    </xf>
    <xf numFmtId="0" fontId="53" fillId="8" borderId="1038" xfId="0" applyFont="1" applyFill="1" applyBorder="1" applyAlignment="1">
      <alignment horizontal="center" vertical="center"/>
    </xf>
    <xf numFmtId="0" fontId="51" fillId="8" borderId="1039" xfId="0" applyFont="1" applyFill="1" applyBorder="1" applyAlignment="1">
      <alignment horizontal="center" vertical="center"/>
    </xf>
    <xf numFmtId="235" fontId="50" fillId="8" borderId="1040" xfId="0" applyNumberFormat="1" applyFont="1" applyFill="1" applyBorder="1" applyAlignment="1">
      <alignment horizontal="center" vertical="center"/>
    </xf>
    <xf numFmtId="235" fontId="50" fillId="8" borderId="1041" xfId="0" applyNumberFormat="1" applyFont="1" applyFill="1" applyBorder="1" applyAlignment="1">
      <alignment horizontal="center" vertical="center"/>
    </xf>
    <xf numFmtId="234" fontId="37" fillId="8" borderId="1021" xfId="0" applyNumberFormat="1" applyFont="1" applyFill="1" applyBorder="1" applyAlignment="1">
      <alignment horizontal="center" vertical="center"/>
    </xf>
    <xf numFmtId="234" fontId="37" fillId="8" borderId="1022" xfId="0" applyNumberFormat="1" applyFont="1" applyFill="1" applyBorder="1" applyAlignment="1">
      <alignment horizontal="center" vertical="center"/>
    </xf>
    <xf numFmtId="235" fontId="54" fillId="8" borderId="1029" xfId="0" applyNumberFormat="1" applyFont="1" applyFill="1" applyBorder="1" applyAlignment="1">
      <alignment horizontal="center" vertical="center"/>
    </xf>
    <xf numFmtId="0" fontId="53" fillId="5" borderId="1037" xfId="0" applyFont="1" applyFill="1" applyBorder="1" applyAlignment="1">
      <alignment horizontal="center" vertical="center"/>
    </xf>
    <xf numFmtId="0" fontId="53" fillId="5" borderId="1038" xfId="0" applyFont="1" applyFill="1" applyBorder="1" applyAlignment="1">
      <alignment horizontal="center" vertical="center"/>
    </xf>
    <xf numFmtId="237" fontId="30" fillId="0" borderId="1021" xfId="0" applyNumberFormat="1" applyFont="1" applyBorder="1" applyAlignment="1">
      <alignment horizontal="center" vertical="center"/>
    </xf>
    <xf numFmtId="237" fontId="30" fillId="0" borderId="1019" xfId="0" applyNumberFormat="1" applyFont="1" applyBorder="1" applyAlignment="1">
      <alignment horizontal="center" vertical="center"/>
    </xf>
    <xf numFmtId="237" fontId="30" fillId="0" borderId="1020" xfId="0" applyNumberFormat="1" applyFont="1" applyBorder="1" applyAlignment="1">
      <alignment horizontal="center" vertical="center"/>
    </xf>
    <xf numFmtId="234" fontId="34" fillId="8" borderId="1045" xfId="0" applyNumberFormat="1" applyFont="1" applyFill="1" applyBorder="1" applyAlignment="1">
      <alignment horizontal="center" vertical="center"/>
    </xf>
    <xf numFmtId="234" fontId="34" fillId="8" borderId="925" xfId="0" applyNumberFormat="1" applyFont="1" applyFill="1" applyBorder="1" applyAlignment="1">
      <alignment horizontal="center" vertical="center"/>
    </xf>
    <xf numFmtId="238" fontId="30" fillId="0" borderId="1022" xfId="0" applyNumberFormat="1" applyFont="1" applyBorder="1" applyAlignment="1">
      <alignment horizontal="center" vertical="center"/>
    </xf>
    <xf numFmtId="0" fontId="34" fillId="0" borderId="1031" xfId="0" applyFont="1" applyBorder="1" applyAlignment="1">
      <alignment horizontal="center" vertical="center"/>
    </xf>
    <xf numFmtId="0" fontId="30" fillId="0" borderId="1037" xfId="0" applyFont="1" applyBorder="1" applyAlignment="1">
      <alignment horizontal="right" vertical="center"/>
    </xf>
    <xf numFmtId="0" fontId="53" fillId="0" borderId="1031" xfId="0" applyFont="1" applyBorder="1" applyAlignment="1">
      <alignment horizontal="center" vertical="center"/>
    </xf>
    <xf numFmtId="237" fontId="30" fillId="58" borderId="1021" xfId="0" applyNumberFormat="1" applyFont="1" applyFill="1" applyBorder="1" applyAlignment="1">
      <alignment horizontal="center" vertical="center"/>
    </xf>
    <xf numFmtId="237" fontId="30" fillId="58" borderId="1019" xfId="0" applyNumberFormat="1" applyFont="1" applyFill="1" applyBorder="1" applyAlignment="1">
      <alignment horizontal="center" vertical="center"/>
    </xf>
    <xf numFmtId="237" fontId="30" fillId="58" borderId="1020" xfId="0" applyNumberFormat="1" applyFont="1" applyFill="1" applyBorder="1" applyAlignment="1">
      <alignment horizontal="center" vertical="center"/>
    </xf>
    <xf numFmtId="236" fontId="30" fillId="58" borderId="1022" xfId="0" applyNumberFormat="1" applyFont="1" applyFill="1" applyBorder="1" applyAlignment="1">
      <alignment horizontal="center" vertical="center"/>
    </xf>
    <xf numFmtId="0" fontId="53" fillId="0" borderId="1046" xfId="0" applyFont="1" applyBorder="1" applyAlignment="1">
      <alignment horizontal="center" vertical="center"/>
    </xf>
    <xf numFmtId="237" fontId="30" fillId="0" borderId="1047" xfId="0" applyNumberFormat="1" applyFont="1" applyBorder="1" applyAlignment="1">
      <alignment horizontal="center" vertical="center"/>
    </xf>
    <xf numFmtId="237" fontId="30" fillId="0" borderId="1048" xfId="0" applyNumberFormat="1" applyFont="1" applyBorder="1" applyAlignment="1">
      <alignment horizontal="center" vertical="center"/>
    </xf>
    <xf numFmtId="178" fontId="30" fillId="0" borderId="1048" xfId="0" applyNumberFormat="1" applyFont="1" applyBorder="1" applyAlignment="1">
      <alignment horizontal="center" vertical="center"/>
    </xf>
    <xf numFmtId="238" fontId="30" fillId="0" borderId="1048" xfId="0" applyNumberFormat="1" applyFont="1" applyBorder="1" applyAlignment="1">
      <alignment horizontal="center" vertical="center"/>
    </xf>
    <xf numFmtId="237" fontId="30" fillId="0" borderId="1049" xfId="0" applyNumberFormat="1" applyFont="1" applyBorder="1" applyAlignment="1">
      <alignment horizontal="center" vertical="center"/>
    </xf>
    <xf numFmtId="237" fontId="30" fillId="0" borderId="1050" xfId="0" applyNumberFormat="1" applyFont="1" applyBorder="1" applyAlignment="1">
      <alignment horizontal="center" vertical="center"/>
    </xf>
    <xf numFmtId="237" fontId="30" fillId="0" borderId="1051" xfId="0" applyNumberFormat="1" applyFont="1" applyBorder="1" applyAlignment="1">
      <alignment horizontal="center" vertical="center"/>
    </xf>
    <xf numFmtId="0" fontId="52" fillId="58" borderId="1031" xfId="0" applyFont="1" applyFill="1" applyBorder="1" applyAlignment="1">
      <alignment horizontal="center" vertical="center"/>
    </xf>
    <xf numFmtId="237" fontId="30" fillId="58" borderId="1017" xfId="0" applyNumberFormat="1" applyFont="1" applyFill="1" applyBorder="1" applyAlignment="1">
      <alignment horizontal="center" vertical="center"/>
    </xf>
    <xf numFmtId="237" fontId="30" fillId="58" borderId="989" xfId="0" applyNumberFormat="1" applyFont="1" applyFill="1" applyBorder="1" applyAlignment="1">
      <alignment horizontal="center" vertical="center"/>
    </xf>
    <xf numFmtId="237" fontId="30" fillId="58" borderId="990" xfId="0" applyNumberFormat="1" applyFont="1" applyFill="1" applyBorder="1" applyAlignment="1">
      <alignment horizontal="center" vertical="center"/>
    </xf>
    <xf numFmtId="236" fontId="30" fillId="58" borderId="1018" xfId="0" applyNumberFormat="1" applyFont="1" applyFill="1" applyBorder="1" applyAlignment="1">
      <alignment horizontal="center" vertical="center"/>
    </xf>
    <xf numFmtId="0" fontId="53" fillId="58" borderId="1037" xfId="0" applyFont="1" applyFill="1" applyBorder="1" applyAlignment="1">
      <alignment horizontal="center" vertical="center"/>
    </xf>
    <xf numFmtId="0" fontId="34" fillId="5" borderId="1031" xfId="0" applyFont="1" applyFill="1" applyBorder="1" applyAlignment="1">
      <alignment horizontal="left" vertical="center"/>
    </xf>
    <xf numFmtId="234" fontId="34" fillId="5" borderId="1029" xfId="0" applyNumberFormat="1" applyFont="1" applyFill="1" applyBorder="1" applyAlignment="1">
      <alignment horizontal="center" vertical="center"/>
    </xf>
    <xf numFmtId="234" fontId="37" fillId="5" borderId="1021" xfId="0" applyNumberFormat="1" applyFont="1" applyFill="1" applyBorder="1" applyAlignment="1">
      <alignment horizontal="center" vertical="center"/>
    </xf>
    <xf numFmtId="234" fontId="37" fillId="5" borderId="1019" xfId="0" applyNumberFormat="1" applyFont="1" applyFill="1" applyBorder="1" applyAlignment="1">
      <alignment horizontal="center" vertical="center"/>
    </xf>
    <xf numFmtId="234" fontId="37" fillId="5" borderId="1020" xfId="0" applyNumberFormat="1" applyFont="1" applyFill="1" applyBorder="1" applyAlignment="1">
      <alignment horizontal="center" vertical="center"/>
    </xf>
    <xf numFmtId="234" fontId="37" fillId="5" borderId="1022" xfId="0" applyNumberFormat="1" applyFont="1" applyFill="1" applyBorder="1" applyAlignment="1">
      <alignment horizontal="center" vertical="center"/>
    </xf>
    <xf numFmtId="0" fontId="53" fillId="5" borderId="1039" xfId="0" applyFont="1" applyFill="1" applyBorder="1" applyAlignment="1">
      <alignment horizontal="center" vertical="center"/>
    </xf>
    <xf numFmtId="235" fontId="50" fillId="5" borderId="1040" xfId="0" applyNumberFormat="1" applyFont="1" applyFill="1" applyBorder="1" applyAlignment="1">
      <alignment horizontal="center" vertical="center"/>
    </xf>
    <xf numFmtId="235" fontId="50" fillId="5" borderId="1041" xfId="0" applyNumberFormat="1" applyFont="1" applyFill="1" applyBorder="1" applyAlignment="1">
      <alignment horizontal="center" vertical="center"/>
    </xf>
    <xf numFmtId="235" fontId="50" fillId="5" borderId="1015" xfId="0" applyNumberFormat="1" applyFont="1" applyFill="1" applyBorder="1" applyAlignment="1">
      <alignment horizontal="center" vertical="center"/>
    </xf>
    <xf numFmtId="235" fontId="50" fillId="5" borderId="987" xfId="0" applyNumberFormat="1" applyFont="1" applyFill="1" applyBorder="1" applyAlignment="1">
      <alignment horizontal="center" vertical="center"/>
    </xf>
    <xf numFmtId="235" fontId="50" fillId="5" borderId="988" xfId="0" applyNumberFormat="1" applyFont="1" applyFill="1" applyBorder="1" applyAlignment="1">
      <alignment horizontal="center" vertical="center"/>
    </xf>
    <xf numFmtId="235" fontId="50" fillId="5" borderId="1016" xfId="0" applyNumberFormat="1" applyFont="1" applyFill="1" applyBorder="1" applyAlignment="1">
      <alignment horizontal="center" vertical="center"/>
    </xf>
    <xf numFmtId="0" fontId="34" fillId="5" borderId="1031" xfId="0" applyFont="1" applyFill="1" applyBorder="1" applyAlignment="1">
      <alignment horizontal="center" vertical="center"/>
    </xf>
    <xf numFmtId="237" fontId="30" fillId="5" borderId="1029" xfId="0" applyNumberFormat="1" applyFont="1" applyFill="1" applyBorder="1" applyAlignment="1">
      <alignment horizontal="center" vertical="center"/>
    </xf>
    <xf numFmtId="237" fontId="30" fillId="5" borderId="1021" xfId="0" applyNumberFormat="1" applyFont="1" applyFill="1" applyBorder="1" applyAlignment="1">
      <alignment horizontal="center" vertical="center"/>
    </xf>
    <xf numFmtId="237" fontId="30" fillId="5" borderId="1019" xfId="0" applyNumberFormat="1" applyFont="1" applyFill="1" applyBorder="1" applyAlignment="1">
      <alignment horizontal="center" vertical="center"/>
    </xf>
    <xf numFmtId="237" fontId="30" fillId="5" borderId="1020" xfId="0" applyNumberFormat="1" applyFont="1" applyFill="1" applyBorder="1" applyAlignment="1">
      <alignment horizontal="center" vertical="center"/>
    </xf>
    <xf numFmtId="236" fontId="30" fillId="5" borderId="1022" xfId="0" applyNumberFormat="1" applyFont="1" applyFill="1" applyBorder="1" applyAlignment="1">
      <alignment horizontal="center" vertical="center"/>
    </xf>
    <xf numFmtId="178" fontId="50" fillId="5" borderId="1041" xfId="0" applyNumberFormat="1" applyFont="1" applyFill="1" applyBorder="1" applyAlignment="1">
      <alignment horizontal="center" vertical="center"/>
    </xf>
    <xf numFmtId="238" fontId="30" fillId="58" borderId="1018" xfId="0" applyNumberFormat="1" applyFont="1" applyFill="1" applyBorder="1" applyAlignment="1">
      <alignment horizontal="center" vertical="center"/>
    </xf>
    <xf numFmtId="238" fontId="30" fillId="58" borderId="1022" xfId="0" applyNumberFormat="1" applyFont="1" applyFill="1" applyBorder="1" applyAlignment="1">
      <alignment horizontal="center" vertical="center"/>
    </xf>
    <xf numFmtId="0" fontId="37" fillId="58" borderId="1031" xfId="0" applyFont="1" applyFill="1" applyBorder="1" applyAlignment="1">
      <alignment horizontal="left" vertical="center"/>
    </xf>
    <xf numFmtId="0" fontId="19" fillId="58" borderId="1037" xfId="0" applyFont="1" applyFill="1" applyBorder="1" applyAlignment="1">
      <alignment horizontal="left" vertical="center"/>
    </xf>
    <xf numFmtId="0" fontId="53" fillId="5" borderId="1031" xfId="0" applyFont="1" applyFill="1" applyBorder="1" applyAlignment="1">
      <alignment horizontal="center" vertical="center"/>
    </xf>
    <xf numFmtId="235" fontId="50" fillId="5" borderId="1029" xfId="0" applyNumberFormat="1" applyFont="1" applyFill="1" applyBorder="1" applyAlignment="1">
      <alignment horizontal="center" vertical="center"/>
    </xf>
    <xf numFmtId="235" fontId="50" fillId="5" borderId="1052" xfId="0" applyNumberFormat="1" applyFont="1" applyFill="1" applyBorder="1" applyAlignment="1">
      <alignment horizontal="center" vertical="center"/>
    </xf>
    <xf numFmtId="235" fontId="50" fillId="5" borderId="1025" xfId="0" applyNumberFormat="1" applyFont="1" applyFill="1" applyBorder="1" applyAlignment="1">
      <alignment horizontal="center" vertical="center"/>
    </xf>
    <xf numFmtId="235" fontId="50" fillId="5" borderId="1026" xfId="0" applyNumberFormat="1" applyFont="1" applyFill="1" applyBorder="1" applyAlignment="1">
      <alignment horizontal="center" vertical="center"/>
    </xf>
    <xf numFmtId="235" fontId="50" fillId="5" borderId="1053" xfId="0" applyNumberFormat="1" applyFont="1" applyFill="1" applyBorder="1" applyAlignment="1">
      <alignment horizontal="center" vertical="center"/>
    </xf>
    <xf numFmtId="0" fontId="37" fillId="58" borderId="1054" xfId="0" applyFont="1" applyFill="1" applyBorder="1" applyAlignment="1">
      <alignment horizontal="left" vertical="center"/>
    </xf>
    <xf numFmtId="237" fontId="30" fillId="58" borderId="1055" xfId="0" applyNumberFormat="1" applyFont="1" applyFill="1" applyBorder="1" applyAlignment="1">
      <alignment horizontal="center" vertical="center"/>
    </xf>
    <xf numFmtId="237" fontId="30" fillId="58" borderId="1056" xfId="0" applyNumberFormat="1" applyFont="1" applyFill="1" applyBorder="1" applyAlignment="1">
      <alignment horizontal="center" vertical="center"/>
    </xf>
    <xf numFmtId="178" fontId="30" fillId="58" borderId="1056" xfId="0" applyNumberFormat="1" applyFont="1" applyFill="1" applyBorder="1" applyAlignment="1">
      <alignment horizontal="center" vertical="center"/>
    </xf>
    <xf numFmtId="238" fontId="30" fillId="58" borderId="1056" xfId="0" applyNumberFormat="1" applyFont="1" applyFill="1" applyBorder="1" applyAlignment="1">
      <alignment horizontal="center" vertical="center"/>
    </xf>
    <xf numFmtId="237" fontId="30" fillId="58" borderId="1057" xfId="0" applyNumberFormat="1" applyFont="1" applyFill="1" applyBorder="1" applyAlignment="1">
      <alignment horizontal="center" vertical="center"/>
    </xf>
    <xf numFmtId="237" fontId="30" fillId="58" borderId="1058" xfId="0" applyNumberFormat="1" applyFont="1" applyFill="1" applyBorder="1" applyAlignment="1">
      <alignment horizontal="center" vertical="center"/>
    </xf>
    <xf numFmtId="237" fontId="30" fillId="58" borderId="1059" xfId="0" applyNumberFormat="1" applyFont="1" applyFill="1" applyBorder="1" applyAlignment="1">
      <alignment horizontal="center" vertical="center"/>
    </xf>
    <xf numFmtId="238" fontId="30" fillId="58" borderId="1060" xfId="0" applyNumberFormat="1" applyFont="1" applyFill="1" applyBorder="1" applyAlignment="1">
      <alignment horizontal="center" vertical="center"/>
    </xf>
    <xf numFmtId="0" fontId="19" fillId="58" borderId="1043" xfId="0" applyFont="1" applyFill="1" applyBorder="1" applyAlignment="1">
      <alignment horizontal="left" vertical="center"/>
    </xf>
    <xf numFmtId="0" fontId="52" fillId="58" borderId="1044" xfId="0" applyFont="1" applyFill="1" applyBorder="1" applyAlignment="1">
      <alignment horizontal="center" vertical="center"/>
    </xf>
    <xf numFmtId="237" fontId="30" fillId="58" borderId="1045" xfId="0" applyNumberFormat="1" applyFont="1" applyFill="1" applyBorder="1" applyAlignment="1">
      <alignment horizontal="center" vertical="center"/>
    </xf>
    <xf numFmtId="237" fontId="30" fillId="58" borderId="925" xfId="0" applyNumberFormat="1" applyFont="1" applyFill="1" applyBorder="1" applyAlignment="1">
      <alignment horizontal="center" vertical="center"/>
    </xf>
    <xf numFmtId="178" fontId="30" fillId="58" borderId="925" xfId="0" applyNumberFormat="1" applyFont="1" applyFill="1" applyBorder="1" applyAlignment="1">
      <alignment horizontal="center" vertical="center"/>
    </xf>
    <xf numFmtId="238" fontId="30" fillId="58" borderId="925" xfId="0" applyNumberFormat="1" applyFont="1" applyFill="1" applyBorder="1" applyAlignment="1">
      <alignment horizontal="center" vertical="center"/>
    </xf>
    <xf numFmtId="237" fontId="30" fillId="58" borderId="1061" xfId="0" applyNumberFormat="1" applyFont="1" applyFill="1" applyBorder="1" applyAlignment="1">
      <alignment horizontal="center" vertical="center"/>
    </xf>
    <xf numFmtId="237" fontId="30" fillId="58" borderId="1062" xfId="0" applyNumberFormat="1" applyFont="1" applyFill="1" applyBorder="1" applyAlignment="1">
      <alignment horizontal="center" vertical="center"/>
    </xf>
    <xf numFmtId="237" fontId="30" fillId="58" borderId="1063" xfId="0" applyNumberFormat="1" applyFont="1" applyFill="1" applyBorder="1" applyAlignment="1">
      <alignment horizontal="center" vertical="center"/>
    </xf>
    <xf numFmtId="238" fontId="30" fillId="58" borderId="1064" xfId="0" applyNumberFormat="1" applyFont="1" applyFill="1" applyBorder="1" applyAlignment="1">
      <alignment horizontal="center" vertical="center"/>
    </xf>
    <xf numFmtId="0" fontId="53" fillId="0" borderId="1066" xfId="0" applyFont="1" applyBorder="1" applyAlignment="1">
      <alignment horizontal="center" vertical="center"/>
    </xf>
    <xf numFmtId="0" fontId="53" fillId="5" borderId="1067" xfId="0" applyFont="1" applyFill="1" applyBorder="1" applyAlignment="1">
      <alignment horizontal="center" vertical="center"/>
    </xf>
    <xf numFmtId="235" fontId="50" fillId="5" borderId="1033" xfId="0" applyNumberFormat="1" applyFont="1" applyFill="1" applyBorder="1" applyAlignment="1">
      <alignment horizontal="center" vertical="center"/>
    </xf>
    <xf numFmtId="235" fontId="50" fillId="5" borderId="518" xfId="0" applyNumberFormat="1" applyFont="1" applyFill="1" applyBorder="1" applyAlignment="1">
      <alignment horizontal="center" vertical="center"/>
    </xf>
    <xf numFmtId="178" fontId="50" fillId="5" borderId="518" xfId="0" applyNumberFormat="1" applyFont="1" applyFill="1" applyBorder="1" applyAlignment="1">
      <alignment horizontal="center" vertical="center"/>
    </xf>
    <xf numFmtId="235" fontId="54" fillId="58" borderId="1029" xfId="0" applyNumberFormat="1" applyFont="1" applyFill="1" applyBorder="1" applyAlignment="1">
      <alignment horizontal="center" vertical="center"/>
    </xf>
    <xf numFmtId="1" fontId="30" fillId="58" borderId="1029" xfId="0" applyNumberFormat="1" applyFont="1" applyFill="1" applyBorder="1" applyAlignment="1">
      <alignment horizontal="center" vertical="center"/>
    </xf>
    <xf numFmtId="1" fontId="30" fillId="0" borderId="1029" xfId="0" applyNumberFormat="1" applyFont="1" applyBorder="1" applyAlignment="1">
      <alignment horizontal="center" vertical="center"/>
    </xf>
    <xf numFmtId="241" fontId="34" fillId="8" borderId="1028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94" fontId="9" fillId="11" borderId="408" xfId="0" applyNumberFormat="1" applyFont="1" applyFill="1" applyBorder="1" applyAlignment="1">
      <alignment horizontal="center" vertical="center"/>
    </xf>
    <xf numFmtId="194" fontId="0" fillId="0" borderId="0" xfId="0" applyNumberFormat="1" applyAlignment="1">
      <alignment horizontal="center" vertical="center"/>
    </xf>
    <xf numFmtId="194" fontId="9" fillId="11" borderId="439" xfId="0" applyNumberFormat="1" applyFont="1" applyFill="1" applyBorder="1" applyAlignment="1">
      <alignment horizontal="center" vertical="center"/>
    </xf>
    <xf numFmtId="194" fontId="9" fillId="11" borderId="0" xfId="0" applyNumberFormat="1" applyFont="1" applyFill="1" applyAlignment="1">
      <alignment horizontal="center" vertical="center"/>
    </xf>
    <xf numFmtId="194" fontId="9" fillId="11" borderId="451" xfId="0" applyNumberFormat="1" applyFont="1" applyFill="1" applyBorder="1" applyAlignment="1">
      <alignment horizontal="center" vertical="center"/>
    </xf>
    <xf numFmtId="194" fontId="9" fillId="11" borderId="412" xfId="0" applyNumberFormat="1" applyFont="1" applyFill="1" applyBorder="1" applyAlignment="1">
      <alignment horizontal="center" vertical="center"/>
    </xf>
    <xf numFmtId="194" fontId="9" fillId="11" borderId="443" xfId="0" applyNumberFormat="1" applyFont="1" applyFill="1" applyBorder="1" applyAlignment="1">
      <alignment horizontal="center" vertical="center"/>
    </xf>
    <xf numFmtId="194" fontId="9" fillId="11" borderId="435" xfId="0" applyNumberFormat="1" applyFont="1" applyFill="1" applyBorder="1" applyAlignment="1">
      <alignment horizontal="center" vertical="center"/>
    </xf>
    <xf numFmtId="194" fontId="9" fillId="11" borderId="436" xfId="0" applyNumberFormat="1" applyFont="1" applyFill="1" applyBorder="1" applyAlignment="1">
      <alignment horizontal="center" vertical="center"/>
    </xf>
    <xf numFmtId="194" fontId="0" fillId="0" borderId="408" xfId="0" applyNumberFormat="1" applyFill="1" applyBorder="1" applyAlignment="1">
      <alignment horizontal="center" vertical="center"/>
    </xf>
    <xf numFmtId="194" fontId="0" fillId="0" borderId="440" xfId="0" applyNumberFormat="1" applyBorder="1" applyAlignment="1">
      <alignment horizontal="center" vertical="center"/>
    </xf>
    <xf numFmtId="194" fontId="0" fillId="0" borderId="409" xfId="0" applyNumberFormat="1" applyFill="1" applyBorder="1" applyAlignment="1">
      <alignment horizontal="center" vertical="center"/>
    </xf>
    <xf numFmtId="194" fontId="0" fillId="0" borderId="441" xfId="0" applyNumberFormat="1" applyBorder="1" applyAlignment="1">
      <alignment horizontal="center" vertical="center"/>
    </xf>
    <xf numFmtId="194" fontId="0" fillId="0" borderId="432" xfId="0" applyNumberFormat="1" applyBorder="1" applyAlignment="1">
      <alignment horizontal="center" vertical="center"/>
    </xf>
    <xf numFmtId="194" fontId="0" fillId="0" borderId="433" xfId="0" applyNumberFormat="1" applyBorder="1" applyAlignment="1">
      <alignment horizontal="center" vertical="center"/>
    </xf>
    <xf numFmtId="194" fontId="0" fillId="0" borderId="410" xfId="0" applyNumberFormat="1" applyFill="1" applyBorder="1" applyAlignment="1">
      <alignment horizontal="center" vertical="center"/>
    </xf>
    <xf numFmtId="194" fontId="0" fillId="13" borderId="408" xfId="0" applyNumberFormat="1" applyFill="1" applyBorder="1" applyAlignment="1">
      <alignment horizontal="center" vertical="center"/>
    </xf>
    <xf numFmtId="194" fontId="0" fillId="13" borderId="441" xfId="0" applyNumberFormat="1" applyFill="1" applyBorder="1" applyAlignment="1">
      <alignment horizontal="center" vertical="center"/>
    </xf>
    <xf numFmtId="194" fontId="0" fillId="13" borderId="432" xfId="0" applyNumberFormat="1" applyFill="1" applyBorder="1" applyAlignment="1">
      <alignment horizontal="center" vertical="center"/>
    </xf>
    <xf numFmtId="194" fontId="0" fillId="13" borderId="433" xfId="0" applyNumberFormat="1" applyFill="1" applyBorder="1" applyAlignment="1">
      <alignment horizontal="center" vertical="center"/>
    </xf>
    <xf numFmtId="194" fontId="0" fillId="13" borderId="440" xfId="0" applyNumberFormat="1" applyFill="1" applyBorder="1" applyAlignment="1">
      <alignment horizontal="center" vertical="center"/>
    </xf>
    <xf numFmtId="194" fontId="0" fillId="13" borderId="0" xfId="0" applyNumberFormat="1" applyFill="1" applyAlignment="1">
      <alignment horizontal="center" vertical="center"/>
    </xf>
    <xf numFmtId="194" fontId="0" fillId="13" borderId="411" xfId="0" applyNumberFormat="1" applyFill="1" applyBorder="1" applyAlignment="1">
      <alignment horizontal="center" vertical="center"/>
    </xf>
    <xf numFmtId="194" fontId="0" fillId="13" borderId="442" xfId="0" applyNumberFormat="1" applyFill="1" applyBorder="1" applyAlignment="1">
      <alignment horizontal="center" vertical="center"/>
    </xf>
    <xf numFmtId="194" fontId="0" fillId="13" borderId="429" xfId="0" applyNumberFormat="1" applyFill="1" applyBorder="1" applyAlignment="1">
      <alignment horizontal="center" vertical="center"/>
    </xf>
    <xf numFmtId="194" fontId="0" fillId="13" borderId="430" xfId="0" applyNumberFormat="1" applyFill="1" applyBorder="1" applyAlignment="1">
      <alignment horizontal="center" vertical="center"/>
    </xf>
    <xf numFmtId="194" fontId="0" fillId="0" borderId="4" xfId="0" applyNumberFormat="1" applyBorder="1" applyAlignment="1">
      <alignment horizontal="center" vertical="center"/>
    </xf>
    <xf numFmtId="194" fontId="0" fillId="0" borderId="454" xfId="0" applyNumberFormat="1" applyBorder="1" applyAlignment="1">
      <alignment horizontal="center" vertical="center"/>
    </xf>
    <xf numFmtId="194" fontId="0" fillId="0" borderId="0" xfId="0" applyNumberFormat="1" applyBorder="1" applyAlignment="1">
      <alignment horizontal="center" vertical="center"/>
    </xf>
    <xf numFmtId="194" fontId="0" fillId="13" borderId="413" xfId="0" applyNumberFormat="1" applyFill="1" applyBorder="1" applyAlignment="1">
      <alignment horizontal="center" vertical="center"/>
    </xf>
    <xf numFmtId="194" fontId="0" fillId="13" borderId="0" xfId="0" applyNumberFormat="1" applyFill="1" applyBorder="1" applyAlignment="1">
      <alignment horizontal="center" vertical="center"/>
    </xf>
    <xf numFmtId="194" fontId="0" fillId="13" borderId="424" xfId="0" applyNumberFormat="1" applyFill="1" applyBorder="1" applyAlignment="1">
      <alignment horizontal="center" vertical="center"/>
    </xf>
    <xf numFmtId="194" fontId="9" fillId="11" borderId="414" xfId="0" applyNumberFormat="1" applyFont="1" applyFill="1" applyBorder="1" applyAlignment="1">
      <alignment horizontal="center" vertical="center"/>
    </xf>
    <xf numFmtId="194" fontId="9" fillId="11" borderId="444" xfId="0" applyNumberFormat="1" applyFont="1" applyFill="1" applyBorder="1" applyAlignment="1">
      <alignment horizontal="center" vertical="center"/>
    </xf>
    <xf numFmtId="194" fontId="9" fillId="11" borderId="437" xfId="0" applyNumberFormat="1" applyFont="1" applyFill="1" applyBorder="1" applyAlignment="1">
      <alignment horizontal="center" vertical="center"/>
    </xf>
    <xf numFmtId="194" fontId="0" fillId="13" borderId="415" xfId="0" applyNumberFormat="1" applyFill="1" applyBorder="1" applyAlignment="1">
      <alignment horizontal="center" vertical="center"/>
    </xf>
    <xf numFmtId="194" fontId="0" fillId="0" borderId="452" xfId="0" applyNumberFormat="1" applyBorder="1" applyAlignment="1">
      <alignment horizontal="center" vertical="center"/>
    </xf>
    <xf numFmtId="194" fontId="0" fillId="0" borderId="416" xfId="0" applyNumberFormat="1" applyFill="1" applyBorder="1" applyAlignment="1">
      <alignment horizontal="center" vertical="center"/>
    </xf>
    <xf numFmtId="194" fontId="0" fillId="0" borderId="445" xfId="0" applyNumberFormat="1" applyBorder="1" applyAlignment="1">
      <alignment horizontal="center" vertical="center"/>
    </xf>
    <xf numFmtId="194" fontId="0" fillId="0" borderId="58" xfId="0" applyNumberFormat="1" applyBorder="1" applyAlignment="1">
      <alignment horizontal="center" vertical="center"/>
    </xf>
    <xf numFmtId="194" fontId="0" fillId="0" borderId="438" xfId="0" applyNumberFormat="1" applyBorder="1" applyAlignment="1">
      <alignment horizontal="center" vertical="center"/>
    </xf>
    <xf numFmtId="194" fontId="0" fillId="0" borderId="408" xfId="0" quotePrefix="1" applyNumberFormat="1" applyFill="1" applyBorder="1" applyAlignment="1">
      <alignment horizontal="center" vertical="center"/>
    </xf>
    <xf numFmtId="194" fontId="0" fillId="0" borderId="417" xfId="0" applyNumberFormat="1" applyFill="1" applyBorder="1" applyAlignment="1">
      <alignment horizontal="center" vertical="center"/>
    </xf>
    <xf numFmtId="194" fontId="0" fillId="0" borderId="446" xfId="0" applyNumberFormat="1" applyBorder="1" applyAlignment="1">
      <alignment horizontal="center" vertical="center"/>
    </xf>
    <xf numFmtId="194" fontId="0" fillId="0" borderId="126" xfId="0" applyNumberFormat="1" applyBorder="1" applyAlignment="1">
      <alignment horizontal="center" vertical="center"/>
    </xf>
    <xf numFmtId="194" fontId="0" fillId="0" borderId="423" xfId="0" applyNumberFormat="1" applyBorder="1" applyAlignment="1">
      <alignment horizontal="center" vertical="center"/>
    </xf>
    <xf numFmtId="194" fontId="0" fillId="0" borderId="424" xfId="0" applyNumberFormat="1" applyBorder="1" applyAlignment="1">
      <alignment horizontal="center" vertical="center"/>
    </xf>
    <xf numFmtId="194" fontId="0" fillId="0" borderId="418" xfId="0" applyNumberFormat="1" applyFill="1" applyBorder="1" applyAlignment="1">
      <alignment horizontal="center" vertical="center"/>
    </xf>
    <xf numFmtId="194" fontId="0" fillId="0" borderId="447" xfId="0" applyNumberFormat="1" applyBorder="1" applyAlignment="1">
      <alignment horizontal="center" vertical="center"/>
    </xf>
    <xf numFmtId="194" fontId="0" fillId="0" borderId="119" xfId="0" applyNumberFormat="1" applyBorder="1" applyAlignment="1">
      <alignment horizontal="center" vertical="center"/>
    </xf>
    <xf numFmtId="194" fontId="0" fillId="0" borderId="426" xfId="0" applyNumberFormat="1" applyBorder="1" applyAlignment="1">
      <alignment horizontal="center" vertical="center"/>
    </xf>
    <xf numFmtId="194" fontId="0" fillId="0" borderId="453" xfId="0" applyNumberFormat="1" applyFill="1" applyBorder="1" applyAlignment="1">
      <alignment horizontal="center" vertical="center"/>
    </xf>
    <xf numFmtId="194" fontId="0" fillId="0" borderId="0" xfId="0" applyNumberFormat="1" applyFill="1" applyBorder="1" applyAlignment="1">
      <alignment horizontal="center" vertical="center"/>
    </xf>
    <xf numFmtId="194" fontId="0" fillId="0" borderId="419" xfId="0" applyNumberFormat="1" applyFill="1" applyBorder="1" applyAlignment="1">
      <alignment horizontal="center" vertical="center"/>
    </xf>
    <xf numFmtId="194" fontId="0" fillId="0" borderId="448" xfId="0" applyNumberFormat="1" applyBorder="1" applyAlignment="1">
      <alignment horizontal="center" vertical="center"/>
    </xf>
    <xf numFmtId="194" fontId="0" fillId="0" borderId="76" xfId="0" applyNumberFormat="1" applyBorder="1" applyAlignment="1">
      <alignment horizontal="center" vertical="center"/>
    </xf>
    <xf numFmtId="194" fontId="0" fillId="0" borderId="427" xfId="0" applyNumberFormat="1" applyBorder="1" applyAlignment="1">
      <alignment horizontal="center" vertical="center"/>
    </xf>
    <xf numFmtId="194" fontId="0" fillId="2" borderId="417" xfId="0" applyNumberFormat="1" applyFill="1" applyBorder="1" applyAlignment="1">
      <alignment horizontal="center" vertical="center"/>
    </xf>
    <xf numFmtId="194" fontId="0" fillId="2" borderId="446" xfId="0" applyNumberFormat="1" applyFill="1" applyBorder="1" applyAlignment="1">
      <alignment horizontal="center" vertical="center"/>
    </xf>
    <xf numFmtId="194" fontId="0" fillId="2" borderId="126" xfId="0" applyNumberFormat="1" applyFill="1" applyBorder="1" applyAlignment="1">
      <alignment horizontal="center" vertical="center"/>
    </xf>
    <xf numFmtId="194" fontId="0" fillId="2" borderId="423" xfId="0" applyNumberFormat="1" applyFill="1" applyBorder="1" applyAlignment="1">
      <alignment horizontal="center" vertical="center"/>
    </xf>
    <xf numFmtId="194" fontId="0" fillId="2" borderId="408" xfId="0" applyNumberFormat="1" applyFill="1" applyBorder="1" applyAlignment="1">
      <alignment horizontal="center" vertical="center"/>
    </xf>
    <xf numFmtId="194" fontId="0" fillId="2" borderId="440" xfId="0" applyNumberFormat="1" applyFill="1" applyBorder="1" applyAlignment="1">
      <alignment horizontal="center" vertical="center"/>
    </xf>
    <xf numFmtId="194" fontId="0" fillId="2" borderId="0" xfId="0" applyNumberFormat="1" applyFill="1" applyBorder="1" applyAlignment="1">
      <alignment horizontal="center" vertical="center"/>
    </xf>
    <xf numFmtId="194" fontId="0" fillId="2" borderId="0" xfId="0" applyNumberFormat="1" applyFill="1" applyAlignment="1">
      <alignment horizontal="center" vertical="center"/>
    </xf>
    <xf numFmtId="194" fontId="0" fillId="2" borderId="424" xfId="0" applyNumberFormat="1" applyFill="1" applyBorder="1" applyAlignment="1">
      <alignment horizontal="center" vertical="center"/>
    </xf>
    <xf numFmtId="194" fontId="0" fillId="2" borderId="420" xfId="0" applyNumberFormat="1" applyFill="1" applyBorder="1" applyAlignment="1">
      <alignment horizontal="center" vertical="center"/>
    </xf>
    <xf numFmtId="194" fontId="0" fillId="2" borderId="449" xfId="0" applyNumberFormat="1" applyFill="1" applyBorder="1" applyAlignment="1">
      <alignment horizontal="center" vertical="center"/>
    </xf>
    <xf numFmtId="194" fontId="0" fillId="2" borderId="132" xfId="0" applyNumberFormat="1" applyFill="1" applyBorder="1" applyAlignment="1">
      <alignment horizontal="center" vertical="center"/>
    </xf>
    <xf numFmtId="194" fontId="0" fillId="2" borderId="425" xfId="0" applyNumberFormat="1" applyFill="1" applyBorder="1" applyAlignment="1">
      <alignment horizontal="center" vertical="center"/>
    </xf>
    <xf numFmtId="194" fontId="0" fillId="5" borderId="0" xfId="0" applyNumberFormat="1" applyFill="1" applyAlignment="1">
      <alignment horizontal="center" vertical="center"/>
    </xf>
    <xf numFmtId="194" fontId="0" fillId="2" borderId="421" xfId="0" applyNumberFormat="1" applyFill="1" applyBorder="1" applyAlignment="1">
      <alignment horizontal="center" vertical="center"/>
    </xf>
    <xf numFmtId="194" fontId="0" fillId="2" borderId="450" xfId="0" applyNumberFormat="1" applyFill="1" applyBorder="1" applyAlignment="1">
      <alignment horizontal="center" vertical="center"/>
    </xf>
    <xf numFmtId="194" fontId="0" fillId="2" borderId="63" xfId="0" applyNumberFormat="1" applyFill="1" applyBorder="1" applyAlignment="1">
      <alignment horizontal="center" vertical="center"/>
    </xf>
    <xf numFmtId="194" fontId="0" fillId="2" borderId="422" xfId="0" applyNumberFormat="1" applyFill="1" applyBorder="1" applyAlignment="1">
      <alignment horizontal="center" vertical="center"/>
    </xf>
    <xf numFmtId="212" fontId="0" fillId="5" borderId="0" xfId="0" applyNumberFormat="1" applyFill="1">
      <alignment vertical="center"/>
    </xf>
    <xf numFmtId="192" fontId="0" fillId="5" borderId="673" xfId="2" applyNumberFormat="1" applyFont="1" applyFill="1" applyBorder="1" applyAlignment="1">
      <alignment horizontal="center" vertical="center"/>
    </xf>
    <xf numFmtId="192" fontId="0" fillId="5" borderId="485" xfId="2" applyNumberFormat="1" applyFont="1" applyFill="1" applyBorder="1" applyAlignment="1">
      <alignment horizontal="center" vertical="center"/>
    </xf>
    <xf numFmtId="192" fontId="0" fillId="5" borderId="672" xfId="2" applyNumberFormat="1" applyFont="1" applyFill="1" applyBorder="1" applyAlignment="1">
      <alignment horizontal="center" vertical="center"/>
    </xf>
    <xf numFmtId="192" fontId="6" fillId="4" borderId="507" xfId="0" quotePrefix="1" applyNumberFormat="1" applyFont="1" applyFill="1" applyBorder="1" applyAlignment="1">
      <alignment horizontal="center" vertical="center"/>
    </xf>
    <xf numFmtId="0" fontId="10" fillId="4" borderId="519" xfId="0" quotePrefix="1" applyFont="1" applyFill="1" applyBorder="1" applyAlignment="1">
      <alignment horizontal="center" vertical="center"/>
    </xf>
    <xf numFmtId="0" fontId="9" fillId="8" borderId="574" xfId="0" applyFont="1" applyFill="1" applyBorder="1" applyAlignment="1">
      <alignment horizontal="left" vertical="center"/>
    </xf>
    <xf numFmtId="0" fontId="9" fillId="8" borderId="577" xfId="0" applyFont="1" applyFill="1" applyBorder="1" applyAlignment="1">
      <alignment horizontal="left" vertical="center"/>
    </xf>
    <xf numFmtId="0" fontId="13" fillId="6" borderId="217" xfId="0" applyFont="1" applyFill="1" applyBorder="1" applyAlignment="1">
      <alignment vertical="center" wrapText="1"/>
    </xf>
    <xf numFmtId="0" fontId="13" fillId="6" borderId="85" xfId="0" applyFont="1" applyFill="1" applyBorder="1" applyAlignment="1">
      <alignment vertical="center" wrapText="1"/>
    </xf>
    <xf numFmtId="0" fontId="9" fillId="8" borderId="967" xfId="0" applyFont="1" applyFill="1" applyBorder="1" applyAlignment="1">
      <alignment vertical="center"/>
    </xf>
    <xf numFmtId="0" fontId="9" fillId="8" borderId="968" xfId="0" applyFont="1" applyFill="1" applyBorder="1" applyAlignment="1">
      <alignment vertical="center"/>
    </xf>
    <xf numFmtId="0" fontId="9" fillId="8" borderId="574" xfId="0" applyFont="1" applyFill="1" applyBorder="1" applyAlignment="1">
      <alignment vertical="center"/>
    </xf>
    <xf numFmtId="0" fontId="9" fillId="8" borderId="575" xfId="0" applyFont="1" applyFill="1" applyBorder="1" applyAlignment="1">
      <alignment vertical="center"/>
    </xf>
    <xf numFmtId="0" fontId="9" fillId="8" borderId="577" xfId="0" applyFont="1" applyFill="1" applyBorder="1" applyAlignment="1">
      <alignment vertical="center"/>
    </xf>
    <xf numFmtId="0" fontId="9" fillId="8" borderId="578" xfId="0" applyFont="1" applyFill="1" applyBorder="1" applyAlignment="1">
      <alignment vertical="center"/>
    </xf>
    <xf numFmtId="0" fontId="10" fillId="8" borderId="0" xfId="0" applyFont="1" applyFill="1" applyAlignment="1">
      <alignment horizontal="center" vertical="center"/>
    </xf>
    <xf numFmtId="178" fontId="32" fillId="0" borderId="1073" xfId="0" applyNumberFormat="1" applyFont="1" applyBorder="1">
      <alignment vertical="center"/>
    </xf>
    <xf numFmtId="178" fontId="32" fillId="60" borderId="0" xfId="0" applyNumberFormat="1" applyFont="1" applyFill="1">
      <alignment vertical="center"/>
    </xf>
    <xf numFmtId="178" fontId="32" fillId="60" borderId="1074" xfId="0" applyNumberFormat="1" applyFont="1" applyFill="1" applyBorder="1">
      <alignment vertical="center"/>
    </xf>
    <xf numFmtId="239" fontId="55" fillId="47" borderId="1075" xfId="0" applyNumberFormat="1" applyFont="1" applyFill="1" applyBorder="1" applyAlignment="1">
      <alignment horizontal="center" vertical="center"/>
    </xf>
    <xf numFmtId="240" fontId="33" fillId="0" borderId="1076" xfId="0" applyNumberFormat="1" applyFont="1" applyBorder="1" applyAlignment="1">
      <alignment horizontal="center" vertical="center"/>
    </xf>
    <xf numFmtId="234" fontId="55" fillId="47" borderId="1077" xfId="0" applyNumberFormat="1" applyFont="1" applyFill="1" applyBorder="1" applyAlignment="1">
      <alignment horizontal="center" vertical="center"/>
    </xf>
    <xf numFmtId="235" fontId="56" fillId="47" borderId="1078" xfId="0" applyNumberFormat="1" applyFont="1" applyFill="1" applyBorder="1" applyAlignment="1">
      <alignment horizontal="center" vertical="center"/>
    </xf>
    <xf numFmtId="237" fontId="33" fillId="0" borderId="1076" xfId="0" applyNumberFormat="1" applyFont="1" applyBorder="1" applyAlignment="1">
      <alignment horizontal="center" vertical="center"/>
    </xf>
    <xf numFmtId="235" fontId="56" fillId="0" borderId="1078" xfId="0" applyNumberFormat="1" applyFont="1" applyBorder="1" applyAlignment="1">
      <alignment horizontal="center" vertical="center"/>
    </xf>
    <xf numFmtId="235" fontId="56" fillId="0" borderId="1076" xfId="0" applyNumberFormat="1" applyFont="1" applyBorder="1" applyAlignment="1">
      <alignment horizontal="center" vertical="center"/>
    </xf>
    <xf numFmtId="235" fontId="57" fillId="47" borderId="1076" xfId="0" applyNumberFormat="1" applyFont="1" applyFill="1" applyBorder="1" applyAlignment="1">
      <alignment horizontal="center" vertical="center"/>
    </xf>
    <xf numFmtId="235" fontId="56" fillId="55" borderId="1078" xfId="0" applyNumberFormat="1" applyFont="1" applyFill="1" applyBorder="1" applyAlignment="1">
      <alignment horizontal="center" vertical="center"/>
    </xf>
    <xf numFmtId="1" fontId="33" fillId="61" borderId="1076" xfId="0" applyNumberFormat="1" applyFont="1" applyFill="1" applyBorder="1" applyAlignment="1">
      <alignment horizontal="center" vertical="center"/>
    </xf>
    <xf numFmtId="235" fontId="57" fillId="61" borderId="1076" xfId="0" applyNumberFormat="1" applyFont="1" applyFill="1" applyBorder="1" applyAlignment="1">
      <alignment horizontal="center" vertical="center"/>
    </xf>
    <xf numFmtId="237" fontId="33" fillId="61" borderId="1076" xfId="0" applyNumberFormat="1" applyFont="1" applyFill="1" applyBorder="1" applyAlignment="1">
      <alignment horizontal="center" vertical="center"/>
    </xf>
    <xf numFmtId="237" fontId="33" fillId="61" borderId="1077" xfId="0" applyNumberFormat="1" applyFont="1" applyFill="1" applyBorder="1" applyAlignment="1">
      <alignment horizontal="center" vertical="center"/>
    </xf>
    <xf numFmtId="178" fontId="32" fillId="54" borderId="1082" xfId="0" applyNumberFormat="1" applyFont="1" applyFill="1" applyBorder="1">
      <alignment vertical="center"/>
    </xf>
    <xf numFmtId="178" fontId="32" fillId="47" borderId="1083" xfId="0" applyNumberFormat="1" applyFont="1" applyFill="1" applyBorder="1">
      <alignment vertical="center"/>
    </xf>
    <xf numFmtId="178" fontId="32" fillId="0" borderId="905" xfId="0" applyNumberFormat="1" applyFont="1" applyBorder="1">
      <alignment vertical="center"/>
    </xf>
    <xf numFmtId="178" fontId="33" fillId="53" borderId="1084" xfId="0" applyNumberFormat="1" applyFont="1" applyFill="1" applyBorder="1" applyAlignment="1">
      <alignment horizontal="right" vertical="center"/>
    </xf>
    <xf numFmtId="178" fontId="32" fillId="0" borderId="1085" xfId="0" applyNumberFormat="1" applyFont="1" applyBorder="1">
      <alignment vertical="center"/>
    </xf>
    <xf numFmtId="178" fontId="32" fillId="60" borderId="1086" xfId="0" applyNumberFormat="1" applyFont="1" applyFill="1" applyBorder="1">
      <alignment vertical="center"/>
    </xf>
    <xf numFmtId="178" fontId="32" fillId="0" borderId="1086" xfId="0" applyNumberFormat="1" applyFont="1" applyBorder="1">
      <alignment vertical="center"/>
    </xf>
    <xf numFmtId="178" fontId="32" fillId="60" borderId="1087" xfId="0" applyNumberFormat="1" applyFont="1" applyFill="1" applyBorder="1">
      <alignment vertical="center"/>
    </xf>
    <xf numFmtId="178" fontId="32" fillId="47" borderId="1086" xfId="0" applyNumberFormat="1" applyFont="1" applyFill="1" applyBorder="1">
      <alignment vertical="center"/>
    </xf>
    <xf numFmtId="178" fontId="32" fillId="60" borderId="1088" xfId="0" applyNumberFormat="1" applyFont="1" applyFill="1" applyBorder="1">
      <alignment vertical="center"/>
    </xf>
    <xf numFmtId="177" fontId="33" fillId="53" borderId="1089" xfId="0" applyNumberFormat="1" applyFont="1" applyFill="1" applyBorder="1" applyAlignment="1">
      <alignment horizontal="right" vertical="center"/>
    </xf>
    <xf numFmtId="179" fontId="33" fillId="53" borderId="1090" xfId="0" applyNumberFormat="1" applyFont="1" applyFill="1" applyBorder="1" applyAlignment="1">
      <alignment horizontal="right" vertical="center"/>
    </xf>
    <xf numFmtId="177" fontId="32" fillId="0" borderId="1073" xfId="0" applyNumberFormat="1" applyFont="1" applyBorder="1">
      <alignment vertical="center"/>
    </xf>
    <xf numFmtId="179" fontId="32" fillId="0" borderId="1091" xfId="0" applyNumberFormat="1" applyFont="1" applyBorder="1">
      <alignment vertical="center"/>
    </xf>
    <xf numFmtId="177" fontId="32" fillId="60" borderId="0" xfId="0" applyNumberFormat="1" applyFont="1" applyFill="1">
      <alignment vertical="center"/>
    </xf>
    <xf numFmtId="179" fontId="32" fillId="60" borderId="1092" xfId="0" applyNumberFormat="1" applyFont="1" applyFill="1" applyBorder="1">
      <alignment vertical="center"/>
    </xf>
    <xf numFmtId="177" fontId="32" fillId="0" borderId="0" xfId="0" applyNumberFormat="1" applyFont="1">
      <alignment vertical="center"/>
    </xf>
    <xf numFmtId="179" fontId="32" fillId="0" borderId="1092" xfId="0" applyNumberFormat="1" applyFont="1" applyBorder="1">
      <alignment vertical="center"/>
    </xf>
    <xf numFmtId="177" fontId="32" fillId="60" borderId="1074" xfId="0" applyNumberFormat="1" applyFont="1" applyFill="1" applyBorder="1">
      <alignment vertical="center"/>
    </xf>
    <xf numFmtId="179" fontId="32" fillId="60" borderId="1093" xfId="0" applyNumberFormat="1" applyFont="1" applyFill="1" applyBorder="1">
      <alignment vertical="center"/>
    </xf>
    <xf numFmtId="177" fontId="33" fillId="62" borderId="1094" xfId="0" applyNumberFormat="1" applyFont="1" applyFill="1" applyBorder="1">
      <alignment vertical="center"/>
    </xf>
    <xf numFmtId="177" fontId="32" fillId="47" borderId="0" xfId="0" applyNumberFormat="1" applyFont="1" applyFill="1">
      <alignment vertical="center"/>
    </xf>
    <xf numFmtId="179" fontId="32" fillId="47" borderId="1092" xfId="0" applyNumberFormat="1" applyFont="1" applyFill="1" applyBorder="1">
      <alignment vertical="center"/>
    </xf>
    <xf numFmtId="177" fontId="32" fillId="60" borderId="213" xfId="0" applyNumberFormat="1" applyFont="1" applyFill="1" applyBorder="1">
      <alignment vertical="center"/>
    </xf>
    <xf numFmtId="179" fontId="32" fillId="60" borderId="1095" xfId="0" applyNumberFormat="1" applyFont="1" applyFill="1" applyBorder="1">
      <alignment vertical="center"/>
    </xf>
    <xf numFmtId="180" fontId="32" fillId="54" borderId="1096" xfId="0" applyNumberFormat="1" applyFont="1" applyFill="1" applyBorder="1">
      <alignment vertical="center"/>
    </xf>
    <xf numFmtId="180" fontId="32" fillId="47" borderId="1097" xfId="0" applyNumberFormat="1" applyFont="1" applyFill="1" applyBorder="1">
      <alignment vertical="center"/>
    </xf>
    <xf numFmtId="180" fontId="32" fillId="47" borderId="187" xfId="0" applyNumberFormat="1" applyFont="1" applyFill="1" applyBorder="1">
      <alignment vertical="center"/>
    </xf>
    <xf numFmtId="180" fontId="32" fillId="47" borderId="1098" xfId="0" applyNumberFormat="1" applyFont="1" applyFill="1" applyBorder="1">
      <alignment vertical="center"/>
    </xf>
    <xf numFmtId="180" fontId="32" fillId="0" borderId="187" xfId="0" applyNumberFormat="1" applyFont="1" applyBorder="1">
      <alignment vertical="center"/>
    </xf>
    <xf numFmtId="180" fontId="32" fillId="56" borderId="187" xfId="0" applyNumberFormat="1" applyFont="1" applyFill="1" applyBorder="1">
      <alignment vertical="center"/>
    </xf>
    <xf numFmtId="180" fontId="32" fillId="56" borderId="200" xfId="0" applyNumberFormat="1" applyFont="1" applyFill="1" applyBorder="1">
      <alignment vertical="center"/>
    </xf>
    <xf numFmtId="237" fontId="55" fillId="55" borderId="107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1" fontId="32" fillId="0" borderId="0" xfId="0" applyNumberFormat="1" applyFont="1" applyAlignment="1">
      <alignment horizontal="center" vertical="center"/>
    </xf>
    <xf numFmtId="0" fontId="41" fillId="52" borderId="1074" xfId="0" quotePrefix="1" applyFont="1" applyFill="1" applyBorder="1" applyAlignment="1">
      <alignment horizontal="center" vertical="center"/>
    </xf>
    <xf numFmtId="41" fontId="32" fillId="53" borderId="1100" xfId="2" applyFont="1" applyFill="1" applyBorder="1" applyAlignment="1">
      <alignment horizontal="center" vertical="center"/>
    </xf>
    <xf numFmtId="41" fontId="32" fillId="60" borderId="1101" xfId="2" applyFont="1" applyFill="1" applyBorder="1" applyAlignment="1">
      <alignment horizontal="center" vertical="center"/>
    </xf>
    <xf numFmtId="41" fontId="32" fillId="47" borderId="1102" xfId="2" applyFont="1" applyFill="1" applyBorder="1" applyAlignment="1">
      <alignment horizontal="center" vertical="center"/>
    </xf>
    <xf numFmtId="41" fontId="32" fillId="47" borderId="1101" xfId="2" applyFont="1" applyFill="1" applyBorder="1" applyAlignment="1">
      <alignment horizontal="center" vertical="center"/>
    </xf>
    <xf numFmtId="41" fontId="32" fillId="47" borderId="1103" xfId="2" applyFont="1" applyFill="1" applyBorder="1" applyAlignment="1">
      <alignment horizontal="center" vertical="center"/>
    </xf>
    <xf numFmtId="41" fontId="32" fillId="33" borderId="1102" xfId="2" applyFont="1" applyFill="1" applyBorder="1" applyAlignment="1">
      <alignment horizontal="center" vertical="center"/>
    </xf>
    <xf numFmtId="41" fontId="32" fillId="33" borderId="1101" xfId="2" applyFont="1" applyFill="1" applyBorder="1" applyAlignment="1">
      <alignment horizontal="center" vertical="center"/>
    </xf>
    <xf numFmtId="41" fontId="32" fillId="33" borderId="1103" xfId="2" applyFont="1" applyFill="1" applyBorder="1" applyAlignment="1">
      <alignment horizontal="center" vertical="center"/>
    </xf>
    <xf numFmtId="41" fontId="33" fillId="0" borderId="1101" xfId="2" applyFont="1" applyFill="1" applyBorder="1" applyAlignment="1">
      <alignment horizontal="center" vertical="center"/>
    </xf>
    <xf numFmtId="41" fontId="33" fillId="34" borderId="1101" xfId="2" applyFont="1" applyFill="1" applyBorder="1" applyAlignment="1">
      <alignment horizontal="center" vertical="center"/>
    </xf>
    <xf numFmtId="41" fontId="33" fillId="0" borderId="1104" xfId="2" applyFont="1" applyFill="1" applyBorder="1" applyAlignment="1">
      <alignment horizontal="center" vertical="center"/>
    </xf>
    <xf numFmtId="41" fontId="59" fillId="0" borderId="1101" xfId="2" applyFont="1" applyFill="1" applyBorder="1" applyAlignment="1">
      <alignment horizontal="center" vertical="center"/>
    </xf>
    <xf numFmtId="41" fontId="59" fillId="34" borderId="1101" xfId="2" applyFont="1" applyFill="1" applyBorder="1" applyAlignment="1">
      <alignment horizontal="center" vertical="center"/>
    </xf>
    <xf numFmtId="41" fontId="59" fillId="0" borderId="1104" xfId="2" applyFont="1" applyFill="1" applyBorder="1" applyAlignment="1">
      <alignment horizontal="center" vertical="center"/>
    </xf>
    <xf numFmtId="41" fontId="59" fillId="34" borderId="1104" xfId="2" applyFont="1" applyFill="1" applyBorder="1" applyAlignment="1">
      <alignment horizontal="center" vertical="center"/>
    </xf>
    <xf numFmtId="176" fontId="32" fillId="60" borderId="1101" xfId="3" applyNumberFormat="1" applyFont="1" applyFill="1" applyBorder="1" applyAlignment="1">
      <alignment horizontal="center" vertical="center"/>
    </xf>
    <xf numFmtId="41" fontId="59" fillId="34" borderId="0" xfId="2" applyFont="1" applyFill="1" applyBorder="1" applyAlignment="1">
      <alignment horizontal="center" vertical="center"/>
    </xf>
    <xf numFmtId="41" fontId="32" fillId="0" borderId="1101" xfId="2" applyFont="1" applyFill="1" applyBorder="1" applyAlignment="1">
      <alignment horizontal="center" vertical="center"/>
    </xf>
    <xf numFmtId="41" fontId="32" fillId="0" borderId="1104" xfId="2" applyFont="1" applyFill="1" applyBorder="1" applyAlignment="1">
      <alignment horizontal="center" vertical="center"/>
    </xf>
    <xf numFmtId="2" fontId="32" fillId="53" borderId="1100" xfId="0" applyNumberFormat="1" applyFont="1" applyFill="1" applyBorder="1" applyAlignment="1">
      <alignment horizontal="center" vertical="center"/>
    </xf>
    <xf numFmtId="41" fontId="32" fillId="60" borderId="1101" xfId="2" applyFont="1" applyFill="1" applyBorder="1" applyAlignment="1">
      <alignment horizontal="center" vertical="center" shrinkToFit="1"/>
    </xf>
    <xf numFmtId="41" fontId="32" fillId="47" borderId="1102" xfId="2" applyFont="1" applyFill="1" applyBorder="1" applyAlignment="1">
      <alignment horizontal="center" vertical="center" shrinkToFit="1"/>
    </xf>
    <xf numFmtId="41" fontId="32" fillId="47" borderId="1101" xfId="2" applyFont="1" applyFill="1" applyBorder="1" applyAlignment="1">
      <alignment horizontal="center" vertical="center" shrinkToFit="1"/>
    </xf>
    <xf numFmtId="41" fontId="32" fillId="47" borderId="1103" xfId="2" applyFont="1" applyFill="1" applyBorder="1" applyAlignment="1">
      <alignment horizontal="center" vertical="center" shrinkToFit="1"/>
    </xf>
    <xf numFmtId="41" fontId="32" fillId="63" borderId="1102" xfId="2" applyFont="1" applyFill="1" applyBorder="1" applyAlignment="1">
      <alignment horizontal="center" vertical="center" shrinkToFit="1"/>
    </xf>
    <xf numFmtId="41" fontId="32" fillId="63" borderId="1101" xfId="2" applyFont="1" applyFill="1" applyBorder="1" applyAlignment="1">
      <alignment horizontal="center" vertical="center" shrinkToFit="1"/>
    </xf>
    <xf numFmtId="41" fontId="32" fillId="63" borderId="1104" xfId="2" applyFont="1" applyFill="1" applyBorder="1" applyAlignment="1">
      <alignment horizontal="center" vertical="center" shrinkToFit="1"/>
    </xf>
    <xf numFmtId="0" fontId="32" fillId="64" borderId="0" xfId="0" applyFont="1" applyFill="1" applyAlignment="1">
      <alignment horizontal="center" vertical="center"/>
    </xf>
    <xf numFmtId="0" fontId="32" fillId="0" borderId="1074" xfId="0" applyFont="1" applyBorder="1" applyAlignment="1">
      <alignment horizontal="center" vertical="center"/>
    </xf>
    <xf numFmtId="0" fontId="59" fillId="34" borderId="0" xfId="0" applyFont="1" applyFill="1" applyAlignment="1">
      <alignment horizontal="center" vertical="center"/>
    </xf>
    <xf numFmtId="176" fontId="32" fillId="53" borderId="1102" xfId="3" applyNumberFormat="1" applyFont="1" applyFill="1" applyBorder="1" applyAlignment="1">
      <alignment horizontal="right" vertical="center"/>
    </xf>
    <xf numFmtId="176" fontId="32" fillId="60" borderId="1101" xfId="3" applyNumberFormat="1" applyFont="1" applyFill="1" applyBorder="1" applyAlignment="1">
      <alignment horizontal="right" vertical="center"/>
    </xf>
    <xf numFmtId="176" fontId="32" fillId="60" borderId="1103" xfId="3" applyNumberFormat="1" applyFont="1" applyFill="1" applyBorder="1" applyAlignment="1">
      <alignment horizontal="right" vertical="center"/>
    </xf>
    <xf numFmtId="176" fontId="32" fillId="47" borderId="1100" xfId="3" applyNumberFormat="1" applyFont="1" applyFill="1" applyBorder="1" applyAlignment="1">
      <alignment horizontal="right" vertical="center"/>
    </xf>
    <xf numFmtId="176" fontId="32" fillId="65" borderId="1101" xfId="3" applyNumberFormat="1" applyFont="1" applyFill="1" applyBorder="1" applyAlignment="1">
      <alignment horizontal="right" vertical="center"/>
    </xf>
    <xf numFmtId="176" fontId="32" fillId="47" borderId="1102" xfId="3" applyNumberFormat="1" applyFont="1" applyFill="1" applyBorder="1" applyAlignment="1">
      <alignment horizontal="right" vertical="center"/>
    </xf>
    <xf numFmtId="176" fontId="32" fillId="65" borderId="1103" xfId="3" applyNumberFormat="1" applyFont="1" applyFill="1" applyBorder="1" applyAlignment="1">
      <alignment horizontal="right" vertical="center"/>
    </xf>
    <xf numFmtId="176" fontId="32" fillId="53" borderId="1100" xfId="3" applyNumberFormat="1" applyFont="1" applyFill="1" applyBorder="1" applyAlignment="1">
      <alignment horizontal="right" vertical="center"/>
    </xf>
    <xf numFmtId="176" fontId="32" fillId="60" borderId="1104" xfId="3" applyNumberFormat="1" applyFont="1" applyFill="1" applyBorder="1" applyAlignment="1">
      <alignment horizontal="right" vertical="center"/>
    </xf>
    <xf numFmtId="176" fontId="32" fillId="47" borderId="1101" xfId="3" applyNumberFormat="1" applyFont="1" applyFill="1" applyBorder="1" applyAlignment="1">
      <alignment horizontal="right" vertical="center"/>
    </xf>
    <xf numFmtId="41" fontId="32" fillId="47" borderId="1104" xfId="2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176" fontId="32" fillId="53" borderId="1102" xfId="3" quotePrefix="1" applyNumberFormat="1" applyFont="1" applyFill="1" applyBorder="1" applyAlignment="1">
      <alignment horizontal="right" vertical="center"/>
    </xf>
    <xf numFmtId="41" fontId="0" fillId="0" borderId="478" xfId="2" applyFont="1" applyBorder="1">
      <alignment vertical="center"/>
    </xf>
    <xf numFmtId="41" fontId="0" fillId="6" borderId="978" xfId="2" applyFont="1" applyFill="1" applyBorder="1">
      <alignment vertical="center"/>
    </xf>
    <xf numFmtId="41" fontId="0" fillId="8" borderId="485" xfId="2" applyFont="1" applyFill="1" applyBorder="1">
      <alignment vertical="center"/>
    </xf>
    <xf numFmtId="41" fontId="0" fillId="0" borderId="485" xfId="2" applyFont="1" applyBorder="1">
      <alignment vertical="center"/>
    </xf>
    <xf numFmtId="41" fontId="0" fillId="2" borderId="485" xfId="2" applyFont="1" applyFill="1" applyBorder="1">
      <alignment vertical="center"/>
    </xf>
    <xf numFmtId="41" fontId="0" fillId="0" borderId="485" xfId="2" applyFont="1" applyFill="1" applyBorder="1">
      <alignment vertical="center"/>
    </xf>
    <xf numFmtId="41" fontId="0" fillId="0" borderId="974" xfId="2" applyFont="1" applyFill="1" applyBorder="1">
      <alignment vertical="center"/>
    </xf>
    <xf numFmtId="195" fontId="4" fillId="0" borderId="982" xfId="2" quotePrefix="1" applyNumberFormat="1" applyFont="1" applyFill="1" applyBorder="1" applyAlignment="1">
      <alignment horizontal="center" vertical="center"/>
    </xf>
    <xf numFmtId="195" fontId="4" fillId="2" borderId="485" xfId="2" quotePrefix="1" applyNumberFormat="1" applyFont="1" applyFill="1" applyBorder="1" applyAlignment="1">
      <alignment horizontal="center" vertical="center"/>
    </xf>
    <xf numFmtId="195" fontId="4" fillId="11" borderId="478" xfId="2" quotePrefix="1" applyNumberFormat="1" applyFont="1" applyFill="1" applyBorder="1" applyAlignment="1">
      <alignment horizontal="center" vertical="center"/>
    </xf>
    <xf numFmtId="41" fontId="4" fillId="0" borderId="485" xfId="2" quotePrefix="1" applyNumberFormat="1" applyFont="1" applyFill="1" applyBorder="1" applyAlignment="1">
      <alignment horizontal="center" vertical="center"/>
    </xf>
    <xf numFmtId="41" fontId="4" fillId="11" borderId="485" xfId="2" quotePrefix="1" applyNumberFormat="1" applyFont="1" applyFill="1" applyBorder="1" applyAlignment="1">
      <alignment horizontal="center" vertical="center"/>
    </xf>
    <xf numFmtId="9" fontId="4" fillId="8" borderId="485" xfId="3" quotePrefix="1" applyFont="1" applyFill="1" applyBorder="1" applyAlignment="1">
      <alignment horizontal="right" vertical="center"/>
    </xf>
    <xf numFmtId="41" fontId="4" fillId="11" borderId="984" xfId="2" quotePrefix="1" applyNumberFormat="1" applyFont="1" applyFill="1" applyBorder="1" applyAlignment="1">
      <alignment horizontal="center" vertical="center"/>
    </xf>
    <xf numFmtId="192" fontId="10" fillId="8" borderId="0" xfId="2" applyNumberFormat="1" applyFont="1" applyFill="1" applyBorder="1" applyAlignment="1">
      <alignment horizontal="center" vertical="center"/>
    </xf>
    <xf numFmtId="192" fontId="10" fillId="5" borderId="0" xfId="2" applyNumberFormat="1" applyFont="1" applyFill="1" applyBorder="1" applyAlignment="1">
      <alignment horizontal="center" vertical="center"/>
    </xf>
    <xf numFmtId="192" fontId="10" fillId="5" borderId="0" xfId="3" applyNumberFormat="1" applyFont="1" applyFill="1" applyBorder="1" applyAlignment="1">
      <alignment horizontal="center" vertical="center"/>
    </xf>
    <xf numFmtId="192" fontId="10" fillId="8" borderId="0" xfId="3" applyNumberFormat="1" applyFont="1" applyFill="1" applyBorder="1" applyAlignment="1">
      <alignment horizontal="center" vertical="center"/>
    </xf>
    <xf numFmtId="192" fontId="10" fillId="0" borderId="0" xfId="2" applyNumberFormat="1" applyFont="1" applyBorder="1" applyAlignment="1">
      <alignment horizontal="center" vertical="center"/>
    </xf>
    <xf numFmtId="192" fontId="10" fillId="0" borderId="0" xfId="3" applyNumberFormat="1" applyFont="1" applyBorder="1" applyAlignment="1">
      <alignment horizontal="center" vertical="center"/>
    </xf>
    <xf numFmtId="202" fontId="33" fillId="53" borderId="1089" xfId="0" applyNumberFormat="1" applyFont="1" applyFill="1" applyBorder="1">
      <alignment vertical="center"/>
    </xf>
    <xf numFmtId="0" fontId="33" fillId="53" borderId="1089" xfId="0" applyFont="1" applyFill="1" applyBorder="1">
      <alignment vertical="center"/>
    </xf>
    <xf numFmtId="202" fontId="33" fillId="53" borderId="0" xfId="0" applyNumberFormat="1" applyFont="1" applyFill="1">
      <alignment vertical="center"/>
    </xf>
    <xf numFmtId="3" fontId="33" fillId="53" borderId="0" xfId="0" applyNumberFormat="1" applyFont="1" applyFill="1">
      <alignment vertical="center"/>
    </xf>
    <xf numFmtId="176" fontId="33" fillId="53" borderId="0" xfId="3" applyNumberFormat="1" applyFont="1" applyFill="1" applyBorder="1" applyAlignment="1">
      <alignment horizontal="right" vertical="center"/>
    </xf>
    <xf numFmtId="176" fontId="62" fillId="53" borderId="0" xfId="0" applyNumberFormat="1" applyFont="1" applyFill="1" applyAlignment="1">
      <alignment horizontal="center" vertical="center"/>
    </xf>
    <xf numFmtId="176" fontId="32" fillId="33" borderId="1105" xfId="3" applyNumberFormat="1" applyFont="1" applyFill="1" applyBorder="1">
      <alignment vertical="center"/>
    </xf>
    <xf numFmtId="176" fontId="32" fillId="33" borderId="1105" xfId="0" applyNumberFormat="1" applyFont="1" applyFill="1" applyBorder="1">
      <alignment vertical="center"/>
    </xf>
    <xf numFmtId="176" fontId="32" fillId="0" borderId="0" xfId="3" applyNumberFormat="1" applyFont="1" applyFill="1" applyBorder="1">
      <alignment vertical="center"/>
    </xf>
    <xf numFmtId="176" fontId="32" fillId="0" borderId="0" xfId="0" applyNumberFormat="1" applyFont="1">
      <alignment vertical="center"/>
    </xf>
    <xf numFmtId="176" fontId="32" fillId="0" borderId="1106" xfId="3" applyNumberFormat="1" applyFont="1" applyFill="1" applyBorder="1">
      <alignment vertical="center"/>
    </xf>
    <xf numFmtId="176" fontId="32" fillId="0" borderId="1106" xfId="0" applyNumberFormat="1" applyFont="1" applyBorder="1">
      <alignment vertical="center"/>
    </xf>
    <xf numFmtId="176" fontId="32" fillId="33" borderId="0" xfId="3" applyNumberFormat="1" applyFont="1" applyFill="1" applyBorder="1">
      <alignment vertical="center"/>
    </xf>
    <xf numFmtId="176" fontId="32" fillId="33" borderId="0" xfId="0" applyNumberFormat="1" applyFont="1" applyFill="1">
      <alignment vertical="center"/>
    </xf>
    <xf numFmtId="41" fontId="33" fillId="53" borderId="1089" xfId="2" applyFont="1" applyFill="1" applyBorder="1">
      <alignment vertical="center"/>
    </xf>
    <xf numFmtId="187" fontId="33" fillId="34" borderId="1105" xfId="0" applyNumberFormat="1" applyFont="1" applyFill="1" applyBorder="1" applyAlignment="1">
      <alignment horizontal="right" vertical="center"/>
    </xf>
    <xf numFmtId="176" fontId="62" fillId="34" borderId="1105" xfId="0" applyNumberFormat="1" applyFont="1" applyFill="1" applyBorder="1" applyAlignment="1">
      <alignment horizontal="center" vertical="center"/>
    </xf>
    <xf numFmtId="200" fontId="33" fillId="55" borderId="1074" xfId="0" applyNumberFormat="1" applyFont="1" applyFill="1" applyBorder="1" applyAlignment="1">
      <alignment horizontal="right" vertical="center"/>
    </xf>
    <xf numFmtId="200" fontId="62" fillId="55" borderId="1074" xfId="0" applyNumberFormat="1" applyFont="1" applyFill="1" applyBorder="1" applyAlignment="1">
      <alignment horizontal="center" vertical="center"/>
    </xf>
    <xf numFmtId="41" fontId="33" fillId="47" borderId="1107" xfId="2" applyFont="1" applyFill="1" applyBorder="1">
      <alignment vertical="center"/>
    </xf>
    <xf numFmtId="0" fontId="42" fillId="47" borderId="1107" xfId="0" applyFont="1" applyFill="1" applyBorder="1">
      <alignment vertical="center"/>
    </xf>
    <xf numFmtId="0" fontId="33" fillId="47" borderId="0" xfId="0" applyFont="1" applyFill="1">
      <alignment vertical="center"/>
    </xf>
    <xf numFmtId="0" fontId="42" fillId="47" borderId="0" xfId="0" applyFont="1" applyFill="1">
      <alignment vertical="center"/>
    </xf>
    <xf numFmtId="187" fontId="33" fillId="47" borderId="0" xfId="0" applyNumberFormat="1" applyFont="1" applyFill="1">
      <alignment vertical="center"/>
    </xf>
    <xf numFmtId="187" fontId="62" fillId="47" borderId="0" xfId="0" applyNumberFormat="1" applyFont="1" applyFill="1">
      <alignment vertical="center"/>
    </xf>
    <xf numFmtId="41" fontId="33" fillId="53" borderId="1108" xfId="2" applyFont="1" applyFill="1" applyBorder="1">
      <alignment vertical="center"/>
    </xf>
    <xf numFmtId="0" fontId="32" fillId="53" borderId="1108" xfId="0" applyFont="1" applyFill="1" applyBorder="1">
      <alignment vertical="center"/>
    </xf>
    <xf numFmtId="0" fontId="32" fillId="0" borderId="1109" xfId="0" applyFont="1" applyBorder="1">
      <alignment vertical="center"/>
    </xf>
    <xf numFmtId="41" fontId="33" fillId="53" borderId="0" xfId="2" applyFont="1" applyFill="1" applyBorder="1">
      <alignment vertical="center"/>
    </xf>
    <xf numFmtId="0" fontId="32" fillId="53" borderId="0" xfId="0" applyFont="1" applyFill="1">
      <alignment vertical="center"/>
    </xf>
    <xf numFmtId="0" fontId="33" fillId="55" borderId="0" xfId="0" applyFont="1" applyFill="1">
      <alignment vertical="center"/>
    </xf>
    <xf numFmtId="0" fontId="33" fillId="55" borderId="515" xfId="0" applyFont="1" applyFill="1" applyBorder="1">
      <alignment vertical="center"/>
    </xf>
    <xf numFmtId="0" fontId="33" fillId="54" borderId="1082" xfId="0" applyFont="1" applyFill="1" applyBorder="1">
      <alignment vertical="center"/>
    </xf>
    <xf numFmtId="41" fontId="33" fillId="54" borderId="0" xfId="2" applyFont="1" applyFill="1" applyBorder="1">
      <alignment vertical="center"/>
    </xf>
    <xf numFmtId="41" fontId="33" fillId="54" borderId="0" xfId="0" applyNumberFormat="1" applyFont="1" applyFill="1">
      <alignment vertical="center"/>
    </xf>
    <xf numFmtId="176" fontId="33" fillId="54" borderId="0" xfId="3" applyNumberFormat="1" applyFont="1" applyFill="1" applyBorder="1">
      <alignment vertical="center"/>
    </xf>
    <xf numFmtId="176" fontId="33" fillId="54" borderId="0" xfId="0" applyNumberFormat="1" applyFont="1" applyFill="1">
      <alignment vertical="center"/>
    </xf>
    <xf numFmtId="0" fontId="32" fillId="54" borderId="0" xfId="0" quotePrefix="1" applyFont="1" applyFill="1">
      <alignment vertical="center"/>
    </xf>
    <xf numFmtId="0" fontId="33" fillId="54" borderId="0" xfId="0" quotePrefix="1" applyFont="1" applyFill="1">
      <alignment vertical="center"/>
    </xf>
    <xf numFmtId="0" fontId="33" fillId="60" borderId="0" xfId="0" applyFont="1" applyFill="1">
      <alignment vertical="center"/>
    </xf>
    <xf numFmtId="187" fontId="33" fillId="60" borderId="0" xfId="3" applyNumberFormat="1" applyFont="1" applyFill="1" applyBorder="1">
      <alignment vertical="center"/>
    </xf>
    <xf numFmtId="187" fontId="62" fillId="60" borderId="0" xfId="0" applyNumberFormat="1" applyFont="1" applyFill="1">
      <alignment vertical="center"/>
    </xf>
    <xf numFmtId="176" fontId="33" fillId="0" borderId="0" xfId="3" applyNumberFormat="1" applyFont="1" applyFill="1" applyBorder="1">
      <alignment vertical="center"/>
    </xf>
    <xf numFmtId="176" fontId="33" fillId="0" borderId="0" xfId="0" applyNumberFormat="1" applyFont="1">
      <alignment vertical="center"/>
    </xf>
    <xf numFmtId="176" fontId="33" fillId="0" borderId="1110" xfId="3" applyNumberFormat="1" applyFont="1" applyFill="1" applyBorder="1">
      <alignment vertical="center"/>
    </xf>
    <xf numFmtId="176" fontId="33" fillId="0" borderId="1110" xfId="0" applyNumberFormat="1" applyFont="1" applyBorder="1">
      <alignment vertical="center"/>
    </xf>
    <xf numFmtId="187" fontId="33" fillId="60" borderId="0" xfId="0" applyNumberFormat="1" applyFont="1" applyFill="1">
      <alignment vertical="center"/>
    </xf>
    <xf numFmtId="187" fontId="33" fillId="0" borderId="0" xfId="0" applyNumberFormat="1" applyFont="1">
      <alignment vertical="center"/>
    </xf>
    <xf numFmtId="187" fontId="33" fillId="0" borderId="904" xfId="0" applyNumberFormat="1" applyFont="1" applyBorder="1">
      <alignment vertical="center"/>
    </xf>
    <xf numFmtId="176" fontId="33" fillId="53" borderId="1083" xfId="3" applyNumberFormat="1" applyFont="1" applyFill="1" applyBorder="1" applyAlignment="1">
      <alignment horizontal="center" vertical="center"/>
    </xf>
    <xf numFmtId="176" fontId="33" fillId="53" borderId="1083" xfId="0" applyNumberFormat="1" applyFont="1" applyFill="1" applyBorder="1" applyAlignment="1">
      <alignment horizontal="center" vertical="center"/>
    </xf>
    <xf numFmtId="176" fontId="33" fillId="55" borderId="0" xfId="3" applyNumberFormat="1" applyFont="1" applyFill="1" applyBorder="1">
      <alignment vertical="center"/>
    </xf>
    <xf numFmtId="176" fontId="33" fillId="66" borderId="0" xfId="0" applyNumberFormat="1" applyFont="1" applyFill="1">
      <alignment vertical="center"/>
    </xf>
    <xf numFmtId="176" fontId="33" fillId="55" borderId="515" xfId="3" applyNumberFormat="1" applyFont="1" applyFill="1" applyBorder="1">
      <alignment vertical="center"/>
    </xf>
    <xf numFmtId="176" fontId="33" fillId="55" borderId="515" xfId="0" applyNumberFormat="1" applyFont="1" applyFill="1" applyBorder="1">
      <alignment vertical="center"/>
    </xf>
    <xf numFmtId="41" fontId="10" fillId="14" borderId="11" xfId="2" applyFont="1" applyFill="1" applyBorder="1">
      <alignment vertical="center"/>
    </xf>
    <xf numFmtId="41" fontId="10" fillId="14" borderId="0" xfId="2" applyFont="1" applyFill="1" applyBorder="1">
      <alignment vertical="center"/>
    </xf>
    <xf numFmtId="41" fontId="10" fillId="14" borderId="12" xfId="2" applyFont="1" applyFill="1" applyBorder="1">
      <alignment vertical="center"/>
    </xf>
    <xf numFmtId="41" fontId="10" fillId="14" borderId="0" xfId="2" applyFont="1" applyFill="1" applyBorder="1" applyAlignment="1">
      <alignment vertical="center"/>
    </xf>
    <xf numFmtId="41" fontId="10" fillId="67" borderId="0" xfId="2" applyFont="1" applyFill="1" applyBorder="1" applyAlignment="1">
      <alignment horizontal="center" vertical="center"/>
    </xf>
    <xf numFmtId="0" fontId="0" fillId="8" borderId="330" xfId="2" applyNumberFormat="1" applyFont="1" applyFill="1" applyBorder="1" applyAlignment="1">
      <alignment horizontal="center" vertical="center"/>
    </xf>
    <xf numFmtId="0" fontId="0" fillId="8" borderId="329" xfId="2" applyNumberFormat="1" applyFont="1" applyFill="1" applyBorder="1" applyAlignment="1">
      <alignment horizontal="center" vertical="center"/>
    </xf>
    <xf numFmtId="0" fontId="0" fillId="8" borderId="331" xfId="2" applyNumberFormat="1" applyFont="1" applyFill="1" applyBorder="1" applyAlignment="1">
      <alignment horizontal="center" vertical="center"/>
    </xf>
    <xf numFmtId="237" fontId="11" fillId="0" borderId="334" xfId="2" applyNumberFormat="1" applyFont="1" applyBorder="1" applyAlignment="1">
      <alignment horizontal="center" vertical="center"/>
    </xf>
    <xf numFmtId="237" fontId="11" fillId="0" borderId="256" xfId="2" applyNumberFormat="1" applyFont="1" applyBorder="1" applyAlignment="1">
      <alignment horizontal="center" vertical="center"/>
    </xf>
    <xf numFmtId="237" fontId="11" fillId="2" borderId="256" xfId="2" applyNumberFormat="1" applyFont="1" applyFill="1" applyBorder="1" applyAlignment="1">
      <alignment horizontal="center" vertical="center"/>
    </xf>
    <xf numFmtId="237" fontId="11" fillId="0" borderId="336" xfId="2" applyNumberFormat="1" applyFont="1" applyBorder="1" applyAlignment="1">
      <alignment horizontal="center" vertical="center"/>
    </xf>
    <xf numFmtId="237" fontId="0" fillId="11" borderId="328" xfId="2" applyNumberFormat="1" applyFont="1" applyFill="1" applyBorder="1" applyAlignment="1">
      <alignment horizontal="center" vertical="center"/>
    </xf>
    <xf numFmtId="194" fontId="0" fillId="13" borderId="329" xfId="2" applyNumberFormat="1" applyFont="1" applyFill="1" applyBorder="1" applyAlignment="1">
      <alignment horizontal="center" vertical="center"/>
    </xf>
    <xf numFmtId="41" fontId="0" fillId="11" borderId="328" xfId="2" applyFont="1" applyFill="1" applyBorder="1" applyAlignment="1">
      <alignment vertical="center"/>
    </xf>
    <xf numFmtId="194" fontId="0" fillId="0" borderId="0" xfId="2" applyNumberFormat="1" applyFont="1" applyAlignment="1">
      <alignment horizontal="center" vertical="center"/>
    </xf>
    <xf numFmtId="0" fontId="0" fillId="10" borderId="0" xfId="0" applyFill="1" applyAlignment="1">
      <alignment horizontal="center" vertical="center" shrinkToFit="1"/>
    </xf>
    <xf numFmtId="0" fontId="0" fillId="0" borderId="1174" xfId="0" applyFill="1" applyBorder="1">
      <alignment vertical="center"/>
    </xf>
    <xf numFmtId="0" fontId="0" fillId="0" borderId="1175" xfId="0" applyFill="1" applyBorder="1">
      <alignment vertical="center"/>
    </xf>
    <xf numFmtId="0" fontId="0" fillId="0" borderId="1174" xfId="0" applyBorder="1">
      <alignment vertical="center"/>
    </xf>
    <xf numFmtId="203" fontId="0" fillId="0" borderId="1174" xfId="0" applyNumberFormat="1" applyFill="1" applyBorder="1">
      <alignment vertical="center"/>
    </xf>
    <xf numFmtId="0" fontId="0" fillId="0" borderId="1177" xfId="0" applyFill="1" applyBorder="1">
      <alignment vertical="center"/>
    </xf>
    <xf numFmtId="0" fontId="0" fillId="0" borderId="1177" xfId="0" applyBorder="1">
      <alignment vertical="center"/>
    </xf>
    <xf numFmtId="203" fontId="0" fillId="0" borderId="1177" xfId="0" applyNumberFormat="1" applyFill="1" applyBorder="1">
      <alignment vertical="center"/>
    </xf>
    <xf numFmtId="41" fontId="0" fillId="13" borderId="329" xfId="2" applyFont="1" applyFill="1" applyBorder="1" applyAlignment="1">
      <alignment vertical="center"/>
    </xf>
    <xf numFmtId="41" fontId="0" fillId="0" borderId="32" xfId="2" applyFont="1" applyFill="1" applyBorder="1">
      <alignment vertical="center"/>
    </xf>
    <xf numFmtId="192" fontId="0" fillId="5" borderId="616" xfId="2" applyNumberFormat="1" applyFont="1" applyFill="1" applyBorder="1">
      <alignment vertical="center"/>
    </xf>
    <xf numFmtId="192" fontId="0" fillId="5" borderId="0" xfId="2" applyNumberFormat="1" applyFont="1" applyFill="1" applyBorder="1">
      <alignment vertical="center"/>
    </xf>
    <xf numFmtId="192" fontId="0" fillId="5" borderId="611" xfId="2" applyNumberFormat="1" applyFont="1" applyFill="1" applyBorder="1">
      <alignment vertical="center"/>
    </xf>
    <xf numFmtId="176" fontId="4" fillId="8" borderId="0" xfId="0" quotePrefix="1" applyNumberFormat="1" applyFont="1" applyFill="1" applyBorder="1" applyAlignment="1">
      <alignment horizontal="right" vertical="center"/>
    </xf>
    <xf numFmtId="240" fontId="30" fillId="0" borderId="0" xfId="0" applyNumberFormat="1" applyFont="1" applyAlignment="1">
      <alignment horizontal="center" vertical="center"/>
    </xf>
    <xf numFmtId="237" fontId="30" fillId="0" borderId="0" xfId="0" applyNumberFormat="1" applyFont="1" applyAlignment="1">
      <alignment horizontal="center" vertical="center"/>
    </xf>
    <xf numFmtId="235" fontId="50" fillId="0" borderId="0" xfId="0" applyNumberFormat="1" applyFont="1" applyAlignment="1">
      <alignment horizontal="center" vertical="center"/>
    </xf>
    <xf numFmtId="235" fontId="50" fillId="8" borderId="0" xfId="0" applyNumberFormat="1" applyFont="1" applyFill="1" applyAlignment="1">
      <alignment horizontal="center" vertical="center"/>
    </xf>
    <xf numFmtId="234" fontId="34" fillId="5" borderId="0" xfId="0" applyNumberFormat="1" applyFont="1" applyFill="1" applyAlignment="1">
      <alignment horizontal="center" vertical="center"/>
    </xf>
    <xf numFmtId="1" fontId="33" fillId="61" borderId="1204" xfId="0" applyNumberFormat="1" applyFont="1" applyFill="1" applyBorder="1" applyAlignment="1">
      <alignment horizontal="center" vertical="center"/>
    </xf>
    <xf numFmtId="235" fontId="57" fillId="61" borderId="0" xfId="0" applyNumberFormat="1" applyFont="1" applyFill="1" applyAlignment="1">
      <alignment horizontal="center" vertical="center"/>
    </xf>
    <xf numFmtId="237" fontId="30" fillId="5" borderId="0" xfId="0" applyNumberFormat="1" applyFont="1" applyFill="1" applyAlignment="1">
      <alignment horizontal="center" vertical="center"/>
    </xf>
    <xf numFmtId="237" fontId="30" fillId="58" borderId="0" xfId="0" applyNumberFormat="1" applyFont="1" applyFill="1" applyAlignment="1">
      <alignment horizontal="center" vertical="center"/>
    </xf>
    <xf numFmtId="235" fontId="50" fillId="5" borderId="0" xfId="0" applyNumberFormat="1" applyFont="1" applyFill="1" applyAlignment="1">
      <alignment horizontal="center" vertical="center"/>
    </xf>
    <xf numFmtId="239" fontId="30" fillId="0" borderId="0" xfId="0" applyNumberFormat="1" applyFont="1" applyAlignment="1">
      <alignment horizontal="center" vertical="center"/>
    </xf>
    <xf numFmtId="241" fontId="30" fillId="0" borderId="0" xfId="0" applyNumberFormat="1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78" fontId="30" fillId="0" borderId="0" xfId="0" applyNumberFormat="1" applyFont="1" applyAlignment="1">
      <alignment horizontal="center" vertical="center"/>
    </xf>
    <xf numFmtId="236" fontId="30" fillId="0" borderId="0" xfId="0" applyNumberFormat="1" applyFont="1" applyAlignment="1">
      <alignment horizontal="center" vertical="center"/>
    </xf>
    <xf numFmtId="238" fontId="30" fillId="0" borderId="0" xfId="0" applyNumberFormat="1" applyFont="1" applyAlignment="1">
      <alignment horizontal="center" vertical="center"/>
    </xf>
    <xf numFmtId="235" fontId="54" fillId="8" borderId="0" xfId="0" applyNumberFormat="1" applyFont="1" applyFill="1" applyAlignment="1">
      <alignment horizontal="center" vertical="center"/>
    </xf>
    <xf numFmtId="234" fontId="34" fillId="8" borderId="0" xfId="0" applyNumberFormat="1" applyFont="1" applyFill="1" applyAlignment="1">
      <alignment horizontal="center" vertical="center"/>
    </xf>
    <xf numFmtId="1" fontId="30" fillId="58" borderId="0" xfId="0" applyNumberFormat="1" applyFont="1" applyFill="1" applyAlignment="1">
      <alignment horizontal="center" vertical="center"/>
    </xf>
    <xf numFmtId="178" fontId="30" fillId="58" borderId="0" xfId="0" applyNumberFormat="1" applyFont="1" applyFill="1" applyAlignment="1">
      <alignment horizontal="center" vertical="center"/>
    </xf>
    <xf numFmtId="236" fontId="30" fillId="58" borderId="0" xfId="0" applyNumberFormat="1" applyFont="1" applyFill="1" applyAlignment="1">
      <alignment horizontal="center" vertical="center"/>
    </xf>
    <xf numFmtId="235" fontId="54" fillId="58" borderId="0" xfId="0" applyNumberFormat="1" applyFont="1" applyFill="1" applyAlignment="1">
      <alignment horizontal="center" vertical="center"/>
    </xf>
    <xf numFmtId="178" fontId="30" fillId="5" borderId="0" xfId="0" applyNumberFormat="1" applyFont="1" applyFill="1" applyAlignment="1">
      <alignment horizontal="center" vertical="center"/>
    </xf>
    <xf numFmtId="236" fontId="30" fillId="5" borderId="0" xfId="0" applyNumberFormat="1" applyFont="1" applyFill="1" applyAlignment="1">
      <alignment horizontal="center" vertical="center"/>
    </xf>
    <xf numFmtId="238" fontId="30" fillId="58" borderId="0" xfId="0" applyNumberFormat="1" applyFont="1" applyFill="1" applyAlignment="1">
      <alignment horizontal="center" vertical="center"/>
    </xf>
    <xf numFmtId="178" fontId="50" fillId="5" borderId="0" xfId="0" applyNumberFormat="1" applyFont="1" applyFill="1" applyAlignment="1">
      <alignment horizontal="center" vertical="center"/>
    </xf>
    <xf numFmtId="245" fontId="50" fillId="5" borderId="0" xfId="0" applyNumberFormat="1" applyFont="1" applyFill="1" applyAlignment="1">
      <alignment horizontal="center" vertical="center"/>
    </xf>
    <xf numFmtId="237" fontId="30" fillId="58" borderId="1206" xfId="0" applyNumberFormat="1" applyFont="1" applyFill="1" applyBorder="1" applyAlignment="1">
      <alignment horizontal="center" vertical="center"/>
    </xf>
    <xf numFmtId="237" fontId="30" fillId="58" borderId="1207" xfId="0" applyNumberFormat="1" applyFont="1" applyFill="1" applyBorder="1" applyAlignment="1">
      <alignment horizontal="center" vertical="center"/>
    </xf>
    <xf numFmtId="238" fontId="30" fillId="58" borderId="1208" xfId="0" applyNumberFormat="1" applyFont="1" applyFill="1" applyBorder="1" applyAlignment="1">
      <alignment horizontal="center" vertical="center"/>
    </xf>
    <xf numFmtId="237" fontId="30" fillId="58" borderId="1208" xfId="0" applyNumberFormat="1" applyFont="1" applyFill="1" applyBorder="1" applyAlignment="1">
      <alignment horizontal="center" vertical="center"/>
    </xf>
    <xf numFmtId="178" fontId="30" fillId="58" borderId="1207" xfId="0" applyNumberFormat="1" applyFont="1" applyFill="1" applyBorder="1" applyAlignment="1">
      <alignment horizontal="center" vertical="center"/>
    </xf>
    <xf numFmtId="238" fontId="30" fillId="58" borderId="1207" xfId="0" applyNumberFormat="1" applyFont="1" applyFill="1" applyBorder="1" applyAlignment="1">
      <alignment horizontal="center" vertical="center"/>
    </xf>
    <xf numFmtId="41" fontId="0" fillId="5" borderId="0" xfId="0" applyNumberFormat="1" applyFill="1">
      <alignment vertical="center"/>
    </xf>
    <xf numFmtId="0" fontId="9" fillId="8" borderId="574" xfId="0" applyFont="1" applyFill="1" applyBorder="1" applyAlignment="1">
      <alignment horizontal="left" vertical="center"/>
    </xf>
    <xf numFmtId="192" fontId="9" fillId="11" borderId="383" xfId="0" applyNumberFormat="1" applyFont="1" applyFill="1" applyBorder="1" applyAlignment="1">
      <alignment horizontal="center" vertical="center"/>
    </xf>
    <xf numFmtId="192" fontId="9" fillId="5" borderId="381" xfId="0" applyNumberFormat="1" applyFont="1" applyFill="1" applyBorder="1" applyAlignment="1">
      <alignment horizontal="center" vertical="center"/>
    </xf>
    <xf numFmtId="192" fontId="10" fillId="0" borderId="381" xfId="0" applyNumberFormat="1" applyFont="1" applyBorder="1" applyAlignment="1">
      <alignment horizontal="center" vertical="center"/>
    </xf>
    <xf numFmtId="194" fontId="10" fillId="5" borderId="381" xfId="2" applyNumberFormat="1" applyFont="1" applyFill="1" applyBorder="1" applyAlignment="1">
      <alignment horizontal="center" vertical="center"/>
    </xf>
    <xf numFmtId="192" fontId="10" fillId="8" borderId="68" xfId="2" applyNumberFormat="1" applyFont="1" applyFill="1" applyBorder="1" applyAlignment="1">
      <alignment horizontal="center" vertical="center"/>
    </xf>
    <xf numFmtId="192" fontId="10" fillId="8" borderId="68" xfId="3" applyNumberFormat="1" applyFont="1" applyFill="1" applyBorder="1" applyAlignment="1">
      <alignment horizontal="center" vertical="center"/>
    </xf>
    <xf numFmtId="192" fontId="10" fillId="29" borderId="68" xfId="2" applyNumberFormat="1" applyFont="1" applyFill="1" applyBorder="1" applyAlignment="1">
      <alignment horizontal="center" vertical="center"/>
    </xf>
    <xf numFmtId="192" fontId="10" fillId="29" borderId="68" xfId="3" applyNumberFormat="1" applyFont="1" applyFill="1" applyBorder="1" applyAlignment="1">
      <alignment horizontal="center" vertical="center"/>
    </xf>
    <xf numFmtId="192" fontId="10" fillId="8" borderId="383" xfId="2" applyNumberFormat="1" applyFont="1" applyFill="1" applyBorder="1" applyAlignment="1">
      <alignment horizontal="center" vertical="center"/>
    </xf>
    <xf numFmtId="192" fontId="10" fillId="29" borderId="0" xfId="2" applyNumberFormat="1" applyFont="1" applyFill="1" applyBorder="1" applyAlignment="1">
      <alignment horizontal="center" vertical="center"/>
    </xf>
    <xf numFmtId="192" fontId="10" fillId="29" borderId="0" xfId="3" applyNumberFormat="1" applyFont="1" applyFill="1" applyBorder="1" applyAlignment="1">
      <alignment horizontal="center" vertical="center"/>
    </xf>
    <xf numFmtId="192" fontId="10" fillId="0" borderId="381" xfId="2" applyNumberFormat="1" applyFont="1" applyBorder="1" applyAlignment="1">
      <alignment horizontal="center" vertical="center"/>
    </xf>
    <xf numFmtId="192" fontId="10" fillId="8" borderId="381" xfId="2" applyNumberFormat="1" applyFont="1" applyFill="1" applyBorder="1" applyAlignment="1">
      <alignment horizontal="center" vertical="center"/>
    </xf>
    <xf numFmtId="192" fontId="10" fillId="5" borderId="381" xfId="2" applyNumberFormat="1" applyFont="1" applyFill="1" applyBorder="1" applyAlignment="1">
      <alignment horizontal="center" vertical="center"/>
    </xf>
    <xf numFmtId="192" fontId="6" fillId="4" borderId="1003" xfId="0" quotePrefix="1" applyNumberFormat="1" applyFont="1" applyFill="1" applyBorder="1" applyAlignment="1">
      <alignment horizontal="center" vertical="center"/>
    </xf>
    <xf numFmtId="0" fontId="9" fillId="11" borderId="302" xfId="0" applyFont="1" applyFill="1" applyBorder="1">
      <alignment vertical="center"/>
    </xf>
    <xf numFmtId="202" fontId="0" fillId="5" borderId="0" xfId="3" applyNumberFormat="1" applyFont="1" applyFill="1">
      <alignment vertical="center"/>
    </xf>
    <xf numFmtId="176" fontId="0" fillId="5" borderId="0" xfId="3" applyNumberFormat="1" applyFont="1" applyFill="1">
      <alignment vertical="center"/>
    </xf>
    <xf numFmtId="202" fontId="0" fillId="5" borderId="0" xfId="2" applyNumberFormat="1" applyFont="1" applyFill="1">
      <alignment vertical="center"/>
    </xf>
    <xf numFmtId="41" fontId="0" fillId="5" borderId="0" xfId="2" applyFont="1" applyFill="1">
      <alignment vertical="center"/>
    </xf>
    <xf numFmtId="0" fontId="0" fillId="0" borderId="32" xfId="0" applyBorder="1">
      <alignment vertical="center"/>
    </xf>
    <xf numFmtId="0" fontId="17" fillId="8" borderId="85" xfId="0" applyFont="1" applyFill="1" applyBorder="1" applyAlignment="1">
      <alignment horizontal="center" vertical="center"/>
    </xf>
    <xf numFmtId="41" fontId="0" fillId="13" borderId="0" xfId="2" applyFont="1" applyFill="1" applyBorder="1" applyAlignment="1">
      <alignment horizontal="right" vertical="center"/>
    </xf>
    <xf numFmtId="0" fontId="0" fillId="18" borderId="0" xfId="0" applyFill="1" applyAlignment="1">
      <alignment horizontal="center" vertical="center" shrinkToFit="1"/>
    </xf>
    <xf numFmtId="41" fontId="33" fillId="47" borderId="1073" xfId="2" applyFont="1" applyFill="1" applyBorder="1" applyAlignment="1">
      <alignment horizontal="center" vertical="center"/>
    </xf>
    <xf numFmtId="41" fontId="33" fillId="0" borderId="0" xfId="2" applyFont="1" applyFill="1" applyBorder="1" applyAlignment="1">
      <alignment horizontal="center" vertical="center"/>
    </xf>
    <xf numFmtId="41" fontId="33" fillId="47" borderId="0" xfId="2" applyFont="1" applyFill="1" applyBorder="1" applyAlignment="1">
      <alignment horizontal="center" vertical="center"/>
    </xf>
    <xf numFmtId="41" fontId="33" fillId="55" borderId="0" xfId="2" applyFont="1" applyFill="1" applyBorder="1" applyAlignment="1">
      <alignment horizontal="center" vertical="center"/>
    </xf>
    <xf numFmtId="203" fontId="0" fillId="0" borderId="364" xfId="0" applyNumberFormat="1" applyBorder="1">
      <alignment vertical="center"/>
    </xf>
    <xf numFmtId="0" fontId="10" fillId="0" borderId="763" xfId="0" applyFont="1" applyBorder="1">
      <alignment vertical="center"/>
    </xf>
    <xf numFmtId="203" fontId="0" fillId="0" borderId="19" xfId="0" applyNumberFormat="1" applyBorder="1">
      <alignment vertical="center"/>
    </xf>
    <xf numFmtId="192" fontId="0" fillId="5" borderId="616" xfId="2" applyNumberFormat="1" applyFont="1" applyFill="1" applyBorder="1" applyAlignment="1">
      <alignment horizontal="center" vertical="center"/>
    </xf>
    <xf numFmtId="192" fontId="0" fillId="5" borderId="611" xfId="2" applyNumberFormat="1" applyFont="1" applyFill="1" applyBorder="1" applyAlignment="1">
      <alignment horizontal="center" vertical="center"/>
    </xf>
    <xf numFmtId="192" fontId="0" fillId="8" borderId="0" xfId="0" applyNumberForma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11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41" fontId="32" fillId="49" borderId="1101" xfId="2" applyFont="1" applyFill="1" applyBorder="1" applyAlignment="1">
      <alignment horizontal="center" vertical="center"/>
    </xf>
    <xf numFmtId="0" fontId="15" fillId="8" borderId="0" xfId="0" applyFont="1" applyFill="1" applyAlignment="1">
      <alignment horizontal="left" vertical="center"/>
    </xf>
    <xf numFmtId="192" fontId="9" fillId="11" borderId="689" xfId="0" applyNumberFormat="1" applyFont="1" applyFill="1" applyBorder="1" applyAlignment="1">
      <alignment horizontal="center" vertical="center"/>
    </xf>
    <xf numFmtId="192" fontId="10" fillId="5" borderId="485" xfId="0" applyNumberFormat="1" applyFont="1" applyFill="1" applyBorder="1" applyAlignment="1">
      <alignment horizontal="center" vertical="center"/>
    </xf>
    <xf numFmtId="192" fontId="10" fillId="0" borderId="485" xfId="0" applyNumberFormat="1" applyFont="1" applyBorder="1" applyAlignment="1">
      <alignment horizontal="center" vertical="center"/>
    </xf>
    <xf numFmtId="194" fontId="10" fillId="5" borderId="485" xfId="2" applyNumberFormat="1" applyFont="1" applyFill="1" applyBorder="1" applyAlignment="1">
      <alignment horizontal="center" vertical="center"/>
    </xf>
    <xf numFmtId="41" fontId="42" fillId="54" borderId="1083" xfId="0" applyNumberFormat="1" applyFont="1" applyFill="1" applyBorder="1">
      <alignment vertical="center"/>
    </xf>
    <xf numFmtId="41" fontId="42" fillId="54" borderId="0" xfId="0" applyNumberFormat="1" applyFont="1" applyFill="1">
      <alignment vertical="center"/>
    </xf>
    <xf numFmtId="187" fontId="62" fillId="54" borderId="0" xfId="0" applyNumberFormat="1" applyFont="1" applyFill="1">
      <alignment vertical="center"/>
    </xf>
    <xf numFmtId="41" fontId="42" fillId="60" borderId="1111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41" fontId="32" fillId="0" borderId="1110" xfId="0" applyNumberFormat="1" applyFont="1" applyBorder="1">
      <alignment vertical="center"/>
    </xf>
    <xf numFmtId="187" fontId="62" fillId="34" borderId="1105" xfId="0" applyNumberFormat="1" applyFont="1" applyFill="1" applyBorder="1" applyAlignment="1">
      <alignment horizontal="center" vertical="center"/>
    </xf>
    <xf numFmtId="187" fontId="62" fillId="55" borderId="1074" xfId="0" applyNumberFormat="1" applyFont="1" applyFill="1" applyBorder="1" applyAlignment="1">
      <alignment horizontal="center" vertical="center"/>
    </xf>
    <xf numFmtId="41" fontId="33" fillId="72" borderId="0" xfId="2" applyFont="1" applyFill="1" applyBorder="1" applyAlignment="1">
      <alignment horizontal="center" vertical="center"/>
    </xf>
    <xf numFmtId="192" fontId="10" fillId="67" borderId="0" xfId="2" applyNumberFormat="1" applyFont="1" applyFill="1" applyBorder="1" applyAlignment="1">
      <alignment horizontal="center" vertical="center"/>
    </xf>
    <xf numFmtId="192" fontId="10" fillId="67" borderId="0" xfId="3" applyNumberFormat="1" applyFont="1" applyFill="1" applyBorder="1" applyAlignment="1">
      <alignment horizontal="center" vertical="center"/>
    </xf>
    <xf numFmtId="192" fontId="10" fillId="67" borderId="381" xfId="2" applyNumberFormat="1" applyFont="1" applyFill="1" applyBorder="1" applyAlignment="1">
      <alignment horizontal="center" vertical="center"/>
    </xf>
    <xf numFmtId="0" fontId="10" fillId="42" borderId="0" xfId="0" applyFont="1" applyFill="1" applyBorder="1" applyAlignment="1">
      <alignment horizontal="left" vertical="center"/>
    </xf>
    <xf numFmtId="0" fontId="10" fillId="42" borderId="0" xfId="0" applyFont="1" applyFill="1" applyBorder="1" applyAlignment="1">
      <alignment horizontal="center" vertical="center"/>
    </xf>
    <xf numFmtId="41" fontId="10" fillId="42" borderId="0" xfId="2" applyFont="1" applyFill="1" applyBorder="1" applyAlignment="1">
      <alignment horizontal="center" vertical="center"/>
    </xf>
    <xf numFmtId="192" fontId="10" fillId="42" borderId="0" xfId="0" applyNumberFormat="1" applyFont="1" applyFill="1" applyBorder="1" applyAlignment="1">
      <alignment horizontal="center" vertical="center"/>
    </xf>
    <xf numFmtId="192" fontId="10" fillId="42" borderId="485" xfId="0" applyNumberFormat="1" applyFont="1" applyFill="1" applyBorder="1" applyAlignment="1">
      <alignment horizontal="center" vertical="center"/>
    </xf>
    <xf numFmtId="192" fontId="10" fillId="42" borderId="0" xfId="0" applyNumberFormat="1" applyFont="1" applyFill="1" applyBorder="1">
      <alignment vertical="center"/>
    </xf>
    <xf numFmtId="192" fontId="10" fillId="42" borderId="381" xfId="0" applyNumberFormat="1" applyFont="1" applyFill="1" applyBorder="1" applyAlignment="1">
      <alignment horizontal="center" vertical="center"/>
    </xf>
    <xf numFmtId="235" fontId="4" fillId="0" borderId="0" xfId="0" quotePrefix="1" applyNumberFormat="1" applyFont="1">
      <alignment vertical="center"/>
    </xf>
    <xf numFmtId="9" fontId="10" fillId="11" borderId="185" xfId="3" applyFont="1" applyFill="1" applyBorder="1" applyAlignment="1">
      <alignment horizontal="right" vertical="center"/>
    </xf>
    <xf numFmtId="0" fontId="9" fillId="13" borderId="228" xfId="0" applyFont="1" applyFill="1" applyBorder="1">
      <alignment vertical="center"/>
    </xf>
    <xf numFmtId="178" fontId="32" fillId="60" borderId="6" xfId="0" applyNumberFormat="1" applyFont="1" applyFill="1" applyBorder="1">
      <alignment vertical="center"/>
    </xf>
    <xf numFmtId="9" fontId="2" fillId="13" borderId="200" xfId="3" applyFont="1" applyFill="1" applyBorder="1">
      <alignment vertical="center"/>
    </xf>
    <xf numFmtId="0" fontId="9" fillId="13" borderId="85" xfId="0" applyFont="1" applyFill="1" applyBorder="1">
      <alignment vertical="center"/>
    </xf>
    <xf numFmtId="178" fontId="32" fillId="60" borderId="0" xfId="0" applyNumberFormat="1" applyFont="1" applyFill="1" applyBorder="1">
      <alignment vertical="center"/>
    </xf>
    <xf numFmtId="9" fontId="2" fillId="13" borderId="1232" xfId="3" applyFont="1" applyFill="1" applyBorder="1">
      <alignment vertical="center"/>
    </xf>
    <xf numFmtId="202" fontId="0" fillId="11" borderId="4" xfId="2" applyNumberFormat="1" applyFont="1" applyFill="1" applyBorder="1">
      <alignment vertical="center"/>
    </xf>
    <xf numFmtId="202" fontId="0" fillId="18" borderId="0" xfId="2" applyNumberFormat="1" applyFont="1" applyFill="1" applyBorder="1">
      <alignment vertical="center"/>
    </xf>
    <xf numFmtId="1" fontId="0" fillId="0" borderId="0" xfId="0" applyNumberFormat="1">
      <alignment vertical="center"/>
    </xf>
    <xf numFmtId="0" fontId="0" fillId="5" borderId="0" xfId="0" applyFill="1" applyBorder="1" applyAlignment="1">
      <alignment horizontal="center" vertical="center"/>
    </xf>
    <xf numFmtId="246" fontId="10" fillId="0" borderId="36" xfId="0" applyNumberFormat="1" applyFont="1" applyBorder="1">
      <alignment vertical="center"/>
    </xf>
    <xf numFmtId="200" fontId="10" fillId="5" borderId="1236" xfId="0" applyNumberFormat="1" applyFont="1" applyFill="1" applyBorder="1" applyAlignment="1">
      <alignment horizontal="right" vertical="center"/>
    </xf>
    <xf numFmtId="187" fontId="8" fillId="9" borderId="0" xfId="0" applyNumberFormat="1" applyFont="1" applyFill="1">
      <alignment vertical="center"/>
    </xf>
    <xf numFmtId="187" fontId="8" fillId="18" borderId="429" xfId="0" applyNumberFormat="1" applyFont="1" applyFill="1" applyBorder="1">
      <alignment vertical="center"/>
    </xf>
    <xf numFmtId="187" fontId="8" fillId="2" borderId="432" xfId="0" applyNumberFormat="1" applyFont="1" applyFill="1" applyBorder="1">
      <alignment vertical="center"/>
    </xf>
    <xf numFmtId="187" fontId="8" fillId="11" borderId="76" xfId="0" applyNumberFormat="1" applyFont="1" applyFill="1" applyBorder="1">
      <alignment vertical="center"/>
    </xf>
    <xf numFmtId="41" fontId="32" fillId="54" borderId="1096" xfId="0" applyNumberFormat="1" applyFont="1" applyFill="1" applyBorder="1">
      <alignment vertical="center"/>
    </xf>
    <xf numFmtId="41" fontId="32" fillId="47" borderId="1097" xfId="0" applyNumberFormat="1" applyFont="1" applyFill="1" applyBorder="1">
      <alignment vertical="center"/>
    </xf>
    <xf numFmtId="41" fontId="32" fillId="47" borderId="187" xfId="0" applyNumberFormat="1" applyFont="1" applyFill="1" applyBorder="1">
      <alignment vertical="center"/>
    </xf>
    <xf numFmtId="41" fontId="32" fillId="47" borderId="1098" xfId="0" applyNumberFormat="1" applyFont="1" applyFill="1" applyBorder="1">
      <alignment vertical="center"/>
    </xf>
    <xf numFmtId="41" fontId="32" fillId="0" borderId="187" xfId="0" applyNumberFormat="1" applyFont="1" applyBorder="1">
      <alignment vertical="center"/>
    </xf>
    <xf numFmtId="41" fontId="32" fillId="0" borderId="1099" xfId="0" applyNumberFormat="1" applyFont="1" applyBorder="1">
      <alignment vertical="center"/>
    </xf>
    <xf numFmtId="192" fontId="10" fillId="0" borderId="0" xfId="0" applyNumberFormat="1" applyFont="1" applyAlignment="1">
      <alignment horizontal="center" vertical="center"/>
    </xf>
    <xf numFmtId="192" fontId="10" fillId="42" borderId="0" xfId="0" applyNumberFormat="1" applyFont="1" applyFill="1" applyAlignment="1">
      <alignment horizontal="center" vertical="center"/>
    </xf>
    <xf numFmtId="41" fontId="0" fillId="6" borderId="31" xfId="2" applyFont="1" applyFill="1" applyBorder="1">
      <alignment vertical="center"/>
    </xf>
    <xf numFmtId="0" fontId="9" fillId="11" borderId="68" xfId="0" applyFont="1" applyFill="1" applyBorder="1" applyAlignment="1">
      <alignment horizontal="center" vertical="center"/>
    </xf>
    <xf numFmtId="221" fontId="0" fillId="11" borderId="328" xfId="2" applyNumberFormat="1" applyFont="1" applyFill="1" applyBorder="1" applyAlignment="1">
      <alignment horizontal="center" vertical="center"/>
    </xf>
    <xf numFmtId="221" fontId="0" fillId="11" borderId="4" xfId="2" applyNumberFormat="1" applyFont="1" applyFill="1" applyBorder="1" applyAlignment="1">
      <alignment horizontal="center" vertical="center"/>
    </xf>
    <xf numFmtId="221" fontId="0" fillId="8" borderId="68" xfId="2" applyNumberFormat="1" applyFont="1" applyFill="1" applyBorder="1" applyAlignment="1">
      <alignment horizontal="center" vertical="center"/>
    </xf>
    <xf numFmtId="221" fontId="0" fillId="8" borderId="0" xfId="2" applyNumberFormat="1" applyFont="1" applyFill="1" applyBorder="1" applyAlignment="1">
      <alignment horizontal="center" vertical="center"/>
    </xf>
    <xf numFmtId="221" fontId="0" fillId="8" borderId="37" xfId="2" applyNumberFormat="1" applyFont="1" applyFill="1" applyBorder="1" applyAlignment="1">
      <alignment horizontal="center" vertical="center"/>
    </xf>
    <xf numFmtId="221" fontId="0" fillId="8" borderId="330" xfId="2" applyNumberFormat="1" applyFont="1" applyFill="1" applyBorder="1" applyAlignment="1">
      <alignment horizontal="center" vertical="center"/>
    </xf>
    <xf numFmtId="221" fontId="0" fillId="8" borderId="329" xfId="2" applyNumberFormat="1" applyFont="1" applyFill="1" applyBorder="1" applyAlignment="1">
      <alignment horizontal="center" vertical="center"/>
    </xf>
    <xf numFmtId="221" fontId="0" fillId="8" borderId="331" xfId="2" applyNumberFormat="1" applyFont="1" applyFill="1" applyBorder="1" applyAlignment="1">
      <alignment horizontal="center" vertical="center"/>
    </xf>
    <xf numFmtId="221" fontId="11" fillId="0" borderId="334" xfId="2" applyNumberFormat="1" applyFont="1" applyBorder="1" applyAlignment="1">
      <alignment horizontal="center" vertical="center"/>
    </xf>
    <xf numFmtId="221" fontId="11" fillId="0" borderId="68" xfId="2" applyNumberFormat="1" applyFont="1" applyBorder="1" applyAlignment="1">
      <alignment horizontal="center" vertical="center"/>
    </xf>
    <xf numFmtId="221" fontId="11" fillId="0" borderId="256" xfId="2" applyNumberFormat="1" applyFont="1" applyBorder="1" applyAlignment="1">
      <alignment horizontal="center" vertical="center"/>
    </xf>
    <xf numFmtId="221" fontId="11" fillId="0" borderId="0" xfId="2" applyNumberFormat="1" applyFont="1" applyBorder="1" applyAlignment="1">
      <alignment horizontal="center" vertical="center"/>
    </xf>
    <xf numFmtId="221" fontId="11" fillId="2" borderId="256" xfId="2" applyNumberFormat="1" applyFont="1" applyFill="1" applyBorder="1" applyAlignment="1">
      <alignment horizontal="center" vertical="center"/>
    </xf>
    <xf numFmtId="221" fontId="11" fillId="2" borderId="0" xfId="2" applyNumberFormat="1" applyFont="1" applyFill="1" applyBorder="1" applyAlignment="1">
      <alignment horizontal="center" vertical="center"/>
    </xf>
    <xf numFmtId="221" fontId="11" fillId="0" borderId="336" xfId="2" applyNumberFormat="1" applyFont="1" applyBorder="1" applyAlignment="1">
      <alignment horizontal="center" vertical="center"/>
    </xf>
    <xf numFmtId="221" fontId="11" fillId="0" borderId="6" xfId="2" applyNumberFormat="1" applyFont="1" applyBorder="1" applyAlignment="1">
      <alignment horizontal="center" vertical="center"/>
    </xf>
    <xf numFmtId="221" fontId="11" fillId="0" borderId="68" xfId="2" applyNumberFormat="1" applyFont="1" applyBorder="1" applyAlignment="1">
      <alignment vertical="center"/>
    </xf>
    <xf numFmtId="221" fontId="11" fillId="0" borderId="0" xfId="2" applyNumberFormat="1" applyFont="1" applyBorder="1" applyAlignment="1">
      <alignment vertical="center"/>
    </xf>
    <xf numFmtId="221" fontId="11" fillId="2" borderId="0" xfId="2" applyNumberFormat="1" applyFont="1" applyFill="1" applyBorder="1" applyAlignment="1">
      <alignment vertical="center"/>
    </xf>
    <xf numFmtId="221" fontId="11" fillId="0" borderId="6" xfId="2" applyNumberFormat="1" applyFont="1" applyBorder="1" applyAlignment="1">
      <alignment vertical="center"/>
    </xf>
    <xf numFmtId="187" fontId="4" fillId="8" borderId="0" xfId="0" quotePrefix="1" applyNumberFormat="1" applyFont="1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0" borderId="611" xfId="0" applyFont="1" applyBorder="1" applyAlignment="1">
      <alignment horizontal="left" vertical="center"/>
    </xf>
    <xf numFmtId="0" fontId="10" fillId="0" borderId="611" xfId="0" applyFont="1" applyBorder="1" applyAlignment="1">
      <alignment horizontal="center" vertical="center"/>
    </xf>
    <xf numFmtId="192" fontId="10" fillId="0" borderId="611" xfId="2" applyNumberFormat="1" applyFont="1" applyFill="1" applyBorder="1" applyAlignment="1">
      <alignment horizontal="center" vertical="center"/>
    </xf>
    <xf numFmtId="192" fontId="10" fillId="0" borderId="611" xfId="0" applyNumberFormat="1" applyFont="1" applyBorder="1" applyAlignment="1">
      <alignment horizontal="center" vertical="center"/>
    </xf>
    <xf numFmtId="192" fontId="10" fillId="0" borderId="672" xfId="0" applyNumberFormat="1" applyFont="1" applyBorder="1" applyAlignment="1">
      <alignment horizontal="center" vertical="center"/>
    </xf>
    <xf numFmtId="192" fontId="10" fillId="29" borderId="611" xfId="0" applyNumberFormat="1" applyFont="1" applyFill="1" applyBorder="1">
      <alignment vertical="center"/>
    </xf>
    <xf numFmtId="192" fontId="10" fillId="29" borderId="611" xfId="0" applyNumberFormat="1" applyFont="1" applyFill="1" applyBorder="1" applyAlignment="1">
      <alignment horizontal="center" vertical="center"/>
    </xf>
    <xf numFmtId="192" fontId="10" fillId="0" borderId="1238" xfId="0" applyNumberFormat="1" applyFont="1" applyBorder="1" applyAlignment="1">
      <alignment horizontal="center" vertical="center"/>
    </xf>
    <xf numFmtId="192" fontId="9" fillId="5" borderId="0" xfId="0" applyNumberFormat="1" applyFont="1" applyFill="1" applyAlignment="1">
      <alignment horizontal="center" vertical="center"/>
    </xf>
    <xf numFmtId="43" fontId="0" fillId="8" borderId="330" xfId="2" applyNumberFormat="1" applyFont="1" applyFill="1" applyBorder="1" applyAlignment="1">
      <alignment horizontal="center" vertical="center"/>
    </xf>
    <xf numFmtId="43" fontId="0" fillId="8" borderId="68" xfId="2" applyNumberFormat="1" applyFont="1" applyFill="1" applyBorder="1" applyAlignment="1">
      <alignment horizontal="center" vertical="center"/>
    </xf>
    <xf numFmtId="43" fontId="0" fillId="8" borderId="329" xfId="2" applyNumberFormat="1" applyFont="1" applyFill="1" applyBorder="1" applyAlignment="1">
      <alignment horizontal="center" vertical="center"/>
    </xf>
    <xf numFmtId="43" fontId="0" fillId="8" borderId="0" xfId="2" applyNumberFormat="1" applyFont="1" applyFill="1" applyBorder="1" applyAlignment="1">
      <alignment horizontal="center" vertical="center"/>
    </xf>
    <xf numFmtId="43" fontId="0" fillId="8" borderId="331" xfId="2" applyNumberFormat="1" applyFont="1" applyFill="1" applyBorder="1" applyAlignment="1">
      <alignment horizontal="center" vertical="center"/>
    </xf>
    <xf numFmtId="43" fontId="0" fillId="8" borderId="37" xfId="2" applyNumberFormat="1" applyFont="1" applyFill="1" applyBorder="1" applyAlignment="1">
      <alignment horizontal="center" vertical="center"/>
    </xf>
    <xf numFmtId="243" fontId="0" fillId="8" borderId="330" xfId="2" applyNumberFormat="1" applyFont="1" applyFill="1" applyBorder="1" applyAlignment="1">
      <alignment horizontal="center" vertical="center"/>
    </xf>
    <xf numFmtId="243" fontId="0" fillId="8" borderId="68" xfId="2" applyNumberFormat="1" applyFont="1" applyFill="1" applyBorder="1" applyAlignment="1">
      <alignment horizontal="center" vertical="center"/>
    </xf>
    <xf numFmtId="243" fontId="0" fillId="8" borderId="226" xfId="2" applyNumberFormat="1" applyFont="1" applyFill="1" applyBorder="1" applyAlignment="1">
      <alignment horizontal="center" vertical="center"/>
    </xf>
    <xf numFmtId="243" fontId="0" fillId="0" borderId="0" xfId="0" applyNumberFormat="1">
      <alignment vertical="center"/>
    </xf>
    <xf numFmtId="243" fontId="0" fillId="8" borderId="329" xfId="2" applyNumberFormat="1" applyFont="1" applyFill="1" applyBorder="1" applyAlignment="1">
      <alignment horizontal="center" vertical="center"/>
    </xf>
    <xf numFmtId="243" fontId="0" fillId="8" borderId="0" xfId="2" applyNumberFormat="1" applyFont="1" applyFill="1" applyBorder="1" applyAlignment="1">
      <alignment horizontal="center" vertical="center"/>
    </xf>
    <xf numFmtId="243" fontId="0" fillId="8" borderId="225" xfId="2" applyNumberFormat="1" applyFont="1" applyFill="1" applyBorder="1" applyAlignment="1">
      <alignment horizontal="center" vertical="center"/>
    </xf>
    <xf numFmtId="243" fontId="0" fillId="8" borderId="331" xfId="2" applyNumberFormat="1" applyFont="1" applyFill="1" applyBorder="1" applyAlignment="1">
      <alignment horizontal="center" vertical="center"/>
    </xf>
    <xf numFmtId="243" fontId="0" fillId="8" borderId="37" xfId="2" applyNumberFormat="1" applyFont="1" applyFill="1" applyBorder="1" applyAlignment="1">
      <alignment horizontal="center" vertical="center"/>
    </xf>
    <xf numFmtId="243" fontId="0" fillId="8" borderId="227" xfId="2" applyNumberFormat="1" applyFont="1" applyFill="1" applyBorder="1" applyAlignment="1">
      <alignment horizontal="center" vertical="center"/>
    </xf>
    <xf numFmtId="243" fontId="11" fillId="0" borderId="334" xfId="2" applyNumberFormat="1" applyFont="1" applyBorder="1" applyAlignment="1">
      <alignment horizontal="center" vertical="center"/>
    </xf>
    <xf numFmtId="243" fontId="11" fillId="0" borderId="68" xfId="2" applyNumberFormat="1" applyFont="1" applyBorder="1" applyAlignment="1">
      <alignment horizontal="center" vertical="center"/>
    </xf>
    <xf numFmtId="243" fontId="11" fillId="0" borderId="226" xfId="2" applyNumberFormat="1" applyFont="1" applyBorder="1" applyAlignment="1">
      <alignment horizontal="center" vertical="center"/>
    </xf>
    <xf numFmtId="243" fontId="11" fillId="0" borderId="256" xfId="2" applyNumberFormat="1" applyFont="1" applyBorder="1" applyAlignment="1">
      <alignment horizontal="center" vertical="center"/>
    </xf>
    <xf numFmtId="243" fontId="11" fillId="0" borderId="0" xfId="2" applyNumberFormat="1" applyFont="1" applyBorder="1" applyAlignment="1">
      <alignment horizontal="center" vertical="center"/>
    </xf>
    <xf numFmtId="243" fontId="11" fillId="0" borderId="225" xfId="2" applyNumberFormat="1" applyFont="1" applyBorder="1" applyAlignment="1">
      <alignment horizontal="center" vertical="center"/>
    </xf>
    <xf numFmtId="243" fontId="11" fillId="2" borderId="256" xfId="2" applyNumberFormat="1" applyFont="1" applyFill="1" applyBorder="1" applyAlignment="1">
      <alignment horizontal="center" vertical="center"/>
    </xf>
    <xf numFmtId="243" fontId="11" fillId="2" borderId="0" xfId="2" applyNumberFormat="1" applyFont="1" applyFill="1" applyBorder="1" applyAlignment="1">
      <alignment horizontal="center" vertical="center"/>
    </xf>
    <xf numFmtId="243" fontId="11" fillId="2" borderId="225" xfId="2" applyNumberFormat="1" applyFont="1" applyFill="1" applyBorder="1" applyAlignment="1">
      <alignment horizontal="center" vertical="center"/>
    </xf>
    <xf numFmtId="243" fontId="11" fillId="0" borderId="336" xfId="2" applyNumberFormat="1" applyFont="1" applyBorder="1" applyAlignment="1">
      <alignment horizontal="center" vertical="center"/>
    </xf>
    <xf numFmtId="243" fontId="11" fillId="0" borderId="6" xfId="2" applyNumberFormat="1" applyFont="1" applyBorder="1" applyAlignment="1">
      <alignment horizontal="center" vertical="center"/>
    </xf>
    <xf numFmtId="243" fontId="11" fillId="0" borderId="230" xfId="2" applyNumberFormat="1" applyFont="1" applyBorder="1" applyAlignment="1">
      <alignment horizontal="center" vertical="center"/>
    </xf>
    <xf numFmtId="243" fontId="0" fillId="0" borderId="0" xfId="2" applyNumberFormat="1" applyFont="1" applyFill="1" applyAlignment="1">
      <alignment horizontal="center" vertical="center"/>
    </xf>
    <xf numFmtId="243" fontId="0" fillId="0" borderId="0" xfId="0" applyNumberFormat="1" applyFill="1">
      <alignment vertical="center"/>
    </xf>
    <xf numFmtId="202" fontId="0" fillId="11" borderId="9" xfId="2" applyNumberFormat="1" applyFont="1" applyFill="1" applyBorder="1">
      <alignment vertical="center"/>
    </xf>
    <xf numFmtId="202" fontId="0" fillId="18" borderId="11" xfId="2" applyNumberFormat="1" applyFont="1" applyFill="1" applyBorder="1">
      <alignment vertical="center"/>
    </xf>
    <xf numFmtId="178" fontId="0" fillId="31" borderId="0" xfId="0" applyNumberFormat="1" applyFill="1">
      <alignment vertical="center"/>
    </xf>
    <xf numFmtId="187" fontId="10" fillId="38" borderId="0" xfId="0" applyNumberFormat="1" applyFont="1" applyFill="1" applyAlignment="1">
      <alignment horizontal="right" vertical="center"/>
    </xf>
    <xf numFmtId="41" fontId="0" fillId="9" borderId="58" xfId="2" applyFont="1" applyFill="1" applyBorder="1" applyAlignment="1">
      <alignment horizontal="right" vertical="center"/>
    </xf>
    <xf numFmtId="41" fontId="0" fillId="3" borderId="0" xfId="2" applyFont="1" applyFill="1" applyBorder="1" applyAlignment="1">
      <alignment horizontal="right" vertical="center"/>
    </xf>
    <xf numFmtId="41" fontId="0" fillId="8" borderId="76" xfId="2" applyFont="1" applyFill="1" applyBorder="1" applyAlignment="1">
      <alignment horizontal="right" vertical="center"/>
    </xf>
    <xf numFmtId="41" fontId="0" fillId="8" borderId="0" xfId="2" applyFont="1" applyFill="1" applyBorder="1" applyAlignment="1">
      <alignment horizontal="right" vertical="center"/>
    </xf>
    <xf numFmtId="41" fontId="0" fillId="8" borderId="119" xfId="2" applyFont="1" applyFill="1" applyBorder="1" applyAlignment="1">
      <alignment horizontal="right" vertical="center"/>
    </xf>
    <xf numFmtId="41" fontId="15" fillId="67" borderId="0" xfId="2" applyFont="1" applyFill="1" applyBorder="1" applyAlignment="1">
      <alignment horizontal="center" vertical="center"/>
    </xf>
    <xf numFmtId="176" fontId="64" fillId="8" borderId="485" xfId="3" quotePrefix="1" applyNumberFormat="1" applyFont="1" applyFill="1" applyBorder="1" applyAlignment="1">
      <alignment horizontal="right" vertical="center"/>
    </xf>
    <xf numFmtId="41" fontId="0" fillId="0" borderId="0" xfId="0" applyNumberFormat="1" applyFont="1" applyBorder="1">
      <alignment vertical="center"/>
    </xf>
    <xf numFmtId="41" fontId="0" fillId="6" borderId="0" xfId="0" applyNumberFormat="1" applyFont="1" applyFill="1" applyBorder="1">
      <alignment vertical="center"/>
    </xf>
    <xf numFmtId="41" fontId="0" fillId="2" borderId="0" xfId="0" applyNumberFormat="1" applyFont="1" applyFill="1" applyBorder="1">
      <alignment vertical="center"/>
    </xf>
    <xf numFmtId="41" fontId="0" fillId="0" borderId="0" xfId="0" applyNumberFormat="1" applyFont="1" applyFill="1" applyBorder="1">
      <alignment vertical="center"/>
    </xf>
    <xf numFmtId="41" fontId="0" fillId="6" borderId="31" xfId="0" applyNumberFormat="1" applyFill="1" applyBorder="1">
      <alignment vertical="center"/>
    </xf>
    <xf numFmtId="41" fontId="0" fillId="8" borderId="0" xfId="0" applyNumberFormat="1" applyFill="1" applyBorder="1">
      <alignment vertical="center"/>
    </xf>
    <xf numFmtId="41" fontId="0" fillId="0" borderId="0" xfId="0" applyNumberFormat="1" applyBorder="1">
      <alignment vertical="center"/>
    </xf>
    <xf numFmtId="41" fontId="0" fillId="0" borderId="479" xfId="0" applyNumberFormat="1" applyBorder="1">
      <alignment vertical="center"/>
    </xf>
    <xf numFmtId="41" fontId="11" fillId="14" borderId="0" xfId="2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0" fillId="18" borderId="15" xfId="0" applyFill="1" applyBorder="1" applyAlignment="1">
      <alignment vertical="center"/>
    </xf>
    <xf numFmtId="3" fontId="0" fillId="0" borderId="0" xfId="0" applyNumberFormat="1">
      <alignment vertical="center"/>
    </xf>
    <xf numFmtId="0" fontId="9" fillId="11" borderId="68" xfId="0" applyFont="1" applyFill="1" applyBorder="1" applyAlignment="1">
      <alignment horizontal="center" vertical="center"/>
    </xf>
    <xf numFmtId="194" fontId="10" fillId="0" borderId="0" xfId="0" applyNumberFormat="1" applyFont="1" applyBorder="1" applyAlignment="1">
      <alignment horizontal="center" vertical="center"/>
    </xf>
    <xf numFmtId="192" fontId="10" fillId="5" borderId="0" xfId="0" applyNumberFormat="1" applyFont="1" applyFill="1" applyAlignment="1">
      <alignment horizontal="center" vertical="center"/>
    </xf>
    <xf numFmtId="192" fontId="10" fillId="14" borderId="485" xfId="0" applyNumberFormat="1" applyFont="1" applyFill="1" applyBorder="1" applyAlignment="1">
      <alignment horizontal="center" vertical="center"/>
    </xf>
    <xf numFmtId="192" fontId="10" fillId="14" borderId="0" xfId="0" applyNumberFormat="1" applyFont="1" applyFill="1" applyBorder="1" applyAlignment="1">
      <alignment horizontal="center" vertical="center"/>
    </xf>
    <xf numFmtId="180" fontId="32" fillId="75" borderId="187" xfId="0" applyNumberFormat="1" applyFont="1" applyFill="1" applyBorder="1">
      <alignment vertical="center"/>
    </xf>
    <xf numFmtId="0" fontId="30" fillId="5" borderId="1020" xfId="0" applyNumberFormat="1" applyFont="1" applyFill="1" applyBorder="1" applyAlignment="1">
      <alignment horizontal="center" vertical="center"/>
    </xf>
    <xf numFmtId="192" fontId="6" fillId="4" borderId="524" xfId="0" quotePrefix="1" applyNumberFormat="1" applyFont="1" applyFill="1" applyBorder="1" applyAlignment="1">
      <alignment horizontal="center" vertical="center"/>
    </xf>
    <xf numFmtId="0" fontId="6" fillId="4" borderId="525" xfId="0" quotePrefix="1" applyFont="1" applyFill="1" applyBorder="1" applyAlignment="1">
      <alignment horizontal="center" vertical="center"/>
    </xf>
    <xf numFmtId="41" fontId="6" fillId="4" borderId="525" xfId="0" quotePrefix="1" applyNumberFormat="1" applyFont="1" applyFill="1" applyBorder="1" applyAlignment="1">
      <alignment horizontal="center" vertical="center"/>
    </xf>
    <xf numFmtId="0" fontId="10" fillId="4" borderId="525" xfId="0" quotePrefix="1" applyFont="1" applyFill="1" applyBorder="1" applyAlignment="1">
      <alignment horizontal="center" vertical="center"/>
    </xf>
    <xf numFmtId="0" fontId="10" fillId="4" borderId="526" xfId="0" quotePrefix="1" applyFont="1" applyFill="1" applyBorder="1" applyAlignment="1">
      <alignment horizontal="center" vertical="center"/>
    </xf>
    <xf numFmtId="0" fontId="9" fillId="11" borderId="68" xfId="0" applyFont="1" applyFill="1" applyBorder="1" applyAlignment="1">
      <alignment horizontal="center" vertical="center"/>
    </xf>
    <xf numFmtId="195" fontId="0" fillId="4" borderId="4" xfId="2" applyNumberFormat="1" applyFont="1" applyFill="1" applyBorder="1" applyAlignment="1">
      <alignment horizontal="center" vertical="center"/>
    </xf>
    <xf numFmtId="195" fontId="0" fillId="4" borderId="68" xfId="2" applyNumberFormat="1" applyFont="1" applyFill="1" applyBorder="1" applyAlignment="1">
      <alignment horizontal="center" vertical="center"/>
    </xf>
    <xf numFmtId="195" fontId="0" fillId="4" borderId="0" xfId="2" applyNumberFormat="1" applyFont="1" applyFill="1" applyBorder="1" applyAlignment="1">
      <alignment horizontal="center" vertical="center"/>
    </xf>
    <xf numFmtId="195" fontId="0" fillId="4" borderId="37" xfId="2" applyNumberFormat="1" applyFont="1" applyFill="1" applyBorder="1" applyAlignment="1">
      <alignment horizontal="center" vertical="center"/>
    </xf>
    <xf numFmtId="195" fontId="11" fillId="4" borderId="68" xfId="2" applyNumberFormat="1" applyFont="1" applyFill="1" applyBorder="1" applyAlignment="1">
      <alignment horizontal="center" vertical="center"/>
    </xf>
    <xf numFmtId="195" fontId="11" fillId="4" borderId="0" xfId="2" applyNumberFormat="1" applyFont="1" applyFill="1" applyBorder="1" applyAlignment="1">
      <alignment horizontal="center" vertical="center"/>
    </xf>
    <xf numFmtId="195" fontId="11" fillId="4" borderId="6" xfId="2" applyNumberFormat="1" applyFont="1" applyFill="1" applyBorder="1" applyAlignment="1">
      <alignment horizontal="center" vertical="center"/>
    </xf>
    <xf numFmtId="202" fontId="10" fillId="11" borderId="0" xfId="2" applyNumberFormat="1" applyFont="1" applyFill="1">
      <alignment vertical="center"/>
    </xf>
    <xf numFmtId="187" fontId="10" fillId="8" borderId="0" xfId="2" applyNumberFormat="1" applyFont="1" applyFill="1" applyBorder="1">
      <alignment vertical="center"/>
    </xf>
    <xf numFmtId="0" fontId="65" fillId="0" borderId="0" xfId="0" applyFont="1">
      <alignment vertical="center"/>
    </xf>
    <xf numFmtId="210" fontId="9" fillId="11" borderId="0" xfId="0" applyNumberFormat="1" applyFont="1" applyFill="1">
      <alignment vertical="center"/>
    </xf>
    <xf numFmtId="199" fontId="0" fillId="77" borderId="46" xfId="0" applyNumberFormat="1" applyFill="1" applyBorder="1">
      <alignment vertical="center"/>
    </xf>
    <xf numFmtId="9" fontId="2" fillId="77" borderId="46" xfId="3" applyFont="1" applyFill="1" applyBorder="1">
      <alignment vertical="center"/>
    </xf>
    <xf numFmtId="183" fontId="0" fillId="77" borderId="46" xfId="0" applyNumberFormat="1" applyFill="1" applyBorder="1">
      <alignment vertical="center"/>
    </xf>
    <xf numFmtId="181" fontId="0" fillId="77" borderId="199" xfId="0" applyNumberFormat="1" applyFill="1" applyBorder="1">
      <alignment vertical="center"/>
    </xf>
    <xf numFmtId="183" fontId="0" fillId="77" borderId="199" xfId="0" applyNumberFormat="1" applyFill="1" applyBorder="1">
      <alignment vertical="center"/>
    </xf>
    <xf numFmtId="0" fontId="9" fillId="11" borderId="68" xfId="0" applyFont="1" applyFill="1" applyBorder="1" applyAlignment="1">
      <alignment horizontal="center" vertical="center"/>
    </xf>
    <xf numFmtId="176" fontId="0" fillId="20" borderId="0" xfId="3" applyNumberFormat="1" applyFont="1" applyFill="1" applyBorder="1" applyAlignment="1">
      <alignment horizontal="center" vertical="center"/>
    </xf>
    <xf numFmtId="176" fontId="0" fillId="8" borderId="68" xfId="3" applyNumberFormat="1" applyFont="1" applyFill="1" applyBorder="1" applyAlignment="1">
      <alignment horizontal="center" vertical="center"/>
    </xf>
    <xf numFmtId="176" fontId="0" fillId="20" borderId="37" xfId="3" applyNumberFormat="1" applyFont="1" applyFill="1" applyBorder="1" applyAlignment="1">
      <alignment horizontal="center" vertical="center"/>
    </xf>
    <xf numFmtId="176" fontId="0" fillId="13" borderId="6" xfId="3" applyNumberFormat="1" applyFont="1" applyFill="1" applyBorder="1" applyAlignment="1">
      <alignment horizontal="center" vertical="center"/>
    </xf>
    <xf numFmtId="176" fontId="0" fillId="8" borderId="4" xfId="3" applyNumberFormat="1" applyFont="1" applyFill="1" applyBorder="1" applyAlignment="1">
      <alignment horizontal="center" vertical="center"/>
    </xf>
    <xf numFmtId="176" fontId="0" fillId="8" borderId="0" xfId="3" applyNumberFormat="1" applyFont="1" applyFill="1" applyBorder="1" applyAlignment="1">
      <alignment horizontal="center" vertical="center"/>
    </xf>
    <xf numFmtId="202" fontId="0" fillId="11" borderId="0" xfId="2" applyNumberFormat="1" applyFont="1" applyFill="1">
      <alignment vertical="center"/>
    </xf>
    <xf numFmtId="41" fontId="0" fillId="9" borderId="0" xfId="2" applyFont="1" applyFill="1" applyBorder="1" applyAlignment="1">
      <alignment horizontal="center" vertical="center"/>
    </xf>
    <xf numFmtId="0" fontId="9" fillId="0" borderId="709" xfId="0" applyFont="1" applyBorder="1" applyAlignment="1">
      <alignment horizontal="left" vertical="center"/>
    </xf>
    <xf numFmtId="0" fontId="0" fillId="0" borderId="709" xfId="0" applyBorder="1">
      <alignment vertical="center"/>
    </xf>
    <xf numFmtId="0" fontId="0" fillId="0" borderId="916" xfId="0" applyBorder="1">
      <alignment vertical="center"/>
    </xf>
    <xf numFmtId="0" fontId="0" fillId="0" borderId="1255" xfId="0" applyBorder="1">
      <alignment vertical="center"/>
    </xf>
    <xf numFmtId="249" fontId="0" fillId="3" borderId="916" xfId="0" applyNumberFormat="1" applyFill="1" applyBorder="1">
      <alignment vertical="center"/>
    </xf>
    <xf numFmtId="249" fontId="0" fillId="3" borderId="725" xfId="0" applyNumberFormat="1" applyFill="1" applyBorder="1">
      <alignment vertical="center"/>
    </xf>
    <xf numFmtId="0" fontId="9" fillId="0" borderId="1255" xfId="0" applyFont="1" applyBorder="1">
      <alignment vertical="center"/>
    </xf>
    <xf numFmtId="0" fontId="9" fillId="0" borderId="916" xfId="0" applyFont="1" applyBorder="1">
      <alignment vertical="center"/>
    </xf>
    <xf numFmtId="0" fontId="9" fillId="11" borderId="68" xfId="0" applyFont="1" applyFill="1" applyBorder="1" applyAlignment="1">
      <alignment horizontal="center" vertical="center"/>
    </xf>
    <xf numFmtId="0" fontId="9" fillId="10" borderId="0" xfId="0" applyFont="1" applyFill="1">
      <alignment vertical="center"/>
    </xf>
    <xf numFmtId="187" fontId="8" fillId="10" borderId="0" xfId="0" applyNumberFormat="1" applyFont="1" applyFill="1">
      <alignment vertical="center"/>
    </xf>
    <xf numFmtId="0" fontId="42" fillId="53" borderId="1108" xfId="0" applyFont="1" applyFill="1" applyBorder="1" applyAlignment="1">
      <alignment horizontal="right" vertical="center"/>
    </xf>
    <xf numFmtId="0" fontId="42" fillId="55" borderId="0" xfId="0" applyFont="1" applyFill="1" applyAlignment="1">
      <alignment horizontal="right" vertical="center"/>
    </xf>
    <xf numFmtId="0" fontId="42" fillId="55" borderId="515" xfId="0" applyFont="1" applyFill="1" applyBorder="1" applyAlignment="1">
      <alignment horizontal="right" vertical="center"/>
    </xf>
    <xf numFmtId="249" fontId="0" fillId="0" borderId="0" xfId="0" applyNumberFormat="1">
      <alignment vertical="center"/>
    </xf>
    <xf numFmtId="41" fontId="0" fillId="0" borderId="709" xfId="2" applyFont="1" applyBorder="1">
      <alignment vertical="center"/>
    </xf>
    <xf numFmtId="41" fontId="21" fillId="0" borderId="0" xfId="2" applyFont="1" applyAlignment="1">
      <alignment horizontal="center" vertical="center"/>
    </xf>
    <xf numFmtId="41" fontId="0" fillId="0" borderId="1255" xfId="2" applyFont="1" applyBorder="1">
      <alignment vertical="center"/>
    </xf>
    <xf numFmtId="0" fontId="0" fillId="0" borderId="0" xfId="2" applyNumberFormat="1" applyFont="1">
      <alignment vertical="center"/>
    </xf>
    <xf numFmtId="176" fontId="0" fillId="13" borderId="0" xfId="2" applyNumberFormat="1" applyFont="1" applyFill="1" applyBorder="1" applyAlignment="1">
      <alignment horizontal="center" vertical="center"/>
    </xf>
    <xf numFmtId="3" fontId="0" fillId="11" borderId="0" xfId="0" applyNumberFormat="1" applyFill="1" applyBorder="1">
      <alignment vertical="center"/>
    </xf>
    <xf numFmtId="0" fontId="66" fillId="5" borderId="0" xfId="0" applyFont="1" applyFill="1">
      <alignment vertical="center"/>
    </xf>
    <xf numFmtId="0" fontId="66" fillId="5" borderId="0" xfId="0" applyFont="1" applyFill="1" applyBorder="1">
      <alignment vertical="center"/>
    </xf>
    <xf numFmtId="0" fontId="66" fillId="5" borderId="0" xfId="0" quotePrefix="1" applyFont="1" applyFill="1" applyBorder="1">
      <alignment vertical="center"/>
    </xf>
    <xf numFmtId="0" fontId="67" fillId="4" borderId="0" xfId="0" quotePrefix="1" applyFont="1" applyFill="1" applyBorder="1" applyAlignment="1">
      <alignment horizontal="center" vertical="center"/>
    </xf>
    <xf numFmtId="213" fontId="0" fillId="11" borderId="0" xfId="0" applyNumberFormat="1" applyFill="1" applyAlignment="1">
      <alignment horizontal="center" vertical="center"/>
    </xf>
    <xf numFmtId="3" fontId="20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2" borderId="143" xfId="0" applyFont="1" applyFill="1" applyBorder="1" applyAlignment="1">
      <alignment horizontal="center" vertical="center"/>
    </xf>
    <xf numFmtId="41" fontId="9" fillId="9" borderId="76" xfId="0" applyNumberFormat="1" applyFont="1" applyFill="1" applyBorder="1">
      <alignment vertical="center"/>
    </xf>
    <xf numFmtId="41" fontId="9" fillId="9" borderId="0" xfId="0" applyNumberFormat="1" applyFont="1" applyFill="1">
      <alignment vertical="center"/>
    </xf>
    <xf numFmtId="41" fontId="9" fillId="13" borderId="126" xfId="0" applyNumberFormat="1" applyFont="1" applyFill="1" applyBorder="1">
      <alignment vertical="center"/>
    </xf>
    <xf numFmtId="187" fontId="8" fillId="2" borderId="143" xfId="0" applyNumberFormat="1" applyFont="1" applyFill="1" applyBorder="1" applyAlignment="1">
      <alignment horizontal="center" vertical="center"/>
    </xf>
    <xf numFmtId="187" fontId="8" fillId="5" borderId="6" xfId="0" applyNumberFormat="1" applyFont="1" applyFill="1" applyBorder="1" applyAlignment="1">
      <alignment horizontal="center" vertical="center"/>
    </xf>
    <xf numFmtId="0" fontId="66" fillId="0" borderId="0" xfId="0" applyFont="1">
      <alignment vertical="center"/>
    </xf>
    <xf numFmtId="0" fontId="68" fillId="0" borderId="0" xfId="0" applyFont="1" applyAlignment="1">
      <alignment horizontal="left" vertical="center"/>
    </xf>
    <xf numFmtId="244" fontId="66" fillId="0" borderId="0" xfId="0" applyNumberFormat="1" applyFont="1">
      <alignment vertical="center"/>
    </xf>
    <xf numFmtId="0" fontId="69" fillId="0" borderId="0" xfId="0" applyFont="1">
      <alignment vertical="center"/>
    </xf>
    <xf numFmtId="202" fontId="69" fillId="0" borderId="0" xfId="0" applyNumberFormat="1" applyFont="1">
      <alignment vertical="center"/>
    </xf>
    <xf numFmtId="9" fontId="69" fillId="0" borderId="0" xfId="3" applyFont="1">
      <alignment vertical="center"/>
    </xf>
    <xf numFmtId="0" fontId="69" fillId="5" borderId="0" xfId="0" applyFont="1" applyFill="1" applyBorder="1" applyAlignment="1">
      <alignment horizontal="center" vertical="center"/>
    </xf>
    <xf numFmtId="244" fontId="69" fillId="5" borderId="0" xfId="0" applyNumberFormat="1" applyFont="1" applyFill="1" applyBorder="1" applyAlignment="1">
      <alignment horizontal="center" vertical="center"/>
    </xf>
    <xf numFmtId="0" fontId="70" fillId="39" borderId="0" xfId="0" applyFont="1" applyFill="1" applyAlignment="1">
      <alignment horizontal="center" vertical="center"/>
    </xf>
    <xf numFmtId="0" fontId="66" fillId="0" borderId="0" xfId="0" quotePrefix="1" applyFont="1">
      <alignment vertical="center"/>
    </xf>
    <xf numFmtId="0" fontId="71" fillId="0" borderId="0" xfId="0" quotePrefix="1" applyFont="1" applyAlignment="1">
      <alignment horizontal="right" vertical="center"/>
    </xf>
    <xf numFmtId="0" fontId="72" fillId="0" borderId="0" xfId="0" quotePrefix="1" applyFont="1" applyAlignment="1">
      <alignment horizontal="right" vertical="center"/>
    </xf>
    <xf numFmtId="0" fontId="73" fillId="5" borderId="0" xfId="0" quotePrefix="1" applyFont="1" applyFill="1" applyBorder="1" applyAlignment="1">
      <alignment horizontal="right" vertical="center"/>
    </xf>
    <xf numFmtId="0" fontId="67" fillId="4" borderId="778" xfId="0" applyFont="1" applyFill="1" applyBorder="1" applyAlignment="1">
      <alignment vertical="center"/>
    </xf>
    <xf numFmtId="0" fontId="66" fillId="0" borderId="0" xfId="0" quotePrefix="1" applyFont="1" applyAlignment="1">
      <alignment horizontal="center" vertical="center"/>
    </xf>
    <xf numFmtId="0" fontId="74" fillId="3" borderId="0" xfId="0" applyFont="1" applyFill="1">
      <alignment vertical="center"/>
    </xf>
    <xf numFmtId="0" fontId="74" fillId="4" borderId="561" xfId="0" applyFont="1" applyFill="1" applyBorder="1" applyAlignment="1">
      <alignment horizontal="center" vertical="center"/>
    </xf>
    <xf numFmtId="0" fontId="75" fillId="4" borderId="866" xfId="0" quotePrefix="1" applyFont="1" applyFill="1" applyBorder="1" applyAlignment="1">
      <alignment horizontal="center" vertical="center"/>
    </xf>
    <xf numFmtId="192" fontId="67" fillId="4" borderId="485" xfId="0" quotePrefix="1" applyNumberFormat="1" applyFont="1" applyFill="1" applyBorder="1" applyAlignment="1">
      <alignment horizontal="center" vertical="center"/>
    </xf>
    <xf numFmtId="192" fontId="67" fillId="4" borderId="0" xfId="0" quotePrefix="1" applyNumberFormat="1" applyFont="1" applyFill="1" applyBorder="1" applyAlignment="1">
      <alignment horizontal="center" vertical="center"/>
    </xf>
    <xf numFmtId="0" fontId="67" fillId="14" borderId="385" xfId="0" quotePrefix="1" applyFont="1" applyFill="1" applyBorder="1" applyAlignment="1">
      <alignment horizontal="center" vertical="center"/>
    </xf>
    <xf numFmtId="0" fontId="67" fillId="14" borderId="387" xfId="0" quotePrefix="1" applyFont="1" applyFill="1" applyBorder="1" applyAlignment="1">
      <alignment horizontal="center" vertical="center"/>
    </xf>
    <xf numFmtId="0" fontId="67" fillId="14" borderId="385" xfId="0" quotePrefix="1" applyFont="1" applyFill="1" applyBorder="1" applyAlignment="1">
      <alignment horizontal="center" vertical="center" shrinkToFit="1"/>
    </xf>
    <xf numFmtId="244" fontId="75" fillId="6" borderId="386" xfId="0" quotePrefix="1" applyNumberFormat="1" applyFont="1" applyFill="1" applyBorder="1" applyAlignment="1">
      <alignment horizontal="center" vertical="center"/>
    </xf>
    <xf numFmtId="0" fontId="67" fillId="6" borderId="385" xfId="0" applyFont="1" applyFill="1" applyBorder="1" applyAlignment="1">
      <alignment horizontal="center" vertical="center"/>
    </xf>
    <xf numFmtId="0" fontId="67" fillId="6" borderId="825" xfId="0" applyFont="1" applyFill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4" fillId="0" borderId="547" xfId="0" applyFont="1" applyBorder="1" applyAlignment="1">
      <alignment horizontal="center" vertical="center"/>
    </xf>
    <xf numFmtId="2" fontId="74" fillId="0" borderId="0" xfId="0" applyNumberFormat="1" applyFont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74" fillId="6" borderId="785" xfId="0" applyFont="1" applyFill="1" applyBorder="1" applyAlignment="1">
      <alignment horizontal="left" vertical="center"/>
    </xf>
    <xf numFmtId="0" fontId="66" fillId="6" borderId="380" xfId="0" applyFont="1" applyFill="1" applyBorder="1">
      <alignment vertical="center"/>
    </xf>
    <xf numFmtId="210" fontId="66" fillId="6" borderId="677" xfId="0" applyNumberFormat="1" applyFont="1" applyFill="1" applyBorder="1" applyAlignment="1">
      <alignment horizontal="center" vertical="center"/>
    </xf>
    <xf numFmtId="210" fontId="66" fillId="6" borderId="676" xfId="0" applyNumberFormat="1" applyFont="1" applyFill="1" applyBorder="1" applyAlignment="1">
      <alignment horizontal="center" vertical="center"/>
    </xf>
    <xf numFmtId="208" fontId="66" fillId="6" borderId="677" xfId="2" applyNumberFormat="1" applyFont="1" applyFill="1" applyBorder="1" applyAlignment="1">
      <alignment horizontal="right" vertical="center"/>
    </xf>
    <xf numFmtId="208" fontId="66" fillId="6" borderId="380" xfId="2" applyNumberFormat="1" applyFont="1" applyFill="1" applyBorder="1" applyAlignment="1">
      <alignment horizontal="right" vertical="center"/>
    </xf>
    <xf numFmtId="198" fontId="66" fillId="6" borderId="380" xfId="0" applyNumberFormat="1" applyFont="1" applyFill="1" applyBorder="1" applyAlignment="1">
      <alignment horizontal="right" vertical="center"/>
    </xf>
    <xf numFmtId="187" fontId="66" fillId="6" borderId="380" xfId="3" applyNumberFormat="1" applyFont="1" applyFill="1" applyBorder="1" applyAlignment="1">
      <alignment horizontal="right" vertical="center"/>
    </xf>
    <xf numFmtId="189" fontId="66" fillId="6" borderId="544" xfId="0" applyNumberFormat="1" applyFont="1" applyFill="1" applyBorder="1" applyAlignment="1">
      <alignment horizontal="center" vertical="center"/>
    </xf>
    <xf numFmtId="189" fontId="66" fillId="6" borderId="380" xfId="0" applyNumberFormat="1" applyFont="1" applyFill="1" applyBorder="1" applyAlignment="1">
      <alignment horizontal="center" vertical="center"/>
    </xf>
    <xf numFmtId="244" fontId="66" fillId="6" borderId="545" xfId="2" applyNumberFormat="1" applyFont="1" applyFill="1" applyBorder="1" applyAlignment="1">
      <alignment horizontal="center" vertical="center"/>
    </xf>
    <xf numFmtId="187" fontId="66" fillId="6" borderId="380" xfId="0" applyNumberFormat="1" applyFont="1" applyFill="1" applyBorder="1" applyAlignment="1">
      <alignment horizontal="center" vertical="center"/>
    </xf>
    <xf numFmtId="189" fontId="66" fillId="6" borderId="779" xfId="0" applyNumberFormat="1" applyFont="1" applyFill="1" applyBorder="1" applyAlignment="1">
      <alignment horizontal="center" vertical="center"/>
    </xf>
    <xf numFmtId="202" fontId="66" fillId="0" borderId="376" xfId="0" applyNumberFormat="1" applyFont="1" applyBorder="1" applyAlignment="1">
      <alignment horizontal="center" vertical="center"/>
    </xf>
    <xf numFmtId="202" fontId="77" fillId="0" borderId="376" xfId="0" applyNumberFormat="1" applyFont="1" applyBorder="1" applyAlignment="1">
      <alignment horizontal="center" vertical="center"/>
    </xf>
    <xf numFmtId="202" fontId="66" fillId="0" borderId="0" xfId="0" applyNumberFormat="1" applyFont="1">
      <alignment vertical="center"/>
    </xf>
    <xf numFmtId="186" fontId="66" fillId="6" borderId="380" xfId="0" applyNumberFormat="1" applyFont="1" applyFill="1" applyBorder="1" applyAlignment="1">
      <alignment horizontal="right" vertical="center"/>
    </xf>
    <xf numFmtId="186" fontId="66" fillId="6" borderId="0" xfId="0" applyNumberFormat="1" applyFont="1" applyFill="1" applyBorder="1" applyAlignment="1">
      <alignment horizontal="right" vertical="center"/>
    </xf>
    <xf numFmtId="186" fontId="76" fillId="6" borderId="0" xfId="0" applyNumberFormat="1" applyFont="1" applyFill="1" applyBorder="1" applyAlignment="1">
      <alignment horizontal="right" vertical="center"/>
    </xf>
    <xf numFmtId="0" fontId="74" fillId="6" borderId="786" xfId="0" applyFont="1" applyFill="1" applyBorder="1">
      <alignment vertical="center"/>
    </xf>
    <xf numFmtId="0" fontId="66" fillId="0" borderId="0" xfId="0" applyFont="1" applyBorder="1">
      <alignment vertical="center"/>
    </xf>
    <xf numFmtId="210" fontId="66" fillId="0" borderId="485" xfId="0" applyNumberFormat="1" applyFont="1" applyBorder="1" applyAlignment="1">
      <alignment horizontal="center" vertical="center"/>
    </xf>
    <xf numFmtId="208" fontId="66" fillId="0" borderId="485" xfId="2" applyNumberFormat="1" applyFont="1" applyFill="1" applyBorder="1" applyAlignment="1">
      <alignment horizontal="right" vertical="center"/>
    </xf>
    <xf numFmtId="208" fontId="66" fillId="0" borderId="0" xfId="2" applyNumberFormat="1" applyFont="1" applyFill="1" applyBorder="1" applyAlignment="1">
      <alignment horizontal="right" vertical="center"/>
    </xf>
    <xf numFmtId="198" fontId="66" fillId="0" borderId="0" xfId="0" applyNumberFormat="1" applyFont="1" applyBorder="1" applyAlignment="1">
      <alignment horizontal="right" vertical="center"/>
    </xf>
    <xf numFmtId="187" fontId="66" fillId="0" borderId="0" xfId="3" applyNumberFormat="1" applyFont="1" applyBorder="1" applyAlignment="1">
      <alignment horizontal="right" vertical="center"/>
    </xf>
    <xf numFmtId="189" fontId="66" fillId="0" borderId="46" xfId="0" applyNumberFormat="1" applyFont="1" applyBorder="1" applyAlignment="1">
      <alignment horizontal="center" vertical="center"/>
    </xf>
    <xf numFmtId="189" fontId="66" fillId="0" borderId="0" xfId="0" applyNumberFormat="1" applyFont="1" applyBorder="1" applyAlignment="1">
      <alignment horizontal="center" vertical="center"/>
    </xf>
    <xf numFmtId="244" fontId="66" fillId="0" borderId="2" xfId="2" applyNumberFormat="1" applyFont="1" applyBorder="1" applyAlignment="1">
      <alignment horizontal="center" vertical="center"/>
    </xf>
    <xf numFmtId="187" fontId="66" fillId="0" borderId="0" xfId="0" applyNumberFormat="1" applyFont="1" applyBorder="1" applyAlignment="1">
      <alignment horizontal="center" vertical="center"/>
    </xf>
    <xf numFmtId="189" fontId="66" fillId="0" borderId="780" xfId="0" applyNumberFormat="1" applyFont="1" applyBorder="1" applyAlignment="1">
      <alignment horizontal="center" vertical="center"/>
    </xf>
    <xf numFmtId="202" fontId="66" fillId="15" borderId="0" xfId="0" applyNumberFormat="1" applyFont="1" applyFill="1" applyAlignment="1">
      <alignment horizontal="center" vertical="center"/>
    </xf>
    <xf numFmtId="202" fontId="66" fillId="0" borderId="0" xfId="0" applyNumberFormat="1" applyFont="1" applyAlignment="1">
      <alignment horizontal="center" vertical="center"/>
    </xf>
    <xf numFmtId="186" fontId="66" fillId="0" borderId="0" xfId="0" applyNumberFormat="1" applyFont="1" applyAlignment="1">
      <alignment horizontal="right" vertical="center"/>
    </xf>
    <xf numFmtId="202" fontId="77" fillId="0" borderId="0" xfId="0" applyNumberFormat="1" applyFont="1" applyAlignment="1">
      <alignment horizontal="center" vertical="center"/>
    </xf>
    <xf numFmtId="244" fontId="66" fillId="0" borderId="2" xfId="0" applyNumberFormat="1" applyFont="1" applyBorder="1" applyAlignment="1">
      <alignment horizontal="center" vertical="center"/>
    </xf>
    <xf numFmtId="189" fontId="66" fillId="0" borderId="0" xfId="0" applyNumberFormat="1" applyFont="1" applyAlignment="1">
      <alignment horizontal="right" vertical="center"/>
    </xf>
    <xf numFmtId="0" fontId="78" fillId="5" borderId="37" xfId="0" applyFont="1" applyFill="1" applyBorder="1">
      <alignment vertical="center"/>
    </xf>
    <xf numFmtId="0" fontId="78" fillId="0" borderId="37" xfId="0" applyFont="1" applyBorder="1">
      <alignment vertical="center"/>
    </xf>
    <xf numFmtId="210" fontId="78" fillId="0" borderId="481" xfId="0" applyNumberFormat="1" applyFont="1" applyBorder="1" applyAlignment="1">
      <alignment horizontal="center" vertical="center"/>
    </xf>
    <xf numFmtId="208" fontId="78" fillId="0" borderId="481" xfId="2" applyNumberFormat="1" applyFont="1" applyFill="1" applyBorder="1" applyAlignment="1">
      <alignment horizontal="right" vertical="center"/>
    </xf>
    <xf numFmtId="208" fontId="78" fillId="0" borderId="37" xfId="2" applyNumberFormat="1" applyFont="1" applyFill="1" applyBorder="1" applyAlignment="1">
      <alignment horizontal="right" vertical="center"/>
    </xf>
    <xf numFmtId="198" fontId="78" fillId="0" borderId="37" xfId="0" applyNumberFormat="1" applyFont="1" applyBorder="1" applyAlignment="1">
      <alignment horizontal="right" vertical="center"/>
    </xf>
    <xf numFmtId="187" fontId="78" fillId="0" borderId="37" xfId="3" applyNumberFormat="1" applyFont="1" applyBorder="1" applyAlignment="1">
      <alignment horizontal="right" vertical="center"/>
    </xf>
    <xf numFmtId="189" fontId="78" fillId="0" borderId="72" xfId="0" applyNumberFormat="1" applyFont="1" applyBorder="1" applyAlignment="1">
      <alignment horizontal="center" vertical="center"/>
    </xf>
    <xf numFmtId="189" fontId="78" fillId="0" borderId="37" xfId="0" applyNumberFormat="1" applyFont="1" applyBorder="1" applyAlignment="1">
      <alignment horizontal="center" vertical="center"/>
    </xf>
    <xf numFmtId="244" fontId="78" fillId="0" borderId="39" xfId="2" applyNumberFormat="1" applyFont="1" applyBorder="1" applyAlignment="1">
      <alignment horizontal="center" vertical="center"/>
    </xf>
    <xf numFmtId="187" fontId="78" fillId="0" borderId="37" xfId="0" applyNumberFormat="1" applyFont="1" applyBorder="1" applyAlignment="1">
      <alignment horizontal="center" vertical="center"/>
    </xf>
    <xf numFmtId="189" fontId="78" fillId="0" borderId="781" xfId="0" applyNumberFormat="1" applyFont="1" applyBorder="1" applyAlignment="1">
      <alignment horizontal="center" vertical="center"/>
    </xf>
    <xf numFmtId="202" fontId="78" fillId="15" borderId="106" xfId="0" applyNumberFormat="1" applyFont="1" applyFill="1" applyBorder="1" applyAlignment="1">
      <alignment horizontal="center" vertical="center"/>
    </xf>
    <xf numFmtId="202" fontId="78" fillId="0" borderId="106" xfId="0" applyNumberFormat="1" applyFont="1" applyBorder="1" applyAlignment="1">
      <alignment horizontal="center" vertical="center"/>
    </xf>
    <xf numFmtId="202" fontId="78" fillId="0" borderId="0" xfId="0" applyNumberFormat="1" applyFont="1">
      <alignment vertical="center"/>
    </xf>
    <xf numFmtId="0" fontId="78" fillId="0" borderId="0" xfId="0" applyFont="1">
      <alignment vertical="center"/>
    </xf>
    <xf numFmtId="189" fontId="78" fillId="0" borderId="37" xfId="0" applyNumberFormat="1" applyFont="1" applyBorder="1" applyAlignment="1">
      <alignment horizontal="right" vertical="center"/>
    </xf>
    <xf numFmtId="0" fontId="79" fillId="0" borderId="0" xfId="0" applyFont="1">
      <alignment vertical="center"/>
    </xf>
    <xf numFmtId="0" fontId="74" fillId="8" borderId="68" xfId="0" applyFont="1" applyFill="1" applyBorder="1">
      <alignment vertical="center"/>
    </xf>
    <xf numFmtId="0" fontId="78" fillId="8" borderId="68" xfId="0" applyFont="1" applyFill="1" applyBorder="1">
      <alignment vertical="center"/>
    </xf>
    <xf numFmtId="210" fontId="66" fillId="8" borderId="689" xfId="0" applyNumberFormat="1" applyFont="1" applyFill="1" applyBorder="1" applyAlignment="1">
      <alignment horizontal="center" vertical="center"/>
    </xf>
    <xf numFmtId="208" fontId="66" fillId="8" borderId="689" xfId="2" applyNumberFormat="1" applyFont="1" applyFill="1" applyBorder="1" applyAlignment="1">
      <alignment horizontal="right" vertical="center"/>
    </xf>
    <xf numFmtId="208" fontId="66" fillId="8" borderId="68" xfId="2" applyNumberFormat="1" applyFont="1" applyFill="1" applyBorder="1" applyAlignment="1">
      <alignment horizontal="right" vertical="center"/>
    </xf>
    <xf numFmtId="198" fontId="66" fillId="8" borderId="68" xfId="0" applyNumberFormat="1" applyFont="1" applyFill="1" applyBorder="1" applyAlignment="1">
      <alignment horizontal="right" vertical="center"/>
    </xf>
    <xf numFmtId="187" fontId="66" fillId="8" borderId="68" xfId="0" applyNumberFormat="1" applyFont="1" applyFill="1" applyBorder="1" applyAlignment="1">
      <alignment horizontal="right" vertical="center"/>
    </xf>
    <xf numFmtId="189" fontId="66" fillId="8" borderId="71" xfId="0" applyNumberFormat="1" applyFont="1" applyFill="1" applyBorder="1" applyAlignment="1">
      <alignment horizontal="center" vertical="center"/>
    </xf>
    <xf numFmtId="189" fontId="66" fillId="8" borderId="68" xfId="0" applyNumberFormat="1" applyFont="1" applyFill="1" applyBorder="1" applyAlignment="1">
      <alignment horizontal="center" vertical="center"/>
    </xf>
    <xf numFmtId="186" fontId="66" fillId="8" borderId="68" xfId="0" applyNumberFormat="1" applyFont="1" applyFill="1" applyBorder="1" applyAlignment="1">
      <alignment horizontal="center" vertical="center"/>
    </xf>
    <xf numFmtId="244" fontId="66" fillId="8" borderId="70" xfId="2" applyNumberFormat="1" applyFont="1" applyFill="1" applyBorder="1" applyAlignment="1">
      <alignment horizontal="center" vertical="center"/>
    </xf>
    <xf numFmtId="187" fontId="66" fillId="8" borderId="68" xfId="0" applyNumberFormat="1" applyFont="1" applyFill="1" applyBorder="1" applyAlignment="1">
      <alignment horizontal="center" vertical="center"/>
    </xf>
    <xf numFmtId="189" fontId="66" fillId="8" borderId="784" xfId="0" applyNumberFormat="1" applyFont="1" applyFill="1" applyBorder="1" applyAlignment="1">
      <alignment horizontal="center" vertical="center"/>
    </xf>
    <xf numFmtId="202" fontId="78" fillId="15" borderId="0" xfId="0" applyNumberFormat="1" applyFont="1" applyFill="1" applyAlignment="1">
      <alignment horizontal="center" vertical="center"/>
    </xf>
    <xf numFmtId="202" fontId="78" fillId="0" borderId="0" xfId="0" applyNumberFormat="1" applyFont="1" applyAlignment="1">
      <alignment horizontal="center" vertical="center"/>
    </xf>
    <xf numFmtId="189" fontId="66" fillId="8" borderId="0" xfId="0" applyNumberFormat="1" applyFont="1" applyFill="1" applyAlignment="1">
      <alignment horizontal="right" vertical="center"/>
    </xf>
    <xf numFmtId="0" fontId="74" fillId="5" borderId="0" xfId="0" applyFont="1" applyFill="1" applyBorder="1" applyAlignment="1">
      <alignment horizontal="left" vertical="center" indent="1"/>
    </xf>
    <xf numFmtId="0" fontId="74" fillId="5" borderId="0" xfId="0" applyFont="1" applyFill="1" applyBorder="1" applyAlignment="1">
      <alignment horizontal="left" vertical="center"/>
    </xf>
    <xf numFmtId="0" fontId="74" fillId="5" borderId="0" xfId="0" applyFont="1" applyFill="1" applyBorder="1">
      <alignment vertical="center"/>
    </xf>
    <xf numFmtId="210" fontId="66" fillId="5" borderId="485" xfId="0" applyNumberFormat="1" applyFont="1" applyFill="1" applyBorder="1" applyAlignment="1">
      <alignment horizontal="center" vertical="center"/>
    </xf>
    <xf numFmtId="208" fontId="66" fillId="5" borderId="485" xfId="2" applyNumberFormat="1" applyFont="1" applyFill="1" applyBorder="1" applyAlignment="1">
      <alignment horizontal="right" vertical="center"/>
    </xf>
    <xf numFmtId="208" fontId="66" fillId="5" borderId="0" xfId="2" applyNumberFormat="1" applyFont="1" applyFill="1" applyBorder="1" applyAlignment="1">
      <alignment horizontal="right" vertical="center"/>
    </xf>
    <xf numFmtId="198" fontId="66" fillId="5" borderId="0" xfId="0" applyNumberFormat="1" applyFont="1" applyFill="1" applyBorder="1" applyAlignment="1">
      <alignment horizontal="right" vertical="center"/>
    </xf>
    <xf numFmtId="187" fontId="66" fillId="5" borderId="0" xfId="3" applyNumberFormat="1" applyFont="1" applyFill="1" applyBorder="1" applyAlignment="1">
      <alignment horizontal="right" vertical="center"/>
    </xf>
    <xf numFmtId="186" fontId="66" fillId="5" borderId="46" xfId="0" applyNumberFormat="1" applyFont="1" applyFill="1" applyBorder="1" applyAlignment="1">
      <alignment horizontal="center" vertical="center"/>
    </xf>
    <xf numFmtId="186" fontId="66" fillId="5" borderId="0" xfId="0" applyNumberFormat="1" applyFont="1" applyFill="1" applyBorder="1" applyAlignment="1">
      <alignment horizontal="center" vertical="center"/>
    </xf>
    <xf numFmtId="244" fontId="66" fillId="5" borderId="2" xfId="2" applyNumberFormat="1" applyFont="1" applyFill="1" applyBorder="1" applyAlignment="1">
      <alignment horizontal="center" vertical="center"/>
    </xf>
    <xf numFmtId="189" fontId="66" fillId="5" borderId="0" xfId="0" applyNumberFormat="1" applyFont="1" applyFill="1" applyBorder="1" applyAlignment="1">
      <alignment horizontal="center" vertical="center"/>
    </xf>
    <xf numFmtId="187" fontId="66" fillId="5" borderId="0" xfId="0" applyNumberFormat="1" applyFont="1" applyFill="1" applyBorder="1" applyAlignment="1">
      <alignment horizontal="center" vertical="center"/>
    </xf>
    <xf numFmtId="186" fontId="66" fillId="5" borderId="780" xfId="0" applyNumberFormat="1" applyFont="1" applyFill="1" applyBorder="1" applyAlignment="1">
      <alignment horizontal="center" vertical="center"/>
    </xf>
    <xf numFmtId="186" fontId="66" fillId="5" borderId="0" xfId="0" applyNumberFormat="1" applyFont="1" applyFill="1" applyAlignment="1">
      <alignment horizontal="right" vertical="center"/>
    </xf>
    <xf numFmtId="189" fontId="66" fillId="5" borderId="46" xfId="0" applyNumberFormat="1" applyFont="1" applyFill="1" applyBorder="1" applyAlignment="1">
      <alignment horizontal="center" vertical="center"/>
    </xf>
    <xf numFmtId="189" fontId="66" fillId="5" borderId="780" xfId="0" applyNumberFormat="1" applyFont="1" applyFill="1" applyBorder="1" applyAlignment="1">
      <alignment horizontal="center" vertical="center"/>
    </xf>
    <xf numFmtId="189" fontId="66" fillId="5" borderId="0" xfId="0" applyNumberFormat="1" applyFont="1" applyFill="1" applyAlignment="1">
      <alignment horizontal="right" vertical="center"/>
    </xf>
    <xf numFmtId="176" fontId="76" fillId="0" borderId="0" xfId="3" applyNumberFormat="1" applyFont="1">
      <alignment vertical="center"/>
    </xf>
    <xf numFmtId="0" fontId="74" fillId="20" borderId="0" xfId="0" applyFont="1" applyFill="1" applyBorder="1">
      <alignment vertical="center"/>
    </xf>
    <xf numFmtId="0" fontId="66" fillId="20" borderId="0" xfId="0" applyFont="1" applyFill="1" applyBorder="1">
      <alignment vertical="center"/>
    </xf>
    <xf numFmtId="210" fontId="66" fillId="20" borderId="485" xfId="0" applyNumberFormat="1" applyFont="1" applyFill="1" applyBorder="1" applyAlignment="1">
      <alignment horizontal="center" vertical="center"/>
    </xf>
    <xf numFmtId="208" fontId="66" fillId="20" borderId="485" xfId="2" applyNumberFormat="1" applyFont="1" applyFill="1" applyBorder="1" applyAlignment="1">
      <alignment horizontal="right" vertical="center"/>
    </xf>
    <xf numFmtId="208" fontId="66" fillId="20" borderId="0" xfId="2" applyNumberFormat="1" applyFont="1" applyFill="1" applyBorder="1" applyAlignment="1">
      <alignment horizontal="right" vertical="center"/>
    </xf>
    <xf numFmtId="198" fontId="66" fillId="20" borderId="0" xfId="0" applyNumberFormat="1" applyFont="1" applyFill="1" applyBorder="1" applyAlignment="1">
      <alignment horizontal="right" vertical="center"/>
    </xf>
    <xf numFmtId="187" fontId="66" fillId="20" borderId="0" xfId="3" applyNumberFormat="1" applyFont="1" applyFill="1" applyBorder="1" applyAlignment="1">
      <alignment horizontal="right" vertical="center"/>
    </xf>
    <xf numFmtId="189" fontId="66" fillId="20" borderId="46" xfId="0" applyNumberFormat="1" applyFont="1" applyFill="1" applyBorder="1" applyAlignment="1">
      <alignment horizontal="center" vertical="center"/>
    </xf>
    <xf numFmtId="189" fontId="66" fillId="20" borderId="0" xfId="0" applyNumberFormat="1" applyFont="1" applyFill="1" applyBorder="1" applyAlignment="1">
      <alignment horizontal="center" vertical="center"/>
    </xf>
    <xf numFmtId="244" fontId="66" fillId="20" borderId="2" xfId="2" applyNumberFormat="1" applyFont="1" applyFill="1" applyBorder="1" applyAlignment="1">
      <alignment horizontal="center" vertical="center"/>
    </xf>
    <xf numFmtId="187" fontId="66" fillId="20" borderId="0" xfId="0" applyNumberFormat="1" applyFont="1" applyFill="1" applyBorder="1" applyAlignment="1">
      <alignment horizontal="center" vertical="center"/>
    </xf>
    <xf numFmtId="189" fontId="66" fillId="20" borderId="780" xfId="0" applyNumberFormat="1" applyFont="1" applyFill="1" applyBorder="1" applyAlignment="1">
      <alignment horizontal="center" vertical="center"/>
    </xf>
    <xf numFmtId="0" fontId="66" fillId="5" borderId="0" xfId="0" applyFont="1" applyFill="1" applyBorder="1" applyAlignment="1">
      <alignment horizontal="left" vertical="center"/>
    </xf>
    <xf numFmtId="0" fontId="82" fillId="5" borderId="0" xfId="0" applyFont="1" applyFill="1" applyBorder="1" applyAlignment="1">
      <alignment horizontal="left" vertical="center" indent="1"/>
    </xf>
    <xf numFmtId="202" fontId="66" fillId="28" borderId="0" xfId="0" applyNumberFormat="1" applyFont="1" applyFill="1" applyAlignment="1">
      <alignment horizontal="center" vertical="center"/>
    </xf>
    <xf numFmtId="0" fontId="66" fillId="5" borderId="551" xfId="0" applyFont="1" applyFill="1" applyBorder="1" applyAlignment="1">
      <alignment horizontal="left" vertical="top"/>
    </xf>
    <xf numFmtId="208" fontId="66" fillId="5" borderId="0" xfId="0" applyNumberFormat="1" applyFont="1" applyFill="1" applyBorder="1" applyAlignment="1">
      <alignment horizontal="center" vertical="center"/>
    </xf>
    <xf numFmtId="208" fontId="66" fillId="5" borderId="780" xfId="0" applyNumberFormat="1" applyFont="1" applyFill="1" applyBorder="1" applyAlignment="1">
      <alignment horizontal="center" vertical="center"/>
    </xf>
    <xf numFmtId="208" fontId="66" fillId="5" borderId="0" xfId="0" applyNumberFormat="1" applyFont="1" applyFill="1" applyAlignment="1">
      <alignment horizontal="right" vertical="center"/>
    </xf>
    <xf numFmtId="0" fontId="66" fillId="5" borderId="548" xfId="0" applyFont="1" applyFill="1" applyBorder="1" applyAlignment="1">
      <alignment horizontal="left" vertical="top"/>
    </xf>
    <xf numFmtId="0" fontId="82" fillId="5" borderId="548" xfId="0" applyFont="1" applyFill="1" applyBorder="1" applyAlignment="1">
      <alignment horizontal="left" vertical="center" indent="1"/>
    </xf>
    <xf numFmtId="0" fontId="66" fillId="5" borderId="548" xfId="0" applyFont="1" applyFill="1" applyBorder="1">
      <alignment vertical="center"/>
    </xf>
    <xf numFmtId="210" fontId="66" fillId="5" borderId="867" xfId="0" applyNumberFormat="1" applyFont="1" applyFill="1" applyBorder="1" applyAlignment="1">
      <alignment horizontal="center" vertical="center"/>
    </xf>
    <xf numFmtId="208" fontId="66" fillId="5" borderId="867" xfId="2" applyNumberFormat="1" applyFont="1" applyFill="1" applyBorder="1" applyAlignment="1">
      <alignment horizontal="right" vertical="center"/>
    </xf>
    <xf numFmtId="208" fontId="66" fillId="5" borderId="548" xfId="2" applyNumberFormat="1" applyFont="1" applyFill="1" applyBorder="1" applyAlignment="1">
      <alignment horizontal="right" vertical="center"/>
    </xf>
    <xf numFmtId="193" fontId="66" fillId="4" borderId="548" xfId="0" applyNumberFormat="1" applyFont="1" applyFill="1" applyBorder="1" applyAlignment="1">
      <alignment horizontal="right" vertical="center"/>
    </xf>
    <xf numFmtId="187" fontId="66" fillId="4" borderId="548" xfId="3" applyNumberFormat="1" applyFont="1" applyFill="1" applyBorder="1" applyAlignment="1">
      <alignment horizontal="right" vertical="center"/>
    </xf>
    <xf numFmtId="189" fontId="66" fillId="5" borderId="549" xfId="0" applyNumberFormat="1" applyFont="1" applyFill="1" applyBorder="1" applyAlignment="1">
      <alignment horizontal="center" vertical="center"/>
    </xf>
    <xf numFmtId="189" fontId="66" fillId="5" borderId="548" xfId="0" applyNumberFormat="1" applyFont="1" applyFill="1" applyBorder="1" applyAlignment="1">
      <alignment horizontal="center" vertical="center"/>
    </xf>
    <xf numFmtId="244" fontId="66" fillId="5" borderId="550" xfId="2" applyNumberFormat="1" applyFont="1" applyFill="1" applyBorder="1" applyAlignment="1">
      <alignment horizontal="center" vertical="center"/>
    </xf>
    <xf numFmtId="189" fontId="66" fillId="4" borderId="548" xfId="0" applyNumberFormat="1" applyFont="1" applyFill="1" applyBorder="1" applyAlignment="1">
      <alignment horizontal="center" vertical="center"/>
    </xf>
    <xf numFmtId="187" fontId="66" fillId="4" borderId="548" xfId="0" applyNumberFormat="1" applyFont="1" applyFill="1" applyBorder="1" applyAlignment="1">
      <alignment horizontal="center" vertical="center"/>
    </xf>
    <xf numFmtId="189" fontId="66" fillId="5" borderId="782" xfId="0" applyNumberFormat="1" applyFont="1" applyFill="1" applyBorder="1" applyAlignment="1">
      <alignment horizontal="center" vertical="center"/>
    </xf>
    <xf numFmtId="202" fontId="66" fillId="15" borderId="562" xfId="0" applyNumberFormat="1" applyFont="1" applyFill="1" applyBorder="1" applyAlignment="1">
      <alignment horizontal="center" vertical="center"/>
    </xf>
    <xf numFmtId="202" fontId="66" fillId="0" borderId="562" xfId="0" applyNumberFormat="1" applyFont="1" applyBorder="1" applyAlignment="1">
      <alignment horizontal="center" vertical="center"/>
    </xf>
    <xf numFmtId="202" fontId="66" fillId="0" borderId="562" xfId="0" applyNumberFormat="1" applyFont="1" applyBorder="1">
      <alignment vertical="center"/>
    </xf>
    <xf numFmtId="0" fontId="66" fillId="5" borderId="0" xfId="0" applyFont="1" applyFill="1" applyBorder="1" applyAlignment="1">
      <alignment horizontal="left" vertical="top"/>
    </xf>
    <xf numFmtId="193" fontId="66" fillId="4" borderId="0" xfId="0" applyNumberFormat="1" applyFont="1" applyFill="1" applyBorder="1" applyAlignment="1">
      <alignment horizontal="right" vertical="center"/>
    </xf>
    <xf numFmtId="187" fontId="66" fillId="4" borderId="0" xfId="3" applyNumberFormat="1" applyFont="1" applyFill="1" applyBorder="1" applyAlignment="1">
      <alignment horizontal="right" vertical="center"/>
    </xf>
    <xf numFmtId="189" fontId="66" fillId="4" borderId="0" xfId="0" applyNumberFormat="1" applyFont="1" applyFill="1" applyBorder="1" applyAlignment="1">
      <alignment horizontal="center" vertical="center"/>
    </xf>
    <xf numFmtId="187" fontId="66" fillId="4" borderId="0" xfId="0" applyNumberFormat="1" applyFont="1" applyFill="1" applyBorder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189" fontId="66" fillId="4" borderId="0" xfId="0" applyNumberFormat="1" applyFont="1" applyFill="1" applyAlignment="1">
      <alignment horizontal="right" vertical="center"/>
    </xf>
    <xf numFmtId="202" fontId="66" fillId="15" borderId="560" xfId="0" applyNumberFormat="1" applyFont="1" applyFill="1" applyBorder="1" applyAlignment="1">
      <alignment horizontal="center" vertical="center"/>
    </xf>
    <xf numFmtId="202" fontId="66" fillId="0" borderId="560" xfId="0" applyNumberFormat="1" applyFont="1" applyBorder="1" applyAlignment="1">
      <alignment horizontal="center" vertical="center"/>
    </xf>
    <xf numFmtId="202" fontId="66" fillId="0" borderId="560" xfId="0" applyNumberFormat="1" applyFont="1" applyBorder="1">
      <alignment vertical="center"/>
    </xf>
    <xf numFmtId="0" fontId="74" fillId="5" borderId="0" xfId="0" applyFont="1" applyFill="1" applyBorder="1" applyAlignment="1">
      <alignment horizontal="center" vertical="center"/>
    </xf>
    <xf numFmtId="0" fontId="74" fillId="20" borderId="0" xfId="0" applyFont="1" applyFill="1" applyBorder="1" applyAlignment="1">
      <alignment horizontal="left" vertical="center"/>
    </xf>
    <xf numFmtId="0" fontId="82" fillId="20" borderId="0" xfId="0" applyFont="1" applyFill="1" applyBorder="1" applyAlignment="1">
      <alignment horizontal="left" vertical="center" indent="1"/>
    </xf>
    <xf numFmtId="187" fontId="66" fillId="4" borderId="0" xfId="3" applyNumberFormat="1" applyFont="1" applyFill="1" applyBorder="1" applyAlignment="1">
      <alignment horizontal="center" vertical="center"/>
    </xf>
    <xf numFmtId="202" fontId="66" fillId="5" borderId="0" xfId="0" applyNumberFormat="1" applyFont="1" applyFill="1" applyAlignment="1">
      <alignment horizontal="center" vertical="center"/>
    </xf>
    <xf numFmtId="202" fontId="66" fillId="5" borderId="0" xfId="0" applyNumberFormat="1" applyFont="1" applyFill="1">
      <alignment vertical="center"/>
    </xf>
    <xf numFmtId="202" fontId="66" fillId="2" borderId="0" xfId="0" applyNumberFormat="1" applyFont="1" applyFill="1" applyAlignment="1">
      <alignment horizontal="center" vertical="center"/>
    </xf>
    <xf numFmtId="208" fontId="66" fillId="5" borderId="0" xfId="2" applyNumberFormat="1" applyFont="1" applyFill="1" applyAlignment="1">
      <alignment horizontal="right" vertical="center"/>
    </xf>
    <xf numFmtId="202" fontId="66" fillId="5" borderId="562" xfId="0" applyNumberFormat="1" applyFont="1" applyFill="1" applyBorder="1" applyAlignment="1">
      <alignment horizontal="center" vertical="center"/>
    </xf>
    <xf numFmtId="202" fontId="66" fillId="5" borderId="562" xfId="0" applyNumberFormat="1" applyFont="1" applyFill="1" applyBorder="1">
      <alignment vertical="center"/>
    </xf>
    <xf numFmtId="209" fontId="66" fillId="5" borderId="0" xfId="0" applyNumberFormat="1" applyFont="1" applyFill="1" applyAlignment="1">
      <alignment horizontal="center" vertical="center"/>
    </xf>
    <xf numFmtId="210" fontId="66" fillId="5" borderId="485" xfId="0" quotePrefix="1" applyNumberFormat="1" applyFont="1" applyFill="1" applyBorder="1" applyAlignment="1">
      <alignment horizontal="center" vertical="center"/>
    </xf>
    <xf numFmtId="209" fontId="66" fillId="2" borderId="0" xfId="0" applyNumberFormat="1" applyFont="1" applyFill="1" applyAlignment="1">
      <alignment horizontal="center" vertical="center"/>
    </xf>
    <xf numFmtId="209" fontId="66" fillId="15" borderId="0" xfId="0" applyNumberFormat="1" applyFont="1" applyFill="1" applyAlignment="1">
      <alignment horizontal="center" vertical="center"/>
    </xf>
    <xf numFmtId="0" fontId="82" fillId="5" borderId="551" xfId="0" applyFont="1" applyFill="1" applyBorder="1" applyAlignment="1">
      <alignment horizontal="left" vertical="center" indent="1"/>
    </xf>
    <xf numFmtId="0" fontId="66" fillId="5" borderId="551" xfId="0" applyFont="1" applyFill="1" applyBorder="1">
      <alignment vertical="center"/>
    </xf>
    <xf numFmtId="210" fontId="66" fillId="5" borderId="868" xfId="0" applyNumberFormat="1" applyFont="1" applyFill="1" applyBorder="1" applyAlignment="1">
      <alignment horizontal="center" vertical="center"/>
    </xf>
    <xf numFmtId="208" fontId="66" fillId="5" borderId="868" xfId="2" applyNumberFormat="1" applyFont="1" applyFill="1" applyBorder="1" applyAlignment="1">
      <alignment horizontal="right" vertical="center"/>
    </xf>
    <xf numFmtId="208" fontId="66" fillId="5" borderId="551" xfId="2" applyNumberFormat="1" applyFont="1" applyFill="1" applyBorder="1" applyAlignment="1">
      <alignment horizontal="right" vertical="center"/>
    </xf>
    <xf numFmtId="193" fontId="66" fillId="4" borderId="551" xfId="0" applyNumberFormat="1" applyFont="1" applyFill="1" applyBorder="1" applyAlignment="1">
      <alignment horizontal="right" vertical="center"/>
    </xf>
    <xf numFmtId="187" fontId="66" fillId="4" borderId="551" xfId="3" applyNumberFormat="1" applyFont="1" applyFill="1" applyBorder="1" applyAlignment="1">
      <alignment horizontal="right" vertical="center"/>
    </xf>
    <xf numFmtId="189" fontId="66" fillId="5" borderId="552" xfId="0" applyNumberFormat="1" applyFont="1" applyFill="1" applyBorder="1" applyAlignment="1">
      <alignment horizontal="center" vertical="center"/>
    </xf>
    <xf numFmtId="189" fontId="66" fillId="5" borderId="551" xfId="0" applyNumberFormat="1" applyFont="1" applyFill="1" applyBorder="1" applyAlignment="1">
      <alignment horizontal="center" vertical="center"/>
    </xf>
    <xf numFmtId="244" fontId="66" fillId="5" borderId="553" xfId="2" applyNumberFormat="1" applyFont="1" applyFill="1" applyBorder="1" applyAlignment="1">
      <alignment horizontal="center" vertical="center"/>
    </xf>
    <xf numFmtId="189" fontId="66" fillId="4" borderId="551" xfId="0" applyNumberFormat="1" applyFont="1" applyFill="1" applyBorder="1" applyAlignment="1">
      <alignment horizontal="center" vertical="center"/>
    </xf>
    <xf numFmtId="187" fontId="66" fillId="4" borderId="551" xfId="0" applyNumberFormat="1" applyFont="1" applyFill="1" applyBorder="1" applyAlignment="1">
      <alignment horizontal="center" vertical="center"/>
    </xf>
    <xf numFmtId="189" fontId="66" fillId="5" borderId="783" xfId="0" applyNumberFormat="1" applyFont="1" applyFill="1" applyBorder="1" applyAlignment="1">
      <alignment horizontal="center" vertical="center"/>
    </xf>
    <xf numFmtId="209" fontId="66" fillId="15" borderId="560" xfId="0" applyNumberFormat="1" applyFont="1" applyFill="1" applyBorder="1" applyAlignment="1">
      <alignment horizontal="center" vertical="center"/>
    </xf>
    <xf numFmtId="0" fontId="85" fillId="0" borderId="0" xfId="0" applyFont="1">
      <alignment vertical="center"/>
    </xf>
    <xf numFmtId="0" fontId="86" fillId="0" borderId="0" xfId="0" applyFont="1" applyFill="1" applyBorder="1">
      <alignment vertical="center"/>
    </xf>
    <xf numFmtId="0" fontId="82" fillId="20" borderId="0" xfId="0" applyFont="1" applyFill="1" applyBorder="1">
      <alignment vertical="center"/>
    </xf>
    <xf numFmtId="0" fontId="66" fillId="5" borderId="0" xfId="0" applyFont="1" applyFill="1" applyBorder="1" applyAlignment="1">
      <alignment horizontal="center" vertical="top"/>
    </xf>
    <xf numFmtId="0" fontId="82" fillId="0" borderId="0" xfId="0" applyFont="1" applyBorder="1" applyAlignment="1">
      <alignment horizontal="left" vertical="center" indent="1"/>
    </xf>
    <xf numFmtId="0" fontId="82" fillId="5" borderId="0" xfId="0" applyFont="1" applyFill="1" applyBorder="1">
      <alignment vertical="center"/>
    </xf>
    <xf numFmtId="210" fontId="82" fillId="5" borderId="485" xfId="0" applyNumberFormat="1" applyFont="1" applyFill="1" applyBorder="1" applyAlignment="1">
      <alignment horizontal="center" vertical="center"/>
    </xf>
    <xf numFmtId="0" fontId="86" fillId="5" borderId="0" xfId="0" applyFont="1" applyFill="1" applyBorder="1">
      <alignment vertical="center"/>
    </xf>
    <xf numFmtId="0" fontId="86" fillId="5" borderId="37" xfId="0" applyFont="1" applyFill="1" applyBorder="1" applyAlignment="1">
      <alignment horizontal="center" vertical="top"/>
    </xf>
    <xf numFmtId="0" fontId="87" fillId="0" borderId="0" xfId="0" applyFont="1" applyBorder="1" applyAlignment="1">
      <alignment horizontal="left" vertical="center" indent="1"/>
    </xf>
    <xf numFmtId="0" fontId="86" fillId="0" borderId="0" xfId="0" applyFont="1" applyBorder="1">
      <alignment vertical="center"/>
    </xf>
    <xf numFmtId="202" fontId="66" fillId="0" borderId="106" xfId="0" applyNumberFormat="1" applyFont="1" applyBorder="1" applyAlignment="1">
      <alignment horizontal="center" vertical="center"/>
    </xf>
    <xf numFmtId="0" fontId="88" fillId="8" borderId="68" xfId="0" applyFont="1" applyFill="1" applyBorder="1">
      <alignment vertical="center"/>
    </xf>
    <xf numFmtId="0" fontId="86" fillId="8" borderId="68" xfId="0" applyFont="1" applyFill="1" applyBorder="1">
      <alignment vertical="center"/>
    </xf>
    <xf numFmtId="187" fontId="66" fillId="8" borderId="68" xfId="3" applyNumberFormat="1" applyFont="1" applyFill="1" applyBorder="1" applyAlignment="1">
      <alignment horizontal="right" vertical="center"/>
    </xf>
    <xf numFmtId="189" fontId="66" fillId="8" borderId="68" xfId="0" applyNumberFormat="1" applyFont="1" applyFill="1" applyBorder="1" applyAlignment="1">
      <alignment horizontal="right" vertical="center"/>
    </xf>
    <xf numFmtId="0" fontId="74" fillId="6" borderId="786" xfId="0" applyFont="1" applyFill="1" applyBorder="1" applyAlignment="1">
      <alignment vertical="center" wrapText="1"/>
    </xf>
    <xf numFmtId="0" fontId="86" fillId="8" borderId="0" xfId="0" applyFont="1" applyFill="1" applyBorder="1">
      <alignment vertical="center"/>
    </xf>
    <xf numFmtId="210" fontId="66" fillId="8" borderId="485" xfId="0" applyNumberFormat="1" applyFont="1" applyFill="1" applyBorder="1" applyAlignment="1">
      <alignment horizontal="center" vertical="center"/>
    </xf>
    <xf numFmtId="208" fontId="66" fillId="8" borderId="485" xfId="2" applyNumberFormat="1" applyFont="1" applyFill="1" applyBorder="1" applyAlignment="1">
      <alignment horizontal="right" vertical="center"/>
    </xf>
    <xf numFmtId="208" fontId="66" fillId="8" borderId="0" xfId="2" applyNumberFormat="1" applyFont="1" applyFill="1" applyBorder="1" applyAlignment="1">
      <alignment horizontal="right" vertical="center"/>
    </xf>
    <xf numFmtId="198" fontId="66" fillId="8" borderId="0" xfId="0" applyNumberFormat="1" applyFont="1" applyFill="1" applyBorder="1" applyAlignment="1">
      <alignment horizontal="right" vertical="center"/>
    </xf>
    <xf numFmtId="187" fontId="66" fillId="8" borderId="0" xfId="3" applyNumberFormat="1" applyFont="1" applyFill="1" applyBorder="1" applyAlignment="1">
      <alignment horizontal="right" vertical="center"/>
    </xf>
    <xf numFmtId="189" fontId="66" fillId="8" borderId="46" xfId="0" applyNumberFormat="1" applyFont="1" applyFill="1" applyBorder="1" applyAlignment="1">
      <alignment horizontal="center" vertical="center"/>
    </xf>
    <xf numFmtId="189" fontId="66" fillId="8" borderId="0" xfId="0" applyNumberFormat="1" applyFont="1" applyFill="1" applyBorder="1" applyAlignment="1">
      <alignment horizontal="center" vertical="center"/>
    </xf>
    <xf numFmtId="244" fontId="66" fillId="8" borderId="2" xfId="2" applyNumberFormat="1" applyFont="1" applyFill="1" applyBorder="1" applyAlignment="1">
      <alignment horizontal="center" vertical="center"/>
    </xf>
    <xf numFmtId="187" fontId="66" fillId="8" borderId="0" xfId="0" applyNumberFormat="1" applyFont="1" applyFill="1" applyBorder="1" applyAlignment="1">
      <alignment horizontal="center" vertical="center"/>
    </xf>
    <xf numFmtId="189" fontId="66" fillId="8" borderId="780" xfId="0" applyNumberFormat="1" applyFont="1" applyFill="1" applyBorder="1" applyAlignment="1">
      <alignment horizontal="center" vertical="center"/>
    </xf>
    <xf numFmtId="0" fontId="66" fillId="6" borderId="787" xfId="0" applyFont="1" applyFill="1" applyBorder="1">
      <alignment vertical="center"/>
    </xf>
    <xf numFmtId="0" fontId="86" fillId="5" borderId="788" xfId="0" applyFont="1" applyFill="1" applyBorder="1">
      <alignment vertical="center"/>
    </xf>
    <xf numFmtId="0" fontId="86" fillId="8" borderId="788" xfId="0" applyFont="1" applyFill="1" applyBorder="1">
      <alignment vertical="center"/>
    </xf>
    <xf numFmtId="210" fontId="66" fillId="8" borderId="869" xfId="0" applyNumberFormat="1" applyFont="1" applyFill="1" applyBorder="1" applyAlignment="1">
      <alignment horizontal="center" vertical="center"/>
    </xf>
    <xf numFmtId="208" fontId="66" fillId="8" borderId="869" xfId="2" applyNumberFormat="1" applyFont="1" applyFill="1" applyBorder="1" applyAlignment="1">
      <alignment horizontal="right" vertical="center"/>
    </xf>
    <xf numFmtId="208" fontId="66" fillId="8" borderId="788" xfId="2" applyNumberFormat="1" applyFont="1" applyFill="1" applyBorder="1" applyAlignment="1">
      <alignment horizontal="right" vertical="center"/>
    </xf>
    <xf numFmtId="198" fontId="66" fillId="8" borderId="788" xfId="0" applyNumberFormat="1" applyFont="1" applyFill="1" applyBorder="1" applyAlignment="1">
      <alignment horizontal="right" vertical="center"/>
    </xf>
    <xf numFmtId="187" fontId="66" fillId="8" borderId="788" xfId="3" applyNumberFormat="1" applyFont="1" applyFill="1" applyBorder="1" applyAlignment="1">
      <alignment horizontal="right" vertical="center"/>
    </xf>
    <xf numFmtId="189" fontId="66" fillId="8" borderId="791" xfId="0" applyNumberFormat="1" applyFont="1" applyFill="1" applyBorder="1" applyAlignment="1">
      <alignment horizontal="center" vertical="center"/>
    </xf>
    <xf numFmtId="189" fontId="66" fillId="8" borderId="788" xfId="0" applyNumberFormat="1" applyFont="1" applyFill="1" applyBorder="1" applyAlignment="1">
      <alignment horizontal="center" vertical="center"/>
    </xf>
    <xf numFmtId="244" fontId="66" fillId="8" borderId="790" xfId="2" applyNumberFormat="1" applyFont="1" applyFill="1" applyBorder="1" applyAlignment="1">
      <alignment horizontal="center" vertical="center"/>
    </xf>
    <xf numFmtId="187" fontId="66" fillId="8" borderId="788" xfId="0" applyNumberFormat="1" applyFont="1" applyFill="1" applyBorder="1" applyAlignment="1">
      <alignment horizontal="center" vertical="center"/>
    </xf>
    <xf numFmtId="189" fontId="66" fillId="8" borderId="792" xfId="0" applyNumberFormat="1" applyFont="1" applyFill="1" applyBorder="1" applyAlignment="1">
      <alignment horizontal="center" vertical="center"/>
    </xf>
    <xf numFmtId="202" fontId="66" fillId="15" borderId="390" xfId="0" applyNumberFormat="1" applyFont="1" applyFill="1" applyBorder="1" applyAlignment="1">
      <alignment horizontal="center" vertical="center"/>
    </xf>
    <xf numFmtId="202" fontId="66" fillId="0" borderId="390" xfId="0" applyNumberFormat="1" applyFont="1" applyBorder="1" applyAlignment="1">
      <alignment horizontal="center" vertical="center"/>
    </xf>
    <xf numFmtId="189" fontId="66" fillId="8" borderId="6" xfId="0" applyNumberFormat="1" applyFont="1" applyFill="1" applyBorder="1" applyAlignment="1">
      <alignment horizontal="right" vertical="center"/>
    </xf>
    <xf numFmtId="0" fontId="86" fillId="0" borderId="0" xfId="0" applyFont="1">
      <alignment vertical="center"/>
    </xf>
    <xf numFmtId="0" fontId="66" fillId="0" borderId="485" xfId="0" applyFont="1" applyBorder="1" applyAlignment="1">
      <alignment horizontal="center" vertical="center"/>
    </xf>
    <xf numFmtId="204" fontId="66" fillId="0" borderId="485" xfId="2" applyNumberFormat="1" applyFont="1" applyBorder="1" applyAlignment="1">
      <alignment horizontal="right" vertical="center"/>
    </xf>
    <xf numFmtId="204" fontId="66" fillId="0" borderId="0" xfId="2" applyNumberFormat="1" applyFont="1" applyBorder="1" applyAlignment="1">
      <alignment horizontal="right" vertical="center"/>
    </xf>
    <xf numFmtId="193" fontId="66" fillId="0" borderId="0" xfId="0" applyNumberFormat="1" applyFont="1" applyBorder="1" applyAlignment="1">
      <alignment horizontal="right" vertical="center"/>
    </xf>
    <xf numFmtId="187" fontId="66" fillId="0" borderId="0" xfId="0" applyNumberFormat="1" applyFont="1" applyBorder="1" applyAlignment="1">
      <alignment horizontal="right" vertical="center"/>
    </xf>
    <xf numFmtId="186" fontId="66" fillId="0" borderId="46" xfId="0" applyNumberFormat="1" applyFont="1" applyBorder="1" applyAlignment="1">
      <alignment horizontal="right" vertical="center"/>
    </xf>
    <xf numFmtId="186" fontId="66" fillId="0" borderId="0" xfId="0" applyNumberFormat="1" applyFont="1" applyBorder="1" applyAlignment="1">
      <alignment horizontal="right" vertical="center"/>
    </xf>
    <xf numFmtId="244" fontId="66" fillId="0" borderId="2" xfId="2" applyNumberFormat="1" applyFont="1" applyBorder="1" applyAlignment="1">
      <alignment horizontal="right" vertical="center"/>
    </xf>
    <xf numFmtId="187" fontId="66" fillId="0" borderId="0" xfId="0" applyNumberFormat="1" applyFont="1" applyAlignment="1">
      <alignment horizontal="right" vertical="center"/>
    </xf>
    <xf numFmtId="0" fontId="74" fillId="14" borderId="777" xfId="0" applyFont="1" applyFill="1" applyBorder="1">
      <alignment vertical="center"/>
    </xf>
    <xf numFmtId="0" fontId="88" fillId="14" borderId="741" xfId="0" applyFont="1" applyFill="1" applyBorder="1">
      <alignment vertical="center"/>
    </xf>
    <xf numFmtId="0" fontId="86" fillId="14" borderId="741" xfId="0" applyFont="1" applyFill="1" applyBorder="1">
      <alignment vertical="center"/>
    </xf>
    <xf numFmtId="210" fontId="66" fillId="14" borderId="870" xfId="0" applyNumberFormat="1" applyFont="1" applyFill="1" applyBorder="1" applyAlignment="1">
      <alignment horizontal="center" vertical="center"/>
    </xf>
    <xf numFmtId="208" fontId="66" fillId="14" borderId="870" xfId="2" applyNumberFormat="1" applyFont="1" applyFill="1" applyBorder="1" applyAlignment="1">
      <alignment horizontal="right" vertical="center"/>
    </xf>
    <xf numFmtId="208" fontId="66" fillId="14" borderId="741" xfId="2" applyNumberFormat="1" applyFont="1" applyFill="1" applyBorder="1" applyAlignment="1">
      <alignment horizontal="right" vertical="center"/>
    </xf>
    <xf numFmtId="198" fontId="66" fillId="14" borderId="741" xfId="0" applyNumberFormat="1" applyFont="1" applyFill="1" applyBorder="1" applyAlignment="1">
      <alignment horizontal="right" vertical="center"/>
    </xf>
    <xf numFmtId="187" fontId="66" fillId="14" borderId="741" xfId="3" applyNumberFormat="1" applyFont="1" applyFill="1" applyBorder="1" applyAlignment="1">
      <alignment horizontal="right" vertical="center"/>
    </xf>
    <xf numFmtId="189" fontId="66" fillId="14" borderId="794" xfId="0" applyNumberFormat="1" applyFont="1" applyFill="1" applyBorder="1" applyAlignment="1">
      <alignment horizontal="center" vertical="center"/>
    </xf>
    <xf numFmtId="189" fontId="66" fillId="14" borderId="741" xfId="0" applyNumberFormat="1" applyFont="1" applyFill="1" applyBorder="1" applyAlignment="1">
      <alignment horizontal="center" vertical="center"/>
    </xf>
    <xf numFmtId="244" fontId="66" fillId="14" borderId="793" xfId="2" applyNumberFormat="1" applyFont="1" applyFill="1" applyBorder="1" applyAlignment="1">
      <alignment horizontal="center" vertical="center"/>
    </xf>
    <xf numFmtId="187" fontId="66" fillId="14" borderId="741" xfId="3" applyNumberFormat="1" applyFont="1" applyFill="1" applyBorder="1" applyAlignment="1">
      <alignment horizontal="center" vertical="center"/>
    </xf>
    <xf numFmtId="189" fontId="66" fillId="14" borderId="744" xfId="0" applyNumberFormat="1" applyFont="1" applyFill="1" applyBorder="1" applyAlignment="1">
      <alignment horizontal="center" vertical="center"/>
    </xf>
    <xf numFmtId="0" fontId="66" fillId="14" borderId="795" xfId="0" applyFont="1" applyFill="1" applyBorder="1">
      <alignment vertical="center"/>
    </xf>
    <xf numFmtId="0" fontId="88" fillId="5" borderId="0" xfId="0" applyFont="1" applyFill="1" applyBorder="1">
      <alignment vertical="center"/>
    </xf>
    <xf numFmtId="187" fontId="66" fillId="5" borderId="0" xfId="3" applyNumberFormat="1" applyFont="1" applyFill="1" applyBorder="1" applyAlignment="1">
      <alignment horizontal="center" vertical="center"/>
    </xf>
    <xf numFmtId="189" fontId="66" fillId="5" borderId="796" xfId="0" applyNumberFormat="1" applyFont="1" applyFill="1" applyBorder="1" applyAlignment="1">
      <alignment horizontal="center" vertical="center"/>
    </xf>
    <xf numFmtId="0" fontId="87" fillId="5" borderId="0" xfId="0" applyFont="1" applyFill="1" applyBorder="1">
      <alignment vertical="center"/>
    </xf>
    <xf numFmtId="208" fontId="66" fillId="40" borderId="485" xfId="2" applyNumberFormat="1" applyFont="1" applyFill="1" applyBorder="1" applyAlignment="1">
      <alignment horizontal="right" vertical="center"/>
    </xf>
    <xf numFmtId="208" fontId="66" fillId="40" borderId="0" xfId="2" applyNumberFormat="1" applyFont="1" applyFill="1" applyBorder="1" applyAlignment="1">
      <alignment horizontal="right" vertical="center"/>
    </xf>
    <xf numFmtId="0" fontId="82" fillId="5" borderId="1225" xfId="0" applyFont="1" applyFill="1" applyBorder="1">
      <alignment vertical="center"/>
    </xf>
    <xf numFmtId="210" fontId="82" fillId="5" borderId="1226" xfId="0" applyNumberFormat="1" applyFont="1" applyFill="1" applyBorder="1" applyAlignment="1">
      <alignment horizontal="center" vertical="center"/>
    </xf>
    <xf numFmtId="208" fontId="66" fillId="5" borderId="1226" xfId="2" applyNumberFormat="1" applyFont="1" applyFill="1" applyBorder="1" applyAlignment="1">
      <alignment horizontal="right" vertical="center"/>
    </xf>
    <xf numFmtId="208" fontId="66" fillId="5" borderId="1225" xfId="2" applyNumberFormat="1" applyFont="1" applyFill="1" applyBorder="1" applyAlignment="1">
      <alignment horizontal="right" vertical="center"/>
    </xf>
    <xf numFmtId="198" fontId="66" fillId="5" borderId="1225" xfId="0" applyNumberFormat="1" applyFont="1" applyFill="1" applyBorder="1" applyAlignment="1">
      <alignment horizontal="right" vertical="center"/>
    </xf>
    <xf numFmtId="187" fontId="66" fillId="5" borderId="1225" xfId="3" applyNumberFormat="1" applyFont="1" applyFill="1" applyBorder="1" applyAlignment="1">
      <alignment horizontal="right" vertical="center"/>
    </xf>
    <xf numFmtId="189" fontId="66" fillId="5" borderId="1227" xfId="0" applyNumberFormat="1" applyFont="1" applyFill="1" applyBorder="1" applyAlignment="1">
      <alignment horizontal="center" vertical="center"/>
    </xf>
    <xf numFmtId="189" fontId="66" fillId="5" borderId="1225" xfId="0" applyNumberFormat="1" applyFont="1" applyFill="1" applyBorder="1" applyAlignment="1">
      <alignment horizontal="center" vertical="center"/>
    </xf>
    <xf numFmtId="244" fontId="66" fillId="5" borderId="1228" xfId="2" applyNumberFormat="1" applyFont="1" applyFill="1" applyBorder="1" applyAlignment="1">
      <alignment horizontal="center" vertical="center"/>
    </xf>
    <xf numFmtId="187" fontId="66" fillId="5" borderId="1225" xfId="3" applyNumberFormat="1" applyFont="1" applyFill="1" applyBorder="1" applyAlignment="1">
      <alignment horizontal="center" vertical="center"/>
    </xf>
    <xf numFmtId="189" fontId="66" fillId="5" borderId="1224" xfId="0" applyNumberFormat="1" applyFont="1" applyFill="1" applyBorder="1" applyAlignment="1">
      <alignment horizontal="center" vertical="center"/>
    </xf>
    <xf numFmtId="0" fontId="87" fillId="5" borderId="554" xfId="0" applyFont="1" applyFill="1" applyBorder="1">
      <alignment vertical="center"/>
    </xf>
    <xf numFmtId="0" fontId="89" fillId="5" borderId="554" xfId="0" applyFont="1" applyFill="1" applyBorder="1" applyAlignment="1">
      <alignment horizontal="left" vertical="center"/>
    </xf>
    <xf numFmtId="210" fontId="90" fillId="5" borderId="871" xfId="0" applyNumberFormat="1" applyFont="1" applyFill="1" applyBorder="1" applyAlignment="1">
      <alignment horizontal="center" vertical="center"/>
    </xf>
    <xf numFmtId="208" fontId="78" fillId="5" borderId="871" xfId="2" applyNumberFormat="1" applyFont="1" applyFill="1" applyBorder="1" applyAlignment="1">
      <alignment horizontal="right" vertical="center"/>
    </xf>
    <xf numFmtId="208" fontId="78" fillId="5" borderId="554" xfId="2" applyNumberFormat="1" applyFont="1" applyFill="1" applyBorder="1" applyAlignment="1">
      <alignment horizontal="right" vertical="center"/>
    </xf>
    <xf numFmtId="198" fontId="78" fillId="5" borderId="554" xfId="0" applyNumberFormat="1" applyFont="1" applyFill="1" applyBorder="1" applyAlignment="1">
      <alignment horizontal="right" vertical="center"/>
    </xf>
    <xf numFmtId="187" fontId="78" fillId="5" borderId="554" xfId="3" applyNumberFormat="1" applyFont="1" applyFill="1" applyBorder="1" applyAlignment="1">
      <alignment horizontal="right" vertical="center"/>
    </xf>
    <xf numFmtId="189" fontId="78" fillId="5" borderId="555" xfId="0" applyNumberFormat="1" applyFont="1" applyFill="1" applyBorder="1" applyAlignment="1">
      <alignment horizontal="center" vertical="center"/>
    </xf>
    <xf numFmtId="189" fontId="78" fillId="5" borderId="554" xfId="0" applyNumberFormat="1" applyFont="1" applyFill="1" applyBorder="1" applyAlignment="1">
      <alignment horizontal="center" vertical="center"/>
    </xf>
    <xf numFmtId="244" fontId="78" fillId="5" borderId="556" xfId="2" applyNumberFormat="1" applyFont="1" applyFill="1" applyBorder="1" applyAlignment="1">
      <alignment horizontal="center" vertical="center"/>
    </xf>
    <xf numFmtId="187" fontId="78" fillId="5" borderId="554" xfId="3" applyNumberFormat="1" applyFont="1" applyFill="1" applyBorder="1" applyAlignment="1">
      <alignment horizontal="center" vertical="center"/>
    </xf>
    <xf numFmtId="189" fontId="78" fillId="5" borderId="797" xfId="0" applyNumberFormat="1" applyFont="1" applyFill="1" applyBorder="1" applyAlignment="1">
      <alignment horizontal="center" vertical="center"/>
    </xf>
    <xf numFmtId="0" fontId="86" fillId="5" borderId="554" xfId="0" applyFont="1" applyFill="1" applyBorder="1">
      <alignment vertical="center"/>
    </xf>
    <xf numFmtId="210" fontId="66" fillId="5" borderId="871" xfId="0" applyNumberFormat="1" applyFont="1" applyFill="1" applyBorder="1" applyAlignment="1">
      <alignment horizontal="center" vertical="center"/>
    </xf>
    <xf numFmtId="208" fontId="66" fillId="5" borderId="871" xfId="2" applyNumberFormat="1" applyFont="1" applyFill="1" applyBorder="1" applyAlignment="1">
      <alignment horizontal="right" vertical="center"/>
    </xf>
    <xf numFmtId="208" fontId="66" fillId="5" borderId="554" xfId="2" applyNumberFormat="1" applyFont="1" applyFill="1" applyBorder="1" applyAlignment="1">
      <alignment horizontal="right" vertical="center"/>
    </xf>
    <xf numFmtId="198" fontId="66" fillId="5" borderId="554" xfId="0" applyNumberFormat="1" applyFont="1" applyFill="1" applyBorder="1" applyAlignment="1">
      <alignment horizontal="right" vertical="center"/>
    </xf>
    <xf numFmtId="187" fontId="66" fillId="5" borderId="554" xfId="3" applyNumberFormat="1" applyFont="1" applyFill="1" applyBorder="1" applyAlignment="1">
      <alignment horizontal="right" vertical="center"/>
    </xf>
    <xf numFmtId="189" fontId="66" fillId="5" borderId="555" xfId="0" applyNumberFormat="1" applyFont="1" applyFill="1" applyBorder="1" applyAlignment="1">
      <alignment horizontal="center" vertical="center"/>
    </xf>
    <xf numFmtId="189" fontId="66" fillId="5" borderId="554" xfId="0" applyNumberFormat="1" applyFont="1" applyFill="1" applyBorder="1" applyAlignment="1">
      <alignment horizontal="center" vertical="center"/>
    </xf>
    <xf numFmtId="244" fontId="66" fillId="5" borderId="556" xfId="2" applyNumberFormat="1" applyFont="1" applyFill="1" applyBorder="1" applyAlignment="1">
      <alignment horizontal="center" vertical="center"/>
    </xf>
    <xf numFmtId="187" fontId="66" fillId="5" borderId="554" xfId="3" applyNumberFormat="1" applyFont="1" applyFill="1" applyBorder="1" applyAlignment="1">
      <alignment horizontal="center" vertical="center"/>
    </xf>
    <xf numFmtId="189" fontId="66" fillId="5" borderId="797" xfId="0" applyNumberFormat="1" applyFont="1" applyFill="1" applyBorder="1" applyAlignment="1">
      <alignment horizontal="center" vertical="center"/>
    </xf>
    <xf numFmtId="0" fontId="88" fillId="5" borderId="557" xfId="0" applyFont="1" applyFill="1" applyBorder="1">
      <alignment vertical="center"/>
    </xf>
    <xf numFmtId="0" fontId="86" fillId="5" borderId="557" xfId="0" applyFont="1" applyFill="1" applyBorder="1">
      <alignment vertical="center"/>
    </xf>
    <xf numFmtId="210" fontId="66" fillId="5" borderId="872" xfId="0" applyNumberFormat="1" applyFont="1" applyFill="1" applyBorder="1" applyAlignment="1">
      <alignment horizontal="center" vertical="center"/>
    </xf>
    <xf numFmtId="208" fontId="66" fillId="5" borderId="872" xfId="2" applyNumberFormat="1" applyFont="1" applyFill="1" applyBorder="1" applyAlignment="1">
      <alignment horizontal="right" vertical="center"/>
    </xf>
    <xf numFmtId="208" fontId="66" fillId="5" borderId="557" xfId="2" applyNumberFormat="1" applyFont="1" applyFill="1" applyBorder="1" applyAlignment="1">
      <alignment horizontal="right" vertical="center"/>
    </xf>
    <xf numFmtId="198" fontId="66" fillId="5" borderId="557" xfId="0" applyNumberFormat="1" applyFont="1" applyFill="1" applyBorder="1" applyAlignment="1">
      <alignment horizontal="right" vertical="center"/>
    </xf>
    <xf numFmtId="187" fontId="66" fillId="5" borderId="557" xfId="3" applyNumberFormat="1" applyFont="1" applyFill="1" applyBorder="1" applyAlignment="1">
      <alignment horizontal="right" vertical="center"/>
    </xf>
    <xf numFmtId="189" fontId="66" fillId="5" borderId="558" xfId="0" applyNumberFormat="1" applyFont="1" applyFill="1" applyBorder="1" applyAlignment="1">
      <alignment horizontal="center" vertical="center"/>
    </xf>
    <xf numFmtId="189" fontId="66" fillId="5" borderId="557" xfId="0" applyNumberFormat="1" applyFont="1" applyFill="1" applyBorder="1" applyAlignment="1">
      <alignment horizontal="center" vertical="center"/>
    </xf>
    <xf numFmtId="244" fontId="66" fillId="5" borderId="559" xfId="2" applyNumberFormat="1" applyFont="1" applyFill="1" applyBorder="1" applyAlignment="1">
      <alignment horizontal="center" vertical="center"/>
    </xf>
    <xf numFmtId="187" fontId="66" fillId="5" borderId="557" xfId="3" applyNumberFormat="1" applyFont="1" applyFill="1" applyBorder="1" applyAlignment="1">
      <alignment horizontal="center" vertical="center"/>
    </xf>
    <xf numFmtId="189" fontId="66" fillId="5" borderId="798" xfId="0" applyNumberFormat="1" applyFont="1" applyFill="1" applyBorder="1" applyAlignment="1">
      <alignment horizontal="center" vertical="center"/>
    </xf>
    <xf numFmtId="0" fontId="66" fillId="14" borderId="799" xfId="0" applyFont="1" applyFill="1" applyBorder="1">
      <alignment vertical="center"/>
    </xf>
    <xf numFmtId="0" fontId="86" fillId="5" borderId="800" xfId="0" applyFont="1" applyFill="1" applyBorder="1">
      <alignment vertical="center"/>
    </xf>
    <xf numFmtId="210" fontId="66" fillId="5" borderId="873" xfId="0" applyNumberFormat="1" applyFont="1" applyFill="1" applyBorder="1" applyAlignment="1">
      <alignment horizontal="center" vertical="center"/>
    </xf>
    <xf numFmtId="208" fontId="66" fillId="5" borderId="873" xfId="2" applyNumberFormat="1" applyFont="1" applyFill="1" applyBorder="1" applyAlignment="1">
      <alignment horizontal="right" vertical="center"/>
    </xf>
    <xf numFmtId="208" fontId="66" fillId="5" borderId="800" xfId="2" applyNumberFormat="1" applyFont="1" applyFill="1" applyBorder="1" applyAlignment="1">
      <alignment horizontal="right" vertical="center"/>
    </xf>
    <xf numFmtId="198" fontId="66" fillId="5" borderId="800" xfId="0" applyNumberFormat="1" applyFont="1" applyFill="1" applyBorder="1" applyAlignment="1">
      <alignment horizontal="right" vertical="center"/>
    </xf>
    <xf numFmtId="187" fontId="66" fillId="5" borderId="800" xfId="3" applyNumberFormat="1" applyFont="1" applyFill="1" applyBorder="1" applyAlignment="1">
      <alignment horizontal="right" vertical="center"/>
    </xf>
    <xf numFmtId="189" fontId="66" fillId="5" borderId="802" xfId="0" applyNumberFormat="1" applyFont="1" applyFill="1" applyBorder="1" applyAlignment="1">
      <alignment horizontal="center" vertical="center"/>
    </xf>
    <xf numFmtId="189" fontId="66" fillId="5" borderId="800" xfId="0" applyNumberFormat="1" applyFont="1" applyFill="1" applyBorder="1" applyAlignment="1">
      <alignment horizontal="center" vertical="center"/>
    </xf>
    <xf numFmtId="244" fontId="66" fillId="5" borderId="801" xfId="2" applyNumberFormat="1" applyFont="1" applyFill="1" applyBorder="1" applyAlignment="1">
      <alignment horizontal="center" vertical="center"/>
    </xf>
    <xf numFmtId="187" fontId="66" fillId="5" borderId="800" xfId="3" applyNumberFormat="1" applyFont="1" applyFill="1" applyBorder="1" applyAlignment="1">
      <alignment horizontal="center" vertical="center"/>
    </xf>
    <xf numFmtId="189" fontId="66" fillId="5" borderId="803" xfId="0" applyNumberFormat="1" applyFont="1" applyFill="1" applyBorder="1" applyAlignment="1">
      <alignment horizontal="center" vertical="center"/>
    </xf>
    <xf numFmtId="204" fontId="66" fillId="0" borderId="0" xfId="2" applyNumberFormat="1" applyFont="1" applyBorder="1" applyAlignment="1">
      <alignment horizontal="center" vertical="center"/>
    </xf>
    <xf numFmtId="244" fontId="66" fillId="0" borderId="0" xfId="2" applyNumberFormat="1" applyFont="1" applyBorder="1" applyAlignment="1">
      <alignment horizontal="center" vertical="center"/>
    </xf>
    <xf numFmtId="0" fontId="74" fillId="7" borderId="804" xfId="0" applyFont="1" applyFill="1" applyBorder="1">
      <alignment vertical="center"/>
    </xf>
    <xf numFmtId="0" fontId="88" fillId="7" borderId="805" xfId="0" applyFont="1" applyFill="1" applyBorder="1">
      <alignment vertical="center"/>
    </xf>
    <xf numFmtId="0" fontId="86" fillId="7" borderId="805" xfId="0" applyFont="1" applyFill="1" applyBorder="1">
      <alignment vertical="center"/>
    </xf>
    <xf numFmtId="210" fontId="66" fillId="7" borderId="874" xfId="0" applyNumberFormat="1" applyFont="1" applyFill="1" applyBorder="1" applyAlignment="1">
      <alignment horizontal="center" vertical="center"/>
    </xf>
    <xf numFmtId="208" fontId="66" fillId="7" borderId="874" xfId="2" applyNumberFormat="1" applyFont="1" applyFill="1" applyBorder="1" applyAlignment="1">
      <alignment horizontal="right" vertical="center"/>
    </xf>
    <xf numFmtId="208" fontId="66" fillId="7" borderId="805" xfId="2" applyNumberFormat="1" applyFont="1" applyFill="1" applyBorder="1" applyAlignment="1">
      <alignment horizontal="right" vertical="center"/>
    </xf>
    <xf numFmtId="198" fontId="66" fillId="7" borderId="805" xfId="0" applyNumberFormat="1" applyFont="1" applyFill="1" applyBorder="1" applyAlignment="1">
      <alignment horizontal="right" vertical="center"/>
    </xf>
    <xf numFmtId="198" fontId="66" fillId="7" borderId="807" xfId="0" applyNumberFormat="1" applyFont="1" applyFill="1" applyBorder="1" applyAlignment="1">
      <alignment horizontal="center" vertical="center"/>
    </xf>
    <xf numFmtId="189" fontId="66" fillId="7" borderId="805" xfId="0" applyNumberFormat="1" applyFont="1" applyFill="1" applyBorder="1" applyAlignment="1">
      <alignment horizontal="center" vertical="center"/>
    </xf>
    <xf numFmtId="244" fontId="66" fillId="7" borderId="806" xfId="2" applyNumberFormat="1" applyFont="1" applyFill="1" applyBorder="1" applyAlignment="1">
      <alignment horizontal="center" vertical="center"/>
    </xf>
    <xf numFmtId="187" fontId="66" fillId="7" borderId="805" xfId="3" applyNumberFormat="1" applyFont="1" applyFill="1" applyBorder="1" applyAlignment="1">
      <alignment horizontal="center" vertical="center"/>
    </xf>
    <xf numFmtId="189" fontId="66" fillId="7" borderId="808" xfId="0" applyNumberFormat="1" applyFont="1" applyFill="1" applyBorder="1" applyAlignment="1">
      <alignment horizontal="center" vertical="center"/>
    </xf>
    <xf numFmtId="202" fontId="66" fillId="0" borderId="17" xfId="0" applyNumberFormat="1" applyFont="1" applyBorder="1" applyAlignment="1">
      <alignment horizontal="center" vertical="center"/>
    </xf>
    <xf numFmtId="202" fontId="77" fillId="0" borderId="17" xfId="0" applyNumberFormat="1" applyFont="1" applyBorder="1" applyAlignment="1">
      <alignment horizontal="center" vertical="center"/>
    </xf>
    <xf numFmtId="189" fontId="66" fillId="7" borderId="17" xfId="0" applyNumberFormat="1" applyFont="1" applyFill="1" applyBorder="1" applyAlignment="1">
      <alignment horizontal="right" vertical="center"/>
    </xf>
    <xf numFmtId="0" fontId="66" fillId="7" borderId="809" xfId="0" applyFont="1" applyFill="1" applyBorder="1">
      <alignment vertical="center"/>
    </xf>
    <xf numFmtId="0" fontId="88" fillId="0" borderId="0" xfId="0" applyFont="1" applyBorder="1">
      <alignment vertical="center"/>
    </xf>
    <xf numFmtId="208" fontId="66" fillId="0" borderId="485" xfId="2" applyNumberFormat="1" applyFont="1" applyBorder="1" applyAlignment="1">
      <alignment horizontal="right" vertical="center"/>
    </xf>
    <xf numFmtId="208" fontId="66" fillId="0" borderId="0" xfId="2" applyNumberFormat="1" applyFont="1" applyBorder="1" applyAlignment="1">
      <alignment horizontal="right" vertical="center"/>
    </xf>
    <xf numFmtId="193" fontId="66" fillId="29" borderId="0" xfId="0" applyNumberFormat="1" applyFont="1" applyFill="1" applyBorder="1" applyAlignment="1">
      <alignment horizontal="right" vertical="center"/>
    </xf>
    <xf numFmtId="187" fontId="66" fillId="29" borderId="0" xfId="3" applyNumberFormat="1" applyFont="1" applyFill="1" applyBorder="1" applyAlignment="1">
      <alignment horizontal="right" vertical="center"/>
    </xf>
    <xf numFmtId="186" fontId="66" fillId="29" borderId="0" xfId="0" applyNumberFormat="1" applyFont="1" applyFill="1" applyBorder="1" applyAlignment="1">
      <alignment horizontal="center" vertical="center"/>
    </xf>
    <xf numFmtId="187" fontId="66" fillId="29" borderId="0" xfId="3" applyNumberFormat="1" applyFont="1" applyFill="1" applyBorder="1" applyAlignment="1">
      <alignment horizontal="center" vertical="center"/>
    </xf>
    <xf numFmtId="189" fontId="66" fillId="0" borderId="810" xfId="0" applyNumberFormat="1" applyFont="1" applyBorder="1" applyAlignment="1">
      <alignment horizontal="center" vertical="center"/>
    </xf>
    <xf numFmtId="0" fontId="88" fillId="0" borderId="0" xfId="0" applyFont="1" applyFill="1" applyBorder="1">
      <alignment vertical="center"/>
    </xf>
    <xf numFmtId="210" fontId="66" fillId="0" borderId="485" xfId="0" applyNumberFormat="1" applyFont="1" applyFill="1" applyBorder="1" applyAlignment="1">
      <alignment horizontal="center" vertical="center"/>
    </xf>
    <xf numFmtId="193" fontId="66" fillId="0" borderId="0" xfId="0" applyNumberFormat="1" applyFont="1" applyFill="1" applyBorder="1" applyAlignment="1">
      <alignment horizontal="right" vertical="center"/>
    </xf>
    <xf numFmtId="187" fontId="66" fillId="0" borderId="0" xfId="3" applyNumberFormat="1" applyFont="1" applyFill="1" applyBorder="1" applyAlignment="1">
      <alignment horizontal="right" vertical="center"/>
    </xf>
    <xf numFmtId="189" fontId="66" fillId="0" borderId="46" xfId="0" applyNumberFormat="1" applyFont="1" applyFill="1" applyBorder="1" applyAlignment="1">
      <alignment horizontal="center" vertical="center"/>
    </xf>
    <xf numFmtId="189" fontId="66" fillId="0" borderId="0" xfId="0" applyNumberFormat="1" applyFont="1" applyFill="1" applyBorder="1" applyAlignment="1">
      <alignment horizontal="center" vertical="center"/>
    </xf>
    <xf numFmtId="244" fontId="66" fillId="0" borderId="2" xfId="2" applyNumberFormat="1" applyFont="1" applyFill="1" applyBorder="1" applyAlignment="1">
      <alignment horizontal="center" vertical="center"/>
    </xf>
    <xf numFmtId="186" fontId="66" fillId="0" borderId="0" xfId="0" applyNumberFormat="1" applyFont="1" applyFill="1" applyBorder="1" applyAlignment="1">
      <alignment horizontal="center" vertical="center"/>
    </xf>
    <xf numFmtId="187" fontId="66" fillId="0" borderId="0" xfId="3" applyNumberFormat="1" applyFont="1" applyFill="1" applyBorder="1" applyAlignment="1">
      <alignment horizontal="center" vertical="center"/>
    </xf>
    <xf numFmtId="189" fontId="66" fillId="0" borderId="810" xfId="0" applyNumberFormat="1" applyFont="1" applyFill="1" applyBorder="1" applyAlignment="1">
      <alignment horizontal="center" vertical="center"/>
    </xf>
    <xf numFmtId="0" fontId="91" fillId="0" borderId="0" xfId="0" applyFont="1" applyBorder="1" applyAlignment="1">
      <alignment horizontal="left" vertical="center" indent="1"/>
    </xf>
    <xf numFmtId="187" fontId="78" fillId="29" borderId="485" xfId="3" applyNumberFormat="1" applyFont="1" applyFill="1" applyBorder="1" applyAlignment="1">
      <alignment horizontal="right" vertical="center"/>
    </xf>
    <xf numFmtId="187" fontId="78" fillId="29" borderId="0" xfId="3" applyNumberFormat="1" applyFont="1" applyFill="1" applyBorder="1" applyAlignment="1">
      <alignment horizontal="right" vertical="center"/>
    </xf>
    <xf numFmtId="193" fontId="78" fillId="29" borderId="0" xfId="0" applyNumberFormat="1" applyFont="1" applyFill="1" applyBorder="1" applyAlignment="1">
      <alignment horizontal="right" vertical="center"/>
    </xf>
    <xf numFmtId="189" fontId="78" fillId="29" borderId="46" xfId="0" applyNumberFormat="1" applyFont="1" applyFill="1" applyBorder="1" applyAlignment="1">
      <alignment horizontal="center" vertical="center"/>
    </xf>
    <xf numFmtId="189" fontId="78" fillId="29" borderId="0" xfId="0" applyNumberFormat="1" applyFont="1" applyFill="1" applyBorder="1" applyAlignment="1">
      <alignment horizontal="center" vertical="center"/>
    </xf>
    <xf numFmtId="244" fontId="78" fillId="29" borderId="2" xfId="2" applyNumberFormat="1" applyFont="1" applyFill="1" applyBorder="1" applyAlignment="1">
      <alignment horizontal="center" vertical="center"/>
    </xf>
    <xf numFmtId="186" fontId="78" fillId="29" borderId="0" xfId="0" applyNumberFormat="1" applyFont="1" applyFill="1" applyBorder="1" applyAlignment="1">
      <alignment horizontal="center" vertical="center"/>
    </xf>
    <xf numFmtId="187" fontId="78" fillId="29" borderId="0" xfId="3" applyNumberFormat="1" applyFont="1" applyFill="1" applyBorder="1" applyAlignment="1">
      <alignment horizontal="center" vertical="center"/>
    </xf>
    <xf numFmtId="189" fontId="78" fillId="29" borderId="810" xfId="0" applyNumberFormat="1" applyFont="1" applyFill="1" applyBorder="1" applyAlignment="1">
      <alignment horizontal="center" vertical="center"/>
    </xf>
    <xf numFmtId="202" fontId="66" fillId="14" borderId="0" xfId="0" applyNumberFormat="1" applyFont="1" applyFill="1" applyAlignment="1">
      <alignment horizontal="center" vertical="center"/>
    </xf>
    <xf numFmtId="189" fontId="78" fillId="29" borderId="0" xfId="0" applyNumberFormat="1" applyFont="1" applyFill="1" applyAlignment="1">
      <alignment horizontal="right" vertical="center"/>
    </xf>
    <xf numFmtId="0" fontId="66" fillId="7" borderId="811" xfId="0" applyFont="1" applyFill="1" applyBorder="1">
      <alignment vertical="center"/>
    </xf>
    <xf numFmtId="0" fontId="88" fillId="0" borderId="812" xfId="0" applyFont="1" applyBorder="1">
      <alignment vertical="center"/>
    </xf>
    <xf numFmtId="0" fontId="86" fillId="0" borderId="812" xfId="0" applyFont="1" applyBorder="1">
      <alignment vertical="center"/>
    </xf>
    <xf numFmtId="210" fontId="66" fillId="0" borderId="875" xfId="0" applyNumberFormat="1" applyFont="1" applyBorder="1" applyAlignment="1">
      <alignment horizontal="center" vertical="center"/>
    </xf>
    <xf numFmtId="208" fontId="66" fillId="0" borderId="875" xfId="2" applyNumberFormat="1" applyFont="1" applyBorder="1" applyAlignment="1">
      <alignment horizontal="right" vertical="center"/>
    </xf>
    <xf numFmtId="208" fontId="66" fillId="0" borderId="812" xfId="2" applyNumberFormat="1" applyFont="1" applyBorder="1" applyAlignment="1">
      <alignment horizontal="right" vertical="center"/>
    </xf>
    <xf numFmtId="193" fontId="66" fillId="29" borderId="812" xfId="0" applyNumberFormat="1" applyFont="1" applyFill="1" applyBorder="1" applyAlignment="1">
      <alignment horizontal="right" vertical="center"/>
    </xf>
    <xf numFmtId="187" fontId="66" fillId="29" borderId="812" xfId="3" applyNumberFormat="1" applyFont="1" applyFill="1" applyBorder="1" applyAlignment="1">
      <alignment horizontal="right" vertical="center"/>
    </xf>
    <xf numFmtId="209" fontId="66" fillId="0" borderId="815" xfId="0" applyNumberFormat="1" applyFont="1" applyBorder="1" applyAlignment="1">
      <alignment horizontal="center" vertical="center"/>
    </xf>
    <xf numFmtId="189" fontId="66" fillId="0" borderId="812" xfId="0" applyNumberFormat="1" applyFont="1" applyBorder="1" applyAlignment="1">
      <alignment horizontal="center" vertical="center"/>
    </xf>
    <xf numFmtId="244" fontId="66" fillId="0" borderId="814" xfId="2" applyNumberFormat="1" applyFont="1" applyBorder="1" applyAlignment="1">
      <alignment horizontal="center" vertical="center"/>
    </xf>
    <xf numFmtId="186" fontId="66" fillId="29" borderId="812" xfId="0" applyNumberFormat="1" applyFont="1" applyFill="1" applyBorder="1" applyAlignment="1">
      <alignment horizontal="center" vertical="center"/>
    </xf>
    <xf numFmtId="187" fontId="66" fillId="29" borderId="812" xfId="3" applyNumberFormat="1" applyFont="1" applyFill="1" applyBorder="1" applyAlignment="1">
      <alignment horizontal="center" vertical="center"/>
    </xf>
    <xf numFmtId="189" fontId="66" fillId="0" borderId="816" xfId="0" applyNumberFormat="1" applyFont="1" applyBorder="1" applyAlignment="1">
      <alignment horizontal="center" vertical="center"/>
    </xf>
    <xf numFmtId="202" fontId="66" fillId="15" borderId="19" xfId="0" applyNumberFormat="1" applyFont="1" applyFill="1" applyBorder="1" applyAlignment="1">
      <alignment horizontal="center" vertical="center"/>
    </xf>
    <xf numFmtId="202" fontId="66" fillId="0" borderId="19" xfId="0" applyNumberFormat="1" applyFont="1" applyBorder="1" applyAlignment="1">
      <alignment horizontal="center" vertical="center"/>
    </xf>
    <xf numFmtId="189" fontId="66" fillId="0" borderId="19" xfId="0" applyNumberFormat="1" applyFont="1" applyBorder="1" applyAlignment="1">
      <alignment horizontal="right" vertical="center"/>
    </xf>
    <xf numFmtId="189" fontId="66" fillId="0" borderId="0" xfId="0" applyNumberFormat="1" applyFont="1" applyAlignment="1">
      <alignment horizontal="center" vertical="center"/>
    </xf>
    <xf numFmtId="186" fontId="66" fillId="0" borderId="0" xfId="0" applyNumberFormat="1" applyFont="1" applyAlignment="1">
      <alignment horizontal="center" vertical="center"/>
    </xf>
    <xf numFmtId="187" fontId="66" fillId="0" borderId="0" xfId="0" applyNumberFormat="1" applyFont="1" applyAlignment="1">
      <alignment horizontal="center" vertical="center"/>
    </xf>
    <xf numFmtId="0" fontId="66" fillId="0" borderId="804" xfId="0" applyFont="1" applyBorder="1">
      <alignment vertical="center"/>
    </xf>
    <xf numFmtId="0" fontId="74" fillId="0" borderId="805" xfId="0" applyFont="1" applyBorder="1">
      <alignment vertical="center"/>
    </xf>
    <xf numFmtId="0" fontId="66" fillId="0" borderId="805" xfId="0" applyFont="1" applyBorder="1">
      <alignment vertical="center"/>
    </xf>
    <xf numFmtId="0" fontId="86" fillId="0" borderId="805" xfId="0" applyFont="1" applyBorder="1">
      <alignment vertical="center"/>
    </xf>
    <xf numFmtId="210" fontId="66" fillId="0" borderId="874" xfId="0" applyNumberFormat="1" applyFont="1" applyBorder="1" applyAlignment="1">
      <alignment horizontal="center" vertical="center"/>
    </xf>
    <xf numFmtId="208" fontId="66" fillId="0" borderId="874" xfId="2" applyNumberFormat="1" applyFont="1" applyBorder="1" applyAlignment="1">
      <alignment horizontal="right" vertical="center"/>
    </xf>
    <xf numFmtId="208" fontId="66" fillId="0" borderId="805" xfId="2" applyNumberFormat="1" applyFont="1" applyBorder="1" applyAlignment="1">
      <alignment horizontal="right" vertical="center"/>
    </xf>
    <xf numFmtId="193" fontId="66" fillId="29" borderId="805" xfId="0" applyNumberFormat="1" applyFont="1" applyFill="1" applyBorder="1" applyAlignment="1">
      <alignment horizontal="right" vertical="center"/>
    </xf>
    <xf numFmtId="187" fontId="66" fillId="29" borderId="817" xfId="3" applyNumberFormat="1" applyFont="1" applyFill="1" applyBorder="1" applyAlignment="1">
      <alignment horizontal="right" vertical="center"/>
    </xf>
    <xf numFmtId="189" fontId="66" fillId="0" borderId="807" xfId="0" applyNumberFormat="1" applyFont="1" applyBorder="1" applyAlignment="1">
      <alignment horizontal="center" vertical="center"/>
    </xf>
    <xf numFmtId="189" fontId="66" fillId="0" borderId="805" xfId="0" applyNumberFormat="1" applyFont="1" applyBorder="1" applyAlignment="1">
      <alignment horizontal="center" vertical="center"/>
    </xf>
    <xf numFmtId="244" fontId="66" fillId="0" borderId="806" xfId="2" applyNumberFormat="1" applyFont="1" applyBorder="1" applyAlignment="1">
      <alignment horizontal="center" vertical="center"/>
    </xf>
    <xf numFmtId="186" fontId="66" fillId="29" borderId="818" xfId="0" applyNumberFormat="1" applyFont="1" applyFill="1" applyBorder="1" applyAlignment="1">
      <alignment horizontal="center" vertical="center"/>
    </xf>
    <xf numFmtId="187" fontId="66" fillId="29" borderId="805" xfId="3" applyNumberFormat="1" applyFont="1" applyFill="1" applyBorder="1" applyAlignment="1">
      <alignment horizontal="center" vertical="center"/>
    </xf>
    <xf numFmtId="189" fontId="66" fillId="0" borderId="808" xfId="0" applyNumberFormat="1" applyFont="1" applyBorder="1" applyAlignment="1">
      <alignment horizontal="center" vertical="center"/>
    </xf>
    <xf numFmtId="202" fontId="66" fillId="0" borderId="34" xfId="0" applyNumberFormat="1" applyFont="1" applyBorder="1" applyAlignment="1">
      <alignment horizontal="center" vertical="center"/>
    </xf>
    <xf numFmtId="189" fontId="66" fillId="0" borderId="34" xfId="0" applyNumberFormat="1" applyFont="1" applyBorder="1" applyAlignment="1">
      <alignment horizontal="right" vertical="center"/>
    </xf>
    <xf numFmtId="0" fontId="66" fillId="0" borderId="809" xfId="0" applyFont="1" applyBorder="1">
      <alignment vertical="center"/>
    </xf>
    <xf numFmtId="204" fontId="66" fillId="0" borderId="0" xfId="0" applyNumberFormat="1" applyFont="1" applyBorder="1">
      <alignment vertical="center"/>
    </xf>
    <xf numFmtId="0" fontId="66" fillId="3" borderId="0" xfId="0" applyFont="1" applyFill="1" applyBorder="1">
      <alignment vertical="center"/>
    </xf>
    <xf numFmtId="0" fontId="86" fillId="3" borderId="0" xfId="0" applyFont="1" applyFill="1" applyBorder="1">
      <alignment vertical="center"/>
    </xf>
    <xf numFmtId="210" fontId="66" fillId="3" borderId="485" xfId="0" applyNumberFormat="1" applyFont="1" applyFill="1" applyBorder="1" applyAlignment="1">
      <alignment horizontal="center" vertical="center"/>
    </xf>
    <xf numFmtId="208" fontId="66" fillId="3" borderId="485" xfId="2" applyNumberFormat="1" applyFont="1" applyFill="1" applyBorder="1" applyAlignment="1">
      <alignment horizontal="right" vertical="center"/>
    </xf>
    <xf numFmtId="208" fontId="66" fillId="3" borderId="0" xfId="2" applyNumberFormat="1" applyFont="1" applyFill="1" applyBorder="1" applyAlignment="1">
      <alignment horizontal="right" vertical="center"/>
    </xf>
    <xf numFmtId="187" fontId="66" fillId="29" borderId="40" xfId="3" applyNumberFormat="1" applyFont="1" applyFill="1" applyBorder="1" applyAlignment="1">
      <alignment horizontal="right" vertical="center"/>
    </xf>
    <xf numFmtId="189" fontId="66" fillId="3" borderId="46" xfId="0" applyNumberFormat="1" applyFont="1" applyFill="1" applyBorder="1" applyAlignment="1">
      <alignment horizontal="center" vertical="center"/>
    </xf>
    <xf numFmtId="189" fontId="66" fillId="3" borderId="0" xfId="0" applyNumberFormat="1" applyFont="1" applyFill="1" applyBorder="1" applyAlignment="1">
      <alignment horizontal="center" vertical="center"/>
    </xf>
    <xf numFmtId="244" fontId="66" fillId="3" borderId="2" xfId="2" applyNumberFormat="1" applyFont="1" applyFill="1" applyBorder="1" applyAlignment="1">
      <alignment horizontal="center" vertical="center"/>
    </xf>
    <xf numFmtId="186" fontId="66" fillId="29" borderId="187" xfId="0" applyNumberFormat="1" applyFont="1" applyFill="1" applyBorder="1" applyAlignment="1">
      <alignment horizontal="center" vertical="center"/>
    </xf>
    <xf numFmtId="189" fontId="66" fillId="3" borderId="810" xfId="0" applyNumberFormat="1" applyFont="1" applyFill="1" applyBorder="1" applyAlignment="1">
      <alignment horizontal="center" vertical="center"/>
    </xf>
    <xf numFmtId="189" fontId="66" fillId="3" borderId="0" xfId="0" applyNumberFormat="1" applyFont="1" applyFill="1" applyAlignment="1">
      <alignment horizontal="right" vertical="center"/>
    </xf>
    <xf numFmtId="187" fontId="78" fillId="29" borderId="40" xfId="3" applyNumberFormat="1" applyFont="1" applyFill="1" applyBorder="1" applyAlignment="1">
      <alignment horizontal="right" vertical="center"/>
    </xf>
    <xf numFmtId="208" fontId="66" fillId="0" borderId="634" xfId="2" applyNumberFormat="1" applyFont="1" applyBorder="1" applyAlignment="1">
      <alignment horizontal="right" vertical="center"/>
    </xf>
    <xf numFmtId="0" fontId="74" fillId="2" borderId="25" xfId="0" applyFont="1" applyFill="1" applyBorder="1">
      <alignment vertical="center"/>
    </xf>
    <xf numFmtId="0" fontId="66" fillId="2" borderId="25" xfId="0" applyFont="1" applyFill="1" applyBorder="1">
      <alignment vertical="center"/>
    </xf>
    <xf numFmtId="0" fontId="86" fillId="2" borderId="25" xfId="0" applyFont="1" applyFill="1" applyBorder="1">
      <alignment vertical="center"/>
    </xf>
    <xf numFmtId="210" fontId="66" fillId="2" borderId="876" xfId="0" applyNumberFormat="1" applyFont="1" applyFill="1" applyBorder="1" applyAlignment="1">
      <alignment horizontal="center" vertical="center"/>
    </xf>
    <xf numFmtId="208" fontId="66" fillId="2" borderId="876" xfId="2" applyNumberFormat="1" applyFont="1" applyFill="1" applyBorder="1" applyAlignment="1">
      <alignment horizontal="right" vertical="center"/>
    </xf>
    <xf numFmtId="208" fontId="66" fillId="2" borderId="25" xfId="2" applyNumberFormat="1" applyFont="1" applyFill="1" applyBorder="1" applyAlignment="1">
      <alignment horizontal="right" vertical="center"/>
    </xf>
    <xf numFmtId="208" fontId="66" fillId="2" borderId="0" xfId="2" applyNumberFormat="1" applyFont="1" applyFill="1" applyBorder="1" applyAlignment="1">
      <alignment horizontal="right" vertical="center"/>
    </xf>
    <xf numFmtId="189" fontId="66" fillId="2" borderId="99" xfId="0" applyNumberFormat="1" applyFont="1" applyFill="1" applyBorder="1" applyAlignment="1">
      <alignment horizontal="center" vertical="center"/>
    </xf>
    <xf numFmtId="189" fontId="66" fillId="2" borderId="25" xfId="0" applyNumberFormat="1" applyFont="1" applyFill="1" applyBorder="1" applyAlignment="1">
      <alignment horizontal="center" vertical="center"/>
    </xf>
    <xf numFmtId="244" fontId="66" fillId="2" borderId="26" xfId="2" applyNumberFormat="1" applyFont="1" applyFill="1" applyBorder="1" applyAlignment="1">
      <alignment horizontal="center" vertical="center"/>
    </xf>
    <xf numFmtId="189" fontId="66" fillId="2" borderId="819" xfId="0" applyNumberFormat="1" applyFont="1" applyFill="1" applyBorder="1" applyAlignment="1">
      <alignment horizontal="center" vertical="center"/>
    </xf>
    <xf numFmtId="202" fontId="66" fillId="0" borderId="377" xfId="0" applyNumberFormat="1" applyFont="1" applyBorder="1" applyAlignment="1">
      <alignment horizontal="center" vertical="center"/>
    </xf>
    <xf numFmtId="189" fontId="66" fillId="2" borderId="25" xfId="0" applyNumberFormat="1" applyFont="1" applyFill="1" applyBorder="1" applyAlignment="1">
      <alignment horizontal="right" vertical="center"/>
    </xf>
    <xf numFmtId="0" fontId="66" fillId="2" borderId="0" xfId="0" applyFont="1" applyFill="1" applyBorder="1">
      <alignment vertical="center"/>
    </xf>
    <xf numFmtId="0" fontId="86" fillId="2" borderId="0" xfId="0" applyFont="1" applyFill="1" applyBorder="1">
      <alignment vertical="center"/>
    </xf>
    <xf numFmtId="210" fontId="66" fillId="2" borderId="485" xfId="0" applyNumberFormat="1" applyFont="1" applyFill="1" applyBorder="1" applyAlignment="1">
      <alignment horizontal="center" vertical="center"/>
    </xf>
    <xf numFmtId="208" fontId="66" fillId="2" borderId="485" xfId="2" applyNumberFormat="1" applyFont="1" applyFill="1" applyBorder="1" applyAlignment="1">
      <alignment horizontal="right" vertical="center"/>
    </xf>
    <xf numFmtId="189" fontId="66" fillId="2" borderId="46" xfId="0" applyNumberFormat="1" applyFont="1" applyFill="1" applyBorder="1" applyAlignment="1">
      <alignment horizontal="center" vertical="center"/>
    </xf>
    <xf numFmtId="189" fontId="66" fillId="2" borderId="0" xfId="0" applyNumberFormat="1" applyFont="1" applyFill="1" applyBorder="1" applyAlignment="1">
      <alignment horizontal="center" vertical="center"/>
    </xf>
    <xf numFmtId="244" fontId="66" fillId="2" borderId="2" xfId="2" applyNumberFormat="1" applyFont="1" applyFill="1" applyBorder="1" applyAlignment="1">
      <alignment horizontal="center" vertical="center"/>
    </xf>
    <xf numFmtId="189" fontId="66" fillId="2" borderId="810" xfId="0" applyNumberFormat="1" applyFont="1" applyFill="1" applyBorder="1" applyAlignment="1">
      <alignment horizontal="center" vertical="center"/>
    </xf>
    <xf numFmtId="189" fontId="66" fillId="2" borderId="0" xfId="0" applyNumberFormat="1" applyFont="1" applyFill="1" applyAlignment="1">
      <alignment horizontal="right" vertical="center"/>
    </xf>
    <xf numFmtId="0" fontId="66" fillId="2" borderId="27" xfId="0" applyFont="1" applyFill="1" applyBorder="1">
      <alignment vertical="center"/>
    </xf>
    <xf numFmtId="0" fontId="92" fillId="2" borderId="27" xfId="0" applyFont="1" applyFill="1" applyBorder="1">
      <alignment vertical="center"/>
    </xf>
    <xf numFmtId="208" fontId="66" fillId="2" borderId="1141" xfId="2" applyNumberFormat="1" applyFont="1" applyFill="1" applyBorder="1" applyAlignment="1">
      <alignment horizontal="right" vertical="center"/>
    </xf>
    <xf numFmtId="208" fontId="66" fillId="2" borderId="27" xfId="2" applyNumberFormat="1" applyFont="1" applyFill="1" applyBorder="1" applyAlignment="1">
      <alignment horizontal="right" vertical="center"/>
    </xf>
    <xf numFmtId="189" fontId="66" fillId="2" borderId="100" xfId="0" applyNumberFormat="1" applyFont="1" applyFill="1" applyBorder="1" applyAlignment="1">
      <alignment horizontal="center" vertical="center"/>
    </xf>
    <xf numFmtId="189" fontId="66" fillId="2" borderId="27" xfId="0" applyNumberFormat="1" applyFont="1" applyFill="1" applyBorder="1" applyAlignment="1">
      <alignment horizontal="center" vertical="center"/>
    </xf>
    <xf numFmtId="244" fontId="66" fillId="2" borderId="28" xfId="2" applyNumberFormat="1" applyFont="1" applyFill="1" applyBorder="1" applyAlignment="1">
      <alignment horizontal="center" vertical="center"/>
    </xf>
    <xf numFmtId="189" fontId="66" fillId="2" borderId="820" xfId="0" applyNumberFormat="1" applyFont="1" applyFill="1" applyBorder="1" applyAlignment="1">
      <alignment horizontal="center" vertical="center"/>
    </xf>
    <xf numFmtId="202" fontId="66" fillId="15" borderId="378" xfId="0" applyNumberFormat="1" applyFont="1" applyFill="1" applyBorder="1" applyAlignment="1">
      <alignment horizontal="center" vertical="center"/>
    </xf>
    <xf numFmtId="202" fontId="66" fillId="0" borderId="378" xfId="0" applyNumberFormat="1" applyFont="1" applyBorder="1" applyAlignment="1">
      <alignment horizontal="center" vertical="center"/>
    </xf>
    <xf numFmtId="189" fontId="66" fillId="2" borderId="27" xfId="0" applyNumberFormat="1" applyFont="1" applyFill="1" applyBorder="1" applyAlignment="1">
      <alignment horizontal="right" vertical="center"/>
    </xf>
    <xf numFmtId="0" fontId="74" fillId="7" borderId="0" xfId="0" applyFont="1" applyFill="1" applyBorder="1">
      <alignment vertical="center"/>
    </xf>
    <xf numFmtId="0" fontId="66" fillId="7" borderId="0" xfId="0" applyFont="1" applyFill="1" applyBorder="1">
      <alignment vertical="center"/>
    </xf>
    <xf numFmtId="0" fontId="86" fillId="7" borderId="0" xfId="0" applyFont="1" applyFill="1" applyBorder="1">
      <alignment vertical="center"/>
    </xf>
    <xf numFmtId="210" fontId="66" fillId="7" borderId="485" xfId="0" applyNumberFormat="1" applyFont="1" applyFill="1" applyBorder="1" applyAlignment="1">
      <alignment horizontal="center" vertical="center"/>
    </xf>
    <xf numFmtId="208" fontId="66" fillId="7" borderId="485" xfId="2" applyNumberFormat="1" applyFont="1" applyFill="1" applyBorder="1" applyAlignment="1">
      <alignment horizontal="right" vertical="center"/>
    </xf>
    <xf numFmtId="208" fontId="66" fillId="7" borderId="0" xfId="2" applyNumberFormat="1" applyFont="1" applyFill="1" applyBorder="1" applyAlignment="1">
      <alignment horizontal="right" vertical="center"/>
    </xf>
    <xf numFmtId="189" fontId="66" fillId="7" borderId="46" xfId="0" applyNumberFormat="1" applyFont="1" applyFill="1" applyBorder="1" applyAlignment="1">
      <alignment horizontal="center" vertical="center"/>
    </xf>
    <xf numFmtId="189" fontId="66" fillId="7" borderId="0" xfId="0" applyNumberFormat="1" applyFont="1" applyFill="1" applyBorder="1" applyAlignment="1">
      <alignment horizontal="center" vertical="center"/>
    </xf>
    <xf numFmtId="244" fontId="66" fillId="7" borderId="2" xfId="2" applyNumberFormat="1" applyFont="1" applyFill="1" applyBorder="1" applyAlignment="1">
      <alignment horizontal="center" vertical="center"/>
    </xf>
    <xf numFmtId="189" fontId="66" fillId="7" borderId="810" xfId="0" applyNumberFormat="1" applyFont="1" applyFill="1" applyBorder="1" applyAlignment="1">
      <alignment horizontal="center" vertical="center"/>
    </xf>
    <xf numFmtId="189" fontId="66" fillId="7" borderId="0" xfId="0" applyNumberFormat="1" applyFont="1" applyFill="1" applyAlignment="1">
      <alignment horizontal="right" vertical="center"/>
    </xf>
    <xf numFmtId="0" fontId="92" fillId="3" borderId="0" xfId="0" applyFont="1" applyFill="1" applyBorder="1">
      <alignment vertical="center"/>
    </xf>
    <xf numFmtId="0" fontId="92" fillId="0" borderId="0" xfId="0" applyFont="1" applyBorder="1">
      <alignment vertical="center"/>
    </xf>
    <xf numFmtId="210" fontId="66" fillId="0" borderId="1235" xfId="0" applyNumberFormat="1" applyFont="1" applyBorder="1" applyAlignment="1">
      <alignment horizontal="center" vertical="center"/>
    </xf>
    <xf numFmtId="189" fontId="66" fillId="0" borderId="36" xfId="0" applyNumberFormat="1" applyFont="1" applyBorder="1" applyAlignment="1">
      <alignment horizontal="right" vertical="center"/>
    </xf>
    <xf numFmtId="0" fontId="66" fillId="0" borderId="1245" xfId="0" applyFont="1" applyBorder="1">
      <alignment vertical="center"/>
    </xf>
    <xf numFmtId="0" fontId="74" fillId="0" borderId="1246" xfId="0" applyFont="1" applyBorder="1">
      <alignment vertical="center"/>
    </xf>
    <xf numFmtId="0" fontId="66" fillId="0" borderId="1246" xfId="0" applyFont="1" applyBorder="1">
      <alignment vertical="center"/>
    </xf>
    <xf numFmtId="0" fontId="86" fillId="0" borderId="1246" xfId="0" applyFont="1" applyBorder="1">
      <alignment vertical="center"/>
    </xf>
    <xf numFmtId="210" fontId="66" fillId="0" borderId="1247" xfId="0" applyNumberFormat="1" applyFont="1" applyBorder="1" applyAlignment="1">
      <alignment horizontal="center" vertical="center"/>
    </xf>
    <xf numFmtId="208" fontId="66" fillId="0" borderId="1247" xfId="2" applyNumberFormat="1" applyFont="1" applyBorder="1" applyAlignment="1">
      <alignment horizontal="right" vertical="center"/>
    </xf>
    <xf numFmtId="208" fontId="66" fillId="0" borderId="1246" xfId="2" applyNumberFormat="1" applyFont="1" applyBorder="1" applyAlignment="1">
      <alignment horizontal="right" vertical="center"/>
    </xf>
    <xf numFmtId="193" fontId="66" fillId="29" borderId="1246" xfId="0" applyNumberFormat="1" applyFont="1" applyFill="1" applyBorder="1" applyAlignment="1">
      <alignment horizontal="right" vertical="center"/>
    </xf>
    <xf numFmtId="187" fontId="66" fillId="29" borderId="1248" xfId="3" applyNumberFormat="1" applyFont="1" applyFill="1" applyBorder="1" applyAlignment="1">
      <alignment horizontal="right" vertical="center"/>
    </xf>
    <xf numFmtId="189" fontId="66" fillId="0" borderId="1249" xfId="0" applyNumberFormat="1" applyFont="1" applyBorder="1" applyAlignment="1">
      <alignment horizontal="center" vertical="center"/>
    </xf>
    <xf numFmtId="189" fontId="66" fillId="0" borderId="1246" xfId="0" applyNumberFormat="1" applyFont="1" applyBorder="1" applyAlignment="1">
      <alignment horizontal="center" vertical="center"/>
    </xf>
    <xf numFmtId="244" fontId="66" fillId="0" borderId="1250" xfId="2" applyNumberFormat="1" applyFont="1" applyBorder="1" applyAlignment="1">
      <alignment horizontal="center" vertical="center"/>
    </xf>
    <xf numFmtId="186" fontId="66" fillId="29" borderId="1251" xfId="0" applyNumberFormat="1" applyFont="1" applyFill="1" applyBorder="1" applyAlignment="1">
      <alignment horizontal="center" vertical="center"/>
    </xf>
    <xf numFmtId="187" fontId="66" fillId="29" borderId="1246" xfId="3" applyNumberFormat="1" applyFont="1" applyFill="1" applyBorder="1" applyAlignment="1">
      <alignment horizontal="center" vertical="center"/>
    </xf>
    <xf numFmtId="189" fontId="66" fillId="0" borderId="1252" xfId="0" applyNumberFormat="1" applyFont="1" applyBorder="1" applyAlignment="1">
      <alignment horizontal="center" vertical="center"/>
    </xf>
    <xf numFmtId="202" fontId="66" fillId="0" borderId="379" xfId="0" applyNumberFormat="1" applyFont="1" applyBorder="1" applyAlignment="1">
      <alignment horizontal="center" vertical="center"/>
    </xf>
    <xf numFmtId="0" fontId="66" fillId="0" borderId="479" xfId="0" applyFont="1" applyBorder="1">
      <alignment vertical="center"/>
    </xf>
    <xf numFmtId="0" fontId="86" fillId="0" borderId="479" xfId="0" applyFont="1" applyBorder="1">
      <alignment vertical="center"/>
    </xf>
    <xf numFmtId="210" fontId="66" fillId="0" borderId="478" xfId="0" applyNumberFormat="1" applyFont="1" applyBorder="1" applyAlignment="1">
      <alignment horizontal="center" vertical="center"/>
    </xf>
    <xf numFmtId="210" fontId="66" fillId="0" borderId="878" xfId="0" applyNumberFormat="1" applyFont="1" applyBorder="1" applyAlignment="1">
      <alignment horizontal="center" vertical="center"/>
    </xf>
    <xf numFmtId="208" fontId="66" fillId="0" borderId="479" xfId="2" applyNumberFormat="1" applyFont="1" applyBorder="1" applyAlignment="1">
      <alignment horizontal="right" vertical="center"/>
    </xf>
    <xf numFmtId="0" fontId="74" fillId="2" borderId="0" xfId="0" applyFont="1" applyFill="1" applyBorder="1">
      <alignment vertical="center"/>
    </xf>
    <xf numFmtId="208" fontId="66" fillId="2" borderId="906" xfId="2" applyNumberFormat="1" applyFont="1" applyFill="1" applyBorder="1" applyAlignment="1">
      <alignment horizontal="right" vertical="center"/>
    </xf>
    <xf numFmtId="208" fontId="66" fillId="2" borderId="14" xfId="2" applyNumberFormat="1" applyFont="1" applyFill="1" applyBorder="1" applyAlignment="1">
      <alignment horizontal="right" vertical="center"/>
    </xf>
    <xf numFmtId="189" fontId="66" fillId="2" borderId="102" xfId="0" applyNumberFormat="1" applyFont="1" applyFill="1" applyBorder="1" applyAlignment="1">
      <alignment horizontal="center" vertical="center"/>
    </xf>
    <xf numFmtId="189" fontId="66" fillId="2" borderId="14" xfId="0" applyNumberFormat="1" applyFont="1" applyFill="1" applyBorder="1" applyAlignment="1">
      <alignment horizontal="center" vertical="center"/>
    </xf>
    <xf numFmtId="244" fontId="66" fillId="2" borderId="29" xfId="2" applyNumberFormat="1" applyFont="1" applyFill="1" applyBorder="1" applyAlignment="1">
      <alignment horizontal="center" vertical="center"/>
    </xf>
    <xf numFmtId="189" fontId="66" fillId="2" borderId="821" xfId="0" applyNumberFormat="1" applyFont="1" applyFill="1" applyBorder="1" applyAlignment="1">
      <alignment horizontal="center" vertical="center"/>
    </xf>
    <xf numFmtId="189" fontId="66" fillId="2" borderId="14" xfId="0" applyNumberFormat="1" applyFont="1" applyFill="1" applyBorder="1" applyAlignment="1">
      <alignment horizontal="right" vertical="center"/>
    </xf>
    <xf numFmtId="0" fontId="66" fillId="2" borderId="15" xfId="0" applyFont="1" applyFill="1" applyBorder="1">
      <alignment vertical="center"/>
    </xf>
    <xf numFmtId="210" fontId="66" fillId="2" borderId="877" xfId="0" applyNumberFormat="1" applyFont="1" applyFill="1" applyBorder="1" applyAlignment="1">
      <alignment horizontal="center" vertical="center"/>
    </xf>
    <xf numFmtId="208" fontId="66" fillId="2" borderId="877" xfId="2" applyNumberFormat="1" applyFont="1" applyFill="1" applyBorder="1" applyAlignment="1">
      <alignment horizontal="right" vertical="center"/>
    </xf>
    <xf numFmtId="208" fontId="66" fillId="2" borderId="15" xfId="2" applyNumberFormat="1" applyFont="1" applyFill="1" applyBorder="1" applyAlignment="1">
      <alignment horizontal="right" vertical="center"/>
    </xf>
    <xf numFmtId="208" fontId="66" fillId="2" borderId="479" xfId="2" applyNumberFormat="1" applyFont="1" applyFill="1" applyBorder="1" applyAlignment="1">
      <alignment horizontal="right" vertical="center"/>
    </xf>
    <xf numFmtId="189" fontId="66" fillId="2" borderId="103" xfId="0" applyNumberFormat="1" applyFont="1" applyFill="1" applyBorder="1" applyAlignment="1">
      <alignment horizontal="center" vertical="center"/>
    </xf>
    <xf numFmtId="189" fontId="66" fillId="2" borderId="15" xfId="0" applyNumberFormat="1" applyFont="1" applyFill="1" applyBorder="1" applyAlignment="1">
      <alignment horizontal="center" vertical="center"/>
    </xf>
    <xf numFmtId="244" fontId="66" fillId="2" borderId="30" xfId="2" applyNumberFormat="1" applyFont="1" applyFill="1" applyBorder="1" applyAlignment="1">
      <alignment horizontal="center" vertical="center"/>
    </xf>
    <xf numFmtId="189" fontId="66" fillId="2" borderId="822" xfId="0" applyNumberFormat="1" applyFont="1" applyFill="1" applyBorder="1" applyAlignment="1">
      <alignment horizontal="center" vertical="center"/>
    </xf>
    <xf numFmtId="189" fontId="66" fillId="2" borderId="15" xfId="0" applyNumberFormat="1" applyFont="1" applyFill="1" applyBorder="1" applyAlignment="1">
      <alignment horizontal="right" vertical="center"/>
    </xf>
    <xf numFmtId="202" fontId="66" fillId="0" borderId="380" xfId="0" applyNumberFormat="1" applyFont="1" applyBorder="1" applyAlignment="1">
      <alignment horizontal="center" vertical="center"/>
    </xf>
    <xf numFmtId="0" fontId="93" fillId="0" borderId="0" xfId="0" applyFont="1" applyBorder="1">
      <alignment vertical="center"/>
    </xf>
    <xf numFmtId="202" fontId="66" fillId="15" borderId="32" xfId="0" applyNumberFormat="1" applyFont="1" applyFill="1" applyBorder="1" applyAlignment="1">
      <alignment horizontal="center" vertical="center"/>
    </xf>
    <xf numFmtId="202" fontId="66" fillId="0" borderId="32" xfId="0" applyNumberFormat="1" applyFont="1" applyBorder="1" applyAlignment="1">
      <alignment horizontal="center" vertical="center"/>
    </xf>
    <xf numFmtId="0" fontId="74" fillId="0" borderId="1246" xfId="0" applyFont="1" applyBorder="1" applyAlignment="1">
      <alignment horizontal="left" vertical="center"/>
    </xf>
    <xf numFmtId="0" fontId="74" fillId="3" borderId="1246" xfId="0" applyFont="1" applyFill="1" applyBorder="1">
      <alignment vertical="center"/>
    </xf>
    <xf numFmtId="0" fontId="66" fillId="3" borderId="1246" xfId="0" applyFont="1" applyFill="1" applyBorder="1">
      <alignment vertical="center"/>
    </xf>
    <xf numFmtId="210" fontId="66" fillId="3" borderId="1247" xfId="0" applyNumberFormat="1" applyFont="1" applyFill="1" applyBorder="1" applyAlignment="1">
      <alignment horizontal="center" vertical="center"/>
    </xf>
    <xf numFmtId="208" fontId="66" fillId="3" borderId="1247" xfId="2" applyNumberFormat="1" applyFont="1" applyFill="1" applyBorder="1" applyAlignment="1">
      <alignment horizontal="right" vertical="center"/>
    </xf>
    <xf numFmtId="208" fontId="66" fillId="3" borderId="1246" xfId="2" applyNumberFormat="1" applyFont="1" applyFill="1" applyBorder="1" applyAlignment="1">
      <alignment horizontal="right" vertical="center"/>
    </xf>
    <xf numFmtId="189" fontId="66" fillId="3" borderId="1249" xfId="0" applyNumberFormat="1" applyFont="1" applyFill="1" applyBorder="1" applyAlignment="1">
      <alignment horizontal="center" vertical="center"/>
    </xf>
    <xf numFmtId="189" fontId="66" fillId="3" borderId="1246" xfId="0" applyNumberFormat="1" applyFont="1" applyFill="1" applyBorder="1" applyAlignment="1">
      <alignment horizontal="center" vertical="center"/>
    </xf>
    <xf numFmtId="244" fontId="66" fillId="3" borderId="1250" xfId="2" applyNumberFormat="1" applyFont="1" applyFill="1" applyBorder="1" applyAlignment="1">
      <alignment horizontal="center" vertical="center"/>
    </xf>
    <xf numFmtId="186" fontId="66" fillId="3" borderId="1252" xfId="0" applyNumberFormat="1" applyFont="1" applyFill="1" applyBorder="1" applyAlignment="1">
      <alignment horizontal="center" vertical="center"/>
    </xf>
    <xf numFmtId="202" fontId="66" fillId="0" borderId="31" xfId="0" applyNumberFormat="1" applyFont="1" applyBorder="1" applyAlignment="1">
      <alignment horizontal="center" vertical="center"/>
    </xf>
    <xf numFmtId="186" fontId="66" fillId="3" borderId="810" xfId="0" applyNumberFormat="1" applyFont="1" applyFill="1" applyBorder="1" applyAlignment="1">
      <alignment horizontal="center" vertical="center"/>
    </xf>
    <xf numFmtId="203" fontId="66" fillId="15" borderId="0" xfId="0" applyNumberFormat="1" applyFont="1" applyFill="1" applyAlignment="1">
      <alignment horizontal="center" vertical="center"/>
    </xf>
    <xf numFmtId="186" fontId="66" fillId="2" borderId="810" xfId="0" applyNumberFormat="1" applyFont="1" applyFill="1" applyBorder="1" applyAlignment="1">
      <alignment horizontal="center" vertical="center"/>
    </xf>
    <xf numFmtId="203" fontId="66" fillId="15" borderId="36" xfId="0" applyNumberFormat="1" applyFont="1" applyFill="1" applyBorder="1" applyAlignment="1">
      <alignment horizontal="center" vertical="center"/>
    </xf>
    <xf numFmtId="202" fontId="66" fillId="0" borderId="36" xfId="0" applyNumberFormat="1" applyFont="1" applyBorder="1" applyAlignment="1">
      <alignment horizontal="center" vertical="center"/>
    </xf>
    <xf numFmtId="210" fontId="66" fillId="42" borderId="1247" xfId="0" applyNumberFormat="1" applyFont="1" applyFill="1" applyBorder="1" applyAlignment="1">
      <alignment horizontal="center" vertical="center"/>
    </xf>
    <xf numFmtId="189" fontId="66" fillId="3" borderId="1252" xfId="0" applyNumberFormat="1" applyFont="1" applyFill="1" applyBorder="1" applyAlignment="1">
      <alignment horizontal="center" vertical="center"/>
    </xf>
    <xf numFmtId="210" fontId="66" fillId="42" borderId="485" xfId="0" applyNumberFormat="1" applyFont="1" applyFill="1" applyBorder="1" applyAlignment="1">
      <alignment horizontal="center" vertical="center"/>
    </xf>
    <xf numFmtId="0" fontId="66" fillId="0" borderId="811" xfId="0" applyFont="1" applyBorder="1">
      <alignment vertical="center"/>
    </xf>
    <xf numFmtId="0" fontId="66" fillId="0" borderId="812" xfId="0" applyFont="1" applyBorder="1">
      <alignment vertical="center"/>
    </xf>
    <xf numFmtId="210" fontId="66" fillId="42" borderId="879" xfId="0" applyNumberFormat="1" applyFont="1" applyFill="1" applyBorder="1" applyAlignment="1">
      <alignment horizontal="center" vertical="center"/>
    </xf>
    <xf numFmtId="187" fontId="66" fillId="29" borderId="823" xfId="3" applyNumberFormat="1" applyFont="1" applyFill="1" applyBorder="1" applyAlignment="1">
      <alignment horizontal="right" vertical="center"/>
    </xf>
    <xf numFmtId="189" fontId="66" fillId="0" borderId="815" xfId="0" applyNumberFormat="1" applyFont="1" applyBorder="1" applyAlignment="1">
      <alignment horizontal="center" vertical="center"/>
    </xf>
    <xf numFmtId="186" fontId="66" fillId="29" borderId="824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223" fontId="66" fillId="5" borderId="0" xfId="0" applyNumberFormat="1" applyFont="1" applyFill="1">
      <alignment vertical="center"/>
    </xf>
    <xf numFmtId="0" fontId="66" fillId="5" borderId="0" xfId="0" applyFont="1" applyFill="1" applyAlignment="1">
      <alignment horizontal="center" vertical="center"/>
    </xf>
    <xf numFmtId="223" fontId="66" fillId="5" borderId="0" xfId="0" applyNumberFormat="1" applyFont="1" applyFill="1" applyAlignment="1">
      <alignment horizontal="center" vertical="center"/>
    </xf>
    <xf numFmtId="0" fontId="94" fillId="22" borderId="0" xfId="0" applyFont="1" applyFill="1" applyAlignment="1">
      <alignment horizontal="center" vertical="center"/>
    </xf>
    <xf numFmtId="0" fontId="95" fillId="5" borderId="0" xfId="0" applyFont="1" applyFill="1" applyAlignment="1">
      <alignment vertical="top"/>
    </xf>
    <xf numFmtId="0" fontId="67" fillId="6" borderId="0" xfId="0" applyFont="1" applyFill="1" applyBorder="1" applyAlignment="1">
      <alignment horizontal="center" vertical="center"/>
    </xf>
    <xf numFmtId="0" fontId="74" fillId="4" borderId="676" xfId="0" quotePrefix="1" applyFont="1" applyFill="1" applyBorder="1" applyAlignment="1">
      <alignment horizontal="center" vertical="center"/>
    </xf>
    <xf numFmtId="0" fontId="74" fillId="4" borderId="640" xfId="0" quotePrefix="1" applyFont="1" applyFill="1" applyBorder="1" applyAlignment="1">
      <alignment horizontal="center" vertical="center"/>
    </xf>
    <xf numFmtId="0" fontId="67" fillId="4" borderId="485" xfId="0" quotePrefix="1" applyFont="1" applyFill="1" applyBorder="1" applyAlignment="1">
      <alignment horizontal="center" vertical="center"/>
    </xf>
    <xf numFmtId="0" fontId="67" fillId="14" borderId="46" xfId="0" quotePrefix="1" applyFont="1" applyFill="1" applyBorder="1" applyAlignment="1">
      <alignment horizontal="center" vertical="center"/>
    </xf>
    <xf numFmtId="0" fontId="67" fillId="14" borderId="86" xfId="0" quotePrefix="1" applyFont="1" applyFill="1" applyBorder="1" applyAlignment="1">
      <alignment horizontal="center" vertical="center"/>
    </xf>
    <xf numFmtId="0" fontId="75" fillId="6" borderId="1" xfId="0" quotePrefix="1" applyFont="1" applyFill="1" applyBorder="1" applyAlignment="1">
      <alignment horizontal="center" vertical="center"/>
    </xf>
    <xf numFmtId="0" fontId="67" fillId="10" borderId="46" xfId="0" applyFont="1" applyFill="1" applyBorder="1" applyAlignment="1">
      <alignment horizontal="center" vertical="center"/>
    </xf>
    <xf numFmtId="0" fontId="67" fillId="10" borderId="47" xfId="0" applyFont="1" applyFill="1" applyBorder="1" applyAlignment="1">
      <alignment horizontal="center" vertical="center"/>
    </xf>
    <xf numFmtId="0" fontId="96" fillId="0" borderId="0" xfId="0" applyFont="1">
      <alignment vertical="center"/>
    </xf>
    <xf numFmtId="0" fontId="67" fillId="10" borderId="0" xfId="0" applyFont="1" applyFill="1" applyBorder="1" applyAlignment="1">
      <alignment horizontal="center" vertical="center"/>
    </xf>
    <xf numFmtId="0" fontId="74" fillId="11" borderId="4" xfId="0" applyFont="1" applyFill="1" applyBorder="1">
      <alignment vertical="center"/>
    </xf>
    <xf numFmtId="0" fontId="66" fillId="11" borderId="4" xfId="0" applyFont="1" applyFill="1" applyBorder="1">
      <alignment vertical="center"/>
    </xf>
    <xf numFmtId="201" fontId="66" fillId="11" borderId="9" xfId="0" applyNumberFormat="1" applyFont="1" applyFill="1" applyBorder="1" applyAlignment="1">
      <alignment horizontal="center" vertical="center"/>
    </xf>
    <xf numFmtId="201" fontId="66" fillId="11" borderId="671" xfId="0" applyNumberFormat="1" applyFont="1" applyFill="1" applyBorder="1" applyAlignment="1">
      <alignment horizontal="center" vertical="center"/>
    </xf>
    <xf numFmtId="201" fontId="66" fillId="11" borderId="4" xfId="0" applyNumberFormat="1" applyFont="1" applyFill="1" applyBorder="1" applyAlignment="1">
      <alignment horizontal="center" vertical="center"/>
    </xf>
    <xf numFmtId="189" fontId="66" fillId="11" borderId="45" xfId="0" applyNumberFormat="1" applyFont="1" applyFill="1" applyBorder="1" applyAlignment="1">
      <alignment horizontal="center" vertical="center"/>
    </xf>
    <xf numFmtId="189" fontId="66" fillId="11" borderId="87" xfId="0" applyNumberFormat="1" applyFont="1" applyFill="1" applyBorder="1" applyAlignment="1">
      <alignment horizontal="center" vertical="center"/>
    </xf>
    <xf numFmtId="201" fontId="66" fillId="11" borderId="5" xfId="0" applyNumberFormat="1" applyFont="1" applyFill="1" applyBorder="1" applyAlignment="1">
      <alignment horizontal="center" vertical="center"/>
    </xf>
    <xf numFmtId="189" fontId="66" fillId="11" borderId="4" xfId="0" applyNumberFormat="1" applyFont="1" applyFill="1" applyBorder="1" applyAlignment="1">
      <alignment horizontal="center" vertical="center"/>
    </xf>
    <xf numFmtId="189" fontId="66" fillId="11" borderId="224" xfId="0" applyNumberFormat="1" applyFont="1" applyFill="1" applyBorder="1" applyAlignment="1">
      <alignment horizontal="center" vertical="center"/>
    </xf>
    <xf numFmtId="0" fontId="66" fillId="11" borderId="0" xfId="0" applyFont="1" applyFill="1" applyBorder="1">
      <alignment vertical="center"/>
    </xf>
    <xf numFmtId="210" fontId="66" fillId="0" borderId="0" xfId="0" applyNumberFormat="1" applyFont="1">
      <alignment vertical="center"/>
    </xf>
    <xf numFmtId="0" fontId="78" fillId="11" borderId="0" xfId="0" applyFont="1" applyFill="1" applyBorder="1">
      <alignment vertical="center"/>
    </xf>
    <xf numFmtId="201" fontId="66" fillId="11" borderId="11" xfId="0" applyNumberFormat="1" applyFont="1" applyFill="1" applyBorder="1" applyAlignment="1">
      <alignment horizontal="center" vertical="center"/>
    </xf>
    <xf numFmtId="201" fontId="66" fillId="11" borderId="485" xfId="0" applyNumberFormat="1" applyFont="1" applyFill="1" applyBorder="1" applyAlignment="1">
      <alignment horizontal="center" vertical="center"/>
    </xf>
    <xf numFmtId="201" fontId="66" fillId="11" borderId="0" xfId="0" applyNumberFormat="1" applyFont="1" applyFill="1" applyBorder="1" applyAlignment="1">
      <alignment horizontal="center" vertical="center"/>
    </xf>
    <xf numFmtId="189" fontId="66" fillId="11" borderId="46" xfId="0" applyNumberFormat="1" applyFont="1" applyFill="1" applyBorder="1" applyAlignment="1">
      <alignment horizontal="center" vertical="center"/>
    </xf>
    <xf numFmtId="189" fontId="66" fillId="11" borderId="86" xfId="0" applyNumberFormat="1" applyFont="1" applyFill="1" applyBorder="1" applyAlignment="1">
      <alignment horizontal="center" vertical="center"/>
    </xf>
    <xf numFmtId="201" fontId="66" fillId="11" borderId="2" xfId="0" applyNumberFormat="1" applyFont="1" applyFill="1" applyBorder="1" applyAlignment="1">
      <alignment horizontal="center" vertical="center"/>
    </xf>
    <xf numFmtId="189" fontId="66" fillId="11" borderId="0" xfId="0" applyNumberFormat="1" applyFont="1" applyFill="1" applyBorder="1" applyAlignment="1">
      <alignment horizontal="center" vertical="center"/>
    </xf>
    <xf numFmtId="201" fontId="66" fillId="11" borderId="46" xfId="0" applyNumberFormat="1" applyFont="1" applyFill="1" applyBorder="1" applyAlignment="1">
      <alignment horizontal="center" vertical="center"/>
    </xf>
    <xf numFmtId="189" fontId="66" fillId="11" borderId="225" xfId="0" applyNumberFormat="1" applyFont="1" applyFill="1" applyBorder="1" applyAlignment="1">
      <alignment horizontal="center" vertical="center"/>
    </xf>
    <xf numFmtId="201" fontId="66" fillId="0" borderId="11" xfId="0" applyNumberFormat="1" applyFont="1" applyBorder="1" applyAlignment="1">
      <alignment horizontal="center" vertical="center"/>
    </xf>
    <xf numFmtId="201" fontId="66" fillId="0" borderId="485" xfId="0" applyNumberFormat="1" applyFont="1" applyBorder="1" applyAlignment="1">
      <alignment horizontal="center" vertical="center"/>
    </xf>
    <xf numFmtId="201" fontId="66" fillId="0" borderId="0" xfId="0" applyNumberFormat="1" applyFont="1" applyBorder="1" applyAlignment="1">
      <alignment horizontal="center" vertical="center"/>
    </xf>
    <xf numFmtId="189" fontId="66" fillId="0" borderId="86" xfId="0" applyNumberFormat="1" applyFont="1" applyBorder="1" applyAlignment="1">
      <alignment horizontal="center" vertical="center"/>
    </xf>
    <xf numFmtId="201" fontId="66" fillId="0" borderId="2" xfId="0" applyNumberFormat="1" applyFont="1" applyBorder="1" applyAlignment="1">
      <alignment horizontal="center" vertical="center"/>
    </xf>
    <xf numFmtId="201" fontId="66" fillId="0" borderId="46" xfId="0" applyNumberFormat="1" applyFont="1" applyBorder="1" applyAlignment="1">
      <alignment horizontal="center" vertical="center"/>
    </xf>
    <xf numFmtId="189" fontId="66" fillId="0" borderId="225" xfId="0" applyNumberFormat="1" applyFont="1" applyBorder="1" applyAlignment="1">
      <alignment horizontal="center" vertical="center"/>
    </xf>
    <xf numFmtId="0" fontId="66" fillId="0" borderId="0" xfId="0" applyFont="1" applyFill="1" applyBorder="1">
      <alignment vertical="center"/>
    </xf>
    <xf numFmtId="0" fontId="66" fillId="0" borderId="6" xfId="0" applyFont="1" applyBorder="1">
      <alignment vertical="center"/>
    </xf>
    <xf numFmtId="0" fontId="66" fillId="0" borderId="6" xfId="0" applyFont="1" applyFill="1" applyBorder="1">
      <alignment vertical="center"/>
    </xf>
    <xf numFmtId="201" fontId="66" fillId="0" borderId="48" xfId="0" applyNumberFormat="1" applyFont="1" applyBorder="1" applyAlignment="1">
      <alignment horizontal="center" vertical="center"/>
    </xf>
    <xf numFmtId="201" fontId="66" fillId="0" borderId="507" xfId="0" applyNumberFormat="1" applyFont="1" applyBorder="1" applyAlignment="1">
      <alignment horizontal="center" vertical="center"/>
    </xf>
    <xf numFmtId="201" fontId="66" fillId="0" borderId="6" xfId="0" applyNumberFormat="1" applyFont="1" applyBorder="1" applyAlignment="1">
      <alignment horizontal="center" vertical="center"/>
    </xf>
    <xf numFmtId="189" fontId="66" fillId="0" borderId="43" xfId="0" applyNumberFormat="1" applyFont="1" applyBorder="1" applyAlignment="1">
      <alignment horizontal="center" vertical="center"/>
    </xf>
    <xf numFmtId="189" fontId="66" fillId="0" borderId="90" xfId="0" applyNumberFormat="1" applyFont="1" applyBorder="1" applyAlignment="1">
      <alignment horizontal="center" vertical="center"/>
    </xf>
    <xf numFmtId="201" fontId="66" fillId="0" borderId="49" xfId="0" applyNumberFormat="1" applyFont="1" applyBorder="1" applyAlignment="1">
      <alignment horizontal="center" vertical="center"/>
    </xf>
    <xf numFmtId="189" fontId="66" fillId="0" borderId="6" xfId="0" applyNumberFormat="1" applyFont="1" applyBorder="1" applyAlignment="1">
      <alignment horizontal="center" vertical="center"/>
    </xf>
    <xf numFmtId="201" fontId="66" fillId="0" borderId="43" xfId="0" applyNumberFormat="1" applyFont="1" applyBorder="1" applyAlignment="1">
      <alignment horizontal="center" vertical="center"/>
    </xf>
    <xf numFmtId="189" fontId="66" fillId="0" borderId="230" xfId="0" applyNumberFormat="1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209" fontId="66" fillId="11" borderId="9" xfId="0" applyNumberFormat="1" applyFont="1" applyFill="1" applyBorder="1" applyAlignment="1">
      <alignment horizontal="center" vertical="center"/>
    </xf>
    <xf numFmtId="0" fontId="66" fillId="11" borderId="671" xfId="0" applyFont="1" applyFill="1" applyBorder="1" applyAlignment="1">
      <alignment horizontal="center" vertical="center"/>
    </xf>
    <xf numFmtId="0" fontId="66" fillId="11" borderId="4" xfId="0" applyFont="1" applyFill="1" applyBorder="1" applyAlignment="1">
      <alignment horizontal="center" vertical="center"/>
    </xf>
    <xf numFmtId="193" fontId="66" fillId="11" borderId="457" xfId="0" applyNumberFormat="1" applyFont="1" applyFill="1" applyBorder="1" applyAlignment="1">
      <alignment horizontal="center" vertical="center"/>
    </xf>
    <xf numFmtId="193" fontId="66" fillId="11" borderId="87" xfId="0" applyNumberFormat="1" applyFont="1" applyFill="1" applyBorder="1" applyAlignment="1">
      <alignment horizontal="center" vertical="center"/>
    </xf>
    <xf numFmtId="193" fontId="66" fillId="11" borderId="4" xfId="0" applyNumberFormat="1" applyFont="1" applyFill="1" applyBorder="1" applyAlignment="1">
      <alignment horizontal="center" vertical="center"/>
    </xf>
    <xf numFmtId="193" fontId="66" fillId="11" borderId="45" xfId="0" applyNumberFormat="1" applyFont="1" applyFill="1" applyBorder="1" applyAlignment="1">
      <alignment horizontal="center" vertical="center"/>
    </xf>
    <xf numFmtId="41" fontId="66" fillId="0" borderId="0" xfId="2" applyFont="1">
      <alignment vertical="center"/>
    </xf>
    <xf numFmtId="209" fontId="66" fillId="11" borderId="11" xfId="0" applyNumberFormat="1" applyFont="1" applyFill="1" applyBorder="1" applyAlignment="1">
      <alignment horizontal="center" vertical="center"/>
    </xf>
    <xf numFmtId="0" fontId="66" fillId="11" borderId="485" xfId="0" applyFont="1" applyFill="1" applyBorder="1" applyAlignment="1">
      <alignment horizontal="center" vertical="center"/>
    </xf>
    <xf numFmtId="0" fontId="66" fillId="11" borderId="0" xfId="0" applyFont="1" applyFill="1" applyBorder="1" applyAlignment="1">
      <alignment horizontal="center" vertical="center"/>
    </xf>
    <xf numFmtId="186" fontId="66" fillId="11" borderId="46" xfId="0" applyNumberFormat="1" applyFont="1" applyFill="1" applyBorder="1" applyAlignment="1">
      <alignment horizontal="center" vertical="center"/>
    </xf>
    <xf numFmtId="186" fontId="66" fillId="11" borderId="86" xfId="0" applyNumberFormat="1" applyFont="1" applyFill="1" applyBorder="1" applyAlignment="1">
      <alignment horizontal="center" vertical="center"/>
    </xf>
    <xf numFmtId="3" fontId="66" fillId="11" borderId="2" xfId="0" applyNumberFormat="1" applyFont="1" applyFill="1" applyBorder="1" applyAlignment="1">
      <alignment horizontal="center" vertical="center"/>
    </xf>
    <xf numFmtId="186" fontId="66" fillId="11" borderId="0" xfId="0" applyNumberFormat="1" applyFont="1" applyFill="1" applyBorder="1" applyAlignment="1">
      <alignment horizontal="center" vertical="center"/>
    </xf>
    <xf numFmtId="186" fontId="66" fillId="11" borderId="225" xfId="0" applyNumberFormat="1" applyFont="1" applyFill="1" applyBorder="1" applyAlignment="1">
      <alignment horizontal="center" vertical="center"/>
    </xf>
    <xf numFmtId="0" fontId="66" fillId="0" borderId="298" xfId="0" applyFont="1" applyFill="1" applyBorder="1">
      <alignment vertical="center"/>
    </xf>
    <xf numFmtId="209" fontId="66" fillId="0" borderId="11" xfId="0" applyNumberFormat="1" applyFont="1" applyBorder="1" applyAlignment="1">
      <alignment horizontal="center" vertical="center"/>
    </xf>
    <xf numFmtId="186" fontId="66" fillId="0" borderId="46" xfId="0" applyNumberFormat="1" applyFont="1" applyBorder="1" applyAlignment="1">
      <alignment horizontal="center" vertical="center"/>
    </xf>
    <xf numFmtId="186" fontId="66" fillId="0" borderId="86" xfId="0" applyNumberFormat="1" applyFont="1" applyBorder="1" applyAlignment="1">
      <alignment horizontal="center" vertical="center"/>
    </xf>
    <xf numFmtId="3" fontId="66" fillId="0" borderId="2" xfId="0" applyNumberFormat="1" applyFont="1" applyBorder="1" applyAlignment="1">
      <alignment horizontal="center" vertical="center"/>
    </xf>
    <xf numFmtId="186" fontId="66" fillId="0" borderId="0" xfId="0" applyNumberFormat="1" applyFont="1" applyBorder="1" applyAlignment="1">
      <alignment horizontal="center" vertical="center"/>
    </xf>
    <xf numFmtId="186" fontId="66" fillId="0" borderId="225" xfId="0" applyNumberFormat="1" applyFont="1" applyBorder="1" applyAlignment="1">
      <alignment horizontal="center" vertical="center"/>
    </xf>
    <xf numFmtId="0" fontId="66" fillId="0" borderId="358" xfId="0" applyFont="1" applyFill="1" applyBorder="1">
      <alignment vertical="center"/>
    </xf>
    <xf numFmtId="209" fontId="66" fillId="0" borderId="359" xfId="0" applyNumberFormat="1" applyFont="1" applyBorder="1" applyAlignment="1">
      <alignment horizontal="center" vertical="center"/>
    </xf>
    <xf numFmtId="0" fontId="66" fillId="0" borderId="1159" xfId="0" applyFont="1" applyBorder="1" applyAlignment="1">
      <alignment horizontal="center" vertical="center"/>
    </xf>
    <xf numFmtId="0" fontId="66" fillId="0" borderId="358" xfId="0" applyFont="1" applyBorder="1" applyAlignment="1">
      <alignment horizontal="center" vertical="center"/>
    </xf>
    <xf numFmtId="186" fontId="66" fillId="0" borderId="361" xfId="0" applyNumberFormat="1" applyFont="1" applyBorder="1" applyAlignment="1">
      <alignment horizontal="center" vertical="center"/>
    </xf>
    <xf numFmtId="186" fontId="66" fillId="0" borderId="362" xfId="0" applyNumberFormat="1" applyFont="1" applyBorder="1" applyAlignment="1">
      <alignment horizontal="center" vertical="center"/>
    </xf>
    <xf numFmtId="3" fontId="66" fillId="0" borderId="360" xfId="0" applyNumberFormat="1" applyFont="1" applyBorder="1" applyAlignment="1">
      <alignment horizontal="center" vertical="center"/>
    </xf>
    <xf numFmtId="186" fontId="66" fillId="0" borderId="358" xfId="0" applyNumberFormat="1" applyFont="1" applyBorder="1" applyAlignment="1">
      <alignment horizontal="center" vertical="center"/>
    </xf>
    <xf numFmtId="186" fontId="66" fillId="0" borderId="759" xfId="0" applyNumberFormat="1" applyFont="1" applyBorder="1" applyAlignment="1">
      <alignment horizontal="center" vertical="center"/>
    </xf>
    <xf numFmtId="0" fontId="66" fillId="0" borderId="364" xfId="0" applyFont="1" applyFill="1" applyBorder="1">
      <alignment vertical="center"/>
    </xf>
    <xf numFmtId="209" fontId="66" fillId="0" borderId="365" xfId="0" applyNumberFormat="1" applyFont="1" applyBorder="1" applyAlignment="1">
      <alignment horizontal="center" vertical="center"/>
    </xf>
    <xf numFmtId="0" fontId="66" fillId="0" borderId="1160" xfId="0" applyFont="1" applyBorder="1" applyAlignment="1">
      <alignment horizontal="center" vertical="center"/>
    </xf>
    <xf numFmtId="0" fontId="66" fillId="0" borderId="364" xfId="0" applyFont="1" applyBorder="1" applyAlignment="1">
      <alignment horizontal="center" vertical="center"/>
    </xf>
    <xf numFmtId="186" fontId="66" fillId="0" borderId="367" xfId="0" applyNumberFormat="1" applyFont="1" applyBorder="1" applyAlignment="1">
      <alignment horizontal="center" vertical="center"/>
    </xf>
    <xf numFmtId="186" fontId="66" fillId="0" borderId="368" xfId="0" applyNumberFormat="1" applyFont="1" applyBorder="1" applyAlignment="1">
      <alignment horizontal="center" vertical="center"/>
    </xf>
    <xf numFmtId="3" fontId="66" fillId="0" borderId="366" xfId="0" applyNumberFormat="1" applyFont="1" applyBorder="1" applyAlignment="1">
      <alignment horizontal="center" vertical="center"/>
    </xf>
    <xf numFmtId="186" fontId="66" fillId="0" borderId="364" xfId="0" applyNumberFormat="1" applyFont="1" applyBorder="1" applyAlignment="1">
      <alignment horizontal="center" vertical="center"/>
    </xf>
    <xf numFmtId="186" fontId="66" fillId="0" borderId="760" xfId="0" applyNumberFormat="1" applyFont="1" applyBorder="1" applyAlignment="1">
      <alignment horizontal="center" vertical="center"/>
    </xf>
    <xf numFmtId="0" fontId="66" fillId="0" borderId="106" xfId="0" applyFont="1" applyFill="1" applyBorder="1">
      <alignment vertical="center"/>
    </xf>
    <xf numFmtId="0" fontId="74" fillId="11" borderId="304" xfId="0" applyFont="1" applyFill="1" applyBorder="1">
      <alignment vertical="center"/>
    </xf>
    <xf numFmtId="0" fontId="66" fillId="11" borderId="111" xfId="0" applyFont="1" applyFill="1" applyBorder="1">
      <alignment vertical="center"/>
    </xf>
    <xf numFmtId="209" fontId="66" fillId="11" borderId="113" xfId="0" applyNumberFormat="1" applyFont="1" applyFill="1" applyBorder="1" applyAlignment="1">
      <alignment horizontal="center" vertical="center"/>
    </xf>
    <xf numFmtId="0" fontId="66" fillId="11" borderId="984" xfId="0" applyFont="1" applyFill="1" applyBorder="1" applyAlignment="1">
      <alignment horizontal="center" vertical="center"/>
    </xf>
    <xf numFmtId="0" fontId="66" fillId="11" borderId="111" xfId="0" applyFont="1" applyFill="1" applyBorder="1" applyAlignment="1">
      <alignment horizontal="center" vertical="center"/>
    </xf>
    <xf numFmtId="186" fontId="66" fillId="11" borderId="115" xfId="0" applyNumberFormat="1" applyFont="1" applyFill="1" applyBorder="1" applyAlignment="1">
      <alignment horizontal="center" vertical="center"/>
    </xf>
    <xf numFmtId="186" fontId="66" fillId="11" borderId="116" xfId="0" applyNumberFormat="1" applyFont="1" applyFill="1" applyBorder="1" applyAlignment="1">
      <alignment horizontal="center" vertical="center"/>
    </xf>
    <xf numFmtId="3" fontId="66" fillId="11" borderId="114" xfId="0" applyNumberFormat="1" applyFont="1" applyFill="1" applyBorder="1" applyAlignment="1">
      <alignment horizontal="center" vertical="center"/>
    </xf>
    <xf numFmtId="186" fontId="66" fillId="11" borderId="111" xfId="0" applyNumberFormat="1" applyFont="1" applyFill="1" applyBorder="1" applyAlignment="1">
      <alignment horizontal="center" vertical="center"/>
    </xf>
    <xf numFmtId="186" fontId="66" fillId="11" borderId="761" xfId="0" applyNumberFormat="1" applyFont="1" applyFill="1" applyBorder="1" applyAlignment="1">
      <alignment horizontal="center" vertical="center"/>
    </xf>
    <xf numFmtId="0" fontId="86" fillId="0" borderId="302" xfId="0" applyFont="1" applyBorder="1">
      <alignment vertical="center"/>
    </xf>
    <xf numFmtId="0" fontId="66" fillId="0" borderId="369" xfId="0" applyFont="1" applyBorder="1">
      <alignment vertical="center"/>
    </xf>
    <xf numFmtId="0" fontId="66" fillId="0" borderId="370" xfId="0" applyFont="1" applyFill="1" applyBorder="1">
      <alignment vertical="center"/>
    </xf>
    <xf numFmtId="209" fontId="66" fillId="0" borderId="371" xfId="0" applyNumberFormat="1" applyFont="1" applyBorder="1" applyAlignment="1">
      <alignment horizontal="center" vertical="center"/>
    </xf>
    <xf numFmtId="0" fontId="66" fillId="0" borderId="1161" xfId="0" applyFont="1" applyBorder="1" applyAlignment="1">
      <alignment horizontal="center" vertical="center"/>
    </xf>
    <xf numFmtId="0" fontId="66" fillId="0" borderId="370" xfId="0" applyFont="1" applyBorder="1" applyAlignment="1">
      <alignment horizontal="center" vertical="center"/>
    </xf>
    <xf numFmtId="186" fontId="66" fillId="0" borderId="373" xfId="0" applyNumberFormat="1" applyFont="1" applyBorder="1" applyAlignment="1">
      <alignment horizontal="center" vertical="center"/>
    </xf>
    <xf numFmtId="186" fontId="66" fillId="0" borderId="374" xfId="0" applyNumberFormat="1" applyFont="1" applyBorder="1" applyAlignment="1">
      <alignment horizontal="center" vertical="center"/>
    </xf>
    <xf numFmtId="3" fontId="66" fillId="0" borderId="372" xfId="0" applyNumberFormat="1" applyFont="1" applyBorder="1" applyAlignment="1">
      <alignment horizontal="center" vertical="center"/>
    </xf>
    <xf numFmtId="186" fontId="66" fillId="0" borderId="370" xfId="0" applyNumberFormat="1" applyFont="1" applyBorder="1" applyAlignment="1">
      <alignment horizontal="center" vertical="center"/>
    </xf>
    <xf numFmtId="186" fontId="66" fillId="0" borderId="762" xfId="0" applyNumberFormat="1" applyFont="1" applyBorder="1" applyAlignment="1">
      <alignment horizontal="center" vertical="center"/>
    </xf>
    <xf numFmtId="0" fontId="66" fillId="0" borderId="302" xfId="0" applyFont="1" applyBorder="1">
      <alignment vertical="center"/>
    </xf>
    <xf numFmtId="0" fontId="74" fillId="11" borderId="302" xfId="0" quotePrefix="1" applyFont="1" applyFill="1" applyBorder="1" applyAlignment="1">
      <alignment horizontal="center" vertical="center"/>
    </xf>
    <xf numFmtId="209" fontId="66" fillId="0" borderId="107" xfId="0" applyNumberFormat="1" applyFont="1" applyBorder="1" applyAlignment="1">
      <alignment horizontal="center" vertical="center"/>
    </xf>
    <xf numFmtId="0" fontId="66" fillId="0" borderId="483" xfId="0" applyFont="1" applyBorder="1" applyAlignment="1">
      <alignment horizontal="center" vertical="center"/>
    </xf>
    <xf numFmtId="0" fontId="66" fillId="0" borderId="106" xfId="0" applyFont="1" applyBorder="1" applyAlignment="1">
      <alignment horizontal="center" vertical="center"/>
    </xf>
    <xf numFmtId="186" fontId="66" fillId="0" borderId="109" xfId="0" applyNumberFormat="1" applyFont="1" applyBorder="1" applyAlignment="1">
      <alignment horizontal="center" vertical="center"/>
    </xf>
    <xf numFmtId="186" fontId="66" fillId="0" borderId="110" xfId="0" applyNumberFormat="1" applyFont="1" applyBorder="1" applyAlignment="1">
      <alignment horizontal="center" vertical="center"/>
    </xf>
    <xf numFmtId="3" fontId="66" fillId="0" borderId="108" xfId="0" applyNumberFormat="1" applyFont="1" applyBorder="1" applyAlignment="1">
      <alignment horizontal="center" vertical="center"/>
    </xf>
    <xf numFmtId="186" fontId="66" fillId="0" borderId="106" xfId="0" applyNumberFormat="1" applyFont="1" applyBorder="1" applyAlignment="1">
      <alignment horizontal="center" vertical="center"/>
    </xf>
    <xf numFmtId="186" fontId="66" fillId="0" borderId="694" xfId="0" applyNumberFormat="1" applyFont="1" applyBorder="1" applyAlignment="1">
      <alignment horizontal="center" vertical="center"/>
    </xf>
    <xf numFmtId="186" fontId="66" fillId="29" borderId="116" xfId="0" applyNumberFormat="1" applyFont="1" applyFill="1" applyBorder="1" applyAlignment="1">
      <alignment horizontal="center" vertical="center"/>
    </xf>
    <xf numFmtId="186" fontId="66" fillId="29" borderId="111" xfId="0" applyNumberFormat="1" applyFont="1" applyFill="1" applyBorder="1" applyAlignment="1">
      <alignment horizontal="center" vertical="center"/>
    </xf>
    <xf numFmtId="186" fontId="66" fillId="29" borderId="761" xfId="0" applyNumberFormat="1" applyFont="1" applyFill="1" applyBorder="1" applyAlignment="1">
      <alignment horizontal="center" vertical="center"/>
    </xf>
    <xf numFmtId="0" fontId="86" fillId="0" borderId="363" xfId="0" applyFont="1" applyBorder="1">
      <alignment vertical="center"/>
    </xf>
    <xf numFmtId="186" fontId="66" fillId="29" borderId="368" xfId="0" applyNumberFormat="1" applyFont="1" applyFill="1" applyBorder="1" applyAlignment="1">
      <alignment horizontal="center" vertical="center"/>
    </xf>
    <xf numFmtId="186" fontId="66" fillId="29" borderId="364" xfId="0" applyNumberFormat="1" applyFont="1" applyFill="1" applyBorder="1" applyAlignment="1">
      <alignment horizontal="center" vertical="center"/>
    </xf>
    <xf numFmtId="186" fontId="66" fillId="29" borderId="760" xfId="0" applyNumberFormat="1" applyFont="1" applyFill="1" applyBorder="1" applyAlignment="1">
      <alignment horizontal="center" vertical="center"/>
    </xf>
    <xf numFmtId="209" fontId="86" fillId="0" borderId="11" xfId="0" applyNumberFormat="1" applyFont="1" applyBorder="1" applyAlignment="1">
      <alignment horizontal="center" vertical="center"/>
    </xf>
    <xf numFmtId="0" fontId="86" fillId="0" borderId="485" xfId="0" applyFont="1" applyBorder="1" applyAlignment="1">
      <alignment horizontal="center" vertical="center"/>
    </xf>
    <xf numFmtId="0" fontId="86" fillId="0" borderId="0" xfId="0" applyFont="1" applyBorder="1" applyAlignment="1">
      <alignment horizontal="center" vertical="center"/>
    </xf>
    <xf numFmtId="186" fontId="86" fillId="0" borderId="46" xfId="0" applyNumberFormat="1" applyFont="1" applyBorder="1" applyAlignment="1">
      <alignment horizontal="center" vertical="center"/>
    </xf>
    <xf numFmtId="186" fontId="86" fillId="29" borderId="86" xfId="0" applyNumberFormat="1" applyFont="1" applyFill="1" applyBorder="1" applyAlignment="1">
      <alignment horizontal="center" vertical="center"/>
    </xf>
    <xf numFmtId="3" fontId="86" fillId="0" borderId="2" xfId="0" applyNumberFormat="1" applyFont="1" applyBorder="1" applyAlignment="1">
      <alignment horizontal="center" vertical="center"/>
    </xf>
    <xf numFmtId="186" fontId="86" fillId="29" borderId="0" xfId="0" applyNumberFormat="1" applyFont="1" applyFill="1" applyBorder="1" applyAlignment="1">
      <alignment horizontal="center" vertical="center"/>
    </xf>
    <xf numFmtId="186" fontId="86" fillId="29" borderId="225" xfId="0" applyNumberFormat="1" applyFont="1" applyFill="1" applyBorder="1" applyAlignment="1">
      <alignment horizontal="center" vertical="center"/>
    </xf>
    <xf numFmtId="0" fontId="97" fillId="0" borderId="0" xfId="0" applyFont="1">
      <alignment vertical="center"/>
    </xf>
    <xf numFmtId="0" fontId="88" fillId="11" borderId="304" xfId="0" applyFont="1" applyFill="1" applyBorder="1">
      <alignment vertical="center"/>
    </xf>
    <xf numFmtId="0" fontId="86" fillId="11" borderId="111" xfId="0" applyFont="1" applyFill="1" applyBorder="1">
      <alignment vertical="center"/>
    </xf>
    <xf numFmtId="209" fontId="86" fillId="11" borderId="113" xfId="0" applyNumberFormat="1" applyFont="1" applyFill="1" applyBorder="1" applyAlignment="1">
      <alignment horizontal="center" vertical="center"/>
    </xf>
    <xf numFmtId="0" fontId="86" fillId="11" borderId="984" xfId="0" applyFont="1" applyFill="1" applyBorder="1" applyAlignment="1">
      <alignment horizontal="center" vertical="center"/>
    </xf>
    <xf numFmtId="0" fontId="86" fillId="11" borderId="111" xfId="0" applyFont="1" applyFill="1" applyBorder="1" applyAlignment="1">
      <alignment horizontal="center" vertical="center"/>
    </xf>
    <xf numFmtId="186" fontId="86" fillId="11" borderId="115" xfId="0" applyNumberFormat="1" applyFont="1" applyFill="1" applyBorder="1" applyAlignment="1">
      <alignment horizontal="center" vertical="center"/>
    </xf>
    <xf numFmtId="186" fontId="86" fillId="29" borderId="116" xfId="0" applyNumberFormat="1" applyFont="1" applyFill="1" applyBorder="1" applyAlignment="1">
      <alignment horizontal="center" vertical="center"/>
    </xf>
    <xf numFmtId="3" fontId="86" fillId="11" borderId="114" xfId="0" applyNumberFormat="1" applyFont="1" applyFill="1" applyBorder="1" applyAlignment="1">
      <alignment horizontal="center" vertical="center"/>
    </xf>
    <xf numFmtId="186" fontId="86" fillId="29" borderId="111" xfId="0" applyNumberFormat="1" applyFont="1" applyFill="1" applyBorder="1" applyAlignment="1">
      <alignment horizontal="center" vertical="center"/>
    </xf>
    <xf numFmtId="186" fontId="86" fillId="11" borderId="761" xfId="0" applyNumberFormat="1" applyFont="1" applyFill="1" applyBorder="1" applyAlignment="1">
      <alignment horizontal="center" vertical="center"/>
    </xf>
    <xf numFmtId="0" fontId="86" fillId="11" borderId="0" xfId="0" applyFont="1" applyFill="1" applyBorder="1">
      <alignment vertical="center"/>
    </xf>
    <xf numFmtId="0" fontId="86" fillId="0" borderId="364" xfId="0" applyFont="1" applyFill="1" applyBorder="1">
      <alignment vertical="center"/>
    </xf>
    <xf numFmtId="209" fontId="86" fillId="0" borderId="365" xfId="0" applyNumberFormat="1" applyFont="1" applyBorder="1" applyAlignment="1">
      <alignment horizontal="center" vertical="center"/>
    </xf>
    <xf numFmtId="0" fontId="86" fillId="0" borderId="1160" xfId="0" applyFont="1" applyBorder="1" applyAlignment="1">
      <alignment horizontal="center" vertical="center"/>
    </xf>
    <xf numFmtId="0" fontId="86" fillId="0" borderId="364" xfId="0" applyFont="1" applyBorder="1" applyAlignment="1">
      <alignment horizontal="center" vertical="center"/>
    </xf>
    <xf numFmtId="186" fontId="86" fillId="0" borderId="367" xfId="0" applyNumberFormat="1" applyFont="1" applyBorder="1" applyAlignment="1">
      <alignment horizontal="center" vertical="center"/>
    </xf>
    <xf numFmtId="186" fontId="86" fillId="29" borderId="368" xfId="0" applyNumberFormat="1" applyFont="1" applyFill="1" applyBorder="1" applyAlignment="1">
      <alignment horizontal="center" vertical="center"/>
    </xf>
    <xf numFmtId="3" fontId="86" fillId="0" borderId="366" xfId="0" applyNumberFormat="1" applyFont="1" applyBorder="1" applyAlignment="1">
      <alignment horizontal="center" vertical="center"/>
    </xf>
    <xf numFmtId="186" fontId="86" fillId="29" borderId="364" xfId="0" applyNumberFormat="1" applyFont="1" applyFill="1" applyBorder="1" applyAlignment="1">
      <alignment horizontal="center" vertical="center"/>
    </xf>
    <xf numFmtId="186" fontId="86" fillId="0" borderId="760" xfId="0" applyNumberFormat="1" applyFont="1" applyBorder="1" applyAlignment="1">
      <alignment horizontal="center" vertical="center"/>
    </xf>
    <xf numFmtId="0" fontId="86" fillId="0" borderId="763" xfId="0" applyFont="1" applyBorder="1">
      <alignment vertical="center"/>
    </xf>
    <xf numFmtId="0" fontId="86" fillId="0" borderId="6" xfId="0" applyFont="1" applyFill="1" applyBorder="1">
      <alignment vertical="center"/>
    </xf>
    <xf numFmtId="209" fontId="86" fillId="0" borderId="48" xfId="0" applyNumberFormat="1" applyFont="1" applyBorder="1" applyAlignment="1">
      <alignment horizontal="center" vertical="center"/>
    </xf>
    <xf numFmtId="0" fontId="86" fillId="0" borderId="507" xfId="0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186" fontId="86" fillId="0" borderId="43" xfId="0" applyNumberFormat="1" applyFont="1" applyBorder="1" applyAlignment="1">
      <alignment horizontal="center" vertical="center"/>
    </xf>
    <xf numFmtId="186" fontId="86" fillId="29" borderId="90" xfId="0" applyNumberFormat="1" applyFont="1" applyFill="1" applyBorder="1" applyAlignment="1">
      <alignment horizontal="center" vertical="center"/>
    </xf>
    <xf numFmtId="3" fontId="86" fillId="0" borderId="49" xfId="0" applyNumberFormat="1" applyFont="1" applyBorder="1" applyAlignment="1">
      <alignment horizontal="center" vertical="center"/>
    </xf>
    <xf numFmtId="186" fontId="86" fillId="29" borderId="6" xfId="0" applyNumberFormat="1" applyFont="1" applyFill="1" applyBorder="1" applyAlignment="1">
      <alignment horizontal="center" vertical="center"/>
    </xf>
    <xf numFmtId="186" fontId="86" fillId="0" borderId="230" xfId="0" applyNumberFormat="1" applyFont="1" applyBorder="1" applyAlignment="1">
      <alignment horizontal="center" vertical="center"/>
    </xf>
    <xf numFmtId="0" fontId="69" fillId="5" borderId="0" xfId="0" applyFont="1" applyFill="1">
      <alignment vertical="center"/>
    </xf>
    <xf numFmtId="0" fontId="66" fillId="5" borderId="0" xfId="0" quotePrefix="1" applyFont="1" applyFill="1">
      <alignment vertical="center"/>
    </xf>
    <xf numFmtId="0" fontId="66" fillId="5" borderId="0" xfId="0" quotePrefix="1" applyFont="1" applyFill="1" applyAlignment="1">
      <alignment horizontal="right" vertical="center"/>
    </xf>
    <xf numFmtId="0" fontId="96" fillId="5" borderId="0" xfId="0" applyFont="1" applyFill="1">
      <alignment vertical="center"/>
    </xf>
    <xf numFmtId="201" fontId="67" fillId="4" borderId="458" xfId="0" quotePrefix="1" applyNumberFormat="1" applyFont="1" applyFill="1" applyBorder="1" applyAlignment="1">
      <alignment horizontal="center" vertical="center"/>
    </xf>
    <xf numFmtId="201" fontId="67" fillId="4" borderId="725" xfId="0" quotePrefix="1" applyNumberFormat="1" applyFont="1" applyFill="1" applyBorder="1" applyAlignment="1">
      <alignment horizontal="center" vertical="center"/>
    </xf>
    <xf numFmtId="201" fontId="67" fillId="4" borderId="0" xfId="0" quotePrefix="1" applyNumberFormat="1" applyFont="1" applyFill="1" applyBorder="1" applyAlignment="1">
      <alignment horizontal="center" vertical="center"/>
    </xf>
    <xf numFmtId="0" fontId="67" fillId="6" borderId="0" xfId="0" applyFont="1" applyFill="1" applyAlignment="1">
      <alignment horizontal="center" vertical="center"/>
    </xf>
    <xf numFmtId="223" fontId="96" fillId="5" borderId="0" xfId="0" applyNumberFormat="1" applyFont="1" applyFill="1">
      <alignment vertical="center"/>
    </xf>
    <xf numFmtId="0" fontId="74" fillId="0" borderId="58" xfId="0" applyFont="1" applyBorder="1">
      <alignment vertical="center"/>
    </xf>
    <xf numFmtId="0" fontId="66" fillId="3" borderId="58" xfId="0" applyFont="1" applyFill="1" applyBorder="1">
      <alignment vertical="center"/>
    </xf>
    <xf numFmtId="223" fontId="66" fillId="3" borderId="764" xfId="0" applyNumberFormat="1" applyFont="1" applyFill="1" applyBorder="1">
      <alignment vertical="center"/>
    </xf>
    <xf numFmtId="223" fontId="66" fillId="3" borderId="765" xfId="0" applyNumberFormat="1" applyFont="1" applyFill="1" applyBorder="1">
      <alignment vertical="center"/>
    </xf>
    <xf numFmtId="223" fontId="66" fillId="3" borderId="1182" xfId="0" applyNumberFormat="1" applyFont="1" applyFill="1" applyBorder="1">
      <alignment vertical="center"/>
    </xf>
    <xf numFmtId="223" fontId="66" fillId="3" borderId="709" xfId="0" applyNumberFormat="1" applyFont="1" applyFill="1" applyBorder="1">
      <alignment vertical="center"/>
    </xf>
    <xf numFmtId="223" fontId="66" fillId="3" borderId="766" xfId="0" applyNumberFormat="1" applyFont="1" applyFill="1" applyBorder="1">
      <alignment vertical="center"/>
    </xf>
    <xf numFmtId="223" fontId="66" fillId="3" borderId="716" xfId="0" applyNumberFormat="1" applyFont="1" applyFill="1" applyBorder="1">
      <alignment vertical="center"/>
    </xf>
    <xf numFmtId="0" fontId="74" fillId="0" borderId="153" xfId="0" applyFont="1" applyBorder="1">
      <alignment vertical="center"/>
    </xf>
    <xf numFmtId="223" fontId="66" fillId="5" borderId="678" xfId="2" applyNumberFormat="1" applyFont="1" applyFill="1" applyBorder="1">
      <alignment vertical="center"/>
    </xf>
    <xf numFmtId="223" fontId="66" fillId="5" borderId="406" xfId="2" applyNumberFormat="1" applyFont="1" applyFill="1" applyBorder="1">
      <alignment vertical="center"/>
    </xf>
    <xf numFmtId="223" fontId="66" fillId="5" borderId="458" xfId="2" applyNumberFormat="1" applyFont="1" applyFill="1" applyBorder="1">
      <alignment vertical="center"/>
    </xf>
    <xf numFmtId="223" fontId="66" fillId="5" borderId="0" xfId="2" applyNumberFormat="1" applyFont="1" applyFill="1" applyBorder="1">
      <alignment vertical="center"/>
    </xf>
    <xf numFmtId="223" fontId="66" fillId="5" borderId="2" xfId="2" applyNumberFormat="1" applyFont="1" applyFill="1" applyBorder="1">
      <alignment vertical="center"/>
    </xf>
    <xf numFmtId="223" fontId="66" fillId="5" borderId="718" xfId="2" applyNumberFormat="1" applyFont="1" applyFill="1" applyBorder="1">
      <alignment vertical="center"/>
    </xf>
    <xf numFmtId="0" fontId="66" fillId="3" borderId="0" xfId="0" applyFont="1" applyFill="1">
      <alignment vertical="center"/>
    </xf>
    <xf numFmtId="223" fontId="66" fillId="3" borderId="678" xfId="2" applyNumberFormat="1" applyFont="1" applyFill="1" applyBorder="1">
      <alignment vertical="center"/>
    </xf>
    <xf numFmtId="223" fontId="66" fillId="3" borderId="406" xfId="2" applyNumberFormat="1" applyFont="1" applyFill="1" applyBorder="1">
      <alignment vertical="center"/>
    </xf>
    <xf numFmtId="223" fontId="66" fillId="3" borderId="458" xfId="2" applyNumberFormat="1" applyFont="1" applyFill="1" applyBorder="1">
      <alignment vertical="center"/>
    </xf>
    <xf numFmtId="223" fontId="66" fillId="3" borderId="0" xfId="2" applyNumberFormat="1" applyFont="1" applyFill="1" applyBorder="1">
      <alignment vertical="center"/>
    </xf>
    <xf numFmtId="223" fontId="66" fillId="3" borderId="2" xfId="2" applyNumberFormat="1" applyFont="1" applyFill="1" applyBorder="1">
      <alignment vertical="center"/>
    </xf>
    <xf numFmtId="223" fontId="66" fillId="3" borderId="718" xfId="2" applyNumberFormat="1" applyFont="1" applyFill="1" applyBorder="1">
      <alignment vertical="center"/>
    </xf>
    <xf numFmtId="0" fontId="66" fillId="0" borderId="153" xfId="0" applyFont="1" applyBorder="1">
      <alignment vertical="center"/>
    </xf>
    <xf numFmtId="0" fontId="74" fillId="0" borderId="155" xfId="0" applyFont="1" applyBorder="1">
      <alignment vertical="center"/>
    </xf>
    <xf numFmtId="0" fontId="66" fillId="3" borderId="916" xfId="0" applyFont="1" applyFill="1" applyBorder="1">
      <alignment vertical="center"/>
    </xf>
    <xf numFmtId="223" fontId="66" fillId="3" borderId="917" xfId="2" applyNumberFormat="1" applyFont="1" applyFill="1" applyBorder="1">
      <alignment vertical="center"/>
    </xf>
    <xf numFmtId="223" fontId="66" fillId="3" borderId="918" xfId="2" applyNumberFormat="1" applyFont="1" applyFill="1" applyBorder="1">
      <alignment vertical="center"/>
    </xf>
    <xf numFmtId="223" fontId="66" fillId="3" borderId="1209" xfId="2" applyNumberFormat="1" applyFont="1" applyFill="1" applyBorder="1">
      <alignment vertical="center"/>
    </xf>
    <xf numFmtId="223" fontId="66" fillId="3" borderId="916" xfId="2" applyNumberFormat="1" applyFont="1" applyFill="1" applyBorder="1">
      <alignment vertical="center"/>
    </xf>
    <xf numFmtId="223" fontId="66" fillId="3" borderId="919" xfId="2" applyNumberFormat="1" applyFont="1" applyFill="1" applyBorder="1">
      <alignment vertical="center"/>
    </xf>
    <xf numFmtId="223" fontId="66" fillId="3" borderId="915" xfId="2" applyNumberFormat="1" applyFont="1" applyFill="1" applyBorder="1">
      <alignment vertical="center"/>
    </xf>
    <xf numFmtId="0" fontId="74" fillId="0" borderId="156" xfId="0" applyFont="1" applyBorder="1">
      <alignment vertical="center"/>
    </xf>
    <xf numFmtId="0" fontId="66" fillId="0" borderId="63" xfId="0" applyFont="1" applyBorder="1">
      <alignment vertical="center"/>
    </xf>
    <xf numFmtId="0" fontId="66" fillId="3" borderId="725" xfId="0" applyFont="1" applyFill="1" applyBorder="1">
      <alignment vertical="center"/>
    </xf>
    <xf numFmtId="224" fontId="66" fillId="3" borderId="771" xfId="0" applyNumberFormat="1" applyFont="1" applyFill="1" applyBorder="1">
      <alignment vertical="center"/>
    </xf>
    <xf numFmtId="224" fontId="66" fillId="3" borderId="772" xfId="0" applyNumberFormat="1" applyFont="1" applyFill="1" applyBorder="1">
      <alignment vertical="center"/>
    </xf>
    <xf numFmtId="224" fontId="66" fillId="3" borderId="754" xfId="0" applyNumberFormat="1" applyFont="1" applyFill="1" applyBorder="1">
      <alignment vertical="center"/>
    </xf>
    <xf numFmtId="224" fontId="66" fillId="3" borderId="725" xfId="0" applyNumberFormat="1" applyFont="1" applyFill="1" applyBorder="1">
      <alignment vertical="center"/>
    </xf>
    <xf numFmtId="224" fontId="66" fillId="3" borderId="622" xfId="0" applyNumberFormat="1" applyFont="1" applyFill="1" applyBorder="1">
      <alignment vertical="center"/>
    </xf>
    <xf numFmtId="224" fontId="66" fillId="3" borderId="733" xfId="0" applyNumberFormat="1" applyFont="1" applyFill="1" applyBorder="1">
      <alignment vertical="center"/>
    </xf>
    <xf numFmtId="0" fontId="66" fillId="0" borderId="768" xfId="0" applyFont="1" applyBorder="1">
      <alignment vertical="center"/>
    </xf>
    <xf numFmtId="0" fontId="66" fillId="0" borderId="678" xfId="0" applyFont="1" applyBorder="1">
      <alignment vertical="center"/>
    </xf>
    <xf numFmtId="0" fontId="66" fillId="0" borderId="406" xfId="0" applyFont="1" applyBorder="1">
      <alignment vertical="center"/>
    </xf>
    <xf numFmtId="0" fontId="66" fillId="0" borderId="458" xfId="0" applyFont="1" applyBorder="1">
      <alignment vertical="center"/>
    </xf>
    <xf numFmtId="205" fontId="66" fillId="0" borderId="0" xfId="0" applyNumberFormat="1" applyFont="1" applyBorder="1">
      <alignment vertical="center"/>
    </xf>
    <xf numFmtId="205" fontId="66" fillId="0" borderId="622" xfId="0" applyNumberFormat="1" applyFont="1" applyBorder="1">
      <alignment vertical="center"/>
    </xf>
    <xf numFmtId="205" fontId="66" fillId="0" borderId="718" xfId="0" applyNumberFormat="1" applyFont="1" applyBorder="1">
      <alignment vertical="center"/>
    </xf>
    <xf numFmtId="207" fontId="66" fillId="0" borderId="58" xfId="0" applyNumberFormat="1" applyFont="1" applyBorder="1">
      <alignment vertical="center"/>
    </xf>
    <xf numFmtId="224" fontId="66" fillId="0" borderId="681" xfId="0" applyNumberFormat="1" applyFont="1" applyBorder="1">
      <alignment vertical="center"/>
    </xf>
    <xf numFmtId="224" fontId="66" fillId="0" borderId="654" xfId="0" applyNumberFormat="1" applyFont="1" applyBorder="1">
      <alignment vertical="center"/>
    </xf>
    <xf numFmtId="224" fontId="66" fillId="0" borderId="1210" xfId="0" applyNumberFormat="1" applyFont="1" applyBorder="1">
      <alignment vertical="center"/>
    </xf>
    <xf numFmtId="224" fontId="66" fillId="0" borderId="58" xfId="0" applyNumberFormat="1" applyFont="1" applyBorder="1">
      <alignment vertical="center"/>
    </xf>
    <xf numFmtId="224" fontId="66" fillId="0" borderId="2" xfId="0" applyNumberFormat="1" applyFont="1" applyBorder="1">
      <alignment vertical="center"/>
    </xf>
    <xf numFmtId="224" fontId="66" fillId="0" borderId="720" xfId="0" applyNumberFormat="1" applyFont="1" applyBorder="1">
      <alignment vertical="center"/>
    </xf>
    <xf numFmtId="0" fontId="74" fillId="0" borderId="0" xfId="0" applyFont="1" applyBorder="1">
      <alignment vertical="center"/>
    </xf>
    <xf numFmtId="224" fontId="66" fillId="3" borderId="678" xfId="0" applyNumberFormat="1" applyFont="1" applyFill="1" applyBorder="1">
      <alignment vertical="center"/>
    </xf>
    <xf numFmtId="224" fontId="66" fillId="3" borderId="406" xfId="0" applyNumberFormat="1" applyFont="1" applyFill="1" applyBorder="1">
      <alignment vertical="center"/>
    </xf>
    <xf numFmtId="224" fontId="66" fillId="3" borderId="458" xfId="0" applyNumberFormat="1" applyFont="1" applyFill="1" applyBorder="1">
      <alignment vertical="center"/>
    </xf>
    <xf numFmtId="224" fontId="66" fillId="3" borderId="0" xfId="0" applyNumberFormat="1" applyFont="1" applyFill="1" applyBorder="1">
      <alignment vertical="center"/>
    </xf>
    <xf numFmtId="224" fontId="66" fillId="3" borderId="2" xfId="0" applyNumberFormat="1" applyFont="1" applyFill="1" applyBorder="1">
      <alignment vertical="center"/>
    </xf>
    <xf numFmtId="224" fontId="66" fillId="3" borderId="718" xfId="0" applyNumberFormat="1" applyFont="1" applyFill="1" applyBorder="1">
      <alignment vertical="center"/>
    </xf>
    <xf numFmtId="0" fontId="74" fillId="0" borderId="76" xfId="0" applyFont="1" applyBorder="1">
      <alignment vertical="center"/>
    </xf>
    <xf numFmtId="0" fontId="66" fillId="0" borderId="76" xfId="0" applyFont="1" applyBorder="1">
      <alignment vertical="center"/>
    </xf>
    <xf numFmtId="223" fontId="66" fillId="0" borderId="682" xfId="2" applyNumberFormat="1" applyFont="1" applyFill="1" applyBorder="1">
      <alignment vertical="center"/>
    </xf>
    <xf numFmtId="223" fontId="66" fillId="0" borderId="657" xfId="2" applyNumberFormat="1" applyFont="1" applyFill="1" applyBorder="1">
      <alignment vertical="center"/>
    </xf>
    <xf numFmtId="223" fontId="66" fillId="0" borderId="469" xfId="2" applyNumberFormat="1" applyFont="1" applyFill="1" applyBorder="1">
      <alignment vertical="center"/>
    </xf>
    <xf numFmtId="223" fontId="66" fillId="0" borderId="76" xfId="2" applyNumberFormat="1" applyFont="1" applyFill="1" applyBorder="1">
      <alignment vertical="center"/>
    </xf>
    <xf numFmtId="223" fontId="66" fillId="0" borderId="78" xfId="2" applyNumberFormat="1" applyFont="1" applyFill="1" applyBorder="1">
      <alignment vertical="center"/>
    </xf>
    <xf numFmtId="223" fontId="66" fillId="0" borderId="721" xfId="2" applyNumberFormat="1" applyFont="1" applyFill="1" applyBorder="1">
      <alignment vertical="center"/>
    </xf>
    <xf numFmtId="223" fontId="66" fillId="0" borderId="678" xfId="2" applyNumberFormat="1" applyFont="1" applyFill="1" applyBorder="1">
      <alignment vertical="center"/>
    </xf>
    <xf numFmtId="223" fontId="66" fillId="0" borderId="406" xfId="2" applyNumberFormat="1" applyFont="1" applyFill="1" applyBorder="1">
      <alignment vertical="center"/>
    </xf>
    <xf numFmtId="223" fontId="66" fillId="0" borderId="458" xfId="2" applyNumberFormat="1" applyFont="1" applyFill="1" applyBorder="1">
      <alignment vertical="center"/>
    </xf>
    <xf numFmtId="223" fontId="66" fillId="0" borderId="0" xfId="2" applyNumberFormat="1" applyFont="1" applyFill="1" applyBorder="1">
      <alignment vertical="center"/>
    </xf>
    <xf numFmtId="223" fontId="66" fillId="0" borderId="2" xfId="2" applyNumberFormat="1" applyFont="1" applyFill="1" applyBorder="1">
      <alignment vertical="center"/>
    </xf>
    <xf numFmtId="223" fontId="66" fillId="0" borderId="718" xfId="2" applyNumberFormat="1" applyFont="1" applyFill="1" applyBorder="1">
      <alignment vertical="center"/>
    </xf>
    <xf numFmtId="224" fontId="66" fillId="0" borderId="678" xfId="0" applyNumberFormat="1" applyFont="1" applyBorder="1">
      <alignment vertical="center"/>
    </xf>
    <xf numFmtId="224" fontId="66" fillId="0" borderId="406" xfId="0" applyNumberFormat="1" applyFont="1" applyBorder="1">
      <alignment vertical="center"/>
    </xf>
    <xf numFmtId="224" fontId="66" fillId="0" borderId="458" xfId="0" applyNumberFormat="1" applyFont="1" applyBorder="1">
      <alignment vertical="center"/>
    </xf>
    <xf numFmtId="224" fontId="66" fillId="0" borderId="0" xfId="0" applyNumberFormat="1" applyFont="1" applyBorder="1">
      <alignment vertical="center"/>
    </xf>
    <xf numFmtId="224" fontId="66" fillId="0" borderId="718" xfId="0" applyNumberFormat="1" applyFont="1" applyBorder="1">
      <alignment vertical="center"/>
    </xf>
    <xf numFmtId="0" fontId="74" fillId="0" borderId="119" xfId="0" applyFont="1" applyBorder="1">
      <alignment vertical="center"/>
    </xf>
    <xf numFmtId="0" fontId="66" fillId="3" borderId="119" xfId="0" applyFont="1" applyFill="1" applyBorder="1">
      <alignment vertical="center"/>
    </xf>
    <xf numFmtId="224" fontId="66" fillId="3" borderId="679" xfId="0" applyNumberFormat="1" applyFont="1" applyFill="1" applyBorder="1">
      <alignment vertical="center"/>
    </xf>
    <xf numFmtId="224" fontId="66" fillId="3" borderId="656" xfId="0" applyNumberFormat="1" applyFont="1" applyFill="1" applyBorder="1">
      <alignment vertical="center"/>
    </xf>
    <xf numFmtId="224" fontId="66" fillId="3" borderId="1184" xfId="0" applyNumberFormat="1" applyFont="1" applyFill="1" applyBorder="1">
      <alignment vertical="center"/>
    </xf>
    <xf numFmtId="224" fontId="66" fillId="3" borderId="119" xfId="0" applyNumberFormat="1" applyFont="1" applyFill="1" applyBorder="1">
      <alignment vertical="center"/>
    </xf>
    <xf numFmtId="224" fontId="66" fillId="3" borderId="122" xfId="0" applyNumberFormat="1" applyFont="1" applyFill="1" applyBorder="1">
      <alignment vertical="center"/>
    </xf>
    <xf numFmtId="224" fontId="66" fillId="3" borderId="722" xfId="0" applyNumberFormat="1" applyFont="1" applyFill="1" applyBorder="1">
      <alignment vertical="center"/>
    </xf>
    <xf numFmtId="41" fontId="66" fillId="0" borderId="458" xfId="2" applyFont="1" applyFill="1" applyBorder="1">
      <alignment vertical="center"/>
    </xf>
    <xf numFmtId="41" fontId="66" fillId="0" borderId="0" xfId="2" applyFont="1" applyFill="1" applyBorder="1">
      <alignment vertical="center"/>
    </xf>
    <xf numFmtId="0" fontId="66" fillId="3" borderId="63" xfId="0" applyFont="1" applyFill="1" applyBorder="1">
      <alignment vertical="center"/>
    </xf>
    <xf numFmtId="224" fontId="66" fillId="3" borderId="680" xfId="0" applyNumberFormat="1" applyFont="1" applyFill="1" applyBorder="1">
      <alignment vertical="center"/>
    </xf>
    <xf numFmtId="224" fontId="66" fillId="3" borderId="659" xfId="0" applyNumberFormat="1" applyFont="1" applyFill="1" applyBorder="1">
      <alignment vertical="center"/>
    </xf>
    <xf numFmtId="224" fontId="66" fillId="3" borderId="1186" xfId="0" applyNumberFormat="1" applyFont="1" applyFill="1" applyBorder="1">
      <alignment vertical="center"/>
    </xf>
    <xf numFmtId="224" fontId="66" fillId="3" borderId="63" xfId="0" applyNumberFormat="1" applyFont="1" applyFill="1" applyBorder="1">
      <alignment vertical="center"/>
    </xf>
    <xf numFmtId="224" fontId="66" fillId="3" borderId="719" xfId="0" applyNumberFormat="1" applyFont="1" applyFill="1" applyBorder="1">
      <alignment vertical="center"/>
    </xf>
    <xf numFmtId="205" fontId="66" fillId="0" borderId="623" xfId="0" applyNumberFormat="1" applyFont="1" applyBorder="1">
      <alignment vertical="center"/>
    </xf>
    <xf numFmtId="223" fontId="66" fillId="3" borderId="681" xfId="2" applyNumberFormat="1" applyFont="1" applyFill="1" applyBorder="1">
      <alignment vertical="center"/>
    </xf>
    <xf numFmtId="223" fontId="66" fillId="3" borderId="654" xfId="2" applyNumberFormat="1" applyFont="1" applyFill="1" applyBorder="1">
      <alignment vertical="center"/>
    </xf>
    <xf numFmtId="223" fontId="66" fillId="3" borderId="1210" xfId="2" applyNumberFormat="1" applyFont="1" applyFill="1" applyBorder="1">
      <alignment vertical="center"/>
    </xf>
    <xf numFmtId="223" fontId="66" fillId="3" borderId="58" xfId="2" applyNumberFormat="1" applyFont="1" applyFill="1" applyBorder="1">
      <alignment vertical="center"/>
    </xf>
    <xf numFmtId="223" fontId="66" fillId="3" borderId="720" xfId="2" applyNumberFormat="1" applyFont="1" applyFill="1" applyBorder="1">
      <alignment vertical="center"/>
    </xf>
    <xf numFmtId="207" fontId="66" fillId="0" borderId="0" xfId="0" applyNumberFormat="1" applyFont="1" applyBorder="1">
      <alignment vertical="center"/>
    </xf>
    <xf numFmtId="0" fontId="66" fillId="3" borderId="76" xfId="0" applyFont="1" applyFill="1" applyBorder="1">
      <alignment vertical="center"/>
    </xf>
    <xf numFmtId="223" fontId="66" fillId="3" borderId="682" xfId="2" applyNumberFormat="1" applyFont="1" applyFill="1" applyBorder="1">
      <alignment vertical="center"/>
    </xf>
    <xf numFmtId="223" fontId="66" fillId="3" borderId="657" xfId="2" applyNumberFormat="1" applyFont="1" applyFill="1" applyBorder="1">
      <alignment vertical="center"/>
    </xf>
    <xf numFmtId="223" fontId="66" fillId="3" borderId="469" xfId="2" applyNumberFormat="1" applyFont="1" applyFill="1" applyBorder="1">
      <alignment vertical="center"/>
    </xf>
    <xf numFmtId="223" fontId="66" fillId="3" borderId="76" xfId="2" applyNumberFormat="1" applyFont="1" applyFill="1" applyBorder="1">
      <alignment vertical="center"/>
    </xf>
    <xf numFmtId="223" fontId="66" fillId="3" borderId="78" xfId="2" applyNumberFormat="1" applyFont="1" applyFill="1" applyBorder="1">
      <alignment vertical="center"/>
    </xf>
    <xf numFmtId="223" fontId="66" fillId="3" borderId="721" xfId="2" applyNumberFormat="1" applyFont="1" applyFill="1" applyBorder="1">
      <alignment vertical="center"/>
    </xf>
    <xf numFmtId="225" fontId="66" fillId="3" borderId="682" xfId="2" applyNumberFormat="1" applyFont="1" applyFill="1" applyBorder="1">
      <alignment vertical="center"/>
    </xf>
    <xf numFmtId="225" fontId="66" fillId="3" borderId="657" xfId="2" applyNumberFormat="1" applyFont="1" applyFill="1" applyBorder="1">
      <alignment vertical="center"/>
    </xf>
    <xf numFmtId="225" fontId="66" fillId="3" borderId="469" xfId="2" applyNumberFormat="1" applyFont="1" applyFill="1" applyBorder="1">
      <alignment vertical="center"/>
    </xf>
    <xf numFmtId="225" fontId="66" fillId="3" borderId="76" xfId="2" applyNumberFormat="1" applyFont="1" applyFill="1" applyBorder="1">
      <alignment vertical="center"/>
    </xf>
    <xf numFmtId="225" fontId="66" fillId="3" borderId="78" xfId="2" applyNumberFormat="1" applyFont="1" applyFill="1" applyBorder="1">
      <alignment vertical="center"/>
    </xf>
    <xf numFmtId="225" fontId="66" fillId="3" borderId="721" xfId="2" applyNumberFormat="1" applyFont="1" applyFill="1" applyBorder="1">
      <alignment vertical="center"/>
    </xf>
    <xf numFmtId="225" fontId="66" fillId="0" borderId="678" xfId="2" applyNumberFormat="1" applyFont="1" applyFill="1" applyBorder="1">
      <alignment vertical="center"/>
    </xf>
    <xf numFmtId="225" fontId="66" fillId="0" borderId="406" xfId="2" applyNumberFormat="1" applyFont="1" applyFill="1" applyBorder="1">
      <alignment vertical="center"/>
    </xf>
    <xf numFmtId="225" fontId="66" fillId="0" borderId="458" xfId="2" applyNumberFormat="1" applyFont="1" applyFill="1" applyBorder="1">
      <alignment vertical="center"/>
    </xf>
    <xf numFmtId="225" fontId="66" fillId="0" borderId="0" xfId="2" applyNumberFormat="1" applyFont="1" applyFill="1" applyBorder="1">
      <alignment vertical="center"/>
    </xf>
    <xf numFmtId="225" fontId="66" fillId="0" borderId="2" xfId="2" applyNumberFormat="1" applyFont="1" applyFill="1" applyBorder="1">
      <alignment vertical="center"/>
    </xf>
    <xf numFmtId="225" fontId="66" fillId="0" borderId="718" xfId="2" applyNumberFormat="1" applyFont="1" applyFill="1" applyBorder="1">
      <alignment vertical="center"/>
    </xf>
    <xf numFmtId="225" fontId="66" fillId="0" borderId="680" xfId="2" applyNumberFormat="1" applyFont="1" applyFill="1" applyBorder="1">
      <alignment vertical="center"/>
    </xf>
    <xf numFmtId="225" fontId="66" fillId="0" borderId="659" xfId="2" applyNumberFormat="1" applyFont="1" applyFill="1" applyBorder="1">
      <alignment vertical="center"/>
    </xf>
    <xf numFmtId="225" fontId="66" fillId="0" borderId="1186" xfId="2" applyNumberFormat="1" applyFont="1" applyFill="1" applyBorder="1">
      <alignment vertical="center"/>
    </xf>
    <xf numFmtId="225" fontId="66" fillId="0" borderId="63" xfId="2" applyNumberFormat="1" applyFont="1" applyFill="1" applyBorder="1">
      <alignment vertical="center"/>
    </xf>
    <xf numFmtId="225" fontId="66" fillId="0" borderId="63" xfId="2" applyNumberFormat="1" applyFont="1" applyFill="1" applyBorder="1" applyAlignment="1">
      <alignment horizontal="right" vertical="center"/>
    </xf>
    <xf numFmtId="225" fontId="66" fillId="0" borderId="622" xfId="2" applyNumberFormat="1" applyFont="1" applyFill="1" applyBorder="1">
      <alignment vertical="center"/>
    </xf>
    <xf numFmtId="225" fontId="66" fillId="0" borderId="719" xfId="2" applyNumberFormat="1" applyFont="1" applyFill="1" applyBorder="1" applyAlignment="1">
      <alignment horizontal="right" vertical="center"/>
    </xf>
    <xf numFmtId="0" fontId="66" fillId="0" borderId="58" xfId="0" applyFont="1" applyBorder="1">
      <alignment vertical="center"/>
    </xf>
    <xf numFmtId="223" fontId="66" fillId="0" borderId="681" xfId="2" applyNumberFormat="1" applyFont="1" applyFill="1" applyBorder="1">
      <alignment vertical="center"/>
    </xf>
    <xf numFmtId="223" fontId="66" fillId="0" borderId="654" xfId="2" applyNumberFormat="1" applyFont="1" applyFill="1" applyBorder="1">
      <alignment vertical="center"/>
    </xf>
    <xf numFmtId="223" fontId="66" fillId="0" borderId="1210" xfId="2" applyNumberFormat="1" applyFont="1" applyFill="1" applyBorder="1">
      <alignment vertical="center"/>
    </xf>
    <xf numFmtId="223" fontId="66" fillId="0" borderId="58" xfId="2" applyNumberFormat="1" applyFont="1" applyFill="1" applyBorder="1">
      <alignment vertical="center"/>
    </xf>
    <xf numFmtId="223" fontId="66" fillId="0" borderId="720" xfId="2" applyNumberFormat="1" applyFont="1" applyFill="1" applyBorder="1">
      <alignment vertical="center"/>
    </xf>
    <xf numFmtId="0" fontId="66" fillId="0" borderId="725" xfId="0" applyFont="1" applyBorder="1">
      <alignment vertical="center"/>
    </xf>
    <xf numFmtId="0" fontId="86" fillId="5" borderId="0" xfId="0" applyFont="1" applyFill="1">
      <alignment vertical="center"/>
    </xf>
    <xf numFmtId="0" fontId="83" fillId="0" borderId="0" xfId="0" applyFont="1">
      <alignment vertical="center"/>
    </xf>
    <xf numFmtId="0" fontId="69" fillId="5" borderId="1124" xfId="0" applyFont="1" applyFill="1" applyBorder="1" applyAlignment="1">
      <alignment horizontal="center" vertical="center"/>
    </xf>
    <xf numFmtId="0" fontId="79" fillId="5" borderId="0" xfId="0" quotePrefix="1" applyFont="1" applyFill="1" applyBorder="1" applyAlignment="1">
      <alignment horizontal="right" vertical="center"/>
    </xf>
    <xf numFmtId="0" fontId="74" fillId="4" borderId="649" xfId="0" quotePrefix="1" applyFont="1" applyFill="1" applyBorder="1" applyAlignment="1">
      <alignment horizontal="center" vertical="center"/>
    </xf>
    <xf numFmtId="0" fontId="67" fillId="4" borderId="507" xfId="0" quotePrefix="1" applyFont="1" applyFill="1" applyBorder="1" applyAlignment="1">
      <alignment horizontal="center" vertical="center"/>
    </xf>
    <xf numFmtId="0" fontId="67" fillId="4" borderId="6" xfId="0" quotePrefix="1" applyFont="1" applyFill="1" applyBorder="1" applyAlignment="1">
      <alignment horizontal="center" vertical="center"/>
    </xf>
    <xf numFmtId="0" fontId="67" fillId="14" borderId="0" xfId="0" quotePrefix="1" applyFont="1" applyFill="1" applyBorder="1" applyAlignment="1">
      <alignment horizontal="center" vertical="center"/>
    </xf>
    <xf numFmtId="0" fontId="67" fillId="6" borderId="6" xfId="0" applyFont="1" applyFill="1" applyBorder="1" applyAlignment="1">
      <alignment horizontal="center" vertical="center"/>
    </xf>
    <xf numFmtId="0" fontId="67" fillId="10" borderId="43" xfId="0" applyFont="1" applyFill="1" applyBorder="1" applyAlignment="1">
      <alignment horizontal="center" vertical="center"/>
    </xf>
    <xf numFmtId="0" fontId="67" fillId="10" borderId="44" xfId="0" applyFont="1" applyFill="1" applyBorder="1" applyAlignment="1">
      <alignment horizontal="center" vertical="center"/>
    </xf>
    <xf numFmtId="192" fontId="66" fillId="11" borderId="9" xfId="2" applyNumberFormat="1" applyFont="1" applyFill="1" applyBorder="1" applyAlignment="1">
      <alignment horizontal="center" vertical="center"/>
    </xf>
    <xf numFmtId="192" fontId="66" fillId="11" borderId="671" xfId="2" applyNumberFormat="1" applyFont="1" applyFill="1" applyBorder="1" applyAlignment="1">
      <alignment horizontal="center" vertical="center"/>
    </xf>
    <xf numFmtId="192" fontId="66" fillId="11" borderId="4" xfId="2" applyNumberFormat="1" applyFont="1" applyFill="1" applyBorder="1" applyAlignment="1">
      <alignment horizontal="center" vertical="center"/>
    </xf>
    <xf numFmtId="192" fontId="66" fillId="11" borderId="87" xfId="2" applyNumberFormat="1" applyFont="1" applyFill="1" applyBorder="1" applyAlignment="1">
      <alignment horizontal="center" vertical="center"/>
    </xf>
    <xf numFmtId="192" fontId="66" fillId="11" borderId="5" xfId="2" applyNumberFormat="1" applyFont="1" applyFill="1" applyBorder="1" applyAlignment="1">
      <alignment horizontal="center" vertical="center"/>
    </xf>
    <xf numFmtId="192" fontId="66" fillId="11" borderId="45" xfId="2" applyNumberFormat="1" applyFont="1" applyFill="1" applyBorder="1" applyAlignment="1">
      <alignment horizontal="center" vertical="center"/>
    </xf>
    <xf numFmtId="192" fontId="66" fillId="11" borderId="224" xfId="2" applyNumberFormat="1" applyFont="1" applyFill="1" applyBorder="1" applyAlignment="1">
      <alignment horizontal="center" vertical="center"/>
    </xf>
    <xf numFmtId="203" fontId="66" fillId="0" borderId="0" xfId="0" applyNumberFormat="1" applyFont="1" applyAlignment="1">
      <alignment horizontal="center" vertical="center"/>
    </xf>
    <xf numFmtId="0" fontId="74" fillId="11" borderId="0" xfId="0" applyFont="1" applyFill="1" applyBorder="1">
      <alignment vertical="center"/>
    </xf>
    <xf numFmtId="192" fontId="66" fillId="11" borderId="11" xfId="2" applyNumberFormat="1" applyFont="1" applyFill="1" applyBorder="1" applyAlignment="1">
      <alignment horizontal="center" vertical="center"/>
    </xf>
    <xf numFmtId="192" fontId="66" fillId="11" borderId="485" xfId="2" applyNumberFormat="1" applyFont="1" applyFill="1" applyBorder="1" applyAlignment="1">
      <alignment horizontal="center" vertical="center"/>
    </xf>
    <xf numFmtId="192" fontId="66" fillId="11" borderId="0" xfId="2" applyNumberFormat="1" applyFont="1" applyFill="1" applyBorder="1" applyAlignment="1">
      <alignment horizontal="center" vertical="center"/>
    </xf>
    <xf numFmtId="192" fontId="66" fillId="11" borderId="86" xfId="2" applyNumberFormat="1" applyFont="1" applyFill="1" applyBorder="1" applyAlignment="1">
      <alignment horizontal="center" vertical="center"/>
    </xf>
    <xf numFmtId="192" fontId="66" fillId="11" borderId="2" xfId="2" applyNumberFormat="1" applyFont="1" applyFill="1" applyBorder="1" applyAlignment="1">
      <alignment horizontal="center" vertical="center"/>
    </xf>
    <xf numFmtId="192" fontId="66" fillId="11" borderId="46" xfId="2" applyNumberFormat="1" applyFont="1" applyFill="1" applyBorder="1" applyAlignment="1">
      <alignment horizontal="center" vertical="center"/>
    </xf>
    <xf numFmtId="192" fontId="66" fillId="11" borderId="225" xfId="2" applyNumberFormat="1" applyFont="1" applyFill="1" applyBorder="1" applyAlignment="1">
      <alignment horizontal="center" vertical="center"/>
    </xf>
    <xf numFmtId="0" fontId="78" fillId="11" borderId="0" xfId="0" applyFont="1" applyFill="1" applyBorder="1" applyAlignment="1">
      <alignment horizontal="center" vertical="center"/>
    </xf>
    <xf numFmtId="187" fontId="66" fillId="11" borderId="11" xfId="0" applyNumberFormat="1" applyFont="1" applyFill="1" applyBorder="1" applyAlignment="1">
      <alignment horizontal="center" vertical="center"/>
    </xf>
    <xf numFmtId="187" fontId="66" fillId="11" borderId="485" xfId="0" applyNumberFormat="1" applyFont="1" applyFill="1" applyBorder="1" applyAlignment="1">
      <alignment horizontal="center" vertical="center"/>
    </xf>
    <xf numFmtId="187" fontId="66" fillId="11" borderId="0" xfId="0" applyNumberFormat="1" applyFont="1" applyFill="1" applyBorder="1" applyAlignment="1">
      <alignment horizontal="center" vertical="center"/>
    </xf>
    <xf numFmtId="188" fontId="66" fillId="11" borderId="0" xfId="0" applyNumberFormat="1" applyFont="1" applyFill="1" applyBorder="1" applyAlignment="1">
      <alignment horizontal="center" vertical="center"/>
    </xf>
    <xf numFmtId="216" fontId="66" fillId="11" borderId="86" xfId="0" applyNumberFormat="1" applyFont="1" applyFill="1" applyBorder="1" applyAlignment="1">
      <alignment horizontal="center" vertical="center"/>
    </xf>
    <xf numFmtId="187" fontId="66" fillId="11" borderId="2" xfId="0" applyNumberFormat="1" applyFont="1" applyFill="1" applyBorder="1" applyAlignment="1">
      <alignment horizontal="center" vertical="center"/>
    </xf>
    <xf numFmtId="188" fontId="66" fillId="11" borderId="0" xfId="0" applyNumberFormat="1" applyFont="1" applyFill="1" applyAlignment="1">
      <alignment horizontal="center" vertical="center"/>
    </xf>
    <xf numFmtId="187" fontId="66" fillId="11" borderId="46" xfId="0" applyNumberFormat="1" applyFont="1" applyFill="1" applyBorder="1" applyAlignment="1">
      <alignment horizontal="center" vertical="center"/>
    </xf>
    <xf numFmtId="188" fontId="66" fillId="11" borderId="225" xfId="0" applyNumberFormat="1" applyFont="1" applyFill="1" applyBorder="1" applyAlignment="1">
      <alignment horizontal="center" vertical="center"/>
    </xf>
    <xf numFmtId="176" fontId="66" fillId="0" borderId="0" xfId="3" applyNumberFormat="1" applyFont="1" applyAlignment="1">
      <alignment horizontal="center" vertical="center"/>
    </xf>
    <xf numFmtId="0" fontId="74" fillId="3" borderId="159" xfId="0" applyFont="1" applyFill="1" applyBorder="1">
      <alignment vertical="center"/>
    </xf>
    <xf numFmtId="0" fontId="66" fillId="3" borderId="160" xfId="0" applyFont="1" applyFill="1" applyBorder="1">
      <alignment vertical="center"/>
    </xf>
    <xf numFmtId="187" fontId="66" fillId="3" borderId="161" xfId="0" applyNumberFormat="1" applyFont="1" applyFill="1" applyBorder="1" applyAlignment="1">
      <alignment horizontal="center" vertical="center"/>
    </xf>
    <xf numFmtId="187" fontId="66" fillId="3" borderId="1154" xfId="0" applyNumberFormat="1" applyFont="1" applyFill="1" applyBorder="1" applyAlignment="1">
      <alignment horizontal="center" vertical="center"/>
    </xf>
    <xf numFmtId="187" fontId="66" fillId="3" borderId="160" xfId="0" applyNumberFormat="1" applyFont="1" applyFill="1" applyBorder="1" applyAlignment="1">
      <alignment horizontal="center" vertical="center"/>
    </xf>
    <xf numFmtId="188" fontId="66" fillId="3" borderId="160" xfId="0" applyNumberFormat="1" applyFont="1" applyFill="1" applyBorder="1" applyAlignment="1">
      <alignment horizontal="center" vertical="center"/>
    </xf>
    <xf numFmtId="216" fontId="66" fillId="3" borderId="164" xfId="0" applyNumberFormat="1" applyFont="1" applyFill="1" applyBorder="1" applyAlignment="1">
      <alignment horizontal="center" vertical="center"/>
    </xf>
    <xf numFmtId="187" fontId="66" fillId="3" borderId="162" xfId="0" applyNumberFormat="1" applyFont="1" applyFill="1" applyBorder="1" applyAlignment="1">
      <alignment horizontal="center" vertical="center"/>
    </xf>
    <xf numFmtId="187" fontId="66" fillId="3" borderId="163" xfId="0" applyNumberFormat="1" applyFont="1" applyFill="1" applyBorder="1" applyAlignment="1">
      <alignment horizontal="center" vertical="center"/>
    </xf>
    <xf numFmtId="188" fontId="66" fillId="3" borderId="290" xfId="0" applyNumberFormat="1" applyFont="1" applyFill="1" applyBorder="1" applyAlignment="1">
      <alignment horizontal="center" vertical="center"/>
    </xf>
    <xf numFmtId="0" fontId="66" fillId="0" borderId="85" xfId="0" applyFont="1" applyBorder="1">
      <alignment vertical="center"/>
    </xf>
    <xf numFmtId="187" fontId="66" fillId="0" borderId="11" xfId="0" applyNumberFormat="1" applyFont="1" applyBorder="1" applyAlignment="1">
      <alignment horizontal="center" vertical="center"/>
    </xf>
    <xf numFmtId="187" fontId="66" fillId="0" borderId="485" xfId="0" applyNumberFormat="1" applyFont="1" applyBorder="1" applyAlignment="1">
      <alignment horizontal="center" vertical="center"/>
    </xf>
    <xf numFmtId="188" fontId="66" fillId="0" borderId="0" xfId="0" applyNumberFormat="1" applyFont="1" applyFill="1" applyBorder="1" applyAlignment="1">
      <alignment horizontal="center" vertical="center"/>
    </xf>
    <xf numFmtId="216" fontId="66" fillId="0" borderId="86" xfId="0" applyNumberFormat="1" applyFont="1" applyFill="1" applyBorder="1" applyAlignment="1">
      <alignment horizontal="center" vertical="center"/>
    </xf>
    <xf numFmtId="187" fontId="66" fillId="0" borderId="2" xfId="0" applyNumberFormat="1" applyFont="1" applyBorder="1" applyAlignment="1">
      <alignment horizontal="center" vertical="center"/>
    </xf>
    <xf numFmtId="188" fontId="66" fillId="0" borderId="0" xfId="0" applyNumberFormat="1" applyFont="1" applyAlignment="1">
      <alignment horizontal="center" vertical="center"/>
    </xf>
    <xf numFmtId="187" fontId="66" fillId="0" borderId="46" xfId="0" applyNumberFormat="1" applyFont="1" applyBorder="1" applyAlignment="1">
      <alignment horizontal="center" vertical="center"/>
    </xf>
    <xf numFmtId="188" fontId="66" fillId="0" borderId="225" xfId="0" applyNumberFormat="1" applyFont="1" applyBorder="1" applyAlignment="1">
      <alignment horizontal="center" vertical="center"/>
    </xf>
    <xf numFmtId="0" fontId="66" fillId="0" borderId="165" xfId="0" applyFont="1" applyBorder="1">
      <alignment vertical="center"/>
    </xf>
    <xf numFmtId="0" fontId="66" fillId="0" borderId="166" xfId="0" applyFont="1" applyFill="1" applyBorder="1">
      <alignment vertical="center"/>
    </xf>
    <xf numFmtId="187" fontId="66" fillId="0" borderId="167" xfId="0" applyNumberFormat="1" applyFont="1" applyBorder="1" applyAlignment="1">
      <alignment horizontal="center" vertical="center"/>
    </xf>
    <xf numFmtId="187" fontId="66" fillId="0" borderId="1155" xfId="0" applyNumberFormat="1" applyFont="1" applyBorder="1" applyAlignment="1">
      <alignment horizontal="center" vertical="center"/>
    </xf>
    <xf numFmtId="187" fontId="66" fillId="0" borderId="166" xfId="0" applyNumberFormat="1" applyFont="1" applyBorder="1" applyAlignment="1">
      <alignment horizontal="center" vertical="center"/>
    </xf>
    <xf numFmtId="188" fontId="66" fillId="0" borderId="166" xfId="0" applyNumberFormat="1" applyFont="1" applyFill="1" applyBorder="1" applyAlignment="1">
      <alignment horizontal="center" vertical="center"/>
    </xf>
    <xf numFmtId="216" fontId="66" fillId="0" borderId="170" xfId="0" applyNumberFormat="1" applyFont="1" applyFill="1" applyBorder="1" applyAlignment="1">
      <alignment horizontal="center" vertical="center"/>
    </xf>
    <xf numFmtId="187" fontId="66" fillId="0" borderId="168" xfId="0" applyNumberFormat="1" applyFont="1" applyBorder="1" applyAlignment="1">
      <alignment horizontal="center" vertical="center"/>
    </xf>
    <xf numFmtId="188" fontId="66" fillId="0" borderId="166" xfId="0" applyNumberFormat="1" applyFont="1" applyBorder="1" applyAlignment="1">
      <alignment horizontal="center" vertical="center"/>
    </xf>
    <xf numFmtId="187" fontId="66" fillId="0" borderId="169" xfId="0" applyNumberFormat="1" applyFont="1" applyBorder="1" applyAlignment="1">
      <alignment horizontal="center" vertical="center"/>
    </xf>
    <xf numFmtId="188" fontId="66" fillId="0" borderId="291" xfId="0" applyNumberFormat="1" applyFont="1" applyBorder="1" applyAlignment="1">
      <alignment horizontal="center" vertical="center"/>
    </xf>
    <xf numFmtId="0" fontId="74" fillId="3" borderId="0" xfId="0" applyFont="1" applyFill="1" applyBorder="1">
      <alignment vertical="center"/>
    </xf>
    <xf numFmtId="187" fontId="66" fillId="3" borderId="11" xfId="0" applyNumberFormat="1" applyFont="1" applyFill="1" applyBorder="1" applyAlignment="1">
      <alignment horizontal="center" vertical="center"/>
    </xf>
    <xf numFmtId="187" fontId="66" fillId="3" borderId="485" xfId="0" applyNumberFormat="1" applyFont="1" applyFill="1" applyBorder="1" applyAlignment="1">
      <alignment horizontal="center" vertical="center"/>
    </xf>
    <xf numFmtId="187" fontId="66" fillId="3" borderId="0" xfId="0" applyNumberFormat="1" applyFont="1" applyFill="1" applyBorder="1" applyAlignment="1">
      <alignment horizontal="center" vertical="center"/>
    </xf>
    <xf numFmtId="188" fontId="66" fillId="3" borderId="0" xfId="0" applyNumberFormat="1" applyFont="1" applyFill="1" applyBorder="1" applyAlignment="1">
      <alignment horizontal="center" vertical="center"/>
    </xf>
    <xf numFmtId="216" fontId="66" fillId="3" borderId="86" xfId="0" applyNumberFormat="1" applyFont="1" applyFill="1" applyBorder="1" applyAlignment="1">
      <alignment horizontal="center" vertical="center"/>
    </xf>
    <xf numFmtId="187" fontId="66" fillId="3" borderId="2" xfId="0" applyNumberFormat="1" applyFont="1" applyFill="1" applyBorder="1" applyAlignment="1">
      <alignment horizontal="center" vertical="center"/>
    </xf>
    <xf numFmtId="188" fontId="66" fillId="3" borderId="0" xfId="0" applyNumberFormat="1" applyFont="1" applyFill="1" applyAlignment="1">
      <alignment horizontal="center" vertical="center"/>
    </xf>
    <xf numFmtId="187" fontId="66" fillId="3" borderId="46" xfId="0" applyNumberFormat="1" applyFont="1" applyFill="1" applyBorder="1" applyAlignment="1">
      <alignment horizontal="center" vertical="center"/>
    </xf>
    <xf numFmtId="188" fontId="66" fillId="3" borderId="225" xfId="0" applyNumberFormat="1" applyFont="1" applyFill="1" applyBorder="1" applyAlignment="1">
      <alignment horizontal="center" vertical="center"/>
    </xf>
    <xf numFmtId="187" fontId="66" fillId="14" borderId="0" xfId="0" applyNumberFormat="1" applyFont="1" applyFill="1" applyBorder="1" applyAlignment="1">
      <alignment horizontal="center" vertical="center"/>
    </xf>
    <xf numFmtId="188" fontId="66" fillId="14" borderId="0" xfId="0" applyNumberFormat="1" applyFont="1" applyFill="1" applyBorder="1" applyAlignment="1">
      <alignment horizontal="center" vertical="center"/>
    </xf>
    <xf numFmtId="216" fontId="66" fillId="14" borderId="86" xfId="0" applyNumberFormat="1" applyFont="1" applyFill="1" applyBorder="1" applyAlignment="1">
      <alignment horizontal="center" vertical="center"/>
    </xf>
    <xf numFmtId="187" fontId="66" fillId="14" borderId="2" xfId="0" applyNumberFormat="1" applyFont="1" applyFill="1" applyBorder="1" applyAlignment="1">
      <alignment horizontal="center" vertical="center"/>
    </xf>
    <xf numFmtId="188" fontId="66" fillId="14" borderId="0" xfId="0" applyNumberFormat="1" applyFont="1" applyFill="1" applyAlignment="1">
      <alignment horizontal="center" vertical="center"/>
    </xf>
    <xf numFmtId="187" fontId="66" fillId="14" borderId="46" xfId="0" applyNumberFormat="1" applyFont="1" applyFill="1" applyBorder="1" applyAlignment="1">
      <alignment horizontal="center" vertical="center"/>
    </xf>
    <xf numFmtId="188" fontId="66" fillId="14" borderId="225" xfId="0" applyNumberFormat="1" applyFont="1" applyFill="1" applyBorder="1" applyAlignment="1">
      <alignment horizontal="center" vertical="center"/>
    </xf>
    <xf numFmtId="187" fontId="66" fillId="2" borderId="144" xfId="0" applyNumberFormat="1" applyFont="1" applyFill="1" applyBorder="1" applyAlignment="1">
      <alignment horizontal="center" vertical="center"/>
    </xf>
    <xf numFmtId="187" fontId="66" fillId="2" borderId="1156" xfId="0" applyNumberFormat="1" applyFont="1" applyFill="1" applyBorder="1" applyAlignment="1">
      <alignment horizontal="center" vertical="center"/>
    </xf>
    <xf numFmtId="187" fontId="66" fillId="2" borderId="143" xfId="0" applyNumberFormat="1" applyFont="1" applyFill="1" applyBorder="1" applyAlignment="1">
      <alignment horizontal="center" vertical="center"/>
    </xf>
    <xf numFmtId="188" fontId="66" fillId="2" borderId="143" xfId="0" applyNumberFormat="1" applyFont="1" applyFill="1" applyBorder="1" applyAlignment="1">
      <alignment horizontal="center" vertical="center"/>
    </xf>
    <xf numFmtId="216" fontId="66" fillId="2" borderId="147" xfId="0" applyNumberFormat="1" applyFont="1" applyFill="1" applyBorder="1" applyAlignment="1">
      <alignment horizontal="center" vertical="center"/>
    </xf>
    <xf numFmtId="187" fontId="66" fillId="2" borderId="145" xfId="0" applyNumberFormat="1" applyFont="1" applyFill="1" applyBorder="1" applyAlignment="1">
      <alignment horizontal="center" vertical="center"/>
    </xf>
    <xf numFmtId="187" fontId="66" fillId="2" borderId="146" xfId="0" applyNumberFormat="1" applyFont="1" applyFill="1" applyBorder="1" applyAlignment="1">
      <alignment horizontal="center" vertical="center"/>
    </xf>
    <xf numFmtId="188" fontId="66" fillId="2" borderId="265" xfId="0" applyNumberFormat="1" applyFont="1" applyFill="1" applyBorder="1" applyAlignment="1">
      <alignment horizontal="center" vertical="center"/>
    </xf>
    <xf numFmtId="200" fontId="66" fillId="5" borderId="48" xfId="0" applyNumberFormat="1" applyFont="1" applyFill="1" applyBorder="1" applyAlignment="1">
      <alignment horizontal="center" vertical="center"/>
    </xf>
    <xf numFmtId="200" fontId="66" fillId="5" borderId="507" xfId="0" applyNumberFormat="1" applyFont="1" applyFill="1" applyBorder="1" applyAlignment="1">
      <alignment horizontal="center" vertical="center"/>
    </xf>
    <xf numFmtId="200" fontId="66" fillId="5" borderId="6" xfId="0" applyNumberFormat="1" applyFont="1" applyFill="1" applyBorder="1" applyAlignment="1">
      <alignment horizontal="center" vertical="center"/>
    </xf>
    <xf numFmtId="188" fontId="66" fillId="5" borderId="6" xfId="0" applyNumberFormat="1" applyFont="1" applyFill="1" applyBorder="1" applyAlignment="1">
      <alignment horizontal="center" vertical="center"/>
    </xf>
    <xf numFmtId="188" fontId="66" fillId="5" borderId="90" xfId="0" applyNumberFormat="1" applyFont="1" applyFill="1" applyBorder="1" applyAlignment="1">
      <alignment horizontal="center" vertical="center"/>
    </xf>
    <xf numFmtId="200" fontId="66" fillId="5" borderId="49" xfId="0" applyNumberFormat="1" applyFont="1" applyFill="1" applyBorder="1" applyAlignment="1">
      <alignment horizontal="center" vertical="center"/>
    </xf>
    <xf numFmtId="200" fontId="66" fillId="5" borderId="43" xfId="0" applyNumberFormat="1" applyFont="1" applyFill="1" applyBorder="1" applyAlignment="1">
      <alignment horizontal="center" vertical="center"/>
    </xf>
    <xf numFmtId="188" fontId="66" fillId="5" borderId="230" xfId="0" applyNumberFormat="1" applyFont="1" applyFill="1" applyBorder="1" applyAlignment="1">
      <alignment horizontal="center" vertical="center"/>
    </xf>
    <xf numFmtId="200" fontId="66" fillId="0" borderId="0" xfId="0" applyNumberFormat="1" applyFont="1" applyAlignment="1">
      <alignment horizontal="center" vertical="center"/>
    </xf>
    <xf numFmtId="0" fontId="66" fillId="0" borderId="36" xfId="0" applyFont="1" applyBorder="1">
      <alignment vertical="center"/>
    </xf>
    <xf numFmtId="0" fontId="74" fillId="8" borderId="73" xfId="0" applyFont="1" applyFill="1" applyBorder="1">
      <alignment vertical="center"/>
    </xf>
    <xf numFmtId="0" fontId="74" fillId="8" borderId="34" xfId="0" applyFont="1" applyFill="1" applyBorder="1">
      <alignment vertical="center"/>
    </xf>
    <xf numFmtId="231" fontId="66" fillId="8" borderId="50" xfId="2" applyNumberFormat="1" applyFont="1" applyFill="1" applyBorder="1" applyAlignment="1">
      <alignment horizontal="center" vertical="center"/>
    </xf>
    <xf numFmtId="231" fontId="66" fillId="8" borderId="532" xfId="2" applyNumberFormat="1" applyFont="1" applyFill="1" applyBorder="1" applyAlignment="1">
      <alignment horizontal="center" vertical="center"/>
    </xf>
    <xf numFmtId="231" fontId="66" fillId="8" borderId="34" xfId="2" applyNumberFormat="1" applyFont="1" applyFill="1" applyBorder="1" applyAlignment="1">
      <alignment horizontal="center" vertical="center"/>
    </xf>
    <xf numFmtId="231" fontId="66" fillId="8" borderId="91" xfId="2" applyNumberFormat="1" applyFont="1" applyFill="1" applyBorder="1" applyAlignment="1">
      <alignment horizontal="center" vertical="center"/>
    </xf>
    <xf numFmtId="232" fontId="66" fillId="8" borderId="35" xfId="2" applyNumberFormat="1" applyFont="1" applyFill="1" applyBorder="1" applyAlignment="1">
      <alignment horizontal="center" vertical="center"/>
    </xf>
    <xf numFmtId="232" fontId="66" fillId="8" borderId="34" xfId="2" applyNumberFormat="1" applyFont="1" applyFill="1" applyBorder="1" applyAlignment="1">
      <alignment horizontal="center" vertical="center"/>
    </xf>
    <xf numFmtId="232" fontId="66" fillId="8" borderId="51" xfId="2" applyNumberFormat="1" applyFont="1" applyFill="1" applyBorder="1" applyAlignment="1">
      <alignment horizontal="center" vertical="center"/>
    </xf>
    <xf numFmtId="232" fontId="66" fillId="8" borderId="184" xfId="2" applyNumberFormat="1" applyFont="1" applyFill="1" applyBorder="1" applyAlignment="1">
      <alignment horizontal="center" vertical="center"/>
    </xf>
    <xf numFmtId="210" fontId="66" fillId="0" borderId="0" xfId="0" applyNumberFormat="1" applyFont="1" applyAlignment="1">
      <alignment horizontal="center" vertical="center"/>
    </xf>
    <xf numFmtId="0" fontId="74" fillId="8" borderId="74" xfId="0" applyFont="1" applyFill="1" applyBorder="1">
      <alignment vertical="center"/>
    </xf>
    <xf numFmtId="0" fontId="74" fillId="8" borderId="0" xfId="0" applyFont="1" applyFill="1" applyBorder="1">
      <alignment vertical="center"/>
    </xf>
    <xf numFmtId="231" fontId="66" fillId="8" borderId="11" xfId="2" applyNumberFormat="1" applyFont="1" applyFill="1" applyBorder="1" applyAlignment="1">
      <alignment horizontal="center" vertical="center"/>
    </xf>
    <xf numFmtId="231" fontId="66" fillId="8" borderId="485" xfId="2" applyNumberFormat="1" applyFont="1" applyFill="1" applyBorder="1" applyAlignment="1">
      <alignment horizontal="center" vertical="center"/>
    </xf>
    <xf numFmtId="231" fontId="66" fillId="8" borderId="0" xfId="2" applyNumberFormat="1" applyFont="1" applyFill="1" applyBorder="1" applyAlignment="1">
      <alignment horizontal="center" vertical="center"/>
    </xf>
    <xf numFmtId="232" fontId="66" fillId="8" borderId="0" xfId="2" applyNumberFormat="1" applyFont="1" applyFill="1" applyBorder="1" applyAlignment="1">
      <alignment horizontal="center" vertical="center"/>
    </xf>
    <xf numFmtId="231" fontId="66" fillId="8" borderId="86" xfId="2" applyNumberFormat="1" applyFont="1" applyFill="1" applyBorder="1" applyAlignment="1">
      <alignment horizontal="center" vertical="center"/>
    </xf>
    <xf numFmtId="232" fontId="66" fillId="8" borderId="2" xfId="2" applyNumberFormat="1" applyFont="1" applyFill="1" applyBorder="1" applyAlignment="1">
      <alignment horizontal="center" vertical="center"/>
    </xf>
    <xf numFmtId="232" fontId="66" fillId="8" borderId="46" xfId="2" applyNumberFormat="1" applyFont="1" applyFill="1" applyBorder="1" applyAlignment="1">
      <alignment horizontal="center" vertical="center"/>
    </xf>
    <xf numFmtId="232" fontId="66" fillId="8" borderId="271" xfId="2" applyNumberFormat="1" applyFont="1" applyFill="1" applyBorder="1" applyAlignment="1">
      <alignment horizontal="center" vertical="center"/>
    </xf>
    <xf numFmtId="0" fontId="78" fillId="8" borderId="74" xfId="0" applyFont="1" applyFill="1" applyBorder="1">
      <alignment vertical="center"/>
    </xf>
    <xf numFmtId="0" fontId="78" fillId="8" borderId="0" xfId="0" applyFont="1" applyFill="1" applyBorder="1">
      <alignment vertical="center"/>
    </xf>
    <xf numFmtId="187" fontId="66" fillId="8" borderId="11" xfId="0" applyNumberFormat="1" applyFont="1" applyFill="1" applyBorder="1" applyAlignment="1">
      <alignment horizontal="center" vertical="center"/>
    </xf>
    <xf numFmtId="187" fontId="66" fillId="8" borderId="485" xfId="0" applyNumberFormat="1" applyFont="1" applyFill="1" applyBorder="1" applyAlignment="1">
      <alignment horizontal="center" vertical="center"/>
    </xf>
    <xf numFmtId="187" fontId="66" fillId="8" borderId="86" xfId="0" applyNumberFormat="1" applyFont="1" applyFill="1" applyBorder="1" applyAlignment="1">
      <alignment horizontal="center" vertical="center"/>
    </xf>
    <xf numFmtId="187" fontId="66" fillId="8" borderId="2" xfId="0" applyNumberFormat="1" applyFont="1" applyFill="1" applyBorder="1" applyAlignment="1">
      <alignment horizontal="center" vertical="center"/>
    </xf>
    <xf numFmtId="187" fontId="66" fillId="8" borderId="0" xfId="0" applyNumberFormat="1" applyFont="1" applyFill="1" applyAlignment="1">
      <alignment horizontal="center" vertical="center"/>
    </xf>
    <xf numFmtId="187" fontId="66" fillId="8" borderId="46" xfId="0" applyNumberFormat="1" applyFont="1" applyFill="1" applyBorder="1" applyAlignment="1">
      <alignment horizontal="center" vertical="center"/>
    </xf>
    <xf numFmtId="187" fontId="66" fillId="8" borderId="271" xfId="0" applyNumberFormat="1" applyFont="1" applyFill="1" applyBorder="1" applyAlignment="1">
      <alignment horizontal="center" vertical="center"/>
    </xf>
    <xf numFmtId="0" fontId="74" fillId="11" borderId="181" xfId="0" applyFont="1" applyFill="1" applyBorder="1">
      <alignment vertical="center"/>
    </xf>
    <xf numFmtId="0" fontId="66" fillId="11" borderId="171" xfId="0" applyFont="1" applyFill="1" applyBorder="1">
      <alignment vertical="center"/>
    </xf>
    <xf numFmtId="232" fontId="66" fillId="11" borderId="172" xfId="2" applyNumberFormat="1" applyFont="1" applyFill="1" applyBorder="1" applyAlignment="1">
      <alignment horizontal="center" vertical="center"/>
    </xf>
    <xf numFmtId="232" fontId="66" fillId="11" borderId="1157" xfId="2" applyNumberFormat="1" applyFont="1" applyFill="1" applyBorder="1" applyAlignment="1">
      <alignment horizontal="center" vertical="center"/>
    </xf>
    <xf numFmtId="232" fontId="66" fillId="11" borderId="171" xfId="2" applyNumberFormat="1" applyFont="1" applyFill="1" applyBorder="1" applyAlignment="1">
      <alignment horizontal="center" vertical="center"/>
    </xf>
    <xf numFmtId="232" fontId="66" fillId="11" borderId="175" xfId="2" applyNumberFormat="1" applyFont="1" applyFill="1" applyBorder="1" applyAlignment="1">
      <alignment horizontal="center" vertical="center"/>
    </xf>
    <xf numFmtId="232" fontId="66" fillId="11" borderId="173" xfId="2" applyNumberFormat="1" applyFont="1" applyFill="1" applyBorder="1" applyAlignment="1">
      <alignment horizontal="center" vertical="center"/>
    </xf>
    <xf numFmtId="232" fontId="66" fillId="11" borderId="174" xfId="2" applyNumberFormat="1" applyFont="1" applyFill="1" applyBorder="1" applyAlignment="1">
      <alignment horizontal="center" vertical="center"/>
    </xf>
    <xf numFmtId="232" fontId="66" fillId="11" borderId="292" xfId="2" applyNumberFormat="1" applyFont="1" applyFill="1" applyBorder="1" applyAlignment="1">
      <alignment horizontal="center" vertical="center"/>
    </xf>
    <xf numFmtId="0" fontId="66" fillId="0" borderId="74" xfId="0" applyFont="1" applyBorder="1">
      <alignment vertical="center"/>
    </xf>
    <xf numFmtId="217" fontId="66" fillId="0" borderId="11" xfId="2" applyNumberFormat="1" applyFont="1" applyFill="1" applyBorder="1" applyAlignment="1">
      <alignment horizontal="center" vertical="center"/>
    </xf>
    <xf numFmtId="217" fontId="66" fillId="0" borderId="485" xfId="2" applyNumberFormat="1" applyFont="1" applyFill="1" applyBorder="1" applyAlignment="1">
      <alignment horizontal="center" vertical="center"/>
    </xf>
    <xf numFmtId="217" fontId="66" fillId="0" borderId="0" xfId="2" applyNumberFormat="1" applyFont="1" applyFill="1" applyBorder="1" applyAlignment="1">
      <alignment horizontal="center" vertical="center"/>
    </xf>
    <xf numFmtId="217" fontId="66" fillId="0" borderId="86" xfId="2" applyNumberFormat="1" applyFont="1" applyFill="1" applyBorder="1" applyAlignment="1">
      <alignment horizontal="center" vertical="center"/>
    </xf>
    <xf numFmtId="217" fontId="66" fillId="0" borderId="2" xfId="2" applyNumberFormat="1" applyFont="1" applyFill="1" applyBorder="1" applyAlignment="1">
      <alignment horizontal="center" vertical="center"/>
    </xf>
    <xf numFmtId="217" fontId="66" fillId="0" borderId="46" xfId="2" applyNumberFormat="1" applyFont="1" applyFill="1" applyBorder="1" applyAlignment="1">
      <alignment horizontal="center" vertical="center"/>
    </xf>
    <xf numFmtId="217" fontId="66" fillId="0" borderId="271" xfId="2" applyNumberFormat="1" applyFont="1" applyFill="1" applyBorder="1" applyAlignment="1">
      <alignment horizontal="center" vertical="center"/>
    </xf>
    <xf numFmtId="0" fontId="86" fillId="0" borderId="74" xfId="0" applyFont="1" applyBorder="1">
      <alignment vertical="center"/>
    </xf>
    <xf numFmtId="217" fontId="86" fillId="0" borderId="11" xfId="2" applyNumberFormat="1" applyFont="1" applyFill="1" applyBorder="1" applyAlignment="1">
      <alignment horizontal="center" vertical="center"/>
    </xf>
    <xf numFmtId="217" fontId="86" fillId="0" borderId="485" xfId="2" applyNumberFormat="1" applyFont="1" applyFill="1" applyBorder="1" applyAlignment="1">
      <alignment horizontal="center" vertical="center"/>
    </xf>
    <xf numFmtId="217" fontId="86" fillId="0" borderId="0" xfId="2" applyNumberFormat="1" applyFont="1" applyFill="1" applyBorder="1" applyAlignment="1">
      <alignment horizontal="center" vertical="center"/>
    </xf>
    <xf numFmtId="217" fontId="86" fillId="0" borderId="86" xfId="2" applyNumberFormat="1" applyFont="1" applyFill="1" applyBorder="1" applyAlignment="1">
      <alignment horizontal="center" vertical="center"/>
    </xf>
    <xf numFmtId="217" fontId="86" fillId="0" borderId="2" xfId="2" applyNumberFormat="1" applyFont="1" applyFill="1" applyBorder="1" applyAlignment="1">
      <alignment horizontal="center" vertical="center"/>
    </xf>
    <xf numFmtId="217" fontId="86" fillId="0" borderId="46" xfId="2" applyNumberFormat="1" applyFont="1" applyFill="1" applyBorder="1" applyAlignment="1">
      <alignment horizontal="center" vertical="center"/>
    </xf>
    <xf numFmtId="217" fontId="86" fillId="0" borderId="271" xfId="2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182" xfId="0" applyFont="1" applyBorder="1">
      <alignment vertical="center"/>
    </xf>
    <xf numFmtId="0" fontId="86" fillId="0" borderId="176" xfId="0" applyFont="1" applyFill="1" applyBorder="1">
      <alignment vertical="center"/>
    </xf>
    <xf numFmtId="217" fontId="86" fillId="0" borderId="177" xfId="2" applyNumberFormat="1" applyFont="1" applyFill="1" applyBorder="1" applyAlignment="1">
      <alignment horizontal="center" vertical="center"/>
    </xf>
    <xf numFmtId="217" fontId="86" fillId="0" borderId="1158" xfId="2" applyNumberFormat="1" applyFont="1" applyFill="1" applyBorder="1" applyAlignment="1">
      <alignment horizontal="center" vertical="center"/>
    </xf>
    <xf numFmtId="217" fontId="86" fillId="0" borderId="176" xfId="2" applyNumberFormat="1" applyFont="1" applyFill="1" applyBorder="1" applyAlignment="1">
      <alignment horizontal="center" vertical="center"/>
    </xf>
    <xf numFmtId="217" fontId="86" fillId="0" borderId="180" xfId="2" applyNumberFormat="1" applyFont="1" applyFill="1" applyBorder="1" applyAlignment="1">
      <alignment horizontal="center" vertical="center"/>
    </xf>
    <xf numFmtId="217" fontId="86" fillId="0" borderId="178" xfId="2" applyNumberFormat="1" applyFont="1" applyFill="1" applyBorder="1" applyAlignment="1">
      <alignment horizontal="center" vertical="center"/>
    </xf>
    <xf numFmtId="217" fontId="86" fillId="0" borderId="179" xfId="2" applyNumberFormat="1" applyFont="1" applyFill="1" applyBorder="1" applyAlignment="1">
      <alignment horizontal="center" vertical="center"/>
    </xf>
    <xf numFmtId="217" fontId="86" fillId="0" borderId="293" xfId="2" applyNumberFormat="1" applyFont="1" applyFill="1" applyBorder="1" applyAlignment="1">
      <alignment horizontal="center" vertical="center"/>
    </xf>
    <xf numFmtId="0" fontId="88" fillId="11" borderId="74" xfId="0" applyFont="1" applyFill="1" applyBorder="1">
      <alignment vertical="center"/>
    </xf>
    <xf numFmtId="217" fontId="86" fillId="11" borderId="11" xfId="2" applyNumberFormat="1" applyFont="1" applyFill="1" applyBorder="1" applyAlignment="1">
      <alignment horizontal="center" vertical="center"/>
    </xf>
    <xf numFmtId="217" fontId="86" fillId="11" borderId="485" xfId="2" applyNumberFormat="1" applyFont="1" applyFill="1" applyBorder="1" applyAlignment="1">
      <alignment horizontal="center" vertical="center"/>
    </xf>
    <xf numFmtId="217" fontId="86" fillId="11" borderId="0" xfId="2" applyNumberFormat="1" applyFont="1" applyFill="1" applyBorder="1" applyAlignment="1">
      <alignment horizontal="center" vertical="center"/>
    </xf>
    <xf numFmtId="217" fontId="86" fillId="11" borderId="86" xfId="2" applyNumberFormat="1" applyFont="1" applyFill="1" applyBorder="1" applyAlignment="1">
      <alignment horizontal="center" vertical="center"/>
    </xf>
    <xf numFmtId="217" fontId="86" fillId="11" borderId="2" xfId="2" applyNumberFormat="1" applyFont="1" applyFill="1" applyBorder="1" applyAlignment="1">
      <alignment horizontal="center" vertical="center"/>
    </xf>
    <xf numFmtId="217" fontId="86" fillId="11" borderId="46" xfId="2" applyNumberFormat="1" applyFont="1" applyFill="1" applyBorder="1" applyAlignment="1">
      <alignment horizontal="center" vertical="center"/>
    </xf>
    <xf numFmtId="217" fontId="86" fillId="11" borderId="271" xfId="2" applyNumberFormat="1" applyFont="1" applyFill="1" applyBorder="1" applyAlignment="1">
      <alignment horizontal="center" vertical="center"/>
    </xf>
    <xf numFmtId="0" fontId="88" fillId="0" borderId="74" xfId="0" applyFont="1" applyBorder="1">
      <alignment vertical="center"/>
    </xf>
    <xf numFmtId="217" fontId="86" fillId="14" borderId="0" xfId="2" applyNumberFormat="1" applyFont="1" applyFill="1" applyBorder="1" applyAlignment="1">
      <alignment horizontal="center" vertical="center"/>
    </xf>
    <xf numFmtId="217" fontId="86" fillId="14" borderId="86" xfId="2" applyNumberFormat="1" applyFont="1" applyFill="1" applyBorder="1" applyAlignment="1">
      <alignment horizontal="center" vertical="center"/>
    </xf>
    <xf numFmtId="217" fontId="86" fillId="14" borderId="2" xfId="2" applyNumberFormat="1" applyFont="1" applyFill="1" applyBorder="1" applyAlignment="1">
      <alignment horizontal="center" vertical="center"/>
    </xf>
    <xf numFmtId="217" fontId="86" fillId="14" borderId="46" xfId="2" applyNumberFormat="1" applyFont="1" applyFill="1" applyBorder="1" applyAlignment="1">
      <alignment horizontal="center" vertical="center"/>
    </xf>
    <xf numFmtId="217" fontId="86" fillId="14" borderId="271" xfId="2" applyNumberFormat="1" applyFont="1" applyFill="1" applyBorder="1" applyAlignment="1">
      <alignment horizontal="center" vertical="center"/>
    </xf>
    <xf numFmtId="0" fontId="88" fillId="0" borderId="182" xfId="0" applyFont="1" applyBorder="1">
      <alignment vertical="center"/>
    </xf>
    <xf numFmtId="0" fontId="88" fillId="11" borderId="351" xfId="0" applyFont="1" applyFill="1" applyBorder="1" applyAlignment="1">
      <alignment horizontal="center" vertical="center"/>
    </xf>
    <xf numFmtId="0" fontId="88" fillId="5" borderId="12" xfId="0" applyFont="1" applyFill="1" applyBorder="1">
      <alignment vertical="center"/>
    </xf>
    <xf numFmtId="0" fontId="88" fillId="5" borderId="352" xfId="0" applyFont="1" applyFill="1" applyBorder="1">
      <alignment vertical="center"/>
    </xf>
    <xf numFmtId="217" fontId="86" fillId="0" borderId="52" xfId="2" applyNumberFormat="1" applyFont="1" applyFill="1" applyBorder="1" applyAlignment="1">
      <alignment horizontal="center" vertical="center"/>
    </xf>
    <xf numFmtId="217" fontId="86" fillId="0" borderId="1142" xfId="2" applyNumberFormat="1" applyFont="1" applyFill="1" applyBorder="1" applyAlignment="1">
      <alignment horizontal="center" vertical="center"/>
    </xf>
    <xf numFmtId="217" fontId="86" fillId="0" borderId="36" xfId="2" applyNumberFormat="1" applyFont="1" applyFill="1" applyBorder="1" applyAlignment="1">
      <alignment horizontal="center" vertical="center"/>
    </xf>
    <xf numFmtId="217" fontId="86" fillId="0" borderId="92" xfId="2" applyNumberFormat="1" applyFont="1" applyFill="1" applyBorder="1" applyAlignment="1">
      <alignment horizontal="center" vertical="center"/>
    </xf>
    <xf numFmtId="217" fontId="86" fillId="0" borderId="53" xfId="2" applyNumberFormat="1" applyFont="1" applyFill="1" applyBorder="1" applyAlignment="1">
      <alignment horizontal="center" vertical="center"/>
    </xf>
    <xf numFmtId="217" fontId="86" fillId="0" borderId="54" xfId="2" applyNumberFormat="1" applyFont="1" applyFill="1" applyBorder="1" applyAlignment="1">
      <alignment horizontal="center" vertical="center"/>
    </xf>
    <xf numFmtId="217" fontId="86" fillId="0" borderId="273" xfId="2" applyNumberFormat="1" applyFont="1" applyFill="1" applyBorder="1" applyAlignment="1">
      <alignment horizontal="center" vertical="center"/>
    </xf>
    <xf numFmtId="0" fontId="88" fillId="9" borderId="152" xfId="0" applyFont="1" applyFill="1" applyBorder="1">
      <alignment vertical="center"/>
    </xf>
    <xf numFmtId="0" fontId="88" fillId="9" borderId="58" xfId="0" applyFont="1" applyFill="1" applyBorder="1">
      <alignment vertical="center"/>
    </xf>
    <xf numFmtId="192" fontId="86" fillId="9" borderId="59" xfId="2" applyNumberFormat="1" applyFont="1" applyFill="1" applyBorder="1" applyAlignment="1">
      <alignment horizontal="center" vertical="center"/>
    </xf>
    <xf numFmtId="192" fontId="86" fillId="9" borderId="58" xfId="2" applyNumberFormat="1" applyFont="1" applyFill="1" applyBorder="1" applyAlignment="1">
      <alignment horizontal="center" vertical="center"/>
    </xf>
    <xf numFmtId="192" fontId="86" fillId="9" borderId="94" xfId="2" applyNumberFormat="1" applyFont="1" applyFill="1" applyBorder="1" applyAlignment="1">
      <alignment horizontal="center" vertical="center"/>
    </xf>
    <xf numFmtId="192" fontId="86" fillId="9" borderId="60" xfId="2" applyNumberFormat="1" applyFont="1" applyFill="1" applyBorder="1" applyAlignment="1">
      <alignment horizontal="center" vertical="center"/>
    </xf>
    <xf numFmtId="192" fontId="86" fillId="9" borderId="61" xfId="2" applyNumberFormat="1" applyFont="1" applyFill="1" applyBorder="1" applyAlignment="1">
      <alignment horizontal="center" vertical="center"/>
    </xf>
    <xf numFmtId="192" fontId="86" fillId="9" borderId="238" xfId="2" applyNumberFormat="1" applyFont="1" applyFill="1" applyBorder="1" applyAlignment="1">
      <alignment horizontal="center" vertical="center"/>
    </xf>
    <xf numFmtId="0" fontId="78" fillId="9" borderId="153" xfId="0" applyFont="1" applyFill="1" applyBorder="1">
      <alignment vertical="center"/>
    </xf>
    <xf numFmtId="0" fontId="66" fillId="9" borderId="0" xfId="0" applyFont="1" applyFill="1" applyBorder="1">
      <alignment vertical="center"/>
    </xf>
    <xf numFmtId="192" fontId="66" fillId="9" borderId="11" xfId="2" applyNumberFormat="1" applyFont="1" applyFill="1" applyBorder="1" applyAlignment="1">
      <alignment horizontal="center" vertical="center"/>
    </xf>
    <xf numFmtId="192" fontId="66" fillId="9" borderId="0" xfId="2" applyNumberFormat="1" applyFont="1" applyFill="1" applyBorder="1" applyAlignment="1">
      <alignment horizontal="center" vertical="center"/>
    </xf>
    <xf numFmtId="192" fontId="66" fillId="9" borderId="86" xfId="2" applyNumberFormat="1" applyFont="1" applyFill="1" applyBorder="1" applyAlignment="1">
      <alignment horizontal="center" vertical="center"/>
    </xf>
    <xf numFmtId="192" fontId="66" fillId="9" borderId="2" xfId="2" applyNumberFormat="1" applyFont="1" applyFill="1" applyBorder="1" applyAlignment="1">
      <alignment horizontal="center" vertical="center"/>
    </xf>
    <xf numFmtId="192" fontId="66" fillId="9" borderId="46" xfId="2" applyNumberFormat="1" applyFont="1" applyFill="1" applyBorder="1" applyAlignment="1">
      <alignment horizontal="center" vertical="center"/>
    </xf>
    <xf numFmtId="192" fontId="66" fillId="9" borderId="239" xfId="2" applyNumberFormat="1" applyFont="1" applyFill="1" applyBorder="1" applyAlignment="1">
      <alignment horizontal="center" vertical="center"/>
    </xf>
    <xf numFmtId="0" fontId="91" fillId="9" borderId="153" xfId="0" applyFont="1" applyFill="1" applyBorder="1">
      <alignment vertical="center"/>
    </xf>
    <xf numFmtId="0" fontId="86" fillId="9" borderId="0" xfId="0" applyFont="1" applyFill="1" applyBorder="1">
      <alignment vertical="center"/>
    </xf>
    <xf numFmtId="187" fontId="86" fillId="9" borderId="11" xfId="0" applyNumberFormat="1" applyFont="1" applyFill="1" applyBorder="1" applyAlignment="1">
      <alignment horizontal="center" vertical="center"/>
    </xf>
    <xf numFmtId="187" fontId="86" fillId="9" borderId="0" xfId="0" applyNumberFormat="1" applyFont="1" applyFill="1" applyBorder="1" applyAlignment="1">
      <alignment horizontal="center" vertical="center"/>
    </xf>
    <xf numFmtId="188" fontId="86" fillId="9" borderId="0" xfId="0" applyNumberFormat="1" applyFont="1" applyFill="1" applyAlignment="1">
      <alignment horizontal="center" vertical="center"/>
    </xf>
    <xf numFmtId="188" fontId="86" fillId="9" borderId="86" xfId="0" applyNumberFormat="1" applyFont="1" applyFill="1" applyBorder="1" applyAlignment="1">
      <alignment horizontal="center" vertical="center"/>
    </xf>
    <xf numFmtId="187" fontId="86" fillId="9" borderId="2" xfId="0" applyNumberFormat="1" applyFont="1" applyFill="1" applyBorder="1" applyAlignment="1">
      <alignment horizontal="center" vertical="center"/>
    </xf>
    <xf numFmtId="188" fontId="86" fillId="9" borderId="46" xfId="0" applyNumberFormat="1" applyFont="1" applyFill="1" applyBorder="1" applyAlignment="1">
      <alignment horizontal="center" vertical="center"/>
    </xf>
    <xf numFmtId="188" fontId="86" fillId="9" borderId="239" xfId="0" applyNumberFormat="1" applyFont="1" applyFill="1" applyBorder="1" applyAlignment="1">
      <alignment horizontal="center" vertical="center"/>
    </xf>
    <xf numFmtId="0" fontId="86" fillId="9" borderId="0" xfId="0" quotePrefix="1" applyFont="1" applyFill="1" applyBorder="1">
      <alignment vertical="center"/>
    </xf>
    <xf numFmtId="192" fontId="86" fillId="9" borderId="11" xfId="2" applyNumberFormat="1" applyFont="1" applyFill="1" applyBorder="1" applyAlignment="1">
      <alignment horizontal="center" vertical="center"/>
    </xf>
    <xf numFmtId="192" fontId="86" fillId="9" borderId="0" xfId="2" applyNumberFormat="1" applyFont="1" applyFill="1" applyBorder="1" applyAlignment="1">
      <alignment horizontal="center" vertical="center"/>
    </xf>
    <xf numFmtId="192" fontId="86" fillId="9" borderId="86" xfId="2" applyNumberFormat="1" applyFont="1" applyFill="1" applyBorder="1" applyAlignment="1">
      <alignment horizontal="center" vertical="center"/>
    </xf>
    <xf numFmtId="192" fontId="86" fillId="9" borderId="2" xfId="2" applyNumberFormat="1" applyFont="1" applyFill="1" applyBorder="1" applyAlignment="1">
      <alignment horizontal="center" vertical="center"/>
    </xf>
    <xf numFmtId="192" fontId="86" fillId="9" borderId="46" xfId="2" applyNumberFormat="1" applyFont="1" applyFill="1" applyBorder="1" applyAlignment="1">
      <alignment horizontal="center" vertical="center"/>
    </xf>
    <xf numFmtId="192" fontId="86" fillId="9" borderId="239" xfId="2" applyNumberFormat="1" applyFont="1" applyFill="1" applyBorder="1" applyAlignment="1">
      <alignment horizontal="center" vertical="center"/>
    </xf>
    <xf numFmtId="0" fontId="88" fillId="13" borderId="153" xfId="0" applyFont="1" applyFill="1" applyBorder="1">
      <alignment vertical="center"/>
    </xf>
    <xf numFmtId="0" fontId="88" fillId="13" borderId="12" xfId="0" applyFont="1" applyFill="1" applyBorder="1">
      <alignment vertical="center"/>
    </xf>
    <xf numFmtId="192" fontId="86" fillId="13" borderId="11" xfId="2" applyNumberFormat="1" applyFont="1" applyFill="1" applyBorder="1" applyAlignment="1">
      <alignment horizontal="center" vertical="center"/>
    </xf>
    <xf numFmtId="192" fontId="86" fillId="13" borderId="0" xfId="2" applyNumberFormat="1" applyFont="1" applyFill="1" applyBorder="1" applyAlignment="1">
      <alignment horizontal="center" vertical="center"/>
    </xf>
    <xf numFmtId="192" fontId="86" fillId="13" borderId="86" xfId="2" applyNumberFormat="1" applyFont="1" applyFill="1" applyBorder="1" applyAlignment="1">
      <alignment horizontal="center" vertical="center"/>
    </xf>
    <xf numFmtId="192" fontId="86" fillId="13" borderId="2" xfId="2" applyNumberFormat="1" applyFont="1" applyFill="1" applyBorder="1" applyAlignment="1">
      <alignment horizontal="center" vertical="center"/>
    </xf>
    <xf numFmtId="192" fontId="86" fillId="13" borderId="46" xfId="2" applyNumberFormat="1" applyFont="1" applyFill="1" applyBorder="1" applyAlignment="1">
      <alignment horizontal="center" vertical="center"/>
    </xf>
    <xf numFmtId="192" fontId="86" fillId="13" borderId="239" xfId="2" applyNumberFormat="1" applyFont="1" applyFill="1" applyBorder="1" applyAlignment="1">
      <alignment horizontal="center" vertical="center"/>
    </xf>
    <xf numFmtId="0" fontId="91" fillId="13" borderId="153" xfId="0" applyFont="1" applyFill="1" applyBorder="1">
      <alignment vertical="center"/>
    </xf>
    <xf numFmtId="0" fontId="91" fillId="13" borderId="12" xfId="0" applyFont="1" applyFill="1" applyBorder="1">
      <alignment vertical="center"/>
    </xf>
    <xf numFmtId="187" fontId="86" fillId="13" borderId="11" xfId="3" applyNumberFormat="1" applyFont="1" applyFill="1" applyBorder="1" applyAlignment="1">
      <alignment horizontal="center" vertical="center"/>
    </xf>
    <xf numFmtId="187" fontId="86" fillId="13" borderId="0" xfId="3" applyNumberFormat="1" applyFont="1" applyFill="1" applyBorder="1" applyAlignment="1">
      <alignment horizontal="center" vertical="center"/>
    </xf>
    <xf numFmtId="188" fontId="86" fillId="13" borderId="0" xfId="3" applyNumberFormat="1" applyFont="1" applyFill="1" applyBorder="1" applyAlignment="1">
      <alignment horizontal="center" vertical="center"/>
    </xf>
    <xf numFmtId="188" fontId="86" fillId="13" borderId="86" xfId="3" applyNumberFormat="1" applyFont="1" applyFill="1" applyBorder="1" applyAlignment="1">
      <alignment horizontal="center" vertical="center"/>
    </xf>
    <xf numFmtId="187" fontId="86" fillId="13" borderId="2" xfId="3" applyNumberFormat="1" applyFont="1" applyFill="1" applyBorder="1" applyAlignment="1">
      <alignment horizontal="center" vertical="center"/>
    </xf>
    <xf numFmtId="187" fontId="86" fillId="13" borderId="46" xfId="3" applyNumberFormat="1" applyFont="1" applyFill="1" applyBorder="1" applyAlignment="1">
      <alignment horizontal="center" vertical="center"/>
    </xf>
    <xf numFmtId="188" fontId="86" fillId="13" borderId="239" xfId="3" applyNumberFormat="1" applyFont="1" applyFill="1" applyBorder="1" applyAlignment="1">
      <alignment horizontal="center" vertical="center"/>
    </xf>
    <xf numFmtId="0" fontId="91" fillId="0" borderId="153" xfId="0" applyFont="1" applyFill="1" applyBorder="1">
      <alignment vertical="center"/>
    </xf>
    <xf numFmtId="187" fontId="86" fillId="0" borderId="11" xfId="3" applyNumberFormat="1" applyFont="1" applyFill="1" applyBorder="1" applyAlignment="1">
      <alignment horizontal="center" vertical="center"/>
    </xf>
    <xf numFmtId="187" fontId="86" fillId="0" borderId="0" xfId="3" applyNumberFormat="1" applyFont="1" applyFill="1" applyBorder="1" applyAlignment="1">
      <alignment horizontal="center" vertical="center"/>
    </xf>
    <xf numFmtId="188" fontId="86" fillId="0" borderId="0" xfId="3" applyNumberFormat="1" applyFont="1" applyFill="1" applyBorder="1" applyAlignment="1">
      <alignment horizontal="center" vertical="center"/>
    </xf>
    <xf numFmtId="188" fontId="86" fillId="0" borderId="86" xfId="3" applyNumberFormat="1" applyFont="1" applyFill="1" applyBorder="1" applyAlignment="1">
      <alignment horizontal="center" vertical="center"/>
    </xf>
    <xf numFmtId="187" fontId="86" fillId="0" borderId="2" xfId="3" applyNumberFormat="1" applyFont="1" applyFill="1" applyBorder="1" applyAlignment="1">
      <alignment horizontal="center" vertical="center"/>
    </xf>
    <xf numFmtId="187" fontId="86" fillId="0" borderId="46" xfId="3" applyNumberFormat="1" applyFont="1" applyFill="1" applyBorder="1" applyAlignment="1">
      <alignment horizontal="center" vertical="center"/>
    </xf>
    <xf numFmtId="188" fontId="86" fillId="0" borderId="239" xfId="3" applyNumberFormat="1" applyFont="1" applyFill="1" applyBorder="1" applyAlignment="1">
      <alignment horizontal="center" vertical="center"/>
    </xf>
    <xf numFmtId="0" fontId="91" fillId="0" borderId="154" xfId="0" applyFont="1" applyFill="1" applyBorder="1">
      <alignment vertical="center"/>
    </xf>
    <xf numFmtId="0" fontId="86" fillId="0" borderId="132" xfId="0" applyFont="1" applyFill="1" applyBorder="1">
      <alignment vertical="center"/>
    </xf>
    <xf numFmtId="187" fontId="86" fillId="0" borderId="134" xfId="3" applyNumberFormat="1" applyFont="1" applyFill="1" applyBorder="1" applyAlignment="1">
      <alignment horizontal="center" vertical="center"/>
    </xf>
    <xf numFmtId="187" fontId="86" fillId="0" borderId="132" xfId="3" applyNumberFormat="1" applyFont="1" applyFill="1" applyBorder="1" applyAlignment="1">
      <alignment horizontal="center" vertical="center"/>
    </xf>
    <xf numFmtId="188" fontId="86" fillId="0" borderId="132" xfId="3" applyNumberFormat="1" applyFont="1" applyFill="1" applyBorder="1" applyAlignment="1">
      <alignment horizontal="center" vertical="center"/>
    </xf>
    <xf numFmtId="188" fontId="86" fillId="0" borderId="137" xfId="3" applyNumberFormat="1" applyFont="1" applyFill="1" applyBorder="1" applyAlignment="1">
      <alignment horizontal="center" vertical="center"/>
    </xf>
    <xf numFmtId="187" fontId="86" fillId="0" borderId="135" xfId="3" applyNumberFormat="1" applyFont="1" applyFill="1" applyBorder="1" applyAlignment="1">
      <alignment horizontal="center" vertical="center"/>
    </xf>
    <xf numFmtId="187" fontId="86" fillId="0" borderId="136" xfId="3" applyNumberFormat="1" applyFont="1" applyFill="1" applyBorder="1" applyAlignment="1">
      <alignment horizontal="center" vertical="center"/>
    </xf>
    <xf numFmtId="188" fontId="86" fillId="0" borderId="247" xfId="3" applyNumberFormat="1" applyFont="1" applyFill="1" applyBorder="1" applyAlignment="1">
      <alignment horizontal="center" vertical="center"/>
    </xf>
    <xf numFmtId="0" fontId="88" fillId="13" borderId="0" xfId="0" applyFont="1" applyFill="1" applyBorder="1">
      <alignment vertical="center"/>
    </xf>
    <xf numFmtId="0" fontId="91" fillId="13" borderId="0" xfId="0" applyFont="1" applyFill="1" applyBorder="1">
      <alignment vertical="center"/>
    </xf>
    <xf numFmtId="187" fontId="86" fillId="13" borderId="11" xfId="0" applyNumberFormat="1" applyFont="1" applyFill="1" applyBorder="1" applyAlignment="1">
      <alignment horizontal="center" vertical="center"/>
    </xf>
    <xf numFmtId="187" fontId="86" fillId="13" borderId="0" xfId="0" applyNumberFormat="1" applyFont="1" applyFill="1" applyBorder="1" applyAlignment="1">
      <alignment horizontal="center" vertical="center"/>
    </xf>
    <xf numFmtId="188" fontId="86" fillId="13" borderId="0" xfId="0" applyNumberFormat="1" applyFont="1" applyFill="1" applyAlignment="1">
      <alignment horizontal="center" vertical="center"/>
    </xf>
    <xf numFmtId="188" fontId="86" fillId="13" borderId="86" xfId="0" applyNumberFormat="1" applyFont="1" applyFill="1" applyBorder="1" applyAlignment="1">
      <alignment horizontal="center" vertical="center"/>
    </xf>
    <xf numFmtId="187" fontId="86" fillId="13" borderId="2" xfId="0" applyNumberFormat="1" applyFont="1" applyFill="1" applyBorder="1" applyAlignment="1">
      <alignment horizontal="center" vertical="center"/>
    </xf>
    <xf numFmtId="187" fontId="86" fillId="13" borderId="46" xfId="0" applyNumberFormat="1" applyFont="1" applyFill="1" applyBorder="1" applyAlignment="1">
      <alignment horizontal="center" vertical="center"/>
    </xf>
    <xf numFmtId="188" fontId="86" fillId="13" borderId="239" xfId="0" applyNumberFormat="1" applyFont="1" applyFill="1" applyBorder="1" applyAlignment="1">
      <alignment horizontal="center" vertical="center"/>
    </xf>
    <xf numFmtId="187" fontId="86" fillId="0" borderId="11" xfId="0" applyNumberFormat="1" applyFont="1" applyBorder="1" applyAlignment="1">
      <alignment horizontal="center" vertical="center"/>
    </xf>
    <xf numFmtId="187" fontId="86" fillId="0" borderId="0" xfId="0" applyNumberFormat="1" applyFont="1" applyBorder="1" applyAlignment="1">
      <alignment horizontal="center" vertical="center"/>
    </xf>
    <xf numFmtId="188" fontId="86" fillId="0" borderId="0" xfId="0" applyNumberFormat="1" applyFont="1" applyAlignment="1">
      <alignment horizontal="center" vertical="center"/>
    </xf>
    <xf numFmtId="188" fontId="86" fillId="0" borderId="86" xfId="0" applyNumberFormat="1" applyFont="1" applyBorder="1" applyAlignment="1">
      <alignment horizontal="center" vertical="center"/>
    </xf>
    <xf numFmtId="187" fontId="86" fillId="0" borderId="2" xfId="0" applyNumberFormat="1" applyFont="1" applyBorder="1" applyAlignment="1">
      <alignment horizontal="center" vertical="center"/>
    </xf>
    <xf numFmtId="187" fontId="86" fillId="0" borderId="46" xfId="0" applyNumberFormat="1" applyFont="1" applyBorder="1" applyAlignment="1">
      <alignment horizontal="center" vertical="center"/>
    </xf>
    <xf numFmtId="188" fontId="86" fillId="0" borderId="239" xfId="0" applyNumberFormat="1" applyFont="1" applyBorder="1" applyAlignment="1">
      <alignment horizontal="center" vertical="center"/>
    </xf>
    <xf numFmtId="0" fontId="91" fillId="0" borderId="155" xfId="0" applyFont="1" applyFill="1" applyBorder="1">
      <alignment vertical="center"/>
    </xf>
    <xf numFmtId="0" fontId="86" fillId="0" borderId="119" xfId="0" applyFont="1" applyFill="1" applyBorder="1">
      <alignment vertical="center"/>
    </xf>
    <xf numFmtId="187" fontId="86" fillId="0" borderId="121" xfId="0" applyNumberFormat="1" applyFont="1" applyBorder="1" applyAlignment="1">
      <alignment horizontal="center" vertical="center"/>
    </xf>
    <xf numFmtId="187" fontId="86" fillId="0" borderId="119" xfId="0" applyNumberFormat="1" applyFont="1" applyBorder="1" applyAlignment="1">
      <alignment horizontal="center" vertical="center"/>
    </xf>
    <xf numFmtId="188" fontId="86" fillId="0" borderId="119" xfId="0" applyNumberFormat="1" applyFont="1" applyBorder="1" applyAlignment="1">
      <alignment horizontal="center" vertical="center"/>
    </xf>
    <xf numFmtId="188" fontId="86" fillId="0" borderId="124" xfId="0" applyNumberFormat="1" applyFont="1" applyBorder="1" applyAlignment="1">
      <alignment horizontal="center" vertical="center"/>
    </xf>
    <xf numFmtId="187" fontId="86" fillId="0" borderId="122" xfId="0" applyNumberFormat="1" applyFont="1" applyBorder="1" applyAlignment="1">
      <alignment horizontal="center" vertical="center"/>
    </xf>
    <xf numFmtId="187" fontId="86" fillId="0" borderId="123" xfId="0" applyNumberFormat="1" applyFont="1" applyBorder="1" applyAlignment="1">
      <alignment horizontal="center" vertical="center"/>
    </xf>
    <xf numFmtId="188" fontId="86" fillId="0" borderId="242" xfId="0" applyNumberFormat="1" applyFont="1" applyBorder="1" applyAlignment="1">
      <alignment horizontal="center" vertical="center"/>
    </xf>
    <xf numFmtId="187" fontId="86" fillId="11" borderId="11" xfId="0" applyNumberFormat="1" applyFont="1" applyFill="1" applyBorder="1" applyAlignment="1">
      <alignment horizontal="center" vertical="center"/>
    </xf>
    <xf numFmtId="187" fontId="86" fillId="11" borderId="0" xfId="0" applyNumberFormat="1" applyFont="1" applyFill="1" applyBorder="1" applyAlignment="1">
      <alignment horizontal="center" vertical="center"/>
    </xf>
    <xf numFmtId="188" fontId="86" fillId="11" borderId="0" xfId="0" applyNumberFormat="1" applyFont="1" applyFill="1" applyAlignment="1">
      <alignment horizontal="center" vertical="center"/>
    </xf>
    <xf numFmtId="188" fontId="86" fillId="11" borderId="86" xfId="0" applyNumberFormat="1" applyFont="1" applyFill="1" applyBorder="1" applyAlignment="1">
      <alignment horizontal="center" vertical="center"/>
    </xf>
    <xf numFmtId="187" fontId="86" fillId="11" borderId="2" xfId="0" applyNumberFormat="1" applyFont="1" applyFill="1" applyBorder="1" applyAlignment="1">
      <alignment horizontal="center" vertical="center"/>
    </xf>
    <xf numFmtId="187" fontId="86" fillId="11" borderId="46" xfId="0" applyNumberFormat="1" applyFont="1" applyFill="1" applyBorder="1" applyAlignment="1">
      <alignment horizontal="center" vertical="center"/>
    </xf>
    <xf numFmtId="188" fontId="86" fillId="11" borderId="271" xfId="0" applyNumberFormat="1" applyFont="1" applyFill="1" applyBorder="1" applyAlignment="1">
      <alignment horizontal="center" vertical="center"/>
    </xf>
    <xf numFmtId="187" fontId="86" fillId="5" borderId="11" xfId="0" applyNumberFormat="1" applyFont="1" applyFill="1" applyBorder="1" applyAlignment="1">
      <alignment horizontal="center" vertical="center"/>
    </xf>
    <xf numFmtId="187" fontId="86" fillId="5" borderId="0" xfId="0" applyNumberFormat="1" applyFont="1" applyFill="1" applyBorder="1" applyAlignment="1">
      <alignment horizontal="center" vertical="center"/>
    </xf>
    <xf numFmtId="188" fontId="86" fillId="5" borderId="0" xfId="0" applyNumberFormat="1" applyFont="1" applyFill="1" applyAlignment="1">
      <alignment horizontal="center" vertical="center"/>
    </xf>
    <xf numFmtId="188" fontId="86" fillId="5" borderId="86" xfId="0" applyNumberFormat="1" applyFont="1" applyFill="1" applyBorder="1" applyAlignment="1">
      <alignment horizontal="center" vertical="center"/>
    </xf>
    <xf numFmtId="187" fontId="86" fillId="5" borderId="2" xfId="0" applyNumberFormat="1" applyFont="1" applyFill="1" applyBorder="1" applyAlignment="1">
      <alignment horizontal="center" vertical="center"/>
    </xf>
    <xf numFmtId="187" fontId="86" fillId="5" borderId="46" xfId="0" applyNumberFormat="1" applyFont="1" applyFill="1" applyBorder="1" applyAlignment="1">
      <alignment horizontal="center" vertical="center"/>
    </xf>
    <xf numFmtId="188" fontId="86" fillId="5" borderId="271" xfId="0" applyNumberFormat="1" applyFont="1" applyFill="1" applyBorder="1" applyAlignment="1">
      <alignment horizontal="center" vertical="center"/>
    </xf>
    <xf numFmtId="187" fontId="86" fillId="5" borderId="52" xfId="0" applyNumberFormat="1" applyFont="1" applyFill="1" applyBorder="1" applyAlignment="1">
      <alignment horizontal="center" vertical="center"/>
    </xf>
    <xf numFmtId="187" fontId="86" fillId="5" borderId="36" xfId="0" applyNumberFormat="1" applyFont="1" applyFill="1" applyBorder="1" applyAlignment="1">
      <alignment horizontal="center" vertical="center"/>
    </xf>
    <xf numFmtId="188" fontId="86" fillId="5" borderId="36" xfId="0" applyNumberFormat="1" applyFont="1" applyFill="1" applyBorder="1" applyAlignment="1">
      <alignment horizontal="center" vertical="center"/>
    </xf>
    <xf numFmtId="188" fontId="86" fillId="5" borderId="92" xfId="0" applyNumberFormat="1" applyFont="1" applyFill="1" applyBorder="1" applyAlignment="1">
      <alignment horizontal="center" vertical="center"/>
    </xf>
    <xf numFmtId="187" fontId="86" fillId="5" borderId="53" xfId="0" applyNumberFormat="1" applyFont="1" applyFill="1" applyBorder="1" applyAlignment="1">
      <alignment horizontal="center" vertical="center"/>
    </xf>
    <xf numFmtId="187" fontId="86" fillId="5" borderId="54" xfId="0" applyNumberFormat="1" applyFont="1" applyFill="1" applyBorder="1" applyAlignment="1">
      <alignment horizontal="center" vertical="center"/>
    </xf>
    <xf numFmtId="188" fontId="86" fillId="5" borderId="273" xfId="0" applyNumberFormat="1" applyFont="1" applyFill="1" applyBorder="1" applyAlignment="1">
      <alignment horizontal="center" vertical="center"/>
    </xf>
    <xf numFmtId="0" fontId="88" fillId="9" borderId="156" xfId="0" applyFont="1" applyFill="1" applyBorder="1" applyAlignment="1">
      <alignment vertical="center" wrapText="1"/>
    </xf>
    <xf numFmtId="0" fontId="88" fillId="9" borderId="76" xfId="0" applyFont="1" applyFill="1" applyBorder="1">
      <alignment vertical="center"/>
    </xf>
    <xf numFmtId="202" fontId="86" fillId="9" borderId="77" xfId="2" applyNumberFormat="1" applyFont="1" applyFill="1" applyBorder="1" applyAlignment="1">
      <alignment horizontal="center" vertical="center"/>
    </xf>
    <xf numFmtId="202" fontId="86" fillId="9" borderId="76" xfId="2" applyNumberFormat="1" applyFont="1" applyFill="1" applyBorder="1" applyAlignment="1">
      <alignment horizontal="center" vertical="center"/>
    </xf>
    <xf numFmtId="192" fontId="86" fillId="9" borderId="76" xfId="2" applyNumberFormat="1" applyFont="1" applyFill="1" applyBorder="1" applyAlignment="1">
      <alignment horizontal="center" vertical="center"/>
    </xf>
    <xf numFmtId="192" fontId="86" fillId="9" borderId="125" xfId="2" applyNumberFormat="1" applyFont="1" applyFill="1" applyBorder="1" applyAlignment="1">
      <alignment horizontal="center" vertical="center"/>
    </xf>
    <xf numFmtId="202" fontId="86" fillId="9" borderId="78" xfId="2" applyNumberFormat="1" applyFont="1" applyFill="1" applyBorder="1" applyAlignment="1">
      <alignment horizontal="center" vertical="center"/>
    </xf>
    <xf numFmtId="217" fontId="86" fillId="9" borderId="76" xfId="2" applyNumberFormat="1" applyFont="1" applyFill="1" applyBorder="1" applyAlignment="1">
      <alignment horizontal="center" vertical="center"/>
    </xf>
    <xf numFmtId="217" fontId="86" fillId="9" borderId="79" xfId="2" applyNumberFormat="1" applyFont="1" applyFill="1" applyBorder="1" applyAlignment="1">
      <alignment horizontal="center" vertical="center"/>
    </xf>
    <xf numFmtId="217" fontId="86" fillId="9" borderId="244" xfId="2" applyNumberFormat="1" applyFont="1" applyFill="1" applyBorder="1" applyAlignment="1">
      <alignment horizontal="center" vertical="center"/>
    </xf>
    <xf numFmtId="0" fontId="88" fillId="9" borderId="153" xfId="0" applyFont="1" applyFill="1" applyBorder="1">
      <alignment vertical="center"/>
    </xf>
    <xf numFmtId="0" fontId="88" fillId="9" borderId="0" xfId="0" applyFont="1" applyFill="1" applyBorder="1">
      <alignment vertical="center"/>
    </xf>
    <xf numFmtId="202" fontId="86" fillId="9" borderId="11" xfId="2" applyNumberFormat="1" applyFont="1" applyFill="1" applyBorder="1" applyAlignment="1">
      <alignment horizontal="center" vertical="center"/>
    </xf>
    <xf numFmtId="202" fontId="86" fillId="9" borderId="0" xfId="2" applyNumberFormat="1" applyFont="1" applyFill="1" applyBorder="1" applyAlignment="1">
      <alignment horizontal="center" vertical="center"/>
    </xf>
    <xf numFmtId="202" fontId="86" fillId="9" borderId="2" xfId="2" applyNumberFormat="1" applyFont="1" applyFill="1" applyBorder="1" applyAlignment="1">
      <alignment horizontal="center" vertical="center"/>
    </xf>
    <xf numFmtId="217" fontId="86" fillId="9" borderId="0" xfId="2" applyNumberFormat="1" applyFont="1" applyFill="1" applyBorder="1" applyAlignment="1">
      <alignment horizontal="center" vertical="center"/>
    </xf>
    <xf numFmtId="217" fontId="86" fillId="9" borderId="46" xfId="2" applyNumberFormat="1" applyFont="1" applyFill="1" applyBorder="1" applyAlignment="1">
      <alignment horizontal="center" vertical="center"/>
    </xf>
    <xf numFmtId="217" fontId="86" fillId="9" borderId="239" xfId="2" applyNumberFormat="1" applyFont="1" applyFill="1" applyBorder="1" applyAlignment="1">
      <alignment horizontal="center" vertical="center"/>
    </xf>
    <xf numFmtId="0" fontId="91" fillId="9" borderId="0" xfId="0" applyFont="1" applyFill="1" applyBorder="1">
      <alignment vertical="center"/>
    </xf>
    <xf numFmtId="187" fontId="86" fillId="9" borderId="46" xfId="0" applyNumberFormat="1" applyFont="1" applyFill="1" applyBorder="1" applyAlignment="1">
      <alignment horizontal="center" vertical="center"/>
    </xf>
    <xf numFmtId="0" fontId="86" fillId="9" borderId="153" xfId="0" applyFont="1" applyFill="1" applyBorder="1">
      <alignment vertical="center"/>
    </xf>
    <xf numFmtId="0" fontId="88" fillId="13" borderId="158" xfId="0" applyFont="1" applyFill="1" applyBorder="1">
      <alignment vertical="center"/>
    </xf>
    <xf numFmtId="0" fontId="88" fillId="13" borderId="126" xfId="0" applyFont="1" applyFill="1" applyBorder="1">
      <alignment vertical="center"/>
    </xf>
    <xf numFmtId="202" fontId="86" fillId="13" borderId="128" xfId="2" applyNumberFormat="1" applyFont="1" applyFill="1" applyBorder="1" applyAlignment="1">
      <alignment horizontal="center" vertical="center"/>
    </xf>
    <xf numFmtId="202" fontId="86" fillId="13" borderId="126" xfId="2" applyNumberFormat="1" applyFont="1" applyFill="1" applyBorder="1" applyAlignment="1">
      <alignment horizontal="center" vertical="center"/>
    </xf>
    <xf numFmtId="192" fontId="86" fillId="13" borderId="126" xfId="2" applyNumberFormat="1" applyFont="1" applyFill="1" applyBorder="1" applyAlignment="1">
      <alignment horizontal="center" vertical="center"/>
    </xf>
    <xf numFmtId="192" fontId="86" fillId="13" borderId="131" xfId="2" applyNumberFormat="1" applyFont="1" applyFill="1" applyBorder="1" applyAlignment="1">
      <alignment horizontal="center" vertical="center"/>
    </xf>
    <xf numFmtId="202" fontId="86" fillId="13" borderId="129" xfId="2" applyNumberFormat="1" applyFont="1" applyFill="1" applyBorder="1" applyAlignment="1">
      <alignment horizontal="center" vertical="center"/>
    </xf>
    <xf numFmtId="217" fontId="86" fillId="13" borderId="126" xfId="2" applyNumberFormat="1" applyFont="1" applyFill="1" applyBorder="1" applyAlignment="1">
      <alignment horizontal="center" vertical="center"/>
    </xf>
    <xf numFmtId="217" fontId="86" fillId="13" borderId="130" xfId="2" applyNumberFormat="1" applyFont="1" applyFill="1" applyBorder="1" applyAlignment="1">
      <alignment horizontal="center" vertical="center"/>
    </xf>
    <xf numFmtId="217" fontId="86" fillId="13" borderId="240" xfId="2" applyNumberFormat="1" applyFont="1" applyFill="1" applyBorder="1" applyAlignment="1">
      <alignment horizontal="center" vertical="center"/>
    </xf>
    <xf numFmtId="202" fontId="86" fillId="0" borderId="11" xfId="2" applyNumberFormat="1" applyFont="1" applyFill="1" applyBorder="1" applyAlignment="1">
      <alignment horizontal="center" vertical="center"/>
    </xf>
    <xf numFmtId="202" fontId="86" fillId="0" borderId="0" xfId="2" applyNumberFormat="1" applyFont="1" applyFill="1" applyBorder="1" applyAlignment="1">
      <alignment horizontal="center" vertical="center"/>
    </xf>
    <xf numFmtId="202" fontId="86" fillId="0" borderId="86" xfId="2" applyNumberFormat="1" applyFont="1" applyFill="1" applyBorder="1" applyAlignment="1">
      <alignment horizontal="center" vertical="center"/>
    </xf>
    <xf numFmtId="202" fontId="86" fillId="0" borderId="2" xfId="2" applyNumberFormat="1" applyFont="1" applyFill="1" applyBorder="1" applyAlignment="1">
      <alignment horizontal="center" vertical="center"/>
    </xf>
    <xf numFmtId="202" fontId="86" fillId="0" borderId="46" xfId="2" applyNumberFormat="1" applyFont="1" applyFill="1" applyBorder="1" applyAlignment="1">
      <alignment horizontal="center" vertical="center"/>
    </xf>
    <xf numFmtId="202" fontId="86" fillId="0" borderId="239" xfId="2" applyNumberFormat="1" applyFont="1" applyFill="1" applyBorder="1" applyAlignment="1">
      <alignment horizontal="center" vertical="center"/>
    </xf>
    <xf numFmtId="202" fontId="86" fillId="0" borderId="134" xfId="2" applyNumberFormat="1" applyFont="1" applyFill="1" applyBorder="1" applyAlignment="1">
      <alignment horizontal="center" vertical="center"/>
    </xf>
    <xf numFmtId="202" fontId="86" fillId="0" borderId="132" xfId="2" applyNumberFormat="1" applyFont="1" applyFill="1" applyBorder="1" applyAlignment="1">
      <alignment horizontal="center" vertical="center"/>
    </xf>
    <xf numFmtId="202" fontId="86" fillId="0" borderId="137" xfId="2" applyNumberFormat="1" applyFont="1" applyFill="1" applyBorder="1" applyAlignment="1">
      <alignment horizontal="center" vertical="center"/>
    </xf>
    <xf numFmtId="202" fontId="86" fillId="0" borderId="135" xfId="2" applyNumberFormat="1" applyFont="1" applyFill="1" applyBorder="1" applyAlignment="1">
      <alignment horizontal="center" vertical="center"/>
    </xf>
    <xf numFmtId="202" fontId="86" fillId="0" borderId="136" xfId="2" applyNumberFormat="1" applyFont="1" applyFill="1" applyBorder="1" applyAlignment="1">
      <alignment horizontal="center" vertical="center"/>
    </xf>
    <xf numFmtId="202" fontId="86" fillId="0" borderId="247" xfId="2" applyNumberFormat="1" applyFont="1" applyFill="1" applyBorder="1" applyAlignment="1">
      <alignment horizontal="center" vertical="center"/>
    </xf>
    <xf numFmtId="202" fontId="86" fillId="13" borderId="11" xfId="2" applyNumberFormat="1" applyFont="1" applyFill="1" applyBorder="1" applyAlignment="1">
      <alignment horizontal="center" vertical="center"/>
    </xf>
    <xf numFmtId="202" fontId="86" fillId="13" borderId="0" xfId="2" applyNumberFormat="1" applyFont="1" applyFill="1" applyBorder="1" applyAlignment="1">
      <alignment horizontal="center" vertical="center"/>
    </xf>
    <xf numFmtId="203" fontId="86" fillId="13" borderId="0" xfId="2" applyNumberFormat="1" applyFont="1" applyFill="1" applyBorder="1" applyAlignment="1">
      <alignment horizontal="center" vertical="center"/>
    </xf>
    <xf numFmtId="202" fontId="86" fillId="13" borderId="86" xfId="2" applyNumberFormat="1" applyFont="1" applyFill="1" applyBorder="1" applyAlignment="1">
      <alignment horizontal="center" vertical="center"/>
    </xf>
    <xf numFmtId="203" fontId="86" fillId="13" borderId="2" xfId="2" applyNumberFormat="1" applyFont="1" applyFill="1" applyBorder="1" applyAlignment="1">
      <alignment horizontal="center" vertical="center"/>
    </xf>
    <xf numFmtId="203" fontId="86" fillId="13" borderId="46" xfId="2" applyNumberFormat="1" applyFont="1" applyFill="1" applyBorder="1" applyAlignment="1">
      <alignment horizontal="center" vertical="center"/>
    </xf>
    <xf numFmtId="202" fontId="86" fillId="13" borderId="239" xfId="2" applyNumberFormat="1" applyFont="1" applyFill="1" applyBorder="1" applyAlignment="1">
      <alignment horizontal="center" vertical="center"/>
    </xf>
    <xf numFmtId="187" fontId="66" fillId="2" borderId="128" xfId="0" applyNumberFormat="1" applyFont="1" applyFill="1" applyBorder="1" applyAlignment="1">
      <alignment horizontal="center" vertical="center"/>
    </xf>
    <xf numFmtId="187" fontId="66" fillId="2" borderId="126" xfId="0" applyNumberFormat="1" applyFont="1" applyFill="1" applyBorder="1" applyAlignment="1">
      <alignment horizontal="center" vertical="center"/>
    </xf>
    <xf numFmtId="188" fontId="66" fillId="2" borderId="126" xfId="0" applyNumberFormat="1" applyFont="1" applyFill="1" applyBorder="1" applyAlignment="1">
      <alignment horizontal="center" vertical="center"/>
    </xf>
    <xf numFmtId="216" fontId="66" fillId="2" borderId="126" xfId="0" applyNumberFormat="1" applyFont="1" applyFill="1" applyBorder="1" applyAlignment="1">
      <alignment horizontal="center" vertical="center"/>
    </xf>
    <xf numFmtId="187" fontId="66" fillId="2" borderId="129" xfId="0" applyNumberFormat="1" applyFont="1" applyFill="1" applyBorder="1" applyAlignment="1">
      <alignment horizontal="center" vertical="center"/>
    </xf>
    <xf numFmtId="187" fontId="66" fillId="2" borderId="130" xfId="0" applyNumberFormat="1" applyFont="1" applyFill="1" applyBorder="1" applyAlignment="1">
      <alignment horizontal="center" vertical="center"/>
    </xf>
    <xf numFmtId="188" fontId="66" fillId="2" borderId="240" xfId="0" applyNumberFormat="1" applyFont="1" applyFill="1" applyBorder="1" applyAlignment="1">
      <alignment horizontal="center" vertical="center"/>
    </xf>
    <xf numFmtId="187" fontId="66" fillId="0" borderId="64" xfId="0" applyNumberFormat="1" applyFont="1" applyBorder="1" applyAlignment="1">
      <alignment horizontal="center" vertical="center"/>
    </xf>
    <xf numFmtId="187" fontId="66" fillId="0" borderId="63" xfId="0" applyNumberFormat="1" applyFont="1" applyBorder="1" applyAlignment="1">
      <alignment horizontal="center" vertical="center"/>
    </xf>
    <xf numFmtId="188" fontId="66" fillId="0" borderId="63" xfId="0" applyNumberFormat="1" applyFont="1" applyBorder="1" applyAlignment="1">
      <alignment horizontal="center" vertical="center"/>
    </xf>
    <xf numFmtId="187" fontId="66" fillId="0" borderId="65" xfId="0" applyNumberFormat="1" applyFont="1" applyBorder="1" applyAlignment="1">
      <alignment horizontal="center" vertical="center"/>
    </xf>
    <xf numFmtId="187" fontId="66" fillId="0" borderId="66" xfId="0" applyNumberFormat="1" applyFont="1" applyBorder="1" applyAlignment="1">
      <alignment horizontal="center" vertical="center"/>
    </xf>
    <xf numFmtId="187" fontId="66" fillId="0" borderId="248" xfId="0" applyNumberFormat="1" applyFont="1" applyBorder="1" applyAlignment="1">
      <alignment horizontal="center" vertical="center"/>
    </xf>
    <xf numFmtId="0" fontId="66" fillId="0" borderId="884" xfId="0" applyFont="1" applyBorder="1">
      <alignment vertical="center"/>
    </xf>
    <xf numFmtId="0" fontId="66" fillId="0" borderId="0" xfId="0" quotePrefix="1" applyFont="1" applyBorder="1">
      <alignment vertical="center"/>
    </xf>
    <xf numFmtId="0" fontId="74" fillId="4" borderId="748" xfId="0" quotePrefix="1" applyFont="1" applyFill="1" applyBorder="1" applyAlignment="1">
      <alignment horizontal="center" vertical="center"/>
    </xf>
    <xf numFmtId="0" fontId="74" fillId="4" borderId="747" xfId="0" quotePrefix="1" applyFont="1" applyFill="1" applyBorder="1" applyAlignment="1">
      <alignment horizontal="center" vertical="center"/>
    </xf>
    <xf numFmtId="0" fontId="67" fillId="68" borderId="485" xfId="0" quotePrefix="1" applyFont="1" applyFill="1" applyBorder="1" applyAlignment="1">
      <alignment horizontal="center" vertical="center"/>
    </xf>
    <xf numFmtId="0" fontId="67" fillId="68" borderId="0" xfId="0" quotePrefix="1" applyFont="1" applyFill="1" applyBorder="1" applyAlignment="1">
      <alignment horizontal="center" vertical="center"/>
    </xf>
    <xf numFmtId="178" fontId="66" fillId="11" borderId="9" xfId="0" applyNumberFormat="1" applyFont="1" applyFill="1" applyBorder="1" applyAlignment="1">
      <alignment horizontal="center" vertical="center"/>
    </xf>
    <xf numFmtId="178" fontId="66" fillId="11" borderId="1112" xfId="0" applyNumberFormat="1" applyFont="1" applyFill="1" applyBorder="1" applyAlignment="1">
      <alignment horizontal="center" vertical="center"/>
    </xf>
    <xf numFmtId="178" fontId="66" fillId="11" borderId="481" xfId="0" applyNumberFormat="1" applyFont="1" applyFill="1" applyBorder="1" applyAlignment="1">
      <alignment horizontal="center" vertical="center"/>
    </xf>
    <xf numFmtId="178" fontId="66" fillId="11" borderId="37" xfId="0" applyNumberFormat="1" applyFont="1" applyFill="1" applyBorder="1" applyAlignment="1">
      <alignment horizontal="center" vertical="center"/>
    </xf>
    <xf numFmtId="9" fontId="66" fillId="11" borderId="1162" xfId="3" applyNumberFormat="1" applyFont="1" applyFill="1" applyBorder="1" applyAlignment="1">
      <alignment horizontal="center" vertical="center"/>
    </xf>
    <xf numFmtId="178" fontId="66" fillId="11" borderId="398" xfId="0" applyNumberFormat="1" applyFont="1" applyFill="1" applyBorder="1" applyAlignment="1">
      <alignment horizontal="center" vertical="center"/>
    </xf>
    <xf numFmtId="9" fontId="66" fillId="11" borderId="399" xfId="3" applyFont="1" applyFill="1" applyBorder="1" applyAlignment="1">
      <alignment horizontal="center" vertical="center"/>
    </xf>
    <xf numFmtId="177" fontId="66" fillId="11" borderId="0" xfId="0" applyNumberFormat="1" applyFont="1" applyFill="1" applyBorder="1" applyAlignment="1">
      <alignment horizontal="center" vertical="center"/>
    </xf>
    <xf numFmtId="179" fontId="66" fillId="11" borderId="46" xfId="0" applyNumberFormat="1" applyFont="1" applyFill="1" applyBorder="1" applyAlignment="1">
      <alignment horizontal="center" vertical="center"/>
    </xf>
    <xf numFmtId="0" fontId="96" fillId="22" borderId="0" xfId="0" applyFont="1" applyFill="1" applyAlignment="1">
      <alignment horizontal="center" vertical="center"/>
    </xf>
    <xf numFmtId="233" fontId="66" fillId="0" borderId="0" xfId="0" applyNumberFormat="1" applyFont="1">
      <alignment vertical="center"/>
    </xf>
    <xf numFmtId="0" fontId="74" fillId="0" borderId="68" xfId="0" applyFont="1" applyBorder="1">
      <alignment vertical="center"/>
    </xf>
    <xf numFmtId="0" fontId="66" fillId="0" borderId="68" xfId="0" applyFont="1" applyBorder="1">
      <alignment vertical="center"/>
    </xf>
    <xf numFmtId="178" fontId="66" fillId="0" borderId="69" xfId="0" applyNumberFormat="1" applyFont="1" applyBorder="1" applyAlignment="1">
      <alignment horizontal="center" vertical="center"/>
    </xf>
    <xf numFmtId="178" fontId="66" fillId="0" borderId="1113" xfId="0" applyNumberFormat="1" applyFont="1" applyBorder="1" applyAlignment="1">
      <alignment horizontal="center" vertical="center"/>
    </xf>
    <xf numFmtId="178" fontId="66" fillId="0" borderId="485" xfId="0" applyNumberFormat="1" applyFont="1" applyBorder="1" applyAlignment="1">
      <alignment horizontal="center" vertical="center"/>
    </xf>
    <xf numFmtId="178" fontId="66" fillId="0" borderId="0" xfId="0" applyNumberFormat="1" applyFont="1" applyBorder="1" applyAlignment="1">
      <alignment horizontal="center" vertical="center"/>
    </xf>
    <xf numFmtId="9" fontId="66" fillId="0" borderId="485" xfId="3" applyNumberFormat="1" applyFont="1" applyFill="1" applyBorder="1" applyAlignment="1">
      <alignment horizontal="center" vertical="center"/>
    </xf>
    <xf numFmtId="178" fontId="66" fillId="0" borderId="396" xfId="0" applyNumberFormat="1" applyFont="1" applyBorder="1" applyAlignment="1">
      <alignment horizontal="center" vertical="center"/>
    </xf>
    <xf numFmtId="9" fontId="66" fillId="0" borderId="397" xfId="3" applyFont="1" applyFill="1" applyBorder="1" applyAlignment="1">
      <alignment horizontal="center" vertical="center"/>
    </xf>
    <xf numFmtId="177" fontId="66" fillId="0" borderId="68" xfId="0" applyNumberFormat="1" applyFont="1" applyBorder="1" applyAlignment="1">
      <alignment horizontal="center" vertical="center"/>
    </xf>
    <xf numFmtId="179" fontId="66" fillId="0" borderId="71" xfId="0" applyNumberFormat="1" applyFont="1" applyBorder="1" applyAlignment="1">
      <alignment horizontal="center" vertical="center"/>
    </xf>
    <xf numFmtId="0" fontId="74" fillId="13" borderId="0" xfId="0" applyFont="1" applyFill="1" applyBorder="1">
      <alignment vertical="center"/>
    </xf>
    <xf numFmtId="0" fontId="66" fillId="13" borderId="0" xfId="0" applyFont="1" applyFill="1" applyBorder="1">
      <alignment vertical="center"/>
    </xf>
    <xf numFmtId="178" fontId="66" fillId="13" borderId="11" xfId="0" applyNumberFormat="1" applyFont="1" applyFill="1" applyBorder="1" applyAlignment="1">
      <alignment horizontal="center" vertical="center"/>
    </xf>
    <xf numFmtId="178" fontId="66" fillId="13" borderId="1114" xfId="0" applyNumberFormat="1" applyFont="1" applyFill="1" applyBorder="1" applyAlignment="1">
      <alignment horizontal="center" vertical="center"/>
    </xf>
    <xf numFmtId="178" fontId="66" fillId="13" borderId="485" xfId="0" applyNumberFormat="1" applyFont="1" applyFill="1" applyBorder="1" applyAlignment="1">
      <alignment horizontal="center" vertical="center"/>
    </xf>
    <xf numFmtId="178" fontId="66" fillId="13" borderId="0" xfId="0" applyNumberFormat="1" applyFont="1" applyFill="1" applyBorder="1" applyAlignment="1">
      <alignment horizontal="center" vertical="center"/>
    </xf>
    <xf numFmtId="9" fontId="66" fillId="13" borderId="485" xfId="3" applyNumberFormat="1" applyFont="1" applyFill="1" applyBorder="1" applyAlignment="1">
      <alignment horizontal="center" vertical="center"/>
    </xf>
    <xf numFmtId="178" fontId="66" fillId="13" borderId="398" xfId="0" applyNumberFormat="1" applyFont="1" applyFill="1" applyBorder="1" applyAlignment="1">
      <alignment horizontal="center" vertical="center"/>
    </xf>
    <xf numFmtId="9" fontId="66" fillId="13" borderId="399" xfId="3" applyFont="1" applyFill="1" applyBorder="1" applyAlignment="1">
      <alignment horizontal="center" vertical="center"/>
    </xf>
    <xf numFmtId="177" fontId="66" fillId="13" borderId="0" xfId="0" applyNumberFormat="1" applyFont="1" applyFill="1" applyBorder="1" applyAlignment="1">
      <alignment horizontal="center" vertical="center"/>
    </xf>
    <xf numFmtId="179" fontId="66" fillId="13" borderId="46" xfId="0" applyNumberFormat="1" applyFont="1" applyFill="1" applyBorder="1" applyAlignment="1">
      <alignment horizontal="center" vertical="center"/>
    </xf>
    <xf numFmtId="178" fontId="66" fillId="0" borderId="11" xfId="0" applyNumberFormat="1" applyFont="1" applyBorder="1" applyAlignment="1">
      <alignment horizontal="center" vertical="center"/>
    </xf>
    <xf numFmtId="178" fontId="66" fillId="0" borderId="1114" xfId="0" applyNumberFormat="1" applyFont="1" applyBorder="1" applyAlignment="1">
      <alignment horizontal="center" vertical="center"/>
    </xf>
    <xf numFmtId="178" fontId="66" fillId="0" borderId="398" xfId="0" applyNumberFormat="1" applyFont="1" applyBorder="1" applyAlignment="1">
      <alignment horizontal="center" vertical="center"/>
    </xf>
    <xf numFmtId="9" fontId="66" fillId="0" borderId="399" xfId="3" applyFont="1" applyFill="1" applyBorder="1" applyAlignment="1">
      <alignment horizontal="center" vertical="center"/>
    </xf>
    <xf numFmtId="177" fontId="66" fillId="0" borderId="0" xfId="0" applyNumberFormat="1" applyFont="1" applyBorder="1" applyAlignment="1">
      <alignment horizontal="center" vertical="center"/>
    </xf>
    <xf numFmtId="179" fontId="66" fillId="0" borderId="46" xfId="0" applyNumberFormat="1" applyFont="1" applyBorder="1" applyAlignment="1">
      <alignment horizontal="center" vertical="center"/>
    </xf>
    <xf numFmtId="0" fontId="78" fillId="0" borderId="0" xfId="0" applyFont="1" applyBorder="1">
      <alignment vertical="center"/>
    </xf>
    <xf numFmtId="0" fontId="74" fillId="13" borderId="6" xfId="0" applyFont="1" applyFill="1" applyBorder="1">
      <alignment vertical="center"/>
    </xf>
    <xf numFmtId="0" fontId="66" fillId="13" borderId="6" xfId="0" applyFont="1" applyFill="1" applyBorder="1">
      <alignment vertical="center"/>
    </xf>
    <xf numFmtId="178" fontId="66" fillId="13" borderId="48" xfId="0" applyNumberFormat="1" applyFont="1" applyFill="1" applyBorder="1" applyAlignment="1">
      <alignment horizontal="center" vertical="center"/>
    </xf>
    <xf numFmtId="178" fontId="66" fillId="13" borderId="1115" xfId="0" applyNumberFormat="1" applyFont="1" applyFill="1" applyBorder="1" applyAlignment="1">
      <alignment horizontal="center" vertical="center"/>
    </xf>
    <xf numFmtId="178" fontId="66" fillId="13" borderId="507" xfId="0" applyNumberFormat="1" applyFont="1" applyFill="1" applyBorder="1" applyAlignment="1">
      <alignment horizontal="center" vertical="center"/>
    </xf>
    <xf numFmtId="178" fontId="66" fillId="13" borderId="6" xfId="0" applyNumberFormat="1" applyFont="1" applyFill="1" applyBorder="1" applyAlignment="1">
      <alignment horizontal="center" vertical="center"/>
    </xf>
    <xf numFmtId="9" fontId="66" fillId="13" borderId="507" xfId="3" applyNumberFormat="1" applyFont="1" applyFill="1" applyBorder="1" applyAlignment="1">
      <alignment horizontal="center" vertical="center"/>
    </xf>
    <xf numFmtId="178" fontId="66" fillId="13" borderId="400" xfId="0" applyNumberFormat="1" applyFont="1" applyFill="1" applyBorder="1" applyAlignment="1">
      <alignment horizontal="center" vertical="center"/>
    </xf>
    <xf numFmtId="9" fontId="66" fillId="13" borderId="401" xfId="3" applyFont="1" applyFill="1" applyBorder="1" applyAlignment="1">
      <alignment horizontal="center" vertical="center"/>
    </xf>
    <xf numFmtId="177" fontId="66" fillId="13" borderId="6" xfId="0" applyNumberFormat="1" applyFont="1" applyFill="1" applyBorder="1" applyAlignment="1">
      <alignment horizontal="center" vertical="center"/>
    </xf>
    <xf numFmtId="179" fontId="66" fillId="13" borderId="43" xfId="0" applyNumberFormat="1" applyFont="1" applyFill="1" applyBorder="1" applyAlignment="1">
      <alignment horizontal="center" vertical="center"/>
    </xf>
    <xf numFmtId="0" fontId="74" fillId="13" borderId="4" xfId="0" applyFont="1" applyFill="1" applyBorder="1">
      <alignment vertical="center"/>
    </xf>
    <xf numFmtId="0" fontId="66" fillId="13" borderId="4" xfId="0" applyFont="1" applyFill="1" applyBorder="1">
      <alignment vertical="center"/>
    </xf>
    <xf numFmtId="178" fontId="66" fillId="13" borderId="9" xfId="0" applyNumberFormat="1" applyFont="1" applyFill="1" applyBorder="1" applyAlignment="1">
      <alignment horizontal="center" vertical="center"/>
    </xf>
    <xf numFmtId="178" fontId="66" fillId="13" borderId="1112" xfId="0" applyNumberFormat="1" applyFont="1" applyFill="1" applyBorder="1" applyAlignment="1">
      <alignment horizontal="center" vertical="center"/>
    </xf>
    <xf numFmtId="178" fontId="66" fillId="13" borderId="671" xfId="0" applyNumberFormat="1" applyFont="1" applyFill="1" applyBorder="1" applyAlignment="1">
      <alignment horizontal="center" vertical="center"/>
    </xf>
    <xf numFmtId="178" fontId="66" fillId="13" borderId="4" xfId="0" applyNumberFormat="1" applyFont="1" applyFill="1" applyBorder="1" applyAlignment="1">
      <alignment horizontal="center" vertical="center"/>
    </xf>
    <xf numFmtId="9" fontId="66" fillId="13" borderId="671" xfId="3" applyNumberFormat="1" applyFont="1" applyFill="1" applyBorder="1" applyAlignment="1">
      <alignment horizontal="center" vertical="center"/>
    </xf>
    <xf numFmtId="178" fontId="66" fillId="13" borderId="1120" xfId="0" applyNumberFormat="1" applyFont="1" applyFill="1" applyBorder="1" applyAlignment="1">
      <alignment horizontal="center" vertical="center"/>
    </xf>
    <xf numFmtId="9" fontId="66" fillId="13" borderId="395" xfId="3" applyFont="1" applyFill="1" applyBorder="1" applyAlignment="1">
      <alignment horizontal="center" vertical="center"/>
    </xf>
    <xf numFmtId="177" fontId="66" fillId="13" borderId="4" xfId="0" applyNumberFormat="1" applyFont="1" applyFill="1" applyBorder="1" applyAlignment="1">
      <alignment horizontal="center" vertical="center"/>
    </xf>
    <xf numFmtId="179" fontId="66" fillId="13" borderId="45" xfId="0" applyNumberFormat="1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vertical="center" shrinkToFit="1"/>
    </xf>
    <xf numFmtId="178" fontId="66" fillId="13" borderId="485" xfId="2" applyNumberFormat="1" applyFont="1" applyFill="1" applyBorder="1" applyAlignment="1">
      <alignment horizontal="center" vertical="center"/>
    </xf>
    <xf numFmtId="178" fontId="66" fillId="13" borderId="0" xfId="2" applyNumberFormat="1" applyFont="1" applyFill="1" applyBorder="1" applyAlignment="1">
      <alignment horizontal="center" vertical="center"/>
    </xf>
    <xf numFmtId="0" fontId="66" fillId="8" borderId="0" xfId="0" applyFont="1" applyFill="1" applyBorder="1">
      <alignment vertical="center"/>
    </xf>
    <xf numFmtId="178" fontId="66" fillId="8" borderId="11" xfId="0" applyNumberFormat="1" applyFont="1" applyFill="1" applyBorder="1" applyAlignment="1">
      <alignment horizontal="center" vertical="center"/>
    </xf>
    <xf numFmtId="178" fontId="66" fillId="8" borderId="1114" xfId="0" applyNumberFormat="1" applyFont="1" applyFill="1" applyBorder="1" applyAlignment="1">
      <alignment horizontal="center" vertical="center"/>
    </xf>
    <xf numFmtId="178" fontId="66" fillId="8" borderId="485" xfId="0" applyNumberFormat="1" applyFont="1" applyFill="1" applyBorder="1" applyAlignment="1">
      <alignment horizontal="center" vertical="center"/>
    </xf>
    <xf numFmtId="178" fontId="66" fillId="8" borderId="0" xfId="0" applyNumberFormat="1" applyFont="1" applyFill="1" applyBorder="1" applyAlignment="1">
      <alignment horizontal="center" vertical="center"/>
    </xf>
    <xf numFmtId="9" fontId="66" fillId="8" borderId="485" xfId="3" applyNumberFormat="1" applyFont="1" applyFill="1" applyBorder="1" applyAlignment="1">
      <alignment horizontal="center" vertical="center"/>
    </xf>
    <xf numFmtId="178" fontId="66" fillId="8" borderId="398" xfId="0" applyNumberFormat="1" applyFont="1" applyFill="1" applyBorder="1" applyAlignment="1">
      <alignment horizontal="center" vertical="center"/>
    </xf>
    <xf numFmtId="9" fontId="66" fillId="8" borderId="399" xfId="3" applyFont="1" applyFill="1" applyBorder="1" applyAlignment="1">
      <alignment horizontal="center" vertical="center"/>
    </xf>
    <xf numFmtId="177" fontId="66" fillId="8" borderId="0" xfId="0" applyNumberFormat="1" applyFont="1" applyFill="1" applyBorder="1" applyAlignment="1">
      <alignment horizontal="center" vertical="center"/>
    </xf>
    <xf numFmtId="179" fontId="66" fillId="8" borderId="46" xfId="0" applyNumberFormat="1" applyFont="1" applyFill="1" applyBorder="1" applyAlignment="1">
      <alignment horizontal="center" vertical="center"/>
    </xf>
    <xf numFmtId="0" fontId="91" fillId="0" borderId="0" xfId="0" applyFont="1" applyBorder="1">
      <alignment vertical="center"/>
    </xf>
    <xf numFmtId="178" fontId="86" fillId="8" borderId="11" xfId="0" applyNumberFormat="1" applyFont="1" applyFill="1" applyBorder="1" applyAlignment="1">
      <alignment horizontal="center" vertical="center"/>
    </xf>
    <xf numFmtId="178" fontId="86" fillId="8" borderId="1114" xfId="0" applyNumberFormat="1" applyFont="1" applyFill="1" applyBorder="1" applyAlignment="1">
      <alignment horizontal="center" vertical="center"/>
    </xf>
    <xf numFmtId="178" fontId="86" fillId="8" borderId="485" xfId="0" applyNumberFormat="1" applyFont="1" applyFill="1" applyBorder="1" applyAlignment="1">
      <alignment horizontal="center" vertical="center"/>
    </xf>
    <xf numFmtId="178" fontId="86" fillId="8" borderId="0" xfId="0" applyNumberFormat="1" applyFont="1" applyFill="1" applyBorder="1" applyAlignment="1">
      <alignment horizontal="center" vertical="center"/>
    </xf>
    <xf numFmtId="9" fontId="86" fillId="8" borderId="485" xfId="3" applyNumberFormat="1" applyFont="1" applyFill="1" applyBorder="1" applyAlignment="1">
      <alignment horizontal="center" vertical="center"/>
    </xf>
    <xf numFmtId="178" fontId="86" fillId="8" borderId="398" xfId="0" applyNumberFormat="1" applyFont="1" applyFill="1" applyBorder="1" applyAlignment="1">
      <alignment horizontal="center" vertical="center"/>
    </xf>
    <xf numFmtId="9" fontId="86" fillId="8" borderId="399" xfId="3" applyFont="1" applyFill="1" applyBorder="1" applyAlignment="1">
      <alignment horizontal="center" vertical="center"/>
    </xf>
    <xf numFmtId="177" fontId="86" fillId="8" borderId="0" xfId="0" applyNumberFormat="1" applyFont="1" applyFill="1" applyBorder="1" applyAlignment="1">
      <alignment horizontal="center" vertical="center"/>
    </xf>
    <xf numFmtId="179" fontId="86" fillId="8" borderId="46" xfId="0" applyNumberFormat="1" applyFont="1" applyFill="1" applyBorder="1" applyAlignment="1">
      <alignment horizontal="center" vertical="center"/>
    </xf>
    <xf numFmtId="0" fontId="97" fillId="22" borderId="0" xfId="0" applyFont="1" applyFill="1" applyAlignment="1">
      <alignment horizontal="center" vertical="center"/>
    </xf>
    <xf numFmtId="233" fontId="86" fillId="0" borderId="0" xfId="0" applyNumberFormat="1" applyFont="1">
      <alignment vertical="center"/>
    </xf>
    <xf numFmtId="178" fontId="86" fillId="0" borderId="11" xfId="0" applyNumberFormat="1" applyFont="1" applyBorder="1" applyAlignment="1">
      <alignment horizontal="center" vertical="center"/>
    </xf>
    <xf numFmtId="178" fontId="86" fillId="0" borderId="1114" xfId="0" applyNumberFormat="1" applyFont="1" applyBorder="1" applyAlignment="1">
      <alignment horizontal="center" vertical="center"/>
    </xf>
    <xf numFmtId="178" fontId="86" fillId="0" borderId="485" xfId="0" applyNumberFormat="1" applyFont="1" applyBorder="1" applyAlignment="1">
      <alignment horizontal="center" vertical="center"/>
    </xf>
    <xf numFmtId="178" fontId="86" fillId="0" borderId="0" xfId="0" applyNumberFormat="1" applyFont="1" applyBorder="1" applyAlignment="1">
      <alignment horizontal="center" vertical="center"/>
    </xf>
    <xf numFmtId="9" fontId="86" fillId="0" borderId="485" xfId="3" applyNumberFormat="1" applyFont="1" applyFill="1" applyBorder="1" applyAlignment="1">
      <alignment horizontal="center" vertical="center"/>
    </xf>
    <xf numFmtId="178" fontId="86" fillId="0" borderId="398" xfId="0" applyNumberFormat="1" applyFont="1" applyBorder="1" applyAlignment="1">
      <alignment horizontal="center" vertical="center"/>
    </xf>
    <xf numFmtId="9" fontId="86" fillId="0" borderId="399" xfId="3" applyFont="1" applyFill="1" applyBorder="1" applyAlignment="1">
      <alignment horizontal="center" vertical="center"/>
    </xf>
    <xf numFmtId="177" fontId="86" fillId="0" borderId="0" xfId="0" applyNumberFormat="1" applyFont="1" applyBorder="1" applyAlignment="1">
      <alignment horizontal="center" vertical="center"/>
    </xf>
    <xf numFmtId="179" fontId="86" fillId="0" borderId="46" xfId="0" applyNumberFormat="1" applyFont="1" applyBorder="1" applyAlignment="1">
      <alignment horizontal="center" vertical="center"/>
    </xf>
    <xf numFmtId="0" fontId="86" fillId="13" borderId="0" xfId="0" applyFont="1" applyFill="1" applyBorder="1">
      <alignment vertical="center"/>
    </xf>
    <xf numFmtId="178" fontId="86" fillId="13" borderId="11" xfId="0" applyNumberFormat="1" applyFont="1" applyFill="1" applyBorder="1" applyAlignment="1">
      <alignment horizontal="center" vertical="center"/>
    </xf>
    <xf numFmtId="178" fontId="86" fillId="13" borderId="1114" xfId="0" applyNumberFormat="1" applyFont="1" applyFill="1" applyBorder="1" applyAlignment="1">
      <alignment horizontal="center" vertical="center"/>
    </xf>
    <xf numFmtId="178" fontId="86" fillId="13" borderId="485" xfId="0" applyNumberFormat="1" applyFont="1" applyFill="1" applyBorder="1" applyAlignment="1">
      <alignment horizontal="center" vertical="center"/>
    </xf>
    <xf numFmtId="178" fontId="86" fillId="13" borderId="0" xfId="0" applyNumberFormat="1" applyFont="1" applyFill="1" applyBorder="1" applyAlignment="1">
      <alignment horizontal="center" vertical="center"/>
    </xf>
    <xf numFmtId="9" fontId="86" fillId="13" borderId="485" xfId="3" applyNumberFormat="1" applyFont="1" applyFill="1" applyBorder="1" applyAlignment="1">
      <alignment horizontal="center" vertical="center"/>
    </xf>
    <xf numFmtId="178" fontId="86" fillId="13" borderId="398" xfId="0" applyNumberFormat="1" applyFont="1" applyFill="1" applyBorder="1" applyAlignment="1">
      <alignment horizontal="center" vertical="center"/>
    </xf>
    <xf numFmtId="9" fontId="86" fillId="13" borderId="399" xfId="3" applyFont="1" applyFill="1" applyBorder="1" applyAlignment="1">
      <alignment horizontal="center" vertical="center"/>
    </xf>
    <xf numFmtId="177" fontId="86" fillId="13" borderId="0" xfId="0" applyNumberFormat="1" applyFont="1" applyFill="1" applyBorder="1" applyAlignment="1">
      <alignment horizontal="center" vertical="center"/>
    </xf>
    <xf numFmtId="179" fontId="86" fillId="13" borderId="46" xfId="0" applyNumberFormat="1" applyFont="1" applyFill="1" applyBorder="1" applyAlignment="1">
      <alignment horizontal="center" vertical="center"/>
    </xf>
    <xf numFmtId="0" fontId="74" fillId="13" borderId="85" xfId="0" applyFont="1" applyFill="1" applyBorder="1">
      <alignment vertical="center"/>
    </xf>
    <xf numFmtId="0" fontId="74" fillId="13" borderId="1116" xfId="0" applyFont="1" applyFill="1" applyBorder="1">
      <alignment vertical="center"/>
    </xf>
    <xf numFmtId="0" fontId="66" fillId="13" borderId="1116" xfId="0" applyFont="1" applyFill="1" applyBorder="1">
      <alignment vertical="center"/>
    </xf>
    <xf numFmtId="178" fontId="86" fillId="13" borderId="1122" xfId="0" applyNumberFormat="1" applyFont="1" applyFill="1" applyBorder="1" applyAlignment="1">
      <alignment horizontal="center" vertical="center"/>
    </xf>
    <xf numFmtId="178" fontId="86" fillId="13" borderId="1123" xfId="0" applyNumberFormat="1" applyFont="1" applyFill="1" applyBorder="1" applyAlignment="1">
      <alignment horizontal="center" vertical="center"/>
    </xf>
    <xf numFmtId="178" fontId="86" fillId="13" borderId="1116" xfId="0" applyNumberFormat="1" applyFont="1" applyFill="1" applyBorder="1" applyAlignment="1">
      <alignment horizontal="center" vertical="center"/>
    </xf>
    <xf numFmtId="9" fontId="86" fillId="13" borderId="1122" xfId="3" applyNumberFormat="1" applyFont="1" applyFill="1" applyBorder="1" applyAlignment="1">
      <alignment horizontal="center" vertical="center"/>
    </xf>
    <xf numFmtId="178" fontId="86" fillId="13" borderId="1117" xfId="0" applyNumberFormat="1" applyFont="1" applyFill="1" applyBorder="1" applyAlignment="1">
      <alignment horizontal="center" vertical="center"/>
    </xf>
    <xf numFmtId="9" fontId="86" fillId="13" borderId="1118" xfId="3" applyFont="1" applyFill="1" applyBorder="1" applyAlignment="1">
      <alignment horizontal="center" vertical="center"/>
    </xf>
    <xf numFmtId="177" fontId="86" fillId="13" borderId="1116" xfId="0" applyNumberFormat="1" applyFont="1" applyFill="1" applyBorder="1" applyAlignment="1">
      <alignment horizontal="center" vertical="center"/>
    </xf>
    <xf numFmtId="179" fontId="86" fillId="13" borderId="1119" xfId="0" applyNumberFormat="1" applyFont="1" applyFill="1" applyBorder="1" applyAlignment="1">
      <alignment horizontal="center" vertical="center"/>
    </xf>
    <xf numFmtId="0" fontId="88" fillId="4" borderId="1169" xfId="0" quotePrefix="1" applyFont="1" applyFill="1" applyBorder="1" applyAlignment="1">
      <alignment horizontal="center" vertical="center"/>
    </xf>
    <xf numFmtId="0" fontId="88" fillId="4" borderId="1168" xfId="0" quotePrefix="1" applyFont="1" applyFill="1" applyBorder="1" applyAlignment="1">
      <alignment horizontal="center" vertical="center"/>
    </xf>
    <xf numFmtId="0" fontId="86" fillId="4" borderId="1167" xfId="0" quotePrefix="1" applyFont="1" applyFill="1" applyBorder="1" applyAlignment="1">
      <alignment horizontal="center" vertical="center"/>
    </xf>
    <xf numFmtId="0" fontId="86" fillId="4" borderId="1124" xfId="0" quotePrefix="1" applyFont="1" applyFill="1" applyBorder="1" applyAlignment="1">
      <alignment horizontal="center" vertical="center"/>
    </xf>
    <xf numFmtId="0" fontId="86" fillId="10" borderId="1167" xfId="0" quotePrefix="1" applyFont="1" applyFill="1" applyBorder="1" applyAlignment="1">
      <alignment horizontal="center" vertical="center"/>
    </xf>
    <xf numFmtId="0" fontId="86" fillId="10" borderId="1124" xfId="0" quotePrefix="1" applyFont="1" applyFill="1" applyBorder="1" applyAlignment="1">
      <alignment horizontal="center" vertical="center"/>
    </xf>
    <xf numFmtId="239" fontId="87" fillId="8" borderId="1166" xfId="0" applyNumberFormat="1" applyFont="1" applyFill="1" applyBorder="1" applyAlignment="1">
      <alignment horizontal="center" vertical="center"/>
    </xf>
    <xf numFmtId="239" fontId="87" fillId="8" borderId="406" xfId="0" applyNumberFormat="1" applyFont="1" applyFill="1" applyBorder="1" applyAlignment="1">
      <alignment horizontal="center" vertical="center"/>
    </xf>
    <xf numFmtId="239" fontId="87" fillId="8" borderId="485" xfId="0" applyNumberFormat="1" applyFont="1" applyFill="1" applyBorder="1" applyAlignment="1">
      <alignment horizontal="center" vertical="center"/>
    </xf>
    <xf numFmtId="239" fontId="87" fillId="8" borderId="0" xfId="0" applyNumberFormat="1" applyFont="1" applyFill="1" applyBorder="1" applyAlignment="1">
      <alignment horizontal="center" vertical="center"/>
    </xf>
    <xf numFmtId="240" fontId="101" fillId="0" borderId="1128" xfId="0" applyNumberFormat="1" applyFont="1" applyBorder="1" applyAlignment="1">
      <alignment horizontal="center" vertical="center"/>
    </xf>
    <xf numFmtId="240" fontId="101" fillId="0" borderId="406" xfId="0" applyNumberFormat="1" applyFont="1" applyBorder="1" applyAlignment="1">
      <alignment horizontal="center" vertical="center"/>
    </xf>
    <xf numFmtId="240" fontId="101" fillId="0" borderId="485" xfId="0" applyNumberFormat="1" applyFont="1" applyBorder="1" applyAlignment="1">
      <alignment horizontal="center" vertical="center"/>
    </xf>
    <xf numFmtId="240" fontId="101" fillId="0" borderId="0" xfId="0" applyNumberFormat="1" applyFont="1" applyBorder="1" applyAlignment="1">
      <alignment horizontal="center" vertical="center"/>
    </xf>
    <xf numFmtId="234" fontId="87" fillId="8" borderId="1129" xfId="0" applyNumberFormat="1" applyFont="1" applyFill="1" applyBorder="1" applyAlignment="1">
      <alignment horizontal="center" vertical="center"/>
    </xf>
    <xf numFmtId="234" fontId="87" fillId="8" borderId="1126" xfId="0" applyNumberFormat="1" applyFont="1" applyFill="1" applyBorder="1" applyAlignment="1">
      <alignment horizontal="center" vertical="center"/>
    </xf>
    <xf numFmtId="234" fontId="87" fillId="8" borderId="926" xfId="0" applyNumberFormat="1" applyFont="1" applyFill="1" applyBorder="1" applyAlignment="1">
      <alignment horizontal="center" vertical="center"/>
    </xf>
    <xf numFmtId="234" fontId="87" fillId="8" borderId="925" xfId="0" applyNumberFormat="1" applyFont="1" applyFill="1" applyBorder="1" applyAlignment="1">
      <alignment horizontal="center" vertical="center"/>
    </xf>
    <xf numFmtId="0" fontId="102" fillId="8" borderId="1038" xfId="0" applyFont="1" applyFill="1" applyBorder="1" applyAlignment="1">
      <alignment horizontal="center" vertical="center"/>
    </xf>
    <xf numFmtId="0" fontId="103" fillId="8" borderId="1039" xfId="0" applyFont="1" applyFill="1" applyBorder="1" applyAlignment="1">
      <alignment horizontal="center" vertical="center"/>
    </xf>
    <xf numFmtId="235" fontId="92" fillId="8" borderId="1130" xfId="0" applyNumberFormat="1" applyFont="1" applyFill="1" applyBorder="1" applyAlignment="1">
      <alignment horizontal="center" vertical="center"/>
    </xf>
    <xf numFmtId="235" fontId="92" fillId="8" borderId="1127" xfId="0" applyNumberFormat="1" applyFont="1" applyFill="1" applyBorder="1" applyAlignment="1">
      <alignment horizontal="center" vertical="center"/>
    </xf>
    <xf numFmtId="235" fontId="92" fillId="8" borderId="1163" xfId="0" applyNumberFormat="1" applyFont="1" applyFill="1" applyBorder="1" applyAlignment="1">
      <alignment horizontal="center" vertical="center"/>
    </xf>
    <xf numFmtId="235" fontId="92" fillId="8" borderId="1041" xfId="0" applyNumberFormat="1" applyFont="1" applyFill="1" applyBorder="1" applyAlignment="1">
      <alignment horizontal="center" vertical="center"/>
    </xf>
    <xf numFmtId="0" fontId="101" fillId="0" borderId="1037" xfId="0" applyFont="1" applyBorder="1" applyAlignment="1">
      <alignment horizontal="left" vertical="center"/>
    </xf>
    <xf numFmtId="0" fontId="104" fillId="0" borderId="1031" xfId="0" applyFont="1" applyBorder="1" applyAlignment="1">
      <alignment horizontal="center" vertical="center"/>
    </xf>
    <xf numFmtId="1" fontId="101" fillId="0" borderId="1128" xfId="0" applyNumberFormat="1" applyFont="1" applyBorder="1" applyAlignment="1">
      <alignment horizontal="center" vertical="center"/>
    </xf>
    <xf numFmtId="1" fontId="101" fillId="0" borderId="406" xfId="0" applyNumberFormat="1" applyFont="1" applyBorder="1" applyAlignment="1">
      <alignment horizontal="center" vertical="center"/>
    </xf>
    <xf numFmtId="1" fontId="101" fillId="0" borderId="485" xfId="0" applyNumberFormat="1" applyFont="1" applyBorder="1" applyAlignment="1">
      <alignment horizontal="center" vertical="center"/>
    </xf>
    <xf numFmtId="1" fontId="101" fillId="0" borderId="0" xfId="0" applyNumberFormat="1" applyFont="1" applyBorder="1" applyAlignment="1">
      <alignment horizontal="center" vertical="center"/>
    </xf>
    <xf numFmtId="0" fontId="102" fillId="0" borderId="1038" xfId="0" applyFont="1" applyBorder="1" applyAlignment="1">
      <alignment horizontal="center" vertical="center"/>
    </xf>
    <xf numFmtId="0" fontId="104" fillId="0" borderId="1039" xfId="0" applyFont="1" applyBorder="1" applyAlignment="1">
      <alignment horizontal="center" vertical="center"/>
    </xf>
    <xf numFmtId="235" fontId="92" fillId="0" borderId="1130" xfId="0" applyNumberFormat="1" applyFont="1" applyBorder="1" applyAlignment="1">
      <alignment horizontal="center" vertical="center"/>
    </xf>
    <xf numFmtId="235" fontId="92" fillId="0" borderId="1127" xfId="0" applyNumberFormat="1" applyFont="1" applyBorder="1" applyAlignment="1">
      <alignment horizontal="center" vertical="center"/>
    </xf>
    <xf numFmtId="235" fontId="92" fillId="0" borderId="1163" xfId="0" applyNumberFormat="1" applyFont="1" applyBorder="1" applyAlignment="1">
      <alignment horizontal="center" vertical="center"/>
    </xf>
    <xf numFmtId="235" fontId="92" fillId="0" borderId="1041" xfId="0" applyNumberFormat="1" applyFont="1" applyBorder="1" applyAlignment="1">
      <alignment horizontal="center" vertical="center"/>
    </xf>
    <xf numFmtId="0" fontId="102" fillId="0" borderId="1037" xfId="0" applyFont="1" applyBorder="1" applyAlignment="1">
      <alignment horizontal="center" vertical="center"/>
    </xf>
    <xf numFmtId="235" fontId="92" fillId="0" borderId="1128" xfId="0" applyNumberFormat="1" applyFont="1" applyBorder="1" applyAlignment="1">
      <alignment horizontal="center" vertical="center"/>
    </xf>
    <xf numFmtId="235" fontId="92" fillId="0" borderId="406" xfId="0" applyNumberFormat="1" applyFont="1" applyBorder="1" applyAlignment="1">
      <alignment horizontal="center" vertical="center"/>
    </xf>
    <xf numFmtId="235" fontId="92" fillId="0" borderId="485" xfId="0" applyNumberFormat="1" applyFont="1" applyBorder="1" applyAlignment="1">
      <alignment horizontal="center" vertical="center"/>
    </xf>
    <xf numFmtId="235" fontId="92" fillId="0" borderId="0" xfId="0" applyNumberFormat="1" applyFont="1" applyBorder="1" applyAlignment="1">
      <alignment horizontal="center" vertical="center"/>
    </xf>
    <xf numFmtId="0" fontId="102" fillId="8" borderId="1037" xfId="0" applyFont="1" applyFill="1" applyBorder="1" applyAlignment="1">
      <alignment horizontal="center" vertical="center"/>
    </xf>
    <xf numFmtId="0" fontId="100" fillId="8" borderId="1031" xfId="0" applyFont="1" applyFill="1" applyBorder="1" applyAlignment="1">
      <alignment horizontal="left" vertical="center"/>
    </xf>
    <xf numFmtId="235" fontId="104" fillId="8" borderId="1128" xfId="0" applyNumberFormat="1" applyFont="1" applyFill="1" applyBorder="1" applyAlignment="1">
      <alignment horizontal="center" vertical="center"/>
    </xf>
    <xf numFmtId="235" fontId="104" fillId="8" borderId="406" xfId="0" applyNumberFormat="1" applyFont="1" applyFill="1" applyBorder="1" applyAlignment="1">
      <alignment horizontal="center" vertical="center"/>
    </xf>
    <xf numFmtId="235" fontId="104" fillId="8" borderId="485" xfId="0" applyNumberFormat="1" applyFont="1" applyFill="1" applyBorder="1" applyAlignment="1">
      <alignment horizontal="center" vertical="center"/>
    </xf>
    <xf numFmtId="235" fontId="104" fillId="8" borderId="0" xfId="0" applyNumberFormat="1" applyFont="1" applyFill="1" applyBorder="1" applyAlignment="1">
      <alignment horizontal="center" vertical="center"/>
    </xf>
    <xf numFmtId="0" fontId="102" fillId="5" borderId="1037" xfId="0" applyFont="1" applyFill="1" applyBorder="1" applyAlignment="1">
      <alignment horizontal="center" vertical="center"/>
    </xf>
    <xf numFmtId="0" fontId="87" fillId="5" borderId="1031" xfId="0" applyFont="1" applyFill="1" applyBorder="1" applyAlignment="1">
      <alignment horizontal="left" vertical="center"/>
    </xf>
    <xf numFmtId="234" fontId="87" fillId="69" borderId="1128" xfId="0" applyNumberFormat="1" applyFont="1" applyFill="1" applyBorder="1" applyAlignment="1">
      <alignment horizontal="center" vertical="center"/>
    </xf>
    <xf numFmtId="234" fontId="87" fillId="69" borderId="406" xfId="0" applyNumberFormat="1" applyFont="1" applyFill="1" applyBorder="1" applyAlignment="1">
      <alignment horizontal="center" vertical="center"/>
    </xf>
    <xf numFmtId="234" fontId="87" fillId="5" borderId="485" xfId="0" applyNumberFormat="1" applyFont="1" applyFill="1" applyBorder="1" applyAlignment="1">
      <alignment horizontal="center" vertical="center"/>
    </xf>
    <xf numFmtId="178" fontId="87" fillId="5" borderId="0" xfId="0" applyNumberFormat="1" applyFont="1" applyFill="1" applyBorder="1" applyAlignment="1">
      <alignment horizontal="center" vertical="center"/>
    </xf>
    <xf numFmtId="234" fontId="87" fillId="5" borderId="0" xfId="0" applyNumberFormat="1" applyFont="1" applyFill="1" applyBorder="1" applyAlignment="1">
      <alignment horizontal="center" vertical="center"/>
    </xf>
    <xf numFmtId="0" fontId="102" fillId="5" borderId="1038" xfId="0" applyFont="1" applyFill="1" applyBorder="1" applyAlignment="1">
      <alignment horizontal="center" vertical="center"/>
    </xf>
    <xf numFmtId="0" fontId="102" fillId="5" borderId="1039" xfId="0" applyFont="1" applyFill="1" applyBorder="1" applyAlignment="1">
      <alignment horizontal="center" vertical="center"/>
    </xf>
    <xf numFmtId="235" fontId="92" fillId="69" borderId="1130" xfId="0" applyNumberFormat="1" applyFont="1" applyFill="1" applyBorder="1" applyAlignment="1">
      <alignment horizontal="center" vertical="center"/>
    </xf>
    <xf numFmtId="235" fontId="92" fillId="69" borderId="1127" xfId="0" applyNumberFormat="1" applyFont="1" applyFill="1" applyBorder="1" applyAlignment="1">
      <alignment horizontal="center" vertical="center"/>
    </xf>
    <xf numFmtId="235" fontId="92" fillId="5" borderId="1163" xfId="0" applyNumberFormat="1" applyFont="1" applyFill="1" applyBorder="1" applyAlignment="1">
      <alignment horizontal="center" vertical="center"/>
    </xf>
    <xf numFmtId="235" fontId="92" fillId="5" borderId="1041" xfId="0" applyNumberFormat="1" applyFont="1" applyFill="1" applyBorder="1" applyAlignment="1">
      <alignment horizontal="center" vertical="center"/>
    </xf>
    <xf numFmtId="0" fontId="105" fillId="58" borderId="1037" xfId="0" applyFont="1" applyFill="1" applyBorder="1" applyAlignment="1">
      <alignment horizontal="left" vertical="center"/>
    </xf>
    <xf numFmtId="0" fontId="104" fillId="58" borderId="1031" xfId="0" applyFont="1" applyFill="1" applyBorder="1" applyAlignment="1">
      <alignment horizontal="center" vertical="center"/>
    </xf>
    <xf numFmtId="178" fontId="101" fillId="58" borderId="1128" xfId="0" applyNumberFormat="1" applyFont="1" applyFill="1" applyBorder="1" applyAlignment="1">
      <alignment horizontal="center" vertical="center"/>
    </xf>
    <xf numFmtId="178" fontId="101" fillId="58" borderId="406" xfId="0" applyNumberFormat="1" applyFont="1" applyFill="1" applyBorder="1" applyAlignment="1">
      <alignment horizontal="center" vertical="center"/>
    </xf>
    <xf numFmtId="178" fontId="101" fillId="58" borderId="485" xfId="0" applyNumberFormat="1" applyFont="1" applyFill="1" applyBorder="1" applyAlignment="1">
      <alignment horizontal="center" vertical="center"/>
    </xf>
    <xf numFmtId="178" fontId="101" fillId="58" borderId="0" xfId="0" applyNumberFormat="1" applyFont="1" applyFill="1" applyBorder="1" applyAlignment="1">
      <alignment horizontal="center" vertical="center"/>
    </xf>
    <xf numFmtId="0" fontId="102" fillId="58" borderId="1037" xfId="0" applyFont="1" applyFill="1" applyBorder="1" applyAlignment="1">
      <alignment horizontal="center" vertical="center"/>
    </xf>
    <xf numFmtId="235" fontId="104" fillId="58" borderId="1128" xfId="0" applyNumberFormat="1" applyFont="1" applyFill="1" applyBorder="1" applyAlignment="1">
      <alignment horizontal="center" vertical="center"/>
    </xf>
    <xf numFmtId="235" fontId="104" fillId="58" borderId="406" xfId="0" applyNumberFormat="1" applyFont="1" applyFill="1" applyBorder="1" applyAlignment="1">
      <alignment horizontal="center" vertical="center"/>
    </xf>
    <xf numFmtId="235" fontId="104" fillId="58" borderId="485" xfId="0" applyNumberFormat="1" applyFont="1" applyFill="1" applyBorder="1" applyAlignment="1">
      <alignment horizontal="center" vertical="center"/>
    </xf>
    <xf numFmtId="235" fontId="104" fillId="58" borderId="0" xfId="0" applyNumberFormat="1" applyFont="1" applyFill="1" applyBorder="1" applyAlignment="1">
      <alignment horizontal="center" vertical="center"/>
    </xf>
    <xf numFmtId="0" fontId="87" fillId="5" borderId="1031" xfId="0" applyFont="1" applyFill="1" applyBorder="1" applyAlignment="1">
      <alignment horizontal="center" vertical="center"/>
    </xf>
    <xf numFmtId="3" fontId="101" fillId="5" borderId="485" xfId="0" applyNumberFormat="1" applyFont="1" applyFill="1" applyBorder="1" applyAlignment="1">
      <alignment horizontal="center" vertical="center"/>
    </xf>
    <xf numFmtId="3" fontId="101" fillId="5" borderId="0" xfId="0" applyNumberFormat="1" applyFont="1" applyFill="1" applyBorder="1" applyAlignment="1">
      <alignment horizontal="center" vertical="center"/>
    </xf>
    <xf numFmtId="237" fontId="101" fillId="5" borderId="0" xfId="0" applyNumberFormat="1" applyFont="1" applyFill="1" applyBorder="1" applyAlignment="1">
      <alignment horizontal="center" vertical="center"/>
    </xf>
    <xf numFmtId="237" fontId="101" fillId="5" borderId="485" xfId="0" applyNumberFormat="1" applyFont="1" applyFill="1" applyBorder="1" applyAlignment="1">
      <alignment horizontal="center" vertical="center"/>
    </xf>
    <xf numFmtId="0" fontId="102" fillId="5" borderId="1031" xfId="0" applyFont="1" applyFill="1" applyBorder="1" applyAlignment="1">
      <alignment horizontal="center" vertical="center"/>
    </xf>
    <xf numFmtId="235" fontId="92" fillId="5" borderId="485" xfId="0" applyNumberFormat="1" applyFont="1" applyFill="1" applyBorder="1" applyAlignment="1">
      <alignment horizontal="center" vertical="center"/>
    </xf>
    <xf numFmtId="235" fontId="92" fillId="5" borderId="0" xfId="0" applyNumberFormat="1" applyFont="1" applyFill="1" applyBorder="1" applyAlignment="1">
      <alignment horizontal="center" vertical="center"/>
    </xf>
    <xf numFmtId="0" fontId="100" fillId="58" borderId="1054" xfId="0" applyFont="1" applyFill="1" applyBorder="1" applyAlignment="1">
      <alignment horizontal="left" vertical="center"/>
    </xf>
    <xf numFmtId="237" fontId="101" fillId="58" borderId="1131" xfId="0" applyNumberFormat="1" applyFont="1" applyFill="1" applyBorder="1" applyAlignment="1">
      <alignment horizontal="center" vertical="center"/>
    </xf>
    <xf numFmtId="237" fontId="101" fillId="58" borderId="1056" xfId="0" applyNumberFormat="1" applyFont="1" applyFill="1" applyBorder="1" applyAlignment="1">
      <alignment horizontal="center" vertical="center"/>
    </xf>
    <xf numFmtId="237" fontId="101" fillId="58" borderId="1164" xfId="0" applyNumberFormat="1" applyFont="1" applyFill="1" applyBorder="1" applyAlignment="1">
      <alignment horizontal="center" vertical="center"/>
    </xf>
    <xf numFmtId="0" fontId="101" fillId="0" borderId="1037" xfId="0" applyFont="1" applyBorder="1" applyAlignment="1">
      <alignment horizontal="right" vertical="center"/>
    </xf>
    <xf numFmtId="0" fontId="87" fillId="0" borderId="1031" xfId="0" applyFont="1" applyBorder="1" applyAlignment="1">
      <alignment horizontal="center" vertical="center"/>
    </xf>
    <xf numFmtId="237" fontId="101" fillId="0" borderId="0" xfId="0" applyNumberFormat="1" applyFont="1" applyBorder="1" applyAlignment="1">
      <alignment horizontal="center" vertical="center"/>
    </xf>
    <xf numFmtId="237" fontId="101" fillId="0" borderId="485" xfId="0" applyNumberFormat="1" applyFont="1" applyBorder="1" applyAlignment="1">
      <alignment horizontal="center" vertical="center"/>
    </xf>
    <xf numFmtId="0" fontId="102" fillId="0" borderId="1046" xfId="0" applyFont="1" applyBorder="1" applyAlignment="1">
      <alignment horizontal="center" vertical="center"/>
    </xf>
    <xf numFmtId="0" fontId="100" fillId="58" borderId="1031" xfId="0" applyFont="1" applyFill="1" applyBorder="1" applyAlignment="1">
      <alignment horizontal="left" vertical="center"/>
    </xf>
    <xf numFmtId="237" fontId="101" fillId="58" borderId="1128" xfId="0" applyNumberFormat="1" applyFont="1" applyFill="1" applyBorder="1" applyAlignment="1">
      <alignment horizontal="center" vertical="center"/>
    </xf>
    <xf numFmtId="237" fontId="101" fillId="58" borderId="0" xfId="0" applyNumberFormat="1" applyFont="1" applyFill="1" applyBorder="1" applyAlignment="1">
      <alignment horizontal="center" vertical="center"/>
    </xf>
    <xf numFmtId="237" fontId="101" fillId="58" borderId="485" xfId="0" applyNumberFormat="1" applyFont="1" applyFill="1" applyBorder="1" applyAlignment="1">
      <alignment horizontal="center" vertical="center"/>
    </xf>
    <xf numFmtId="3" fontId="101" fillId="58" borderId="485" xfId="0" applyNumberFormat="1" applyFont="1" applyFill="1" applyBorder="1" applyAlignment="1">
      <alignment horizontal="center" vertical="center"/>
    </xf>
    <xf numFmtId="0" fontId="102" fillId="0" borderId="1031" xfId="0" applyFont="1" applyBorder="1" applyAlignment="1">
      <alignment horizontal="center" vertical="center"/>
    </xf>
    <xf numFmtId="235" fontId="92" fillId="5" borderId="1218" xfId="0" applyNumberFormat="1" applyFont="1" applyFill="1" applyBorder="1" applyAlignment="1">
      <alignment horizontal="center" vertical="center"/>
    </xf>
    <xf numFmtId="0" fontId="105" fillId="58" borderId="1043" xfId="0" applyFont="1" applyFill="1" applyBorder="1" applyAlignment="1">
      <alignment horizontal="left" vertical="center"/>
    </xf>
    <xf numFmtId="0" fontId="104" fillId="58" borderId="1044" xfId="0" applyFont="1" applyFill="1" applyBorder="1" applyAlignment="1">
      <alignment horizontal="center" vertical="center"/>
    </xf>
    <xf numFmtId="178" fontId="101" fillId="58" borderId="1129" xfId="0" applyNumberFormat="1" applyFont="1" applyFill="1" applyBorder="1" applyAlignment="1">
      <alignment horizontal="center" vertical="center"/>
    </xf>
    <xf numFmtId="178" fontId="101" fillId="58" borderId="1126" xfId="0" applyNumberFormat="1" applyFont="1" applyFill="1" applyBorder="1" applyAlignment="1">
      <alignment horizontal="center" vertical="center"/>
    </xf>
    <xf numFmtId="178" fontId="101" fillId="58" borderId="926" xfId="0" applyNumberFormat="1" applyFont="1" applyFill="1" applyBorder="1" applyAlignment="1">
      <alignment horizontal="center" vertical="center"/>
    </xf>
    <xf numFmtId="178" fontId="101" fillId="58" borderId="925" xfId="0" applyNumberFormat="1" applyFont="1" applyFill="1" applyBorder="1" applyAlignment="1">
      <alignment horizontal="center" vertical="center"/>
    </xf>
    <xf numFmtId="237" fontId="105" fillId="69" borderId="1128" xfId="0" applyNumberFormat="1" applyFont="1" applyFill="1" applyBorder="1" applyAlignment="1">
      <alignment horizontal="center" vertical="center"/>
    </xf>
    <xf numFmtId="237" fontId="105" fillId="69" borderId="406" xfId="0" applyNumberFormat="1" applyFont="1" applyFill="1" applyBorder="1" applyAlignment="1">
      <alignment horizontal="center" vertical="center"/>
    </xf>
    <xf numFmtId="0" fontId="102" fillId="0" borderId="1066" xfId="0" applyFont="1" applyBorder="1" applyAlignment="1">
      <alignment horizontal="center" vertical="center"/>
    </xf>
    <xf numFmtId="0" fontId="102" fillId="5" borderId="1067" xfId="0" applyFont="1" applyFill="1" applyBorder="1" applyAlignment="1">
      <alignment horizontal="center" vertical="center"/>
    </xf>
    <xf numFmtId="235" fontId="106" fillId="69" borderId="1132" xfId="0" applyNumberFormat="1" applyFont="1" applyFill="1" applyBorder="1" applyAlignment="1">
      <alignment horizontal="center" vertical="center"/>
    </xf>
    <xf numFmtId="235" fontId="106" fillId="69" borderId="862" xfId="0" applyNumberFormat="1" applyFont="1" applyFill="1" applyBorder="1" applyAlignment="1">
      <alignment horizontal="center" vertical="center"/>
    </xf>
    <xf numFmtId="235" fontId="92" fillId="5" borderId="647" xfId="0" applyNumberFormat="1" applyFont="1" applyFill="1" applyBorder="1" applyAlignment="1">
      <alignment horizontal="center" vertical="center"/>
    </xf>
    <xf numFmtId="235" fontId="92" fillId="5" borderId="518" xfId="0" applyNumberFormat="1" applyFont="1" applyFill="1" applyBorder="1" applyAlignment="1">
      <alignment horizontal="center" vertical="center"/>
    </xf>
    <xf numFmtId="178" fontId="88" fillId="4" borderId="688" xfId="0" quotePrefix="1" applyNumberFormat="1" applyFont="1" applyFill="1" applyBorder="1" applyAlignment="1">
      <alignment horizontal="center" vertical="center"/>
    </xf>
    <xf numFmtId="0" fontId="86" fillId="4" borderId="472" xfId="0" quotePrefix="1" applyFont="1" applyFill="1" applyBorder="1" applyAlignment="1">
      <alignment horizontal="center" vertical="center"/>
    </xf>
    <xf numFmtId="0" fontId="86" fillId="4" borderId="465" xfId="0" quotePrefix="1" applyFont="1" applyFill="1" applyBorder="1" applyAlignment="1">
      <alignment horizontal="center" vertical="center"/>
    </xf>
    <xf numFmtId="0" fontId="86" fillId="10" borderId="1172" xfId="0" quotePrefix="1" applyFont="1" applyFill="1" applyBorder="1" applyAlignment="1">
      <alignment horizontal="center" vertical="center"/>
    </xf>
    <xf numFmtId="0" fontId="86" fillId="10" borderId="465" xfId="0" quotePrefix="1" applyFont="1" applyFill="1" applyBorder="1" applyAlignment="1">
      <alignment horizontal="center" vertical="center"/>
    </xf>
    <xf numFmtId="0" fontId="86" fillId="10" borderId="1171" xfId="0" quotePrefix="1" applyFont="1" applyFill="1" applyBorder="1" applyAlignment="1">
      <alignment horizontal="center" vertical="center"/>
    </xf>
    <xf numFmtId="178" fontId="86" fillId="9" borderId="59" xfId="0" applyNumberFormat="1" applyFont="1" applyFill="1" applyBorder="1" applyAlignment="1">
      <alignment horizontal="center" vertical="center"/>
    </xf>
    <xf numFmtId="178" fontId="86" fillId="9" borderId="1170" xfId="0" applyNumberFormat="1" applyFont="1" applyFill="1" applyBorder="1" applyAlignment="1">
      <alignment horizontal="center" vertical="center"/>
    </xf>
    <xf numFmtId="178" fontId="86" fillId="9" borderId="466" xfId="0" applyNumberFormat="1" applyFont="1" applyFill="1" applyBorder="1" applyAlignment="1">
      <alignment horizontal="center" vertical="center"/>
    </xf>
    <xf numFmtId="180" fontId="86" fillId="9" borderId="1149" xfId="0" applyNumberFormat="1" applyFont="1" applyFill="1" applyBorder="1" applyAlignment="1">
      <alignment horizontal="center" vertical="center"/>
    </xf>
    <xf numFmtId="199" fontId="86" fillId="9" borderId="61" xfId="0" applyNumberFormat="1" applyFont="1" applyFill="1" applyBorder="1" applyAlignment="1">
      <alignment horizontal="center" vertical="center"/>
    </xf>
    <xf numFmtId="9" fontId="86" fillId="9" borderId="61" xfId="3" applyFont="1" applyFill="1" applyBorder="1" applyAlignment="1">
      <alignment horizontal="center" vertical="center"/>
    </xf>
    <xf numFmtId="182" fontId="86" fillId="9" borderId="61" xfId="0" applyNumberFormat="1" applyFont="1" applyFill="1" applyBorder="1" applyAlignment="1">
      <alignment horizontal="center" vertical="center"/>
    </xf>
    <xf numFmtId="181" fontId="86" fillId="9" borderId="202" xfId="0" applyNumberFormat="1" applyFont="1" applyFill="1" applyBorder="1" applyAlignment="1">
      <alignment horizontal="center" vertical="center"/>
    </xf>
    <xf numFmtId="0" fontId="101" fillId="8" borderId="156" xfId="0" applyFont="1" applyFill="1" applyBorder="1" applyAlignment="1">
      <alignment horizontal="center" vertical="center"/>
    </xf>
    <xf numFmtId="0" fontId="86" fillId="8" borderId="76" xfId="0" applyFont="1" applyFill="1" applyBorder="1">
      <alignment vertical="center"/>
    </xf>
    <xf numFmtId="178" fontId="86" fillId="8" borderId="77" xfId="0" applyNumberFormat="1" applyFont="1" applyFill="1" applyBorder="1" applyAlignment="1">
      <alignment horizontal="center" vertical="center"/>
    </xf>
    <xf numFmtId="178" fontId="86" fillId="8" borderId="1152" xfId="0" applyNumberFormat="1" applyFont="1" applyFill="1" applyBorder="1" applyAlignment="1">
      <alignment horizontal="center" vertical="center"/>
    </xf>
    <xf numFmtId="178" fontId="86" fillId="8" borderId="76" xfId="0" applyNumberFormat="1" applyFont="1" applyFill="1" applyBorder="1" applyAlignment="1">
      <alignment horizontal="center" vertical="center"/>
    </xf>
    <xf numFmtId="180" fontId="86" fillId="8" borderId="1152" xfId="0" applyNumberFormat="1" applyFont="1" applyFill="1" applyBorder="1" applyAlignment="1">
      <alignment horizontal="center" vertical="center"/>
    </xf>
    <xf numFmtId="199" fontId="86" fillId="8" borderId="79" xfId="0" applyNumberFormat="1" applyFont="1" applyFill="1" applyBorder="1" applyAlignment="1">
      <alignment horizontal="center" vertical="center"/>
    </xf>
    <xf numFmtId="9" fontId="86" fillId="8" borderId="79" xfId="3" applyFont="1" applyFill="1" applyBorder="1" applyAlignment="1">
      <alignment horizontal="center" vertical="center"/>
    </xf>
    <xf numFmtId="182" fontId="86" fillId="8" borderId="79" xfId="0" applyNumberFormat="1" applyFont="1" applyFill="1" applyBorder="1" applyAlignment="1">
      <alignment horizontal="center" vertical="center"/>
    </xf>
    <xf numFmtId="181" fontId="86" fillId="8" borderId="203" xfId="0" applyNumberFormat="1" applyFont="1" applyFill="1" applyBorder="1" applyAlignment="1">
      <alignment horizontal="center" vertical="center"/>
    </xf>
    <xf numFmtId="0" fontId="101" fillId="8" borderId="153" xfId="0" applyFont="1" applyFill="1" applyBorder="1" applyAlignment="1">
      <alignment horizontal="center" vertical="center"/>
    </xf>
    <xf numFmtId="180" fontId="86" fillId="8" borderId="485" xfId="0" applyNumberFormat="1" applyFont="1" applyFill="1" applyBorder="1" applyAlignment="1">
      <alignment horizontal="center" vertical="center"/>
    </xf>
    <xf numFmtId="199" fontId="86" fillId="8" borderId="46" xfId="0" applyNumberFormat="1" applyFont="1" applyFill="1" applyBorder="1" applyAlignment="1">
      <alignment horizontal="center" vertical="center"/>
    </xf>
    <xf numFmtId="9" fontId="86" fillId="8" borderId="46" xfId="3" applyFont="1" applyFill="1" applyBorder="1" applyAlignment="1">
      <alignment horizontal="center" vertical="center"/>
    </xf>
    <xf numFmtId="182" fontId="86" fillId="8" borderId="46" xfId="0" applyNumberFormat="1" applyFont="1" applyFill="1" applyBorder="1" applyAlignment="1">
      <alignment horizontal="center" vertical="center"/>
    </xf>
    <xf numFmtId="181" fontId="86" fillId="8" borderId="199" xfId="0" applyNumberFormat="1" applyFont="1" applyFill="1" applyBorder="1" applyAlignment="1">
      <alignment horizontal="center" vertical="center"/>
    </xf>
    <xf numFmtId="0" fontId="101" fillId="8" borderId="155" xfId="0" applyFont="1" applyFill="1" applyBorder="1" applyAlignment="1">
      <alignment horizontal="center" vertical="center"/>
    </xf>
    <xf numFmtId="0" fontId="86" fillId="8" borderId="119" xfId="0" applyFont="1" applyFill="1" applyBorder="1">
      <alignment vertical="center"/>
    </xf>
    <xf numFmtId="178" fontId="86" fillId="8" borderId="121" xfId="0" applyNumberFormat="1" applyFont="1" applyFill="1" applyBorder="1" applyAlignment="1">
      <alignment horizontal="center" vertical="center"/>
    </xf>
    <xf numFmtId="178" fontId="86" fillId="8" borderId="1153" xfId="0" applyNumberFormat="1" applyFont="1" applyFill="1" applyBorder="1" applyAlignment="1">
      <alignment horizontal="center" vertical="center"/>
    </xf>
    <xf numFmtId="178" fontId="86" fillId="8" borderId="119" xfId="0" applyNumberFormat="1" applyFont="1" applyFill="1" applyBorder="1" applyAlignment="1">
      <alignment horizontal="center" vertical="center"/>
    </xf>
    <xf numFmtId="180" fontId="86" fillId="8" borderId="1153" xfId="0" applyNumberFormat="1" applyFont="1" applyFill="1" applyBorder="1" applyAlignment="1">
      <alignment horizontal="center" vertical="center"/>
    </xf>
    <xf numFmtId="199" fontId="86" fillId="8" borderId="123" xfId="0" applyNumberFormat="1" applyFont="1" applyFill="1" applyBorder="1" applyAlignment="1">
      <alignment horizontal="center" vertical="center"/>
    </xf>
    <xf numFmtId="9" fontId="86" fillId="8" borderId="123" xfId="3" applyFont="1" applyFill="1" applyBorder="1" applyAlignment="1">
      <alignment horizontal="center" vertical="center"/>
    </xf>
    <xf numFmtId="182" fontId="86" fillId="8" borderId="123" xfId="0" applyNumberFormat="1" applyFont="1" applyFill="1" applyBorder="1" applyAlignment="1">
      <alignment horizontal="center" vertical="center"/>
    </xf>
    <xf numFmtId="181" fontId="86" fillId="8" borderId="204" xfId="0" applyNumberFormat="1" applyFont="1" applyFill="1" applyBorder="1" applyAlignment="1">
      <alignment horizontal="center" vertical="center"/>
    </xf>
    <xf numFmtId="0" fontId="101" fillId="0" borderId="153" xfId="0" applyFont="1" applyBorder="1" applyAlignment="1">
      <alignment horizontal="center" vertical="center"/>
    </xf>
    <xf numFmtId="0" fontId="101" fillId="0" borderId="189" xfId="0" applyFont="1" applyBorder="1" applyAlignment="1">
      <alignment horizontal="center" vertical="center"/>
    </xf>
    <xf numFmtId="180" fontId="86" fillId="0" borderId="485" xfId="0" applyNumberFormat="1" applyFont="1" applyBorder="1" applyAlignment="1">
      <alignment horizontal="center" vertical="center"/>
    </xf>
    <xf numFmtId="199" fontId="86" fillId="0" borderId="46" xfId="0" applyNumberFormat="1" applyFont="1" applyBorder="1" applyAlignment="1">
      <alignment horizontal="center" vertical="center"/>
    </xf>
    <xf numFmtId="9" fontId="86" fillId="0" borderId="46" xfId="3" applyFont="1" applyFill="1" applyBorder="1" applyAlignment="1">
      <alignment horizontal="center" vertical="center"/>
    </xf>
    <xf numFmtId="182" fontId="86" fillId="0" borderId="46" xfId="0" applyNumberFormat="1" applyFont="1" applyBorder="1" applyAlignment="1">
      <alignment horizontal="center" vertical="center"/>
    </xf>
    <xf numFmtId="181" fontId="86" fillId="0" borderId="199" xfId="0" applyNumberFormat="1" applyFont="1" applyBorder="1" applyAlignment="1">
      <alignment horizontal="center" vertical="center"/>
    </xf>
    <xf numFmtId="180" fontId="66" fillId="0" borderId="485" xfId="0" applyNumberFormat="1" applyFont="1" applyBorder="1" applyAlignment="1">
      <alignment horizontal="center" vertical="center"/>
    </xf>
    <xf numFmtId="199" fontId="66" fillId="0" borderId="46" xfId="0" applyNumberFormat="1" applyFont="1" applyBorder="1" applyAlignment="1">
      <alignment horizontal="center" vertical="center"/>
    </xf>
    <xf numFmtId="9" fontId="66" fillId="0" borderId="46" xfId="3" applyFont="1" applyFill="1" applyBorder="1" applyAlignment="1">
      <alignment horizontal="center" vertical="center"/>
    </xf>
    <xf numFmtId="182" fontId="66" fillId="0" borderId="46" xfId="0" applyNumberFormat="1" applyFont="1" applyBorder="1" applyAlignment="1">
      <alignment horizontal="center" vertical="center"/>
    </xf>
    <xf numFmtId="181" fontId="66" fillId="0" borderId="199" xfId="0" applyNumberFormat="1" applyFont="1" applyBorder="1" applyAlignment="1">
      <alignment horizontal="center" vertical="center"/>
    </xf>
    <xf numFmtId="0" fontId="74" fillId="9" borderId="708" xfId="0" applyFont="1" applyFill="1" applyBorder="1">
      <alignment vertical="center"/>
    </xf>
    <xf numFmtId="0" fontId="66" fillId="9" borderId="709" xfId="0" applyFont="1" applyFill="1" applyBorder="1">
      <alignment vertical="center"/>
    </xf>
    <xf numFmtId="178" fontId="66" fillId="9" borderId="710" xfId="0" applyNumberFormat="1" applyFont="1" applyFill="1" applyBorder="1" applyAlignment="1">
      <alignment horizontal="center" vertical="center"/>
    </xf>
    <xf numFmtId="178" fontId="66" fillId="9" borderId="1147" xfId="0" applyNumberFormat="1" applyFont="1" applyFill="1" applyBorder="1" applyAlignment="1">
      <alignment horizontal="center" vertical="center"/>
    </xf>
    <xf numFmtId="178" fontId="66" fillId="9" borderId="709" xfId="0" applyNumberFormat="1" applyFont="1" applyFill="1" applyBorder="1" applyAlignment="1">
      <alignment horizontal="center" vertical="center"/>
    </xf>
    <xf numFmtId="180" fontId="66" fillId="9" borderId="1147" xfId="0" applyNumberFormat="1" applyFont="1" applyFill="1" applyBorder="1" applyAlignment="1">
      <alignment horizontal="center" vertical="center"/>
    </xf>
    <xf numFmtId="199" fontId="66" fillId="9" borderId="715" xfId="0" applyNumberFormat="1" applyFont="1" applyFill="1" applyBorder="1" applyAlignment="1">
      <alignment horizontal="center" vertical="center"/>
    </xf>
    <xf numFmtId="9" fontId="66" fillId="9" borderId="715" xfId="3" applyFont="1" applyFill="1" applyBorder="1" applyAlignment="1">
      <alignment horizontal="center" vertical="center"/>
    </xf>
    <xf numFmtId="183" fontId="66" fillId="9" borderId="715" xfId="0" applyNumberFormat="1" applyFont="1" applyFill="1" applyBorder="1" applyAlignment="1">
      <alignment horizontal="center" vertical="center"/>
    </xf>
    <xf numFmtId="181" fontId="66" fillId="9" borderId="756" xfId="0" applyNumberFormat="1" applyFont="1" applyFill="1" applyBorder="1" applyAlignment="1">
      <alignment horizontal="center" vertical="center"/>
    </xf>
    <xf numFmtId="0" fontId="66" fillId="8" borderId="76" xfId="0" applyFont="1" applyFill="1" applyBorder="1">
      <alignment vertical="center"/>
    </xf>
    <xf numFmtId="178" fontId="66" fillId="8" borderId="77" xfId="0" applyNumberFormat="1" applyFont="1" applyFill="1" applyBorder="1" applyAlignment="1">
      <alignment horizontal="center" vertical="center"/>
    </xf>
    <xf numFmtId="178" fontId="66" fillId="8" borderId="1152" xfId="0" applyNumberFormat="1" applyFont="1" applyFill="1" applyBorder="1" applyAlignment="1">
      <alignment horizontal="center" vertical="center"/>
    </xf>
    <xf numFmtId="178" fontId="66" fillId="8" borderId="76" xfId="0" applyNumberFormat="1" applyFont="1" applyFill="1" applyBorder="1" applyAlignment="1">
      <alignment horizontal="center" vertical="center"/>
    </xf>
    <xf numFmtId="180" fontId="66" fillId="8" borderId="1152" xfId="0" applyNumberFormat="1" applyFont="1" applyFill="1" applyBorder="1" applyAlignment="1">
      <alignment horizontal="center" vertical="center"/>
    </xf>
    <xf numFmtId="199" fontId="66" fillId="8" borderId="79" xfId="0" applyNumberFormat="1" applyFont="1" applyFill="1" applyBorder="1" applyAlignment="1">
      <alignment horizontal="center" vertical="center"/>
    </xf>
    <xf numFmtId="9" fontId="66" fillId="8" borderId="79" xfId="3" applyFont="1" applyFill="1" applyBorder="1" applyAlignment="1">
      <alignment horizontal="center" vertical="center"/>
    </xf>
    <xf numFmtId="183" fontId="66" fillId="8" borderId="79" xfId="0" applyNumberFormat="1" applyFont="1" applyFill="1" applyBorder="1" applyAlignment="1">
      <alignment horizontal="center" vertical="center"/>
    </xf>
    <xf numFmtId="181" fontId="66" fillId="8" borderId="203" xfId="0" applyNumberFormat="1" applyFont="1" applyFill="1" applyBorder="1" applyAlignment="1">
      <alignment horizontal="center" vertical="center"/>
    </xf>
    <xf numFmtId="180" fontId="66" fillId="8" borderId="485" xfId="0" applyNumberFormat="1" applyFont="1" applyFill="1" applyBorder="1" applyAlignment="1">
      <alignment horizontal="center" vertical="center"/>
    </xf>
    <xf numFmtId="199" fontId="66" fillId="8" borderId="46" xfId="0" applyNumberFormat="1" applyFont="1" applyFill="1" applyBorder="1" applyAlignment="1">
      <alignment horizontal="center" vertical="center"/>
    </xf>
    <xf numFmtId="9" fontId="66" fillId="8" borderId="46" xfId="3" applyFont="1" applyFill="1" applyBorder="1" applyAlignment="1">
      <alignment horizontal="center" vertical="center"/>
    </xf>
    <xf numFmtId="183" fontId="66" fillId="8" borderId="46" xfId="0" applyNumberFormat="1" applyFont="1" applyFill="1" applyBorder="1" applyAlignment="1">
      <alignment horizontal="center" vertical="center"/>
    </xf>
    <xf numFmtId="181" fontId="66" fillId="8" borderId="199" xfId="0" applyNumberFormat="1" applyFont="1" applyFill="1" applyBorder="1" applyAlignment="1">
      <alignment horizontal="center" vertical="center"/>
    </xf>
    <xf numFmtId="0" fontId="66" fillId="8" borderId="119" xfId="0" applyFont="1" applyFill="1" applyBorder="1">
      <alignment vertical="center"/>
    </xf>
    <xf numFmtId="178" fontId="66" fillId="8" borderId="121" xfId="0" applyNumberFormat="1" applyFont="1" applyFill="1" applyBorder="1" applyAlignment="1">
      <alignment horizontal="center" vertical="center"/>
    </xf>
    <xf numFmtId="178" fontId="66" fillId="8" borderId="1153" xfId="0" applyNumberFormat="1" applyFont="1" applyFill="1" applyBorder="1" applyAlignment="1">
      <alignment horizontal="center" vertical="center"/>
    </xf>
    <xf numFmtId="178" fontId="66" fillId="8" borderId="119" xfId="0" applyNumberFormat="1" applyFont="1" applyFill="1" applyBorder="1" applyAlignment="1">
      <alignment horizontal="center" vertical="center"/>
    </xf>
    <xf numFmtId="180" fontId="66" fillId="8" borderId="1153" xfId="0" applyNumberFormat="1" applyFont="1" applyFill="1" applyBorder="1" applyAlignment="1">
      <alignment horizontal="center" vertical="center"/>
    </xf>
    <xf numFmtId="199" fontId="66" fillId="8" borderId="123" xfId="0" applyNumberFormat="1" applyFont="1" applyFill="1" applyBorder="1" applyAlignment="1">
      <alignment horizontal="center" vertical="center"/>
    </xf>
    <xf numFmtId="9" fontId="66" fillId="8" borderId="123" xfId="3" applyFont="1" applyFill="1" applyBorder="1" applyAlignment="1">
      <alignment horizontal="center" vertical="center"/>
    </xf>
    <xf numFmtId="183" fontId="66" fillId="8" borderId="123" xfId="0" applyNumberFormat="1" applyFont="1" applyFill="1" applyBorder="1" applyAlignment="1">
      <alignment horizontal="center" vertical="center"/>
    </xf>
    <xf numFmtId="181" fontId="66" fillId="8" borderId="204" xfId="0" applyNumberFormat="1" applyFont="1" applyFill="1" applyBorder="1" applyAlignment="1">
      <alignment horizontal="center" vertical="center"/>
    </xf>
    <xf numFmtId="0" fontId="78" fillId="0" borderId="153" xfId="0" applyFont="1" applyBorder="1">
      <alignment vertical="center"/>
    </xf>
    <xf numFmtId="0" fontId="66" fillId="0" borderId="469" xfId="0" applyFont="1" applyFill="1" applyBorder="1">
      <alignment vertical="center"/>
    </xf>
    <xf numFmtId="180" fontId="66" fillId="14" borderId="485" xfId="0" applyNumberFormat="1" applyFont="1" applyFill="1" applyBorder="1" applyAlignment="1">
      <alignment horizontal="center" vertical="center"/>
    </xf>
    <xf numFmtId="199" fontId="66" fillId="14" borderId="46" xfId="0" applyNumberFormat="1" applyFont="1" applyFill="1" applyBorder="1" applyAlignment="1">
      <alignment horizontal="center" vertical="center"/>
    </xf>
    <xf numFmtId="9" fontId="66" fillId="14" borderId="46" xfId="3" applyFont="1" applyFill="1" applyBorder="1" applyAlignment="1">
      <alignment horizontal="center" vertical="center"/>
    </xf>
    <xf numFmtId="183" fontId="66" fillId="0" borderId="46" xfId="0" applyNumberFormat="1" applyFont="1" applyBorder="1" applyAlignment="1">
      <alignment horizontal="center" vertical="center"/>
    </xf>
    <xf numFmtId="0" fontId="78" fillId="0" borderId="458" xfId="0" applyFont="1" applyFill="1" applyBorder="1">
      <alignment vertical="center"/>
    </xf>
    <xf numFmtId="183" fontId="66" fillId="14" borderId="46" xfId="0" applyNumberFormat="1" applyFont="1" applyFill="1" applyBorder="1" applyAlignment="1">
      <alignment horizontal="center" vertical="center"/>
    </xf>
    <xf numFmtId="181" fontId="66" fillId="14" borderId="199" xfId="0" applyNumberFormat="1" applyFont="1" applyFill="1" applyBorder="1" applyAlignment="1">
      <alignment horizontal="center" vertical="center"/>
    </xf>
    <xf numFmtId="0" fontId="66" fillId="12" borderId="458" xfId="0" applyFont="1" applyFill="1" applyBorder="1">
      <alignment vertical="center"/>
    </xf>
    <xf numFmtId="178" fontId="66" fillId="12" borderId="11" xfId="0" applyNumberFormat="1" applyFont="1" applyFill="1" applyBorder="1" applyAlignment="1">
      <alignment horizontal="center" vertical="center"/>
    </xf>
    <xf numFmtId="178" fontId="66" fillId="12" borderId="485" xfId="0" applyNumberFormat="1" applyFont="1" applyFill="1" applyBorder="1" applyAlignment="1">
      <alignment horizontal="center" vertical="center"/>
    </xf>
    <xf numFmtId="178" fontId="66" fillId="12" borderId="0" xfId="0" applyNumberFormat="1" applyFont="1" applyFill="1" applyBorder="1" applyAlignment="1">
      <alignment horizontal="center" vertical="center"/>
    </xf>
    <xf numFmtId="194" fontId="66" fillId="73" borderId="0" xfId="2" applyNumberFormat="1" applyFont="1" applyFill="1" applyBorder="1" applyAlignment="1">
      <alignment horizontal="center" vertical="center"/>
    </xf>
    <xf numFmtId="0" fontId="78" fillId="12" borderId="458" xfId="0" applyFont="1" applyFill="1" applyBorder="1">
      <alignment vertical="center"/>
    </xf>
    <xf numFmtId="0" fontId="66" fillId="0" borderId="458" xfId="0" applyFont="1" applyFill="1" applyBorder="1">
      <alignment vertical="center"/>
    </xf>
    <xf numFmtId="183" fontId="66" fillId="12" borderId="46" xfId="0" applyNumberFormat="1" applyFont="1" applyFill="1" applyBorder="1" applyAlignment="1">
      <alignment horizontal="center" vertical="center"/>
    </xf>
    <xf numFmtId="181" fontId="66" fillId="12" borderId="199" xfId="0" applyNumberFormat="1" applyFont="1" applyFill="1" applyBorder="1" applyAlignment="1">
      <alignment horizontal="center" vertical="center"/>
    </xf>
    <xf numFmtId="199" fontId="66" fillId="14" borderId="349" xfId="0" applyNumberFormat="1" applyFont="1" applyFill="1" applyBorder="1" applyAlignment="1">
      <alignment horizontal="center" vertical="center"/>
    </xf>
    <xf numFmtId="9" fontId="66" fillId="14" borderId="349" xfId="3" applyFont="1" applyFill="1" applyBorder="1" applyAlignment="1">
      <alignment horizontal="center" vertical="center"/>
    </xf>
    <xf numFmtId="183" fontId="66" fillId="12" borderId="349" xfId="0" applyNumberFormat="1" applyFont="1" applyFill="1" applyBorder="1" applyAlignment="1">
      <alignment horizontal="center" vertical="center"/>
    </xf>
    <xf numFmtId="181" fontId="66" fillId="12" borderId="86" xfId="0" applyNumberFormat="1" applyFont="1" applyFill="1" applyBorder="1" applyAlignment="1">
      <alignment horizontal="center" vertical="center"/>
    </xf>
    <xf numFmtId="0" fontId="78" fillId="0" borderId="724" xfId="0" applyFont="1" applyBorder="1">
      <alignment vertical="center"/>
    </xf>
    <xf numFmtId="0" fontId="78" fillId="12" borderId="754" xfId="0" applyFont="1" applyFill="1" applyBorder="1">
      <alignment vertical="center"/>
    </xf>
    <xf numFmtId="178" fontId="66" fillId="12" borderId="755" xfId="0" applyNumberFormat="1" applyFont="1" applyFill="1" applyBorder="1" applyAlignment="1">
      <alignment horizontal="center" vertical="center"/>
    </xf>
    <xf numFmtId="178" fontId="66" fillId="12" borderId="1148" xfId="0" applyNumberFormat="1" applyFont="1" applyFill="1" applyBorder="1" applyAlignment="1">
      <alignment horizontal="center" vertical="center"/>
    </xf>
    <xf numFmtId="178" fontId="66" fillId="12" borderId="725" xfId="0" applyNumberFormat="1" applyFont="1" applyFill="1" applyBorder="1" applyAlignment="1">
      <alignment horizontal="center" vertical="center"/>
    </xf>
    <xf numFmtId="180" fontId="66" fillId="14" borderId="1148" xfId="0" applyNumberFormat="1" applyFont="1" applyFill="1" applyBorder="1" applyAlignment="1">
      <alignment horizontal="center" vertical="center"/>
    </xf>
    <xf numFmtId="199" fontId="66" fillId="14" borderId="732" xfId="0" applyNumberFormat="1" applyFont="1" applyFill="1" applyBorder="1" applyAlignment="1">
      <alignment horizontal="center" vertical="center"/>
    </xf>
    <xf numFmtId="9" fontId="66" fillId="14" borderId="732" xfId="3" applyFont="1" applyFill="1" applyBorder="1" applyAlignment="1">
      <alignment horizontal="center" vertical="center"/>
    </xf>
    <xf numFmtId="183" fontId="66" fillId="14" borderId="732" xfId="0" applyNumberFormat="1" applyFont="1" applyFill="1" applyBorder="1" applyAlignment="1">
      <alignment horizontal="center" vertical="center"/>
    </xf>
    <xf numFmtId="181" fontId="66" fillId="14" borderId="1133" xfId="0" applyNumberFormat="1" applyFont="1" applyFill="1" applyBorder="1" applyAlignment="1">
      <alignment horizontal="center" vertical="center"/>
    </xf>
    <xf numFmtId="0" fontId="66" fillId="21" borderId="0" xfId="0" applyFont="1" applyFill="1">
      <alignment vertical="center"/>
    </xf>
    <xf numFmtId="0" fontId="66" fillId="21" borderId="0" xfId="0" applyFont="1" applyFill="1" applyAlignment="1">
      <alignment horizontal="center" vertical="center"/>
    </xf>
    <xf numFmtId="0" fontId="86" fillId="21" borderId="0" xfId="0" applyFont="1" applyFill="1" applyAlignment="1">
      <alignment horizontal="center" vertical="center"/>
    </xf>
    <xf numFmtId="0" fontId="107" fillId="21" borderId="0" xfId="0" applyFont="1" applyFill="1" applyAlignment="1">
      <alignment horizontal="center" vertical="center"/>
    </xf>
    <xf numFmtId="0" fontId="108" fillId="25" borderId="0" xfId="0" applyFont="1" applyFill="1" applyAlignment="1">
      <alignment horizontal="center" vertical="center"/>
    </xf>
    <xf numFmtId="0" fontId="66" fillId="30" borderId="0" xfId="0" applyFont="1" applyFill="1" applyAlignment="1">
      <alignment horizontal="center" vertical="center"/>
    </xf>
    <xf numFmtId="0" fontId="66" fillId="0" borderId="0" xfId="0" applyFont="1" applyAlignment="1">
      <alignment horizontal="right" vertical="center"/>
    </xf>
    <xf numFmtId="0" fontId="83" fillId="26" borderId="0" xfId="0" applyFont="1" applyFill="1" applyAlignment="1">
      <alignment horizontal="center" vertical="center"/>
    </xf>
    <xf numFmtId="0" fontId="66" fillId="22" borderId="0" xfId="0" applyFont="1" applyFill="1" applyAlignment="1">
      <alignment horizontal="center" vertical="center"/>
    </xf>
    <xf numFmtId="0" fontId="66" fillId="27" borderId="0" xfId="0" applyFont="1" applyFill="1" applyAlignment="1">
      <alignment horizontal="center" vertical="center"/>
    </xf>
    <xf numFmtId="0" fontId="109" fillId="31" borderId="470" xfId="0" quotePrefix="1" applyFont="1" applyFill="1" applyBorder="1" applyAlignment="1">
      <alignment horizontal="center" vertical="center"/>
    </xf>
    <xf numFmtId="0" fontId="109" fillId="31" borderId="231" xfId="0" quotePrefix="1" applyFont="1" applyFill="1" applyBorder="1" applyAlignment="1">
      <alignment horizontal="center" vertical="center"/>
    </xf>
    <xf numFmtId="0" fontId="109" fillId="31" borderId="232" xfId="0" quotePrefix="1" applyFont="1" applyFill="1" applyBorder="1" applyAlignment="1">
      <alignment horizontal="center" vertical="center"/>
    </xf>
    <xf numFmtId="0" fontId="67" fillId="15" borderId="6" xfId="0" applyFont="1" applyFill="1" applyBorder="1" applyAlignment="1">
      <alignment horizontal="center" vertical="center"/>
    </xf>
    <xf numFmtId="0" fontId="67" fillId="6" borderId="233" xfId="0" quotePrefix="1" applyFont="1" applyFill="1" applyBorder="1" applyAlignment="1">
      <alignment horizontal="center" vertical="center"/>
    </xf>
    <xf numFmtId="0" fontId="67" fillId="6" borderId="229" xfId="0" quotePrefix="1" applyFont="1" applyFill="1" applyBorder="1" applyAlignment="1">
      <alignment horizontal="center" vertical="center"/>
    </xf>
    <xf numFmtId="0" fontId="67" fillId="6" borderId="233" xfId="0" applyFont="1" applyFill="1" applyBorder="1" applyAlignment="1">
      <alignment horizontal="center" vertical="center"/>
    </xf>
    <xf numFmtId="0" fontId="67" fillId="8" borderId="41" xfId="0" applyFont="1" applyFill="1" applyBorder="1" applyAlignment="1">
      <alignment horizontal="center" vertical="center"/>
    </xf>
    <xf numFmtId="0" fontId="67" fillId="6" borderId="43" xfId="0" applyFont="1" applyFill="1" applyBorder="1" applyAlignment="1">
      <alignment horizontal="center" vertical="center"/>
    </xf>
    <xf numFmtId="0" fontId="67" fillId="8" borderId="738" xfId="0" applyFont="1" applyFill="1" applyBorder="1" applyAlignment="1">
      <alignment horizontal="center" vertical="center"/>
    </xf>
    <xf numFmtId="0" fontId="83" fillId="22" borderId="0" xfId="0" applyFont="1" applyFill="1" applyAlignment="1">
      <alignment horizontal="center" vertical="center"/>
    </xf>
    <xf numFmtId="196" fontId="66" fillId="11" borderId="9" xfId="0" applyNumberFormat="1" applyFont="1" applyFill="1" applyBorder="1" applyAlignment="1">
      <alignment horizontal="center" vertical="center"/>
    </xf>
    <xf numFmtId="196" fontId="66" fillId="11" borderId="671" xfId="0" applyNumberFormat="1" applyFont="1" applyFill="1" applyBorder="1" applyAlignment="1">
      <alignment horizontal="center" vertical="center"/>
    </xf>
    <xf numFmtId="196" fontId="66" fillId="11" borderId="4" xfId="0" applyNumberFormat="1" applyFont="1" applyFill="1" applyBorder="1" applyAlignment="1">
      <alignment horizontal="center" vertical="center"/>
    </xf>
    <xf numFmtId="196" fontId="66" fillId="11" borderId="185" xfId="0" applyNumberFormat="1" applyFont="1" applyFill="1" applyBorder="1" applyAlignment="1">
      <alignment horizontal="center" vertical="center"/>
    </xf>
    <xf numFmtId="197" fontId="66" fillId="11" borderId="87" xfId="0" applyNumberFormat="1" applyFont="1" applyFill="1" applyBorder="1" applyAlignment="1">
      <alignment horizontal="center" vertical="center"/>
    </xf>
    <xf numFmtId="197" fontId="66" fillId="11" borderId="4" xfId="0" applyNumberFormat="1" applyFont="1" applyFill="1" applyBorder="1" applyAlignment="1">
      <alignment horizontal="center" vertical="center"/>
    </xf>
    <xf numFmtId="196" fontId="66" fillId="11" borderId="234" xfId="0" applyNumberFormat="1" applyFont="1" applyFill="1" applyBorder="1" applyAlignment="1">
      <alignment horizontal="center" vertical="center"/>
    </xf>
    <xf numFmtId="196" fontId="66" fillId="11" borderId="216" xfId="0" applyNumberFormat="1" applyFont="1" applyFill="1" applyBorder="1" applyAlignment="1">
      <alignment horizontal="center" vertical="center"/>
    </xf>
    <xf numFmtId="201" fontId="66" fillId="11" borderId="234" xfId="0" applyNumberFormat="1" applyFont="1" applyFill="1" applyBorder="1" applyAlignment="1">
      <alignment horizontal="center" vertical="center"/>
    </xf>
    <xf numFmtId="198" fontId="66" fillId="11" borderId="42" xfId="0" applyNumberFormat="1" applyFont="1" applyFill="1" applyBorder="1" applyAlignment="1">
      <alignment horizontal="center" vertical="center"/>
    </xf>
    <xf numFmtId="201" fontId="66" fillId="11" borderId="45" xfId="0" applyNumberFormat="1" applyFont="1" applyFill="1" applyBorder="1" applyAlignment="1">
      <alignment horizontal="center" vertical="center"/>
    </xf>
    <xf numFmtId="196" fontId="66" fillId="13" borderId="11" xfId="0" applyNumberFormat="1" applyFont="1" applyFill="1" applyBorder="1" applyAlignment="1">
      <alignment horizontal="center" vertical="center"/>
    </xf>
    <xf numFmtId="196" fontId="66" fillId="13" borderId="485" xfId="0" applyNumberFormat="1" applyFont="1" applyFill="1" applyBorder="1" applyAlignment="1">
      <alignment horizontal="center" vertical="center"/>
    </xf>
    <xf numFmtId="196" fontId="66" fillId="13" borderId="0" xfId="0" applyNumberFormat="1" applyFont="1" applyFill="1" applyBorder="1" applyAlignment="1">
      <alignment horizontal="center" vertical="center"/>
    </xf>
    <xf numFmtId="196" fontId="66" fillId="13" borderId="187" xfId="0" applyNumberFormat="1" applyFont="1" applyFill="1" applyBorder="1" applyAlignment="1">
      <alignment horizontal="center" vertical="center"/>
    </xf>
    <xf numFmtId="197" fontId="66" fillId="13" borderId="86" xfId="0" applyNumberFormat="1" applyFont="1" applyFill="1" applyBorder="1" applyAlignment="1">
      <alignment horizontal="center" vertical="center"/>
    </xf>
    <xf numFmtId="197" fontId="66" fillId="13" borderId="0" xfId="0" applyNumberFormat="1" applyFont="1" applyFill="1" applyBorder="1" applyAlignment="1">
      <alignment horizontal="center" vertical="center"/>
    </xf>
    <xf numFmtId="196" fontId="66" fillId="13" borderId="235" xfId="0" applyNumberFormat="1" applyFont="1" applyFill="1" applyBorder="1" applyAlignment="1">
      <alignment horizontal="center" vertical="center"/>
    </xf>
    <xf numFmtId="196" fontId="66" fillId="13" borderId="215" xfId="0" applyNumberFormat="1" applyFont="1" applyFill="1" applyBorder="1" applyAlignment="1">
      <alignment horizontal="center" vertical="center"/>
    </xf>
    <xf numFmtId="201" fontId="66" fillId="29" borderId="235" xfId="0" applyNumberFormat="1" applyFont="1" applyFill="1" applyBorder="1" applyAlignment="1">
      <alignment horizontal="center" vertical="center"/>
    </xf>
    <xf numFmtId="201" fontId="66" fillId="29" borderId="0" xfId="0" applyNumberFormat="1" applyFont="1" applyFill="1" applyBorder="1" applyAlignment="1">
      <alignment horizontal="center" vertical="center"/>
    </xf>
    <xf numFmtId="198" fontId="66" fillId="29" borderId="40" xfId="0" applyNumberFormat="1" applyFont="1" applyFill="1" applyBorder="1" applyAlignment="1">
      <alignment horizontal="center" vertical="center"/>
    </xf>
    <xf numFmtId="201" fontId="66" fillId="29" borderId="46" xfId="0" applyNumberFormat="1" applyFont="1" applyFill="1" applyBorder="1" applyAlignment="1">
      <alignment horizontal="center" vertical="center"/>
    </xf>
    <xf numFmtId="189" fontId="66" fillId="29" borderId="225" xfId="0" applyNumberFormat="1" applyFont="1" applyFill="1" applyBorder="1" applyAlignment="1">
      <alignment horizontal="center" vertical="center"/>
    </xf>
    <xf numFmtId="0" fontId="101" fillId="8" borderId="217" xfId="0" applyFont="1" applyFill="1" applyBorder="1" applyAlignment="1">
      <alignment horizontal="center" vertical="center"/>
    </xf>
    <xf numFmtId="0" fontId="66" fillId="8" borderId="68" xfId="0" applyFont="1" applyFill="1" applyBorder="1">
      <alignment vertical="center"/>
    </xf>
    <xf numFmtId="196" fontId="66" fillId="8" borderId="69" xfId="0" applyNumberFormat="1" applyFont="1" applyFill="1" applyBorder="1" applyAlignment="1">
      <alignment horizontal="center" vertical="center"/>
    </xf>
    <xf numFmtId="196" fontId="66" fillId="8" borderId="689" xfId="0" applyNumberFormat="1" applyFont="1" applyFill="1" applyBorder="1" applyAlignment="1">
      <alignment horizontal="center" vertical="center"/>
    </xf>
    <xf numFmtId="196" fontId="66" fillId="8" borderId="68" xfId="0" applyNumberFormat="1" applyFont="1" applyFill="1" applyBorder="1" applyAlignment="1">
      <alignment horizontal="center" vertical="center"/>
    </xf>
    <xf numFmtId="196" fontId="66" fillId="8" borderId="186" xfId="0" applyNumberFormat="1" applyFont="1" applyFill="1" applyBorder="1" applyAlignment="1">
      <alignment horizontal="center" vertical="center"/>
    </xf>
    <xf numFmtId="197" fontId="66" fillId="8" borderId="88" xfId="0" applyNumberFormat="1" applyFont="1" applyFill="1" applyBorder="1" applyAlignment="1">
      <alignment horizontal="center" vertical="center"/>
    </xf>
    <xf numFmtId="197" fontId="66" fillId="8" borderId="68" xfId="0" applyNumberFormat="1" applyFont="1" applyFill="1" applyBorder="1" applyAlignment="1">
      <alignment horizontal="center" vertical="center"/>
    </xf>
    <xf numFmtId="196" fontId="66" fillId="8" borderId="236" xfId="0" applyNumberFormat="1" applyFont="1" applyFill="1" applyBorder="1" applyAlignment="1">
      <alignment horizontal="center" vertical="center"/>
    </xf>
    <xf numFmtId="196" fontId="66" fillId="8" borderId="219" xfId="0" applyNumberFormat="1" applyFont="1" applyFill="1" applyBorder="1" applyAlignment="1">
      <alignment horizontal="center" vertical="center"/>
    </xf>
    <xf numFmtId="201" fontId="66" fillId="8" borderId="236" xfId="0" applyNumberFormat="1" applyFont="1" applyFill="1" applyBorder="1" applyAlignment="1">
      <alignment horizontal="center" vertical="center"/>
    </xf>
    <xf numFmtId="201" fontId="66" fillId="8" borderId="68" xfId="0" applyNumberFormat="1" applyFont="1" applyFill="1" applyBorder="1" applyAlignment="1">
      <alignment horizontal="center" vertical="center"/>
    </xf>
    <xf numFmtId="198" fontId="66" fillId="8" borderId="218" xfId="0" applyNumberFormat="1" applyFont="1" applyFill="1" applyBorder="1" applyAlignment="1">
      <alignment horizontal="center" vertical="center"/>
    </xf>
    <xf numFmtId="201" fontId="66" fillId="8" borderId="71" xfId="0" applyNumberFormat="1" applyFont="1" applyFill="1" applyBorder="1" applyAlignment="1">
      <alignment horizontal="center" vertical="center"/>
    </xf>
    <xf numFmtId="189" fontId="66" fillId="8" borderId="226" xfId="0" applyNumberFormat="1" applyFont="1" applyFill="1" applyBorder="1" applyAlignment="1">
      <alignment horizontal="center" vertical="center"/>
    </xf>
    <xf numFmtId="0" fontId="101" fillId="8" borderId="85" xfId="0" applyFont="1" applyFill="1" applyBorder="1" applyAlignment="1">
      <alignment horizontal="center" vertical="center"/>
    </xf>
    <xf numFmtId="196" fontId="66" fillId="8" borderId="11" xfId="0" applyNumberFormat="1" applyFont="1" applyFill="1" applyBorder="1" applyAlignment="1">
      <alignment horizontal="center" vertical="center"/>
    </xf>
    <xf numFmtId="196" fontId="66" fillId="8" borderId="485" xfId="0" applyNumberFormat="1" applyFont="1" applyFill="1" applyBorder="1" applyAlignment="1">
      <alignment horizontal="center" vertical="center"/>
    </xf>
    <xf numFmtId="196" fontId="66" fillId="8" borderId="0" xfId="0" applyNumberFormat="1" applyFont="1" applyFill="1" applyBorder="1" applyAlignment="1">
      <alignment horizontal="center" vertical="center"/>
    </xf>
    <xf numFmtId="196" fontId="66" fillId="8" borderId="187" xfId="0" applyNumberFormat="1" applyFont="1" applyFill="1" applyBorder="1" applyAlignment="1">
      <alignment horizontal="center" vertical="center"/>
    </xf>
    <xf numFmtId="197" fontId="66" fillId="8" borderId="86" xfId="0" applyNumberFormat="1" applyFont="1" applyFill="1" applyBorder="1" applyAlignment="1">
      <alignment horizontal="center" vertical="center"/>
    </xf>
    <xf numFmtId="197" fontId="66" fillId="8" borderId="0" xfId="0" applyNumberFormat="1" applyFont="1" applyFill="1" applyBorder="1" applyAlignment="1">
      <alignment horizontal="center" vertical="center"/>
    </xf>
    <xf numFmtId="196" fontId="66" fillId="8" borderId="235" xfId="0" applyNumberFormat="1" applyFont="1" applyFill="1" applyBorder="1" applyAlignment="1">
      <alignment horizontal="center" vertical="center"/>
    </xf>
    <xf numFmtId="196" fontId="66" fillId="8" borderId="215" xfId="0" applyNumberFormat="1" applyFont="1" applyFill="1" applyBorder="1" applyAlignment="1">
      <alignment horizontal="center" vertical="center"/>
    </xf>
    <xf numFmtId="201" fontId="66" fillId="8" borderId="235" xfId="0" applyNumberFormat="1" applyFont="1" applyFill="1" applyBorder="1" applyAlignment="1">
      <alignment horizontal="center" vertical="center"/>
    </xf>
    <xf numFmtId="201" fontId="66" fillId="8" borderId="0" xfId="0" applyNumberFormat="1" applyFont="1" applyFill="1" applyBorder="1" applyAlignment="1">
      <alignment horizontal="center" vertical="center"/>
    </xf>
    <xf numFmtId="198" fontId="66" fillId="8" borderId="40" xfId="0" applyNumberFormat="1" applyFont="1" applyFill="1" applyBorder="1" applyAlignment="1">
      <alignment horizontal="center" vertical="center"/>
    </xf>
    <xf numFmtId="201" fontId="66" fillId="8" borderId="46" xfId="0" applyNumberFormat="1" applyFont="1" applyFill="1" applyBorder="1" applyAlignment="1">
      <alignment horizontal="center" vertical="center"/>
    </xf>
    <xf numFmtId="189" fontId="66" fillId="8" borderId="225" xfId="0" applyNumberFormat="1" applyFont="1" applyFill="1" applyBorder="1" applyAlignment="1">
      <alignment horizontal="center" vertical="center"/>
    </xf>
    <xf numFmtId="0" fontId="101" fillId="8" borderId="220" xfId="0" applyFont="1" applyFill="1" applyBorder="1" applyAlignment="1">
      <alignment horizontal="center" vertical="center"/>
    </xf>
    <xf numFmtId="0" fontId="66" fillId="8" borderId="37" xfId="0" applyFont="1" applyFill="1" applyBorder="1">
      <alignment vertical="center"/>
    </xf>
    <xf numFmtId="196" fontId="66" fillId="8" borderId="38" xfId="0" applyNumberFormat="1" applyFont="1" applyFill="1" applyBorder="1" applyAlignment="1">
      <alignment horizontal="center" vertical="center"/>
    </xf>
    <xf numFmtId="196" fontId="66" fillId="8" borderId="481" xfId="0" applyNumberFormat="1" applyFont="1" applyFill="1" applyBorder="1" applyAlignment="1">
      <alignment horizontal="center" vertical="center"/>
    </xf>
    <xf numFmtId="196" fontId="66" fillId="8" borderId="37" xfId="0" applyNumberFormat="1" applyFont="1" applyFill="1" applyBorder="1" applyAlignment="1">
      <alignment horizontal="center" vertical="center"/>
    </xf>
    <xf numFmtId="196" fontId="66" fillId="8" borderId="471" xfId="0" applyNumberFormat="1" applyFont="1" applyFill="1" applyBorder="1" applyAlignment="1">
      <alignment horizontal="center" vertical="center"/>
    </xf>
    <xf numFmtId="197" fontId="66" fillId="8" borderId="89" xfId="0" applyNumberFormat="1" applyFont="1" applyFill="1" applyBorder="1" applyAlignment="1">
      <alignment horizontal="center" vertical="center"/>
    </xf>
    <xf numFmtId="197" fontId="66" fillId="8" borderId="37" xfId="0" applyNumberFormat="1" applyFont="1" applyFill="1" applyBorder="1" applyAlignment="1">
      <alignment horizontal="center" vertical="center"/>
    </xf>
    <xf numFmtId="196" fontId="66" fillId="8" borderId="237" xfId="0" applyNumberFormat="1" applyFont="1" applyFill="1" applyBorder="1" applyAlignment="1">
      <alignment horizontal="center" vertical="center"/>
    </xf>
    <xf numFmtId="196" fontId="66" fillId="8" borderId="222" xfId="0" applyNumberFormat="1" applyFont="1" applyFill="1" applyBorder="1" applyAlignment="1">
      <alignment horizontal="center" vertical="center"/>
    </xf>
    <xf numFmtId="201" fontId="66" fillId="8" borderId="237" xfId="0" applyNumberFormat="1" applyFont="1" applyFill="1" applyBorder="1" applyAlignment="1">
      <alignment horizontal="center" vertical="center"/>
    </xf>
    <xf numFmtId="201" fontId="66" fillId="8" borderId="37" xfId="0" applyNumberFormat="1" applyFont="1" applyFill="1" applyBorder="1" applyAlignment="1">
      <alignment horizontal="center" vertical="center"/>
    </xf>
    <xf numFmtId="198" fontId="66" fillId="8" borderId="221" xfId="0" applyNumberFormat="1" applyFont="1" applyFill="1" applyBorder="1" applyAlignment="1">
      <alignment horizontal="center" vertical="center"/>
    </xf>
    <xf numFmtId="201" fontId="66" fillId="8" borderId="72" xfId="0" applyNumberFormat="1" applyFont="1" applyFill="1" applyBorder="1" applyAlignment="1">
      <alignment horizontal="center" vertical="center"/>
    </xf>
    <xf numFmtId="189" fontId="66" fillId="8" borderId="227" xfId="0" applyNumberFormat="1" applyFont="1" applyFill="1" applyBorder="1" applyAlignment="1">
      <alignment horizontal="center" vertical="center"/>
    </xf>
    <xf numFmtId="0" fontId="101" fillId="0" borderId="217" xfId="0" applyFont="1" applyBorder="1" applyAlignment="1">
      <alignment horizontal="center" vertical="center"/>
    </xf>
    <xf numFmtId="0" fontId="101" fillId="0" borderId="340" xfId="0" applyFont="1" applyBorder="1" applyAlignment="1">
      <alignment horizontal="center" vertical="center"/>
    </xf>
    <xf numFmtId="196" fontId="66" fillId="0" borderId="69" xfId="0" applyNumberFormat="1" applyFont="1" applyFill="1" applyBorder="1" applyAlignment="1">
      <alignment horizontal="center" vertical="center"/>
    </xf>
    <xf numFmtId="196" fontId="66" fillId="0" borderId="689" xfId="0" applyNumberFormat="1" applyFont="1" applyFill="1" applyBorder="1" applyAlignment="1">
      <alignment horizontal="center" vertical="center"/>
    </xf>
    <xf numFmtId="196" fontId="66" fillId="0" borderId="68" xfId="0" applyNumberFormat="1" applyFont="1" applyFill="1" applyBorder="1" applyAlignment="1">
      <alignment horizontal="center" vertical="center"/>
    </xf>
    <xf numFmtId="196" fontId="66" fillId="0" borderId="186" xfId="0" applyNumberFormat="1" applyFont="1" applyFill="1" applyBorder="1" applyAlignment="1">
      <alignment horizontal="center" vertical="center"/>
    </xf>
    <xf numFmtId="197" fontId="66" fillId="0" borderId="88" xfId="0" applyNumberFormat="1" applyFont="1" applyFill="1" applyBorder="1" applyAlignment="1">
      <alignment horizontal="center" vertical="center"/>
    </xf>
    <xf numFmtId="197" fontId="66" fillId="0" borderId="68" xfId="0" applyNumberFormat="1" applyFont="1" applyFill="1" applyBorder="1" applyAlignment="1">
      <alignment horizontal="center" vertical="center"/>
    </xf>
    <xf numFmtId="196" fontId="66" fillId="0" borderId="236" xfId="0" applyNumberFormat="1" applyFont="1" applyFill="1" applyBorder="1" applyAlignment="1">
      <alignment horizontal="center" vertical="center"/>
    </xf>
    <xf numFmtId="196" fontId="66" fillId="0" borderId="219" xfId="0" applyNumberFormat="1" applyFont="1" applyFill="1" applyBorder="1" applyAlignment="1">
      <alignment horizontal="center" vertical="center"/>
    </xf>
    <xf numFmtId="201" fontId="66" fillId="0" borderId="236" xfId="0" applyNumberFormat="1" applyFont="1" applyFill="1" applyBorder="1" applyAlignment="1">
      <alignment horizontal="center" vertical="center"/>
    </xf>
    <xf numFmtId="201" fontId="66" fillId="0" borderId="68" xfId="0" applyNumberFormat="1" applyFont="1" applyFill="1" applyBorder="1" applyAlignment="1">
      <alignment horizontal="center" vertical="center"/>
    </xf>
    <xf numFmtId="198" fontId="66" fillId="0" borderId="218" xfId="0" applyNumberFormat="1" applyFont="1" applyFill="1" applyBorder="1" applyAlignment="1">
      <alignment horizontal="center" vertical="center"/>
    </xf>
    <xf numFmtId="201" fontId="66" fillId="0" borderId="71" xfId="0" applyNumberFormat="1" applyFont="1" applyFill="1" applyBorder="1" applyAlignment="1">
      <alignment horizontal="center" vertical="center"/>
    </xf>
    <xf numFmtId="189" fontId="66" fillId="0" borderId="226" xfId="0" applyNumberFormat="1" applyFont="1" applyFill="1" applyBorder="1" applyAlignment="1">
      <alignment horizontal="center" vertical="center"/>
    </xf>
    <xf numFmtId="0" fontId="101" fillId="0" borderId="85" xfId="0" applyFont="1" applyBorder="1" applyAlignment="1">
      <alignment horizontal="center" vertical="center"/>
    </xf>
    <xf numFmtId="0" fontId="101" fillId="0" borderId="12" xfId="0" applyFont="1" applyBorder="1" applyAlignment="1">
      <alignment horizontal="center" vertical="center"/>
    </xf>
    <xf numFmtId="196" fontId="66" fillId="0" borderId="11" xfId="0" applyNumberFormat="1" applyFont="1" applyFill="1" applyBorder="1" applyAlignment="1">
      <alignment horizontal="center" vertical="center"/>
    </xf>
    <xf numFmtId="196" fontId="66" fillId="0" borderId="485" xfId="0" applyNumberFormat="1" applyFont="1" applyFill="1" applyBorder="1" applyAlignment="1">
      <alignment horizontal="center" vertical="center"/>
    </xf>
    <xf numFmtId="196" fontId="66" fillId="0" borderId="0" xfId="0" applyNumberFormat="1" applyFont="1" applyFill="1" applyBorder="1" applyAlignment="1">
      <alignment horizontal="center" vertical="center"/>
    </xf>
    <xf numFmtId="196" fontId="66" fillId="0" borderId="187" xfId="0" applyNumberFormat="1" applyFont="1" applyFill="1" applyBorder="1" applyAlignment="1">
      <alignment horizontal="center" vertical="center"/>
    </xf>
    <xf numFmtId="197" fontId="66" fillId="0" borderId="86" xfId="0" applyNumberFormat="1" applyFont="1" applyFill="1" applyBorder="1" applyAlignment="1">
      <alignment horizontal="center" vertical="center"/>
    </xf>
    <xf numFmtId="197" fontId="66" fillId="0" borderId="0" xfId="0" applyNumberFormat="1" applyFont="1" applyFill="1" applyBorder="1" applyAlignment="1">
      <alignment horizontal="center" vertical="center"/>
    </xf>
    <xf numFmtId="196" fontId="66" fillId="0" borderId="235" xfId="0" applyNumberFormat="1" applyFont="1" applyFill="1" applyBorder="1" applyAlignment="1">
      <alignment horizontal="center" vertical="center"/>
    </xf>
    <xf numFmtId="196" fontId="66" fillId="0" borderId="215" xfId="0" applyNumberFormat="1" applyFont="1" applyFill="1" applyBorder="1" applyAlignment="1">
      <alignment horizontal="center" vertical="center"/>
    </xf>
    <xf numFmtId="201" fontId="66" fillId="0" borderId="235" xfId="0" applyNumberFormat="1" applyFont="1" applyFill="1" applyBorder="1" applyAlignment="1">
      <alignment horizontal="center" vertical="center"/>
    </xf>
    <xf numFmtId="201" fontId="66" fillId="0" borderId="0" xfId="0" applyNumberFormat="1" applyFont="1" applyFill="1" applyBorder="1" applyAlignment="1">
      <alignment horizontal="center" vertical="center"/>
    </xf>
    <xf numFmtId="198" fontId="66" fillId="0" borderId="40" xfId="0" applyNumberFormat="1" applyFont="1" applyFill="1" applyBorder="1" applyAlignment="1">
      <alignment horizontal="center" vertical="center"/>
    </xf>
    <xf numFmtId="201" fontId="66" fillId="0" borderId="46" xfId="0" applyNumberFormat="1" applyFont="1" applyFill="1" applyBorder="1" applyAlignment="1">
      <alignment horizontal="center" vertical="center"/>
    </xf>
    <xf numFmtId="189" fontId="66" fillId="0" borderId="225" xfId="0" applyNumberFormat="1" applyFont="1" applyFill="1" applyBorder="1" applyAlignment="1">
      <alignment horizontal="center" vertical="center"/>
    </xf>
    <xf numFmtId="0" fontId="101" fillId="2" borderId="12" xfId="0" applyFont="1" applyFill="1" applyBorder="1" applyAlignment="1">
      <alignment horizontal="center" vertical="center"/>
    </xf>
    <xf numFmtId="196" fontId="66" fillId="2" borderId="11" xfId="0" applyNumberFormat="1" applyFont="1" applyFill="1" applyBorder="1" applyAlignment="1">
      <alignment horizontal="center" vertical="center"/>
    </xf>
    <xf numFmtId="196" fontId="66" fillId="2" borderId="485" xfId="0" applyNumberFormat="1" applyFont="1" applyFill="1" applyBorder="1" applyAlignment="1">
      <alignment horizontal="center" vertical="center"/>
    </xf>
    <xf numFmtId="196" fontId="66" fillId="2" borderId="0" xfId="0" applyNumberFormat="1" applyFont="1" applyFill="1" applyBorder="1" applyAlignment="1">
      <alignment horizontal="center" vertical="center"/>
    </xf>
    <xf numFmtId="196" fontId="66" fillId="2" borderId="187" xfId="0" applyNumberFormat="1" applyFont="1" applyFill="1" applyBorder="1" applyAlignment="1">
      <alignment horizontal="center" vertical="center"/>
    </xf>
    <xf numFmtId="197" fontId="66" fillId="2" borderId="86" xfId="0" applyNumberFormat="1" applyFont="1" applyFill="1" applyBorder="1" applyAlignment="1">
      <alignment horizontal="center" vertical="center"/>
    </xf>
    <xf numFmtId="197" fontId="66" fillId="2" borderId="0" xfId="0" applyNumberFormat="1" applyFont="1" applyFill="1" applyBorder="1" applyAlignment="1">
      <alignment horizontal="center" vertical="center"/>
    </xf>
    <xf numFmtId="196" fontId="66" fillId="2" borderId="235" xfId="0" applyNumberFormat="1" applyFont="1" applyFill="1" applyBorder="1" applyAlignment="1">
      <alignment horizontal="center" vertical="center"/>
    </xf>
    <xf numFmtId="196" fontId="66" fillId="2" borderId="215" xfId="0" applyNumberFormat="1" applyFont="1" applyFill="1" applyBorder="1" applyAlignment="1">
      <alignment horizontal="center" vertical="center"/>
    </xf>
    <xf numFmtId="201" fontId="66" fillId="2" borderId="235" xfId="0" applyNumberFormat="1" applyFont="1" applyFill="1" applyBorder="1" applyAlignment="1">
      <alignment horizontal="center" vertical="center"/>
    </xf>
    <xf numFmtId="201" fontId="66" fillId="2" borderId="0" xfId="0" applyNumberFormat="1" applyFont="1" applyFill="1" applyBorder="1" applyAlignment="1">
      <alignment horizontal="center" vertical="center"/>
    </xf>
    <xf numFmtId="198" fontId="66" fillId="2" borderId="40" xfId="0" applyNumberFormat="1" applyFont="1" applyFill="1" applyBorder="1" applyAlignment="1">
      <alignment horizontal="center" vertical="center"/>
    </xf>
    <xf numFmtId="201" fontId="66" fillId="2" borderId="46" xfId="0" applyNumberFormat="1" applyFont="1" applyFill="1" applyBorder="1" applyAlignment="1">
      <alignment horizontal="center" vertical="center"/>
    </xf>
    <xf numFmtId="189" fontId="66" fillId="2" borderId="225" xfId="0" applyNumberFormat="1" applyFont="1" applyFill="1" applyBorder="1" applyAlignment="1">
      <alignment horizontal="center" vertical="center"/>
    </xf>
    <xf numFmtId="0" fontId="101" fillId="0" borderId="228" xfId="0" applyFont="1" applyBorder="1" applyAlignment="1">
      <alignment horizontal="center" vertical="center"/>
    </xf>
    <xf numFmtId="0" fontId="101" fillId="0" borderId="13" xfId="0" applyFont="1" applyBorder="1" applyAlignment="1">
      <alignment horizontal="center" vertical="center"/>
    </xf>
    <xf numFmtId="196" fontId="66" fillId="0" borderId="48" xfId="0" applyNumberFormat="1" applyFont="1" applyFill="1" applyBorder="1" applyAlignment="1">
      <alignment horizontal="center" vertical="center"/>
    </xf>
    <xf numFmtId="196" fontId="66" fillId="0" borderId="507" xfId="0" applyNumberFormat="1" applyFont="1" applyFill="1" applyBorder="1" applyAlignment="1">
      <alignment horizontal="center" vertical="center"/>
    </xf>
    <xf numFmtId="196" fontId="66" fillId="0" borderId="6" xfId="0" applyNumberFormat="1" applyFont="1" applyFill="1" applyBorder="1" applyAlignment="1">
      <alignment horizontal="center" vertical="center"/>
    </xf>
    <xf numFmtId="196" fontId="66" fillId="0" borderId="211" xfId="0" applyNumberFormat="1" applyFont="1" applyFill="1" applyBorder="1" applyAlignment="1">
      <alignment horizontal="center" vertical="center"/>
    </xf>
    <xf numFmtId="197" fontId="66" fillId="0" borderId="90" xfId="0" applyNumberFormat="1" applyFont="1" applyFill="1" applyBorder="1" applyAlignment="1">
      <alignment horizontal="center" vertical="center"/>
    </xf>
    <xf numFmtId="197" fontId="66" fillId="0" borderId="6" xfId="0" applyNumberFormat="1" applyFont="1" applyFill="1" applyBorder="1" applyAlignment="1">
      <alignment horizontal="center" vertical="center"/>
    </xf>
    <xf numFmtId="196" fontId="66" fillId="0" borderId="233" xfId="0" applyNumberFormat="1" applyFont="1" applyFill="1" applyBorder="1" applyAlignment="1">
      <alignment horizontal="center" vertical="center"/>
    </xf>
    <xf numFmtId="196" fontId="66" fillId="0" borderId="229" xfId="0" applyNumberFormat="1" applyFont="1" applyFill="1" applyBorder="1" applyAlignment="1">
      <alignment horizontal="center" vertical="center"/>
    </xf>
    <xf numFmtId="201" fontId="66" fillId="0" borderId="233" xfId="0" applyNumberFormat="1" applyFont="1" applyFill="1" applyBorder="1" applyAlignment="1">
      <alignment horizontal="center" vertical="center"/>
    </xf>
    <xf numFmtId="201" fontId="66" fillId="0" borderId="6" xfId="0" applyNumberFormat="1" applyFont="1" applyFill="1" applyBorder="1" applyAlignment="1">
      <alignment horizontal="center" vertical="center"/>
    </xf>
    <xf numFmtId="198" fontId="66" fillId="0" borderId="41" xfId="0" applyNumberFormat="1" applyFont="1" applyFill="1" applyBorder="1" applyAlignment="1">
      <alignment horizontal="center" vertical="center"/>
    </xf>
    <xf numFmtId="201" fontId="66" fillId="0" borderId="43" xfId="0" applyNumberFormat="1" applyFont="1" applyFill="1" applyBorder="1" applyAlignment="1">
      <alignment horizontal="center" vertical="center"/>
    </xf>
    <xf numFmtId="189" fontId="66" fillId="0" borderId="230" xfId="0" applyNumberFormat="1" applyFont="1" applyFill="1" applyBorder="1" applyAlignment="1">
      <alignment horizontal="center" vertical="center"/>
    </xf>
    <xf numFmtId="0" fontId="75" fillId="5" borderId="0" xfId="0" applyFont="1" applyFill="1" applyBorder="1" applyAlignment="1">
      <alignment horizontal="center" vertical="center" wrapText="1"/>
    </xf>
    <xf numFmtId="0" fontId="101" fillId="5" borderId="0" xfId="0" applyFont="1" applyFill="1" applyBorder="1" applyAlignment="1">
      <alignment horizontal="center" vertical="center"/>
    </xf>
    <xf numFmtId="196" fontId="66" fillId="5" borderId="0" xfId="0" applyNumberFormat="1" applyFont="1" applyFill="1" applyBorder="1" applyAlignment="1">
      <alignment horizontal="center" vertical="center"/>
    </xf>
    <xf numFmtId="197" fontId="66" fillId="5" borderId="0" xfId="0" applyNumberFormat="1" applyFont="1" applyFill="1" applyBorder="1" applyAlignment="1">
      <alignment horizontal="center" vertical="center"/>
    </xf>
    <xf numFmtId="201" fontId="66" fillId="5" borderId="0" xfId="0" applyNumberFormat="1" applyFont="1" applyFill="1" applyBorder="1" applyAlignment="1">
      <alignment horizontal="center" vertical="center"/>
    </xf>
    <xf numFmtId="198" fontId="66" fillId="5" borderId="0" xfId="0" applyNumberFormat="1" applyFont="1" applyFill="1" applyBorder="1" applyAlignment="1">
      <alignment horizontal="center" vertical="center"/>
    </xf>
    <xf numFmtId="0" fontId="83" fillId="44" borderId="0" xfId="0" applyFont="1" applyFill="1" applyAlignment="1">
      <alignment horizontal="center" vertical="center"/>
    </xf>
    <xf numFmtId="0" fontId="66" fillId="44" borderId="0" xfId="0" applyFont="1" applyFill="1" applyAlignment="1">
      <alignment horizontal="center" vertical="center"/>
    </xf>
    <xf numFmtId="0" fontId="67" fillId="4" borderId="741" xfId="0" applyFont="1" applyFill="1" applyBorder="1" applyAlignment="1">
      <alignment horizontal="center" vertical="center"/>
    </xf>
    <xf numFmtId="0" fontId="67" fillId="4" borderId="741" xfId="0" applyFont="1" applyFill="1" applyBorder="1" applyAlignment="1">
      <alignment vertical="center"/>
    </xf>
    <xf numFmtId="0" fontId="105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75" fillId="4" borderId="6" xfId="0" quotePrefix="1" applyFont="1" applyFill="1" applyBorder="1" applyAlignment="1">
      <alignment horizontal="center" vertical="center"/>
    </xf>
    <xf numFmtId="0" fontId="111" fillId="45" borderId="0" xfId="0" applyFont="1" applyFill="1" applyAlignment="1">
      <alignment horizontal="center" vertical="center"/>
    </xf>
    <xf numFmtId="0" fontId="110" fillId="48" borderId="887" xfId="0" quotePrefix="1" applyFont="1" applyFill="1" applyBorder="1" applyAlignment="1">
      <alignment horizontal="center" vertical="center"/>
    </xf>
    <xf numFmtId="0" fontId="110" fillId="49" borderId="888" xfId="0" quotePrefix="1" applyFont="1" applyFill="1" applyBorder="1" applyAlignment="1">
      <alignment horizontal="center" vertical="center"/>
    </xf>
    <xf numFmtId="0" fontId="110" fillId="49" borderId="887" xfId="0" quotePrefix="1" applyFont="1" applyFill="1" applyBorder="1" applyAlignment="1">
      <alignment horizontal="center" vertical="center"/>
    </xf>
    <xf numFmtId="0" fontId="74" fillId="28" borderId="4" xfId="0" applyFont="1" applyFill="1" applyBorder="1">
      <alignment vertical="center"/>
    </xf>
    <xf numFmtId="221" fontId="112" fillId="50" borderId="671" xfId="0" applyNumberFormat="1" applyFont="1" applyFill="1" applyBorder="1" applyAlignment="1">
      <alignment horizontal="center" vertical="center"/>
    </xf>
    <xf numFmtId="221" fontId="112" fillId="50" borderId="889" xfId="0" applyNumberFormat="1" applyFont="1" applyFill="1" applyBorder="1" applyAlignment="1">
      <alignment horizontal="center" vertical="center"/>
    </xf>
    <xf numFmtId="221" fontId="112" fillId="50" borderId="0" xfId="0" applyNumberFormat="1" applyFont="1" applyFill="1" applyBorder="1" applyAlignment="1">
      <alignment horizontal="center" vertical="center"/>
    </xf>
    <xf numFmtId="227" fontId="112" fillId="50" borderId="889" xfId="0" applyNumberFormat="1" applyFont="1" applyFill="1" applyBorder="1" applyAlignment="1">
      <alignment horizontal="center" vertical="center"/>
    </xf>
    <xf numFmtId="227" fontId="112" fillId="50" borderId="890" xfId="0" applyNumberFormat="1" applyFont="1" applyFill="1" applyBorder="1" applyAlignment="1">
      <alignment horizontal="center" vertical="center"/>
    </xf>
    <xf numFmtId="196" fontId="112" fillId="50" borderId="889" xfId="0" applyNumberFormat="1" applyFont="1" applyFill="1" applyBorder="1" applyAlignment="1">
      <alignment horizontal="center" vertical="center"/>
    </xf>
    <xf numFmtId="228" fontId="112" fillId="50" borderId="889" xfId="0" applyNumberFormat="1" applyFont="1" applyFill="1" applyBorder="1" applyAlignment="1">
      <alignment horizontal="center" vertical="center"/>
    </xf>
    <xf numFmtId="0" fontId="66" fillId="28" borderId="0" xfId="0" applyFont="1" applyFill="1" applyBorder="1">
      <alignment vertical="center"/>
    </xf>
    <xf numFmtId="221" fontId="66" fillId="51" borderId="485" xfId="0" applyNumberFormat="1" applyFont="1" applyFill="1" applyBorder="1" applyAlignment="1">
      <alignment horizontal="center" vertical="center"/>
    </xf>
    <xf numFmtId="221" fontId="66" fillId="51" borderId="0" xfId="0" applyNumberFormat="1" applyFont="1" applyFill="1" applyBorder="1" applyAlignment="1">
      <alignment horizontal="center" vertical="center"/>
    </xf>
    <xf numFmtId="227" fontId="66" fillId="51" borderId="0" xfId="0" applyNumberFormat="1" applyFont="1" applyFill="1" applyBorder="1" applyAlignment="1">
      <alignment horizontal="center" vertical="center"/>
    </xf>
    <xf numFmtId="227" fontId="66" fillId="51" borderId="891" xfId="0" applyNumberFormat="1" applyFont="1" applyFill="1" applyBorder="1" applyAlignment="1">
      <alignment horizontal="center" vertical="center"/>
    </xf>
    <xf numFmtId="196" fontId="66" fillId="46" borderId="0" xfId="0" applyNumberFormat="1" applyFont="1" applyFill="1" applyBorder="1" applyAlignment="1">
      <alignment horizontal="center" vertical="center"/>
    </xf>
    <xf numFmtId="228" fontId="66" fillId="46" borderId="0" xfId="0" applyNumberFormat="1" applyFont="1" applyFill="1" applyBorder="1" applyAlignment="1">
      <alignment horizontal="center" vertical="center"/>
    </xf>
    <xf numFmtId="0" fontId="105" fillId="8" borderId="217" xfId="0" applyFont="1" applyFill="1" applyBorder="1" applyAlignment="1">
      <alignment horizontal="center" vertical="center"/>
    </xf>
    <xf numFmtId="221" fontId="66" fillId="47" borderId="899" xfId="0" applyNumberFormat="1" applyFont="1" applyFill="1" applyBorder="1" applyAlignment="1">
      <alignment horizontal="center" vertical="center"/>
    </xf>
    <xf numFmtId="221" fontId="66" fillId="47" borderId="892" xfId="0" applyNumberFormat="1" applyFont="1" applyFill="1" applyBorder="1" applyAlignment="1">
      <alignment horizontal="center" vertical="center"/>
    </xf>
    <xf numFmtId="227" fontId="66" fillId="47" borderId="892" xfId="0" applyNumberFormat="1" applyFont="1" applyFill="1" applyBorder="1" applyAlignment="1">
      <alignment horizontal="center" vertical="center"/>
    </xf>
    <xf numFmtId="227" fontId="66" fillId="47" borderId="893" xfId="0" applyNumberFormat="1" applyFont="1" applyFill="1" applyBorder="1" applyAlignment="1">
      <alignment horizontal="center" vertical="center"/>
    </xf>
    <xf numFmtId="196" fontId="66" fillId="47" borderId="892" xfId="0" applyNumberFormat="1" applyFont="1" applyFill="1" applyBorder="1" applyAlignment="1">
      <alignment horizontal="center" vertical="center"/>
    </xf>
    <xf numFmtId="228" fontId="66" fillId="47" borderId="892" xfId="0" applyNumberFormat="1" applyFont="1" applyFill="1" applyBorder="1" applyAlignment="1">
      <alignment horizontal="center" vertical="center"/>
    </xf>
    <xf numFmtId="0" fontId="105" fillId="8" borderId="85" xfId="0" applyFont="1" applyFill="1" applyBorder="1" applyAlignment="1">
      <alignment horizontal="center" vertical="center"/>
    </xf>
    <xf numFmtId="221" fontId="66" fillId="47" borderId="485" xfId="0" applyNumberFormat="1" applyFont="1" applyFill="1" applyBorder="1" applyAlignment="1">
      <alignment horizontal="center" vertical="center"/>
    </xf>
    <xf numFmtId="221" fontId="66" fillId="47" borderId="0" xfId="0" applyNumberFormat="1" applyFont="1" applyFill="1" applyBorder="1" applyAlignment="1">
      <alignment horizontal="center" vertical="center"/>
    </xf>
    <xf numFmtId="227" fontId="66" fillId="47" borderId="0" xfId="0" applyNumberFormat="1" applyFont="1" applyFill="1" applyBorder="1" applyAlignment="1">
      <alignment horizontal="center" vertical="center"/>
    </xf>
    <xf numFmtId="227" fontId="66" fillId="47" borderId="891" xfId="0" applyNumberFormat="1" applyFont="1" applyFill="1" applyBorder="1" applyAlignment="1">
      <alignment horizontal="center" vertical="center"/>
    </xf>
    <xf numFmtId="196" fontId="66" fillId="47" borderId="0" xfId="0" applyNumberFormat="1" applyFont="1" applyFill="1" applyBorder="1" applyAlignment="1">
      <alignment horizontal="center" vertical="center"/>
    </xf>
    <xf numFmtId="228" fontId="66" fillId="47" borderId="0" xfId="0" applyNumberFormat="1" applyFont="1" applyFill="1" applyBorder="1" applyAlignment="1">
      <alignment horizontal="center" vertical="center"/>
    </xf>
    <xf numFmtId="0" fontId="105" fillId="8" borderId="220" xfId="0" applyFont="1" applyFill="1" applyBorder="1" applyAlignment="1">
      <alignment horizontal="center" vertical="center"/>
    </xf>
    <xf numFmtId="221" fontId="66" fillId="47" borderId="900" xfId="0" applyNumberFormat="1" applyFont="1" applyFill="1" applyBorder="1" applyAlignment="1">
      <alignment horizontal="center" vertical="center"/>
    </xf>
    <xf numFmtId="221" fontId="66" fillId="47" borderId="894" xfId="0" applyNumberFormat="1" applyFont="1" applyFill="1" applyBorder="1" applyAlignment="1">
      <alignment horizontal="center" vertical="center"/>
    </xf>
    <xf numFmtId="227" fontId="66" fillId="47" borderId="894" xfId="0" applyNumberFormat="1" applyFont="1" applyFill="1" applyBorder="1" applyAlignment="1">
      <alignment horizontal="center" vertical="center"/>
    </xf>
    <xf numFmtId="227" fontId="66" fillId="47" borderId="895" xfId="0" applyNumberFormat="1" applyFont="1" applyFill="1" applyBorder="1" applyAlignment="1">
      <alignment horizontal="center" vertical="center"/>
    </xf>
    <xf numFmtId="196" fontId="66" fillId="47" borderId="894" xfId="0" applyNumberFormat="1" applyFont="1" applyFill="1" applyBorder="1" applyAlignment="1">
      <alignment horizontal="center" vertical="center"/>
    </xf>
    <xf numFmtId="228" fontId="66" fillId="47" borderId="894" xfId="0" applyNumberFormat="1" applyFont="1" applyFill="1" applyBorder="1" applyAlignment="1">
      <alignment horizontal="center" vertical="center"/>
    </xf>
    <xf numFmtId="0" fontId="105" fillId="0" borderId="217" xfId="0" applyFont="1" applyBorder="1" applyAlignment="1">
      <alignment horizontal="center" vertical="center"/>
    </xf>
    <xf numFmtId="221" fontId="66" fillId="0" borderId="899" xfId="0" applyNumberFormat="1" applyFont="1" applyBorder="1" applyAlignment="1">
      <alignment horizontal="center" vertical="center"/>
    </xf>
    <xf numFmtId="221" fontId="66" fillId="0" borderId="892" xfId="0" applyNumberFormat="1" applyFont="1" applyBorder="1" applyAlignment="1">
      <alignment horizontal="center" vertical="center"/>
    </xf>
    <xf numFmtId="227" fontId="66" fillId="0" borderId="892" xfId="0" applyNumberFormat="1" applyFont="1" applyBorder="1" applyAlignment="1">
      <alignment horizontal="center" vertical="center"/>
    </xf>
    <xf numFmtId="227" fontId="66" fillId="0" borderId="893" xfId="0" applyNumberFormat="1" applyFont="1" applyBorder="1" applyAlignment="1">
      <alignment horizontal="center" vertical="center"/>
    </xf>
    <xf numFmtId="196" fontId="66" fillId="0" borderId="892" xfId="0" applyNumberFormat="1" applyFont="1" applyBorder="1" applyAlignment="1">
      <alignment horizontal="center" vertical="center"/>
    </xf>
    <xf numFmtId="228" fontId="66" fillId="0" borderId="892" xfId="0" applyNumberFormat="1" applyFont="1" applyBorder="1" applyAlignment="1">
      <alignment horizontal="center" vertical="center"/>
    </xf>
    <xf numFmtId="0" fontId="105" fillId="0" borderId="85" xfId="0" applyFont="1" applyBorder="1" applyAlignment="1">
      <alignment horizontal="center" vertical="center"/>
    </xf>
    <xf numFmtId="221" fontId="66" fillId="0" borderId="485" xfId="0" applyNumberFormat="1" applyFont="1" applyBorder="1" applyAlignment="1">
      <alignment horizontal="center" vertical="center"/>
    </xf>
    <xf numFmtId="221" fontId="66" fillId="0" borderId="0" xfId="0" applyNumberFormat="1" applyFont="1" applyBorder="1" applyAlignment="1">
      <alignment horizontal="center" vertical="center"/>
    </xf>
    <xf numFmtId="227" fontId="66" fillId="0" borderId="0" xfId="0" applyNumberFormat="1" applyFont="1" applyBorder="1" applyAlignment="1">
      <alignment horizontal="center" vertical="center"/>
    </xf>
    <xf numFmtId="227" fontId="66" fillId="0" borderId="891" xfId="0" applyNumberFormat="1" applyFont="1" applyBorder="1" applyAlignment="1">
      <alignment horizontal="center" vertical="center"/>
    </xf>
    <xf numFmtId="196" fontId="66" fillId="0" borderId="0" xfId="0" applyNumberFormat="1" applyFont="1" applyBorder="1" applyAlignment="1">
      <alignment horizontal="center" vertical="center"/>
    </xf>
    <xf numFmtId="228" fontId="66" fillId="0" borderId="0" xfId="0" applyNumberFormat="1" applyFont="1" applyBorder="1" applyAlignment="1">
      <alignment horizontal="center" vertical="center"/>
    </xf>
    <xf numFmtId="221" fontId="66" fillId="34" borderId="485" xfId="0" applyNumberFormat="1" applyFont="1" applyFill="1" applyBorder="1" applyAlignment="1">
      <alignment horizontal="center" vertical="center"/>
    </xf>
    <xf numFmtId="221" fontId="66" fillId="34" borderId="0" xfId="0" applyNumberFormat="1" applyFont="1" applyFill="1" applyBorder="1" applyAlignment="1">
      <alignment horizontal="center" vertical="center"/>
    </xf>
    <xf numFmtId="227" fontId="66" fillId="34" borderId="0" xfId="0" applyNumberFormat="1" applyFont="1" applyFill="1" applyBorder="1" applyAlignment="1">
      <alignment horizontal="center" vertical="center"/>
    </xf>
    <xf numFmtId="227" fontId="66" fillId="34" borderId="891" xfId="0" applyNumberFormat="1" applyFont="1" applyFill="1" applyBorder="1" applyAlignment="1">
      <alignment horizontal="center" vertical="center"/>
    </xf>
    <xf numFmtId="196" fontId="66" fillId="34" borderId="0" xfId="0" applyNumberFormat="1" applyFont="1" applyFill="1" applyBorder="1" applyAlignment="1">
      <alignment horizontal="center" vertical="center"/>
    </xf>
    <xf numFmtId="228" fontId="66" fillId="34" borderId="0" xfId="0" applyNumberFormat="1" applyFont="1" applyFill="1" applyBorder="1" applyAlignment="1">
      <alignment horizontal="center" vertical="center"/>
    </xf>
    <xf numFmtId="227" fontId="66" fillId="46" borderId="0" xfId="0" applyNumberFormat="1" applyFont="1" applyFill="1" applyBorder="1" applyAlignment="1">
      <alignment horizontal="center" vertical="center"/>
    </xf>
    <xf numFmtId="227" fontId="66" fillId="46" borderId="891" xfId="0" applyNumberFormat="1" applyFont="1" applyFill="1" applyBorder="1" applyAlignment="1">
      <alignment horizontal="center" vertical="center"/>
    </xf>
    <xf numFmtId="221" fontId="86" fillId="0" borderId="485" xfId="0" applyNumberFormat="1" applyFont="1" applyBorder="1" applyAlignment="1">
      <alignment horizontal="center" vertical="center"/>
    </xf>
    <xf numFmtId="221" fontId="86" fillId="0" borderId="0" xfId="0" applyNumberFormat="1" applyFont="1" applyBorder="1" applyAlignment="1">
      <alignment horizontal="center" vertical="center"/>
    </xf>
    <xf numFmtId="227" fontId="86" fillId="46" borderId="0" xfId="0" applyNumberFormat="1" applyFont="1" applyFill="1" applyBorder="1" applyAlignment="1">
      <alignment horizontal="center" vertical="center"/>
    </xf>
    <xf numFmtId="227" fontId="86" fillId="46" borderId="891" xfId="0" applyNumberFormat="1" applyFont="1" applyFill="1" applyBorder="1" applyAlignment="1">
      <alignment horizontal="center" vertical="center"/>
    </xf>
    <xf numFmtId="0" fontId="105" fillId="0" borderId="897" xfId="0" applyFont="1" applyBorder="1" applyAlignment="1">
      <alignment horizontal="center" vertical="center"/>
    </xf>
    <xf numFmtId="0" fontId="101" fillId="0" borderId="580" xfId="0" applyFont="1" applyBorder="1" applyAlignment="1">
      <alignment horizontal="center" vertical="center"/>
    </xf>
    <xf numFmtId="221" fontId="86" fillId="0" borderId="505" xfId="0" applyNumberFormat="1" applyFont="1" applyBorder="1" applyAlignment="1">
      <alignment horizontal="center" vertical="center"/>
    </xf>
    <xf numFmtId="221" fontId="86" fillId="0" borderId="502" xfId="0" applyNumberFormat="1" applyFont="1" applyBorder="1" applyAlignment="1">
      <alignment horizontal="center" vertical="center"/>
    </xf>
    <xf numFmtId="227" fontId="86" fillId="0" borderId="502" xfId="0" applyNumberFormat="1" applyFont="1" applyBorder="1" applyAlignment="1">
      <alignment horizontal="center" vertical="center"/>
    </xf>
    <xf numFmtId="227" fontId="86" fillId="0" borderId="898" xfId="0" applyNumberFormat="1" applyFont="1" applyBorder="1" applyAlignment="1">
      <alignment horizontal="center" vertical="center"/>
    </xf>
    <xf numFmtId="227" fontId="66" fillId="0" borderId="502" xfId="0" applyNumberFormat="1" applyFont="1" applyBorder="1" applyAlignment="1">
      <alignment horizontal="center" vertical="center"/>
    </xf>
    <xf numFmtId="196" fontId="66" fillId="0" borderId="502" xfId="0" applyNumberFormat="1" applyFont="1" applyBorder="1" applyAlignment="1">
      <alignment horizontal="center" vertical="center"/>
    </xf>
    <xf numFmtId="228" fontId="66" fillId="0" borderId="502" xfId="0" applyNumberFormat="1" applyFont="1" applyBorder="1" applyAlignment="1">
      <alignment horizontal="center" vertical="center"/>
    </xf>
    <xf numFmtId="196" fontId="86" fillId="5" borderId="0" xfId="0" applyNumberFormat="1" applyFont="1" applyFill="1" applyBorder="1" applyAlignment="1">
      <alignment horizontal="center" vertical="center"/>
    </xf>
    <xf numFmtId="197" fontId="86" fillId="5" borderId="0" xfId="0" applyNumberFormat="1" applyFont="1" applyFill="1" applyBorder="1" applyAlignment="1">
      <alignment horizontal="center" vertical="center"/>
    </xf>
    <xf numFmtId="0" fontId="88" fillId="4" borderId="752" xfId="0" quotePrefix="1" applyFont="1" applyFill="1" applyBorder="1" applyAlignment="1">
      <alignment horizontal="center" vertical="center"/>
    </xf>
    <xf numFmtId="0" fontId="88" fillId="4" borderId="751" xfId="0" quotePrefix="1" applyFont="1" applyFill="1" applyBorder="1" applyAlignment="1">
      <alignment horizontal="center" vertical="center"/>
    </xf>
    <xf numFmtId="0" fontId="86" fillId="4" borderId="485" xfId="0" quotePrefix="1" applyFont="1" applyFill="1" applyBorder="1" applyAlignment="1">
      <alignment horizontal="center" vertical="center"/>
    </xf>
    <xf numFmtId="0" fontId="86" fillId="4" borderId="0" xfId="0" quotePrefix="1" applyFont="1" applyFill="1" applyBorder="1" applyAlignment="1">
      <alignment horizontal="center" vertical="center"/>
    </xf>
    <xf numFmtId="0" fontId="97" fillId="31" borderId="196" xfId="0" quotePrefix="1" applyFont="1" applyFill="1" applyBorder="1" applyAlignment="1">
      <alignment horizontal="center" vertical="center"/>
    </xf>
    <xf numFmtId="0" fontId="97" fillId="31" borderId="197" xfId="0" quotePrefix="1" applyFont="1" applyFill="1" applyBorder="1" applyAlignment="1">
      <alignment horizontal="center" vertical="center"/>
    </xf>
    <xf numFmtId="0" fontId="97" fillId="31" borderId="198" xfId="0" quotePrefix="1" applyFont="1" applyFill="1" applyBorder="1" applyAlignment="1">
      <alignment horizontal="center" vertical="center"/>
    </xf>
    <xf numFmtId="0" fontId="86" fillId="15" borderId="0" xfId="0" applyFont="1" applyFill="1" applyBorder="1" applyAlignment="1">
      <alignment horizontal="center" vertical="center"/>
    </xf>
    <xf numFmtId="0" fontId="86" fillId="29" borderId="235" xfId="0" quotePrefix="1" applyFont="1" applyFill="1" applyBorder="1" applyAlignment="1">
      <alignment horizontal="center" vertical="center"/>
    </xf>
    <xf numFmtId="0" fontId="86" fillId="29" borderId="215" xfId="0" quotePrefix="1" applyFont="1" applyFill="1" applyBorder="1" applyAlignment="1">
      <alignment horizontal="center" vertical="center"/>
    </xf>
    <xf numFmtId="0" fontId="67" fillId="6" borderId="731" xfId="0" applyFont="1" applyFill="1" applyBorder="1" applyAlignment="1">
      <alignment horizontal="center" vertical="center"/>
    </xf>
    <xf numFmtId="0" fontId="67" fillId="6" borderId="725" xfId="0" applyFont="1" applyFill="1" applyBorder="1" applyAlignment="1">
      <alignment horizontal="center" vertical="center"/>
    </xf>
    <xf numFmtId="0" fontId="67" fillId="8" borderId="729" xfId="0" applyFont="1" applyFill="1" applyBorder="1" applyAlignment="1">
      <alignment horizontal="center" vertical="center"/>
    </xf>
    <xf numFmtId="0" fontId="67" fillId="6" borderId="732" xfId="0" applyFont="1" applyFill="1" applyBorder="1" applyAlignment="1">
      <alignment horizontal="center" vertical="center"/>
    </xf>
    <xf numFmtId="0" fontId="67" fillId="8" borderId="734" xfId="0" applyFont="1" applyFill="1" applyBorder="1" applyAlignment="1">
      <alignment horizontal="center" vertical="center"/>
    </xf>
    <xf numFmtId="0" fontId="88" fillId="9" borderId="708" xfId="0" applyFont="1" applyFill="1" applyBorder="1">
      <alignment vertical="center"/>
    </xf>
    <xf numFmtId="0" fontId="88" fillId="9" borderId="709" xfId="0" applyFont="1" applyFill="1" applyBorder="1">
      <alignment vertical="center"/>
    </xf>
    <xf numFmtId="196" fontId="86" fillId="9" borderId="710" xfId="0" applyNumberFormat="1" applyFont="1" applyFill="1" applyBorder="1" applyAlignment="1">
      <alignment horizontal="center" vertical="center"/>
    </xf>
    <xf numFmtId="196" fontId="86" fillId="9" borderId="1147" xfId="0" applyNumberFormat="1" applyFont="1" applyFill="1" applyBorder="1" applyAlignment="1">
      <alignment horizontal="center" vertical="center"/>
    </xf>
    <xf numFmtId="196" fontId="86" fillId="9" borderId="709" xfId="0" applyNumberFormat="1" applyFont="1" applyFill="1" applyBorder="1" applyAlignment="1">
      <alignment horizontal="center" vertical="center"/>
    </xf>
    <xf numFmtId="196" fontId="86" fillId="9" borderId="711" xfId="0" applyNumberFormat="1" applyFont="1" applyFill="1" applyBorder="1" applyAlignment="1">
      <alignment horizontal="center" vertical="center"/>
    </xf>
    <xf numFmtId="197" fontId="86" fillId="9" borderId="712" xfId="0" applyNumberFormat="1" applyFont="1" applyFill="1" applyBorder="1" applyAlignment="1">
      <alignment horizontal="center" vertical="center"/>
    </xf>
    <xf numFmtId="196" fontId="86" fillId="9" borderId="713" xfId="0" applyNumberFormat="1" applyFont="1" applyFill="1" applyBorder="1" applyAlignment="1">
      <alignment horizontal="center" vertical="center"/>
    </xf>
    <xf numFmtId="0" fontId="86" fillId="29" borderId="709" xfId="0" applyFont="1" applyFill="1" applyBorder="1" applyAlignment="1">
      <alignment horizontal="center" vertical="center"/>
    </xf>
    <xf numFmtId="0" fontId="86" fillId="29" borderId="714" xfId="0" applyFont="1" applyFill="1" applyBorder="1" applyAlignment="1">
      <alignment horizontal="center" vertical="center"/>
    </xf>
    <xf numFmtId="201" fontId="66" fillId="9" borderId="709" xfId="0" applyNumberFormat="1" applyFont="1" applyFill="1" applyBorder="1" applyAlignment="1">
      <alignment horizontal="center" vertical="center"/>
    </xf>
    <xf numFmtId="205" fontId="66" fillId="9" borderId="713" xfId="0" applyNumberFormat="1" applyFont="1" applyFill="1" applyBorder="1" applyAlignment="1">
      <alignment horizontal="center" vertical="center"/>
    </xf>
    <xf numFmtId="201" fontId="66" fillId="29" borderId="715" xfId="0" applyNumberFormat="1" applyFont="1" applyFill="1" applyBorder="1" applyAlignment="1">
      <alignment horizontal="center" vertical="center"/>
    </xf>
    <xf numFmtId="201" fontId="66" fillId="29" borderId="709" xfId="0" applyNumberFormat="1" applyFont="1" applyFill="1" applyBorder="1" applyAlignment="1">
      <alignment horizontal="center" vertical="center"/>
    </xf>
    <xf numFmtId="205" fontId="66" fillId="29" borderId="716" xfId="0" applyNumberFormat="1" applyFont="1" applyFill="1" applyBorder="1" applyAlignment="1">
      <alignment horizontal="center" vertical="center"/>
    </xf>
    <xf numFmtId="196" fontId="86" fillId="3" borderId="11" xfId="0" applyNumberFormat="1" applyFont="1" applyFill="1" applyBorder="1" applyAlignment="1">
      <alignment horizontal="center" vertical="center"/>
    </xf>
    <xf numFmtId="196" fontId="86" fillId="3" borderId="485" xfId="0" applyNumberFormat="1" applyFont="1" applyFill="1" applyBorder="1" applyAlignment="1">
      <alignment horizontal="center" vertical="center"/>
    </xf>
    <xf numFmtId="196" fontId="86" fillId="3" borderId="0" xfId="0" applyNumberFormat="1" applyFont="1" applyFill="1" applyBorder="1" applyAlignment="1">
      <alignment horizontal="center" vertical="center"/>
    </xf>
    <xf numFmtId="196" fontId="86" fillId="3" borderId="187" xfId="0" applyNumberFormat="1" applyFont="1" applyFill="1" applyBorder="1" applyAlignment="1">
      <alignment horizontal="center" vertical="center"/>
    </xf>
    <xf numFmtId="197" fontId="86" fillId="3" borderId="86" xfId="0" applyNumberFormat="1" applyFont="1" applyFill="1" applyBorder="1" applyAlignment="1">
      <alignment horizontal="center" vertical="center"/>
    </xf>
    <xf numFmtId="196" fontId="86" fillId="3" borderId="40" xfId="0" applyNumberFormat="1" applyFont="1" applyFill="1" applyBorder="1" applyAlignment="1">
      <alignment horizontal="center" vertical="center"/>
    </xf>
    <xf numFmtId="0" fontId="86" fillId="29" borderId="0" xfId="0" applyFont="1" applyFill="1" applyBorder="1" applyAlignment="1">
      <alignment horizontal="center" vertical="center"/>
    </xf>
    <xf numFmtId="0" fontId="86" fillId="29" borderId="215" xfId="0" applyFont="1" applyFill="1" applyBorder="1" applyAlignment="1">
      <alignment horizontal="center" vertical="center"/>
    </xf>
    <xf numFmtId="201" fontId="66" fillId="3" borderId="0" xfId="0" applyNumberFormat="1" applyFont="1" applyFill="1" applyBorder="1" applyAlignment="1">
      <alignment horizontal="center" vertical="center"/>
    </xf>
    <xf numFmtId="205" fontId="66" fillId="3" borderId="40" xfId="0" applyNumberFormat="1" applyFont="1" applyFill="1" applyBorder="1" applyAlignment="1">
      <alignment horizontal="center" vertical="center"/>
    </xf>
    <xf numFmtId="205" fontId="66" fillId="29" borderId="718" xfId="0" applyNumberFormat="1" applyFont="1" applyFill="1" applyBorder="1" applyAlignment="1">
      <alignment horizontal="center" vertical="center"/>
    </xf>
    <xf numFmtId="196" fontId="86" fillId="8" borderId="77" xfId="0" applyNumberFormat="1" applyFont="1" applyFill="1" applyBorder="1" applyAlignment="1">
      <alignment horizontal="center" vertical="center"/>
    </xf>
    <xf numFmtId="196" fontId="86" fillId="8" borderId="1152" xfId="0" applyNumberFormat="1" applyFont="1" applyFill="1" applyBorder="1" applyAlignment="1">
      <alignment horizontal="center" vertical="center"/>
    </xf>
    <xf numFmtId="196" fontId="86" fillId="8" borderId="76" xfId="0" applyNumberFormat="1" applyFont="1" applyFill="1" applyBorder="1" applyAlignment="1">
      <alignment horizontal="center" vertical="center"/>
    </xf>
    <xf numFmtId="196" fontId="86" fillId="8" borderId="463" xfId="0" applyNumberFormat="1" applyFont="1" applyFill="1" applyBorder="1" applyAlignment="1">
      <alignment horizontal="center" vertical="center"/>
    </xf>
    <xf numFmtId="197" fontId="86" fillId="8" borderId="125" xfId="0" applyNumberFormat="1" applyFont="1" applyFill="1" applyBorder="1" applyAlignment="1">
      <alignment horizontal="center" vertical="center"/>
    </xf>
    <xf numFmtId="184" fontId="86" fillId="29" borderId="235" xfId="0" applyNumberFormat="1" applyFont="1" applyFill="1" applyBorder="1" applyAlignment="1">
      <alignment horizontal="center" vertical="center"/>
    </xf>
    <xf numFmtId="184" fontId="86" fillId="29" borderId="215" xfId="0" applyNumberFormat="1" applyFont="1" applyFill="1" applyBorder="1" applyAlignment="1">
      <alignment horizontal="center" vertical="center"/>
    </xf>
    <xf numFmtId="201" fontId="66" fillId="8" borderId="287" xfId="0" applyNumberFormat="1" applyFont="1" applyFill="1" applyBorder="1" applyAlignment="1">
      <alignment horizontal="center" vertical="center"/>
    </xf>
    <xf numFmtId="201" fontId="66" fillId="8" borderId="76" xfId="0" applyNumberFormat="1" applyFont="1" applyFill="1" applyBorder="1" applyAlignment="1">
      <alignment horizontal="center" vertical="center"/>
    </xf>
    <xf numFmtId="205" fontId="66" fillId="8" borderId="288" xfId="0" applyNumberFormat="1" applyFont="1" applyFill="1" applyBorder="1" applyAlignment="1">
      <alignment horizontal="center" vertical="center"/>
    </xf>
    <xf numFmtId="196" fontId="86" fillId="8" borderId="11" xfId="0" applyNumberFormat="1" applyFont="1" applyFill="1" applyBorder="1" applyAlignment="1">
      <alignment horizontal="center" vertical="center"/>
    </xf>
    <xf numFmtId="196" fontId="86" fillId="8" borderId="485" xfId="0" applyNumberFormat="1" applyFont="1" applyFill="1" applyBorder="1" applyAlignment="1">
      <alignment horizontal="center" vertical="center"/>
    </xf>
    <xf numFmtId="196" fontId="86" fillId="8" borderId="0" xfId="0" applyNumberFormat="1" applyFont="1" applyFill="1" applyBorder="1" applyAlignment="1">
      <alignment horizontal="center" vertical="center"/>
    </xf>
    <xf numFmtId="196" fontId="86" fillId="8" borderId="187" xfId="0" applyNumberFormat="1" applyFont="1" applyFill="1" applyBorder="1" applyAlignment="1">
      <alignment horizontal="center" vertical="center"/>
    </xf>
    <xf numFmtId="197" fontId="86" fillId="8" borderId="86" xfId="0" applyNumberFormat="1" applyFont="1" applyFill="1" applyBorder="1" applyAlignment="1">
      <alignment horizontal="center" vertical="center"/>
    </xf>
    <xf numFmtId="205" fontId="66" fillId="8" borderId="40" xfId="0" applyNumberFormat="1" applyFont="1" applyFill="1" applyBorder="1" applyAlignment="1">
      <alignment horizontal="center" vertical="center"/>
    </xf>
    <xf numFmtId="196" fontId="86" fillId="8" borderId="121" xfId="0" applyNumberFormat="1" applyFont="1" applyFill="1" applyBorder="1" applyAlignment="1">
      <alignment horizontal="center" vertical="center"/>
    </xf>
    <xf numFmtId="196" fontId="86" fillId="8" borderId="1153" xfId="0" applyNumberFormat="1" applyFont="1" applyFill="1" applyBorder="1" applyAlignment="1">
      <alignment horizontal="center" vertical="center"/>
    </xf>
    <xf numFmtId="196" fontId="86" fillId="8" borderId="119" xfId="0" applyNumberFormat="1" applyFont="1" applyFill="1" applyBorder="1" applyAlignment="1">
      <alignment horizontal="center" vertical="center"/>
    </xf>
    <xf numFmtId="196" fontId="86" fillId="8" borderId="464" xfId="0" applyNumberFormat="1" applyFont="1" applyFill="1" applyBorder="1" applyAlignment="1">
      <alignment horizontal="center" vertical="center"/>
    </xf>
    <xf numFmtId="197" fontId="86" fillId="8" borderId="124" xfId="0" applyNumberFormat="1" applyFont="1" applyFill="1" applyBorder="1" applyAlignment="1">
      <alignment horizontal="center" vertical="center"/>
    </xf>
    <xf numFmtId="201" fontId="66" fillId="8" borderId="289" xfId="0" applyNumberFormat="1" applyFont="1" applyFill="1" applyBorder="1" applyAlignment="1">
      <alignment horizontal="center" vertical="center"/>
    </xf>
    <xf numFmtId="201" fontId="66" fillId="8" borderId="119" xfId="0" applyNumberFormat="1" applyFont="1" applyFill="1" applyBorder="1" applyAlignment="1">
      <alignment horizontal="center" vertical="center"/>
    </xf>
    <xf numFmtId="205" fontId="66" fillId="8" borderId="286" xfId="0" applyNumberFormat="1" applyFont="1" applyFill="1" applyBorder="1" applyAlignment="1">
      <alignment horizontal="center" vertical="center"/>
    </xf>
    <xf numFmtId="0" fontId="86" fillId="0" borderId="156" xfId="0" applyFont="1" applyBorder="1">
      <alignment vertical="center"/>
    </xf>
    <xf numFmtId="0" fontId="86" fillId="2" borderId="76" xfId="0" applyFont="1" applyFill="1" applyBorder="1">
      <alignment vertical="center"/>
    </xf>
    <xf numFmtId="196" fontId="86" fillId="2" borderId="77" xfId="0" applyNumberFormat="1" applyFont="1" applyFill="1" applyBorder="1" applyAlignment="1">
      <alignment horizontal="center" vertical="center"/>
    </xf>
    <xf numFmtId="196" fontId="86" fillId="2" borderId="1152" xfId="0" applyNumberFormat="1" applyFont="1" applyFill="1" applyBorder="1" applyAlignment="1">
      <alignment horizontal="center" vertical="center"/>
    </xf>
    <xf numFmtId="196" fontId="86" fillId="2" borderId="76" xfId="0" applyNumberFormat="1" applyFont="1" applyFill="1" applyBorder="1" applyAlignment="1">
      <alignment horizontal="center" vertical="center"/>
    </xf>
    <xf numFmtId="196" fontId="86" fillId="2" borderId="463" xfId="0" applyNumberFormat="1" applyFont="1" applyFill="1" applyBorder="1" applyAlignment="1">
      <alignment horizontal="center" vertical="center"/>
    </xf>
    <xf numFmtId="197" fontId="86" fillId="2" borderId="125" xfId="0" applyNumberFormat="1" applyFont="1" applyFill="1" applyBorder="1" applyAlignment="1">
      <alignment horizontal="center" vertical="center"/>
    </xf>
    <xf numFmtId="196" fontId="86" fillId="2" borderId="288" xfId="0" applyNumberFormat="1" applyFont="1" applyFill="1" applyBorder="1" applyAlignment="1">
      <alignment horizontal="center" vertical="center"/>
    </xf>
    <xf numFmtId="201" fontId="66" fillId="2" borderId="76" xfId="0" applyNumberFormat="1" applyFont="1" applyFill="1" applyBorder="1" applyAlignment="1">
      <alignment horizontal="center" vertical="center"/>
    </xf>
    <xf numFmtId="205" fontId="66" fillId="2" borderId="288" xfId="0" applyNumberFormat="1" applyFont="1" applyFill="1" applyBorder="1" applyAlignment="1">
      <alignment horizontal="center" vertical="center"/>
    </xf>
    <xf numFmtId="0" fontId="86" fillId="0" borderId="153" xfId="0" applyFont="1" applyBorder="1">
      <alignment vertical="center"/>
    </xf>
    <xf numFmtId="196" fontId="86" fillId="2" borderId="11" xfId="0" applyNumberFormat="1" applyFont="1" applyFill="1" applyBorder="1" applyAlignment="1">
      <alignment horizontal="center" vertical="center"/>
    </xf>
    <xf numFmtId="196" fontId="86" fillId="2" borderId="485" xfId="0" applyNumberFormat="1" applyFont="1" applyFill="1" applyBorder="1" applyAlignment="1">
      <alignment horizontal="center" vertical="center"/>
    </xf>
    <xf numFmtId="196" fontId="86" fillId="2" borderId="0" xfId="0" applyNumberFormat="1" applyFont="1" applyFill="1" applyBorder="1" applyAlignment="1">
      <alignment horizontal="center" vertical="center"/>
    </xf>
    <xf numFmtId="196" fontId="86" fillId="14" borderId="0" xfId="0" applyNumberFormat="1" applyFont="1" applyFill="1" applyBorder="1" applyAlignment="1">
      <alignment horizontal="center" vertical="center"/>
    </xf>
    <xf numFmtId="196" fontId="86" fillId="14" borderId="187" xfId="0" applyNumberFormat="1" applyFont="1" applyFill="1" applyBorder="1" applyAlignment="1">
      <alignment horizontal="center" vertical="center"/>
    </xf>
    <xf numFmtId="197" fontId="86" fillId="14" borderId="86" xfId="0" applyNumberFormat="1" applyFont="1" applyFill="1" applyBorder="1" applyAlignment="1">
      <alignment horizontal="center" vertical="center"/>
    </xf>
    <xf numFmtId="196" fontId="86" fillId="2" borderId="40" xfId="0" applyNumberFormat="1" applyFont="1" applyFill="1" applyBorder="1" applyAlignment="1">
      <alignment horizontal="center" vertical="center"/>
    </xf>
    <xf numFmtId="205" fontId="66" fillId="2" borderId="40" xfId="0" applyNumberFormat="1" applyFont="1" applyFill="1" applyBorder="1" applyAlignment="1">
      <alignment horizontal="center" vertical="center"/>
    </xf>
    <xf numFmtId="196" fontId="86" fillId="0" borderId="0" xfId="0" applyNumberFormat="1" applyFont="1" applyFill="1" applyBorder="1" applyAlignment="1">
      <alignment horizontal="center" vertical="center"/>
    </xf>
    <xf numFmtId="196" fontId="86" fillId="0" borderId="40" xfId="0" applyNumberFormat="1" applyFont="1" applyFill="1" applyBorder="1" applyAlignment="1">
      <alignment horizontal="center" vertical="center"/>
    </xf>
    <xf numFmtId="0" fontId="66" fillId="29" borderId="0" xfId="0" applyFont="1" applyFill="1" applyBorder="1" applyAlignment="1">
      <alignment horizontal="center" vertical="center"/>
    </xf>
    <xf numFmtId="0" fontId="66" fillId="29" borderId="215" xfId="0" applyFont="1" applyFill="1" applyBorder="1" applyAlignment="1">
      <alignment horizontal="center" vertical="center"/>
    </xf>
    <xf numFmtId="205" fontId="66" fillId="0" borderId="40" xfId="0" applyNumberFormat="1" applyFont="1" applyFill="1" applyBorder="1" applyAlignment="1">
      <alignment horizontal="center" vertical="center"/>
    </xf>
    <xf numFmtId="196" fontId="86" fillId="2" borderId="187" xfId="0" applyNumberFormat="1" applyFont="1" applyFill="1" applyBorder="1" applyAlignment="1">
      <alignment horizontal="center" vertical="center"/>
    </xf>
    <xf numFmtId="197" fontId="86" fillId="2" borderId="86" xfId="0" applyNumberFormat="1" applyFont="1" applyFill="1" applyBorder="1" applyAlignment="1">
      <alignment horizontal="center" vertical="center"/>
    </xf>
    <xf numFmtId="196" fontId="86" fillId="0" borderId="11" xfId="0" applyNumberFormat="1" applyFont="1" applyFill="1" applyBorder="1" applyAlignment="1">
      <alignment horizontal="center" vertical="center"/>
    </xf>
    <xf numFmtId="196" fontId="86" fillId="0" borderId="485" xfId="0" applyNumberFormat="1" applyFont="1" applyFill="1" applyBorder="1" applyAlignment="1">
      <alignment horizontal="center" vertical="center"/>
    </xf>
    <xf numFmtId="196" fontId="86" fillId="0" borderId="187" xfId="0" applyNumberFormat="1" applyFont="1" applyFill="1" applyBorder="1" applyAlignment="1">
      <alignment horizontal="center" vertical="center"/>
    </xf>
    <xf numFmtId="197" fontId="86" fillId="0" borderId="86" xfId="0" applyNumberFormat="1" applyFont="1" applyFill="1" applyBorder="1" applyAlignment="1">
      <alignment horizontal="center" vertical="center"/>
    </xf>
    <xf numFmtId="0" fontId="86" fillId="0" borderId="155" xfId="0" applyFont="1" applyBorder="1">
      <alignment vertical="center"/>
    </xf>
    <xf numFmtId="0" fontId="86" fillId="2" borderId="119" xfId="0" applyFont="1" applyFill="1" applyBorder="1">
      <alignment vertical="center"/>
    </xf>
    <xf numFmtId="196" fontId="86" fillId="2" borderId="121" xfId="0" applyNumberFormat="1" applyFont="1" applyFill="1" applyBorder="1" applyAlignment="1">
      <alignment horizontal="center" vertical="center"/>
    </xf>
    <xf numFmtId="196" fontId="86" fillId="2" borderId="1153" xfId="0" applyNumberFormat="1" applyFont="1" applyFill="1" applyBorder="1" applyAlignment="1">
      <alignment horizontal="center" vertical="center"/>
    </xf>
    <xf numFmtId="196" fontId="86" fillId="2" borderId="119" xfId="0" applyNumberFormat="1" applyFont="1" applyFill="1" applyBorder="1" applyAlignment="1">
      <alignment horizontal="center" vertical="center"/>
    </xf>
    <xf numFmtId="196" fontId="86" fillId="2" borderId="464" xfId="0" applyNumberFormat="1" applyFont="1" applyFill="1" applyBorder="1" applyAlignment="1">
      <alignment horizontal="center" vertical="center"/>
    </xf>
    <xf numFmtId="197" fontId="86" fillId="2" borderId="124" xfId="0" applyNumberFormat="1" applyFont="1" applyFill="1" applyBorder="1" applyAlignment="1">
      <alignment horizontal="center" vertical="center"/>
    </xf>
    <xf numFmtId="196" fontId="86" fillId="2" borderId="286" xfId="0" applyNumberFormat="1" applyFont="1" applyFill="1" applyBorder="1" applyAlignment="1">
      <alignment horizontal="center" vertical="center"/>
    </xf>
    <xf numFmtId="201" fontId="66" fillId="2" borderId="119" xfId="0" applyNumberFormat="1" applyFont="1" applyFill="1" applyBorder="1" applyAlignment="1">
      <alignment horizontal="center" vertical="center"/>
    </xf>
    <xf numFmtId="205" fontId="66" fillId="2" borderId="286" xfId="0" applyNumberFormat="1" applyFont="1" applyFill="1" applyBorder="1" applyAlignment="1">
      <alignment horizontal="center" vertical="center"/>
    </xf>
    <xf numFmtId="201" fontId="66" fillId="29" borderId="66" xfId="0" applyNumberFormat="1" applyFont="1" applyFill="1" applyBorder="1" applyAlignment="1">
      <alignment horizontal="center" vertical="center"/>
    </xf>
    <xf numFmtId="201" fontId="66" fillId="29" borderId="63" xfId="0" applyNumberFormat="1" applyFont="1" applyFill="1" applyBorder="1" applyAlignment="1">
      <alignment horizontal="center" vertical="center"/>
    </xf>
    <xf numFmtId="205" fontId="66" fillId="29" borderId="719" xfId="0" applyNumberFormat="1" applyFont="1" applyFill="1" applyBorder="1" applyAlignment="1">
      <alignment horizontal="center" vertical="center"/>
    </xf>
    <xf numFmtId="196" fontId="86" fillId="9" borderId="59" xfId="0" applyNumberFormat="1" applyFont="1" applyFill="1" applyBorder="1" applyAlignment="1">
      <alignment horizontal="center" vertical="center"/>
    </xf>
    <xf numFmtId="196" fontId="86" fillId="9" borderId="1149" xfId="0" applyNumberFormat="1" applyFont="1" applyFill="1" applyBorder="1" applyAlignment="1">
      <alignment horizontal="center" vertical="center"/>
    </xf>
    <xf numFmtId="196" fontId="86" fillId="9" borderId="58" xfId="0" applyNumberFormat="1" applyFont="1" applyFill="1" applyBorder="1" applyAlignment="1">
      <alignment horizontal="center" vertical="center"/>
    </xf>
    <xf numFmtId="196" fontId="86" fillId="9" borderId="462" xfId="0" applyNumberFormat="1" applyFont="1" applyFill="1" applyBorder="1" applyAlignment="1">
      <alignment horizontal="center" vertical="center"/>
    </xf>
    <xf numFmtId="197" fontId="86" fillId="9" borderId="94" xfId="0" applyNumberFormat="1" applyFont="1" applyFill="1" applyBorder="1" applyAlignment="1">
      <alignment horizontal="center" vertical="center"/>
    </xf>
    <xf numFmtId="196" fontId="86" fillId="9" borderId="285" xfId="0" applyNumberFormat="1" applyFont="1" applyFill="1" applyBorder="1" applyAlignment="1">
      <alignment horizontal="center" vertical="center"/>
    </xf>
    <xf numFmtId="201" fontId="66" fillId="29" borderId="389" xfId="0" applyNumberFormat="1" applyFont="1" applyFill="1" applyBorder="1" applyAlignment="1">
      <alignment horizontal="center" vertical="center"/>
    </xf>
    <xf numFmtId="201" fontId="66" fillId="29" borderId="58" xfId="0" applyNumberFormat="1" applyFont="1" applyFill="1" applyBorder="1" applyAlignment="1">
      <alignment horizontal="center" vertical="center"/>
    </xf>
    <xf numFmtId="205" fontId="66" fillId="29" borderId="285" xfId="0" applyNumberFormat="1" applyFont="1" applyFill="1" applyBorder="1" applyAlignment="1">
      <alignment horizontal="center" vertical="center"/>
    </xf>
    <xf numFmtId="201" fontId="66" fillId="9" borderId="61" xfId="0" applyNumberFormat="1" applyFont="1" applyFill="1" applyBorder="1" applyAlignment="1">
      <alignment horizontal="center" vertical="center"/>
    </xf>
    <xf numFmtId="201" fontId="66" fillId="9" borderId="58" xfId="0" applyNumberFormat="1" applyFont="1" applyFill="1" applyBorder="1" applyAlignment="1">
      <alignment horizontal="center" vertical="center"/>
    </xf>
    <xf numFmtId="205" fontId="66" fillId="9" borderId="720" xfId="0" applyNumberFormat="1" applyFont="1" applyFill="1" applyBorder="1" applyAlignment="1">
      <alignment horizontal="center" vertical="center"/>
    </xf>
    <xf numFmtId="205" fontId="66" fillId="29" borderId="40" xfId="0" applyNumberFormat="1" applyFont="1" applyFill="1" applyBorder="1" applyAlignment="1">
      <alignment horizontal="center" vertical="center"/>
    </xf>
    <xf numFmtId="201" fontId="66" fillId="3" borderId="46" xfId="0" applyNumberFormat="1" applyFont="1" applyFill="1" applyBorder="1" applyAlignment="1">
      <alignment horizontal="center" vertical="center"/>
    </xf>
    <xf numFmtId="205" fontId="66" fillId="3" borderId="718" xfId="0" applyNumberFormat="1" applyFont="1" applyFill="1" applyBorder="1" applyAlignment="1">
      <alignment horizontal="center" vertical="center"/>
    </xf>
    <xf numFmtId="0" fontId="78" fillId="27" borderId="0" xfId="0" applyFont="1" applyFill="1" applyAlignment="1">
      <alignment horizontal="center" vertical="center"/>
    </xf>
    <xf numFmtId="201" fontId="66" fillId="8" borderId="79" xfId="0" applyNumberFormat="1" applyFont="1" applyFill="1" applyBorder="1" applyAlignment="1">
      <alignment horizontal="center" vertical="center"/>
    </xf>
    <xf numFmtId="205" fontId="66" fillId="8" borderId="721" xfId="0" applyNumberFormat="1" applyFont="1" applyFill="1" applyBorder="1" applyAlignment="1">
      <alignment horizontal="center" vertical="center"/>
    </xf>
    <xf numFmtId="205" fontId="66" fillId="8" borderId="718" xfId="0" applyNumberFormat="1" applyFont="1" applyFill="1" applyBorder="1" applyAlignment="1">
      <alignment horizontal="center" vertical="center"/>
    </xf>
    <xf numFmtId="201" fontId="66" fillId="8" borderId="123" xfId="0" applyNumberFormat="1" applyFont="1" applyFill="1" applyBorder="1" applyAlignment="1">
      <alignment horizontal="center" vertical="center"/>
    </xf>
    <xf numFmtId="205" fontId="66" fillId="8" borderId="722" xfId="0" applyNumberFormat="1" applyFont="1" applyFill="1" applyBorder="1" applyAlignment="1">
      <alignment horizontal="center" vertical="center"/>
    </xf>
    <xf numFmtId="201" fontId="66" fillId="2" borderId="79" xfId="0" applyNumberFormat="1" applyFont="1" applyFill="1" applyBorder="1" applyAlignment="1">
      <alignment horizontal="center" vertical="center"/>
    </xf>
    <xf numFmtId="205" fontId="66" fillId="2" borderId="721" xfId="0" applyNumberFormat="1" applyFont="1" applyFill="1" applyBorder="1" applyAlignment="1">
      <alignment horizontal="center" vertical="center"/>
    </xf>
    <xf numFmtId="205" fontId="66" fillId="2" borderId="718" xfId="0" applyNumberFormat="1" applyFont="1" applyFill="1" applyBorder="1" applyAlignment="1">
      <alignment horizontal="center" vertical="center"/>
    </xf>
    <xf numFmtId="205" fontId="66" fillId="0" borderId="718" xfId="0" applyNumberFormat="1" applyFont="1" applyFill="1" applyBorder="1" applyAlignment="1">
      <alignment horizontal="center" vertical="center"/>
    </xf>
    <xf numFmtId="0" fontId="86" fillId="0" borderId="724" xfId="0" applyFont="1" applyBorder="1">
      <alignment vertical="center"/>
    </xf>
    <xf numFmtId="0" fontId="86" fillId="2" borderId="725" xfId="0" applyFont="1" applyFill="1" applyBorder="1">
      <alignment vertical="center"/>
    </xf>
    <xf numFmtId="196" fontId="86" fillId="2" borderId="726" xfId="0" applyNumberFormat="1" applyFont="1" applyFill="1" applyBorder="1" applyAlignment="1">
      <alignment horizontal="center" vertical="center"/>
    </xf>
    <xf numFmtId="196" fontId="86" fillId="2" borderId="1148" xfId="0" applyNumberFormat="1" applyFont="1" applyFill="1" applyBorder="1" applyAlignment="1">
      <alignment horizontal="center" vertical="center"/>
    </xf>
    <xf numFmtId="196" fontId="86" fillId="2" borderId="725" xfId="0" applyNumberFormat="1" applyFont="1" applyFill="1" applyBorder="1" applyAlignment="1">
      <alignment horizontal="center" vertical="center"/>
    </xf>
    <xf numFmtId="196" fontId="86" fillId="2" borderId="727" xfId="0" applyNumberFormat="1" applyFont="1" applyFill="1" applyBorder="1" applyAlignment="1">
      <alignment horizontal="center" vertical="center"/>
    </xf>
    <xf numFmtId="197" fontId="86" fillId="2" borderId="728" xfId="0" applyNumberFormat="1" applyFont="1" applyFill="1" applyBorder="1" applyAlignment="1">
      <alignment horizontal="center" vertical="center"/>
    </xf>
    <xf numFmtId="196" fontId="86" fillId="2" borderId="729" xfId="0" applyNumberFormat="1" applyFont="1" applyFill="1" applyBorder="1" applyAlignment="1">
      <alignment horizontal="center" vertical="center"/>
    </xf>
    <xf numFmtId="0" fontId="86" fillId="29" borderId="725" xfId="0" applyFont="1" applyFill="1" applyBorder="1" applyAlignment="1">
      <alignment horizontal="center" vertical="center"/>
    </xf>
    <xf numFmtId="0" fontId="86" fillId="29" borderId="730" xfId="0" applyFont="1" applyFill="1" applyBorder="1" applyAlignment="1">
      <alignment horizontal="center" vertical="center"/>
    </xf>
    <xf numFmtId="201" fontId="66" fillId="29" borderId="731" xfId="0" applyNumberFormat="1" applyFont="1" applyFill="1" applyBorder="1" applyAlignment="1">
      <alignment horizontal="center" vertical="center"/>
    </xf>
    <xf numFmtId="201" fontId="66" fillId="29" borderId="725" xfId="0" applyNumberFormat="1" applyFont="1" applyFill="1" applyBorder="1" applyAlignment="1">
      <alignment horizontal="center" vertical="center"/>
    </xf>
    <xf numFmtId="205" fontId="66" fillId="29" borderId="729" xfId="0" applyNumberFormat="1" applyFont="1" applyFill="1" applyBorder="1" applyAlignment="1">
      <alignment horizontal="center" vertical="center"/>
    </xf>
    <xf numFmtId="201" fontId="66" fillId="2" borderId="732" xfId="0" applyNumberFormat="1" applyFont="1" applyFill="1" applyBorder="1" applyAlignment="1">
      <alignment horizontal="center" vertical="center"/>
    </xf>
    <xf numFmtId="201" fontId="66" fillId="2" borderId="725" xfId="0" applyNumberFormat="1" applyFont="1" applyFill="1" applyBorder="1" applyAlignment="1">
      <alignment horizontal="center" vertical="center"/>
    </xf>
    <xf numFmtId="205" fontId="66" fillId="2" borderId="733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right" vertical="center"/>
    </xf>
    <xf numFmtId="185" fontId="74" fillId="18" borderId="0" xfId="0" applyNumberFormat="1" applyFont="1" applyFill="1" applyAlignment="1">
      <alignment horizontal="center" vertical="center"/>
    </xf>
    <xf numFmtId="0" fontId="95" fillId="5" borderId="479" xfId="0" applyFont="1" applyFill="1" applyBorder="1" applyAlignment="1">
      <alignment vertical="top"/>
    </xf>
    <xf numFmtId="0" fontId="74" fillId="4" borderId="774" xfId="0" quotePrefix="1" applyFont="1" applyFill="1" applyBorder="1" applyAlignment="1">
      <alignment horizontal="center" vertical="center"/>
    </xf>
    <xf numFmtId="0" fontId="67" fillId="4" borderId="458" xfId="0" quotePrefix="1" applyFont="1" applyFill="1" applyBorder="1" applyAlignment="1">
      <alignment horizontal="center" vertical="center"/>
    </xf>
    <xf numFmtId="0" fontId="66" fillId="0" borderId="18" xfId="0" quotePrefix="1" applyFont="1" applyBorder="1">
      <alignment vertical="center"/>
    </xf>
    <xf numFmtId="203" fontId="66" fillId="0" borderId="252" xfId="2" quotePrefix="1" applyNumberFormat="1" applyFont="1" applyFill="1" applyBorder="1" applyAlignment="1">
      <alignment horizontal="center" vertical="center"/>
    </xf>
    <xf numFmtId="203" fontId="66" fillId="0" borderId="1188" xfId="2" quotePrefix="1" applyNumberFormat="1" applyFont="1" applyFill="1" applyBorder="1" applyAlignment="1">
      <alignment horizontal="center" vertical="center"/>
    </xf>
    <xf numFmtId="203" fontId="66" fillId="42" borderId="18" xfId="2" quotePrefix="1" applyNumberFormat="1" applyFont="1" applyFill="1" applyBorder="1" applyAlignment="1">
      <alignment horizontal="center" vertical="center"/>
    </xf>
    <xf numFmtId="202" fontId="66" fillId="0" borderId="18" xfId="2" quotePrefix="1" applyNumberFormat="1" applyFont="1" applyFill="1" applyBorder="1" applyAlignment="1">
      <alignment horizontal="center" vertical="center"/>
    </xf>
    <xf numFmtId="186" fontId="66" fillId="0" borderId="253" xfId="2" quotePrefix="1" applyNumberFormat="1" applyFont="1" applyFill="1" applyBorder="1" applyAlignment="1">
      <alignment horizontal="center" vertical="center"/>
    </xf>
    <xf numFmtId="203" fontId="66" fillId="0" borderId="24" xfId="2" quotePrefix="1" applyNumberFormat="1" applyFont="1" applyFill="1" applyBorder="1" applyAlignment="1">
      <alignment horizontal="center" vertical="center"/>
    </xf>
    <xf numFmtId="203" fontId="66" fillId="0" borderId="253" xfId="2" applyNumberFormat="1" applyFont="1" applyFill="1" applyBorder="1" applyAlignment="1">
      <alignment horizontal="center" vertical="center"/>
    </xf>
    <xf numFmtId="209" fontId="66" fillId="0" borderId="11" xfId="2" quotePrefix="1" applyNumberFormat="1" applyFont="1" applyFill="1" applyBorder="1" applyAlignment="1">
      <alignment horizontal="center" vertical="center"/>
    </xf>
    <xf numFmtId="209" fontId="66" fillId="0" borderId="458" xfId="2" quotePrefix="1" applyNumberFormat="1" applyFont="1" applyFill="1" applyBorder="1" applyAlignment="1">
      <alignment horizontal="center" vertical="center"/>
    </xf>
    <xf numFmtId="209" fontId="66" fillId="42" borderId="0" xfId="2" quotePrefix="1" applyNumberFormat="1" applyFont="1" applyFill="1" applyBorder="1" applyAlignment="1">
      <alignment horizontal="center" vertical="center"/>
    </xf>
    <xf numFmtId="209" fontId="66" fillId="0" borderId="0" xfId="2" quotePrefix="1" applyNumberFormat="1" applyFont="1" applyFill="1" applyBorder="1" applyAlignment="1">
      <alignment horizontal="center" vertical="center"/>
    </xf>
    <xf numFmtId="189" fontId="66" fillId="0" borderId="46" xfId="2" quotePrefix="1" applyNumberFormat="1" applyFont="1" applyFill="1" applyBorder="1" applyAlignment="1">
      <alignment horizontal="center" vertical="center"/>
    </xf>
    <xf numFmtId="203" fontId="66" fillId="0" borderId="2" xfId="2" quotePrefix="1" applyNumberFormat="1" applyFont="1" applyFill="1" applyBorder="1" applyAlignment="1">
      <alignment horizontal="center" vertical="center"/>
    </xf>
    <xf numFmtId="203" fontId="66" fillId="0" borderId="46" xfId="2" applyNumberFormat="1" applyFont="1" applyFill="1" applyBorder="1" applyAlignment="1">
      <alignment horizontal="center" vertical="center"/>
    </xf>
    <xf numFmtId="203" fontId="66" fillId="0" borderId="11" xfId="2" quotePrefix="1" applyNumberFormat="1" applyFont="1" applyFill="1" applyBorder="1" applyAlignment="1">
      <alignment horizontal="center" vertical="center"/>
    </xf>
    <xf numFmtId="203" fontId="66" fillId="0" borderId="458" xfId="2" quotePrefix="1" applyNumberFormat="1" applyFont="1" applyFill="1" applyBorder="1" applyAlignment="1">
      <alignment horizontal="center" vertical="center"/>
    </xf>
    <xf numFmtId="203" fontId="66" fillId="42" borderId="0" xfId="2" quotePrefix="1" applyNumberFormat="1" applyFont="1" applyFill="1" applyBorder="1" applyAlignment="1">
      <alignment horizontal="center" vertical="center"/>
    </xf>
    <xf numFmtId="202" fontId="66" fillId="0" borderId="0" xfId="2" quotePrefix="1" applyNumberFormat="1" applyFont="1" applyFill="1" applyBorder="1" applyAlignment="1">
      <alignment horizontal="center" vertical="center"/>
    </xf>
    <xf numFmtId="186" fontId="66" fillId="0" borderId="46" xfId="2" quotePrefix="1" applyNumberFormat="1" applyFont="1" applyFill="1" applyBorder="1" applyAlignment="1">
      <alignment horizontal="center" vertical="center"/>
    </xf>
    <xf numFmtId="43" fontId="66" fillId="0" borderId="0" xfId="0" applyNumberFormat="1" applyFont="1">
      <alignment vertical="center"/>
    </xf>
    <xf numFmtId="0" fontId="66" fillId="11" borderId="0" xfId="0" quotePrefix="1" applyFont="1" applyFill="1" applyBorder="1">
      <alignment vertical="center"/>
    </xf>
    <xf numFmtId="203" fontId="66" fillId="11" borderId="11" xfId="2" quotePrefix="1" applyNumberFormat="1" applyFont="1" applyFill="1" applyBorder="1" applyAlignment="1">
      <alignment horizontal="center" vertical="center"/>
    </xf>
    <xf numFmtId="203" fontId="66" fillId="11" borderId="458" xfId="2" quotePrefix="1" applyNumberFormat="1" applyFont="1" applyFill="1" applyBorder="1" applyAlignment="1">
      <alignment horizontal="center" vertical="center"/>
    </xf>
    <xf numFmtId="203" fontId="66" fillId="11" borderId="0" xfId="2" quotePrefix="1" applyNumberFormat="1" applyFont="1" applyFill="1" applyBorder="1" applyAlignment="1">
      <alignment horizontal="center" vertical="center"/>
    </xf>
    <xf numFmtId="192" fontId="66" fillId="11" borderId="0" xfId="2" quotePrefix="1" applyNumberFormat="1" applyFont="1" applyFill="1" applyBorder="1" applyAlignment="1">
      <alignment horizontal="center" vertical="center"/>
    </xf>
    <xf numFmtId="202" fontId="66" fillId="11" borderId="0" xfId="2" quotePrefix="1" applyNumberFormat="1" applyFont="1" applyFill="1" applyBorder="1" applyAlignment="1">
      <alignment horizontal="center" vertical="center"/>
    </xf>
    <xf numFmtId="186" fontId="66" fillId="11" borderId="46" xfId="2" quotePrefix="1" applyNumberFormat="1" applyFont="1" applyFill="1" applyBorder="1" applyAlignment="1">
      <alignment horizontal="center" vertical="center"/>
    </xf>
    <xf numFmtId="203" fontId="66" fillId="11" borderId="2" xfId="2" quotePrefix="1" applyNumberFormat="1" applyFont="1" applyFill="1" applyBorder="1" applyAlignment="1">
      <alignment horizontal="center" vertical="center"/>
    </xf>
    <xf numFmtId="203" fontId="66" fillId="11" borderId="46" xfId="2" applyNumberFormat="1" applyFont="1" applyFill="1" applyBorder="1" applyAlignment="1">
      <alignment horizontal="center" vertical="center"/>
    </xf>
    <xf numFmtId="214" fontId="66" fillId="11" borderId="11" xfId="2" quotePrefix="1" applyNumberFormat="1" applyFont="1" applyFill="1" applyBorder="1" applyAlignment="1">
      <alignment horizontal="center" vertical="center"/>
    </xf>
    <xf numFmtId="214" fontId="66" fillId="11" borderId="458" xfId="2" quotePrefix="1" applyNumberFormat="1" applyFont="1" applyFill="1" applyBorder="1" applyAlignment="1">
      <alignment horizontal="center" vertical="center"/>
    </xf>
    <xf numFmtId="214" fontId="66" fillId="11" borderId="0" xfId="2" quotePrefix="1" applyNumberFormat="1" applyFont="1" applyFill="1" applyBorder="1" applyAlignment="1">
      <alignment horizontal="center" vertical="center"/>
    </xf>
    <xf numFmtId="189" fontId="66" fillId="11" borderId="46" xfId="2" quotePrefix="1" applyNumberFormat="1" applyFont="1" applyFill="1" applyBorder="1" applyAlignment="1">
      <alignment horizontal="center" vertical="center"/>
    </xf>
    <xf numFmtId="0" fontId="66" fillId="11" borderId="106" xfId="0" quotePrefix="1" applyFont="1" applyFill="1" applyBorder="1">
      <alignment vertical="center"/>
    </xf>
    <xf numFmtId="214" fontId="86" fillId="11" borderId="107" xfId="2" quotePrefix="1" applyNumberFormat="1" applyFont="1" applyFill="1" applyBorder="1" applyAlignment="1">
      <alignment horizontal="center" vertical="center"/>
    </xf>
    <xf numFmtId="214" fontId="86" fillId="11" borderId="1196" xfId="2" quotePrefix="1" applyNumberFormat="1" applyFont="1" applyFill="1" applyBorder="1" applyAlignment="1">
      <alignment horizontal="center" vertical="center"/>
    </xf>
    <xf numFmtId="214" fontId="86" fillId="11" borderId="106" xfId="2" quotePrefix="1" applyNumberFormat="1" applyFont="1" applyFill="1" applyBorder="1" applyAlignment="1">
      <alignment horizontal="center" vertical="center"/>
    </xf>
    <xf numFmtId="227" fontId="86" fillId="11" borderId="106" xfId="2" quotePrefix="1" applyNumberFormat="1" applyFont="1" applyFill="1" applyBorder="1" applyAlignment="1">
      <alignment horizontal="center" vertical="center"/>
    </xf>
    <xf numFmtId="189" fontId="86" fillId="11" borderId="109" xfId="2" quotePrefix="1" applyNumberFormat="1" applyFont="1" applyFill="1" applyBorder="1" applyAlignment="1">
      <alignment horizontal="center" vertical="center"/>
    </xf>
    <xf numFmtId="214" fontId="86" fillId="11" borderId="108" xfId="2" quotePrefix="1" applyNumberFormat="1" applyFont="1" applyFill="1" applyBorder="1" applyAlignment="1">
      <alignment horizontal="center" vertical="center"/>
    </xf>
    <xf numFmtId="214" fontId="86" fillId="11" borderId="109" xfId="2" applyNumberFormat="1" applyFont="1" applyFill="1" applyBorder="1" applyAlignment="1">
      <alignment horizontal="center" vertical="center"/>
    </xf>
    <xf numFmtId="203" fontId="86" fillId="11" borderId="11" xfId="2" quotePrefix="1" applyNumberFormat="1" applyFont="1" applyFill="1" applyBorder="1" applyAlignment="1">
      <alignment horizontal="center" vertical="center"/>
    </xf>
    <xf numFmtId="203" fontId="86" fillId="11" borderId="458" xfId="2" quotePrefix="1" applyNumberFormat="1" applyFont="1" applyFill="1" applyBorder="1" applyAlignment="1">
      <alignment horizontal="center" vertical="center"/>
    </xf>
    <xf numFmtId="203" fontId="86" fillId="11" borderId="0" xfId="2" quotePrefix="1" applyNumberFormat="1" applyFont="1" applyFill="1" applyBorder="1" applyAlignment="1">
      <alignment horizontal="center" vertical="center"/>
    </xf>
    <xf numFmtId="192" fontId="86" fillId="11" borderId="0" xfId="2" quotePrefix="1" applyNumberFormat="1" applyFont="1" applyFill="1" applyBorder="1" applyAlignment="1">
      <alignment horizontal="center" vertical="center"/>
    </xf>
    <xf numFmtId="202" fontId="86" fillId="11" borderId="0" xfId="2" quotePrefix="1" applyNumberFormat="1" applyFont="1" applyFill="1" applyBorder="1" applyAlignment="1">
      <alignment horizontal="center" vertical="center"/>
    </xf>
    <xf numFmtId="193" fontId="86" fillId="11" borderId="46" xfId="2" quotePrefix="1" applyNumberFormat="1" applyFont="1" applyFill="1" applyBorder="1" applyAlignment="1">
      <alignment horizontal="center" vertical="center"/>
    </xf>
    <xf numFmtId="203" fontId="86" fillId="11" borderId="2" xfId="2" quotePrefix="1" applyNumberFormat="1" applyFont="1" applyFill="1" applyBorder="1" applyAlignment="1">
      <alignment horizontal="center" vertical="center"/>
    </xf>
    <xf numFmtId="203" fontId="86" fillId="11" borderId="46" xfId="2" applyNumberFormat="1" applyFont="1" applyFill="1" applyBorder="1" applyAlignment="1">
      <alignment horizontal="center" vertical="center"/>
    </xf>
    <xf numFmtId="209" fontId="86" fillId="11" borderId="11" xfId="2" quotePrefix="1" applyNumberFormat="1" applyFont="1" applyFill="1" applyBorder="1" applyAlignment="1">
      <alignment horizontal="center" vertical="center"/>
    </xf>
    <xf numFmtId="209" fontId="86" fillId="11" borderId="458" xfId="2" quotePrefix="1" applyNumberFormat="1" applyFont="1" applyFill="1" applyBorder="1" applyAlignment="1">
      <alignment horizontal="center" vertical="center"/>
    </xf>
    <xf numFmtId="209" fontId="86" fillId="11" borderId="0" xfId="2" quotePrefix="1" applyNumberFormat="1" applyFont="1" applyFill="1" applyBorder="1" applyAlignment="1">
      <alignment horizontal="center" vertical="center"/>
    </xf>
    <xf numFmtId="198" fontId="86" fillId="11" borderId="46" xfId="2" quotePrefix="1" applyNumberFormat="1" applyFont="1" applyFill="1" applyBorder="1" applyAlignment="1">
      <alignment horizontal="center" vertical="center"/>
    </xf>
    <xf numFmtId="214" fontId="86" fillId="11" borderId="2" xfId="2" quotePrefix="1" applyNumberFormat="1" applyFont="1" applyFill="1" applyBorder="1" applyAlignment="1">
      <alignment horizontal="center" vertical="center"/>
    </xf>
    <xf numFmtId="214" fontId="86" fillId="11" borderId="46" xfId="2" applyNumberFormat="1" applyFont="1" applyFill="1" applyBorder="1" applyAlignment="1">
      <alignment horizontal="center" vertical="center"/>
    </xf>
    <xf numFmtId="0" fontId="66" fillId="0" borderId="298" xfId="0" quotePrefix="1" applyFont="1" applyBorder="1">
      <alignment vertical="center"/>
    </xf>
    <xf numFmtId="203" fontId="86" fillId="0" borderId="299" xfId="2" quotePrefix="1" applyNumberFormat="1" applyFont="1" applyFill="1" applyBorder="1" applyAlignment="1">
      <alignment horizontal="center" vertical="center"/>
    </xf>
    <xf numFmtId="203" fontId="86" fillId="0" borderId="1197" xfId="2" quotePrefix="1" applyNumberFormat="1" applyFont="1" applyFill="1" applyBorder="1" applyAlignment="1">
      <alignment horizontal="center" vertical="center"/>
    </xf>
    <xf numFmtId="203" fontId="86" fillId="0" borderId="298" xfId="2" quotePrefix="1" applyNumberFormat="1" applyFont="1" applyFill="1" applyBorder="1" applyAlignment="1">
      <alignment horizontal="center" vertical="center"/>
    </xf>
    <xf numFmtId="192" fontId="86" fillId="0" borderId="298" xfId="2" quotePrefix="1" applyNumberFormat="1" applyFont="1" applyFill="1" applyBorder="1" applyAlignment="1">
      <alignment horizontal="center" vertical="center"/>
    </xf>
    <xf numFmtId="202" fontId="86" fillId="0" borderId="298" xfId="2" quotePrefix="1" applyNumberFormat="1" applyFont="1" applyFill="1" applyBorder="1" applyAlignment="1">
      <alignment horizontal="center" vertical="center"/>
    </xf>
    <xf numFmtId="193" fontId="86" fillId="0" borderId="301" xfId="2" quotePrefix="1" applyNumberFormat="1" applyFont="1" applyFill="1" applyBorder="1" applyAlignment="1">
      <alignment horizontal="center" vertical="center"/>
    </xf>
    <xf numFmtId="203" fontId="86" fillId="0" borderId="300" xfId="2" quotePrefix="1" applyNumberFormat="1" applyFont="1" applyFill="1" applyBorder="1" applyAlignment="1">
      <alignment horizontal="center" vertical="center"/>
    </xf>
    <xf numFmtId="203" fontId="86" fillId="0" borderId="301" xfId="2" applyNumberFormat="1" applyFont="1" applyFill="1" applyBorder="1" applyAlignment="1">
      <alignment horizontal="center" vertical="center"/>
    </xf>
    <xf numFmtId="203" fontId="86" fillId="0" borderId="11" xfId="2" quotePrefix="1" applyNumberFormat="1" applyFont="1" applyFill="1" applyBorder="1" applyAlignment="1">
      <alignment horizontal="center" vertical="center"/>
    </xf>
    <xf numFmtId="203" fontId="86" fillId="0" borderId="458" xfId="2" quotePrefix="1" applyNumberFormat="1" applyFont="1" applyFill="1" applyBorder="1" applyAlignment="1">
      <alignment horizontal="center" vertical="center"/>
    </xf>
    <xf numFmtId="203" fontId="86" fillId="0" borderId="0" xfId="2" quotePrefix="1" applyNumberFormat="1" applyFont="1" applyFill="1" applyBorder="1" applyAlignment="1">
      <alignment horizontal="center" vertical="center"/>
    </xf>
    <xf numFmtId="192" fontId="86" fillId="0" borderId="0" xfId="2" quotePrefix="1" applyNumberFormat="1" applyFont="1" applyFill="1" applyBorder="1" applyAlignment="1">
      <alignment horizontal="center" vertical="center"/>
    </xf>
    <xf numFmtId="202" fontId="86" fillId="0" borderId="0" xfId="2" quotePrefix="1" applyNumberFormat="1" applyFont="1" applyFill="1" applyBorder="1" applyAlignment="1">
      <alignment horizontal="center" vertical="center"/>
    </xf>
    <xf numFmtId="193" fontId="86" fillId="0" borderId="46" xfId="2" quotePrefix="1" applyNumberFormat="1" applyFont="1" applyFill="1" applyBorder="1" applyAlignment="1">
      <alignment horizontal="center" vertical="center"/>
    </xf>
    <xf numFmtId="203" fontId="86" fillId="0" borderId="2" xfId="2" quotePrefix="1" applyNumberFormat="1" applyFont="1" applyFill="1" applyBorder="1" applyAlignment="1">
      <alignment horizontal="center" vertical="center"/>
    </xf>
    <xf numFmtId="203" fontId="86" fillId="0" borderId="46" xfId="2" applyNumberFormat="1" applyFont="1" applyFill="1" applyBorder="1" applyAlignment="1">
      <alignment horizontal="center" vertical="center"/>
    </xf>
    <xf numFmtId="0" fontId="66" fillId="2" borderId="0" xfId="0" quotePrefix="1" applyFont="1" applyFill="1" applyBorder="1">
      <alignment vertical="center"/>
    </xf>
    <xf numFmtId="203" fontId="86" fillId="2" borderId="11" xfId="2" quotePrefix="1" applyNumberFormat="1" applyFont="1" applyFill="1" applyBorder="1" applyAlignment="1">
      <alignment horizontal="center" vertical="center"/>
    </xf>
    <xf numFmtId="203" fontId="86" fillId="2" borderId="458" xfId="2" quotePrefix="1" applyNumberFormat="1" applyFont="1" applyFill="1" applyBorder="1" applyAlignment="1">
      <alignment horizontal="center" vertical="center"/>
    </xf>
    <xf numFmtId="203" fontId="86" fillId="2" borderId="0" xfId="2" quotePrefix="1" applyNumberFormat="1" applyFont="1" applyFill="1" applyBorder="1" applyAlignment="1">
      <alignment horizontal="center" vertical="center"/>
    </xf>
    <xf numFmtId="192" fontId="86" fillId="2" borderId="0" xfId="2" quotePrefix="1" applyNumberFormat="1" applyFont="1" applyFill="1" applyBorder="1" applyAlignment="1">
      <alignment horizontal="center" vertical="center"/>
    </xf>
    <xf numFmtId="202" fontId="86" fillId="2" borderId="0" xfId="2" quotePrefix="1" applyNumberFormat="1" applyFont="1" applyFill="1" applyBorder="1" applyAlignment="1">
      <alignment horizontal="center" vertical="center"/>
    </xf>
    <xf numFmtId="193" fontId="86" fillId="2" borderId="46" xfId="2" quotePrefix="1" applyNumberFormat="1" applyFont="1" applyFill="1" applyBorder="1" applyAlignment="1">
      <alignment horizontal="center" vertical="center"/>
    </xf>
    <xf numFmtId="203" fontId="86" fillId="2" borderId="2" xfId="2" quotePrefix="1" applyNumberFormat="1" applyFont="1" applyFill="1" applyBorder="1" applyAlignment="1">
      <alignment horizontal="center" vertical="center"/>
    </xf>
    <xf numFmtId="203" fontId="86" fillId="2" borderId="46" xfId="2" applyNumberFormat="1" applyFont="1" applyFill="1" applyBorder="1" applyAlignment="1">
      <alignment horizontal="center" vertical="center"/>
    </xf>
    <xf numFmtId="0" fontId="78" fillId="2" borderId="0" xfId="0" quotePrefix="1" applyFont="1" applyFill="1" applyBorder="1">
      <alignment vertical="center"/>
    </xf>
    <xf numFmtId="187" fontId="86" fillId="2" borderId="11" xfId="0" quotePrefix="1" applyNumberFormat="1" applyFont="1" applyFill="1" applyBorder="1" applyAlignment="1">
      <alignment horizontal="center" vertical="center"/>
    </xf>
    <xf numFmtId="187" fontId="86" fillId="2" borderId="458" xfId="0" quotePrefix="1" applyNumberFormat="1" applyFont="1" applyFill="1" applyBorder="1" applyAlignment="1">
      <alignment horizontal="center" vertical="center"/>
    </xf>
    <xf numFmtId="187" fontId="86" fillId="2" borderId="0" xfId="0" quotePrefix="1" applyNumberFormat="1" applyFont="1" applyFill="1" applyBorder="1" applyAlignment="1">
      <alignment horizontal="center" vertical="center"/>
    </xf>
    <xf numFmtId="176" fontId="86" fillId="2" borderId="0" xfId="3" quotePrefix="1" applyNumberFormat="1" applyFont="1" applyFill="1" applyBorder="1" applyAlignment="1">
      <alignment horizontal="center" vertical="center"/>
    </xf>
    <xf numFmtId="9" fontId="86" fillId="2" borderId="46" xfId="3" quotePrefix="1" applyFont="1" applyFill="1" applyBorder="1" applyAlignment="1">
      <alignment horizontal="center" vertical="center"/>
    </xf>
    <xf numFmtId="187" fontId="86" fillId="2" borderId="2" xfId="0" quotePrefix="1" applyNumberFormat="1" applyFont="1" applyFill="1" applyBorder="1" applyAlignment="1">
      <alignment horizontal="center" vertical="center"/>
    </xf>
    <xf numFmtId="187" fontId="86" fillId="2" borderId="46" xfId="0" applyNumberFormat="1" applyFont="1" applyFill="1" applyBorder="1" applyAlignment="1">
      <alignment horizontal="center" vertical="center"/>
    </xf>
    <xf numFmtId="186" fontId="86" fillId="0" borderId="46" xfId="2" quotePrefix="1" applyNumberFormat="1" applyFont="1" applyFill="1" applyBorder="1" applyAlignment="1">
      <alignment horizontal="center" vertical="center"/>
    </xf>
    <xf numFmtId="0" fontId="78" fillId="0" borderId="0" xfId="0" quotePrefix="1" applyFont="1" applyBorder="1">
      <alignment vertical="center"/>
    </xf>
    <xf numFmtId="187" fontId="86" fillId="0" borderId="11" xfId="0" quotePrefix="1" applyNumberFormat="1" applyFont="1" applyBorder="1" applyAlignment="1">
      <alignment horizontal="center" vertical="center"/>
    </xf>
    <xf numFmtId="187" fontId="86" fillId="0" borderId="458" xfId="0" quotePrefix="1" applyNumberFormat="1" applyFont="1" applyBorder="1" applyAlignment="1">
      <alignment horizontal="center" vertical="center"/>
    </xf>
    <xf numFmtId="187" fontId="86" fillId="0" borderId="0" xfId="0" quotePrefix="1" applyNumberFormat="1" applyFont="1" applyBorder="1" applyAlignment="1">
      <alignment horizontal="center" vertical="center"/>
    </xf>
    <xf numFmtId="176" fontId="86" fillId="0" borderId="0" xfId="3" quotePrefix="1" applyNumberFormat="1" applyFont="1" applyBorder="1" applyAlignment="1">
      <alignment horizontal="center" vertical="center"/>
    </xf>
    <xf numFmtId="188" fontId="86" fillId="0" borderId="46" xfId="0" quotePrefix="1" applyNumberFormat="1" applyFont="1" applyFill="1" applyBorder="1" applyAlignment="1">
      <alignment horizontal="center" vertical="center"/>
    </xf>
    <xf numFmtId="187" fontId="86" fillId="0" borderId="2" xfId="0" quotePrefix="1" applyNumberFormat="1" applyFont="1" applyFill="1" applyBorder="1" applyAlignment="1">
      <alignment horizontal="center" vertical="center"/>
    </xf>
    <xf numFmtId="187" fontId="86" fillId="0" borderId="46" xfId="0" applyNumberFormat="1" applyFont="1" applyFill="1" applyBorder="1" applyAlignment="1">
      <alignment horizontal="center" vertical="center"/>
    </xf>
    <xf numFmtId="9" fontId="66" fillId="0" borderId="0" xfId="3" applyFont="1">
      <alignment vertical="center"/>
    </xf>
    <xf numFmtId="0" fontId="66" fillId="11" borderId="111" xfId="0" quotePrefix="1" applyFont="1" applyFill="1" applyBorder="1">
      <alignment vertical="center"/>
    </xf>
    <xf numFmtId="203" fontId="86" fillId="11" borderId="113" xfId="0" quotePrefix="1" applyNumberFormat="1" applyFont="1" applyFill="1" applyBorder="1" applyAlignment="1">
      <alignment horizontal="center" vertical="center"/>
    </xf>
    <xf numFmtId="203" fontId="86" fillId="11" borderId="1189" xfId="2" quotePrefix="1" applyNumberFormat="1" applyFont="1" applyFill="1" applyBorder="1" applyAlignment="1">
      <alignment horizontal="center" vertical="center"/>
    </xf>
    <xf numFmtId="203" fontId="86" fillId="11" borderId="111" xfId="2" quotePrefix="1" applyNumberFormat="1" applyFont="1" applyFill="1" applyBorder="1" applyAlignment="1">
      <alignment horizontal="center" vertical="center"/>
    </xf>
    <xf numFmtId="192" fontId="86" fillId="11" borderId="111" xfId="2" quotePrefix="1" applyNumberFormat="1" applyFont="1" applyFill="1" applyBorder="1" applyAlignment="1">
      <alignment horizontal="center" vertical="center"/>
    </xf>
    <xf numFmtId="202" fontId="86" fillId="11" borderId="111" xfId="2" quotePrefix="1" applyNumberFormat="1" applyFont="1" applyFill="1" applyBorder="1" applyAlignment="1">
      <alignment horizontal="center" vertical="center"/>
    </xf>
    <xf numFmtId="193" fontId="86" fillId="11" borderId="115" xfId="2" quotePrefix="1" applyNumberFormat="1" applyFont="1" applyFill="1" applyBorder="1" applyAlignment="1">
      <alignment horizontal="center" vertical="center"/>
    </xf>
    <xf numFmtId="203" fontId="86" fillId="11" borderId="114" xfId="2" quotePrefix="1" applyNumberFormat="1" applyFont="1" applyFill="1" applyBorder="1" applyAlignment="1">
      <alignment horizontal="center" vertical="center"/>
    </xf>
    <xf numFmtId="203" fontId="86" fillId="11" borderId="115" xfId="2" applyNumberFormat="1" applyFont="1" applyFill="1" applyBorder="1" applyAlignment="1">
      <alignment horizontal="center" vertical="center"/>
    </xf>
    <xf numFmtId="214" fontId="86" fillId="11" borderId="11" xfId="0" quotePrefix="1" applyNumberFormat="1" applyFont="1" applyFill="1" applyBorder="1" applyAlignment="1">
      <alignment horizontal="center" vertical="center"/>
    </xf>
    <xf numFmtId="214" fontId="86" fillId="11" borderId="458" xfId="2" quotePrefix="1" applyNumberFormat="1" applyFont="1" applyFill="1" applyBorder="1" applyAlignment="1">
      <alignment horizontal="center" vertical="center"/>
    </xf>
    <xf numFmtId="214" fontId="86" fillId="11" borderId="0" xfId="2" quotePrefix="1" applyNumberFormat="1" applyFont="1" applyFill="1" applyBorder="1" applyAlignment="1">
      <alignment horizontal="center" vertical="center"/>
    </xf>
    <xf numFmtId="203" fontId="86" fillId="11" borderId="11" xfId="0" quotePrefix="1" applyNumberFormat="1" applyFont="1" applyFill="1" applyBorder="1" applyAlignment="1">
      <alignment horizontal="center" vertical="center"/>
    </xf>
    <xf numFmtId="0" fontId="66" fillId="11" borderId="19" xfId="0" quotePrefix="1" applyFont="1" applyFill="1" applyBorder="1">
      <alignment vertical="center"/>
    </xf>
    <xf numFmtId="214" fontId="86" fillId="11" borderId="117" xfId="0" quotePrefix="1" applyNumberFormat="1" applyFont="1" applyFill="1" applyBorder="1" applyAlignment="1">
      <alignment horizontal="center" vertical="center"/>
    </xf>
    <xf numFmtId="214" fontId="86" fillId="11" borderId="910" xfId="2" quotePrefix="1" applyNumberFormat="1" applyFont="1" applyFill="1" applyBorder="1" applyAlignment="1">
      <alignment horizontal="center" vertical="center"/>
    </xf>
    <xf numFmtId="214" fontId="86" fillId="11" borderId="19" xfId="2" quotePrefix="1" applyNumberFormat="1" applyFont="1" applyFill="1" applyBorder="1" applyAlignment="1">
      <alignment horizontal="center" vertical="center"/>
    </xf>
    <xf numFmtId="198" fontId="86" fillId="11" borderId="98" xfId="2" quotePrefix="1" applyNumberFormat="1" applyFont="1" applyFill="1" applyBorder="1" applyAlignment="1">
      <alignment horizontal="center" vertical="center"/>
    </xf>
    <xf numFmtId="209" fontId="86" fillId="11" borderId="23" xfId="2" quotePrefix="1" applyNumberFormat="1" applyFont="1" applyFill="1" applyBorder="1" applyAlignment="1">
      <alignment horizontal="center" vertical="center"/>
    </xf>
    <xf numFmtId="209" fontId="86" fillId="11" borderId="98" xfId="2" applyNumberFormat="1" applyFont="1" applyFill="1" applyBorder="1" applyAlignment="1">
      <alignment horizontal="center" vertical="center"/>
    </xf>
    <xf numFmtId="0" fontId="86" fillId="0" borderId="458" xfId="0" applyFont="1" applyBorder="1" applyAlignment="1">
      <alignment horizontal="center" vertical="center"/>
    </xf>
    <xf numFmtId="192" fontId="86" fillId="0" borderId="0" xfId="0" applyNumberFormat="1" applyFont="1" applyBorder="1" applyAlignment="1">
      <alignment horizontal="center" vertical="center"/>
    </xf>
    <xf numFmtId="202" fontId="86" fillId="0" borderId="0" xfId="0" applyNumberFormat="1" applyFont="1" applyBorder="1" applyAlignment="1">
      <alignment horizontal="center" vertical="center"/>
    </xf>
    <xf numFmtId="0" fontId="66" fillId="6" borderId="34" xfId="0" applyFont="1" applyFill="1" applyBorder="1">
      <alignment vertical="center"/>
    </xf>
    <xf numFmtId="192" fontId="86" fillId="6" borderId="50" xfId="2" applyNumberFormat="1" applyFont="1" applyFill="1" applyBorder="1" applyAlignment="1">
      <alignment horizontal="center" vertical="center"/>
    </xf>
    <xf numFmtId="192" fontId="86" fillId="6" borderId="1198" xfId="2" applyNumberFormat="1" applyFont="1" applyFill="1" applyBorder="1" applyAlignment="1">
      <alignment horizontal="center" vertical="center"/>
    </xf>
    <xf numFmtId="192" fontId="86" fillId="6" borderId="34" xfId="2" applyNumberFormat="1" applyFont="1" applyFill="1" applyBorder="1" applyAlignment="1">
      <alignment horizontal="center" vertical="center"/>
    </xf>
    <xf numFmtId="198" fontId="86" fillId="6" borderId="51" xfId="2" applyNumberFormat="1" applyFont="1" applyFill="1" applyBorder="1" applyAlignment="1">
      <alignment horizontal="center" vertical="center"/>
    </xf>
    <xf numFmtId="192" fontId="86" fillId="6" borderId="91" xfId="2" applyNumberFormat="1" applyFont="1" applyFill="1" applyBorder="1" applyAlignment="1">
      <alignment horizontal="center" vertical="center"/>
    </xf>
    <xf numFmtId="192" fontId="86" fillId="6" borderId="1" xfId="2" applyNumberFormat="1" applyFont="1" applyFill="1" applyBorder="1" applyAlignment="1">
      <alignment horizontal="center" vertical="center"/>
    </xf>
    <xf numFmtId="192" fontId="86" fillId="6" borderId="51" xfId="2" applyNumberFormat="1" applyFont="1" applyFill="1" applyBorder="1" applyAlignment="1">
      <alignment horizontal="center" vertical="center"/>
    </xf>
    <xf numFmtId="192" fontId="86" fillId="6" borderId="695" xfId="2" applyNumberFormat="1" applyFont="1" applyFill="1" applyBorder="1" applyAlignment="1">
      <alignment horizontal="center" vertical="center"/>
    </xf>
    <xf numFmtId="0" fontId="66" fillId="6" borderId="0" xfId="0" applyFont="1" applyFill="1" applyBorder="1">
      <alignment vertical="center"/>
    </xf>
    <xf numFmtId="192" fontId="86" fillId="6" borderId="11" xfId="2" applyNumberFormat="1" applyFont="1" applyFill="1" applyBorder="1" applyAlignment="1">
      <alignment horizontal="center" vertical="center"/>
    </xf>
    <xf numFmtId="192" fontId="86" fillId="6" borderId="458" xfId="2" applyNumberFormat="1" applyFont="1" applyFill="1" applyBorder="1" applyAlignment="1">
      <alignment horizontal="center" vertical="center"/>
    </xf>
    <xf numFmtId="192" fontId="86" fillId="6" borderId="0" xfId="2" applyNumberFormat="1" applyFont="1" applyFill="1" applyBorder="1" applyAlignment="1">
      <alignment horizontal="center" vertical="center"/>
    </xf>
    <xf numFmtId="193" fontId="86" fillId="6" borderId="46" xfId="2" applyNumberFormat="1" applyFont="1" applyFill="1" applyBorder="1" applyAlignment="1">
      <alignment horizontal="center" vertical="center"/>
    </xf>
    <xf numFmtId="192" fontId="86" fillId="6" borderId="86" xfId="2" applyNumberFormat="1" applyFont="1" applyFill="1" applyBorder="1" applyAlignment="1">
      <alignment horizontal="center" vertical="center"/>
    </xf>
    <xf numFmtId="192" fontId="86" fillId="6" borderId="2" xfId="2" applyNumberFormat="1" applyFont="1" applyFill="1" applyBorder="1" applyAlignment="1">
      <alignment horizontal="center" vertical="center"/>
    </xf>
    <xf numFmtId="192" fontId="86" fillId="6" borderId="46" xfId="2" applyNumberFormat="1" applyFont="1" applyFill="1" applyBorder="1" applyAlignment="1">
      <alignment horizontal="center" vertical="center"/>
    </xf>
    <xf numFmtId="192" fontId="86" fillId="6" borderId="646" xfId="2" applyNumberFormat="1" applyFont="1" applyFill="1" applyBorder="1" applyAlignment="1">
      <alignment horizontal="center" vertical="center"/>
    </xf>
    <xf numFmtId="192" fontId="86" fillId="5" borderId="11" xfId="2" applyNumberFormat="1" applyFont="1" applyFill="1" applyBorder="1" applyAlignment="1">
      <alignment horizontal="center" vertical="center"/>
    </xf>
    <xf numFmtId="192" fontId="86" fillId="5" borderId="458" xfId="2" applyNumberFormat="1" applyFont="1" applyFill="1" applyBorder="1" applyAlignment="1">
      <alignment horizontal="center" vertical="center"/>
    </xf>
    <xf numFmtId="192" fontId="86" fillId="5" borderId="0" xfId="2" applyNumberFormat="1" applyFont="1" applyFill="1" applyBorder="1" applyAlignment="1">
      <alignment horizontal="center" vertical="center"/>
    </xf>
    <xf numFmtId="198" fontId="86" fillId="5" borderId="46" xfId="2" applyNumberFormat="1" applyFont="1" applyFill="1" applyBorder="1" applyAlignment="1">
      <alignment horizontal="center" vertical="center"/>
    </xf>
    <xf numFmtId="192" fontId="86" fillId="5" borderId="86" xfId="2" applyNumberFormat="1" applyFont="1" applyFill="1" applyBorder="1" applyAlignment="1">
      <alignment horizontal="center" vertical="center"/>
    </xf>
    <xf numFmtId="192" fontId="86" fillId="5" borderId="2" xfId="2" applyNumberFormat="1" applyFont="1" applyFill="1" applyBorder="1" applyAlignment="1">
      <alignment horizontal="center" vertical="center"/>
    </xf>
    <xf numFmtId="192" fontId="86" fillId="5" borderId="46" xfId="2" applyNumberFormat="1" applyFont="1" applyFill="1" applyBorder="1" applyAlignment="1">
      <alignment horizontal="center" vertical="center"/>
    </xf>
    <xf numFmtId="192" fontId="86" fillId="5" borderId="646" xfId="2" applyNumberFormat="1" applyFont="1" applyFill="1" applyBorder="1" applyAlignment="1">
      <alignment horizontal="center" vertical="center"/>
    </xf>
    <xf numFmtId="193" fontId="86" fillId="5" borderId="46" xfId="2" applyNumberFormat="1" applyFont="1" applyFill="1" applyBorder="1" applyAlignment="1">
      <alignment horizontal="center" vertical="center"/>
    </xf>
    <xf numFmtId="0" fontId="66" fillId="6" borderId="306" xfId="0" applyFont="1" applyFill="1" applyBorder="1" applyAlignment="1">
      <alignment vertical="center"/>
    </xf>
    <xf numFmtId="0" fontId="66" fillId="6" borderId="307" xfId="0" applyFont="1" applyFill="1" applyBorder="1">
      <alignment vertical="center"/>
    </xf>
    <xf numFmtId="192" fontId="86" fillId="6" borderId="308" xfId="2" applyNumberFormat="1" applyFont="1" applyFill="1" applyBorder="1" applyAlignment="1">
      <alignment horizontal="center" vertical="center"/>
    </xf>
    <xf numFmtId="192" fontId="86" fillId="6" borderId="1199" xfId="2" applyNumberFormat="1" applyFont="1" applyFill="1" applyBorder="1" applyAlignment="1">
      <alignment horizontal="center" vertical="center"/>
    </xf>
    <xf numFmtId="192" fontId="86" fillId="6" borderId="307" xfId="2" applyNumberFormat="1" applyFont="1" applyFill="1" applyBorder="1" applyAlignment="1">
      <alignment horizontal="center" vertical="center"/>
    </xf>
    <xf numFmtId="193" fontId="86" fillId="6" borderId="310" xfId="2" applyNumberFormat="1" applyFont="1" applyFill="1" applyBorder="1" applyAlignment="1">
      <alignment horizontal="center" vertical="center"/>
    </xf>
    <xf numFmtId="192" fontId="86" fillId="6" borderId="311" xfId="2" applyNumberFormat="1" applyFont="1" applyFill="1" applyBorder="1" applyAlignment="1">
      <alignment horizontal="center" vertical="center"/>
    </xf>
    <xf numFmtId="192" fontId="86" fillId="6" borderId="309" xfId="2" applyNumberFormat="1" applyFont="1" applyFill="1" applyBorder="1" applyAlignment="1">
      <alignment horizontal="center" vertical="center"/>
    </xf>
    <xf numFmtId="192" fontId="86" fillId="6" borderId="310" xfId="2" applyNumberFormat="1" applyFont="1" applyFill="1" applyBorder="1" applyAlignment="1">
      <alignment horizontal="center" vertical="center"/>
    </xf>
    <xf numFmtId="192" fontId="86" fillId="6" borderId="696" xfId="2" applyNumberFormat="1" applyFont="1" applyFill="1" applyBorder="1" applyAlignment="1">
      <alignment horizontal="center" vertical="center"/>
    </xf>
    <xf numFmtId="0" fontId="66" fillId="13" borderId="316" xfId="0" applyFont="1" applyFill="1" applyBorder="1" applyAlignment="1">
      <alignment vertical="center"/>
    </xf>
    <xf numFmtId="0" fontId="66" fillId="13" borderId="317" xfId="0" applyFont="1" applyFill="1" applyBorder="1">
      <alignment vertical="center"/>
    </xf>
    <xf numFmtId="192" fontId="86" fillId="13" borderId="318" xfId="2" applyNumberFormat="1" applyFont="1" applyFill="1" applyBorder="1" applyAlignment="1">
      <alignment horizontal="center" vertical="center"/>
    </xf>
    <xf numFmtId="192" fontId="86" fillId="13" borderId="1200" xfId="2" applyNumberFormat="1" applyFont="1" applyFill="1" applyBorder="1" applyAlignment="1">
      <alignment horizontal="center" vertical="center"/>
    </xf>
    <xf numFmtId="192" fontId="86" fillId="13" borderId="317" xfId="2" applyNumberFormat="1" applyFont="1" applyFill="1" applyBorder="1" applyAlignment="1">
      <alignment horizontal="center" vertical="center"/>
    </xf>
    <xf numFmtId="193" fontId="86" fillId="13" borderId="320" xfId="2" applyNumberFormat="1" applyFont="1" applyFill="1" applyBorder="1" applyAlignment="1">
      <alignment horizontal="center" vertical="center"/>
    </xf>
    <xf numFmtId="192" fontId="86" fillId="13" borderId="321" xfId="2" applyNumberFormat="1" applyFont="1" applyFill="1" applyBorder="1" applyAlignment="1">
      <alignment horizontal="center" vertical="center"/>
    </xf>
    <xf numFmtId="192" fontId="86" fillId="13" borderId="319" xfId="2" applyNumberFormat="1" applyFont="1" applyFill="1" applyBorder="1" applyAlignment="1">
      <alignment horizontal="center" vertical="center"/>
    </xf>
    <xf numFmtId="192" fontId="86" fillId="13" borderId="320" xfId="2" applyNumberFormat="1" applyFont="1" applyFill="1" applyBorder="1" applyAlignment="1">
      <alignment horizontal="center" vertical="center"/>
    </xf>
    <xf numFmtId="192" fontId="86" fillId="13" borderId="697" xfId="2" applyNumberFormat="1" applyFont="1" applyFill="1" applyBorder="1" applyAlignment="1">
      <alignment horizontal="center" vertical="center"/>
    </xf>
    <xf numFmtId="0" fontId="66" fillId="13" borderId="74" xfId="0" applyFont="1" applyFill="1" applyBorder="1" applyAlignment="1">
      <alignment vertical="center"/>
    </xf>
    <xf numFmtId="0" fontId="86" fillId="13" borderId="74" xfId="0" applyFont="1" applyFill="1" applyBorder="1" applyAlignment="1">
      <alignment vertical="center"/>
    </xf>
    <xf numFmtId="0" fontId="86" fillId="13" borderId="314" xfId="0" applyFont="1" applyFill="1" applyBorder="1" applyAlignment="1">
      <alignment vertical="center"/>
    </xf>
    <xf numFmtId="0" fontId="86" fillId="5" borderId="32" xfId="0" applyFont="1" applyFill="1" applyBorder="1">
      <alignment vertical="center"/>
    </xf>
    <xf numFmtId="192" fontId="86" fillId="5" borderId="56" xfId="2" applyNumberFormat="1" applyFont="1" applyFill="1" applyBorder="1" applyAlignment="1">
      <alignment horizontal="center" vertical="center"/>
    </xf>
    <xf numFmtId="192" fontId="86" fillId="5" borderId="1201" xfId="2" applyNumberFormat="1" applyFont="1" applyFill="1" applyBorder="1" applyAlignment="1">
      <alignment horizontal="center" vertical="center"/>
    </xf>
    <xf numFmtId="192" fontId="86" fillId="5" borderId="32" xfId="2" applyNumberFormat="1" applyFont="1" applyFill="1" applyBorder="1" applyAlignment="1">
      <alignment horizontal="center" vertical="center"/>
    </xf>
    <xf numFmtId="193" fontId="86" fillId="5" borderId="57" xfId="2" applyNumberFormat="1" applyFont="1" applyFill="1" applyBorder="1" applyAlignment="1">
      <alignment horizontal="center" vertical="center"/>
    </xf>
    <xf numFmtId="192" fontId="86" fillId="5" borderId="93" xfId="2" applyNumberFormat="1" applyFont="1" applyFill="1" applyBorder="1" applyAlignment="1">
      <alignment horizontal="center" vertical="center"/>
    </xf>
    <xf numFmtId="192" fontId="86" fillId="5" borderId="33" xfId="2" applyNumberFormat="1" applyFont="1" applyFill="1" applyBorder="1" applyAlignment="1">
      <alignment horizontal="center" vertical="center"/>
    </xf>
    <xf numFmtId="192" fontId="86" fillId="5" borderId="57" xfId="2" applyNumberFormat="1" applyFont="1" applyFill="1" applyBorder="1" applyAlignment="1">
      <alignment horizontal="center" vertical="center"/>
    </xf>
    <xf numFmtId="192" fontId="86" fillId="5" borderId="698" xfId="2" applyNumberFormat="1" applyFont="1" applyFill="1" applyBorder="1" applyAlignment="1">
      <alignment horizontal="center" vertical="center"/>
    </xf>
    <xf numFmtId="0" fontId="86" fillId="6" borderId="322" xfId="0" applyFont="1" applyFill="1" applyBorder="1" applyAlignment="1">
      <alignment vertical="center"/>
    </xf>
    <xf numFmtId="0" fontId="86" fillId="6" borderId="323" xfId="0" applyFont="1" applyFill="1" applyBorder="1">
      <alignment vertical="center"/>
    </xf>
    <xf numFmtId="192" fontId="86" fillId="6" borderId="324" xfId="2" applyNumberFormat="1" applyFont="1" applyFill="1" applyBorder="1" applyAlignment="1">
      <alignment horizontal="center" vertical="center"/>
    </xf>
    <xf numFmtId="192" fontId="86" fillId="6" borderId="1202" xfId="2" applyNumberFormat="1" applyFont="1" applyFill="1" applyBorder="1" applyAlignment="1">
      <alignment horizontal="center" vertical="center"/>
    </xf>
    <xf numFmtId="192" fontId="86" fillId="6" borderId="323" xfId="2" applyNumberFormat="1" applyFont="1" applyFill="1" applyBorder="1" applyAlignment="1">
      <alignment horizontal="center" vertical="center"/>
    </xf>
    <xf numFmtId="193" fontId="86" fillId="6" borderId="326" xfId="2" applyNumberFormat="1" applyFont="1" applyFill="1" applyBorder="1" applyAlignment="1">
      <alignment horizontal="center" vertical="center"/>
    </xf>
    <xf numFmtId="0" fontId="86" fillId="6" borderId="327" xfId="0" applyFont="1" applyFill="1" applyBorder="1" applyAlignment="1">
      <alignment horizontal="center" vertical="center"/>
    </xf>
    <xf numFmtId="202" fontId="86" fillId="6" borderId="325" xfId="2" applyNumberFormat="1" applyFont="1" applyFill="1" applyBorder="1" applyAlignment="1">
      <alignment horizontal="center" vertical="center"/>
    </xf>
    <xf numFmtId="217" fontId="86" fillId="6" borderId="323" xfId="2" applyNumberFormat="1" applyFont="1" applyFill="1" applyBorder="1" applyAlignment="1">
      <alignment horizontal="center" vertical="center"/>
    </xf>
    <xf numFmtId="217" fontId="86" fillId="6" borderId="326" xfId="2" applyNumberFormat="1" applyFont="1" applyFill="1" applyBorder="1" applyAlignment="1">
      <alignment horizontal="center" vertical="center"/>
    </xf>
    <xf numFmtId="217" fontId="86" fillId="6" borderId="699" xfId="2" applyNumberFormat="1" applyFont="1" applyFill="1" applyBorder="1" applyAlignment="1">
      <alignment horizontal="center" vertical="center"/>
    </xf>
    <xf numFmtId="0" fontId="86" fillId="6" borderId="74" xfId="0" applyFont="1" applyFill="1" applyBorder="1" applyAlignment="1">
      <alignment vertical="center"/>
    </xf>
    <xf numFmtId="0" fontId="86" fillId="6" borderId="0" xfId="0" applyFont="1" applyFill="1" applyBorder="1" applyAlignment="1">
      <alignment horizontal="right" vertical="center"/>
    </xf>
    <xf numFmtId="202" fontId="86" fillId="6" borderId="11" xfId="0" applyNumberFormat="1" applyFont="1" applyFill="1" applyBorder="1" applyAlignment="1">
      <alignment horizontal="center" vertical="center"/>
    </xf>
    <xf numFmtId="202" fontId="86" fillId="6" borderId="458" xfId="0" applyNumberFormat="1" applyFont="1" applyFill="1" applyBorder="1" applyAlignment="1">
      <alignment horizontal="center" vertical="center"/>
    </xf>
    <xf numFmtId="202" fontId="86" fillId="6" borderId="0" xfId="0" applyNumberFormat="1" applyFont="1" applyFill="1" applyBorder="1" applyAlignment="1">
      <alignment horizontal="center" vertical="center"/>
    </xf>
    <xf numFmtId="202" fontId="86" fillId="6" borderId="0" xfId="2" applyNumberFormat="1" applyFont="1" applyFill="1" applyBorder="1" applyAlignment="1">
      <alignment horizontal="center" vertical="center"/>
    </xf>
    <xf numFmtId="202" fontId="86" fillId="6" borderId="46" xfId="2" applyNumberFormat="1" applyFont="1" applyFill="1" applyBorder="1" applyAlignment="1">
      <alignment horizontal="center" vertical="center"/>
    </xf>
    <xf numFmtId="202" fontId="86" fillId="6" borderId="404" xfId="0" applyNumberFormat="1" applyFont="1" applyFill="1" applyBorder="1" applyAlignment="1">
      <alignment horizontal="center" vertical="center"/>
    </xf>
    <xf numFmtId="202" fontId="86" fillId="6" borderId="2" xfId="0" applyNumberFormat="1" applyFont="1" applyFill="1" applyBorder="1" applyAlignment="1">
      <alignment horizontal="center" vertical="center"/>
    </xf>
    <xf numFmtId="202" fontId="86" fillId="6" borderId="646" xfId="2" applyNumberFormat="1" applyFont="1" applyFill="1" applyBorder="1" applyAlignment="1">
      <alignment horizontal="center" vertical="center"/>
    </xf>
    <xf numFmtId="0" fontId="86" fillId="2" borderId="0" xfId="0" applyFont="1" applyFill="1" applyBorder="1" applyAlignment="1">
      <alignment horizontal="left" vertical="center"/>
    </xf>
    <xf numFmtId="202" fontId="86" fillId="2" borderId="11" xfId="0" applyNumberFormat="1" applyFont="1" applyFill="1" applyBorder="1" applyAlignment="1">
      <alignment horizontal="center" vertical="center"/>
    </xf>
    <xf numFmtId="202" fontId="86" fillId="2" borderId="458" xfId="0" applyNumberFormat="1" applyFont="1" applyFill="1" applyBorder="1" applyAlignment="1">
      <alignment horizontal="center" vertical="center"/>
    </xf>
    <xf numFmtId="202" fontId="86" fillId="2" borderId="0" xfId="0" applyNumberFormat="1" applyFont="1" applyFill="1" applyBorder="1" applyAlignment="1">
      <alignment horizontal="center" vertical="center"/>
    </xf>
    <xf numFmtId="202" fontId="86" fillId="2" borderId="0" xfId="2" applyNumberFormat="1" applyFont="1" applyFill="1" applyBorder="1" applyAlignment="1">
      <alignment horizontal="center" vertical="center"/>
    </xf>
    <xf numFmtId="202" fontId="86" fillId="2" borderId="46" xfId="2" applyNumberFormat="1" applyFont="1" applyFill="1" applyBorder="1" applyAlignment="1">
      <alignment horizontal="center" vertical="center"/>
    </xf>
    <xf numFmtId="202" fontId="86" fillId="2" borderId="86" xfId="0" applyNumberFormat="1" applyFont="1" applyFill="1" applyBorder="1" applyAlignment="1">
      <alignment horizontal="center" vertical="center"/>
    </xf>
    <xf numFmtId="202" fontId="86" fillId="2" borderId="2" xfId="0" applyNumberFormat="1" applyFont="1" applyFill="1" applyBorder="1" applyAlignment="1">
      <alignment horizontal="center" vertical="center"/>
    </xf>
    <xf numFmtId="202" fontId="86" fillId="2" borderId="646" xfId="2" applyNumberFormat="1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horizontal="left" vertical="center"/>
    </xf>
    <xf numFmtId="202" fontId="86" fillId="0" borderId="11" xfId="0" applyNumberFormat="1" applyFont="1" applyFill="1" applyBorder="1" applyAlignment="1">
      <alignment horizontal="center" vertical="center"/>
    </xf>
    <xf numFmtId="202" fontId="86" fillId="0" borderId="458" xfId="0" applyNumberFormat="1" applyFont="1" applyFill="1" applyBorder="1" applyAlignment="1">
      <alignment horizontal="center" vertical="center"/>
    </xf>
    <xf numFmtId="202" fontId="86" fillId="0" borderId="0" xfId="0" applyNumberFormat="1" applyFont="1" applyFill="1" applyBorder="1" applyAlignment="1">
      <alignment horizontal="center" vertical="center"/>
    </xf>
    <xf numFmtId="202" fontId="86" fillId="0" borderId="86" xfId="0" applyNumberFormat="1" applyFont="1" applyFill="1" applyBorder="1" applyAlignment="1">
      <alignment horizontal="center" vertical="center"/>
    </xf>
    <xf numFmtId="202" fontId="86" fillId="0" borderId="2" xfId="0" applyNumberFormat="1" applyFont="1" applyFill="1" applyBorder="1" applyAlignment="1">
      <alignment horizontal="center" vertical="center"/>
    </xf>
    <xf numFmtId="202" fontId="86" fillId="0" borderId="646" xfId="2" applyNumberFormat="1" applyFont="1" applyFill="1" applyBorder="1" applyAlignment="1">
      <alignment horizontal="center" vertical="center"/>
    </xf>
    <xf numFmtId="0" fontId="86" fillId="0" borderId="11" xfId="0" applyFont="1" applyFill="1" applyBorder="1" applyAlignment="1">
      <alignment horizontal="center" vertical="center"/>
    </xf>
    <xf numFmtId="0" fontId="86" fillId="29" borderId="458" xfId="0" applyFont="1" applyFill="1" applyBorder="1" applyAlignment="1">
      <alignment horizontal="center" vertical="center"/>
    </xf>
    <xf numFmtId="192" fontId="86" fillId="29" borderId="0" xfId="0" applyNumberFormat="1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horizontal="center" vertical="center"/>
    </xf>
    <xf numFmtId="0" fontId="86" fillId="0" borderId="46" xfId="0" applyFont="1" applyFill="1" applyBorder="1" applyAlignment="1">
      <alignment horizontal="center" vertical="center"/>
    </xf>
    <xf numFmtId="0" fontId="86" fillId="0" borderId="86" xfId="0" applyFont="1" applyFill="1" applyBorder="1" applyAlignment="1">
      <alignment horizontal="center" vertical="center"/>
    </xf>
    <xf numFmtId="0" fontId="86" fillId="0" borderId="2" xfId="0" applyFont="1" applyFill="1" applyBorder="1" applyAlignment="1">
      <alignment horizontal="center" vertical="center"/>
    </xf>
    <xf numFmtId="0" fontId="86" fillId="0" borderId="646" xfId="0" applyFont="1" applyFill="1" applyBorder="1" applyAlignment="1">
      <alignment horizontal="center" vertical="center"/>
    </xf>
    <xf numFmtId="0" fontId="86" fillId="6" borderId="924" xfId="0" applyFont="1" applyFill="1" applyBorder="1" applyAlignment="1">
      <alignment vertical="center"/>
    </xf>
    <xf numFmtId="0" fontId="86" fillId="6" borderId="925" xfId="0" applyFont="1" applyFill="1" applyBorder="1" applyAlignment="1">
      <alignment horizontal="left" vertical="center"/>
    </xf>
    <xf numFmtId="203" fontId="86" fillId="6" borderId="926" xfId="0" applyNumberFormat="1" applyFont="1" applyFill="1" applyBorder="1" applyAlignment="1">
      <alignment horizontal="center" vertical="center"/>
    </xf>
    <xf numFmtId="203" fontId="86" fillId="6" borderId="1203" xfId="0" applyNumberFormat="1" applyFont="1" applyFill="1" applyBorder="1" applyAlignment="1">
      <alignment horizontal="center" vertical="center"/>
    </xf>
    <xf numFmtId="203" fontId="86" fillId="6" borderId="925" xfId="0" applyNumberFormat="1" applyFont="1" applyFill="1" applyBorder="1" applyAlignment="1">
      <alignment horizontal="center" vertical="center"/>
    </xf>
    <xf numFmtId="192" fontId="86" fillId="6" borderId="925" xfId="0" applyNumberFormat="1" applyFont="1" applyFill="1" applyBorder="1" applyAlignment="1">
      <alignment horizontal="center" vertical="center"/>
    </xf>
    <xf numFmtId="202" fontId="86" fillId="6" borderId="925" xfId="0" applyNumberFormat="1" applyFont="1" applyFill="1" applyBorder="1" applyAlignment="1">
      <alignment horizontal="center" vertical="center"/>
    </xf>
    <xf numFmtId="204" fontId="86" fillId="6" borderId="925" xfId="0" applyNumberFormat="1" applyFont="1" applyFill="1" applyBorder="1" applyAlignment="1">
      <alignment horizontal="center" vertical="center"/>
    </xf>
    <xf numFmtId="193" fontId="86" fillId="6" borderId="927" xfId="0" applyNumberFormat="1" applyFont="1" applyFill="1" applyBorder="1" applyAlignment="1">
      <alignment horizontal="center" vertical="center"/>
    </xf>
    <xf numFmtId="0" fontId="86" fillId="29" borderId="928" xfId="0" applyFont="1" applyFill="1" applyBorder="1" applyAlignment="1">
      <alignment horizontal="center" vertical="center"/>
    </xf>
    <xf numFmtId="203" fontId="86" fillId="6" borderId="929" xfId="0" applyNumberFormat="1" applyFont="1" applyFill="1" applyBorder="1" applyAlignment="1">
      <alignment horizontal="center" vertical="center"/>
    </xf>
    <xf numFmtId="203" fontId="86" fillId="29" borderId="925" xfId="0" applyNumberFormat="1" applyFont="1" applyFill="1" applyBorder="1" applyAlignment="1">
      <alignment horizontal="center" vertical="center"/>
    </xf>
    <xf numFmtId="203" fontId="86" fillId="6" borderId="927" xfId="0" applyNumberFormat="1" applyFont="1" applyFill="1" applyBorder="1" applyAlignment="1">
      <alignment horizontal="center" vertical="center"/>
    </xf>
    <xf numFmtId="0" fontId="86" fillId="29" borderId="930" xfId="0" applyFont="1" applyFill="1" applyBorder="1" applyAlignment="1">
      <alignment horizontal="center" vertical="center"/>
    </xf>
    <xf numFmtId="0" fontId="86" fillId="8" borderId="74" xfId="0" applyFont="1" applyFill="1" applyBorder="1">
      <alignment vertical="center"/>
    </xf>
    <xf numFmtId="0" fontId="86" fillId="8" borderId="0" xfId="0" applyFont="1" applyFill="1" applyBorder="1" applyAlignment="1">
      <alignment horizontal="left" vertical="center"/>
    </xf>
    <xf numFmtId="203" fontId="86" fillId="8" borderId="485" xfId="0" applyNumberFormat="1" applyFont="1" applyFill="1" applyBorder="1" applyAlignment="1">
      <alignment horizontal="center" vertical="center"/>
    </xf>
    <xf numFmtId="203" fontId="86" fillId="8" borderId="458" xfId="0" applyNumberFormat="1" applyFont="1" applyFill="1" applyBorder="1" applyAlignment="1">
      <alignment horizontal="center" vertical="center"/>
    </xf>
    <xf numFmtId="203" fontId="86" fillId="8" borderId="0" xfId="0" applyNumberFormat="1" applyFont="1" applyFill="1" applyBorder="1" applyAlignment="1">
      <alignment horizontal="center" vertical="center"/>
    </xf>
    <xf numFmtId="192" fontId="86" fillId="8" borderId="0" xfId="0" applyNumberFormat="1" applyFont="1" applyFill="1" applyBorder="1" applyAlignment="1">
      <alignment horizontal="center" vertical="center"/>
    </xf>
    <xf numFmtId="202" fontId="86" fillId="8" borderId="0" xfId="0" applyNumberFormat="1" applyFont="1" applyFill="1" applyBorder="1" applyAlignment="1">
      <alignment horizontal="center" vertical="center"/>
    </xf>
    <xf numFmtId="204" fontId="86" fillId="8" borderId="0" xfId="0" applyNumberFormat="1" applyFont="1" applyFill="1" applyBorder="1" applyAlignment="1">
      <alignment horizontal="center" vertical="center"/>
    </xf>
    <xf numFmtId="193" fontId="86" fillId="8" borderId="46" xfId="0" applyNumberFormat="1" applyFont="1" applyFill="1" applyBorder="1" applyAlignment="1">
      <alignment horizontal="center" vertical="center"/>
    </xf>
    <xf numFmtId="0" fontId="86" fillId="29" borderId="86" xfId="0" applyFont="1" applyFill="1" applyBorder="1" applyAlignment="1">
      <alignment horizontal="center" vertical="center"/>
    </xf>
    <xf numFmtId="203" fontId="86" fillId="8" borderId="2" xfId="0" applyNumberFormat="1" applyFont="1" applyFill="1" applyBorder="1" applyAlignment="1">
      <alignment horizontal="center" vertical="center"/>
    </xf>
    <xf numFmtId="203" fontId="86" fillId="29" borderId="0" xfId="0" applyNumberFormat="1" applyFont="1" applyFill="1" applyBorder="1" applyAlignment="1">
      <alignment horizontal="center" vertical="center"/>
    </xf>
    <xf numFmtId="203" fontId="86" fillId="8" borderId="46" xfId="0" applyNumberFormat="1" applyFont="1" applyFill="1" applyBorder="1" applyAlignment="1">
      <alignment horizontal="center" vertical="center"/>
    </xf>
    <xf numFmtId="0" fontId="86" fillId="29" borderId="64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left" vertical="center"/>
    </xf>
    <xf numFmtId="203" fontId="86" fillId="0" borderId="485" xfId="0" applyNumberFormat="1" applyFont="1" applyFill="1" applyBorder="1" applyAlignment="1">
      <alignment horizontal="center" vertical="center"/>
    </xf>
    <xf numFmtId="203" fontId="86" fillId="0" borderId="458" xfId="0" applyNumberFormat="1" applyFont="1" applyFill="1" applyBorder="1" applyAlignment="1">
      <alignment horizontal="center" vertical="center"/>
    </xf>
    <xf numFmtId="203" fontId="86" fillId="0" borderId="0" xfId="0" applyNumberFormat="1" applyFont="1" applyFill="1" applyBorder="1" applyAlignment="1">
      <alignment horizontal="center" vertical="center"/>
    </xf>
    <xf numFmtId="192" fontId="86" fillId="0" borderId="0" xfId="0" applyNumberFormat="1" applyFont="1" applyFill="1" applyBorder="1" applyAlignment="1">
      <alignment horizontal="center" vertical="center"/>
    </xf>
    <xf numFmtId="204" fontId="86" fillId="0" borderId="0" xfId="0" applyNumberFormat="1" applyFont="1" applyFill="1" applyBorder="1" applyAlignment="1">
      <alignment horizontal="center" vertical="center"/>
    </xf>
    <xf numFmtId="193" fontId="86" fillId="0" borderId="46" xfId="0" applyNumberFormat="1" applyFont="1" applyFill="1" applyBorder="1" applyAlignment="1">
      <alignment horizontal="center" vertical="center"/>
    </xf>
    <xf numFmtId="203" fontId="86" fillId="0" borderId="2" xfId="0" applyNumberFormat="1" applyFont="1" applyFill="1" applyBorder="1" applyAlignment="1">
      <alignment horizontal="center" vertical="center"/>
    </xf>
    <xf numFmtId="203" fontId="86" fillId="0" borderId="46" xfId="0" applyNumberFormat="1" applyFont="1" applyFill="1" applyBorder="1" applyAlignment="1">
      <alignment horizontal="center" vertical="center"/>
    </xf>
    <xf numFmtId="0" fontId="66" fillId="8" borderId="74" xfId="0" applyFont="1" applyFill="1" applyBorder="1">
      <alignment vertical="center"/>
    </xf>
    <xf numFmtId="0" fontId="66" fillId="0" borderId="0" xfId="0" applyFont="1" applyBorder="1" applyAlignment="1">
      <alignment horizontal="left" vertical="center"/>
    </xf>
    <xf numFmtId="203" fontId="86" fillId="0" borderId="1254" xfId="0" applyNumberFormat="1" applyFont="1" applyFill="1" applyBorder="1" applyAlignment="1">
      <alignment horizontal="center" vertical="center"/>
    </xf>
    <xf numFmtId="203" fontId="86" fillId="4" borderId="1254" xfId="0" applyNumberFormat="1" applyFont="1" applyFill="1" applyBorder="1" applyAlignment="1">
      <alignment horizontal="center" vertical="center"/>
    </xf>
    <xf numFmtId="203" fontId="86" fillId="4" borderId="0" xfId="0" applyNumberFormat="1" applyFont="1" applyFill="1" applyBorder="1" applyAlignment="1">
      <alignment horizontal="center" vertical="center"/>
    </xf>
    <xf numFmtId="192" fontId="86" fillId="4" borderId="0" xfId="0" applyNumberFormat="1" applyFont="1" applyFill="1" applyBorder="1" applyAlignment="1">
      <alignment horizontal="center" vertical="center"/>
    </xf>
    <xf numFmtId="202" fontId="86" fillId="4" borderId="0" xfId="0" applyNumberFormat="1" applyFont="1" applyFill="1" applyBorder="1" applyAlignment="1">
      <alignment horizontal="center" vertical="center"/>
    </xf>
    <xf numFmtId="204" fontId="86" fillId="4" borderId="0" xfId="0" applyNumberFormat="1" applyFont="1" applyFill="1" applyBorder="1" applyAlignment="1">
      <alignment horizontal="center" vertical="center"/>
    </xf>
    <xf numFmtId="0" fontId="86" fillId="8" borderId="75" xfId="0" applyFont="1" applyFill="1" applyBorder="1">
      <alignment vertical="center"/>
    </xf>
    <xf numFmtId="0" fontId="86" fillId="0" borderId="36" xfId="0" applyFont="1" applyBorder="1" applyAlignment="1">
      <alignment horizontal="left" vertical="center"/>
    </xf>
    <xf numFmtId="203" fontId="86" fillId="0" borderId="1253" xfId="0" applyNumberFormat="1" applyFont="1" applyFill="1" applyBorder="1" applyAlignment="1">
      <alignment horizontal="center" vertical="center"/>
    </xf>
    <xf numFmtId="192" fontId="86" fillId="0" borderId="36" xfId="0" applyNumberFormat="1" applyFont="1" applyFill="1" applyBorder="1" applyAlignment="1">
      <alignment horizontal="center" vertical="center"/>
    </xf>
    <xf numFmtId="202" fontId="86" fillId="0" borderId="36" xfId="0" applyNumberFormat="1" applyFont="1" applyFill="1" applyBorder="1" applyAlignment="1">
      <alignment horizontal="center" vertical="center"/>
    </xf>
    <xf numFmtId="204" fontId="86" fillId="0" borderId="36" xfId="0" applyNumberFormat="1" applyFont="1" applyFill="1" applyBorder="1" applyAlignment="1">
      <alignment horizontal="center" vertical="center"/>
    </xf>
    <xf numFmtId="193" fontId="86" fillId="0" borderId="54" xfId="0" applyNumberFormat="1" applyFont="1" applyFill="1" applyBorder="1" applyAlignment="1">
      <alignment horizontal="center" vertical="center"/>
    </xf>
    <xf numFmtId="0" fontId="86" fillId="29" borderId="92" xfId="0" applyFont="1" applyFill="1" applyBorder="1" applyAlignment="1">
      <alignment horizontal="center" vertical="center"/>
    </xf>
    <xf numFmtId="203" fontId="86" fillId="0" borderId="53" xfId="0" applyNumberFormat="1" applyFont="1" applyFill="1" applyBorder="1" applyAlignment="1">
      <alignment horizontal="center" vertical="center"/>
    </xf>
    <xf numFmtId="203" fontId="86" fillId="29" borderId="36" xfId="0" applyNumberFormat="1" applyFont="1" applyFill="1" applyBorder="1" applyAlignment="1">
      <alignment horizontal="center" vertical="center"/>
    </xf>
    <xf numFmtId="203" fontId="86" fillId="0" borderId="54" xfId="0" applyNumberFormat="1" applyFont="1" applyFill="1" applyBorder="1" applyAlignment="1">
      <alignment horizontal="center" vertical="center"/>
    </xf>
    <xf numFmtId="0" fontId="86" fillId="29" borderId="700" xfId="0" applyFont="1" applyFill="1" applyBorder="1" applyAlignment="1">
      <alignment horizontal="center" vertical="center"/>
    </xf>
    <xf numFmtId="0" fontId="66" fillId="5" borderId="0" xfId="0" applyFont="1" applyFill="1" applyAlignment="1">
      <alignment horizontal="left" vertical="center"/>
    </xf>
    <xf numFmtId="203" fontId="66" fillId="5" borderId="0" xfId="0" applyNumberFormat="1" applyFont="1" applyFill="1" applyAlignment="1">
      <alignment horizontal="center" vertical="center"/>
    </xf>
    <xf numFmtId="0" fontId="83" fillId="5" borderId="0" xfId="0" applyFont="1" applyFill="1">
      <alignment vertical="center"/>
    </xf>
    <xf numFmtId="202" fontId="69" fillId="5" borderId="0" xfId="0" applyNumberFormat="1" applyFont="1" applyFill="1" applyBorder="1" applyAlignment="1">
      <alignment horizontal="center" vertical="center"/>
    </xf>
    <xf numFmtId="203" fontId="69" fillId="5" borderId="0" xfId="0" applyNumberFormat="1" applyFont="1" applyFill="1" applyBorder="1" applyAlignment="1">
      <alignment horizontal="center" vertical="center"/>
    </xf>
    <xf numFmtId="0" fontId="95" fillId="5" borderId="0" xfId="0" applyFont="1" applyFill="1" applyBorder="1" applyAlignment="1">
      <alignment horizontal="left" vertical="center"/>
    </xf>
    <xf numFmtId="0" fontId="66" fillId="5" borderId="0" xfId="0" quotePrefix="1" applyFont="1" applyFill="1" applyBorder="1" applyAlignment="1">
      <alignment horizontal="left" vertical="center"/>
    </xf>
    <xf numFmtId="0" fontId="74" fillId="4" borderId="669" xfId="0" quotePrefix="1" applyFont="1" applyFill="1" applyBorder="1" applyAlignment="1">
      <alignment horizontal="center" vertical="center"/>
    </xf>
    <xf numFmtId="0" fontId="67" fillId="4" borderId="456" xfId="0" quotePrefix="1" applyFont="1" applyFill="1" applyBorder="1" applyAlignment="1">
      <alignment horizontal="center" vertical="center"/>
    </xf>
    <xf numFmtId="202" fontId="67" fillId="4" borderId="6" xfId="0" quotePrefix="1" applyNumberFormat="1" applyFont="1" applyFill="1" applyBorder="1" applyAlignment="1">
      <alignment horizontal="center" vertical="center"/>
    </xf>
    <xf numFmtId="203" fontId="67" fillId="4" borderId="6" xfId="0" quotePrefix="1" applyNumberFormat="1" applyFont="1" applyFill="1" applyBorder="1" applyAlignment="1">
      <alignment horizontal="center" vertical="center"/>
    </xf>
    <xf numFmtId="0" fontId="67" fillId="14" borderId="43" xfId="0" quotePrefix="1" applyFont="1" applyFill="1" applyBorder="1" applyAlignment="1">
      <alignment horizontal="center" vertical="center"/>
    </xf>
    <xf numFmtId="0" fontId="67" fillId="14" borderId="6" xfId="0" quotePrefix="1" applyFont="1" applyFill="1" applyBorder="1" applyAlignment="1">
      <alignment horizontal="center" vertical="center"/>
    </xf>
    <xf numFmtId="0" fontId="75" fillId="6" borderId="268" xfId="0" quotePrefix="1" applyFont="1" applyFill="1" applyBorder="1" applyAlignment="1">
      <alignment horizontal="center" vertical="center"/>
    </xf>
    <xf numFmtId="0" fontId="67" fillId="10" borderId="13" xfId="0" applyFont="1" applyFill="1" applyBorder="1" applyAlignment="1">
      <alignment horizontal="center" vertical="center"/>
    </xf>
    <xf numFmtId="192" fontId="66" fillId="11" borderId="4" xfId="0" applyNumberFormat="1" applyFont="1" applyFill="1" applyBorder="1" applyAlignment="1">
      <alignment horizontal="left" vertical="center"/>
    </xf>
    <xf numFmtId="0" fontId="66" fillId="11" borderId="4" xfId="0" applyFont="1" applyFill="1" applyBorder="1" applyAlignment="1">
      <alignment horizontal="left" vertical="center"/>
    </xf>
    <xf numFmtId="38" fontId="66" fillId="11" borderId="671" xfId="0" applyNumberFormat="1" applyFont="1" applyFill="1" applyBorder="1" applyAlignment="1">
      <alignment horizontal="center" vertical="center"/>
    </xf>
    <xf numFmtId="38" fontId="66" fillId="11" borderId="4" xfId="0" applyNumberFormat="1" applyFont="1" applyFill="1" applyBorder="1" applyAlignment="1">
      <alignment horizontal="center" vertical="center"/>
    </xf>
    <xf numFmtId="38" fontId="66" fillId="11" borderId="457" xfId="0" applyNumberFormat="1" applyFont="1" applyFill="1" applyBorder="1" applyAlignment="1">
      <alignment horizontal="center" vertical="center"/>
    </xf>
    <xf numFmtId="38" fontId="66" fillId="11" borderId="4" xfId="2" applyNumberFormat="1" applyFont="1" applyFill="1" applyBorder="1" applyAlignment="1">
      <alignment horizontal="center" vertical="center"/>
    </xf>
    <xf numFmtId="186" fontId="66" fillId="11" borderId="45" xfId="3" applyNumberFormat="1" applyFont="1" applyFill="1" applyBorder="1" applyAlignment="1">
      <alignment horizontal="center" vertical="center"/>
    </xf>
    <xf numFmtId="186" fontId="66" fillId="11" borderId="4" xfId="3" applyNumberFormat="1" applyFont="1" applyFill="1" applyBorder="1" applyAlignment="1">
      <alignment horizontal="center" vertical="center"/>
    </xf>
    <xf numFmtId="192" fontId="66" fillId="11" borderId="5" xfId="0" applyNumberFormat="1" applyFont="1" applyFill="1" applyBorder="1" applyAlignment="1">
      <alignment horizontal="center" vertical="center"/>
    </xf>
    <xf numFmtId="242" fontId="66" fillId="11" borderId="4" xfId="3" applyNumberFormat="1" applyFont="1" applyFill="1" applyBorder="1" applyAlignment="1">
      <alignment horizontal="center" vertical="center"/>
    </xf>
    <xf numFmtId="176" fontId="66" fillId="11" borderId="4" xfId="3" applyNumberFormat="1" applyFont="1" applyFill="1" applyBorder="1" applyAlignment="1">
      <alignment horizontal="center" vertical="center"/>
    </xf>
    <xf numFmtId="192" fontId="66" fillId="11" borderId="45" xfId="0" applyNumberFormat="1" applyFont="1" applyFill="1" applyBorder="1" applyAlignment="1">
      <alignment horizontal="center" vertical="center"/>
    </xf>
    <xf numFmtId="186" fontId="66" fillId="11" borderId="224" xfId="0" applyNumberFormat="1" applyFont="1" applyFill="1" applyBorder="1" applyAlignment="1">
      <alignment horizontal="center" vertical="center"/>
    </xf>
    <xf numFmtId="0" fontId="66" fillId="11" borderId="0" xfId="0" applyFont="1" applyFill="1" applyBorder="1" applyAlignment="1">
      <alignment horizontal="left" vertical="center"/>
    </xf>
    <xf numFmtId="38" fontId="66" fillId="11" borderId="485" xfId="0" applyNumberFormat="1" applyFont="1" applyFill="1" applyBorder="1" applyAlignment="1">
      <alignment horizontal="center" vertical="center"/>
    </xf>
    <xf numFmtId="38" fontId="66" fillId="11" borderId="0" xfId="0" applyNumberFormat="1" applyFont="1" applyFill="1" applyBorder="1" applyAlignment="1">
      <alignment horizontal="center" vertical="center"/>
    </xf>
    <xf numFmtId="38" fontId="66" fillId="11" borderId="458" xfId="0" applyNumberFormat="1" applyFont="1" applyFill="1" applyBorder="1" applyAlignment="1">
      <alignment horizontal="center" vertical="center"/>
    </xf>
    <xf numFmtId="38" fontId="66" fillId="11" borderId="0" xfId="2" applyNumberFormat="1" applyFont="1" applyFill="1" applyBorder="1" applyAlignment="1">
      <alignment horizontal="center" vertical="center"/>
    </xf>
    <xf numFmtId="186" fontId="66" fillId="11" borderId="46" xfId="3" applyNumberFormat="1" applyFont="1" applyFill="1" applyBorder="1" applyAlignment="1">
      <alignment horizontal="center" vertical="center"/>
    </xf>
    <xf numFmtId="186" fontId="66" fillId="11" borderId="0" xfId="3" applyNumberFormat="1" applyFont="1" applyFill="1" applyBorder="1" applyAlignment="1">
      <alignment horizontal="center" vertical="center"/>
    </xf>
    <xf numFmtId="192" fontId="66" fillId="11" borderId="2" xfId="0" applyNumberFormat="1" applyFont="1" applyFill="1" applyBorder="1" applyAlignment="1">
      <alignment horizontal="center" vertical="center"/>
    </xf>
    <xf numFmtId="242" fontId="66" fillId="11" borderId="0" xfId="3" applyNumberFormat="1" applyFont="1" applyFill="1" applyBorder="1" applyAlignment="1">
      <alignment horizontal="center" vertical="center"/>
    </xf>
    <xf numFmtId="176" fontId="66" fillId="11" borderId="0" xfId="3" applyNumberFormat="1" applyFont="1" applyFill="1" applyBorder="1" applyAlignment="1">
      <alignment horizontal="center" vertical="center"/>
    </xf>
    <xf numFmtId="192" fontId="66" fillId="11" borderId="46" xfId="0" applyNumberFormat="1" applyFont="1" applyFill="1" applyBorder="1" applyAlignment="1">
      <alignment horizontal="center" vertical="center"/>
    </xf>
    <xf numFmtId="242" fontId="66" fillId="43" borderId="0" xfId="3" applyNumberFormat="1" applyFont="1" applyFill="1" applyBorder="1" applyAlignment="1">
      <alignment horizontal="center" vertical="center"/>
    </xf>
    <xf numFmtId="0" fontId="66" fillId="11" borderId="611" xfId="0" applyFont="1" applyFill="1" applyBorder="1" applyAlignment="1">
      <alignment horizontal="left" vertical="center"/>
    </xf>
    <xf numFmtId="38" fontId="66" fillId="11" borderId="672" xfId="0" applyNumberFormat="1" applyFont="1" applyFill="1" applyBorder="1" applyAlignment="1">
      <alignment horizontal="center" vertical="center"/>
    </xf>
    <xf numFmtId="38" fontId="66" fillId="11" borderId="611" xfId="0" applyNumberFormat="1" applyFont="1" applyFill="1" applyBorder="1" applyAlignment="1">
      <alignment horizontal="center" vertical="center"/>
    </xf>
    <xf numFmtId="38" fontId="66" fillId="11" borderId="1190" xfId="0" applyNumberFormat="1" applyFont="1" applyFill="1" applyBorder="1" applyAlignment="1">
      <alignment horizontal="center" vertical="center"/>
    </xf>
    <xf numFmtId="38" fontId="66" fillId="11" borderId="611" xfId="2" applyNumberFormat="1" applyFont="1" applyFill="1" applyBorder="1" applyAlignment="1">
      <alignment horizontal="center" vertical="center"/>
    </xf>
    <xf numFmtId="186" fontId="66" fillId="11" borderId="612" xfId="3" applyNumberFormat="1" applyFont="1" applyFill="1" applyBorder="1" applyAlignment="1">
      <alignment horizontal="center" vertical="center"/>
    </xf>
    <xf numFmtId="186" fontId="66" fillId="11" borderId="611" xfId="3" applyNumberFormat="1" applyFont="1" applyFill="1" applyBorder="1" applyAlignment="1">
      <alignment horizontal="center" vertical="center"/>
    </xf>
    <xf numFmtId="192" fontId="66" fillId="11" borderId="614" xfId="0" applyNumberFormat="1" applyFont="1" applyFill="1" applyBorder="1" applyAlignment="1">
      <alignment horizontal="center" vertical="center"/>
    </xf>
    <xf numFmtId="242" fontId="66" fillId="43" borderId="611" xfId="3" applyNumberFormat="1" applyFont="1" applyFill="1" applyBorder="1" applyAlignment="1">
      <alignment horizontal="center" vertical="center"/>
    </xf>
    <xf numFmtId="176" fontId="66" fillId="11" borderId="611" xfId="3" applyNumberFormat="1" applyFont="1" applyFill="1" applyBorder="1" applyAlignment="1">
      <alignment horizontal="center" vertical="center"/>
    </xf>
    <xf numFmtId="192" fontId="66" fillId="11" borderId="612" xfId="0" applyNumberFormat="1" applyFont="1" applyFill="1" applyBorder="1" applyAlignment="1">
      <alignment horizontal="center" vertical="center"/>
    </xf>
    <xf numFmtId="186" fontId="66" fillId="11" borderId="610" xfId="0" applyNumberFormat="1" applyFont="1" applyFill="1" applyBorder="1" applyAlignment="1">
      <alignment horizontal="center" vertical="center"/>
    </xf>
    <xf numFmtId="0" fontId="66" fillId="5" borderId="616" xfId="0" applyFont="1" applyFill="1" applyBorder="1" applyAlignment="1">
      <alignment horizontal="left" vertical="center"/>
    </xf>
    <xf numFmtId="38" fontId="66" fillId="5" borderId="673" xfId="0" applyNumberFormat="1" applyFont="1" applyFill="1" applyBorder="1" applyAlignment="1">
      <alignment horizontal="center" vertical="center"/>
    </xf>
    <xf numFmtId="38" fontId="66" fillId="5" borderId="616" xfId="0" applyNumberFormat="1" applyFont="1" applyFill="1" applyBorder="1" applyAlignment="1">
      <alignment horizontal="center" vertical="center"/>
    </xf>
    <xf numFmtId="38" fontId="66" fillId="5" borderId="1191" xfId="0" applyNumberFormat="1" applyFont="1" applyFill="1" applyBorder="1" applyAlignment="1">
      <alignment horizontal="center" vertical="center"/>
    </xf>
    <xf numFmtId="38" fontId="66" fillId="5" borderId="616" xfId="2" applyNumberFormat="1" applyFont="1" applyFill="1" applyBorder="1" applyAlignment="1">
      <alignment horizontal="center" vertical="center"/>
    </xf>
    <xf numFmtId="186" fontId="66" fillId="5" borderId="617" xfId="3" applyNumberFormat="1" applyFont="1" applyFill="1" applyBorder="1" applyAlignment="1">
      <alignment horizontal="center" vertical="center"/>
    </xf>
    <xf numFmtId="186" fontId="66" fillId="5" borderId="616" xfId="3" applyNumberFormat="1" applyFont="1" applyFill="1" applyBorder="1" applyAlignment="1">
      <alignment horizontal="center" vertical="center"/>
    </xf>
    <xf numFmtId="192" fontId="66" fillId="5" borderId="619" xfId="0" applyNumberFormat="1" applyFont="1" applyFill="1" applyBorder="1" applyAlignment="1">
      <alignment horizontal="center" vertical="center"/>
    </xf>
    <xf numFmtId="242" fontId="66" fillId="5" borderId="616" xfId="3" applyNumberFormat="1" applyFont="1" applyFill="1" applyBorder="1" applyAlignment="1">
      <alignment horizontal="center" vertical="center"/>
    </xf>
    <xf numFmtId="176" fontId="66" fillId="5" borderId="616" xfId="3" applyNumberFormat="1" applyFont="1" applyFill="1" applyBorder="1" applyAlignment="1">
      <alignment horizontal="center" vertical="center"/>
    </xf>
    <xf numFmtId="192" fontId="66" fillId="5" borderId="617" xfId="0" applyNumberFormat="1" applyFont="1" applyFill="1" applyBorder="1" applyAlignment="1">
      <alignment horizontal="center" vertical="center"/>
    </xf>
    <xf numFmtId="186" fontId="66" fillId="5" borderId="620" xfId="0" applyNumberFormat="1" applyFont="1" applyFill="1" applyBorder="1" applyAlignment="1">
      <alignment horizontal="center" vertical="center"/>
    </xf>
    <xf numFmtId="38" fontId="66" fillId="5" borderId="485" xfId="0" applyNumberFormat="1" applyFont="1" applyFill="1" applyBorder="1" applyAlignment="1">
      <alignment horizontal="center" vertical="center"/>
    </xf>
    <xf numFmtId="38" fontId="66" fillId="5" borderId="0" xfId="0" applyNumberFormat="1" applyFont="1" applyFill="1" applyBorder="1" applyAlignment="1">
      <alignment horizontal="center" vertical="center"/>
    </xf>
    <xf numFmtId="38" fontId="66" fillId="5" borderId="458" xfId="0" applyNumberFormat="1" applyFont="1" applyFill="1" applyBorder="1" applyAlignment="1">
      <alignment horizontal="center" vertical="center"/>
    </xf>
    <xf numFmtId="38" fontId="66" fillId="5" borderId="0" xfId="2" applyNumberFormat="1" applyFont="1" applyFill="1" applyBorder="1" applyAlignment="1">
      <alignment horizontal="center" vertical="center"/>
    </xf>
    <xf numFmtId="186" fontId="66" fillId="5" borderId="46" xfId="3" applyNumberFormat="1" applyFont="1" applyFill="1" applyBorder="1" applyAlignment="1">
      <alignment horizontal="center" vertical="center"/>
    </xf>
    <xf numFmtId="186" fontId="66" fillId="5" borderId="0" xfId="3" applyNumberFormat="1" applyFont="1" applyFill="1" applyBorder="1" applyAlignment="1">
      <alignment horizontal="center" vertical="center"/>
    </xf>
    <xf numFmtId="192" fontId="66" fillId="5" borderId="2" xfId="0" applyNumberFormat="1" applyFont="1" applyFill="1" applyBorder="1" applyAlignment="1">
      <alignment horizontal="center" vertical="center"/>
    </xf>
    <xf numFmtId="242" fontId="66" fillId="5" borderId="0" xfId="3" applyNumberFormat="1" applyFont="1" applyFill="1" applyBorder="1" applyAlignment="1">
      <alignment horizontal="center" vertical="center"/>
    </xf>
    <xf numFmtId="176" fontId="66" fillId="5" borderId="0" xfId="3" applyNumberFormat="1" applyFont="1" applyFill="1" applyBorder="1" applyAlignment="1">
      <alignment horizontal="center" vertical="center"/>
    </xf>
    <xf numFmtId="192" fontId="66" fillId="5" borderId="46" xfId="0" applyNumberFormat="1" applyFont="1" applyFill="1" applyBorder="1" applyAlignment="1">
      <alignment horizontal="center" vertical="center"/>
    </xf>
    <xf numFmtId="186" fontId="66" fillId="5" borderId="225" xfId="0" applyNumberFormat="1" applyFont="1" applyFill="1" applyBorder="1" applyAlignment="1">
      <alignment horizontal="center" vertical="center"/>
    </xf>
    <xf numFmtId="242" fontId="66" fillId="16" borderId="0" xfId="3" applyNumberFormat="1" applyFont="1" applyFill="1" applyBorder="1" applyAlignment="1">
      <alignment horizontal="center" vertical="center"/>
    </xf>
    <xf numFmtId="176" fontId="66" fillId="16" borderId="0" xfId="3" applyNumberFormat="1" applyFont="1" applyFill="1" applyBorder="1" applyAlignment="1">
      <alignment horizontal="center" vertical="center"/>
    </xf>
    <xf numFmtId="0" fontId="66" fillId="5" borderId="611" xfId="0" applyFont="1" applyFill="1" applyBorder="1" applyAlignment="1">
      <alignment horizontal="left" vertical="center"/>
    </xf>
    <xf numFmtId="38" fontId="66" fillId="5" borderId="672" xfId="0" applyNumberFormat="1" applyFont="1" applyFill="1" applyBorder="1" applyAlignment="1">
      <alignment horizontal="center" vertical="center"/>
    </xf>
    <xf numFmtId="38" fontId="66" fillId="5" borderId="611" xfId="0" applyNumberFormat="1" applyFont="1" applyFill="1" applyBorder="1" applyAlignment="1">
      <alignment horizontal="center" vertical="center"/>
    </xf>
    <xf numFmtId="38" fontId="66" fillId="5" borderId="1190" xfId="0" applyNumberFormat="1" applyFont="1" applyFill="1" applyBorder="1" applyAlignment="1">
      <alignment horizontal="center" vertical="center"/>
    </xf>
    <xf numFmtId="38" fontId="66" fillId="5" borderId="611" xfId="2" applyNumberFormat="1" applyFont="1" applyFill="1" applyBorder="1" applyAlignment="1">
      <alignment horizontal="center" vertical="center"/>
    </xf>
    <xf numFmtId="186" fontId="66" fillId="5" borderId="612" xfId="3" applyNumberFormat="1" applyFont="1" applyFill="1" applyBorder="1" applyAlignment="1">
      <alignment horizontal="center" vertical="center"/>
    </xf>
    <xf numFmtId="186" fontId="66" fillId="5" borderId="611" xfId="3" applyNumberFormat="1" applyFont="1" applyFill="1" applyBorder="1" applyAlignment="1">
      <alignment horizontal="center" vertical="center"/>
    </xf>
    <xf numFmtId="192" fontId="66" fillId="5" borderId="614" xfId="0" applyNumberFormat="1" applyFont="1" applyFill="1" applyBorder="1" applyAlignment="1">
      <alignment horizontal="center" vertical="center"/>
    </xf>
    <xf numFmtId="242" fontId="66" fillId="16" borderId="611" xfId="3" applyNumberFormat="1" applyFont="1" applyFill="1" applyBorder="1" applyAlignment="1">
      <alignment horizontal="center" vertical="center"/>
    </xf>
    <xf numFmtId="176" fontId="66" fillId="16" borderId="611" xfId="3" applyNumberFormat="1" applyFont="1" applyFill="1" applyBorder="1" applyAlignment="1">
      <alignment horizontal="center" vertical="center"/>
    </xf>
    <xf numFmtId="176" fontId="66" fillId="5" borderId="611" xfId="3" applyNumberFormat="1" applyFont="1" applyFill="1" applyBorder="1" applyAlignment="1">
      <alignment horizontal="center" vertical="center"/>
    </xf>
    <xf numFmtId="192" fontId="66" fillId="5" borderId="612" xfId="0" applyNumberFormat="1" applyFont="1" applyFill="1" applyBorder="1" applyAlignment="1">
      <alignment horizontal="center" vertical="center"/>
    </xf>
    <xf numFmtId="186" fontId="66" fillId="5" borderId="610" xfId="0" applyNumberFormat="1" applyFont="1" applyFill="1" applyBorder="1" applyAlignment="1">
      <alignment horizontal="center" vertical="center"/>
    </xf>
    <xf numFmtId="0" fontId="66" fillId="5" borderId="6" xfId="0" applyFont="1" applyFill="1" applyBorder="1" applyAlignment="1">
      <alignment horizontal="left" vertical="center"/>
    </xf>
    <xf numFmtId="38" fontId="66" fillId="5" borderId="507" xfId="0" applyNumberFormat="1" applyFont="1" applyFill="1" applyBorder="1" applyAlignment="1">
      <alignment horizontal="center" vertical="center"/>
    </xf>
    <xf numFmtId="38" fontId="66" fillId="5" borderId="6" xfId="0" applyNumberFormat="1" applyFont="1" applyFill="1" applyBorder="1" applyAlignment="1">
      <alignment horizontal="center" vertical="center"/>
    </xf>
    <xf numFmtId="38" fontId="66" fillId="5" borderId="456" xfId="0" applyNumberFormat="1" applyFont="1" applyFill="1" applyBorder="1" applyAlignment="1">
      <alignment horizontal="center" vertical="center"/>
    </xf>
    <xf numFmtId="38" fontId="66" fillId="5" borderId="6" xfId="2" applyNumberFormat="1" applyFont="1" applyFill="1" applyBorder="1" applyAlignment="1">
      <alignment horizontal="center" vertical="center"/>
    </xf>
    <xf numFmtId="186" fontId="66" fillId="5" borderId="43" xfId="3" applyNumberFormat="1" applyFont="1" applyFill="1" applyBorder="1" applyAlignment="1">
      <alignment horizontal="center" vertical="center"/>
    </xf>
    <xf numFmtId="186" fontId="66" fillId="5" borderId="6" xfId="3" applyNumberFormat="1" applyFont="1" applyFill="1" applyBorder="1" applyAlignment="1">
      <alignment horizontal="center" vertical="center"/>
    </xf>
    <xf numFmtId="192" fontId="66" fillId="5" borderId="3" xfId="0" applyNumberFormat="1" applyFont="1" applyFill="1" applyBorder="1" applyAlignment="1">
      <alignment horizontal="center" vertical="center"/>
    </xf>
    <xf numFmtId="242" fontId="66" fillId="16" borderId="6" xfId="3" applyNumberFormat="1" applyFont="1" applyFill="1" applyBorder="1" applyAlignment="1">
      <alignment horizontal="center" vertical="center"/>
    </xf>
    <xf numFmtId="176" fontId="66" fillId="16" borderId="6" xfId="3" applyNumberFormat="1" applyFont="1" applyFill="1" applyBorder="1" applyAlignment="1">
      <alignment horizontal="center" vertical="center"/>
    </xf>
    <xf numFmtId="176" fontId="66" fillId="5" borderId="6" xfId="3" applyNumberFormat="1" applyFont="1" applyFill="1" applyBorder="1" applyAlignment="1">
      <alignment horizontal="center" vertical="center"/>
    </xf>
    <xf numFmtId="192" fontId="66" fillId="5" borderId="43" xfId="0" applyNumberFormat="1" applyFont="1" applyFill="1" applyBorder="1" applyAlignment="1">
      <alignment horizontal="center" vertical="center"/>
    </xf>
    <xf numFmtId="186" fontId="66" fillId="5" borderId="230" xfId="0" applyNumberFormat="1" applyFont="1" applyFill="1" applyBorder="1" applyAlignment="1">
      <alignment horizontal="center" vertical="center"/>
    </xf>
    <xf numFmtId="192" fontId="66" fillId="5" borderId="0" xfId="0" applyNumberFormat="1" applyFont="1" applyFill="1" applyAlignment="1">
      <alignment horizontal="center" vertical="center"/>
    </xf>
    <xf numFmtId="203" fontId="66" fillId="5" borderId="0" xfId="2" applyNumberFormat="1" applyFont="1" applyFill="1" applyBorder="1" applyAlignment="1">
      <alignment horizontal="center" vertical="center"/>
    </xf>
    <xf numFmtId="202" fontId="66" fillId="5" borderId="0" xfId="2" applyNumberFormat="1" applyFont="1" applyFill="1" applyBorder="1" applyAlignment="1">
      <alignment horizontal="center" vertical="center"/>
    </xf>
    <xf numFmtId="0" fontId="74" fillId="4" borderId="863" xfId="0" quotePrefix="1" applyFont="1" applyFill="1" applyBorder="1" applyAlignment="1">
      <alignment horizontal="center" vertical="center"/>
    </xf>
    <xf numFmtId="0" fontId="67" fillId="4" borderId="1192" xfId="0" quotePrefix="1" applyFont="1" applyFill="1" applyBorder="1" applyAlignment="1">
      <alignment horizontal="center" vertical="center"/>
    </xf>
    <xf numFmtId="203" fontId="67" fillId="4" borderId="643" xfId="2" quotePrefix="1" applyNumberFormat="1" applyFont="1" applyFill="1" applyBorder="1" applyAlignment="1">
      <alignment horizontal="center" vertical="center"/>
    </xf>
    <xf numFmtId="202" fontId="67" fillId="4" borderId="643" xfId="2" quotePrefix="1" applyNumberFormat="1" applyFont="1" applyFill="1" applyBorder="1" applyAlignment="1">
      <alignment horizontal="center" vertical="center"/>
    </xf>
    <xf numFmtId="0" fontId="67" fillId="14" borderId="668" xfId="0" quotePrefix="1" applyFont="1" applyFill="1" applyBorder="1" applyAlignment="1">
      <alignment horizontal="center" vertical="center"/>
    </xf>
    <xf numFmtId="0" fontId="67" fillId="14" borderId="1194" xfId="0" quotePrefix="1" applyFont="1" applyFill="1" applyBorder="1" applyAlignment="1">
      <alignment horizontal="center" vertical="center"/>
    </xf>
    <xf numFmtId="41" fontId="66" fillId="8" borderId="644" xfId="2" applyFont="1" applyFill="1" applyBorder="1" applyAlignment="1">
      <alignment horizontal="center" vertical="center"/>
    </xf>
    <xf numFmtId="192" fontId="66" fillId="8" borderId="674" xfId="0" applyNumberFormat="1" applyFont="1" applyFill="1" applyBorder="1" applyAlignment="1">
      <alignment horizontal="center" vertical="center"/>
    </xf>
    <xf numFmtId="192" fontId="66" fillId="8" borderId="644" xfId="0" applyNumberFormat="1" applyFont="1" applyFill="1" applyBorder="1" applyAlignment="1">
      <alignment horizontal="center" vertical="center"/>
    </xf>
    <xf numFmtId="192" fontId="66" fillId="8" borderId="1179" xfId="0" applyNumberFormat="1" applyFont="1" applyFill="1" applyBorder="1" applyAlignment="1">
      <alignment horizontal="center" vertical="center"/>
    </xf>
    <xf numFmtId="203" fontId="66" fillId="8" borderId="644" xfId="2" applyNumberFormat="1" applyFont="1" applyFill="1" applyBorder="1" applyAlignment="1">
      <alignment horizontal="center" vertical="center"/>
    </xf>
    <xf numFmtId="202" fontId="66" fillId="8" borderId="644" xfId="2" applyNumberFormat="1" applyFont="1" applyFill="1" applyBorder="1" applyAlignment="1">
      <alignment horizontal="center" vertical="center"/>
    </xf>
    <xf numFmtId="186" fontId="66" fillId="8" borderId="859" xfId="3" applyNumberFormat="1" applyFont="1" applyFill="1" applyBorder="1" applyAlignment="1">
      <alignment horizontal="center" vertical="center"/>
    </xf>
    <xf numFmtId="186" fontId="66" fillId="8" borderId="645" xfId="3" applyNumberFormat="1" applyFont="1" applyFill="1" applyBorder="1" applyAlignment="1">
      <alignment horizontal="center" vertical="center"/>
    </xf>
    <xf numFmtId="41" fontId="66" fillId="8" borderId="518" xfId="2" applyFont="1" applyFill="1" applyBorder="1" applyAlignment="1">
      <alignment horizontal="center" vertical="center"/>
    </xf>
    <xf numFmtId="192" fontId="66" fillId="8" borderId="485" xfId="0" applyNumberFormat="1" applyFont="1" applyFill="1" applyBorder="1" applyAlignment="1">
      <alignment horizontal="center" vertical="center"/>
    </xf>
    <xf numFmtId="192" fontId="66" fillId="8" borderId="0" xfId="0" applyNumberFormat="1" applyFont="1" applyFill="1" applyBorder="1" applyAlignment="1">
      <alignment horizontal="center" vertical="center"/>
    </xf>
    <xf numFmtId="192" fontId="66" fillId="8" borderId="458" xfId="0" applyNumberFormat="1" applyFont="1" applyFill="1" applyBorder="1" applyAlignment="1">
      <alignment horizontal="center" vertical="center"/>
    </xf>
    <xf numFmtId="203" fontId="66" fillId="8" borderId="0" xfId="2" applyNumberFormat="1" applyFont="1" applyFill="1" applyBorder="1" applyAlignment="1">
      <alignment horizontal="center" vertical="center"/>
    </xf>
    <xf numFmtId="202" fontId="66" fillId="8" borderId="0" xfId="2" applyNumberFormat="1" applyFont="1" applyFill="1" applyBorder="1" applyAlignment="1">
      <alignment horizontal="center" vertical="center"/>
    </xf>
    <xf numFmtId="186" fontId="66" fillId="8" borderId="46" xfId="3" applyNumberFormat="1" applyFont="1" applyFill="1" applyBorder="1" applyAlignment="1">
      <alignment horizontal="center" vertical="center"/>
    </xf>
    <xf numFmtId="186" fontId="66" fillId="8" borderId="646" xfId="3" applyNumberFormat="1" applyFont="1" applyFill="1" applyBorder="1" applyAlignment="1">
      <alignment horizontal="center" vertical="center"/>
    </xf>
    <xf numFmtId="41" fontId="66" fillId="8" borderId="0" xfId="2" applyFont="1" applyFill="1" applyBorder="1" applyAlignment="1">
      <alignment horizontal="center" vertical="center"/>
    </xf>
    <xf numFmtId="192" fontId="66" fillId="8" borderId="647" xfId="0" applyNumberFormat="1" applyFont="1" applyFill="1" applyBorder="1" applyAlignment="1">
      <alignment horizontal="center" vertical="center"/>
    </xf>
    <xf numFmtId="192" fontId="66" fillId="8" borderId="518" xfId="0" applyNumberFormat="1" applyFont="1" applyFill="1" applyBorder="1" applyAlignment="1">
      <alignment horizontal="center" vertical="center"/>
    </xf>
    <xf numFmtId="192" fontId="66" fillId="8" borderId="1193" xfId="0" applyNumberFormat="1" applyFont="1" applyFill="1" applyBorder="1" applyAlignment="1">
      <alignment horizontal="center" vertical="center"/>
    </xf>
    <xf numFmtId="203" fontId="66" fillId="8" borderId="518" xfId="2" applyNumberFormat="1" applyFont="1" applyFill="1" applyBorder="1" applyAlignment="1">
      <alignment horizontal="center" vertical="center"/>
    </xf>
    <xf numFmtId="202" fontId="66" fillId="8" borderId="518" xfId="2" applyNumberFormat="1" applyFont="1" applyFill="1" applyBorder="1" applyAlignment="1">
      <alignment horizontal="center" vertical="center"/>
    </xf>
    <xf numFmtId="186" fontId="66" fillId="8" borderId="608" xfId="3" applyNumberFormat="1" applyFont="1" applyFill="1" applyBorder="1" applyAlignment="1">
      <alignment horizontal="center" vertical="center"/>
    </xf>
    <xf numFmtId="186" fontId="66" fillId="8" borderId="860" xfId="3" applyNumberFormat="1" applyFont="1" applyFill="1" applyBorder="1" applyAlignment="1">
      <alignment horizontal="center" vertical="center"/>
    </xf>
    <xf numFmtId="41" fontId="66" fillId="5" borderId="0" xfId="2" applyFont="1" applyFill="1" applyBorder="1" applyAlignment="1">
      <alignment horizontal="center" vertical="center"/>
    </xf>
    <xf numFmtId="192" fontId="66" fillId="5" borderId="485" xfId="0" applyNumberFormat="1" applyFont="1" applyFill="1" applyBorder="1" applyAlignment="1">
      <alignment horizontal="center" vertical="center"/>
    </xf>
    <xf numFmtId="192" fontId="66" fillId="5" borderId="0" xfId="0" applyNumberFormat="1" applyFont="1" applyFill="1" applyBorder="1" applyAlignment="1">
      <alignment horizontal="center" vertical="center"/>
    </xf>
    <xf numFmtId="192" fontId="66" fillId="5" borderId="458" xfId="0" applyNumberFormat="1" applyFont="1" applyFill="1" applyBorder="1" applyAlignment="1">
      <alignment horizontal="center" vertical="center"/>
    </xf>
    <xf numFmtId="186" fontId="66" fillId="5" borderId="646" xfId="3" applyNumberFormat="1" applyFont="1" applyFill="1" applyBorder="1" applyAlignment="1">
      <alignment horizontal="center" vertical="center"/>
    </xf>
    <xf numFmtId="41" fontId="66" fillId="5" borderId="518" xfId="2" applyFont="1" applyFill="1" applyBorder="1" applyAlignment="1">
      <alignment horizontal="center" vertical="center"/>
    </xf>
    <xf numFmtId="192" fontId="66" fillId="5" borderId="647" xfId="0" applyNumberFormat="1" applyFont="1" applyFill="1" applyBorder="1" applyAlignment="1">
      <alignment horizontal="center" vertical="center"/>
    </xf>
    <xf numFmtId="192" fontId="66" fillId="5" borderId="518" xfId="0" applyNumberFormat="1" applyFont="1" applyFill="1" applyBorder="1" applyAlignment="1">
      <alignment horizontal="center" vertical="center"/>
    </xf>
    <xf numFmtId="192" fontId="66" fillId="5" borderId="1193" xfId="0" applyNumberFormat="1" applyFont="1" applyFill="1" applyBorder="1" applyAlignment="1">
      <alignment horizontal="center" vertical="center"/>
    </xf>
    <xf numFmtId="203" fontId="66" fillId="5" borderId="518" xfId="2" applyNumberFormat="1" applyFont="1" applyFill="1" applyBorder="1" applyAlignment="1">
      <alignment horizontal="center" vertical="center"/>
    </xf>
    <xf numFmtId="202" fontId="66" fillId="5" borderId="518" xfId="2" applyNumberFormat="1" applyFont="1" applyFill="1" applyBorder="1" applyAlignment="1">
      <alignment horizontal="center" vertical="center"/>
    </xf>
    <xf numFmtId="186" fontId="66" fillId="5" borderId="608" xfId="3" applyNumberFormat="1" applyFont="1" applyFill="1" applyBorder="1" applyAlignment="1">
      <alignment horizontal="center" vertical="center"/>
    </xf>
    <xf numFmtId="186" fontId="66" fillId="5" borderId="860" xfId="3" applyNumberFormat="1" applyFont="1" applyFill="1" applyBorder="1" applyAlignment="1">
      <alignment horizontal="center" vertical="center"/>
    </xf>
    <xf numFmtId="41" fontId="86" fillId="5" borderId="0" xfId="2" applyFont="1" applyFill="1" applyBorder="1" applyAlignment="1">
      <alignment horizontal="center" vertical="center"/>
    </xf>
    <xf numFmtId="192" fontId="86" fillId="5" borderId="485" xfId="0" applyNumberFormat="1" applyFont="1" applyFill="1" applyBorder="1" applyAlignment="1">
      <alignment horizontal="center" vertical="center"/>
    </xf>
    <xf numFmtId="192" fontId="86" fillId="5" borderId="0" xfId="0" applyNumberFormat="1" applyFont="1" applyFill="1" applyBorder="1" applyAlignment="1">
      <alignment horizontal="center" vertical="center"/>
    </xf>
    <xf numFmtId="192" fontId="86" fillId="5" borderId="458" xfId="0" applyNumberFormat="1" applyFont="1" applyFill="1" applyBorder="1" applyAlignment="1">
      <alignment horizontal="center" vertical="center"/>
    </xf>
    <xf numFmtId="203" fontId="86" fillId="5" borderId="0" xfId="2" applyNumberFormat="1" applyFont="1" applyFill="1" applyBorder="1" applyAlignment="1">
      <alignment horizontal="center" vertical="center"/>
    </xf>
    <xf numFmtId="202" fontId="86" fillId="5" borderId="0" xfId="2" applyNumberFormat="1" applyFont="1" applyFill="1" applyBorder="1" applyAlignment="1">
      <alignment horizontal="center" vertical="center"/>
    </xf>
    <xf numFmtId="186" fontId="86" fillId="5" borderId="46" xfId="3" applyNumberFormat="1" applyFont="1" applyFill="1" applyBorder="1" applyAlignment="1">
      <alignment horizontal="center" vertical="center"/>
    </xf>
    <xf numFmtId="186" fontId="86" fillId="5" borderId="646" xfId="3" applyNumberFormat="1" applyFont="1" applyFill="1" applyBorder="1" applyAlignment="1">
      <alignment horizontal="center" vertical="center"/>
    </xf>
    <xf numFmtId="41" fontId="86" fillId="5" borderId="518" xfId="2" applyFont="1" applyFill="1" applyBorder="1" applyAlignment="1">
      <alignment horizontal="center" vertical="center"/>
    </xf>
    <xf numFmtId="192" fontId="86" fillId="5" borderId="647" xfId="0" applyNumberFormat="1" applyFont="1" applyFill="1" applyBorder="1" applyAlignment="1">
      <alignment horizontal="center" vertical="center"/>
    </xf>
    <xf numFmtId="192" fontId="86" fillId="5" borderId="518" xfId="0" applyNumberFormat="1" applyFont="1" applyFill="1" applyBorder="1" applyAlignment="1">
      <alignment horizontal="center" vertical="center"/>
    </xf>
    <xf numFmtId="192" fontId="86" fillId="5" borderId="1193" xfId="0" applyNumberFormat="1" applyFont="1" applyFill="1" applyBorder="1" applyAlignment="1">
      <alignment horizontal="center" vertical="center"/>
    </xf>
    <xf numFmtId="202" fontId="86" fillId="5" borderId="518" xfId="2" applyNumberFormat="1" applyFont="1" applyFill="1" applyBorder="1" applyAlignment="1">
      <alignment horizontal="center" vertical="center"/>
    </xf>
    <xf numFmtId="203" fontId="86" fillId="5" borderId="518" xfId="2" applyNumberFormat="1" applyFont="1" applyFill="1" applyBorder="1" applyAlignment="1">
      <alignment horizontal="center" vertical="center"/>
    </xf>
    <xf numFmtId="186" fontId="86" fillId="5" borderId="608" xfId="3" applyNumberFormat="1" applyFont="1" applyFill="1" applyBorder="1" applyAlignment="1">
      <alignment horizontal="center" vertical="center"/>
    </xf>
    <xf numFmtId="186" fontId="86" fillId="5" borderId="860" xfId="3" applyNumberFormat="1" applyFont="1" applyFill="1" applyBorder="1" applyAlignment="1">
      <alignment horizontal="center" vertical="center"/>
    </xf>
    <xf numFmtId="0" fontId="86" fillId="5" borderId="0" xfId="0" applyFont="1" applyFill="1" applyAlignment="1">
      <alignment horizontal="left" vertical="center"/>
    </xf>
    <xf numFmtId="203" fontId="86" fillId="5" borderId="0" xfId="0" applyNumberFormat="1" applyFont="1" applyFill="1" applyAlignment="1">
      <alignment horizontal="center" vertical="center"/>
    </xf>
    <xf numFmtId="202" fontId="86" fillId="5" borderId="0" xfId="0" applyNumberFormat="1" applyFont="1" applyFill="1" applyAlignment="1">
      <alignment horizontal="center" vertical="center"/>
    </xf>
    <xf numFmtId="0" fontId="86" fillId="5" borderId="0" xfId="0" applyFont="1" applyFill="1" applyAlignment="1">
      <alignment horizontal="center" vertical="center"/>
    </xf>
    <xf numFmtId="0" fontId="94" fillId="23" borderId="0" xfId="0" applyFont="1" applyFill="1" applyAlignment="1">
      <alignment horizontal="center" vertical="center"/>
    </xf>
    <xf numFmtId="0" fontId="95" fillId="5" borderId="0" xfId="0" applyFont="1" applyFill="1" applyAlignment="1">
      <alignment horizontal="left" vertical="center"/>
    </xf>
    <xf numFmtId="0" fontId="74" fillId="4" borderId="465" xfId="0" quotePrefix="1" applyFont="1" applyFill="1" applyBorder="1" applyAlignment="1">
      <alignment horizontal="center" vertical="center"/>
    </xf>
    <xf numFmtId="0" fontId="74" fillId="4" borderId="473" xfId="0" quotePrefix="1" applyFont="1" applyFill="1" applyBorder="1" applyAlignment="1">
      <alignment horizontal="center" vertical="center"/>
    </xf>
    <xf numFmtId="0" fontId="67" fillId="4" borderId="725" xfId="0" quotePrefix="1" applyFont="1" applyFill="1" applyBorder="1" applyAlignment="1">
      <alignment horizontal="center" vertical="center"/>
    </xf>
    <xf numFmtId="0" fontId="67" fillId="10" borderId="406" xfId="0" applyFont="1" applyFill="1" applyBorder="1" applyAlignment="1">
      <alignment horizontal="center" vertical="center"/>
    </xf>
    <xf numFmtId="0" fontId="66" fillId="0" borderId="709" xfId="0" applyFont="1" applyFill="1" applyBorder="1">
      <alignment vertical="center"/>
    </xf>
    <xf numFmtId="0" fontId="66" fillId="0" borderId="882" xfId="0" applyFont="1" applyFill="1" applyBorder="1">
      <alignment vertical="center"/>
    </xf>
    <xf numFmtId="202" fontId="66" fillId="0" borderId="709" xfId="2" applyNumberFormat="1" applyFont="1" applyFill="1" applyBorder="1" applyAlignment="1">
      <alignment horizontal="center" vertical="center"/>
    </xf>
    <xf numFmtId="202" fontId="66" fillId="0" borderId="765" xfId="2" applyNumberFormat="1" applyFont="1" applyFill="1" applyBorder="1" applyAlignment="1">
      <alignment horizontal="center" vertical="center"/>
    </xf>
    <xf numFmtId="202" fontId="66" fillId="0" borderId="1182" xfId="2" applyNumberFormat="1" applyFont="1" applyFill="1" applyBorder="1" applyAlignment="1">
      <alignment horizontal="center" vertical="center"/>
    </xf>
    <xf numFmtId="186" fontId="66" fillId="0" borderId="715" xfId="0" applyNumberFormat="1" applyFont="1" applyBorder="1" applyAlignment="1">
      <alignment horizontal="center" vertical="center"/>
    </xf>
    <xf numFmtId="186" fontId="66" fillId="0" borderId="712" xfId="0" applyNumberFormat="1" applyFont="1" applyBorder="1" applyAlignment="1">
      <alignment horizontal="center" vertical="center"/>
    </xf>
    <xf numFmtId="186" fontId="66" fillId="0" borderId="766" xfId="2" applyNumberFormat="1" applyFont="1" applyFill="1" applyBorder="1" applyAlignment="1">
      <alignment horizontal="center" vertical="center"/>
    </xf>
    <xf numFmtId="186" fontId="66" fillId="0" borderId="709" xfId="0" applyNumberFormat="1" applyFont="1" applyBorder="1" applyAlignment="1">
      <alignment horizontal="center" vertical="center"/>
    </xf>
    <xf numFmtId="186" fontId="66" fillId="0" borderId="715" xfId="2" applyNumberFormat="1" applyFont="1" applyFill="1" applyBorder="1" applyAlignment="1">
      <alignment horizontal="center" vertical="center"/>
    </xf>
    <xf numFmtId="186" fontId="66" fillId="0" borderId="883" xfId="0" applyNumberFormat="1" applyFont="1" applyBorder="1" applyAlignment="1">
      <alignment horizontal="center" vertical="center"/>
    </xf>
    <xf numFmtId="0" fontId="66" fillId="0" borderId="12" xfId="0" applyFont="1" applyFill="1" applyBorder="1">
      <alignment vertical="center"/>
    </xf>
    <xf numFmtId="202" fontId="66" fillId="0" borderId="0" xfId="2" applyNumberFormat="1" applyFont="1" applyFill="1" applyBorder="1" applyAlignment="1">
      <alignment horizontal="center" vertical="center"/>
    </xf>
    <xf numFmtId="202" fontId="66" fillId="0" borderId="406" xfId="2" applyNumberFormat="1" applyFont="1" applyFill="1" applyBorder="1" applyAlignment="1">
      <alignment horizontal="center" vertical="center"/>
    </xf>
    <xf numFmtId="202" fontId="66" fillId="0" borderId="458" xfId="2" applyNumberFormat="1" applyFont="1" applyFill="1" applyBorder="1" applyAlignment="1">
      <alignment horizontal="center" vertical="center"/>
    </xf>
    <xf numFmtId="186" fontId="66" fillId="0" borderId="2" xfId="2" applyNumberFormat="1" applyFont="1" applyFill="1" applyBorder="1" applyAlignment="1">
      <alignment horizontal="center" vertical="center"/>
    </xf>
    <xf numFmtId="186" fontId="66" fillId="0" borderId="46" xfId="2" applyNumberFormat="1" applyFont="1" applyFill="1" applyBorder="1" applyAlignment="1">
      <alignment horizontal="center" vertical="center"/>
    </xf>
    <xf numFmtId="186" fontId="66" fillId="0" borderId="239" xfId="0" applyNumberFormat="1" applyFont="1" applyBorder="1" applyAlignment="1">
      <alignment horizontal="center" vertical="center"/>
    </xf>
    <xf numFmtId="0" fontId="66" fillId="0" borderId="12" xfId="0" quotePrefix="1" applyFont="1" applyFill="1" applyBorder="1">
      <alignment vertical="center"/>
    </xf>
    <xf numFmtId="0" fontId="66" fillId="0" borderId="126" xfId="0" applyFont="1" applyFill="1" applyBorder="1">
      <alignment vertical="center"/>
    </xf>
    <xf numFmtId="0" fontId="66" fillId="0" borderId="127" xfId="0" applyFont="1" applyFill="1" applyBorder="1">
      <alignment vertical="center"/>
    </xf>
    <xf numFmtId="202" fontId="66" fillId="0" borderId="126" xfId="2" applyNumberFormat="1" applyFont="1" applyFill="1" applyBorder="1" applyAlignment="1">
      <alignment horizontal="center" vertical="center"/>
    </xf>
    <xf numFmtId="202" fontId="66" fillId="0" borderId="655" xfId="2" applyNumberFormat="1" applyFont="1" applyFill="1" applyBorder="1" applyAlignment="1">
      <alignment horizontal="center" vertical="center"/>
    </xf>
    <xf numFmtId="202" fontId="66" fillId="0" borderId="1183" xfId="2" applyNumberFormat="1" applyFont="1" applyFill="1" applyBorder="1" applyAlignment="1">
      <alignment horizontal="center" vertical="center"/>
    </xf>
    <xf numFmtId="186" fontId="66" fillId="0" borderId="130" xfId="0" applyNumberFormat="1" applyFont="1" applyBorder="1" applyAlignment="1">
      <alignment horizontal="center" vertical="center"/>
    </xf>
    <xf numFmtId="186" fontId="66" fillId="0" borderId="131" xfId="0" applyNumberFormat="1" applyFont="1" applyBorder="1" applyAlignment="1">
      <alignment horizontal="center" vertical="center"/>
    </xf>
    <xf numFmtId="186" fontId="66" fillId="0" borderId="129" xfId="2" applyNumberFormat="1" applyFont="1" applyFill="1" applyBorder="1" applyAlignment="1">
      <alignment horizontal="center" vertical="center"/>
    </xf>
    <xf numFmtId="186" fontId="66" fillId="29" borderId="126" xfId="2" applyNumberFormat="1" applyFont="1" applyFill="1" applyBorder="1" applyAlignment="1">
      <alignment horizontal="center" vertical="center"/>
    </xf>
    <xf numFmtId="186" fontId="66" fillId="0" borderId="126" xfId="0" applyNumberFormat="1" applyFont="1" applyBorder="1" applyAlignment="1">
      <alignment horizontal="center" vertical="center"/>
    </xf>
    <xf numFmtId="186" fontId="66" fillId="0" borderId="130" xfId="2" applyNumberFormat="1" applyFont="1" applyFill="1" applyBorder="1" applyAlignment="1">
      <alignment horizontal="center" vertical="center"/>
    </xf>
    <xf numFmtId="186" fontId="66" fillId="0" borderId="240" xfId="0" applyNumberFormat="1" applyFont="1" applyBorder="1" applyAlignment="1">
      <alignment horizontal="center" vertical="center"/>
    </xf>
    <xf numFmtId="186" fontId="66" fillId="29" borderId="0" xfId="2" applyNumberFormat="1" applyFont="1" applyFill="1" applyBorder="1" applyAlignment="1">
      <alignment horizontal="center" vertical="center"/>
    </xf>
    <xf numFmtId="186" fontId="66" fillId="0" borderId="0" xfId="2" applyNumberFormat="1" applyFont="1" applyFill="1" applyBorder="1" applyAlignment="1">
      <alignment horizontal="center" vertical="center"/>
    </xf>
    <xf numFmtId="186" fontId="66" fillId="0" borderId="0" xfId="3" applyNumberFormat="1" applyFont="1" applyFill="1" applyBorder="1" applyAlignment="1">
      <alignment horizontal="center" vertical="center"/>
    </xf>
    <xf numFmtId="0" fontId="66" fillId="0" borderId="119" xfId="0" applyFont="1" applyFill="1" applyBorder="1">
      <alignment vertical="center"/>
    </xf>
    <xf numFmtId="0" fontId="66" fillId="0" borderId="120" xfId="0" applyFont="1" applyFill="1" applyBorder="1">
      <alignment vertical="center"/>
    </xf>
    <xf numFmtId="202" fontId="66" fillId="0" borderId="119" xfId="2" applyNumberFormat="1" applyFont="1" applyFill="1" applyBorder="1" applyAlignment="1">
      <alignment horizontal="center" vertical="center"/>
    </xf>
    <xf numFmtId="202" fontId="66" fillId="0" borderId="656" xfId="2" applyNumberFormat="1" applyFont="1" applyFill="1" applyBorder="1" applyAlignment="1">
      <alignment horizontal="center" vertical="center"/>
    </xf>
    <xf numFmtId="202" fontId="66" fillId="0" borderId="1184" xfId="2" applyNumberFormat="1" applyFont="1" applyFill="1" applyBorder="1" applyAlignment="1">
      <alignment horizontal="center" vertical="center"/>
    </xf>
    <xf numFmtId="186" fontId="66" fillId="0" borderId="123" xfId="0" applyNumberFormat="1" applyFont="1" applyBorder="1" applyAlignment="1">
      <alignment horizontal="center" vertical="center"/>
    </xf>
    <xf numFmtId="186" fontId="66" fillId="0" borderId="124" xfId="0" applyNumberFormat="1" applyFont="1" applyBorder="1" applyAlignment="1">
      <alignment horizontal="center" vertical="center"/>
    </xf>
    <xf numFmtId="186" fontId="66" fillId="0" borderId="122" xfId="2" applyNumberFormat="1" applyFont="1" applyFill="1" applyBorder="1" applyAlignment="1">
      <alignment horizontal="center" vertical="center"/>
    </xf>
    <xf numFmtId="186" fontId="66" fillId="0" borderId="119" xfId="2" applyNumberFormat="1" applyFont="1" applyFill="1" applyBorder="1" applyAlignment="1">
      <alignment horizontal="center" vertical="center"/>
    </xf>
    <xf numFmtId="186" fontId="66" fillId="0" borderId="119" xfId="0" applyNumberFormat="1" applyFont="1" applyBorder="1" applyAlignment="1">
      <alignment horizontal="center" vertical="center"/>
    </xf>
    <xf numFmtId="186" fontId="66" fillId="0" borderId="123" xfId="2" applyNumberFormat="1" applyFont="1" applyFill="1" applyBorder="1" applyAlignment="1">
      <alignment horizontal="center" vertical="center"/>
    </xf>
    <xf numFmtId="186" fontId="66" fillId="0" borderId="242" xfId="0" applyNumberFormat="1" applyFont="1" applyBorder="1" applyAlignment="1">
      <alignment horizontal="center" vertical="center"/>
    </xf>
    <xf numFmtId="0" fontId="66" fillId="0" borderId="0" xfId="0" applyFont="1" applyFill="1" applyBorder="1" applyAlignment="1">
      <alignment vertical="center" wrapText="1"/>
    </xf>
    <xf numFmtId="186" fontId="66" fillId="0" borderId="47" xfId="0" applyNumberFormat="1" applyFont="1" applyBorder="1" applyAlignment="1">
      <alignment horizontal="center" vertical="center"/>
    </xf>
    <xf numFmtId="0" fontId="66" fillId="2" borderId="76" xfId="0" applyFont="1" applyFill="1" applyBorder="1">
      <alignment vertical="center"/>
    </xf>
    <xf numFmtId="0" fontId="66" fillId="2" borderId="80" xfId="0" applyFont="1" applyFill="1" applyBorder="1">
      <alignment vertical="center"/>
    </xf>
    <xf numFmtId="202" fontId="66" fillId="2" borderId="76" xfId="2" applyNumberFormat="1" applyFont="1" applyFill="1" applyBorder="1" applyAlignment="1">
      <alignment horizontal="center" vertical="center"/>
    </xf>
    <xf numFmtId="202" fontId="66" fillId="2" borderId="657" xfId="2" applyNumberFormat="1" applyFont="1" applyFill="1" applyBorder="1" applyAlignment="1">
      <alignment horizontal="center" vertical="center"/>
    </xf>
    <xf numFmtId="202" fontId="66" fillId="2" borderId="469" xfId="2" applyNumberFormat="1" applyFont="1" applyFill="1" applyBorder="1" applyAlignment="1">
      <alignment horizontal="center" vertical="center"/>
    </xf>
    <xf numFmtId="186" fontId="66" fillId="2" borderId="648" xfId="0" applyNumberFormat="1" applyFont="1" applyFill="1" applyBorder="1" applyAlignment="1">
      <alignment horizontal="center" vertical="center"/>
    </xf>
    <xf numFmtId="186" fontId="66" fillId="2" borderId="125" xfId="0" applyNumberFormat="1" applyFont="1" applyFill="1" applyBorder="1" applyAlignment="1">
      <alignment horizontal="center" vertical="center"/>
    </xf>
    <xf numFmtId="186" fontId="66" fillId="2" borderId="76" xfId="0" applyNumberFormat="1" applyFont="1" applyFill="1" applyBorder="1" applyAlignment="1">
      <alignment horizontal="center" vertical="center"/>
    </xf>
    <xf numFmtId="186" fontId="66" fillId="2" borderId="79" xfId="2" applyNumberFormat="1" applyFont="1" applyFill="1" applyBorder="1" applyAlignment="1">
      <alignment horizontal="center" vertical="center"/>
    </xf>
    <xf numFmtId="186" fontId="66" fillId="2" borderId="244" xfId="0" applyNumberFormat="1" applyFont="1" applyFill="1" applyBorder="1" applyAlignment="1">
      <alignment horizontal="center" vertical="center"/>
    </xf>
    <xf numFmtId="0" fontId="66" fillId="2" borderId="12" xfId="0" applyFont="1" applyFill="1" applyBorder="1">
      <alignment vertical="center"/>
    </xf>
    <xf numFmtId="202" fontId="66" fillId="2" borderId="0" xfId="2" applyNumberFormat="1" applyFont="1" applyFill="1" applyBorder="1" applyAlignment="1">
      <alignment horizontal="center" vertical="center"/>
    </xf>
    <xf numFmtId="202" fontId="66" fillId="2" borderId="406" xfId="2" applyNumberFormat="1" applyFont="1" applyFill="1" applyBorder="1" applyAlignment="1">
      <alignment horizontal="center" vertical="center"/>
    </xf>
    <xf numFmtId="202" fontId="66" fillId="2" borderId="458" xfId="2" applyNumberFormat="1" applyFont="1" applyFill="1" applyBorder="1" applyAlignment="1">
      <alignment horizontal="center" vertical="center"/>
    </xf>
    <xf numFmtId="186" fontId="66" fillId="2" borderId="46" xfId="0" applyNumberFormat="1" applyFont="1" applyFill="1" applyBorder="1" applyAlignment="1">
      <alignment horizontal="center" vertical="center"/>
    </xf>
    <xf numFmtId="186" fontId="66" fillId="2" borderId="86" xfId="0" applyNumberFormat="1" applyFont="1" applyFill="1" applyBorder="1" applyAlignment="1">
      <alignment horizontal="center" vertical="center"/>
    </xf>
    <xf numFmtId="186" fontId="66" fillId="2" borderId="2" xfId="2" applyNumberFormat="1" applyFont="1" applyFill="1" applyBorder="1" applyAlignment="1">
      <alignment horizontal="center" vertical="center"/>
    </xf>
    <xf numFmtId="186" fontId="66" fillId="2" borderId="0" xfId="0" applyNumberFormat="1" applyFont="1" applyFill="1" applyAlignment="1">
      <alignment horizontal="center" vertical="center"/>
    </xf>
    <xf numFmtId="186" fontId="66" fillId="2" borderId="46" xfId="2" applyNumberFormat="1" applyFont="1" applyFill="1" applyBorder="1" applyAlignment="1">
      <alignment horizontal="center" vertical="center"/>
    </xf>
    <xf numFmtId="186" fontId="66" fillId="2" borderId="239" xfId="0" applyNumberFormat="1" applyFont="1" applyFill="1" applyBorder="1" applyAlignment="1">
      <alignment horizontal="center" vertical="center"/>
    </xf>
    <xf numFmtId="0" fontId="66" fillId="0" borderId="76" xfId="0" applyFont="1" applyFill="1" applyBorder="1">
      <alignment vertical="center"/>
    </xf>
    <xf numFmtId="0" fontId="66" fillId="0" borderId="80" xfId="0" applyFont="1" applyFill="1" applyBorder="1">
      <alignment vertical="center"/>
    </xf>
    <xf numFmtId="202" fontId="66" fillId="0" borderId="76" xfId="2" applyNumberFormat="1" applyFont="1" applyFill="1" applyBorder="1" applyAlignment="1">
      <alignment horizontal="center" vertical="center"/>
    </xf>
    <xf numFmtId="202" fontId="66" fillId="0" borderId="657" xfId="2" applyNumberFormat="1" applyFont="1" applyFill="1" applyBorder="1" applyAlignment="1">
      <alignment horizontal="center" vertical="center"/>
    </xf>
    <xf numFmtId="202" fontId="66" fillId="0" borderId="469" xfId="2" applyNumberFormat="1" applyFont="1" applyFill="1" applyBorder="1" applyAlignment="1">
      <alignment horizontal="center" vertical="center"/>
    </xf>
    <xf numFmtId="186" fontId="66" fillId="0" borderId="648" xfId="0" applyNumberFormat="1" applyFont="1" applyBorder="1" applyAlignment="1">
      <alignment horizontal="center" vertical="center"/>
    </xf>
    <xf numFmtId="186" fontId="66" fillId="0" borderId="125" xfId="0" applyNumberFormat="1" applyFont="1" applyBorder="1" applyAlignment="1">
      <alignment horizontal="center" vertical="center"/>
    </xf>
    <xf numFmtId="186" fontId="66" fillId="0" borderId="76" xfId="0" applyNumberFormat="1" applyFont="1" applyBorder="1" applyAlignment="1">
      <alignment horizontal="center" vertical="center"/>
    </xf>
    <xf numFmtId="186" fontId="66" fillId="0" borderId="79" xfId="2" applyNumberFormat="1" applyFont="1" applyFill="1" applyBorder="1" applyAlignment="1">
      <alignment horizontal="center" vertical="center"/>
    </xf>
    <xf numFmtId="186" fontId="66" fillId="0" borderId="244" xfId="0" applyNumberFormat="1" applyFont="1" applyBorder="1" applyAlignment="1">
      <alignment horizontal="center" vertical="center"/>
    </xf>
    <xf numFmtId="0" fontId="66" fillId="2" borderId="126" xfId="0" applyFont="1" applyFill="1" applyBorder="1">
      <alignment vertical="center"/>
    </xf>
    <xf numFmtId="0" fontId="66" fillId="2" borderId="127" xfId="0" applyFont="1" applyFill="1" applyBorder="1">
      <alignment vertical="center"/>
    </xf>
    <xf numFmtId="202" fontId="66" fillId="2" borderId="126" xfId="2" applyNumberFormat="1" applyFont="1" applyFill="1" applyBorder="1" applyAlignment="1">
      <alignment horizontal="center" vertical="center"/>
    </xf>
    <xf numFmtId="202" fontId="66" fillId="2" borderId="655" xfId="2" applyNumberFormat="1" applyFont="1" applyFill="1" applyBorder="1" applyAlignment="1">
      <alignment horizontal="center" vertical="center"/>
    </xf>
    <xf numFmtId="202" fontId="66" fillId="2" borderId="1183" xfId="2" applyNumberFormat="1" applyFont="1" applyFill="1" applyBorder="1" applyAlignment="1">
      <alignment horizontal="center" vertical="center"/>
    </xf>
    <xf numFmtId="186" fontId="66" fillId="2" borderId="130" xfId="0" applyNumberFormat="1" applyFont="1" applyFill="1" applyBorder="1" applyAlignment="1">
      <alignment horizontal="center" vertical="center"/>
    </xf>
    <xf numFmtId="186" fontId="66" fillId="2" borderId="131" xfId="0" applyNumberFormat="1" applyFont="1" applyFill="1" applyBorder="1" applyAlignment="1">
      <alignment horizontal="center" vertical="center"/>
    </xf>
    <xf numFmtId="186" fontId="66" fillId="2" borderId="129" xfId="2" applyNumberFormat="1" applyFont="1" applyFill="1" applyBorder="1" applyAlignment="1">
      <alignment horizontal="center" vertical="center"/>
    </xf>
    <xf numFmtId="186" fontId="66" fillId="2" borderId="126" xfId="0" applyNumberFormat="1" applyFont="1" applyFill="1" applyBorder="1" applyAlignment="1">
      <alignment horizontal="center" vertical="center"/>
    </xf>
    <xf numFmtId="186" fontId="66" fillId="2" borderId="130" xfId="2" applyNumberFormat="1" applyFont="1" applyFill="1" applyBorder="1" applyAlignment="1">
      <alignment horizontal="center" vertical="center"/>
    </xf>
    <xf numFmtId="186" fontId="66" fillId="2" borderId="240" xfId="0" applyNumberFormat="1" applyFont="1" applyFill="1" applyBorder="1" applyAlignment="1">
      <alignment horizontal="center" vertical="center"/>
    </xf>
    <xf numFmtId="0" fontId="66" fillId="2" borderId="132" xfId="0" applyFont="1" applyFill="1" applyBorder="1">
      <alignment vertical="center"/>
    </xf>
    <xf numFmtId="0" fontId="66" fillId="2" borderId="133" xfId="0" applyFont="1" applyFill="1" applyBorder="1">
      <alignment vertical="center"/>
    </xf>
    <xf numFmtId="202" fontId="66" fillId="2" borderId="132" xfId="2" applyNumberFormat="1" applyFont="1" applyFill="1" applyBorder="1" applyAlignment="1">
      <alignment horizontal="center" vertical="center"/>
    </xf>
    <xf numFmtId="202" fontId="66" fillId="2" borderId="658" xfId="2" applyNumberFormat="1" applyFont="1" applyFill="1" applyBorder="1" applyAlignment="1">
      <alignment horizontal="center" vertical="center"/>
    </xf>
    <xf numFmtId="202" fontId="66" fillId="2" borderId="1185" xfId="2" applyNumberFormat="1" applyFont="1" applyFill="1" applyBorder="1" applyAlignment="1">
      <alignment horizontal="center" vertical="center"/>
    </xf>
    <xf numFmtId="186" fontId="66" fillId="2" borderId="136" xfId="0" applyNumberFormat="1" applyFont="1" applyFill="1" applyBorder="1" applyAlignment="1">
      <alignment horizontal="center" vertical="center"/>
    </xf>
    <xf numFmtId="186" fontId="66" fillId="2" borderId="137" xfId="0" applyNumberFormat="1" applyFont="1" applyFill="1" applyBorder="1" applyAlignment="1">
      <alignment horizontal="center" vertical="center"/>
    </xf>
    <xf numFmtId="186" fontId="66" fillId="2" borderId="135" xfId="2" applyNumberFormat="1" applyFont="1" applyFill="1" applyBorder="1" applyAlignment="1">
      <alignment horizontal="center" vertical="center"/>
    </xf>
    <xf numFmtId="186" fontId="66" fillId="2" borderId="132" xfId="0" applyNumberFormat="1" applyFont="1" applyFill="1" applyBorder="1" applyAlignment="1">
      <alignment horizontal="center" vertical="center"/>
    </xf>
    <xf numFmtId="186" fontId="66" fillId="2" borderId="136" xfId="2" applyNumberFormat="1" applyFont="1" applyFill="1" applyBorder="1" applyAlignment="1">
      <alignment horizontal="center" vertical="center"/>
    </xf>
    <xf numFmtId="186" fontId="66" fillId="2" borderId="247" xfId="0" applyNumberFormat="1" applyFont="1" applyFill="1" applyBorder="1" applyAlignment="1">
      <alignment horizontal="center" vertical="center"/>
    </xf>
    <xf numFmtId="186" fontId="66" fillId="29" borderId="0" xfId="0" applyNumberFormat="1" applyFont="1" applyFill="1" applyAlignment="1">
      <alignment horizontal="center" vertical="center"/>
    </xf>
    <xf numFmtId="0" fontId="66" fillId="2" borderId="63" xfId="0" applyFont="1" applyFill="1" applyBorder="1">
      <alignment vertical="center"/>
    </xf>
    <xf numFmtId="0" fontId="66" fillId="2" borderId="67" xfId="0" applyFont="1" applyFill="1" applyBorder="1">
      <alignment vertical="center"/>
    </xf>
    <xf numFmtId="202" fontId="66" fillId="2" borderId="63" xfId="2" applyNumberFormat="1" applyFont="1" applyFill="1" applyBorder="1" applyAlignment="1">
      <alignment horizontal="center" vertical="center"/>
    </xf>
    <xf numFmtId="202" fontId="66" fillId="2" borderId="659" xfId="2" applyNumberFormat="1" applyFont="1" applyFill="1" applyBorder="1" applyAlignment="1">
      <alignment horizontal="center" vertical="center"/>
    </xf>
    <xf numFmtId="202" fontId="66" fillId="2" borderId="1186" xfId="2" applyNumberFormat="1" applyFont="1" applyFill="1" applyBorder="1" applyAlignment="1">
      <alignment horizontal="center" vertical="center"/>
    </xf>
    <xf numFmtId="186" fontId="66" fillId="2" borderId="66" xfId="0" applyNumberFormat="1" applyFont="1" applyFill="1" applyBorder="1" applyAlignment="1">
      <alignment horizontal="center" vertical="center"/>
    </xf>
    <xf numFmtId="186" fontId="66" fillId="2" borderId="96" xfId="0" applyNumberFormat="1" applyFont="1" applyFill="1" applyBorder="1" applyAlignment="1">
      <alignment horizontal="center" vertical="center"/>
    </xf>
    <xf numFmtId="186" fontId="66" fillId="2" borderId="65" xfId="2" applyNumberFormat="1" applyFont="1" applyFill="1" applyBorder="1" applyAlignment="1">
      <alignment horizontal="center" vertical="center"/>
    </xf>
    <xf numFmtId="186" fontId="66" fillId="29" borderId="63" xfId="0" applyNumberFormat="1" applyFont="1" applyFill="1" applyBorder="1" applyAlignment="1">
      <alignment horizontal="center" vertical="center"/>
    </xf>
    <xf numFmtId="186" fontId="66" fillId="2" borderId="63" xfId="0" applyNumberFormat="1" applyFont="1" applyFill="1" applyBorder="1" applyAlignment="1">
      <alignment horizontal="center" vertical="center"/>
    </xf>
    <xf numFmtId="186" fontId="66" fillId="2" borderId="66" xfId="2" applyNumberFormat="1" applyFont="1" applyFill="1" applyBorder="1" applyAlignment="1">
      <alignment horizontal="center" vertical="center"/>
    </xf>
    <xf numFmtId="186" fontId="66" fillId="2" borderId="248" xfId="0" applyNumberFormat="1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 wrapText="1"/>
    </xf>
    <xf numFmtId="186" fontId="66" fillId="2" borderId="0" xfId="0" applyNumberFormat="1" applyFont="1" applyFill="1" applyBorder="1" applyAlignment="1">
      <alignment horizontal="center" vertical="center"/>
    </xf>
    <xf numFmtId="0" fontId="88" fillId="11" borderId="4" xfId="0" applyFont="1" applyFill="1" applyBorder="1">
      <alignment vertical="center"/>
    </xf>
    <xf numFmtId="0" fontId="88" fillId="11" borderId="650" xfId="0" applyFont="1" applyFill="1" applyBorder="1">
      <alignment vertical="center"/>
    </xf>
    <xf numFmtId="194" fontId="86" fillId="11" borderId="4" xfId="0" applyNumberFormat="1" applyFont="1" applyFill="1" applyBorder="1" applyAlignment="1">
      <alignment horizontal="center" vertical="center"/>
    </xf>
    <xf numFmtId="194" fontId="86" fillId="11" borderId="650" xfId="0" applyNumberFormat="1" applyFont="1" applyFill="1" applyBorder="1" applyAlignment="1">
      <alignment horizontal="center" vertical="center"/>
    </xf>
    <xf numFmtId="194" fontId="86" fillId="11" borderId="457" xfId="0" applyNumberFormat="1" applyFont="1" applyFill="1" applyBorder="1" applyAlignment="1">
      <alignment horizontal="center" vertical="center"/>
    </xf>
    <xf numFmtId="202" fontId="86" fillId="11" borderId="4" xfId="2" applyNumberFormat="1" applyFont="1" applyFill="1" applyBorder="1" applyAlignment="1">
      <alignment horizontal="center" vertical="center"/>
    </xf>
    <xf numFmtId="186" fontId="86" fillId="11" borderId="45" xfId="0" applyNumberFormat="1" applyFont="1" applyFill="1" applyBorder="1" applyAlignment="1">
      <alignment horizontal="center" vertical="center"/>
    </xf>
    <xf numFmtId="186" fontId="86" fillId="11" borderId="87" xfId="0" applyNumberFormat="1" applyFont="1" applyFill="1" applyBorder="1" applyAlignment="1">
      <alignment horizontal="center" vertical="center"/>
    </xf>
    <xf numFmtId="186" fontId="86" fillId="11" borderId="5" xfId="0" applyNumberFormat="1" applyFont="1" applyFill="1" applyBorder="1" applyAlignment="1">
      <alignment horizontal="center" vertical="center"/>
    </xf>
    <xf numFmtId="186" fontId="86" fillId="29" borderId="4" xfId="0" applyNumberFormat="1" applyFont="1" applyFill="1" applyBorder="1" applyAlignment="1">
      <alignment horizontal="center" vertical="center"/>
    </xf>
    <xf numFmtId="186" fontId="86" fillId="11" borderId="4" xfId="0" applyNumberFormat="1" applyFont="1" applyFill="1" applyBorder="1" applyAlignment="1">
      <alignment horizontal="center" vertical="center"/>
    </xf>
    <xf numFmtId="186" fontId="86" fillId="11" borderId="224" xfId="0" applyNumberFormat="1" applyFont="1" applyFill="1" applyBorder="1" applyAlignment="1">
      <alignment horizontal="center" vertical="center"/>
    </xf>
    <xf numFmtId="210" fontId="74" fillId="0" borderId="0" xfId="0" applyNumberFormat="1" applyFont="1">
      <alignment vertical="center"/>
    </xf>
    <xf numFmtId="0" fontId="86" fillId="0" borderId="406" xfId="0" applyFont="1" applyFill="1" applyBorder="1">
      <alignment vertical="center"/>
    </xf>
    <xf numFmtId="194" fontId="86" fillId="0" borderId="0" xfId="0" applyNumberFormat="1" applyFont="1" applyAlignment="1">
      <alignment horizontal="center" vertical="center"/>
    </xf>
    <xf numFmtId="194" fontId="86" fillId="0" borderId="406" xfId="0" applyNumberFormat="1" applyFont="1" applyBorder="1" applyAlignment="1">
      <alignment horizontal="center" vertical="center"/>
    </xf>
    <xf numFmtId="194" fontId="86" fillId="0" borderId="458" xfId="0" applyNumberFormat="1" applyFont="1" applyBorder="1" applyAlignment="1">
      <alignment horizontal="center" vertical="center"/>
    </xf>
    <xf numFmtId="202" fontId="86" fillId="0" borderId="0" xfId="2" applyNumberFormat="1" applyFont="1" applyBorder="1" applyAlignment="1">
      <alignment horizontal="center" vertical="center"/>
    </xf>
    <xf numFmtId="186" fontId="86" fillId="0" borderId="86" xfId="0" applyNumberFormat="1" applyFont="1" applyBorder="1" applyAlignment="1">
      <alignment horizontal="center" vertical="center"/>
    </xf>
    <xf numFmtId="186" fontId="86" fillId="0" borderId="2" xfId="0" applyNumberFormat="1" applyFont="1" applyBorder="1" applyAlignment="1">
      <alignment horizontal="center" vertical="center"/>
    </xf>
    <xf numFmtId="186" fontId="86" fillId="29" borderId="0" xfId="0" applyNumberFormat="1" applyFont="1" applyFill="1" applyAlignment="1">
      <alignment horizontal="center" vertical="center"/>
    </xf>
    <xf numFmtId="186" fontId="86" fillId="0" borderId="0" xfId="0" applyNumberFormat="1" applyFont="1" applyAlignment="1">
      <alignment horizontal="center" vertical="center"/>
    </xf>
    <xf numFmtId="186" fontId="86" fillId="0" borderId="225" xfId="0" applyNumberFormat="1" applyFont="1" applyBorder="1" applyAlignment="1">
      <alignment horizontal="center" vertical="center"/>
    </xf>
    <xf numFmtId="186" fontId="86" fillId="29" borderId="187" xfId="0" applyNumberFormat="1" applyFont="1" applyFill="1" applyBorder="1" applyAlignment="1">
      <alignment horizontal="center" vertical="center"/>
    </xf>
    <xf numFmtId="0" fontId="86" fillId="0" borderId="143" xfId="0" applyFont="1" applyFill="1" applyBorder="1">
      <alignment vertical="center"/>
    </xf>
    <xf numFmtId="0" fontId="86" fillId="0" borderId="405" xfId="0" applyFont="1" applyFill="1" applyBorder="1">
      <alignment vertical="center"/>
    </xf>
    <xf numFmtId="194" fontId="86" fillId="0" borderId="432" xfId="0" applyNumberFormat="1" applyFont="1" applyBorder="1" applyAlignment="1">
      <alignment horizontal="center" vertical="center"/>
    </xf>
    <xf numFmtId="194" fontId="86" fillId="0" borderId="651" xfId="0" applyNumberFormat="1" applyFont="1" applyBorder="1" applyAlignment="1">
      <alignment horizontal="center" vertical="center"/>
    </xf>
    <xf numFmtId="194" fontId="86" fillId="0" borderId="1187" xfId="0" applyNumberFormat="1" applyFont="1" applyBorder="1" applyAlignment="1">
      <alignment horizontal="center" vertical="center"/>
    </xf>
    <xf numFmtId="202" fontId="86" fillId="0" borderId="432" xfId="2" applyNumberFormat="1" applyFont="1" applyBorder="1" applyAlignment="1">
      <alignment horizontal="center" vertical="center"/>
    </xf>
    <xf numFmtId="186" fontId="86" fillId="0" borderId="146" xfId="0" applyNumberFormat="1" applyFont="1" applyBorder="1" applyAlignment="1">
      <alignment horizontal="center" vertical="center"/>
    </xf>
    <xf numFmtId="186" fontId="86" fillId="0" borderId="147" xfId="0" applyNumberFormat="1" applyFont="1" applyBorder="1" applyAlignment="1">
      <alignment horizontal="center" vertical="center"/>
    </xf>
    <xf numFmtId="186" fontId="86" fillId="0" borderId="145" xfId="0" applyNumberFormat="1" applyFont="1" applyBorder="1" applyAlignment="1">
      <alignment horizontal="center" vertical="center"/>
    </xf>
    <xf numFmtId="186" fontId="86" fillId="0" borderId="143" xfId="0" applyNumberFormat="1" applyFont="1" applyBorder="1" applyAlignment="1">
      <alignment horizontal="center" vertical="center"/>
    </xf>
    <xf numFmtId="186" fontId="86" fillId="0" borderId="265" xfId="0" applyNumberFormat="1" applyFont="1" applyBorder="1" applyAlignment="1">
      <alignment horizontal="center" vertical="center"/>
    </xf>
    <xf numFmtId="0" fontId="86" fillId="0" borderId="148" xfId="0" applyFont="1" applyFill="1" applyBorder="1">
      <alignment vertical="center"/>
    </xf>
    <xf numFmtId="0" fontId="86" fillId="0" borderId="407" xfId="0" applyFont="1" applyFill="1" applyBorder="1">
      <alignment vertical="center"/>
    </xf>
    <xf numFmtId="194" fontId="86" fillId="0" borderId="148" xfId="0" applyNumberFormat="1" applyFont="1" applyBorder="1" applyAlignment="1">
      <alignment horizontal="center" vertical="center"/>
    </xf>
    <xf numFmtId="194" fontId="86" fillId="0" borderId="407" xfId="0" applyNumberFormat="1" applyFont="1" applyBorder="1" applyAlignment="1">
      <alignment horizontal="center" vertical="center"/>
    </xf>
    <xf numFmtId="186" fontId="86" fillId="0" borderId="150" xfId="0" applyNumberFormat="1" applyFont="1" applyBorder="1" applyAlignment="1">
      <alignment horizontal="center" vertical="center"/>
    </xf>
    <xf numFmtId="186" fontId="86" fillId="0" borderId="151" xfId="0" applyNumberFormat="1" applyFont="1" applyBorder="1" applyAlignment="1">
      <alignment horizontal="center" vertical="center"/>
    </xf>
    <xf numFmtId="186" fontId="86" fillId="0" borderId="149" xfId="0" applyNumberFormat="1" applyFont="1" applyBorder="1" applyAlignment="1">
      <alignment horizontal="center" vertical="center"/>
    </xf>
    <xf numFmtId="186" fontId="86" fillId="0" borderId="148" xfId="0" applyNumberFormat="1" applyFont="1" applyBorder="1" applyAlignment="1">
      <alignment horizontal="center" vertical="center"/>
    </xf>
    <xf numFmtId="186" fontId="86" fillId="0" borderId="266" xfId="0" applyNumberFormat="1" applyFont="1" applyBorder="1" applyAlignment="1">
      <alignment horizontal="center" vertical="center"/>
    </xf>
    <xf numFmtId="0" fontId="86" fillId="13" borderId="406" xfId="0" applyFont="1" applyFill="1" applyBorder="1">
      <alignment vertical="center"/>
    </xf>
    <xf numFmtId="194" fontId="86" fillId="13" borderId="0" xfId="2" applyNumberFormat="1" applyFont="1" applyFill="1" applyBorder="1" applyAlignment="1">
      <alignment horizontal="center" vertical="center"/>
    </xf>
    <xf numFmtId="194" fontId="86" fillId="13" borderId="406" xfId="2" applyNumberFormat="1" applyFont="1" applyFill="1" applyBorder="1" applyAlignment="1">
      <alignment horizontal="center" vertical="center"/>
    </xf>
    <xf numFmtId="194" fontId="86" fillId="13" borderId="1187" xfId="2" applyNumberFormat="1" applyFont="1" applyFill="1" applyBorder="1" applyAlignment="1">
      <alignment horizontal="center" vertical="center"/>
    </xf>
    <xf numFmtId="202" fontId="86" fillId="13" borderId="432" xfId="2" applyNumberFormat="1" applyFont="1" applyFill="1" applyBorder="1" applyAlignment="1">
      <alignment horizontal="center" vertical="center"/>
    </xf>
    <xf numFmtId="186" fontId="86" fillId="13" borderId="46" xfId="2" applyNumberFormat="1" applyFont="1" applyFill="1" applyBorder="1" applyAlignment="1">
      <alignment horizontal="center" vertical="center"/>
    </xf>
    <xf numFmtId="186" fontId="86" fillId="13" borderId="86" xfId="2" applyNumberFormat="1" applyFont="1" applyFill="1" applyBorder="1" applyAlignment="1">
      <alignment horizontal="center" vertical="center"/>
    </xf>
    <xf numFmtId="186" fontId="86" fillId="13" borderId="2" xfId="2" applyNumberFormat="1" applyFont="1" applyFill="1" applyBorder="1" applyAlignment="1">
      <alignment horizontal="center" vertical="center"/>
    </xf>
    <xf numFmtId="186" fontId="86" fillId="29" borderId="187" xfId="2" applyNumberFormat="1" applyFont="1" applyFill="1" applyBorder="1" applyAlignment="1">
      <alignment horizontal="center" vertical="center"/>
    </xf>
    <xf numFmtId="186" fontId="86" fillId="29" borderId="0" xfId="2" applyNumberFormat="1" applyFont="1" applyFill="1" applyBorder="1" applyAlignment="1">
      <alignment horizontal="center" vertical="center"/>
    </xf>
    <xf numFmtId="186" fontId="86" fillId="13" borderId="0" xfId="2" applyNumberFormat="1" applyFont="1" applyFill="1" applyBorder="1" applyAlignment="1">
      <alignment horizontal="center" vertical="center"/>
    </xf>
    <xf numFmtId="186" fontId="86" fillId="13" borderId="225" xfId="2" applyNumberFormat="1" applyFont="1" applyFill="1" applyBorder="1" applyAlignment="1">
      <alignment horizontal="center" vertical="center"/>
    </xf>
    <xf numFmtId="194" fontId="86" fillId="13" borderId="458" xfId="2" applyNumberFormat="1" applyFont="1" applyFill="1" applyBorder="1" applyAlignment="1">
      <alignment horizontal="center" vertical="center"/>
    </xf>
    <xf numFmtId="0" fontId="86" fillId="13" borderId="6" xfId="0" applyFont="1" applyFill="1" applyBorder="1">
      <alignment vertical="center"/>
    </xf>
    <xf numFmtId="0" fontId="86" fillId="13" borderId="508" xfId="0" applyFont="1" applyFill="1" applyBorder="1">
      <alignment vertical="center"/>
    </xf>
    <xf numFmtId="194" fontId="86" fillId="13" borderId="6" xfId="2" applyNumberFormat="1" applyFont="1" applyFill="1" applyBorder="1" applyAlignment="1">
      <alignment horizontal="center" vertical="center"/>
    </xf>
    <xf numFmtId="194" fontId="86" fillId="13" borderId="508" xfId="2" applyNumberFormat="1" applyFont="1" applyFill="1" applyBorder="1" applyAlignment="1">
      <alignment horizontal="center" vertical="center"/>
    </xf>
    <xf numFmtId="194" fontId="86" fillId="13" borderId="456" xfId="2" applyNumberFormat="1" applyFont="1" applyFill="1" applyBorder="1" applyAlignment="1">
      <alignment horizontal="center" vertical="center"/>
    </xf>
    <xf numFmtId="202" fontId="86" fillId="13" borderId="6" xfId="2" applyNumberFormat="1" applyFont="1" applyFill="1" applyBorder="1" applyAlignment="1">
      <alignment horizontal="center" vertical="center"/>
    </xf>
    <xf numFmtId="186" fontId="86" fillId="13" borderId="43" xfId="2" applyNumberFormat="1" applyFont="1" applyFill="1" applyBorder="1" applyAlignment="1">
      <alignment horizontal="center" vertical="center"/>
    </xf>
    <xf numFmtId="186" fontId="86" fillId="13" borderId="90" xfId="2" applyNumberFormat="1" applyFont="1" applyFill="1" applyBorder="1" applyAlignment="1">
      <alignment horizontal="center" vertical="center"/>
    </xf>
    <xf numFmtId="186" fontId="86" fillId="13" borderId="49" xfId="2" applyNumberFormat="1" applyFont="1" applyFill="1" applyBorder="1" applyAlignment="1">
      <alignment horizontal="center" vertical="center"/>
    </xf>
    <xf numFmtId="186" fontId="86" fillId="29" borderId="6" xfId="2" applyNumberFormat="1" applyFont="1" applyFill="1" applyBorder="1" applyAlignment="1">
      <alignment horizontal="center" vertical="center"/>
    </xf>
    <xf numFmtId="186" fontId="86" fillId="13" borderId="6" xfId="2" applyNumberFormat="1" applyFont="1" applyFill="1" applyBorder="1" applyAlignment="1">
      <alignment horizontal="center" vertical="center"/>
    </xf>
    <xf numFmtId="186" fontId="86" fillId="13" borderId="230" xfId="2" applyNumberFormat="1" applyFont="1" applyFill="1" applyBorder="1" applyAlignment="1">
      <alignment horizontal="center" vertical="center"/>
    </xf>
    <xf numFmtId="0" fontId="66" fillId="0" borderId="406" xfId="0" applyFont="1" applyBorder="1" applyAlignment="1">
      <alignment horizontal="center" vertical="center"/>
    </xf>
    <xf numFmtId="0" fontId="66" fillId="0" borderId="458" xfId="0" applyFont="1" applyBorder="1" applyAlignment="1">
      <alignment horizontal="center" vertical="center"/>
    </xf>
    <xf numFmtId="202" fontId="66" fillId="0" borderId="0" xfId="2" applyNumberFormat="1" applyFont="1" applyBorder="1" applyAlignment="1">
      <alignment horizontal="center" vertical="center"/>
    </xf>
    <xf numFmtId="0" fontId="88" fillId="11" borderId="18" xfId="0" applyFont="1" applyFill="1" applyBorder="1">
      <alignment vertical="center"/>
    </xf>
    <xf numFmtId="0" fontId="88" fillId="11" borderId="20" xfId="0" applyFont="1" applyFill="1" applyBorder="1">
      <alignment vertical="center"/>
    </xf>
    <xf numFmtId="194" fontId="86" fillId="11" borderId="18" xfId="2" applyNumberFormat="1" applyFont="1" applyFill="1" applyBorder="1" applyAlignment="1">
      <alignment horizontal="center" vertical="center"/>
    </xf>
    <xf numFmtId="194" fontId="86" fillId="11" borderId="497" xfId="2" applyNumberFormat="1" applyFont="1" applyFill="1" applyBorder="1" applyAlignment="1">
      <alignment horizontal="center" vertical="center"/>
    </xf>
    <xf numFmtId="194" fontId="86" fillId="11" borderId="1188" xfId="2" applyNumberFormat="1" applyFont="1" applyFill="1" applyBorder="1" applyAlignment="1">
      <alignment horizontal="center" vertical="center"/>
    </xf>
    <xf numFmtId="202" fontId="86" fillId="11" borderId="18" xfId="2" applyNumberFormat="1" applyFont="1" applyFill="1" applyBorder="1" applyAlignment="1">
      <alignment horizontal="center" vertical="center"/>
    </xf>
    <xf numFmtId="186" fontId="86" fillId="11" borderId="254" xfId="2" applyNumberFormat="1" applyFont="1" applyFill="1" applyBorder="1" applyAlignment="1">
      <alignment horizontal="center" vertical="center"/>
    </xf>
    <xf numFmtId="186" fontId="86" fillId="29" borderId="18" xfId="2" applyNumberFormat="1" applyFont="1" applyFill="1" applyBorder="1" applyAlignment="1">
      <alignment horizontal="center" vertical="center"/>
    </xf>
    <xf numFmtId="186" fontId="86" fillId="11" borderId="18" xfId="2" applyNumberFormat="1" applyFont="1" applyFill="1" applyBorder="1" applyAlignment="1">
      <alignment horizontal="center" vertical="center"/>
    </xf>
    <xf numFmtId="186" fontId="86" fillId="11" borderId="253" xfId="2" applyNumberFormat="1" applyFont="1" applyFill="1" applyBorder="1" applyAlignment="1">
      <alignment horizontal="center" vertical="center"/>
    </xf>
    <xf numFmtId="186" fontId="86" fillId="11" borderId="255" xfId="2" applyNumberFormat="1" applyFont="1" applyFill="1" applyBorder="1" applyAlignment="1">
      <alignment horizontal="center" vertical="center"/>
    </xf>
    <xf numFmtId="0" fontId="74" fillId="0" borderId="0" xfId="0" applyFont="1">
      <alignment vertical="center"/>
    </xf>
    <xf numFmtId="0" fontId="86" fillId="0" borderId="12" xfId="0" applyFont="1" applyFill="1" applyBorder="1">
      <alignment vertical="center"/>
    </xf>
    <xf numFmtId="194" fontId="86" fillId="0" borderId="0" xfId="2" applyNumberFormat="1" applyFont="1" applyFill="1" applyBorder="1" applyAlignment="1">
      <alignment horizontal="center" vertical="center"/>
    </xf>
    <xf numFmtId="194" fontId="86" fillId="0" borderId="406" xfId="2" applyNumberFormat="1" applyFont="1" applyFill="1" applyBorder="1" applyAlignment="1">
      <alignment horizontal="center" vertical="center"/>
    </xf>
    <xf numFmtId="194" fontId="86" fillId="0" borderId="458" xfId="2" applyNumberFormat="1" applyFont="1" applyFill="1" applyBorder="1" applyAlignment="1">
      <alignment horizontal="center" vertical="center"/>
    </xf>
    <xf numFmtId="186" fontId="86" fillId="0" borderId="46" xfId="2" applyNumberFormat="1" applyFont="1" applyFill="1" applyBorder="1" applyAlignment="1">
      <alignment horizontal="center" vertical="center"/>
    </xf>
    <xf numFmtId="186" fontId="86" fillId="0" borderId="86" xfId="2" applyNumberFormat="1" applyFont="1" applyFill="1" applyBorder="1" applyAlignment="1">
      <alignment horizontal="center" vertical="center"/>
    </xf>
    <xf numFmtId="186" fontId="86" fillId="0" borderId="2" xfId="2" applyNumberFormat="1" applyFont="1" applyFill="1" applyBorder="1" applyAlignment="1">
      <alignment horizontal="center" vertical="center"/>
    </xf>
    <xf numFmtId="186" fontId="86" fillId="0" borderId="0" xfId="2" applyNumberFormat="1" applyFont="1" applyFill="1" applyBorder="1" applyAlignment="1">
      <alignment horizontal="center" vertical="center"/>
    </xf>
    <xf numFmtId="186" fontId="86" fillId="0" borderId="257" xfId="2" applyNumberFormat="1" applyFont="1" applyFill="1" applyBorder="1" applyAlignment="1">
      <alignment horizontal="center" vertical="center"/>
    </xf>
    <xf numFmtId="0" fontId="86" fillId="13" borderId="12" xfId="0" applyFont="1" applyFill="1" applyBorder="1">
      <alignment vertical="center"/>
    </xf>
    <xf numFmtId="186" fontId="86" fillId="13" borderId="257" xfId="2" applyNumberFormat="1" applyFont="1" applyFill="1" applyBorder="1" applyAlignment="1">
      <alignment horizontal="center" vertical="center"/>
    </xf>
    <xf numFmtId="0" fontId="86" fillId="13" borderId="106" xfId="0" applyFont="1" applyFill="1" applyBorder="1">
      <alignment vertical="center"/>
    </xf>
    <xf numFmtId="0" fontId="86" fillId="13" borderId="105" xfId="0" applyFont="1" applyFill="1" applyBorder="1">
      <alignment vertical="center"/>
    </xf>
    <xf numFmtId="0" fontId="88" fillId="11" borderId="111" xfId="0" applyFont="1" applyFill="1" applyBorder="1">
      <alignment vertical="center"/>
    </xf>
    <xf numFmtId="0" fontId="88" fillId="11" borderId="112" xfId="0" applyFont="1" applyFill="1" applyBorder="1">
      <alignment vertical="center"/>
    </xf>
    <xf numFmtId="194" fontId="86" fillId="11" borderId="111" xfId="2" applyNumberFormat="1" applyFont="1" applyFill="1" applyBorder="1" applyAlignment="1">
      <alignment horizontal="center" vertical="center"/>
    </xf>
    <xf numFmtId="194" fontId="86" fillId="11" borderId="652" xfId="2" applyNumberFormat="1" applyFont="1" applyFill="1" applyBorder="1" applyAlignment="1">
      <alignment horizontal="center" vertical="center"/>
    </xf>
    <xf numFmtId="194" fontId="86" fillId="11" borderId="1189" xfId="2" applyNumberFormat="1" applyFont="1" applyFill="1" applyBorder="1" applyAlignment="1">
      <alignment horizontal="center" vertical="center"/>
    </xf>
    <xf numFmtId="202" fontId="86" fillId="11" borderId="111" xfId="2" applyNumberFormat="1" applyFont="1" applyFill="1" applyBorder="1" applyAlignment="1">
      <alignment horizontal="center" vertical="center"/>
    </xf>
    <xf numFmtId="186" fontId="86" fillId="11" borderId="115" xfId="2" applyNumberFormat="1" applyFont="1" applyFill="1" applyBorder="1" applyAlignment="1">
      <alignment horizontal="center" vertical="center"/>
    </xf>
    <xf numFmtId="186" fontId="86" fillId="11" borderId="116" xfId="2" applyNumberFormat="1" applyFont="1" applyFill="1" applyBorder="1" applyAlignment="1">
      <alignment horizontal="center" vertical="center"/>
    </xf>
    <xf numFmtId="186" fontId="86" fillId="11" borderId="114" xfId="2" applyNumberFormat="1" applyFont="1" applyFill="1" applyBorder="1" applyAlignment="1">
      <alignment horizontal="center" vertical="center"/>
    </xf>
    <xf numFmtId="186" fontId="86" fillId="11" borderId="111" xfId="2" applyNumberFormat="1" applyFont="1" applyFill="1" applyBorder="1" applyAlignment="1">
      <alignment horizontal="center" vertical="center"/>
    </xf>
    <xf numFmtId="186" fontId="86" fillId="11" borderId="261" xfId="2" applyNumberFormat="1" applyFont="1" applyFill="1" applyBorder="1" applyAlignment="1">
      <alignment horizontal="center" vertical="center"/>
    </xf>
    <xf numFmtId="194" fontId="86" fillId="13" borderId="106" xfId="2" applyNumberFormat="1" applyFont="1" applyFill="1" applyBorder="1" applyAlignment="1">
      <alignment horizontal="center" vertical="center"/>
    </xf>
    <xf numFmtId="194" fontId="86" fillId="13" borderId="484" xfId="2" applyNumberFormat="1" applyFont="1" applyFill="1" applyBorder="1" applyAlignment="1">
      <alignment horizontal="center" vertical="center"/>
    </xf>
    <xf numFmtId="186" fontId="86" fillId="13" borderId="109" xfId="2" applyNumberFormat="1" applyFont="1" applyFill="1" applyBorder="1" applyAlignment="1">
      <alignment horizontal="center" vertical="center"/>
    </xf>
    <xf numFmtId="186" fontId="86" fillId="13" borderId="110" xfId="2" applyNumberFormat="1" applyFont="1" applyFill="1" applyBorder="1" applyAlignment="1">
      <alignment horizontal="center" vertical="center"/>
    </xf>
    <xf numFmtId="186" fontId="86" fillId="13" borderId="108" xfId="2" applyNumberFormat="1" applyFont="1" applyFill="1" applyBorder="1" applyAlignment="1">
      <alignment horizontal="center" vertical="center"/>
    </xf>
    <xf numFmtId="186" fontId="86" fillId="13" borderId="106" xfId="2" applyNumberFormat="1" applyFont="1" applyFill="1" applyBorder="1" applyAlignment="1">
      <alignment horizontal="center" vertical="center"/>
    </xf>
    <xf numFmtId="186" fontId="86" fillId="13" borderId="259" xfId="2" applyNumberFormat="1" applyFont="1" applyFill="1" applyBorder="1" applyAlignment="1">
      <alignment horizontal="center" vertical="center"/>
    </xf>
    <xf numFmtId="186" fontId="86" fillId="11" borderId="46" xfId="2" applyNumberFormat="1" applyFont="1" applyFill="1" applyBorder="1" applyAlignment="1">
      <alignment horizontal="center" vertical="center"/>
    </xf>
    <xf numFmtId="186" fontId="86" fillId="11" borderId="86" xfId="2" applyNumberFormat="1" applyFont="1" applyFill="1" applyBorder="1" applyAlignment="1">
      <alignment horizontal="center" vertical="center"/>
    </xf>
    <xf numFmtId="186" fontId="86" fillId="11" borderId="2" xfId="2" applyNumberFormat="1" applyFont="1" applyFill="1" applyBorder="1" applyAlignment="1">
      <alignment horizontal="center" vertical="center"/>
    </xf>
    <xf numFmtId="186" fontId="86" fillId="11" borderId="0" xfId="2" applyNumberFormat="1" applyFont="1" applyFill="1" applyBorder="1" applyAlignment="1">
      <alignment horizontal="center" vertical="center"/>
    </xf>
    <xf numFmtId="186" fontId="86" fillId="11" borderId="257" xfId="2" applyNumberFormat="1" applyFont="1" applyFill="1" applyBorder="1" applyAlignment="1">
      <alignment horizontal="center" vertical="center"/>
    </xf>
    <xf numFmtId="0" fontId="86" fillId="13" borderId="19" xfId="0" applyFont="1" applyFill="1" applyBorder="1">
      <alignment vertical="center"/>
    </xf>
    <xf numFmtId="0" fontId="86" fillId="13" borderId="21" xfId="0" applyFont="1" applyFill="1" applyBorder="1">
      <alignment vertical="center"/>
    </xf>
    <xf numFmtId="194" fontId="86" fillId="13" borderId="19" xfId="2" applyNumberFormat="1" applyFont="1" applyFill="1" applyBorder="1" applyAlignment="1">
      <alignment horizontal="center" vertical="center"/>
    </xf>
    <xf numFmtId="194" fontId="86" fillId="13" borderId="653" xfId="2" applyNumberFormat="1" applyFont="1" applyFill="1" applyBorder="1" applyAlignment="1">
      <alignment horizontal="center" vertical="center"/>
    </xf>
    <xf numFmtId="186" fontId="86" fillId="13" borderId="98" xfId="2" applyNumberFormat="1" applyFont="1" applyFill="1" applyBorder="1" applyAlignment="1">
      <alignment horizontal="center" vertical="center"/>
    </xf>
    <xf numFmtId="186" fontId="86" fillId="13" borderId="118" xfId="2" applyNumberFormat="1" applyFont="1" applyFill="1" applyBorder="1" applyAlignment="1">
      <alignment horizontal="center" vertical="center"/>
    </xf>
    <xf numFmtId="186" fontId="86" fillId="13" borderId="23" xfId="2" applyNumberFormat="1" applyFont="1" applyFill="1" applyBorder="1" applyAlignment="1">
      <alignment horizontal="center" vertical="center"/>
    </xf>
    <xf numFmtId="186" fontId="86" fillId="29" borderId="19" xfId="2" applyNumberFormat="1" applyFont="1" applyFill="1" applyBorder="1" applyAlignment="1">
      <alignment horizontal="center" vertical="center"/>
    </xf>
    <xf numFmtId="186" fontId="86" fillId="13" borderId="19" xfId="2" applyNumberFormat="1" applyFont="1" applyFill="1" applyBorder="1" applyAlignment="1">
      <alignment horizontal="center" vertical="center"/>
    </xf>
    <xf numFmtId="186" fontId="86" fillId="13" borderId="263" xfId="2" applyNumberFormat="1" applyFont="1" applyFill="1" applyBorder="1" applyAlignment="1">
      <alignment horizontal="center" vertical="center"/>
    </xf>
    <xf numFmtId="210" fontId="66" fillId="0" borderId="0" xfId="0" quotePrefix="1" applyNumberFormat="1" applyFont="1" applyAlignment="1">
      <alignment horizontal="right" vertical="center"/>
    </xf>
    <xf numFmtId="209" fontId="66" fillId="0" borderId="0" xfId="0" applyNumberFormat="1" applyFont="1" applyBorder="1" applyAlignment="1">
      <alignment horizontal="center" vertical="center"/>
    </xf>
    <xf numFmtId="41" fontId="66" fillId="0" borderId="0" xfId="2" applyFont="1" applyBorder="1">
      <alignment vertical="center"/>
    </xf>
    <xf numFmtId="209" fontId="66" fillId="0" borderId="0" xfId="0" applyNumberFormat="1" applyFont="1" applyBorder="1">
      <alignment vertical="center"/>
    </xf>
    <xf numFmtId="209" fontId="66" fillId="0" borderId="0" xfId="2" applyNumberFormat="1" applyFont="1" applyBorder="1">
      <alignment vertical="center"/>
    </xf>
    <xf numFmtId="0" fontId="66" fillId="6" borderId="249" xfId="0" applyFont="1" applyFill="1" applyBorder="1" applyAlignment="1">
      <alignment horizontal="center" vertical="center" wrapText="1"/>
    </xf>
    <xf numFmtId="0" fontId="66" fillId="6" borderId="138" xfId="0" applyFont="1" applyFill="1" applyBorder="1">
      <alignment vertical="center"/>
    </xf>
    <xf numFmtId="0" fontId="66" fillId="6" borderId="104" xfId="0" applyFont="1" applyFill="1" applyBorder="1">
      <alignment vertical="center"/>
    </xf>
    <xf numFmtId="195" fontId="66" fillId="0" borderId="0" xfId="2" applyNumberFormat="1" applyFont="1" applyFill="1" applyBorder="1">
      <alignment vertical="center"/>
    </xf>
    <xf numFmtId="209" fontId="66" fillId="0" borderId="139" xfId="2" applyNumberFormat="1" applyFont="1" applyFill="1" applyBorder="1">
      <alignment vertical="center"/>
    </xf>
    <xf numFmtId="209" fontId="66" fillId="0" borderId="140" xfId="0" applyNumberFormat="1" applyFont="1" applyBorder="1">
      <alignment vertical="center"/>
    </xf>
    <xf numFmtId="209" fontId="66" fillId="0" borderId="141" xfId="2" applyNumberFormat="1" applyFont="1" applyFill="1" applyBorder="1">
      <alignment vertical="center"/>
    </xf>
    <xf numFmtId="209" fontId="66" fillId="0" borderId="138" xfId="0" applyNumberFormat="1" applyFont="1" applyFill="1" applyBorder="1">
      <alignment vertical="center"/>
    </xf>
    <xf numFmtId="209" fontId="66" fillId="0" borderId="138" xfId="0" applyNumberFormat="1" applyFont="1" applyBorder="1">
      <alignment vertical="center"/>
    </xf>
    <xf numFmtId="209" fontId="66" fillId="0" borderId="250" xfId="0" applyNumberFormat="1" applyFont="1" applyBorder="1">
      <alignment vertical="center"/>
    </xf>
    <xf numFmtId="209" fontId="66" fillId="0" borderId="0" xfId="0" applyNumberFormat="1" applyFont="1">
      <alignment vertical="center"/>
    </xf>
    <xf numFmtId="41" fontId="66" fillId="5" borderId="0" xfId="2" applyFont="1" applyFill="1" applyAlignment="1">
      <alignment horizontal="center" vertical="center"/>
    </xf>
    <xf numFmtId="0" fontId="66" fillId="5" borderId="0" xfId="0" quotePrefix="1" applyFont="1" applyFill="1" applyAlignment="1">
      <alignment horizontal="left" vertical="center"/>
    </xf>
    <xf numFmtId="0" fontId="66" fillId="5" borderId="0" xfId="0" quotePrefix="1" applyFont="1" applyFill="1" applyAlignment="1">
      <alignment horizontal="center" vertical="center"/>
    </xf>
    <xf numFmtId="0" fontId="74" fillId="4" borderId="643" xfId="0" quotePrefix="1" applyFont="1" applyFill="1" applyBorder="1" applyAlignment="1">
      <alignment horizontal="center" vertical="center"/>
    </xf>
    <xf numFmtId="0" fontId="74" fillId="4" borderId="1180" xfId="0" quotePrefix="1" applyFont="1" applyFill="1" applyBorder="1" applyAlignment="1">
      <alignment horizontal="center" vertical="center"/>
    </xf>
    <xf numFmtId="192" fontId="67" fillId="4" borderId="458" xfId="0" quotePrefix="1" applyNumberFormat="1" applyFont="1" applyFill="1" applyBorder="1" applyAlignment="1">
      <alignment horizontal="center" vertical="center"/>
    </xf>
    <xf numFmtId="0" fontId="67" fillId="14" borderId="406" xfId="0" quotePrefix="1" applyFont="1" applyFill="1" applyBorder="1" applyAlignment="1">
      <alignment horizontal="center" vertical="center"/>
    </xf>
    <xf numFmtId="0" fontId="75" fillId="6" borderId="518" xfId="0" quotePrefix="1" applyFont="1" applyFill="1" applyBorder="1" applyAlignment="1">
      <alignment horizontal="center" vertical="center"/>
    </xf>
    <xf numFmtId="0" fontId="67" fillId="6" borderId="518" xfId="0" applyFont="1" applyFill="1" applyBorder="1" applyAlignment="1">
      <alignment horizontal="center" vertical="center"/>
    </xf>
    <xf numFmtId="41" fontId="67" fillId="10" borderId="608" xfId="2" applyFont="1" applyFill="1" applyBorder="1" applyAlignment="1">
      <alignment horizontal="center" vertical="center"/>
    </xf>
    <xf numFmtId="0" fontId="67" fillId="10" borderId="862" xfId="0" applyFont="1" applyFill="1" applyBorder="1" applyAlignment="1">
      <alignment horizontal="center" vertical="center"/>
    </xf>
    <xf numFmtId="223" fontId="66" fillId="8" borderId="0" xfId="2" applyNumberFormat="1" applyFont="1" applyFill="1" applyBorder="1" applyAlignment="1">
      <alignment horizontal="center" vertical="center"/>
    </xf>
    <xf numFmtId="223" fontId="66" fillId="8" borderId="1181" xfId="2" applyNumberFormat="1" applyFont="1" applyFill="1" applyBorder="1" applyAlignment="1">
      <alignment horizontal="center" vertical="center"/>
    </xf>
    <xf numFmtId="223" fontId="66" fillId="8" borderId="1179" xfId="2" applyNumberFormat="1" applyFont="1" applyFill="1" applyBorder="1" applyAlignment="1">
      <alignment horizontal="center" vertical="center"/>
    </xf>
    <xf numFmtId="192" fontId="66" fillId="8" borderId="644" xfId="2" applyNumberFormat="1" applyFont="1" applyFill="1" applyBorder="1" applyAlignment="1">
      <alignment horizontal="center" vertical="center"/>
    </xf>
    <xf numFmtId="176" fontId="66" fillId="8" borderId="644" xfId="3" applyNumberFormat="1" applyFont="1" applyFill="1" applyBorder="1" applyAlignment="1">
      <alignment horizontal="center" vertical="center"/>
    </xf>
    <xf numFmtId="192" fontId="66" fillId="8" borderId="920" xfId="2" applyNumberFormat="1" applyFont="1" applyFill="1" applyBorder="1" applyAlignment="1">
      <alignment horizontal="center" vertical="center"/>
    </xf>
    <xf numFmtId="192" fontId="66" fillId="8" borderId="0" xfId="2" applyNumberFormat="1" applyFont="1" applyFill="1" applyBorder="1" applyAlignment="1">
      <alignment horizontal="center" vertical="center"/>
    </xf>
    <xf numFmtId="192" fontId="66" fillId="8" borderId="644" xfId="3" applyNumberFormat="1" applyFont="1" applyFill="1" applyBorder="1" applyAlignment="1">
      <alignment horizontal="center" vertical="center"/>
    </xf>
    <xf numFmtId="192" fontId="66" fillId="8" borderId="645" xfId="2" applyNumberFormat="1" applyFont="1" applyFill="1" applyBorder="1" applyAlignment="1">
      <alignment horizontal="center" vertical="center"/>
    </xf>
    <xf numFmtId="223" fontId="66" fillId="0" borderId="0" xfId="2" applyNumberFormat="1" applyFont="1" applyBorder="1" applyAlignment="1">
      <alignment horizontal="center" vertical="center"/>
    </xf>
    <xf numFmtId="223" fontId="66" fillId="5" borderId="999" xfId="2" applyNumberFormat="1" applyFont="1" applyFill="1" applyBorder="1" applyAlignment="1">
      <alignment horizontal="center" vertical="center"/>
    </xf>
    <xf numFmtId="223" fontId="66" fillId="5" borderId="458" xfId="2" applyNumberFormat="1" applyFont="1" applyFill="1" applyBorder="1" applyAlignment="1">
      <alignment horizontal="center" vertical="center"/>
    </xf>
    <xf numFmtId="192" fontId="66" fillId="5" borderId="0" xfId="2" applyNumberFormat="1" applyFont="1" applyFill="1" applyBorder="1" applyAlignment="1">
      <alignment horizontal="center" vertical="center"/>
    </xf>
    <xf numFmtId="192" fontId="66" fillId="5" borderId="406" xfId="2" applyNumberFormat="1" applyFont="1" applyFill="1" applyBorder="1" applyAlignment="1">
      <alignment horizontal="center" vertical="center"/>
    </xf>
    <xf numFmtId="192" fontId="66" fillId="5" borderId="0" xfId="3" applyNumberFormat="1" applyFont="1" applyFill="1" applyBorder="1" applyAlignment="1">
      <alignment horizontal="center" vertical="center"/>
    </xf>
    <xf numFmtId="192" fontId="66" fillId="5" borderId="646" xfId="2" applyNumberFormat="1" applyFont="1" applyFill="1" applyBorder="1" applyAlignment="1">
      <alignment horizontal="center" vertical="center"/>
    </xf>
    <xf numFmtId="192" fontId="66" fillId="71" borderId="0" xfId="2" applyNumberFormat="1" applyFont="1" applyFill="1" applyBorder="1" applyAlignment="1">
      <alignment horizontal="center" vertical="center"/>
    </xf>
    <xf numFmtId="192" fontId="66" fillId="71" borderId="0" xfId="3" applyNumberFormat="1" applyFont="1" applyFill="1" applyBorder="1" applyAlignment="1">
      <alignment horizontal="center" vertical="center"/>
    </xf>
    <xf numFmtId="192" fontId="66" fillId="71" borderId="646" xfId="2" applyNumberFormat="1" applyFont="1" applyFill="1" applyBorder="1" applyAlignment="1">
      <alignment horizontal="center" vertical="center"/>
    </xf>
    <xf numFmtId="223" fontId="66" fillId="8" borderId="999" xfId="2" applyNumberFormat="1" applyFont="1" applyFill="1" applyBorder="1" applyAlignment="1">
      <alignment horizontal="center" vertical="center"/>
    </xf>
    <xf numFmtId="223" fontId="66" fillId="8" borderId="458" xfId="2" applyNumberFormat="1" applyFont="1" applyFill="1" applyBorder="1" applyAlignment="1">
      <alignment horizontal="center" vertical="center"/>
    </xf>
    <xf numFmtId="176" fontId="66" fillId="8" borderId="0" xfId="3" applyNumberFormat="1" applyFont="1" applyFill="1" applyBorder="1" applyAlignment="1">
      <alignment horizontal="center" vertical="center"/>
    </xf>
    <xf numFmtId="192" fontId="66" fillId="8" borderId="406" xfId="2" applyNumberFormat="1" applyFont="1" applyFill="1" applyBorder="1" applyAlignment="1">
      <alignment horizontal="center" vertical="center"/>
    </xf>
    <xf numFmtId="192" fontId="66" fillId="8" borderId="0" xfId="3" applyNumberFormat="1" applyFont="1" applyFill="1" applyBorder="1" applyAlignment="1">
      <alignment horizontal="center" vertical="center"/>
    </xf>
    <xf numFmtId="192" fontId="66" fillId="8" borderId="646" xfId="2" applyNumberFormat="1" applyFont="1" applyFill="1" applyBorder="1" applyAlignment="1">
      <alignment horizontal="center" vertical="center"/>
    </xf>
    <xf numFmtId="223" fontId="66" fillId="0" borderId="999" xfId="2" applyNumberFormat="1" applyFont="1" applyBorder="1" applyAlignment="1">
      <alignment horizontal="center" vertical="center"/>
    </xf>
    <xf numFmtId="223" fontId="66" fillId="0" borderId="458" xfId="2" applyNumberFormat="1" applyFont="1" applyBorder="1" applyAlignment="1">
      <alignment horizontal="center" vertical="center"/>
    </xf>
    <xf numFmtId="192" fontId="66" fillId="0" borderId="0" xfId="2" applyNumberFormat="1" applyFont="1" applyBorder="1" applyAlignment="1">
      <alignment horizontal="center" vertical="center"/>
    </xf>
    <xf numFmtId="176" fontId="66" fillId="0" borderId="0" xfId="3" applyNumberFormat="1" applyFont="1" applyBorder="1" applyAlignment="1">
      <alignment horizontal="center" vertical="center"/>
    </xf>
    <xf numFmtId="192" fontId="66" fillId="0" borderId="406" xfId="2" applyNumberFormat="1" applyFont="1" applyBorder="1" applyAlignment="1">
      <alignment horizontal="center" vertical="center"/>
    </xf>
    <xf numFmtId="192" fontId="66" fillId="0" borderId="0" xfId="3" applyNumberFormat="1" applyFont="1" applyBorder="1" applyAlignment="1">
      <alignment horizontal="center" vertical="center"/>
    </xf>
    <xf numFmtId="192" fontId="66" fillId="0" borderId="646" xfId="2" applyNumberFormat="1" applyFont="1" applyBorder="1" applyAlignment="1">
      <alignment horizontal="center" vertical="center"/>
    </xf>
    <xf numFmtId="192" fontId="66" fillId="29" borderId="0" xfId="0" applyNumberFormat="1" applyFont="1" applyFill="1" applyBorder="1" applyAlignment="1">
      <alignment horizontal="center" vertical="center"/>
    </xf>
    <xf numFmtId="223" fontId="66" fillId="29" borderId="0" xfId="2" applyNumberFormat="1" applyFont="1" applyFill="1" applyBorder="1" applyAlignment="1">
      <alignment vertical="center"/>
    </xf>
    <xf numFmtId="192" fontId="66" fillId="0" borderId="0" xfId="0" applyNumberFormat="1" applyFont="1" applyBorder="1" applyAlignment="1">
      <alignment horizontal="center" vertical="center"/>
    </xf>
    <xf numFmtId="0" fontId="74" fillId="8" borderId="574" xfId="0" applyFont="1" applyFill="1" applyBorder="1" applyAlignment="1">
      <alignment horizontal="left" vertical="center"/>
    </xf>
    <xf numFmtId="0" fontId="66" fillId="8" borderId="923" xfId="0" applyFont="1" applyFill="1" applyBorder="1" applyAlignment="1">
      <alignment horizontal="center" vertical="center"/>
    </xf>
    <xf numFmtId="192" fontId="74" fillId="11" borderId="673" xfId="0" applyNumberFormat="1" applyFont="1" applyFill="1" applyBorder="1" applyAlignment="1">
      <alignment horizontal="center" vertical="center"/>
    </xf>
    <xf numFmtId="192" fontId="74" fillId="11" borderId="1001" xfId="0" applyNumberFormat="1" applyFont="1" applyFill="1" applyBorder="1" applyAlignment="1">
      <alignment horizontal="center" vertical="center"/>
    </xf>
    <xf numFmtId="0" fontId="74" fillId="11" borderId="1191" xfId="0" applyFont="1" applyFill="1" applyBorder="1" applyAlignment="1">
      <alignment horizontal="center" vertical="center"/>
    </xf>
    <xf numFmtId="0" fontId="74" fillId="11" borderId="616" xfId="0" applyFont="1" applyFill="1" applyBorder="1" applyAlignment="1">
      <alignment horizontal="center" vertical="center"/>
    </xf>
    <xf numFmtId="192" fontId="66" fillId="29" borderId="616" xfId="0" applyNumberFormat="1" applyFont="1" applyFill="1" applyBorder="1" applyAlignment="1">
      <alignment horizontal="center" vertical="center"/>
    </xf>
    <xf numFmtId="192" fontId="66" fillId="29" borderId="616" xfId="0" applyNumberFormat="1" applyFont="1" applyFill="1" applyBorder="1">
      <alignment vertical="center"/>
    </xf>
    <xf numFmtId="1" fontId="74" fillId="11" borderId="616" xfId="0" applyNumberFormat="1" applyFont="1" applyFill="1" applyBorder="1" applyAlignment="1">
      <alignment horizontal="center" vertical="center"/>
    </xf>
    <xf numFmtId="1" fontId="74" fillId="11" borderId="1240" xfId="0" applyNumberFormat="1" applyFont="1" applyFill="1" applyBorder="1" applyAlignment="1">
      <alignment horizontal="center" vertical="center"/>
    </xf>
    <xf numFmtId="0" fontId="66" fillId="5" borderId="0" xfId="0" applyFont="1" applyFill="1" applyBorder="1" applyAlignment="1">
      <alignment horizontal="center" vertical="center"/>
    </xf>
    <xf numFmtId="192" fontId="66" fillId="0" borderId="485" xfId="0" applyNumberFormat="1" applyFont="1" applyBorder="1" applyAlignment="1">
      <alignment horizontal="center" vertical="center"/>
    </xf>
    <xf numFmtId="192" fontId="66" fillId="0" borderId="999" xfId="0" applyNumberFormat="1" applyFont="1" applyBorder="1" applyAlignment="1">
      <alignment horizontal="center" vertical="center"/>
    </xf>
    <xf numFmtId="192" fontId="66" fillId="0" borderId="458" xfId="0" applyNumberFormat="1" applyFont="1" applyBorder="1" applyAlignment="1">
      <alignment horizontal="center" vertical="center"/>
    </xf>
    <xf numFmtId="192" fontId="66" fillId="29" borderId="0" xfId="0" applyNumberFormat="1" applyFont="1" applyFill="1" applyBorder="1">
      <alignment vertical="center"/>
    </xf>
    <xf numFmtId="192" fontId="66" fillId="0" borderId="1242" xfId="0" applyNumberFormat="1" applyFont="1" applyBorder="1" applyAlignment="1">
      <alignment horizontal="center" vertical="center"/>
    </xf>
    <xf numFmtId="194" fontId="66" fillId="73" borderId="485" xfId="2" applyNumberFormat="1" applyFont="1" applyFill="1" applyBorder="1" applyAlignment="1">
      <alignment horizontal="center" vertical="center"/>
    </xf>
    <xf numFmtId="194" fontId="66" fillId="73" borderId="999" xfId="2" applyNumberFormat="1" applyFont="1" applyFill="1" applyBorder="1" applyAlignment="1">
      <alignment horizontal="center" vertical="center"/>
    </xf>
    <xf numFmtId="194" fontId="66" fillId="73" borderId="458" xfId="2" applyNumberFormat="1" applyFont="1" applyFill="1" applyBorder="1" applyAlignment="1">
      <alignment horizontal="center" vertical="center"/>
    </xf>
    <xf numFmtId="194" fontId="66" fillId="5" borderId="0" xfId="2" applyNumberFormat="1" applyFont="1" applyFill="1" applyBorder="1" applyAlignment="1">
      <alignment horizontal="center" vertical="center"/>
    </xf>
    <xf numFmtId="194" fontId="66" fillId="29" borderId="0" xfId="2" applyNumberFormat="1" applyFont="1" applyFill="1" applyBorder="1" applyAlignment="1">
      <alignment horizontal="center" vertical="center"/>
    </xf>
    <xf numFmtId="194" fontId="66" fillId="5" borderId="1242" xfId="2" applyNumberFormat="1" applyFont="1" applyFill="1" applyBorder="1" applyAlignment="1">
      <alignment horizontal="center" vertical="center"/>
    </xf>
    <xf numFmtId="0" fontId="66" fillId="0" borderId="611" xfId="0" applyFont="1" applyBorder="1" applyAlignment="1">
      <alignment horizontal="left" vertical="center"/>
    </xf>
    <xf numFmtId="0" fontId="66" fillId="0" borderId="611" xfId="0" applyFont="1" applyBorder="1" applyAlignment="1">
      <alignment horizontal="center" vertical="center"/>
    </xf>
    <xf numFmtId="194" fontId="66" fillId="73" borderId="672" xfId="2" applyNumberFormat="1" applyFont="1" applyFill="1" applyBorder="1" applyAlignment="1">
      <alignment horizontal="center" vertical="center"/>
    </xf>
    <xf numFmtId="194" fontId="66" fillId="73" borderId="1000" xfId="2" applyNumberFormat="1" applyFont="1" applyFill="1" applyBorder="1" applyAlignment="1">
      <alignment horizontal="center" vertical="center"/>
    </xf>
    <xf numFmtId="194" fontId="66" fillId="73" borderId="1190" xfId="2" applyNumberFormat="1" applyFont="1" applyFill="1" applyBorder="1" applyAlignment="1">
      <alignment horizontal="center" vertical="center"/>
    </xf>
    <xf numFmtId="194" fontId="66" fillId="73" borderId="611" xfId="2" applyNumberFormat="1" applyFont="1" applyFill="1" applyBorder="1" applyAlignment="1">
      <alignment horizontal="center" vertical="center"/>
    </xf>
    <xf numFmtId="194" fontId="66" fillId="5" borderId="611" xfId="2" applyNumberFormat="1" applyFont="1" applyFill="1" applyBorder="1" applyAlignment="1">
      <alignment horizontal="center" vertical="center"/>
    </xf>
    <xf numFmtId="194" fontId="66" fillId="29" borderId="611" xfId="2" applyNumberFormat="1" applyFont="1" applyFill="1" applyBorder="1" applyAlignment="1">
      <alignment horizontal="center" vertical="center"/>
    </xf>
    <xf numFmtId="192" fontId="66" fillId="29" borderId="611" xfId="0" applyNumberFormat="1" applyFont="1" applyFill="1" applyBorder="1">
      <alignment vertical="center"/>
    </xf>
    <xf numFmtId="194" fontId="66" fillId="5" borderId="1244" xfId="2" applyNumberFormat="1" applyFont="1" applyFill="1" applyBorder="1" applyAlignment="1">
      <alignment horizontal="center" vertical="center"/>
    </xf>
    <xf numFmtId="41" fontId="66" fillId="0" borderId="0" xfId="2" applyFont="1" applyAlignment="1">
      <alignment horizontal="center" vertical="center"/>
    </xf>
    <xf numFmtId="202" fontId="66" fillId="0" borderId="0" xfId="2" applyNumberFormat="1" applyFont="1">
      <alignment vertical="center"/>
    </xf>
    <xf numFmtId="0" fontId="80" fillId="21" borderId="0" xfId="0" applyFont="1" applyFill="1">
      <alignment vertical="center"/>
    </xf>
    <xf numFmtId="0" fontId="116" fillId="0" borderId="0" xfId="0" applyFont="1">
      <alignment vertical="center"/>
    </xf>
    <xf numFmtId="0" fontId="116" fillId="5" borderId="0" xfId="0" applyFont="1" applyFill="1" applyAlignment="1">
      <alignment horizontal="center" vertical="center"/>
    </xf>
    <xf numFmtId="41" fontId="116" fillId="5" borderId="0" xfId="2" applyFont="1" applyFill="1" applyAlignment="1">
      <alignment horizontal="center" vertical="center"/>
    </xf>
    <xf numFmtId="41" fontId="116" fillId="0" borderId="0" xfId="2" applyFont="1">
      <alignment vertical="center"/>
    </xf>
    <xf numFmtId="202" fontId="116" fillId="0" borderId="0" xfId="2" applyNumberFormat="1" applyFont="1">
      <alignment vertical="center"/>
    </xf>
    <xf numFmtId="202" fontId="116" fillId="0" borderId="0" xfId="0" applyNumberFormat="1" applyFont="1">
      <alignment vertical="center"/>
    </xf>
    <xf numFmtId="202" fontId="109" fillId="0" borderId="0" xfId="3" applyNumberFormat="1" applyFont="1">
      <alignment vertical="center"/>
    </xf>
    <xf numFmtId="202" fontId="117" fillId="0" borderId="0" xfId="3" applyNumberFormat="1" applyFont="1">
      <alignment vertical="center"/>
    </xf>
    <xf numFmtId="0" fontId="118" fillId="39" borderId="0" xfId="0" applyFont="1" applyFill="1" applyAlignment="1">
      <alignment horizontal="center" vertical="center"/>
    </xf>
    <xf numFmtId="0" fontId="67" fillId="4" borderId="0" xfId="0" applyFont="1" applyFill="1" applyAlignment="1">
      <alignment horizontal="center" vertical="center"/>
    </xf>
    <xf numFmtId="0" fontId="67" fillId="21" borderId="0" xfId="0" applyFont="1" applyFill="1" applyAlignment="1">
      <alignment horizontal="center" vertical="center"/>
    </xf>
    <xf numFmtId="0" fontId="66" fillId="0" borderId="0" xfId="0" applyFont="1" applyAlignment="1"/>
    <xf numFmtId="0" fontId="66" fillId="0" borderId="406" xfId="0" quotePrefix="1" applyFont="1" applyBorder="1">
      <alignment vertical="center"/>
    </xf>
    <xf numFmtId="202" fontId="67" fillId="4" borderId="465" xfId="0" applyNumberFormat="1" applyFont="1" applyFill="1" applyBorder="1" applyAlignment="1">
      <alignment horizontal="center" vertical="center"/>
    </xf>
    <xf numFmtId="41" fontId="66" fillId="0" borderId="0" xfId="0" applyNumberFormat="1" applyFont="1">
      <alignment vertical="center"/>
    </xf>
    <xf numFmtId="41" fontId="66" fillId="11" borderId="0" xfId="0" applyNumberFormat="1" applyFont="1" applyFill="1">
      <alignment vertical="center"/>
    </xf>
    <xf numFmtId="0" fontId="66" fillId="0" borderId="480" xfId="0" quotePrefix="1" applyFont="1" applyBorder="1">
      <alignment vertical="center"/>
    </xf>
    <xf numFmtId="0" fontId="67" fillId="4" borderId="11" xfId="0" quotePrefix="1" applyFont="1" applyFill="1" applyBorder="1" applyAlignment="1">
      <alignment horizontal="center" vertical="center"/>
    </xf>
    <xf numFmtId="0" fontId="67" fillId="4" borderId="0" xfId="0" quotePrefix="1" applyFont="1" applyFill="1" applyAlignment="1">
      <alignment horizontal="center" vertical="center"/>
    </xf>
    <xf numFmtId="41" fontId="67" fillId="4" borderId="478" xfId="2" quotePrefix="1" applyFont="1" applyFill="1" applyBorder="1" applyAlignment="1">
      <alignment horizontal="center" vertical="center"/>
    </xf>
    <xf numFmtId="41" fontId="67" fillId="4" borderId="479" xfId="2" quotePrefix="1" applyFont="1" applyFill="1" applyBorder="1" applyAlignment="1">
      <alignment horizontal="center" vertical="center"/>
    </xf>
    <xf numFmtId="202" fontId="67" fillId="4" borderId="479" xfId="2" quotePrefix="1" applyNumberFormat="1" applyFont="1" applyFill="1" applyBorder="1" applyAlignment="1">
      <alignment horizontal="center" vertical="center"/>
    </xf>
    <xf numFmtId="202" fontId="67" fillId="4" borderId="479" xfId="0" quotePrefix="1" applyNumberFormat="1" applyFont="1" applyFill="1" applyBorder="1" applyAlignment="1">
      <alignment horizontal="center" vertical="center"/>
    </xf>
    <xf numFmtId="202" fontId="67" fillId="4" borderId="684" xfId="0" quotePrefix="1" applyNumberFormat="1" applyFont="1" applyFill="1" applyBorder="1" applyAlignment="1">
      <alignment horizontal="center" vertical="center"/>
    </xf>
    <xf numFmtId="0" fontId="67" fillId="4" borderId="479" xfId="0" quotePrefix="1" applyFont="1" applyFill="1" applyBorder="1" applyAlignment="1">
      <alignment horizontal="center" vertical="center"/>
    </xf>
    <xf numFmtId="202" fontId="67" fillId="4" borderId="480" xfId="0" quotePrefix="1" applyNumberFormat="1" applyFont="1" applyFill="1" applyBorder="1" applyAlignment="1">
      <alignment horizontal="center" vertical="center"/>
    </xf>
    <xf numFmtId="0" fontId="67" fillId="4" borderId="478" xfId="0" quotePrefix="1" applyFont="1" applyFill="1" applyBorder="1" applyAlignment="1">
      <alignment horizontal="center" vertical="center"/>
    </xf>
    <xf numFmtId="0" fontId="75" fillId="4" borderId="0" xfId="0" quotePrefix="1" applyFont="1" applyFill="1" applyBorder="1" applyAlignment="1">
      <alignment horizontal="center" vertical="center"/>
    </xf>
    <xf numFmtId="0" fontId="74" fillId="11" borderId="465" xfId="0" applyFont="1" applyFill="1" applyBorder="1">
      <alignment vertical="center"/>
    </xf>
    <xf numFmtId="0" fontId="66" fillId="11" borderId="465" xfId="0" applyFont="1" applyFill="1" applyBorder="1">
      <alignment vertical="center"/>
    </xf>
    <xf numFmtId="41" fontId="66" fillId="11" borderId="688" xfId="2" applyFont="1" applyFill="1" applyBorder="1">
      <alignment vertical="center"/>
    </xf>
    <xf numFmtId="41" fontId="66" fillId="11" borderId="465" xfId="2" applyFont="1" applyFill="1" applyBorder="1">
      <alignment vertical="center"/>
    </xf>
    <xf numFmtId="202" fontId="66" fillId="11" borderId="465" xfId="2" applyNumberFormat="1" applyFont="1" applyFill="1" applyBorder="1">
      <alignment vertical="center"/>
    </xf>
    <xf numFmtId="202" fontId="66" fillId="11" borderId="688" xfId="2" applyNumberFormat="1" applyFont="1" applyFill="1" applyBorder="1">
      <alignment vertical="center"/>
    </xf>
    <xf numFmtId="202" fontId="66" fillId="11" borderId="473" xfId="2" applyNumberFormat="1" applyFont="1" applyFill="1" applyBorder="1">
      <alignment vertical="center"/>
    </xf>
    <xf numFmtId="41" fontId="66" fillId="5" borderId="0" xfId="0" applyNumberFormat="1" applyFont="1" applyFill="1">
      <alignment vertical="center"/>
    </xf>
    <xf numFmtId="41" fontId="66" fillId="0" borderId="11" xfId="2" applyFont="1" applyFill="1" applyBorder="1">
      <alignment vertical="center"/>
    </xf>
    <xf numFmtId="202" fontId="66" fillId="0" borderId="0" xfId="2" applyNumberFormat="1" applyFont="1" applyFill="1" applyBorder="1">
      <alignment vertical="center"/>
    </xf>
    <xf numFmtId="202" fontId="66" fillId="0" borderId="11" xfId="2" applyNumberFormat="1" applyFont="1" applyFill="1" applyBorder="1">
      <alignment vertical="center"/>
    </xf>
    <xf numFmtId="202" fontId="66" fillId="0" borderId="406" xfId="2" applyNumberFormat="1" applyFont="1" applyFill="1" applyBorder="1">
      <alignment vertical="center"/>
    </xf>
    <xf numFmtId="0" fontId="66" fillId="9" borderId="0" xfId="0" applyFont="1" applyFill="1">
      <alignment vertical="center"/>
    </xf>
    <xf numFmtId="41" fontId="66" fillId="9" borderId="11" xfId="2" applyFont="1" applyFill="1" applyBorder="1">
      <alignment vertical="center"/>
    </xf>
    <xf numFmtId="41" fontId="66" fillId="9" borderId="0" xfId="2" applyFont="1" applyFill="1" applyBorder="1">
      <alignment vertical="center"/>
    </xf>
    <xf numFmtId="202" fontId="66" fillId="9" borderId="0" xfId="2" applyNumberFormat="1" applyFont="1" applyFill="1" applyBorder="1">
      <alignment vertical="center"/>
    </xf>
    <xf numFmtId="202" fontId="66" fillId="9" borderId="11" xfId="2" applyNumberFormat="1" applyFont="1" applyFill="1" applyBorder="1">
      <alignment vertical="center"/>
    </xf>
    <xf numFmtId="202" fontId="66" fillId="9" borderId="406" xfId="2" applyNumberFormat="1" applyFont="1" applyFill="1" applyBorder="1">
      <alignment vertical="center"/>
    </xf>
    <xf numFmtId="0" fontId="74" fillId="8" borderId="0" xfId="0" applyFont="1" applyFill="1">
      <alignment vertical="center"/>
    </xf>
    <xf numFmtId="0" fontId="66" fillId="8" borderId="0" xfId="0" applyFont="1" applyFill="1">
      <alignment vertical="center"/>
    </xf>
    <xf numFmtId="41" fontId="66" fillId="8" borderId="11" xfId="2" applyFont="1" applyFill="1" applyBorder="1">
      <alignment vertical="center"/>
    </xf>
    <xf numFmtId="41" fontId="66" fillId="8" borderId="0" xfId="2" applyFont="1" applyFill="1" applyBorder="1">
      <alignment vertical="center"/>
    </xf>
    <xf numFmtId="202" fontId="66" fillId="8" borderId="0" xfId="2" applyNumberFormat="1" applyFont="1" applyFill="1" applyBorder="1">
      <alignment vertical="center"/>
    </xf>
    <xf numFmtId="202" fontId="66" fillId="8" borderId="398" xfId="2" applyNumberFormat="1" applyFont="1" applyFill="1" applyBorder="1">
      <alignment vertical="center"/>
    </xf>
    <xf numFmtId="202" fontId="66" fillId="8" borderId="406" xfId="2" applyNumberFormat="1" applyFont="1" applyFill="1" applyBorder="1">
      <alignment vertical="center"/>
    </xf>
    <xf numFmtId="41" fontId="66" fillId="8" borderId="479" xfId="2" applyFont="1" applyFill="1" applyBorder="1">
      <alignment vertical="center"/>
    </xf>
    <xf numFmtId="202" fontId="66" fillId="11" borderId="1139" xfId="2" applyNumberFormat="1" applyFont="1" applyFill="1" applyBorder="1">
      <alignment vertical="center"/>
    </xf>
    <xf numFmtId="41" fontId="66" fillId="11" borderId="472" xfId="2" applyFont="1" applyFill="1" applyBorder="1">
      <alignment vertical="center"/>
    </xf>
    <xf numFmtId="202" fontId="66" fillId="0" borderId="398" xfId="2" applyNumberFormat="1" applyFont="1" applyFill="1" applyBorder="1">
      <alignment vertical="center"/>
    </xf>
    <xf numFmtId="202" fontId="66" fillId="5" borderId="0" xfId="2" applyNumberFormat="1" applyFont="1" applyFill="1" applyBorder="1">
      <alignment vertical="center"/>
    </xf>
    <xf numFmtId="202" fontId="66" fillId="9" borderId="398" xfId="2" applyNumberFormat="1" applyFont="1" applyFill="1" applyBorder="1">
      <alignment vertical="center"/>
    </xf>
    <xf numFmtId="41" fontId="66" fillId="8" borderId="38" xfId="2" applyFont="1" applyFill="1" applyBorder="1">
      <alignment vertical="center"/>
    </xf>
    <xf numFmtId="41" fontId="66" fillId="8" borderId="37" xfId="2" applyFont="1" applyFill="1" applyBorder="1">
      <alignment vertical="center"/>
    </xf>
    <xf numFmtId="202" fontId="66" fillId="8" borderId="1140" xfId="2" applyNumberFormat="1" applyFont="1" applyFill="1" applyBorder="1">
      <alignment vertical="center"/>
    </xf>
    <xf numFmtId="202" fontId="66" fillId="8" borderId="37" xfId="2" applyNumberFormat="1" applyFont="1" applyFill="1" applyBorder="1">
      <alignment vertical="center"/>
    </xf>
    <xf numFmtId="0" fontId="74" fillId="11" borderId="68" xfId="0" applyFont="1" applyFill="1" applyBorder="1">
      <alignment vertical="center"/>
    </xf>
    <xf numFmtId="0" fontId="66" fillId="11" borderId="68" xfId="0" applyFont="1" applyFill="1" applyBorder="1">
      <alignment vertical="center"/>
    </xf>
    <xf numFmtId="41" fontId="66" fillId="11" borderId="69" xfId="2" applyFont="1" applyFill="1" applyBorder="1">
      <alignment vertical="center"/>
    </xf>
    <xf numFmtId="41" fontId="66" fillId="11" borderId="68" xfId="2" applyFont="1" applyFill="1" applyBorder="1">
      <alignment vertical="center"/>
    </xf>
    <xf numFmtId="41" fontId="66" fillId="11" borderId="345" xfId="2" applyFont="1" applyFill="1" applyBorder="1">
      <alignment vertical="center"/>
    </xf>
    <xf numFmtId="202" fontId="66" fillId="11" borderId="68" xfId="2" applyNumberFormat="1" applyFont="1" applyFill="1" applyBorder="1">
      <alignment vertical="center"/>
    </xf>
    <xf numFmtId="202" fontId="66" fillId="11" borderId="396" xfId="2" applyNumberFormat="1" applyFont="1" applyFill="1" applyBorder="1">
      <alignment vertical="center"/>
    </xf>
    <xf numFmtId="202" fontId="66" fillId="11" borderId="345" xfId="2" applyNumberFormat="1" applyFont="1" applyFill="1" applyBorder="1">
      <alignment vertical="center"/>
    </xf>
    <xf numFmtId="202" fontId="66" fillId="11" borderId="690" xfId="2" applyNumberFormat="1" applyFont="1" applyFill="1" applyBorder="1">
      <alignment vertical="center"/>
    </xf>
    <xf numFmtId="202" fontId="66" fillId="11" borderId="69" xfId="2" applyNumberFormat="1" applyFont="1" applyFill="1" applyBorder="1">
      <alignment vertical="center"/>
    </xf>
    <xf numFmtId="3" fontId="66" fillId="0" borderId="0" xfId="2" applyNumberFormat="1" applyFont="1" applyFill="1" applyBorder="1">
      <alignment vertical="center"/>
    </xf>
    <xf numFmtId="202" fontId="66" fillId="8" borderId="11" xfId="2" applyNumberFormat="1" applyFont="1" applyFill="1" applyBorder="1">
      <alignment vertical="center"/>
    </xf>
    <xf numFmtId="0" fontId="91" fillId="0" borderId="0" xfId="0" applyFont="1">
      <alignment vertical="center"/>
    </xf>
    <xf numFmtId="41" fontId="86" fillId="0" borderId="11" xfId="2" applyFont="1" applyFill="1" applyBorder="1">
      <alignment vertical="center"/>
    </xf>
    <xf numFmtId="41" fontId="86" fillId="0" borderId="0" xfId="2" applyFont="1" applyFill="1" applyBorder="1">
      <alignment vertical="center"/>
    </xf>
    <xf numFmtId="0" fontId="86" fillId="9" borderId="0" xfId="0" applyFont="1" applyFill="1">
      <alignment vertical="center"/>
    </xf>
    <xf numFmtId="41" fontId="86" fillId="9" borderId="11" xfId="2" applyFont="1" applyFill="1" applyBorder="1">
      <alignment vertical="center"/>
    </xf>
    <xf numFmtId="41" fontId="86" fillId="9" borderId="0" xfId="2" applyFont="1" applyFill="1" applyBorder="1">
      <alignment vertical="center"/>
    </xf>
    <xf numFmtId="0" fontId="86" fillId="8" borderId="37" xfId="0" applyFont="1" applyFill="1" applyBorder="1">
      <alignment vertical="center"/>
    </xf>
    <xf numFmtId="41" fontId="86" fillId="8" borderId="38" xfId="2" applyFont="1" applyFill="1" applyBorder="1">
      <alignment vertical="center"/>
    </xf>
    <xf numFmtId="41" fontId="86" fillId="8" borderId="37" xfId="2" applyFont="1" applyFill="1" applyBorder="1">
      <alignment vertical="center"/>
    </xf>
    <xf numFmtId="41" fontId="86" fillId="8" borderId="0" xfId="2" applyFont="1" applyFill="1" applyBorder="1">
      <alignment vertical="center"/>
    </xf>
    <xf numFmtId="41" fontId="86" fillId="8" borderId="11" xfId="2" applyFont="1" applyFill="1" applyBorder="1">
      <alignment vertical="center"/>
    </xf>
    <xf numFmtId="0" fontId="88" fillId="11" borderId="68" xfId="0" applyFont="1" applyFill="1" applyBorder="1">
      <alignment vertical="center"/>
    </xf>
    <xf numFmtId="0" fontId="86" fillId="11" borderId="68" xfId="0" applyFont="1" applyFill="1" applyBorder="1">
      <alignment vertical="center"/>
    </xf>
    <xf numFmtId="202" fontId="86" fillId="2" borderId="68" xfId="2" applyNumberFormat="1" applyFont="1" applyFill="1" applyBorder="1">
      <alignment vertical="center"/>
    </xf>
    <xf numFmtId="202" fontId="66" fillId="2" borderId="68" xfId="2" applyNumberFormat="1" applyFont="1" applyFill="1" applyBorder="1">
      <alignment vertical="center"/>
    </xf>
    <xf numFmtId="0" fontId="88" fillId="0" borderId="0" xfId="0" applyFont="1">
      <alignment vertical="center"/>
    </xf>
    <xf numFmtId="202" fontId="86" fillId="2" borderId="0" xfId="2" applyNumberFormat="1" applyFont="1" applyFill="1" applyBorder="1">
      <alignment vertical="center"/>
    </xf>
    <xf numFmtId="202" fontId="66" fillId="2" borderId="0" xfId="2" applyNumberFormat="1" applyFont="1" applyFill="1" applyBorder="1">
      <alignment vertical="center"/>
    </xf>
    <xf numFmtId="0" fontId="86" fillId="8" borderId="479" xfId="0" applyFont="1" applyFill="1" applyBorder="1">
      <alignment vertical="center"/>
    </xf>
    <xf numFmtId="202" fontId="86" fillId="2" borderId="479" xfId="2" applyNumberFormat="1" applyFont="1" applyFill="1" applyBorder="1">
      <alignment vertical="center"/>
    </xf>
    <xf numFmtId="202" fontId="66" fillId="2" borderId="479" xfId="2" applyNumberFormat="1" applyFont="1" applyFill="1" applyBorder="1">
      <alignment vertical="center"/>
    </xf>
    <xf numFmtId="202" fontId="66" fillId="74" borderId="11" xfId="2" applyNumberFormat="1" applyFont="1" applyFill="1" applyBorder="1">
      <alignment vertical="center"/>
    </xf>
    <xf numFmtId="202" fontId="66" fillId="8" borderId="684" xfId="2" applyNumberFormat="1" applyFont="1" applyFill="1" applyBorder="1">
      <alignment vertical="center"/>
    </xf>
    <xf numFmtId="202" fontId="66" fillId="8" borderId="479" xfId="2" applyNumberFormat="1" applyFont="1" applyFill="1" applyBorder="1">
      <alignment vertical="center"/>
    </xf>
    <xf numFmtId="202" fontId="66" fillId="8" borderId="480" xfId="2" applyNumberFormat="1" applyFont="1" applyFill="1" applyBorder="1">
      <alignment vertical="center"/>
    </xf>
    <xf numFmtId="41" fontId="86" fillId="11" borderId="69" xfId="2" applyFont="1" applyFill="1" applyBorder="1">
      <alignment vertical="center"/>
    </xf>
    <xf numFmtId="41" fontId="86" fillId="11" borderId="68" xfId="2" applyFont="1" applyFill="1" applyBorder="1">
      <alignment vertical="center"/>
    </xf>
    <xf numFmtId="41" fontId="86" fillId="11" borderId="345" xfId="2" applyFont="1" applyFill="1" applyBorder="1">
      <alignment vertical="center"/>
    </xf>
    <xf numFmtId="41" fontId="86" fillId="8" borderId="684" xfId="2" applyFont="1" applyFill="1" applyBorder="1">
      <alignment vertical="center"/>
    </xf>
    <xf numFmtId="41" fontId="86" fillId="8" borderId="479" xfId="2" applyFont="1" applyFill="1" applyBorder="1">
      <alignment vertical="center"/>
    </xf>
    <xf numFmtId="0" fontId="88" fillId="11" borderId="465" xfId="0" applyFont="1" applyFill="1" applyBorder="1">
      <alignment vertical="center"/>
    </xf>
    <xf numFmtId="0" fontId="86" fillId="11" borderId="465" xfId="0" applyFont="1" applyFill="1" applyBorder="1">
      <alignment vertical="center"/>
    </xf>
    <xf numFmtId="41" fontId="86" fillId="11" borderId="465" xfId="2" applyFont="1" applyFill="1" applyBorder="1">
      <alignment vertical="center"/>
    </xf>
    <xf numFmtId="202" fontId="66" fillId="11" borderId="472" xfId="2" applyNumberFormat="1" applyFont="1" applyFill="1" applyBorder="1">
      <alignment vertical="center"/>
    </xf>
    <xf numFmtId="0" fontId="88" fillId="8" borderId="220" xfId="0" applyFont="1" applyFill="1" applyBorder="1">
      <alignment vertical="center"/>
    </xf>
    <xf numFmtId="41" fontId="86" fillId="8" borderId="564" xfId="2" applyFont="1" applyFill="1" applyBorder="1">
      <alignment vertical="center"/>
    </xf>
    <xf numFmtId="202" fontId="66" fillId="8" borderId="482" xfId="2" applyNumberFormat="1" applyFont="1" applyFill="1" applyBorder="1">
      <alignment vertical="center"/>
    </xf>
    <xf numFmtId="202" fontId="66" fillId="8" borderId="38" xfId="2" applyNumberFormat="1" applyFont="1" applyFill="1" applyBorder="1">
      <alignment vertical="center"/>
    </xf>
    <xf numFmtId="0" fontId="88" fillId="11" borderId="0" xfId="0" applyFont="1" applyFill="1">
      <alignment vertical="center"/>
    </xf>
    <xf numFmtId="0" fontId="86" fillId="11" borderId="0" xfId="0" applyFont="1" applyFill="1">
      <alignment vertical="center"/>
    </xf>
    <xf numFmtId="41" fontId="86" fillId="11" borderId="11" xfId="2" applyFont="1" applyFill="1" applyBorder="1">
      <alignment vertical="center"/>
    </xf>
    <xf numFmtId="41" fontId="86" fillId="11" borderId="0" xfId="2" applyFont="1" applyFill="1" applyBorder="1">
      <alignment vertical="center"/>
    </xf>
    <xf numFmtId="41" fontId="66" fillId="11" borderId="0" xfId="2" applyFont="1" applyFill="1" applyBorder="1">
      <alignment vertical="center"/>
    </xf>
    <xf numFmtId="202" fontId="66" fillId="11" borderId="0" xfId="2" applyNumberFormat="1" applyFont="1" applyFill="1" applyBorder="1">
      <alignment vertical="center"/>
    </xf>
    <xf numFmtId="202" fontId="66" fillId="11" borderId="11" xfId="2" applyNumberFormat="1" applyFont="1" applyFill="1" applyBorder="1">
      <alignment vertical="center"/>
    </xf>
    <xf numFmtId="202" fontId="66" fillId="11" borderId="406" xfId="2" applyNumberFormat="1" applyFont="1" applyFill="1" applyBorder="1">
      <alignment vertical="center"/>
    </xf>
    <xf numFmtId="41" fontId="66" fillId="11" borderId="11" xfId="2" applyFont="1" applyFill="1" applyBorder="1">
      <alignment vertical="center"/>
    </xf>
    <xf numFmtId="202" fontId="66" fillId="8" borderId="481" xfId="2" applyNumberFormat="1" applyFont="1" applyFill="1" applyBorder="1">
      <alignment vertical="center"/>
    </xf>
    <xf numFmtId="41" fontId="66" fillId="11" borderId="912" xfId="2" applyFont="1" applyFill="1" applyBorder="1">
      <alignment vertical="center"/>
    </xf>
    <xf numFmtId="41" fontId="66" fillId="0" borderId="485" xfId="2" applyFont="1" applyFill="1" applyBorder="1">
      <alignment vertical="center"/>
    </xf>
    <xf numFmtId="0" fontId="88" fillId="8" borderId="479" xfId="0" applyFont="1" applyFill="1" applyBorder="1">
      <alignment vertical="center"/>
    </xf>
    <xf numFmtId="41" fontId="86" fillId="8" borderId="691" xfId="2" applyFont="1" applyFill="1" applyBorder="1">
      <alignment vertical="center"/>
    </xf>
    <xf numFmtId="202" fontId="66" fillId="70" borderId="11" xfId="2" applyNumberFormat="1" applyFont="1" applyFill="1" applyBorder="1">
      <alignment vertical="center"/>
    </xf>
    <xf numFmtId="41" fontId="66" fillId="8" borderId="478" xfId="2" applyFont="1" applyFill="1" applyBorder="1">
      <alignment vertical="center"/>
    </xf>
    <xf numFmtId="202" fontId="66" fillId="11" borderId="912" xfId="2" applyNumberFormat="1" applyFont="1" applyFill="1" applyBorder="1">
      <alignment vertical="center"/>
    </xf>
    <xf numFmtId="41" fontId="66" fillId="8" borderId="684" xfId="2" applyFont="1" applyFill="1" applyBorder="1">
      <alignment vertical="center"/>
    </xf>
    <xf numFmtId="41" fontId="86" fillId="0" borderId="0" xfId="2" applyFont="1">
      <alignment vertical="center"/>
    </xf>
    <xf numFmtId="41" fontId="66" fillId="0" borderId="0" xfId="2" applyFont="1" applyAlignment="1"/>
    <xf numFmtId="0" fontId="66" fillId="17" borderId="0" xfId="0" applyFont="1" applyFill="1">
      <alignment vertical="center"/>
    </xf>
    <xf numFmtId="176" fontId="66" fillId="0" borderId="0" xfId="3" applyNumberFormat="1" applyFont="1">
      <alignment vertical="center"/>
    </xf>
    <xf numFmtId="0" fontId="68" fillId="21" borderId="0" xfId="0" applyFont="1" applyFill="1" applyAlignment="1">
      <alignment horizontal="center" vertical="center"/>
    </xf>
    <xf numFmtId="0" fontId="120" fillId="23" borderId="0" xfId="0" applyFont="1" applyFill="1" applyAlignment="1">
      <alignment horizontal="center" vertical="center"/>
    </xf>
    <xf numFmtId="0" fontId="66" fillId="22" borderId="0" xfId="0" applyFont="1" applyFill="1">
      <alignment vertical="center"/>
    </xf>
    <xf numFmtId="0" fontId="82" fillId="23" borderId="0" xfId="0" applyFont="1" applyFill="1">
      <alignment vertical="center"/>
    </xf>
    <xf numFmtId="0" fontId="80" fillId="22" borderId="0" xfId="0" applyFont="1" applyFill="1">
      <alignment vertical="center"/>
    </xf>
    <xf numFmtId="0" fontId="120" fillId="23" borderId="0" xfId="0" applyFont="1" applyFill="1">
      <alignment vertical="center"/>
    </xf>
    <xf numFmtId="0" fontId="74" fillId="4" borderId="472" xfId="0" quotePrefix="1" applyFont="1" applyFill="1" applyBorder="1" applyAlignment="1">
      <alignment horizontal="center" vertical="center"/>
    </xf>
    <xf numFmtId="0" fontId="74" fillId="4" borderId="880" xfId="0" quotePrefix="1" applyFont="1" applyFill="1" applyBorder="1" applyAlignment="1">
      <alignment horizontal="center" vertical="center"/>
    </xf>
    <xf numFmtId="0" fontId="67" fillId="14" borderId="90" xfId="0" quotePrefix="1" applyFont="1" applyFill="1" applyBorder="1" applyAlignment="1">
      <alignment horizontal="center" vertical="center"/>
    </xf>
    <xf numFmtId="0" fontId="96" fillId="22" borderId="0" xfId="0" applyFont="1" applyFill="1">
      <alignment vertical="center"/>
    </xf>
    <xf numFmtId="192" fontId="66" fillId="11" borderId="10" xfId="2" applyNumberFormat="1" applyFont="1" applyFill="1" applyBorder="1" applyAlignment="1">
      <alignment horizontal="center" vertical="center"/>
    </xf>
    <xf numFmtId="194" fontId="66" fillId="29" borderId="4" xfId="0" applyNumberFormat="1" applyFont="1" applyFill="1" applyBorder="1" applyAlignment="1">
      <alignment horizontal="center" vertical="center"/>
    </xf>
    <xf numFmtId="194" fontId="66" fillId="29" borderId="42" xfId="0" applyNumberFormat="1" applyFont="1" applyFill="1" applyBorder="1" applyAlignment="1">
      <alignment horizontal="center" vertical="center"/>
    </xf>
    <xf numFmtId="194" fontId="66" fillId="29" borderId="185" xfId="0" applyNumberFormat="1" applyFont="1" applyFill="1" applyBorder="1" applyAlignment="1">
      <alignment horizontal="center" vertical="center"/>
    </xf>
    <xf numFmtId="193" fontId="66" fillId="11" borderId="224" xfId="0" applyNumberFormat="1" applyFont="1" applyFill="1" applyBorder="1" applyAlignment="1">
      <alignment horizontal="center" vertical="center"/>
    </xf>
    <xf numFmtId="192" fontId="66" fillId="0" borderId="11" xfId="0" applyNumberFormat="1" applyFont="1" applyFill="1" applyBorder="1" applyAlignment="1">
      <alignment horizontal="center" vertical="center"/>
    </xf>
    <xf numFmtId="192" fontId="66" fillId="0" borderId="0" xfId="0" applyNumberFormat="1" applyFont="1" applyFill="1" applyBorder="1" applyAlignment="1">
      <alignment horizontal="center" vertical="center"/>
    </xf>
    <xf numFmtId="192" fontId="66" fillId="0" borderId="485" xfId="0" applyNumberFormat="1" applyFont="1" applyFill="1" applyBorder="1" applyAlignment="1">
      <alignment horizontal="center" vertical="center"/>
    </xf>
    <xf numFmtId="0" fontId="66" fillId="29" borderId="40" xfId="0" applyFont="1" applyFill="1" applyBorder="1" applyAlignment="1">
      <alignment horizontal="center" vertical="center"/>
    </xf>
    <xf numFmtId="193" fontId="66" fillId="0" borderId="46" xfId="0" applyNumberFormat="1" applyFont="1" applyFill="1" applyBorder="1" applyAlignment="1">
      <alignment horizontal="center" vertical="center"/>
    </xf>
    <xf numFmtId="193" fontId="66" fillId="0" borderId="86" xfId="0" applyNumberFormat="1" applyFont="1" applyFill="1" applyBorder="1" applyAlignment="1">
      <alignment horizontal="center" vertical="center"/>
    </xf>
    <xf numFmtId="192" fontId="66" fillId="0" borderId="2" xfId="0" applyNumberFormat="1" applyFont="1" applyFill="1" applyBorder="1" applyAlignment="1">
      <alignment horizontal="center" vertical="center"/>
    </xf>
    <xf numFmtId="0" fontId="66" fillId="29" borderId="187" xfId="0" applyFont="1" applyFill="1" applyBorder="1" applyAlignment="1">
      <alignment horizontal="center" vertical="center"/>
    </xf>
    <xf numFmtId="193" fontId="66" fillId="0" borderId="0" xfId="0" applyNumberFormat="1" applyFont="1" applyFill="1" applyBorder="1" applyAlignment="1">
      <alignment horizontal="center" vertical="center"/>
    </xf>
    <xf numFmtId="192" fontId="66" fillId="0" borderId="46" xfId="0" applyNumberFormat="1" applyFont="1" applyFill="1" applyBorder="1" applyAlignment="1">
      <alignment horizontal="center" vertical="center"/>
    </xf>
    <xf numFmtId="193" fontId="66" fillId="0" borderId="225" xfId="0" applyNumberFormat="1" applyFont="1" applyFill="1" applyBorder="1" applyAlignment="1">
      <alignment horizontal="center" vertical="center"/>
    </xf>
    <xf numFmtId="192" fontId="66" fillId="2" borderId="11" xfId="0" applyNumberFormat="1" applyFont="1" applyFill="1" applyBorder="1" applyAlignment="1">
      <alignment horizontal="center" vertical="center"/>
    </xf>
    <xf numFmtId="192" fontId="66" fillId="2" borderId="0" xfId="0" applyNumberFormat="1" applyFont="1" applyFill="1" applyBorder="1" applyAlignment="1">
      <alignment horizontal="center" vertical="center"/>
    </xf>
    <xf numFmtId="192" fontId="66" fillId="2" borderId="485" xfId="0" applyNumberFormat="1" applyFont="1" applyFill="1" applyBorder="1" applyAlignment="1">
      <alignment horizontal="center" vertical="center"/>
    </xf>
    <xf numFmtId="193" fontId="66" fillId="2" borderId="46" xfId="0" applyNumberFormat="1" applyFont="1" applyFill="1" applyBorder="1" applyAlignment="1">
      <alignment horizontal="center" vertical="center"/>
    </xf>
    <xf numFmtId="193" fontId="66" fillId="2" borderId="86" xfId="0" applyNumberFormat="1" applyFont="1" applyFill="1" applyBorder="1" applyAlignment="1">
      <alignment horizontal="center" vertical="center"/>
    </xf>
    <xf numFmtId="192" fontId="66" fillId="2" borderId="2" xfId="0" applyNumberFormat="1" applyFont="1" applyFill="1" applyBorder="1" applyAlignment="1">
      <alignment horizontal="center" vertical="center"/>
    </xf>
    <xf numFmtId="193" fontId="66" fillId="2" borderId="0" xfId="0" applyNumberFormat="1" applyFont="1" applyFill="1" applyBorder="1" applyAlignment="1">
      <alignment horizontal="center" vertical="center"/>
    </xf>
    <xf numFmtId="192" fontId="66" fillId="2" borderId="46" xfId="0" applyNumberFormat="1" applyFont="1" applyFill="1" applyBorder="1" applyAlignment="1">
      <alignment horizontal="center" vertical="center"/>
    </xf>
    <xf numFmtId="193" fontId="66" fillId="2" borderId="225" xfId="0" applyNumberFormat="1" applyFont="1" applyFill="1" applyBorder="1" applyAlignment="1">
      <alignment horizontal="center" vertical="center"/>
    </xf>
    <xf numFmtId="192" fontId="66" fillId="8" borderId="11" xfId="0" applyNumberFormat="1" applyFont="1" applyFill="1" applyBorder="1" applyAlignment="1">
      <alignment horizontal="center" vertical="center"/>
    </xf>
    <xf numFmtId="192" fontId="66" fillId="8" borderId="481" xfId="0" applyNumberFormat="1" applyFont="1" applyFill="1" applyBorder="1" applyAlignment="1">
      <alignment horizontal="center" vertical="center"/>
    </xf>
    <xf numFmtId="192" fontId="66" fillId="8" borderId="37" xfId="0" applyNumberFormat="1" applyFont="1" applyFill="1" applyBorder="1" applyAlignment="1">
      <alignment horizontal="center" vertical="center"/>
    </xf>
    <xf numFmtId="193" fontId="66" fillId="8" borderId="46" xfId="0" applyNumberFormat="1" applyFont="1" applyFill="1" applyBorder="1" applyAlignment="1">
      <alignment horizontal="center" vertical="center"/>
    </xf>
    <xf numFmtId="193" fontId="66" fillId="8" borderId="86" xfId="0" applyNumberFormat="1" applyFont="1" applyFill="1" applyBorder="1" applyAlignment="1">
      <alignment horizontal="center" vertical="center"/>
    </xf>
    <xf numFmtId="192" fontId="66" fillId="8" borderId="2" xfId="0" applyNumberFormat="1" applyFont="1" applyFill="1" applyBorder="1" applyAlignment="1">
      <alignment horizontal="center" vertical="center"/>
    </xf>
    <xf numFmtId="193" fontId="66" fillId="8" borderId="0" xfId="0" applyNumberFormat="1" applyFont="1" applyFill="1" applyBorder="1" applyAlignment="1">
      <alignment horizontal="center" vertical="center"/>
    </xf>
    <xf numFmtId="192" fontId="66" fillId="8" borderId="46" xfId="0" applyNumberFormat="1" applyFont="1" applyFill="1" applyBorder="1" applyAlignment="1">
      <alignment horizontal="center" vertical="center"/>
    </xf>
    <xf numFmtId="193" fontId="66" fillId="8" borderId="225" xfId="0" applyNumberFormat="1" applyFont="1" applyFill="1" applyBorder="1" applyAlignment="1">
      <alignment horizontal="center" vertical="center"/>
    </xf>
    <xf numFmtId="192" fontId="66" fillId="11" borderId="69" xfId="0" applyNumberFormat="1" applyFont="1" applyFill="1" applyBorder="1" applyAlignment="1">
      <alignment horizontal="center" vertical="center"/>
    </xf>
    <xf numFmtId="192" fontId="66" fillId="11" borderId="68" xfId="0" applyNumberFormat="1" applyFont="1" applyFill="1" applyBorder="1" applyAlignment="1">
      <alignment horizontal="center" vertical="center"/>
    </xf>
    <xf numFmtId="192" fontId="66" fillId="11" borderId="689" xfId="0" applyNumberFormat="1" applyFont="1" applyFill="1" applyBorder="1" applyAlignment="1">
      <alignment horizontal="center" vertical="center"/>
    </xf>
    <xf numFmtId="193" fontId="66" fillId="11" borderId="71" xfId="0" applyNumberFormat="1" applyFont="1" applyFill="1" applyBorder="1" applyAlignment="1">
      <alignment horizontal="center" vertical="center"/>
    </xf>
    <xf numFmtId="193" fontId="66" fillId="11" borderId="88" xfId="0" applyNumberFormat="1" applyFont="1" applyFill="1" applyBorder="1" applyAlignment="1">
      <alignment horizontal="center" vertical="center"/>
    </xf>
    <xf numFmtId="192" fontId="66" fillId="11" borderId="70" xfId="0" applyNumberFormat="1" applyFont="1" applyFill="1" applyBorder="1" applyAlignment="1">
      <alignment horizontal="center" vertical="center"/>
    </xf>
    <xf numFmtId="193" fontId="66" fillId="11" borderId="68" xfId="0" applyNumberFormat="1" applyFont="1" applyFill="1" applyBorder="1" applyAlignment="1">
      <alignment horizontal="center" vertical="center"/>
    </xf>
    <xf numFmtId="192" fontId="66" fillId="11" borderId="71" xfId="0" applyNumberFormat="1" applyFont="1" applyFill="1" applyBorder="1" applyAlignment="1">
      <alignment horizontal="center" vertical="center"/>
    </xf>
    <xf numFmtId="193" fontId="66" fillId="11" borderId="226" xfId="0" applyNumberFormat="1" applyFont="1" applyFill="1" applyBorder="1" applyAlignment="1">
      <alignment horizontal="center" vertical="center"/>
    </xf>
    <xf numFmtId="0" fontId="74" fillId="8" borderId="37" xfId="0" applyFont="1" applyFill="1" applyBorder="1">
      <alignment vertical="center"/>
    </xf>
    <xf numFmtId="192" fontId="66" fillId="8" borderId="38" xfId="0" applyNumberFormat="1" applyFont="1" applyFill="1" applyBorder="1" applyAlignment="1">
      <alignment horizontal="center" vertical="center"/>
    </xf>
    <xf numFmtId="193" fontId="66" fillId="8" borderId="72" xfId="0" applyNumberFormat="1" applyFont="1" applyFill="1" applyBorder="1" applyAlignment="1">
      <alignment horizontal="center" vertical="center"/>
    </xf>
    <xf numFmtId="193" fontId="66" fillId="8" borderId="89" xfId="0" applyNumberFormat="1" applyFont="1" applyFill="1" applyBorder="1" applyAlignment="1">
      <alignment horizontal="center" vertical="center"/>
    </xf>
    <xf numFmtId="192" fontId="66" fillId="8" borderId="39" xfId="0" applyNumberFormat="1" applyFont="1" applyFill="1" applyBorder="1" applyAlignment="1">
      <alignment horizontal="center" vertical="center"/>
    </xf>
    <xf numFmtId="193" fontId="66" fillId="8" borderId="37" xfId="0" applyNumberFormat="1" applyFont="1" applyFill="1" applyBorder="1" applyAlignment="1">
      <alignment horizontal="center" vertical="center"/>
    </xf>
    <xf numFmtId="192" fontId="66" fillId="8" borderId="72" xfId="0" applyNumberFormat="1" applyFont="1" applyFill="1" applyBorder="1" applyAlignment="1">
      <alignment horizontal="center" vertical="center"/>
    </xf>
    <xf numFmtId="193" fontId="66" fillId="8" borderId="227" xfId="0" applyNumberFormat="1" applyFont="1" applyFill="1" applyBorder="1" applyAlignment="1">
      <alignment horizontal="center" vertical="center"/>
    </xf>
    <xf numFmtId="192" fontId="66" fillId="11" borderId="11" xfId="0" applyNumberFormat="1" applyFont="1" applyFill="1" applyBorder="1" applyAlignment="1">
      <alignment horizontal="center" vertical="center"/>
    </xf>
    <xf numFmtId="192" fontId="66" fillId="11" borderId="0" xfId="0" applyNumberFormat="1" applyFont="1" applyFill="1" applyBorder="1" applyAlignment="1">
      <alignment horizontal="center" vertical="center"/>
    </xf>
    <xf numFmtId="192" fontId="66" fillId="11" borderId="485" xfId="0" applyNumberFormat="1" applyFont="1" applyFill="1" applyBorder="1" applyAlignment="1">
      <alignment horizontal="center" vertical="center"/>
    </xf>
    <xf numFmtId="193" fontId="66" fillId="11" borderId="46" xfId="0" applyNumberFormat="1" applyFont="1" applyFill="1" applyBorder="1" applyAlignment="1">
      <alignment horizontal="center" vertical="center"/>
    </xf>
    <xf numFmtId="193" fontId="66" fillId="11" borderId="86" xfId="0" applyNumberFormat="1" applyFont="1" applyFill="1" applyBorder="1" applyAlignment="1">
      <alignment horizontal="center" vertical="center"/>
    </xf>
    <xf numFmtId="193" fontId="66" fillId="11" borderId="0" xfId="0" applyNumberFormat="1" applyFont="1" applyFill="1" applyBorder="1" applyAlignment="1">
      <alignment horizontal="center" vertical="center"/>
    </xf>
    <xf numFmtId="193" fontId="66" fillId="11" borderId="225" xfId="0" applyNumberFormat="1" applyFont="1" applyFill="1" applyBorder="1" applyAlignment="1">
      <alignment horizontal="center" vertical="center"/>
    </xf>
    <xf numFmtId="0" fontId="74" fillId="8" borderId="6" xfId="0" applyFont="1" applyFill="1" applyBorder="1">
      <alignment vertical="center"/>
    </xf>
    <xf numFmtId="192" fontId="66" fillId="8" borderId="48" xfId="0" applyNumberFormat="1" applyFont="1" applyFill="1" applyBorder="1" applyAlignment="1">
      <alignment horizontal="center" vertical="center"/>
    </xf>
    <xf numFmtId="192" fontId="66" fillId="8" borderId="6" xfId="0" applyNumberFormat="1" applyFont="1" applyFill="1" applyBorder="1" applyAlignment="1">
      <alignment horizontal="center" vertical="center"/>
    </xf>
    <xf numFmtId="192" fontId="66" fillId="8" borderId="507" xfId="0" applyNumberFormat="1" applyFont="1" applyFill="1" applyBorder="1" applyAlignment="1">
      <alignment horizontal="center" vertical="center"/>
    </xf>
    <xf numFmtId="0" fontId="66" fillId="29" borderId="6" xfId="0" applyFont="1" applyFill="1" applyBorder="1" applyAlignment="1">
      <alignment horizontal="center" vertical="center"/>
    </xf>
    <xf numFmtId="0" fontId="66" fillId="29" borderId="41" xfId="0" applyFont="1" applyFill="1" applyBorder="1" applyAlignment="1">
      <alignment horizontal="center" vertical="center"/>
    </xf>
    <xf numFmtId="193" fontId="66" fillId="8" borderId="43" xfId="0" applyNumberFormat="1" applyFont="1" applyFill="1" applyBorder="1" applyAlignment="1">
      <alignment horizontal="center" vertical="center"/>
    </xf>
    <xf numFmtId="193" fontId="66" fillId="8" borderId="90" xfId="0" applyNumberFormat="1" applyFont="1" applyFill="1" applyBorder="1" applyAlignment="1">
      <alignment horizontal="center" vertical="center"/>
    </xf>
    <xf numFmtId="192" fontId="66" fillId="8" borderId="49" xfId="0" applyNumberFormat="1" applyFont="1" applyFill="1" applyBorder="1" applyAlignment="1">
      <alignment horizontal="center" vertical="center"/>
    </xf>
    <xf numFmtId="0" fontId="66" fillId="29" borderId="211" xfId="0" applyFont="1" applyFill="1" applyBorder="1" applyAlignment="1">
      <alignment horizontal="center" vertical="center"/>
    </xf>
    <xf numFmtId="193" fontId="66" fillId="8" borderId="6" xfId="0" applyNumberFormat="1" applyFont="1" applyFill="1" applyBorder="1" applyAlignment="1">
      <alignment horizontal="center" vertical="center"/>
    </xf>
    <xf numFmtId="192" fontId="66" fillId="8" borderId="43" xfId="0" applyNumberFormat="1" applyFont="1" applyFill="1" applyBorder="1" applyAlignment="1">
      <alignment horizontal="center" vertical="center"/>
    </xf>
    <xf numFmtId="193" fontId="66" fillId="8" borderId="230" xfId="0" applyNumberFormat="1" applyFont="1" applyFill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74" fillId="6" borderId="73" xfId="0" applyFont="1" applyFill="1" applyBorder="1">
      <alignment vertical="center"/>
    </xf>
    <xf numFmtId="0" fontId="74" fillId="6" borderId="34" xfId="0" applyFont="1" applyFill="1" applyBorder="1">
      <alignment vertical="center"/>
    </xf>
    <xf numFmtId="192" fontId="66" fillId="6" borderId="50" xfId="2" applyNumberFormat="1" applyFont="1" applyFill="1" applyBorder="1" applyAlignment="1">
      <alignment horizontal="center" vertical="center"/>
    </xf>
    <xf numFmtId="192" fontId="66" fillId="6" borderId="34" xfId="2" applyNumberFormat="1" applyFont="1" applyFill="1" applyBorder="1" applyAlignment="1">
      <alignment horizontal="center" vertical="center"/>
    </xf>
    <xf numFmtId="192" fontId="66" fillId="6" borderId="532" xfId="2" applyNumberFormat="1" applyFont="1" applyFill="1" applyBorder="1" applyAlignment="1">
      <alignment horizontal="center" vertical="center"/>
    </xf>
    <xf numFmtId="193" fontId="66" fillId="6" borderId="34" xfId="0" applyNumberFormat="1" applyFont="1" applyFill="1" applyBorder="1" applyAlignment="1">
      <alignment horizontal="center" vertical="center"/>
    </xf>
    <xf numFmtId="187" fontId="66" fillId="6" borderId="34" xfId="0" applyNumberFormat="1" applyFont="1" applyFill="1" applyBorder="1" applyAlignment="1">
      <alignment horizontal="center" vertical="center"/>
    </xf>
    <xf numFmtId="202" fontId="66" fillId="6" borderId="51" xfId="2" applyNumberFormat="1" applyFont="1" applyFill="1" applyBorder="1" applyAlignment="1">
      <alignment horizontal="center" vertical="center"/>
    </xf>
    <xf numFmtId="186" fontId="66" fillId="6" borderId="91" xfId="0" applyNumberFormat="1" applyFont="1" applyFill="1" applyBorder="1" applyAlignment="1">
      <alignment horizontal="center" vertical="center"/>
    </xf>
    <xf numFmtId="202" fontId="66" fillId="6" borderId="35" xfId="2" applyNumberFormat="1" applyFont="1" applyFill="1" applyBorder="1" applyAlignment="1">
      <alignment horizontal="center" vertical="center"/>
    </xf>
    <xf numFmtId="186" fontId="66" fillId="6" borderId="511" xfId="2" applyNumberFormat="1" applyFont="1" applyFill="1" applyBorder="1" applyAlignment="1">
      <alignment horizontal="center" vertical="center"/>
    </xf>
    <xf numFmtId="202" fontId="66" fillId="6" borderId="641" xfId="2" applyNumberFormat="1" applyFont="1" applyFill="1" applyBorder="1" applyAlignment="1">
      <alignment horizontal="center" vertical="center"/>
    </xf>
    <xf numFmtId="186" fontId="66" fillId="6" borderId="184" xfId="2" applyNumberFormat="1" applyFont="1" applyFill="1" applyBorder="1" applyAlignment="1">
      <alignment horizontal="center" vertical="center"/>
    </xf>
    <xf numFmtId="192" fontId="66" fillId="0" borderId="11" xfId="2" applyNumberFormat="1" applyFont="1" applyFill="1" applyBorder="1" applyAlignment="1">
      <alignment horizontal="center" vertical="center"/>
    </xf>
    <xf numFmtId="192" fontId="66" fillId="0" borderId="0" xfId="2" applyNumberFormat="1" applyFont="1" applyFill="1" applyBorder="1" applyAlignment="1">
      <alignment horizontal="center" vertical="center"/>
    </xf>
    <xf numFmtId="192" fontId="66" fillId="0" borderId="485" xfId="2" applyNumberFormat="1" applyFont="1" applyFill="1" applyBorder="1" applyAlignment="1">
      <alignment horizontal="center" vertical="center"/>
    </xf>
    <xf numFmtId="187" fontId="66" fillId="0" borderId="0" xfId="0" applyNumberFormat="1" applyFont="1" applyFill="1" applyBorder="1" applyAlignment="1">
      <alignment horizontal="center" vertical="center"/>
    </xf>
    <xf numFmtId="186" fontId="66" fillId="0" borderId="46" xfId="0" applyNumberFormat="1" applyFont="1" applyFill="1" applyBorder="1" applyAlignment="1">
      <alignment horizontal="center" vertical="center"/>
    </xf>
    <xf numFmtId="186" fontId="66" fillId="0" borderId="86" xfId="0" applyNumberFormat="1" applyFont="1" applyFill="1" applyBorder="1" applyAlignment="1">
      <alignment horizontal="center" vertical="center"/>
    </xf>
    <xf numFmtId="202" fontId="66" fillId="0" borderId="2" xfId="2" applyNumberFormat="1" applyFont="1" applyFill="1" applyBorder="1" applyAlignment="1">
      <alignment horizontal="center" vertical="center"/>
    </xf>
    <xf numFmtId="186" fontId="66" fillId="0" borderId="510" xfId="2" applyNumberFormat="1" applyFont="1" applyFill="1" applyBorder="1" applyAlignment="1">
      <alignment horizontal="center" vertical="center"/>
    </xf>
    <xf numFmtId="186" fontId="66" fillId="0" borderId="271" xfId="2" applyNumberFormat="1" applyFont="1" applyFill="1" applyBorder="1" applyAlignment="1">
      <alignment horizontal="center" vertical="center"/>
    </xf>
    <xf numFmtId="0" fontId="74" fillId="9" borderId="74" xfId="0" applyFont="1" applyFill="1" applyBorder="1">
      <alignment vertical="center"/>
    </xf>
    <xf numFmtId="0" fontId="74" fillId="9" borderId="0" xfId="0" applyFont="1" applyFill="1" applyBorder="1">
      <alignment vertical="center"/>
    </xf>
    <xf numFmtId="192" fontId="66" fillId="9" borderId="485" xfId="2" applyNumberFormat="1" applyFont="1" applyFill="1" applyBorder="1" applyAlignment="1">
      <alignment horizontal="center" vertical="center"/>
    </xf>
    <xf numFmtId="41" fontId="66" fillId="29" borderId="0" xfId="2" applyFont="1" applyFill="1" applyBorder="1" applyAlignment="1">
      <alignment horizontal="center" vertical="center"/>
    </xf>
    <xf numFmtId="186" fontId="66" fillId="9" borderId="46" xfId="0" applyNumberFormat="1" applyFont="1" applyFill="1" applyBorder="1" applyAlignment="1">
      <alignment horizontal="center" vertical="center"/>
    </xf>
    <xf numFmtId="186" fontId="66" fillId="9" borderId="86" xfId="0" applyNumberFormat="1" applyFont="1" applyFill="1" applyBorder="1" applyAlignment="1">
      <alignment horizontal="center" vertical="center"/>
    </xf>
    <xf numFmtId="202" fontId="66" fillId="9" borderId="2" xfId="2" applyNumberFormat="1" applyFont="1" applyFill="1" applyBorder="1" applyAlignment="1">
      <alignment horizontal="center" vertical="center"/>
    </xf>
    <xf numFmtId="186" fontId="66" fillId="9" borderId="40" xfId="2" applyNumberFormat="1" applyFont="1" applyFill="1" applyBorder="1" applyAlignment="1">
      <alignment horizontal="center" vertical="center"/>
    </xf>
    <xf numFmtId="202" fontId="66" fillId="9" borderId="46" xfId="2" applyNumberFormat="1" applyFont="1" applyFill="1" applyBorder="1" applyAlignment="1">
      <alignment horizontal="center" vertical="center"/>
    </xf>
    <xf numFmtId="186" fontId="66" fillId="9" borderId="271" xfId="2" applyNumberFormat="1" applyFont="1" applyFill="1" applyBorder="1" applyAlignment="1">
      <alignment horizontal="center" vertical="center"/>
    </xf>
    <xf numFmtId="186" fontId="66" fillId="0" borderId="40" xfId="2" applyNumberFormat="1" applyFont="1" applyFill="1" applyBorder="1" applyAlignment="1">
      <alignment horizontal="center" vertical="center"/>
    </xf>
    <xf numFmtId="202" fontId="66" fillId="0" borderId="46" xfId="2" applyNumberFormat="1" applyFont="1" applyFill="1" applyBorder="1" applyAlignment="1">
      <alignment horizontal="center" vertical="center"/>
    </xf>
    <xf numFmtId="0" fontId="66" fillId="0" borderId="74" xfId="0" applyFont="1" applyFill="1" applyBorder="1">
      <alignment vertical="center"/>
    </xf>
    <xf numFmtId="192" fontId="66" fillId="3" borderId="11" xfId="2" applyNumberFormat="1" applyFont="1" applyFill="1" applyBorder="1" applyAlignment="1">
      <alignment horizontal="center" vertical="center"/>
    </xf>
    <xf numFmtId="192" fontId="66" fillId="3" borderId="0" xfId="2" applyNumberFormat="1" applyFont="1" applyFill="1" applyBorder="1" applyAlignment="1">
      <alignment horizontal="center" vertical="center"/>
    </xf>
    <xf numFmtId="192" fontId="66" fillId="3" borderId="485" xfId="2" applyNumberFormat="1" applyFont="1" applyFill="1" applyBorder="1" applyAlignment="1">
      <alignment horizontal="center" vertical="center"/>
    </xf>
    <xf numFmtId="186" fontId="66" fillId="3" borderId="46" xfId="0" applyNumberFormat="1" applyFont="1" applyFill="1" applyBorder="1" applyAlignment="1">
      <alignment horizontal="center" vertical="center"/>
    </xf>
    <xf numFmtId="186" fontId="66" fillId="3" borderId="86" xfId="0" applyNumberFormat="1" applyFont="1" applyFill="1" applyBorder="1" applyAlignment="1">
      <alignment horizontal="center" vertical="center"/>
    </xf>
    <xf numFmtId="202" fontId="66" fillId="3" borderId="2" xfId="2" applyNumberFormat="1" applyFont="1" applyFill="1" applyBorder="1" applyAlignment="1">
      <alignment horizontal="center" vertical="center"/>
    </xf>
    <xf numFmtId="186" fontId="66" fillId="3" borderId="40" xfId="2" applyNumberFormat="1" applyFont="1" applyFill="1" applyBorder="1" applyAlignment="1">
      <alignment horizontal="center" vertical="center"/>
    </xf>
    <xf numFmtId="202" fontId="66" fillId="3" borderId="46" xfId="2" applyNumberFormat="1" applyFont="1" applyFill="1" applyBorder="1" applyAlignment="1">
      <alignment horizontal="center" vertical="center"/>
    </xf>
    <xf numFmtId="186" fontId="66" fillId="3" borderId="271" xfId="2" applyNumberFormat="1" applyFont="1" applyFill="1" applyBorder="1" applyAlignment="1">
      <alignment horizontal="center" vertical="center"/>
    </xf>
    <xf numFmtId="0" fontId="91" fillId="0" borderId="74" xfId="0" applyFont="1" applyFill="1" applyBorder="1">
      <alignment vertical="center"/>
    </xf>
    <xf numFmtId="0" fontId="91" fillId="3" borderId="0" xfId="0" quotePrefix="1" applyFont="1" applyFill="1" applyBorder="1" applyAlignment="1">
      <alignment horizontal="center" vertical="center"/>
    </xf>
    <xf numFmtId="192" fontId="91" fillId="3" borderId="11" xfId="2" applyNumberFormat="1" applyFont="1" applyFill="1" applyBorder="1" applyAlignment="1">
      <alignment horizontal="center" vertical="center"/>
    </xf>
    <xf numFmtId="192" fontId="91" fillId="3" borderId="0" xfId="2" applyNumberFormat="1" applyFont="1" applyFill="1" applyBorder="1" applyAlignment="1">
      <alignment horizontal="center" vertical="center"/>
    </xf>
    <xf numFmtId="192" fontId="91" fillId="3" borderId="485" xfId="2" applyNumberFormat="1" applyFont="1" applyFill="1" applyBorder="1" applyAlignment="1">
      <alignment horizontal="center" vertical="center"/>
    </xf>
    <xf numFmtId="41" fontId="91" fillId="29" borderId="0" xfId="2" applyFont="1" applyFill="1" applyBorder="1" applyAlignment="1">
      <alignment horizontal="center" vertical="center"/>
    </xf>
    <xf numFmtId="186" fontId="91" fillId="3" borderId="46" xfId="0" applyNumberFormat="1" applyFont="1" applyFill="1" applyBorder="1" applyAlignment="1">
      <alignment horizontal="center" vertical="center"/>
    </xf>
    <xf numFmtId="186" fontId="91" fillId="3" borderId="86" xfId="0" applyNumberFormat="1" applyFont="1" applyFill="1" applyBorder="1" applyAlignment="1">
      <alignment horizontal="center" vertical="center"/>
    </xf>
    <xf numFmtId="202" fontId="91" fillId="3" borderId="2" xfId="2" applyNumberFormat="1" applyFont="1" applyFill="1" applyBorder="1" applyAlignment="1">
      <alignment horizontal="center" vertical="center"/>
    </xf>
    <xf numFmtId="186" fontId="91" fillId="3" borderId="40" xfId="2" applyNumberFormat="1" applyFont="1" applyFill="1" applyBorder="1" applyAlignment="1">
      <alignment horizontal="center" vertical="center"/>
    </xf>
    <xf numFmtId="202" fontId="91" fillId="3" borderId="46" xfId="2" applyNumberFormat="1" applyFont="1" applyFill="1" applyBorder="1" applyAlignment="1">
      <alignment horizontal="center" vertical="center"/>
    </xf>
    <xf numFmtId="186" fontId="91" fillId="3" borderId="271" xfId="2" applyNumberFormat="1" applyFont="1" applyFill="1" applyBorder="1" applyAlignment="1">
      <alignment horizontal="center" vertical="center"/>
    </xf>
    <xf numFmtId="0" fontId="121" fillId="22" borderId="0" xfId="0" applyFont="1" applyFill="1">
      <alignment vertical="center"/>
    </xf>
    <xf numFmtId="0" fontId="122" fillId="23" borderId="0" xfId="0" applyFont="1" applyFill="1">
      <alignment vertical="center"/>
    </xf>
    <xf numFmtId="192" fontId="86" fillId="0" borderId="11" xfId="2" applyNumberFormat="1" applyFont="1" applyFill="1" applyBorder="1" applyAlignment="1">
      <alignment horizontal="center" vertical="center"/>
    </xf>
    <xf numFmtId="192" fontId="86" fillId="0" borderId="0" xfId="2" applyNumberFormat="1" applyFont="1" applyFill="1" applyBorder="1" applyAlignment="1">
      <alignment horizontal="center" vertical="center"/>
    </xf>
    <xf numFmtId="192" fontId="86" fillId="0" borderId="485" xfId="2" applyNumberFormat="1" applyFont="1" applyFill="1" applyBorder="1" applyAlignment="1">
      <alignment horizontal="center" vertical="center"/>
    </xf>
    <xf numFmtId="41" fontId="86" fillId="29" borderId="0" xfId="2" applyFont="1" applyFill="1" applyBorder="1" applyAlignment="1">
      <alignment horizontal="center" vertical="center"/>
    </xf>
    <xf numFmtId="186" fontId="86" fillId="0" borderId="46" xfId="0" applyNumberFormat="1" applyFont="1" applyFill="1" applyBorder="1" applyAlignment="1">
      <alignment horizontal="center" vertical="center"/>
    </xf>
    <xf numFmtId="186" fontId="86" fillId="0" borderId="86" xfId="0" applyNumberFormat="1" applyFont="1" applyFill="1" applyBorder="1" applyAlignment="1">
      <alignment horizontal="center" vertical="center"/>
    </xf>
    <xf numFmtId="0" fontId="86" fillId="0" borderId="75" xfId="0" applyFont="1" applyBorder="1">
      <alignment vertical="center"/>
    </xf>
    <xf numFmtId="0" fontId="86" fillId="0" borderId="542" xfId="0" applyFont="1" applyBorder="1">
      <alignment vertical="center"/>
    </xf>
    <xf numFmtId="0" fontId="86" fillId="0" borderId="75" xfId="0" applyFont="1" applyBorder="1" applyAlignment="1">
      <alignment horizontal="center" vertical="center"/>
    </xf>
    <xf numFmtId="192" fontId="86" fillId="0" borderId="36" xfId="2" applyNumberFormat="1" applyFont="1" applyFill="1" applyBorder="1" applyAlignment="1">
      <alignment horizontal="center" vertical="center"/>
    </xf>
    <xf numFmtId="192" fontId="86" fillId="0" borderId="1142" xfId="2" applyNumberFormat="1" applyFont="1" applyFill="1" applyBorder="1" applyAlignment="1">
      <alignment horizontal="center" vertical="center"/>
    </xf>
    <xf numFmtId="41" fontId="86" fillId="29" borderId="36" xfId="2" applyFont="1" applyFill="1" applyBorder="1" applyAlignment="1">
      <alignment horizontal="center" vertical="center"/>
    </xf>
    <xf numFmtId="186" fontId="86" fillId="0" borderId="54" xfId="0" applyNumberFormat="1" applyFont="1" applyFill="1" applyBorder="1" applyAlignment="1">
      <alignment horizontal="center" vertical="center"/>
    </xf>
    <xf numFmtId="186" fontId="86" fillId="0" borderId="92" xfId="0" applyNumberFormat="1" applyFont="1" applyFill="1" applyBorder="1" applyAlignment="1">
      <alignment horizontal="center" vertical="center"/>
    </xf>
    <xf numFmtId="202" fontId="86" fillId="0" borderId="53" xfId="2" applyNumberFormat="1" applyFont="1" applyFill="1" applyBorder="1" applyAlignment="1">
      <alignment horizontal="center" vertical="center"/>
    </xf>
    <xf numFmtId="242" fontId="86" fillId="5" borderId="36" xfId="2" applyNumberFormat="1" applyFont="1" applyFill="1" applyBorder="1" applyAlignment="1">
      <alignment horizontal="center" vertical="center"/>
    </xf>
    <xf numFmtId="202" fontId="66" fillId="0" borderId="54" xfId="2" applyNumberFormat="1" applyFont="1" applyFill="1" applyBorder="1" applyAlignment="1">
      <alignment horizontal="center" vertical="center"/>
    </xf>
    <xf numFmtId="186" fontId="66" fillId="0" borderId="273" xfId="2" applyNumberFormat="1" applyFont="1" applyFill="1" applyBorder="1" applyAlignment="1">
      <alignment horizontal="center" vertical="center"/>
    </xf>
    <xf numFmtId="0" fontId="88" fillId="6" borderId="34" xfId="0" applyFont="1" applyFill="1" applyBorder="1">
      <alignment vertical="center"/>
    </xf>
    <xf numFmtId="192" fontId="86" fillId="6" borderId="532" xfId="2" applyNumberFormat="1" applyFont="1" applyFill="1" applyBorder="1" applyAlignment="1">
      <alignment horizontal="center" vertical="center"/>
    </xf>
    <xf numFmtId="193" fontId="86" fillId="6" borderId="34" xfId="2" applyNumberFormat="1" applyFont="1" applyFill="1" applyBorder="1" applyAlignment="1">
      <alignment horizontal="center" vertical="center"/>
    </xf>
    <xf numFmtId="187" fontId="86" fillId="6" borderId="34" xfId="2" applyNumberFormat="1" applyFont="1" applyFill="1" applyBorder="1" applyAlignment="1">
      <alignment horizontal="center" vertical="center"/>
    </xf>
    <xf numFmtId="186" fontId="86" fillId="6" borderId="51" xfId="2" applyNumberFormat="1" applyFont="1" applyFill="1" applyBorder="1" applyAlignment="1">
      <alignment horizontal="center" vertical="center"/>
    </xf>
    <xf numFmtId="186" fontId="86" fillId="6" borderId="91" xfId="2" applyNumberFormat="1" applyFont="1" applyFill="1" applyBorder="1" applyAlignment="1">
      <alignment horizontal="center" vertical="center"/>
    </xf>
    <xf numFmtId="192" fontId="86" fillId="6" borderId="35" xfId="2" applyNumberFormat="1" applyFont="1" applyFill="1" applyBorder="1" applyAlignment="1">
      <alignment horizontal="center" vertical="center"/>
    </xf>
    <xf numFmtId="186" fontId="66" fillId="6" borderId="34" xfId="2" applyNumberFormat="1" applyFont="1" applyFill="1" applyBorder="1" applyAlignment="1">
      <alignment horizontal="center" vertical="center"/>
    </xf>
    <xf numFmtId="192" fontId="66" fillId="6" borderId="51" xfId="2" applyNumberFormat="1" applyFont="1" applyFill="1" applyBorder="1" applyAlignment="1">
      <alignment horizontal="center" vertical="center"/>
    </xf>
    <xf numFmtId="193" fontId="86" fillId="0" borderId="0" xfId="2" applyNumberFormat="1" applyFont="1" applyFill="1" applyBorder="1" applyAlignment="1">
      <alignment horizontal="center" vertical="center"/>
    </xf>
    <xf numFmtId="187" fontId="86" fillId="0" borderId="0" xfId="2" applyNumberFormat="1" applyFont="1" applyFill="1" applyBorder="1" applyAlignment="1">
      <alignment horizontal="center" vertical="center"/>
    </xf>
    <xf numFmtId="192" fontId="86" fillId="0" borderId="2" xfId="2" applyNumberFormat="1" applyFont="1" applyFill="1" applyBorder="1" applyAlignment="1">
      <alignment horizontal="center" vertical="center"/>
    </xf>
    <xf numFmtId="192" fontId="66" fillId="0" borderId="46" xfId="2" applyNumberFormat="1" applyFont="1" applyFill="1" applyBorder="1" applyAlignment="1">
      <alignment horizontal="center" vertical="center"/>
    </xf>
    <xf numFmtId="0" fontId="115" fillId="0" borderId="0" xfId="4" applyFont="1">
      <alignment vertical="center"/>
    </xf>
    <xf numFmtId="0" fontId="86" fillId="0" borderId="32" xfId="0" applyFont="1" applyFill="1" applyBorder="1">
      <alignment vertical="center"/>
    </xf>
    <xf numFmtId="192" fontId="86" fillId="0" borderId="56" xfId="2" applyNumberFormat="1" applyFont="1" applyFill="1" applyBorder="1" applyAlignment="1">
      <alignment horizontal="center" vertical="center"/>
    </xf>
    <xf numFmtId="192" fontId="86" fillId="0" borderId="32" xfId="2" applyNumberFormat="1" applyFont="1" applyFill="1" applyBorder="1" applyAlignment="1">
      <alignment horizontal="center" vertical="center"/>
    </xf>
    <xf numFmtId="192" fontId="86" fillId="0" borderId="974" xfId="2" applyNumberFormat="1" applyFont="1" applyFill="1" applyBorder="1" applyAlignment="1">
      <alignment horizontal="center" vertical="center"/>
    </xf>
    <xf numFmtId="193" fontId="86" fillId="0" borderId="32" xfId="2" applyNumberFormat="1" applyFont="1" applyFill="1" applyBorder="1" applyAlignment="1">
      <alignment horizontal="center" vertical="center"/>
    </xf>
    <xf numFmtId="187" fontId="86" fillId="0" borderId="32" xfId="2" applyNumberFormat="1" applyFont="1" applyFill="1" applyBorder="1" applyAlignment="1">
      <alignment horizontal="center" vertical="center"/>
    </xf>
    <xf numFmtId="186" fontId="86" fillId="0" borderId="57" xfId="2" applyNumberFormat="1" applyFont="1" applyFill="1" applyBorder="1" applyAlignment="1">
      <alignment horizontal="center" vertical="center"/>
    </xf>
    <xf numFmtId="186" fontId="86" fillId="0" borderId="93" xfId="2" applyNumberFormat="1" applyFont="1" applyFill="1" applyBorder="1" applyAlignment="1">
      <alignment horizontal="center" vertical="center"/>
    </xf>
    <xf numFmtId="192" fontId="86" fillId="0" borderId="33" xfId="2" applyNumberFormat="1" applyFont="1" applyFill="1" applyBorder="1" applyAlignment="1">
      <alignment horizontal="center" vertical="center"/>
    </xf>
    <xf numFmtId="186" fontId="66" fillId="0" borderId="32" xfId="2" applyNumberFormat="1" applyFont="1" applyFill="1" applyBorder="1" applyAlignment="1">
      <alignment horizontal="center" vertical="center"/>
    </xf>
    <xf numFmtId="192" fontId="66" fillId="0" borderId="57" xfId="2" applyNumberFormat="1" applyFont="1" applyFill="1" applyBorder="1" applyAlignment="1">
      <alignment horizontal="center" vertical="center"/>
    </xf>
    <xf numFmtId="186" fontId="66" fillId="0" borderId="274" xfId="2" applyNumberFormat="1" applyFont="1" applyFill="1" applyBorder="1" applyAlignment="1">
      <alignment horizontal="center" vertical="center"/>
    </xf>
    <xf numFmtId="0" fontId="86" fillId="0" borderId="0" xfId="0" quotePrefix="1" applyFont="1" applyBorder="1">
      <alignment vertical="center"/>
    </xf>
    <xf numFmtId="193" fontId="66" fillId="0" borderId="0" xfId="2" applyNumberFormat="1" applyFont="1" applyFill="1" applyBorder="1" applyAlignment="1">
      <alignment horizontal="center" vertical="center"/>
    </xf>
    <xf numFmtId="187" fontId="66" fillId="0" borderId="0" xfId="2" applyNumberFormat="1" applyFont="1" applyFill="1" applyBorder="1" applyAlignment="1">
      <alignment horizontal="center" vertical="center"/>
    </xf>
    <xf numFmtId="186" fontId="66" fillId="0" borderId="86" xfId="2" applyNumberFormat="1" applyFont="1" applyFill="1" applyBorder="1" applyAlignment="1">
      <alignment horizontal="center" vertical="center"/>
    </xf>
    <xf numFmtId="192" fontId="66" fillId="0" borderId="2" xfId="2" applyNumberFormat="1" applyFont="1" applyFill="1" applyBorder="1" applyAlignment="1">
      <alignment horizontal="center" vertical="center"/>
    </xf>
    <xf numFmtId="0" fontId="86" fillId="0" borderId="36" xfId="0" applyFont="1" applyFill="1" applyBorder="1">
      <alignment vertical="center"/>
    </xf>
    <xf numFmtId="192" fontId="86" fillId="0" borderId="52" xfId="2" applyNumberFormat="1" applyFont="1" applyFill="1" applyBorder="1" applyAlignment="1">
      <alignment horizontal="center" vertical="center"/>
    </xf>
    <xf numFmtId="193" fontId="86" fillId="0" borderId="36" xfId="2" applyNumberFormat="1" applyFont="1" applyFill="1" applyBorder="1" applyAlignment="1">
      <alignment horizontal="center" vertical="center"/>
    </xf>
    <xf numFmtId="187" fontId="86" fillId="0" borderId="36" xfId="2" applyNumberFormat="1" applyFont="1" applyFill="1" applyBorder="1" applyAlignment="1">
      <alignment horizontal="center" vertical="center"/>
    </xf>
    <xf numFmtId="186" fontId="86" fillId="0" borderId="54" xfId="2" applyNumberFormat="1" applyFont="1" applyFill="1" applyBorder="1" applyAlignment="1">
      <alignment horizontal="center" vertical="center"/>
    </xf>
    <xf numFmtId="186" fontId="86" fillId="0" borderId="92" xfId="2" applyNumberFormat="1" applyFont="1" applyFill="1" applyBorder="1" applyAlignment="1">
      <alignment horizontal="center" vertical="center"/>
    </xf>
    <xf numFmtId="192" fontId="86" fillId="0" borderId="53" xfId="2" applyNumberFormat="1" applyFont="1" applyFill="1" applyBorder="1" applyAlignment="1">
      <alignment horizontal="center" vertical="center"/>
    </xf>
    <xf numFmtId="186" fontId="66" fillId="0" borderId="36" xfId="2" applyNumberFormat="1" applyFont="1" applyFill="1" applyBorder="1" applyAlignment="1">
      <alignment horizontal="center" vertical="center"/>
    </xf>
    <xf numFmtId="192" fontId="66" fillId="0" borderId="54" xfId="2" applyNumberFormat="1" applyFont="1" applyFill="1" applyBorder="1" applyAlignment="1">
      <alignment horizontal="center" vertical="center"/>
    </xf>
    <xf numFmtId="202" fontId="86" fillId="6" borderId="50" xfId="2" applyNumberFormat="1" applyFont="1" applyFill="1" applyBorder="1" applyAlignment="1">
      <alignment horizontal="center" vertical="center"/>
    </xf>
    <xf numFmtId="202" fontId="86" fillId="6" borderId="34" xfId="2" applyNumberFormat="1" applyFont="1" applyFill="1" applyBorder="1" applyAlignment="1">
      <alignment horizontal="center" vertical="center"/>
    </xf>
    <xf numFmtId="202" fontId="86" fillId="6" borderId="532" xfId="2" applyNumberFormat="1" applyFont="1" applyFill="1" applyBorder="1" applyAlignment="1">
      <alignment horizontal="center" vertical="center"/>
    </xf>
    <xf numFmtId="202" fontId="86" fillId="6" borderId="35" xfId="2" applyNumberFormat="1" applyFont="1" applyFill="1" applyBorder="1" applyAlignment="1">
      <alignment horizontal="center" vertical="center"/>
    </xf>
    <xf numFmtId="202" fontId="86" fillId="0" borderId="485" xfId="2" applyNumberFormat="1" applyFont="1" applyFill="1" applyBorder="1" applyAlignment="1">
      <alignment horizontal="center" vertical="center"/>
    </xf>
    <xf numFmtId="202" fontId="86" fillId="0" borderId="56" xfId="2" applyNumberFormat="1" applyFont="1" applyFill="1" applyBorder="1" applyAlignment="1">
      <alignment horizontal="center" vertical="center"/>
    </xf>
    <xf numFmtId="202" fontId="86" fillId="0" borderId="32" xfId="2" applyNumberFormat="1" applyFont="1" applyFill="1" applyBorder="1" applyAlignment="1">
      <alignment horizontal="center" vertical="center"/>
    </xf>
    <xf numFmtId="202" fontId="86" fillId="0" borderId="974" xfId="2" applyNumberFormat="1" applyFont="1" applyFill="1" applyBorder="1" applyAlignment="1">
      <alignment horizontal="center" vertical="center"/>
    </xf>
    <xf numFmtId="202" fontId="86" fillId="0" borderId="33" xfId="2" applyNumberFormat="1" applyFont="1" applyFill="1" applyBorder="1" applyAlignment="1">
      <alignment horizontal="center" vertical="center"/>
    </xf>
    <xf numFmtId="202" fontId="66" fillId="0" borderId="57" xfId="2" applyNumberFormat="1" applyFont="1" applyFill="1" applyBorder="1" applyAlignment="1">
      <alignment horizontal="center" vertical="center"/>
    </xf>
    <xf numFmtId="202" fontId="86" fillId="0" borderId="52" xfId="2" applyNumberFormat="1" applyFont="1" applyFill="1" applyBorder="1" applyAlignment="1">
      <alignment horizontal="center" vertical="center"/>
    </xf>
    <xf numFmtId="202" fontId="86" fillId="0" borderId="36" xfId="2" applyNumberFormat="1" applyFont="1" applyFill="1" applyBorder="1" applyAlignment="1">
      <alignment horizontal="center" vertical="center"/>
    </xf>
    <xf numFmtId="202" fontId="86" fillId="0" borderId="1142" xfId="2" applyNumberFormat="1" applyFont="1" applyFill="1" applyBorder="1" applyAlignment="1">
      <alignment horizontal="center" vertical="center"/>
    </xf>
    <xf numFmtId="0" fontId="88" fillId="3" borderId="58" xfId="0" applyFont="1" applyFill="1" applyBorder="1">
      <alignment vertical="center"/>
    </xf>
    <xf numFmtId="176" fontId="86" fillId="3" borderId="59" xfId="3" applyNumberFormat="1" applyFont="1" applyFill="1" applyBorder="1" applyAlignment="1">
      <alignment horizontal="center" vertical="center"/>
    </xf>
    <xf numFmtId="176" fontId="86" fillId="3" borderId="58" xfId="3" applyNumberFormat="1" applyFont="1" applyFill="1" applyBorder="1" applyAlignment="1">
      <alignment horizontal="center" vertical="center"/>
    </xf>
    <xf numFmtId="176" fontId="86" fillId="3" borderId="1149" xfId="3" applyNumberFormat="1" applyFont="1" applyFill="1" applyBorder="1" applyAlignment="1">
      <alignment horizontal="center" vertical="center"/>
    </xf>
    <xf numFmtId="188" fontId="86" fillId="29" borderId="58" xfId="3" applyNumberFormat="1" applyFont="1" applyFill="1" applyBorder="1" applyAlignment="1">
      <alignment horizontal="center" vertical="center"/>
    </xf>
    <xf numFmtId="176" fontId="86" fillId="29" borderId="58" xfId="3" applyNumberFormat="1" applyFont="1" applyFill="1" applyBorder="1" applyAlignment="1">
      <alignment horizontal="center" vertical="center"/>
    </xf>
    <xf numFmtId="188" fontId="86" fillId="3" borderId="61" xfId="3" applyNumberFormat="1" applyFont="1" applyFill="1" applyBorder="1" applyAlignment="1">
      <alignment horizontal="center" vertical="center"/>
    </xf>
    <xf numFmtId="188" fontId="86" fillId="3" borderId="94" xfId="3" applyNumberFormat="1" applyFont="1" applyFill="1" applyBorder="1" applyAlignment="1">
      <alignment horizontal="center" vertical="center"/>
    </xf>
    <xf numFmtId="176" fontId="86" fillId="3" borderId="60" xfId="3" applyNumberFormat="1" applyFont="1" applyFill="1" applyBorder="1" applyAlignment="1">
      <alignment horizontal="center" vertical="center"/>
    </xf>
    <xf numFmtId="188" fontId="66" fillId="3" borderId="58" xfId="3" applyNumberFormat="1" applyFont="1" applyFill="1" applyBorder="1" applyAlignment="1">
      <alignment horizontal="center" vertical="center"/>
    </xf>
    <xf numFmtId="176" fontId="66" fillId="3" borderId="61" xfId="3" applyNumberFormat="1" applyFont="1" applyFill="1" applyBorder="1" applyAlignment="1">
      <alignment horizontal="center" vertical="center"/>
    </xf>
    <xf numFmtId="188" fontId="66" fillId="3" borderId="238" xfId="3" applyNumberFormat="1" applyFont="1" applyFill="1" applyBorder="1" applyAlignment="1">
      <alignment horizontal="center" vertical="center"/>
    </xf>
    <xf numFmtId="176" fontId="86" fillId="0" borderId="11" xfId="3" applyNumberFormat="1" applyFont="1" applyFill="1" applyBorder="1" applyAlignment="1">
      <alignment horizontal="center" vertical="center"/>
    </xf>
    <xf numFmtId="176" fontId="86" fillId="0" borderId="0" xfId="3" applyNumberFormat="1" applyFont="1" applyFill="1" applyBorder="1" applyAlignment="1">
      <alignment horizontal="center" vertical="center"/>
    </xf>
    <xf numFmtId="176" fontId="86" fillId="0" borderId="485" xfId="3" applyNumberFormat="1" applyFont="1" applyFill="1" applyBorder="1" applyAlignment="1">
      <alignment horizontal="center" vertical="center"/>
    </xf>
    <xf numFmtId="188" fontId="86" fillId="29" borderId="0" xfId="3" applyNumberFormat="1" applyFont="1" applyFill="1" applyBorder="1" applyAlignment="1">
      <alignment horizontal="center" vertical="center"/>
    </xf>
    <xf numFmtId="176" fontId="86" fillId="29" borderId="0" xfId="3" applyNumberFormat="1" applyFont="1" applyFill="1" applyBorder="1" applyAlignment="1">
      <alignment horizontal="center" vertical="center"/>
    </xf>
    <xf numFmtId="188" fontId="86" fillId="0" borderId="46" xfId="3" applyNumberFormat="1" applyFont="1" applyFill="1" applyBorder="1" applyAlignment="1">
      <alignment horizontal="center" vertical="center"/>
    </xf>
    <xf numFmtId="176" fontId="86" fillId="0" borderId="2" xfId="3" applyNumberFormat="1" applyFont="1" applyFill="1" applyBorder="1" applyAlignment="1">
      <alignment horizontal="center" vertical="center"/>
    </xf>
    <xf numFmtId="188" fontId="66" fillId="0" borderId="0" xfId="3" applyNumberFormat="1" applyFont="1" applyFill="1" applyBorder="1" applyAlignment="1">
      <alignment horizontal="center" vertical="center"/>
    </xf>
    <xf numFmtId="176" fontId="66" fillId="0" borderId="46" xfId="3" applyNumberFormat="1" applyFont="1" applyFill="1" applyBorder="1" applyAlignment="1">
      <alignment horizontal="center" vertical="center"/>
    </xf>
    <xf numFmtId="188" fontId="66" fillId="0" borderId="239" xfId="3" applyNumberFormat="1" applyFont="1" applyFill="1" applyBorder="1" applyAlignment="1">
      <alignment horizontal="center" vertical="center"/>
    </xf>
    <xf numFmtId="0" fontId="88" fillId="2" borderId="0" xfId="0" applyFont="1" applyFill="1" applyBorder="1">
      <alignment vertical="center"/>
    </xf>
    <xf numFmtId="176" fontId="86" fillId="2" borderId="11" xfId="3" applyNumberFormat="1" applyFont="1" applyFill="1" applyBorder="1" applyAlignment="1">
      <alignment horizontal="center" vertical="center"/>
    </xf>
    <xf numFmtId="176" fontId="86" fillId="2" borderId="0" xfId="3" applyNumberFormat="1" applyFont="1" applyFill="1" applyBorder="1" applyAlignment="1">
      <alignment horizontal="center" vertical="center"/>
    </xf>
    <xf numFmtId="176" fontId="86" fillId="2" borderId="485" xfId="3" applyNumberFormat="1" applyFont="1" applyFill="1" applyBorder="1" applyAlignment="1">
      <alignment horizontal="center" vertical="center"/>
    </xf>
    <xf numFmtId="188" fontId="86" fillId="2" borderId="46" xfId="3" applyNumberFormat="1" applyFont="1" applyFill="1" applyBorder="1" applyAlignment="1">
      <alignment horizontal="center" vertical="center"/>
    </xf>
    <xf numFmtId="188" fontId="86" fillId="2" borderId="86" xfId="3" applyNumberFormat="1" applyFont="1" applyFill="1" applyBorder="1" applyAlignment="1">
      <alignment horizontal="center" vertical="center"/>
    </xf>
    <xf numFmtId="176" fontId="86" fillId="2" borderId="2" xfId="3" applyNumberFormat="1" applyFont="1" applyFill="1" applyBorder="1" applyAlignment="1">
      <alignment horizontal="center" vertical="center"/>
    </xf>
    <xf numFmtId="188" fontId="66" fillId="2" borderId="0" xfId="3" applyNumberFormat="1" applyFont="1" applyFill="1" applyBorder="1" applyAlignment="1">
      <alignment horizontal="center" vertical="center"/>
    </xf>
    <xf numFmtId="176" fontId="66" fillId="2" borderId="46" xfId="3" applyNumberFormat="1" applyFont="1" applyFill="1" applyBorder="1" applyAlignment="1">
      <alignment horizontal="center" vertical="center"/>
    </xf>
    <xf numFmtId="188" fontId="66" fillId="2" borderId="239" xfId="3" applyNumberFormat="1" applyFont="1" applyFill="1" applyBorder="1" applyAlignment="1">
      <alignment horizontal="center" vertical="center"/>
    </xf>
    <xf numFmtId="0" fontId="88" fillId="3" borderId="0" xfId="0" applyFont="1" applyFill="1" applyBorder="1">
      <alignment vertical="center"/>
    </xf>
    <xf numFmtId="0" fontId="88" fillId="3" borderId="0" xfId="0" quotePrefix="1" applyFont="1" applyFill="1" applyBorder="1">
      <alignment vertical="center"/>
    </xf>
    <xf numFmtId="176" fontId="86" fillId="3" borderId="11" xfId="3" applyNumberFormat="1" applyFont="1" applyFill="1" applyBorder="1" applyAlignment="1">
      <alignment horizontal="center" vertical="center"/>
    </xf>
    <xf numFmtId="176" fontId="86" fillId="3" borderId="0" xfId="3" applyNumberFormat="1" applyFont="1" applyFill="1" applyBorder="1" applyAlignment="1">
      <alignment horizontal="center" vertical="center"/>
    </xf>
    <xf numFmtId="176" fontId="86" fillId="3" borderId="485" xfId="3" applyNumberFormat="1" applyFont="1" applyFill="1" applyBorder="1" applyAlignment="1">
      <alignment horizontal="center" vertical="center"/>
    </xf>
    <xf numFmtId="188" fontId="86" fillId="3" borderId="46" xfId="3" applyNumberFormat="1" applyFont="1" applyFill="1" applyBorder="1" applyAlignment="1">
      <alignment horizontal="center" vertical="center"/>
    </xf>
    <xf numFmtId="188" fontId="86" fillId="3" borderId="86" xfId="3" applyNumberFormat="1" applyFont="1" applyFill="1" applyBorder="1" applyAlignment="1">
      <alignment horizontal="center" vertical="center"/>
    </xf>
    <xf numFmtId="176" fontId="86" fillId="3" borderId="2" xfId="3" applyNumberFormat="1" applyFont="1" applyFill="1" applyBorder="1" applyAlignment="1">
      <alignment horizontal="center" vertical="center"/>
    </xf>
    <xf numFmtId="188" fontId="66" fillId="3" borderId="0" xfId="3" applyNumberFormat="1" applyFont="1" applyFill="1" applyBorder="1" applyAlignment="1">
      <alignment horizontal="center" vertical="center"/>
    </xf>
    <xf numFmtId="176" fontId="66" fillId="3" borderId="46" xfId="3" applyNumberFormat="1" applyFont="1" applyFill="1" applyBorder="1" applyAlignment="1">
      <alignment horizontal="center" vertical="center"/>
    </xf>
    <xf numFmtId="188" fontId="66" fillId="3" borderId="239" xfId="3" applyNumberFormat="1" applyFont="1" applyFill="1" applyBorder="1" applyAlignment="1">
      <alignment horizontal="center" vertical="center"/>
    </xf>
    <xf numFmtId="176" fontId="86" fillId="29" borderId="40" xfId="3" applyNumberFormat="1" applyFont="1" applyFill="1" applyBorder="1" applyAlignment="1">
      <alignment horizontal="center" vertical="center"/>
    </xf>
    <xf numFmtId="176" fontId="86" fillId="29" borderId="187" xfId="3" applyNumberFormat="1" applyFont="1" applyFill="1" applyBorder="1" applyAlignment="1">
      <alignment horizontal="center" vertical="center"/>
    </xf>
    <xf numFmtId="0" fontId="88" fillId="3" borderId="81" xfId="0" applyFont="1" applyFill="1" applyBorder="1">
      <alignment vertical="center"/>
    </xf>
    <xf numFmtId="0" fontId="88" fillId="3" borderId="81" xfId="0" quotePrefix="1" applyFont="1" applyFill="1" applyBorder="1">
      <alignment vertical="center"/>
    </xf>
    <xf numFmtId="176" fontId="86" fillId="3" borderId="82" xfId="3" applyNumberFormat="1" applyFont="1" applyFill="1" applyBorder="1" applyAlignment="1">
      <alignment horizontal="center" vertical="center"/>
    </xf>
    <xf numFmtId="176" fontId="86" fillId="3" borderId="81" xfId="3" applyNumberFormat="1" applyFont="1" applyFill="1" applyBorder="1" applyAlignment="1">
      <alignment horizontal="center" vertical="center"/>
    </xf>
    <xf numFmtId="176" fontId="86" fillId="3" borderId="1150" xfId="3" applyNumberFormat="1" applyFont="1" applyFill="1" applyBorder="1" applyAlignment="1">
      <alignment horizontal="center" vertical="center"/>
    </xf>
    <xf numFmtId="192" fontId="86" fillId="29" borderId="0" xfId="3" applyNumberFormat="1" applyFont="1" applyFill="1" applyBorder="1" applyAlignment="1">
      <alignment horizontal="center" vertical="center"/>
    </xf>
    <xf numFmtId="192" fontId="86" fillId="29" borderId="40" xfId="3" applyNumberFormat="1" applyFont="1" applyFill="1" applyBorder="1" applyAlignment="1">
      <alignment horizontal="center" vertical="center"/>
    </xf>
    <xf numFmtId="188" fontId="86" fillId="3" borderId="84" xfId="3" applyNumberFormat="1" applyFont="1" applyFill="1" applyBorder="1" applyAlignment="1">
      <alignment horizontal="center" vertical="center"/>
    </xf>
    <xf numFmtId="188" fontId="86" fillId="3" borderId="95" xfId="3" applyNumberFormat="1" applyFont="1" applyFill="1" applyBorder="1" applyAlignment="1">
      <alignment horizontal="center" vertical="center"/>
    </xf>
    <xf numFmtId="176" fontId="86" fillId="3" borderId="83" xfId="3" applyNumberFormat="1" applyFont="1" applyFill="1" applyBorder="1" applyAlignment="1">
      <alignment horizontal="center" vertical="center"/>
    </xf>
    <xf numFmtId="192" fontId="86" fillId="29" borderId="187" xfId="3" applyNumberFormat="1" applyFont="1" applyFill="1" applyBorder="1" applyAlignment="1">
      <alignment horizontal="center" vertical="center"/>
    </xf>
    <xf numFmtId="188" fontId="66" fillId="3" borderId="81" xfId="3" applyNumberFormat="1" applyFont="1" applyFill="1" applyBorder="1" applyAlignment="1">
      <alignment horizontal="center" vertical="center"/>
    </xf>
    <xf numFmtId="176" fontId="66" fillId="3" borderId="84" xfId="3" applyNumberFormat="1" applyFont="1" applyFill="1" applyBorder="1" applyAlignment="1">
      <alignment horizontal="center" vertical="center"/>
    </xf>
    <xf numFmtId="188" fontId="66" fillId="3" borderId="278" xfId="3" applyNumberFormat="1" applyFont="1" applyFill="1" applyBorder="1" applyAlignment="1">
      <alignment horizontal="center" vertical="center"/>
    </xf>
    <xf numFmtId="0" fontId="91" fillId="0" borderId="0" xfId="0" applyFont="1" applyFill="1" applyBorder="1">
      <alignment vertical="center"/>
    </xf>
    <xf numFmtId="192" fontId="86" fillId="29" borderId="0" xfId="2" applyNumberFormat="1" applyFont="1" applyFill="1" applyBorder="1" applyAlignment="1">
      <alignment horizontal="center" vertical="center"/>
    </xf>
    <xf numFmtId="186" fontId="66" fillId="0" borderId="239" xfId="2" applyNumberFormat="1" applyFont="1" applyFill="1" applyBorder="1" applyAlignment="1">
      <alignment horizontal="center" vertical="center"/>
    </xf>
    <xf numFmtId="176" fontId="86" fillId="0" borderId="11" xfId="0" applyNumberFormat="1" applyFont="1" applyFill="1" applyBorder="1" applyAlignment="1">
      <alignment horizontal="center" vertical="center"/>
    </xf>
    <xf numFmtId="176" fontId="86" fillId="0" borderId="0" xfId="0" applyNumberFormat="1" applyFont="1" applyFill="1" applyBorder="1" applyAlignment="1">
      <alignment horizontal="center" vertical="center"/>
    </xf>
    <xf numFmtId="176" fontId="86" fillId="0" borderId="485" xfId="0" applyNumberFormat="1" applyFont="1" applyFill="1" applyBorder="1" applyAlignment="1">
      <alignment horizontal="center" vertical="center"/>
    </xf>
    <xf numFmtId="188" fontId="86" fillId="29" borderId="0" xfId="0" applyNumberFormat="1" applyFont="1" applyFill="1" applyBorder="1" applyAlignment="1">
      <alignment horizontal="center" vertical="center"/>
    </xf>
    <xf numFmtId="187" fontId="86" fillId="29" borderId="0" xfId="0" applyNumberFormat="1" applyFont="1" applyFill="1" applyBorder="1" applyAlignment="1">
      <alignment horizontal="center" vertical="center"/>
    </xf>
    <xf numFmtId="188" fontId="86" fillId="0" borderId="46" xfId="0" applyNumberFormat="1" applyFont="1" applyFill="1" applyBorder="1" applyAlignment="1">
      <alignment horizontal="center" vertical="center"/>
    </xf>
    <xf numFmtId="188" fontId="86" fillId="0" borderId="86" xfId="0" applyNumberFormat="1" applyFont="1" applyFill="1" applyBorder="1" applyAlignment="1">
      <alignment horizontal="center" vertical="center"/>
    </xf>
    <xf numFmtId="176" fontId="86" fillId="0" borderId="2" xfId="0" applyNumberFormat="1" applyFont="1" applyFill="1" applyBorder="1" applyAlignment="1">
      <alignment horizontal="center" vertical="center"/>
    </xf>
    <xf numFmtId="176" fontId="66" fillId="0" borderId="46" xfId="0" applyNumberFormat="1" applyFont="1" applyFill="1" applyBorder="1" applyAlignment="1">
      <alignment horizontal="center" vertical="center"/>
    </xf>
    <xf numFmtId="188" fontId="66" fillId="0" borderId="239" xfId="0" applyNumberFormat="1" applyFont="1" applyFill="1" applyBorder="1" applyAlignment="1">
      <alignment horizontal="center" vertical="center"/>
    </xf>
    <xf numFmtId="9" fontId="66" fillId="0" borderId="0" xfId="0" applyNumberFormat="1" applyFont="1">
      <alignment vertical="center"/>
    </xf>
    <xf numFmtId="0" fontId="91" fillId="0" borderId="0" xfId="0" quotePrefix="1" applyFont="1" applyBorder="1">
      <alignment vertical="center"/>
    </xf>
    <xf numFmtId="202" fontId="91" fillId="0" borderId="11" xfId="2" applyNumberFormat="1" applyFont="1" applyFill="1" applyBorder="1" applyAlignment="1">
      <alignment horizontal="center" vertical="center"/>
    </xf>
    <xf numFmtId="202" fontId="91" fillId="0" borderId="0" xfId="2" applyNumberFormat="1" applyFont="1" applyFill="1" applyBorder="1" applyAlignment="1">
      <alignment horizontal="center" vertical="center"/>
    </xf>
    <xf numFmtId="202" fontId="91" fillId="0" borderId="485" xfId="2" applyNumberFormat="1" applyFont="1" applyFill="1" applyBorder="1" applyAlignment="1">
      <alignment horizontal="center" vertical="center"/>
    </xf>
    <xf numFmtId="192" fontId="91" fillId="29" borderId="0" xfId="2" applyNumberFormat="1" applyFont="1" applyFill="1" applyBorder="1" applyAlignment="1">
      <alignment horizontal="center" vertical="center"/>
    </xf>
    <xf numFmtId="186" fontId="91" fillId="0" borderId="46" xfId="2" applyNumberFormat="1" applyFont="1" applyFill="1" applyBorder="1" applyAlignment="1">
      <alignment horizontal="center" vertical="center"/>
    </xf>
    <xf numFmtId="186" fontId="91" fillId="0" borderId="86" xfId="2" applyNumberFormat="1" applyFont="1" applyFill="1" applyBorder="1" applyAlignment="1">
      <alignment horizontal="center" vertical="center"/>
    </xf>
    <xf numFmtId="202" fontId="91" fillId="0" borderId="2" xfId="2" applyNumberFormat="1" applyFont="1" applyFill="1" applyBorder="1" applyAlignment="1">
      <alignment horizontal="center" vertical="center"/>
    </xf>
    <xf numFmtId="186" fontId="78" fillId="0" borderId="0" xfId="2" applyNumberFormat="1" applyFont="1" applyFill="1" applyBorder="1" applyAlignment="1">
      <alignment horizontal="center" vertical="center"/>
    </xf>
    <xf numFmtId="202" fontId="78" fillId="0" borderId="46" xfId="2" applyNumberFormat="1" applyFont="1" applyFill="1" applyBorder="1" applyAlignment="1">
      <alignment horizontal="center" vertical="center"/>
    </xf>
    <xf numFmtId="186" fontId="78" fillId="0" borderId="239" xfId="2" applyNumberFormat="1" applyFont="1" applyFill="1" applyBorder="1" applyAlignment="1">
      <alignment horizontal="center" vertical="center"/>
    </xf>
    <xf numFmtId="0" fontId="91" fillId="0" borderId="63" xfId="0" applyFont="1" applyFill="1" applyBorder="1">
      <alignment vertical="center"/>
    </xf>
    <xf numFmtId="202" fontId="91" fillId="0" borderId="64" xfId="2" applyNumberFormat="1" applyFont="1" applyFill="1" applyBorder="1" applyAlignment="1">
      <alignment horizontal="center" vertical="center"/>
    </xf>
    <xf numFmtId="202" fontId="91" fillId="0" borderId="63" xfId="2" applyNumberFormat="1" applyFont="1" applyFill="1" applyBorder="1" applyAlignment="1">
      <alignment horizontal="center" vertical="center"/>
    </xf>
    <xf numFmtId="202" fontId="91" fillId="0" borderId="1151" xfId="2" applyNumberFormat="1" applyFont="1" applyFill="1" applyBorder="1" applyAlignment="1">
      <alignment horizontal="center" vertical="center"/>
    </xf>
    <xf numFmtId="192" fontId="91" fillId="29" borderId="63" xfId="2" applyNumberFormat="1" applyFont="1" applyFill="1" applyBorder="1" applyAlignment="1">
      <alignment horizontal="center" vertical="center"/>
    </xf>
    <xf numFmtId="186" fontId="91" fillId="0" borderId="66" xfId="2" applyNumberFormat="1" applyFont="1" applyFill="1" applyBorder="1" applyAlignment="1">
      <alignment horizontal="center" vertical="center"/>
    </xf>
    <xf numFmtId="186" fontId="91" fillId="0" borderId="96" xfId="2" applyNumberFormat="1" applyFont="1" applyFill="1" applyBorder="1" applyAlignment="1">
      <alignment horizontal="center" vertical="center"/>
    </xf>
    <xf numFmtId="202" fontId="91" fillId="0" borderId="3" xfId="2" applyNumberFormat="1" applyFont="1" applyFill="1" applyBorder="1" applyAlignment="1">
      <alignment horizontal="center" vertical="center"/>
    </xf>
    <xf numFmtId="186" fontId="78" fillId="0" borderId="63" xfId="2" applyNumberFormat="1" applyFont="1" applyFill="1" applyBorder="1" applyAlignment="1">
      <alignment horizontal="center" vertical="center"/>
    </xf>
    <xf numFmtId="202" fontId="78" fillId="0" borderId="66" xfId="2" applyNumberFormat="1" applyFont="1" applyFill="1" applyBorder="1" applyAlignment="1">
      <alignment horizontal="center" vertical="center"/>
    </xf>
    <xf numFmtId="186" fontId="78" fillId="0" borderId="248" xfId="2" applyNumberFormat="1" applyFont="1" applyFill="1" applyBorder="1" applyAlignment="1">
      <alignment horizontal="center" vertical="center"/>
    </xf>
    <xf numFmtId="9" fontId="86" fillId="0" borderId="0" xfId="0" applyNumberFormat="1" applyFont="1">
      <alignment vertical="center"/>
    </xf>
    <xf numFmtId="41" fontId="66" fillId="0" borderId="0" xfId="0" applyNumberFormat="1" applyFont="1" applyAlignment="1">
      <alignment horizontal="center" vertical="center"/>
    </xf>
    <xf numFmtId="0" fontId="123" fillId="5" borderId="0" xfId="0" applyFont="1" applyFill="1" applyAlignment="1">
      <alignment horizontal="center" vertical="center"/>
    </xf>
    <xf numFmtId="41" fontId="97" fillId="0" borderId="0" xfId="0" applyNumberFormat="1" applyFont="1">
      <alignment vertical="center"/>
    </xf>
    <xf numFmtId="41" fontId="124" fillId="5" borderId="0" xfId="0" applyNumberFormat="1" applyFont="1" applyFill="1">
      <alignment vertical="center"/>
    </xf>
    <xf numFmtId="41" fontId="124" fillId="0" borderId="0" xfId="0" applyNumberFormat="1" applyFont="1">
      <alignment vertical="center"/>
    </xf>
    <xf numFmtId="185" fontId="74" fillId="5" borderId="0" xfId="0" applyNumberFormat="1" applyFont="1" applyFill="1" applyAlignment="1">
      <alignment horizontal="center" vertical="center"/>
    </xf>
    <xf numFmtId="0" fontId="66" fillId="4" borderId="473" xfId="0" applyFont="1" applyFill="1" applyBorder="1">
      <alignment vertical="center"/>
    </xf>
    <xf numFmtId="0" fontId="67" fillId="4" borderId="406" xfId="0" quotePrefix="1" applyFont="1" applyFill="1" applyBorder="1" applyAlignment="1">
      <alignment horizontal="center" vertical="center"/>
    </xf>
    <xf numFmtId="0" fontId="67" fillId="4" borderId="635" xfId="0" quotePrefix="1" applyFont="1" applyFill="1" applyBorder="1" applyAlignment="1">
      <alignment horizontal="center" vertical="center"/>
    </xf>
    <xf numFmtId="0" fontId="67" fillId="4" borderId="634" xfId="0" quotePrefix="1" applyFont="1" applyFill="1" applyBorder="1" applyAlignment="1">
      <alignment horizontal="center" vertical="center"/>
    </xf>
    <xf numFmtId="0" fontId="67" fillId="14" borderId="634" xfId="0" quotePrefix="1" applyFont="1" applyFill="1" applyBorder="1" applyAlignment="1">
      <alignment horizontal="center" vertical="center"/>
    </xf>
    <xf numFmtId="0" fontId="67" fillId="14" borderId="636" xfId="0" quotePrefix="1" applyFont="1" applyFill="1" applyBorder="1" applyAlignment="1">
      <alignment horizontal="center" vertical="center"/>
    </xf>
    <xf numFmtId="0" fontId="74" fillId="11" borderId="499" xfId="0" applyFont="1" applyFill="1" applyBorder="1">
      <alignment vertical="center"/>
    </xf>
    <xf numFmtId="0" fontId="66" fillId="11" borderId="499" xfId="0" applyFont="1" applyFill="1" applyBorder="1">
      <alignment vertical="center"/>
    </xf>
    <xf numFmtId="41" fontId="66" fillId="11" borderId="499" xfId="2" applyFont="1" applyFill="1" applyBorder="1">
      <alignment vertical="center"/>
    </xf>
    <xf numFmtId="41" fontId="66" fillId="11" borderId="1213" xfId="2" applyFont="1" applyFill="1" applyBorder="1">
      <alignment vertical="center"/>
    </xf>
    <xf numFmtId="202" fontId="66" fillId="11" borderId="499" xfId="2" applyNumberFormat="1" applyFont="1" applyFill="1" applyBorder="1">
      <alignment vertical="center"/>
    </xf>
    <xf numFmtId="202" fontId="66" fillId="11" borderId="1213" xfId="2" applyNumberFormat="1" applyFont="1" applyFill="1" applyBorder="1">
      <alignment vertical="center"/>
    </xf>
    <xf numFmtId="202" fontId="66" fillId="11" borderId="500" xfId="2" applyNumberFormat="1" applyFont="1" applyFill="1" applyBorder="1">
      <alignment vertical="center"/>
    </xf>
    <xf numFmtId="41" fontId="66" fillId="11" borderId="485" xfId="2" applyFont="1" applyFill="1" applyBorder="1">
      <alignment vertical="center"/>
    </xf>
    <xf numFmtId="41" fontId="66" fillId="5" borderId="11" xfId="2" applyFont="1" applyFill="1" applyBorder="1">
      <alignment vertical="center"/>
    </xf>
    <xf numFmtId="41" fontId="66" fillId="5" borderId="0" xfId="2" applyFont="1" applyFill="1" applyBorder="1">
      <alignment vertical="center"/>
    </xf>
    <xf numFmtId="202" fontId="66" fillId="11" borderId="631" xfId="2" applyNumberFormat="1" applyFont="1" applyFill="1" applyBorder="1">
      <alignment vertical="center"/>
    </xf>
    <xf numFmtId="202" fontId="66" fillId="9" borderId="458" xfId="2" applyNumberFormat="1" applyFont="1" applyFill="1" applyBorder="1">
      <alignment vertical="center"/>
    </xf>
    <xf numFmtId="202" fontId="66" fillId="0" borderId="458" xfId="2" applyNumberFormat="1" applyFont="1" applyFill="1" applyBorder="1">
      <alignment vertical="center"/>
    </xf>
    <xf numFmtId="41" fontId="86" fillId="0" borderId="0" xfId="2" applyFont="1" applyBorder="1">
      <alignment vertical="center"/>
    </xf>
    <xf numFmtId="202" fontId="66" fillId="0" borderId="0" xfId="2" applyNumberFormat="1" applyFont="1" applyFill="1" applyBorder="1" applyAlignment="1">
      <alignment horizontal="right" vertical="center"/>
    </xf>
    <xf numFmtId="202" fontId="66" fillId="0" borderId="406" xfId="2" applyNumberFormat="1" applyFont="1" applyFill="1" applyBorder="1" applyAlignment="1">
      <alignment horizontal="right" vertical="center"/>
    </xf>
    <xf numFmtId="0" fontId="88" fillId="8" borderId="0" xfId="0" applyFont="1" applyFill="1" applyBorder="1">
      <alignment vertical="center"/>
    </xf>
    <xf numFmtId="202" fontId="66" fillId="8" borderId="458" xfId="2" applyNumberFormat="1" applyFont="1" applyFill="1" applyBorder="1">
      <alignment vertical="center"/>
    </xf>
    <xf numFmtId="0" fontId="88" fillId="11" borderId="499" xfId="0" applyFont="1" applyFill="1" applyBorder="1">
      <alignment vertical="center"/>
    </xf>
    <xf numFmtId="0" fontId="86" fillId="11" borderId="499" xfId="0" applyFont="1" applyFill="1" applyBorder="1">
      <alignment vertical="center"/>
    </xf>
    <xf numFmtId="41" fontId="86" fillId="11" borderId="499" xfId="2" applyFont="1" applyFill="1" applyBorder="1">
      <alignment vertical="center"/>
    </xf>
    <xf numFmtId="41" fontId="86" fillId="11" borderId="1213" xfId="2" applyFont="1" applyFill="1" applyBorder="1">
      <alignment vertical="center"/>
    </xf>
    <xf numFmtId="202" fontId="66" fillId="4" borderId="499" xfId="2" applyNumberFormat="1" applyFont="1" applyFill="1" applyBorder="1">
      <alignment vertical="center"/>
    </xf>
    <xf numFmtId="41" fontId="66" fillId="11" borderId="631" xfId="2" applyFont="1" applyFill="1" applyBorder="1">
      <alignment vertical="center"/>
    </xf>
    <xf numFmtId="202" fontId="66" fillId="4" borderId="0" xfId="2" applyNumberFormat="1" applyFont="1" applyFill="1" applyBorder="1">
      <alignment vertical="center"/>
    </xf>
    <xf numFmtId="0" fontId="66" fillId="0" borderId="0" xfId="2" applyNumberFormat="1" applyFont="1" applyFill="1" applyBorder="1">
      <alignment vertical="center"/>
    </xf>
    <xf numFmtId="41" fontId="66" fillId="5" borderId="458" xfId="0" applyNumberFormat="1" applyFont="1" applyFill="1" applyBorder="1" applyAlignment="1"/>
    <xf numFmtId="41" fontId="66" fillId="5" borderId="0" xfId="0" applyNumberFormat="1" applyFont="1" applyFill="1" applyBorder="1" applyAlignment="1"/>
    <xf numFmtId="41" fontId="66" fillId="5" borderId="0" xfId="0" applyNumberFormat="1" applyFont="1" applyFill="1" applyAlignment="1"/>
    <xf numFmtId="202" fontId="66" fillId="4" borderId="479" xfId="2" applyNumberFormat="1" applyFont="1" applyFill="1" applyBorder="1">
      <alignment vertical="center"/>
    </xf>
    <xf numFmtId="202" fontId="66" fillId="74" borderId="684" xfId="2" applyNumberFormat="1" applyFont="1" applyFill="1" applyBorder="1">
      <alignment vertical="center"/>
    </xf>
    <xf numFmtId="0" fontId="88" fillId="11" borderId="0" xfId="0" applyFont="1" applyFill="1" applyBorder="1">
      <alignment vertical="center"/>
    </xf>
    <xf numFmtId="3" fontId="66" fillId="0" borderId="11" xfId="2" applyNumberFormat="1" applyFont="1" applyFill="1" applyBorder="1">
      <alignment vertical="center"/>
    </xf>
    <xf numFmtId="41" fontId="86" fillId="5" borderId="11" xfId="2" applyFont="1" applyFill="1" applyBorder="1">
      <alignment vertical="center"/>
    </xf>
    <xf numFmtId="41" fontId="86" fillId="5" borderId="0" xfId="2" applyFont="1" applyFill="1" applyBorder="1">
      <alignment vertical="center"/>
    </xf>
    <xf numFmtId="0" fontId="88" fillId="38" borderId="0" xfId="0" applyFont="1" applyFill="1" applyBorder="1">
      <alignment vertical="center"/>
    </xf>
    <xf numFmtId="0" fontId="86" fillId="38" borderId="0" xfId="0" applyFont="1" applyFill="1" applyBorder="1">
      <alignment vertical="center"/>
    </xf>
    <xf numFmtId="41" fontId="86" fillId="38" borderId="0" xfId="2" applyFont="1" applyFill="1" applyBorder="1">
      <alignment vertical="center"/>
    </xf>
    <xf numFmtId="41" fontId="86" fillId="38" borderId="11" xfId="2" applyFont="1" applyFill="1" applyBorder="1">
      <alignment vertical="center"/>
    </xf>
    <xf numFmtId="41" fontId="66" fillId="38" borderId="0" xfId="2" applyFont="1" applyFill="1" applyBorder="1">
      <alignment vertical="center"/>
    </xf>
    <xf numFmtId="202" fontId="66" fillId="38" borderId="0" xfId="2" applyNumberFormat="1" applyFont="1" applyFill="1" applyBorder="1">
      <alignment vertical="center"/>
    </xf>
    <xf numFmtId="202" fontId="66" fillId="38" borderId="11" xfId="2" applyNumberFormat="1" applyFont="1" applyFill="1" applyBorder="1">
      <alignment vertical="center"/>
    </xf>
    <xf numFmtId="202" fontId="66" fillId="38" borderId="406" xfId="2" applyNumberFormat="1" applyFont="1" applyFill="1" applyBorder="1" applyAlignment="1">
      <alignment horizontal="right" vertical="center"/>
    </xf>
    <xf numFmtId="41" fontId="66" fillId="38" borderId="11" xfId="2" applyFont="1" applyFill="1" applyBorder="1">
      <alignment vertical="center"/>
    </xf>
    <xf numFmtId="0" fontId="88" fillId="8" borderId="634" xfId="0" applyFont="1" applyFill="1" applyBorder="1">
      <alignment vertical="center"/>
    </xf>
    <xf numFmtId="0" fontId="86" fillId="8" borderId="634" xfId="0" applyFont="1" applyFill="1" applyBorder="1">
      <alignment vertical="center"/>
    </xf>
    <xf numFmtId="41" fontId="86" fillId="8" borderId="634" xfId="2" applyFont="1" applyFill="1" applyBorder="1">
      <alignment vertical="center"/>
    </xf>
    <xf numFmtId="41" fontId="86" fillId="8" borderId="1216" xfId="2" applyFont="1" applyFill="1" applyBorder="1">
      <alignment vertical="center"/>
    </xf>
    <xf numFmtId="41" fontId="66" fillId="8" borderId="634" xfId="2" applyFont="1" applyFill="1" applyBorder="1">
      <alignment vertical="center"/>
    </xf>
    <xf numFmtId="202" fontId="66" fillId="8" borderId="634" xfId="2" applyNumberFormat="1" applyFont="1" applyFill="1" applyBorder="1">
      <alignment vertical="center"/>
    </xf>
    <xf numFmtId="202" fontId="66" fillId="8" borderId="1216" xfId="2" applyNumberFormat="1" applyFont="1" applyFill="1" applyBorder="1">
      <alignment vertical="center"/>
    </xf>
    <xf numFmtId="202" fontId="66" fillId="8" borderId="636" xfId="2" applyNumberFormat="1" applyFont="1" applyFill="1" applyBorder="1">
      <alignment vertical="center"/>
    </xf>
    <xf numFmtId="41" fontId="66" fillId="8" borderId="1216" xfId="2" applyFont="1" applyFill="1" applyBorder="1">
      <alignment vertical="center"/>
    </xf>
    <xf numFmtId="202" fontId="66" fillId="0" borderId="0" xfId="2" applyNumberFormat="1" applyFont="1" applyBorder="1">
      <alignment vertical="center"/>
    </xf>
    <xf numFmtId="202" fontId="66" fillId="5" borderId="11" xfId="2" applyNumberFormat="1" applyFont="1" applyFill="1" applyBorder="1">
      <alignment vertical="center"/>
    </xf>
    <xf numFmtId="0" fontId="66" fillId="8" borderId="6" xfId="0" applyFont="1" applyFill="1" applyBorder="1">
      <alignment vertical="center"/>
    </xf>
    <xf numFmtId="41" fontId="66" fillId="8" borderId="48" xfId="2" applyFont="1" applyFill="1" applyBorder="1">
      <alignment vertical="center"/>
    </xf>
    <xf numFmtId="41" fontId="66" fillId="8" borderId="6" xfId="2" applyFont="1" applyFill="1" applyBorder="1">
      <alignment vertical="center"/>
    </xf>
    <xf numFmtId="202" fontId="66" fillId="8" borderId="6" xfId="2" applyNumberFormat="1" applyFont="1" applyFill="1" applyBorder="1">
      <alignment vertical="center"/>
    </xf>
    <xf numFmtId="202" fontId="66" fillId="8" borderId="48" xfId="2" applyNumberFormat="1" applyFont="1" applyFill="1" applyBorder="1">
      <alignment vertical="center"/>
    </xf>
    <xf numFmtId="41" fontId="83" fillId="0" borderId="0" xfId="0" applyNumberFormat="1" applyFont="1">
      <alignment vertical="center"/>
    </xf>
    <xf numFmtId="230" fontId="125" fillId="18" borderId="0" xfId="0" applyNumberFormat="1" applyFont="1" applyFill="1" applyAlignment="1">
      <alignment horizontal="center" vertical="center"/>
    </xf>
    <xf numFmtId="0" fontId="69" fillId="5" borderId="884" xfId="0" applyFont="1" applyFill="1" applyBorder="1" applyAlignment="1">
      <alignment vertical="center"/>
    </xf>
    <xf numFmtId="0" fontId="70" fillId="39" borderId="0" xfId="0" applyFont="1" applyFill="1" applyAlignment="1">
      <alignment vertical="center"/>
    </xf>
    <xf numFmtId="0" fontId="66" fillId="0" borderId="479" xfId="0" quotePrefix="1" applyFont="1" applyBorder="1">
      <alignment vertical="center"/>
    </xf>
    <xf numFmtId="0" fontId="78" fillId="0" borderId="406" xfId="0" quotePrefix="1" applyFont="1" applyBorder="1" applyAlignment="1">
      <alignment horizontal="right" vertical="center"/>
    </xf>
    <xf numFmtId="0" fontId="74" fillId="4" borderId="380" xfId="0" quotePrefix="1" applyFont="1" applyFill="1" applyBorder="1" applyAlignment="1">
      <alignment horizontal="center" vertical="center"/>
    </xf>
    <xf numFmtId="0" fontId="74" fillId="11" borderId="827" xfId="0" applyFont="1" applyFill="1" applyBorder="1">
      <alignment vertical="center"/>
    </xf>
    <xf numFmtId="41" fontId="66" fillId="11" borderId="828" xfId="2" applyFont="1" applyFill="1" applyBorder="1">
      <alignment vertical="center"/>
    </xf>
    <xf numFmtId="41" fontId="66" fillId="11" borderId="827" xfId="2" applyFont="1" applyFill="1" applyBorder="1">
      <alignment vertical="center"/>
    </xf>
    <xf numFmtId="41" fontId="66" fillId="11" borderId="1143" xfId="2" applyFont="1" applyFill="1" applyBorder="1">
      <alignment vertical="center"/>
    </xf>
    <xf numFmtId="41" fontId="66" fillId="29" borderId="827" xfId="2" applyFont="1" applyFill="1" applyBorder="1">
      <alignment vertical="center"/>
    </xf>
    <xf numFmtId="193" fontId="66" fillId="11" borderId="829" xfId="0" applyNumberFormat="1" applyFont="1" applyFill="1" applyBorder="1">
      <alignment vertical="center"/>
    </xf>
    <xf numFmtId="193" fontId="66" fillId="11" borderId="827" xfId="0" applyNumberFormat="1" applyFont="1" applyFill="1" applyBorder="1">
      <alignment vertical="center"/>
    </xf>
    <xf numFmtId="192" fontId="66" fillId="11" borderId="1219" xfId="2" applyNumberFormat="1" applyFont="1" applyFill="1" applyBorder="1">
      <alignment vertical="center"/>
    </xf>
    <xf numFmtId="194" fontId="66" fillId="29" borderId="827" xfId="0" applyNumberFormat="1" applyFont="1" applyFill="1" applyBorder="1" applyAlignment="1">
      <alignment horizontal="right" vertical="center"/>
    </xf>
    <xf numFmtId="192" fontId="66" fillId="11" borderId="829" xfId="2" applyNumberFormat="1" applyFont="1" applyFill="1" applyBorder="1">
      <alignment vertical="center"/>
    </xf>
    <xf numFmtId="193" fontId="66" fillId="11" borderId="830" xfId="0" applyNumberFormat="1" applyFont="1" applyFill="1" applyBorder="1">
      <alignment vertical="center"/>
    </xf>
    <xf numFmtId="41" fontId="78" fillId="9" borderId="11" xfId="2" applyFont="1" applyFill="1" applyBorder="1">
      <alignment vertical="center"/>
    </xf>
    <xf numFmtId="41" fontId="78" fillId="9" borderId="0" xfId="2" applyFont="1" applyFill="1" applyBorder="1">
      <alignment vertical="center"/>
    </xf>
    <xf numFmtId="41" fontId="78" fillId="9" borderId="485" xfId="2" applyFont="1" applyFill="1" applyBorder="1">
      <alignment vertical="center"/>
    </xf>
    <xf numFmtId="41" fontId="78" fillId="29" borderId="0" xfId="2" applyFont="1" applyFill="1" applyBorder="1">
      <alignment vertical="center"/>
    </xf>
    <xf numFmtId="193" fontId="78" fillId="9" borderId="46" xfId="2" applyNumberFormat="1" applyFont="1" applyFill="1" applyBorder="1">
      <alignment vertical="center"/>
    </xf>
    <xf numFmtId="193" fontId="78" fillId="9" borderId="0" xfId="2" applyNumberFormat="1" applyFont="1" applyFill="1" applyBorder="1">
      <alignment vertical="center"/>
    </xf>
    <xf numFmtId="192" fontId="78" fillId="9" borderId="2" xfId="2" applyNumberFormat="1" applyFont="1" applyFill="1" applyBorder="1">
      <alignment vertical="center"/>
    </xf>
    <xf numFmtId="194" fontId="78" fillId="29" borderId="0" xfId="2" applyNumberFormat="1" applyFont="1" applyFill="1" applyBorder="1" applyAlignment="1">
      <alignment horizontal="right" vertical="center"/>
    </xf>
    <xf numFmtId="194" fontId="78" fillId="29" borderId="0" xfId="0" applyNumberFormat="1" applyFont="1" applyFill="1" applyBorder="1" applyAlignment="1">
      <alignment horizontal="right" vertical="center"/>
    </xf>
    <xf numFmtId="192" fontId="78" fillId="9" borderId="46" xfId="2" applyNumberFormat="1" applyFont="1" applyFill="1" applyBorder="1">
      <alignment vertical="center"/>
    </xf>
    <xf numFmtId="193" fontId="78" fillId="9" borderId="832" xfId="2" applyNumberFormat="1" applyFont="1" applyFill="1" applyBorder="1">
      <alignment vertical="center"/>
    </xf>
    <xf numFmtId="41" fontId="78" fillId="0" borderId="11" xfId="2" applyFont="1" applyFill="1" applyBorder="1">
      <alignment vertical="center"/>
    </xf>
    <xf numFmtId="41" fontId="78" fillId="0" borderId="0" xfId="2" applyFont="1" applyFill="1" applyBorder="1">
      <alignment vertical="center"/>
    </xf>
    <xf numFmtId="41" fontId="78" fillId="0" borderId="485" xfId="2" applyFont="1" applyFill="1" applyBorder="1">
      <alignment vertical="center"/>
    </xf>
    <xf numFmtId="193" fontId="78" fillId="0" borderId="46" xfId="0" applyNumberFormat="1" applyFont="1" applyFill="1" applyBorder="1">
      <alignment vertical="center"/>
    </xf>
    <xf numFmtId="193" fontId="78" fillId="0" borderId="0" xfId="0" applyNumberFormat="1" applyFont="1" applyFill="1" applyBorder="1">
      <alignment vertical="center"/>
    </xf>
    <xf numFmtId="192" fontId="78" fillId="0" borderId="2" xfId="0" applyNumberFormat="1" applyFont="1" applyFill="1" applyBorder="1">
      <alignment vertical="center"/>
    </xf>
    <xf numFmtId="192" fontId="78" fillId="0" borderId="46" xfId="0" applyNumberFormat="1" applyFont="1" applyFill="1" applyBorder="1">
      <alignment vertical="center"/>
    </xf>
    <xf numFmtId="193" fontId="78" fillId="0" borderId="832" xfId="0" applyNumberFormat="1" applyFont="1" applyFill="1" applyBorder="1">
      <alignment vertical="center"/>
    </xf>
    <xf numFmtId="41" fontId="78" fillId="0" borderId="403" xfId="2" applyFont="1" applyFill="1" applyBorder="1">
      <alignment vertical="center"/>
    </xf>
    <xf numFmtId="41" fontId="66" fillId="0" borderId="403" xfId="2" applyFont="1" applyFill="1" applyBorder="1">
      <alignment vertical="center"/>
    </xf>
    <xf numFmtId="41" fontId="66" fillId="29" borderId="0" xfId="2" applyFont="1" applyFill="1" applyBorder="1">
      <alignment vertical="center"/>
    </xf>
    <xf numFmtId="193" fontId="66" fillId="0" borderId="46" xfId="0" applyNumberFormat="1" applyFont="1" applyFill="1" applyBorder="1">
      <alignment vertical="center"/>
    </xf>
    <xf numFmtId="193" fontId="66" fillId="0" borderId="0" xfId="0" applyNumberFormat="1" applyFont="1" applyFill="1" applyBorder="1">
      <alignment vertical="center"/>
    </xf>
    <xf numFmtId="192" fontId="66" fillId="0" borderId="2" xfId="0" applyNumberFormat="1" applyFont="1" applyFill="1" applyBorder="1">
      <alignment vertical="center"/>
    </xf>
    <xf numFmtId="194" fontId="66" fillId="29" borderId="0" xfId="0" applyNumberFormat="1" applyFont="1" applyFill="1" applyBorder="1" applyAlignment="1">
      <alignment horizontal="right" vertical="center"/>
    </xf>
    <xf numFmtId="192" fontId="66" fillId="0" borderId="46" xfId="0" applyNumberFormat="1" applyFont="1" applyFill="1" applyBorder="1">
      <alignment vertical="center"/>
    </xf>
    <xf numFmtId="193" fontId="66" fillId="0" borderId="832" xfId="0" applyNumberFormat="1" applyFont="1" applyFill="1" applyBorder="1">
      <alignment vertical="center"/>
    </xf>
    <xf numFmtId="41" fontId="66" fillId="2" borderId="0" xfId="2" applyFont="1" applyFill="1" applyBorder="1">
      <alignment vertical="center"/>
    </xf>
    <xf numFmtId="41" fontId="66" fillId="2" borderId="485" xfId="2" applyFont="1" applyFill="1" applyBorder="1">
      <alignment vertical="center"/>
    </xf>
    <xf numFmtId="41" fontId="66" fillId="2" borderId="2" xfId="2" applyFont="1" applyFill="1" applyBorder="1">
      <alignment vertical="center"/>
    </xf>
    <xf numFmtId="41" fontId="66" fillId="2" borderId="510" xfId="2" applyFont="1" applyFill="1" applyBorder="1">
      <alignment vertical="center"/>
    </xf>
    <xf numFmtId="41" fontId="66" fillId="71" borderId="0" xfId="2" applyFont="1" applyFill="1" applyBorder="1">
      <alignment vertical="center"/>
    </xf>
    <xf numFmtId="192" fontId="66" fillId="8" borderId="11" xfId="2" applyNumberFormat="1" applyFont="1" applyFill="1" applyBorder="1">
      <alignment vertical="center"/>
    </xf>
    <xf numFmtId="192" fontId="66" fillId="8" borderId="0" xfId="2" applyNumberFormat="1" applyFont="1" applyFill="1" applyBorder="1">
      <alignment vertical="center"/>
    </xf>
    <xf numFmtId="192" fontId="66" fillId="8" borderId="485" xfId="2" applyNumberFormat="1" applyFont="1" applyFill="1" applyBorder="1">
      <alignment vertical="center"/>
    </xf>
    <xf numFmtId="192" fontId="66" fillId="29" borderId="0" xfId="2" applyNumberFormat="1" applyFont="1" applyFill="1" applyBorder="1">
      <alignment vertical="center"/>
    </xf>
    <xf numFmtId="193" fontId="66" fillId="8" borderId="46" xfId="0" applyNumberFormat="1" applyFont="1" applyFill="1" applyBorder="1">
      <alignment vertical="center"/>
    </xf>
    <xf numFmtId="193" fontId="66" fillId="8" borderId="0" xfId="0" applyNumberFormat="1" applyFont="1" applyFill="1" applyBorder="1">
      <alignment vertical="center"/>
    </xf>
    <xf numFmtId="192" fontId="66" fillId="8" borderId="2" xfId="0" applyNumberFormat="1" applyFont="1" applyFill="1" applyBorder="1">
      <alignment vertical="center"/>
    </xf>
    <xf numFmtId="192" fontId="66" fillId="8" borderId="46" xfId="0" applyNumberFormat="1" applyFont="1" applyFill="1" applyBorder="1">
      <alignment vertical="center"/>
    </xf>
    <xf numFmtId="193" fontId="66" fillId="8" borderId="832" xfId="0" applyNumberFormat="1" applyFont="1" applyFill="1" applyBorder="1">
      <alignment vertical="center"/>
    </xf>
    <xf numFmtId="41" fontId="66" fillId="11" borderId="689" xfId="2" applyFont="1" applyFill="1" applyBorder="1">
      <alignment vertical="center"/>
    </xf>
    <xf numFmtId="41" fontId="66" fillId="29" borderId="68" xfId="2" applyFont="1" applyFill="1" applyBorder="1">
      <alignment vertical="center"/>
    </xf>
    <xf numFmtId="193" fontId="66" fillId="11" borderId="71" xfId="0" applyNumberFormat="1" applyFont="1" applyFill="1" applyBorder="1">
      <alignment vertical="center"/>
    </xf>
    <xf numFmtId="193" fontId="66" fillId="11" borderId="68" xfId="0" applyNumberFormat="1" applyFont="1" applyFill="1" applyBorder="1">
      <alignment vertical="center"/>
    </xf>
    <xf numFmtId="192" fontId="66" fillId="11" borderId="70" xfId="0" applyNumberFormat="1" applyFont="1" applyFill="1" applyBorder="1">
      <alignment vertical="center"/>
    </xf>
    <xf numFmtId="194" fontId="66" fillId="29" borderId="68" xfId="0" applyNumberFormat="1" applyFont="1" applyFill="1" applyBorder="1" applyAlignment="1">
      <alignment horizontal="right" vertical="center"/>
    </xf>
    <xf numFmtId="192" fontId="66" fillId="11" borderId="71" xfId="0" applyNumberFormat="1" applyFont="1" applyFill="1" applyBorder="1">
      <alignment vertical="center"/>
    </xf>
    <xf numFmtId="193" fontId="66" fillId="11" borderId="834" xfId="0" applyNumberFormat="1" applyFont="1" applyFill="1" applyBorder="1">
      <alignment vertical="center"/>
    </xf>
    <xf numFmtId="41" fontId="66" fillId="9" borderId="485" xfId="2" applyFont="1" applyFill="1" applyBorder="1">
      <alignment vertical="center"/>
    </xf>
    <xf numFmtId="193" fontId="66" fillId="9" borderId="46" xfId="0" applyNumberFormat="1" applyFont="1" applyFill="1" applyBorder="1">
      <alignment vertical="center"/>
    </xf>
    <xf numFmtId="193" fontId="66" fillId="9" borderId="0" xfId="0" applyNumberFormat="1" applyFont="1" applyFill="1" applyBorder="1">
      <alignment vertical="center"/>
    </xf>
    <xf numFmtId="192" fontId="66" fillId="9" borderId="2" xfId="0" applyNumberFormat="1" applyFont="1" applyFill="1" applyBorder="1">
      <alignment vertical="center"/>
    </xf>
    <xf numFmtId="192" fontId="66" fillId="9" borderId="46" xfId="0" applyNumberFormat="1" applyFont="1" applyFill="1" applyBorder="1">
      <alignment vertical="center"/>
    </xf>
    <xf numFmtId="193" fontId="66" fillId="9" borderId="832" xfId="0" applyNumberFormat="1" applyFont="1" applyFill="1" applyBorder="1">
      <alignment vertical="center"/>
    </xf>
    <xf numFmtId="202" fontId="66" fillId="0" borderId="485" xfId="2" applyNumberFormat="1" applyFont="1" applyFill="1" applyBorder="1">
      <alignment vertical="center"/>
    </xf>
    <xf numFmtId="202" fontId="66" fillId="29" borderId="0" xfId="2" applyNumberFormat="1" applyFont="1" applyFill="1" applyBorder="1">
      <alignment vertical="center"/>
    </xf>
    <xf numFmtId="192" fontId="66" fillId="8" borderId="38" xfId="2" applyNumberFormat="1" applyFont="1" applyFill="1" applyBorder="1">
      <alignment vertical="center"/>
    </xf>
    <xf numFmtId="192" fontId="66" fillId="8" borderId="37" xfId="2" applyNumberFormat="1" applyFont="1" applyFill="1" applyBorder="1">
      <alignment vertical="center"/>
    </xf>
    <xf numFmtId="192" fontId="66" fillId="8" borderId="481" xfId="2" applyNumberFormat="1" applyFont="1" applyFill="1" applyBorder="1">
      <alignment vertical="center"/>
    </xf>
    <xf numFmtId="192" fontId="66" fillId="29" borderId="37" xfId="2" applyNumberFormat="1" applyFont="1" applyFill="1" applyBorder="1">
      <alignment vertical="center"/>
    </xf>
    <xf numFmtId="193" fontId="66" fillId="8" borderId="72" xfId="0" applyNumberFormat="1" applyFont="1" applyFill="1" applyBorder="1">
      <alignment vertical="center"/>
    </xf>
    <xf numFmtId="193" fontId="66" fillId="8" borderId="37" xfId="0" applyNumberFormat="1" applyFont="1" applyFill="1" applyBorder="1">
      <alignment vertical="center"/>
    </xf>
    <xf numFmtId="192" fontId="66" fillId="8" borderId="39" xfId="0" applyNumberFormat="1" applyFont="1" applyFill="1" applyBorder="1">
      <alignment vertical="center"/>
    </xf>
    <xf numFmtId="194" fontId="66" fillId="29" borderId="37" xfId="0" applyNumberFormat="1" applyFont="1" applyFill="1" applyBorder="1" applyAlignment="1">
      <alignment horizontal="right" vertical="center"/>
    </xf>
    <xf numFmtId="192" fontId="66" fillId="8" borderId="72" xfId="0" applyNumberFormat="1" applyFont="1" applyFill="1" applyBorder="1">
      <alignment vertical="center"/>
    </xf>
    <xf numFmtId="193" fontId="66" fillId="8" borderId="836" xfId="0" applyNumberFormat="1" applyFont="1" applyFill="1" applyBorder="1">
      <alignment vertical="center"/>
    </xf>
    <xf numFmtId="0" fontId="74" fillId="8" borderId="838" xfId="0" applyFont="1" applyFill="1" applyBorder="1">
      <alignment vertical="center"/>
    </xf>
    <xf numFmtId="192" fontId="66" fillId="8" borderId="839" xfId="2" applyNumberFormat="1" applyFont="1" applyFill="1" applyBorder="1">
      <alignment vertical="center"/>
    </xf>
    <xf numFmtId="192" fontId="66" fillId="8" borderId="838" xfId="2" applyNumberFormat="1" applyFont="1" applyFill="1" applyBorder="1">
      <alignment vertical="center"/>
    </xf>
    <xf numFmtId="192" fontId="66" fillId="8" borderId="1144" xfId="2" applyNumberFormat="1" applyFont="1" applyFill="1" applyBorder="1">
      <alignment vertical="center"/>
    </xf>
    <xf numFmtId="192" fontId="66" fillId="29" borderId="838" xfId="2" applyNumberFormat="1" applyFont="1" applyFill="1" applyBorder="1">
      <alignment vertical="center"/>
    </xf>
    <xf numFmtId="193" fontId="66" fillId="8" borderId="840" xfId="0" applyNumberFormat="1" applyFont="1" applyFill="1" applyBorder="1">
      <alignment vertical="center"/>
    </xf>
    <xf numFmtId="193" fontId="66" fillId="8" borderId="838" xfId="0" applyNumberFormat="1" applyFont="1" applyFill="1" applyBorder="1">
      <alignment vertical="center"/>
    </xf>
    <xf numFmtId="192" fontId="66" fillId="8" borderId="1220" xfId="0" applyNumberFormat="1" applyFont="1" applyFill="1" applyBorder="1">
      <alignment vertical="center"/>
    </xf>
    <xf numFmtId="194" fontId="66" fillId="29" borderId="838" xfId="0" applyNumberFormat="1" applyFont="1" applyFill="1" applyBorder="1" applyAlignment="1">
      <alignment horizontal="right" vertical="center"/>
    </xf>
    <xf numFmtId="192" fontId="66" fillId="8" borderId="840" xfId="0" applyNumberFormat="1" applyFont="1" applyFill="1" applyBorder="1">
      <alignment vertical="center"/>
    </xf>
    <xf numFmtId="193" fontId="66" fillId="8" borderId="841" xfId="0" applyNumberFormat="1" applyFont="1" applyFill="1" applyBorder="1">
      <alignment vertical="center"/>
    </xf>
    <xf numFmtId="0" fontId="74" fillId="0" borderId="0" xfId="0" applyFont="1" applyFill="1">
      <alignment vertical="center"/>
    </xf>
    <xf numFmtId="0" fontId="66" fillId="0" borderId="0" xfId="0" applyFont="1" applyFill="1">
      <alignment vertical="center"/>
    </xf>
    <xf numFmtId="41" fontId="66" fillId="0" borderId="0" xfId="2" applyFont="1" applyFill="1">
      <alignment vertical="center"/>
    </xf>
    <xf numFmtId="194" fontId="66" fillId="0" borderId="0" xfId="0" applyNumberFormat="1" applyFont="1" applyFill="1" applyAlignment="1">
      <alignment horizontal="right" vertical="center"/>
    </xf>
    <xf numFmtId="193" fontId="66" fillId="0" borderId="0" xfId="0" applyNumberFormat="1" applyFont="1" applyFill="1">
      <alignment vertical="center"/>
    </xf>
    <xf numFmtId="192" fontId="66" fillId="0" borderId="0" xfId="0" applyNumberFormat="1" applyFont="1" applyFill="1">
      <alignment vertical="center"/>
    </xf>
    <xf numFmtId="0" fontId="96" fillId="0" borderId="0" xfId="0" applyFont="1" applyFill="1">
      <alignment vertical="center"/>
    </xf>
    <xf numFmtId="0" fontId="120" fillId="0" borderId="0" xfId="0" applyFont="1" applyFill="1">
      <alignment vertical="center"/>
    </xf>
    <xf numFmtId="192" fontId="66" fillId="11" borderId="1219" xfId="0" applyNumberFormat="1" applyFont="1" applyFill="1" applyBorder="1">
      <alignment vertical="center"/>
    </xf>
    <xf numFmtId="192" fontId="66" fillId="11" borderId="829" xfId="0" applyNumberFormat="1" applyFont="1" applyFill="1" applyBorder="1">
      <alignment vertical="center"/>
    </xf>
    <xf numFmtId="0" fontId="66" fillId="0" borderId="485" xfId="0" applyFont="1" applyBorder="1">
      <alignment vertical="center"/>
    </xf>
    <xf numFmtId="0" fontId="66" fillId="0" borderId="2" xfId="0" applyFont="1" applyBorder="1">
      <alignment vertical="center"/>
    </xf>
    <xf numFmtId="0" fontId="74" fillId="6" borderId="843" xfId="0" applyFont="1" applyFill="1" applyBorder="1">
      <alignment vertical="center"/>
    </xf>
    <xf numFmtId="41" fontId="66" fillId="6" borderId="844" xfId="2" applyFont="1" applyFill="1" applyBorder="1">
      <alignment vertical="center"/>
    </xf>
    <xf numFmtId="41" fontId="66" fillId="6" borderId="843" xfId="2" applyFont="1" applyFill="1" applyBorder="1">
      <alignment vertical="center"/>
    </xf>
    <xf numFmtId="41" fontId="66" fillId="6" borderId="1145" xfId="2" applyFont="1" applyFill="1" applyBorder="1">
      <alignment vertical="center"/>
    </xf>
    <xf numFmtId="186" fontId="66" fillId="6" borderId="843" xfId="2" applyNumberFormat="1" applyFont="1" applyFill="1" applyBorder="1">
      <alignment vertical="center"/>
    </xf>
    <xf numFmtId="187" fontId="66" fillId="6" borderId="843" xfId="2" applyNumberFormat="1" applyFont="1" applyFill="1" applyBorder="1">
      <alignment vertical="center"/>
    </xf>
    <xf numFmtId="193" fontId="66" fillId="6" borderId="845" xfId="2" applyNumberFormat="1" applyFont="1" applyFill="1" applyBorder="1">
      <alignment vertical="center"/>
    </xf>
    <xf numFmtId="41" fontId="66" fillId="6" borderId="1221" xfId="2" applyFont="1" applyFill="1" applyBorder="1">
      <alignment vertical="center"/>
    </xf>
    <xf numFmtId="41" fontId="66" fillId="6" borderId="845" xfId="2" applyFont="1" applyFill="1" applyBorder="1">
      <alignment vertical="center"/>
    </xf>
    <xf numFmtId="186" fontId="66" fillId="6" borderId="846" xfId="2" applyNumberFormat="1" applyFont="1" applyFill="1" applyBorder="1">
      <alignment vertical="center"/>
    </xf>
    <xf numFmtId="186" fontId="66" fillId="0" borderId="0" xfId="2" applyNumberFormat="1" applyFont="1" applyFill="1" applyBorder="1">
      <alignment vertical="center"/>
    </xf>
    <xf numFmtId="187" fontId="66" fillId="0" borderId="0" xfId="2" applyNumberFormat="1" applyFont="1" applyFill="1" applyBorder="1">
      <alignment vertical="center"/>
    </xf>
    <xf numFmtId="186" fontId="66" fillId="0" borderId="46" xfId="2" applyNumberFormat="1" applyFont="1" applyFill="1" applyBorder="1">
      <alignment vertical="center"/>
    </xf>
    <xf numFmtId="41" fontId="66" fillId="0" borderId="2" xfId="2" applyFont="1" applyFill="1" applyBorder="1">
      <alignment vertical="center"/>
    </xf>
    <xf numFmtId="41" fontId="66" fillId="0" borderId="46" xfId="2" applyFont="1" applyFill="1" applyBorder="1">
      <alignment vertical="center"/>
    </xf>
    <xf numFmtId="186" fontId="66" fillId="0" borderId="780" xfId="2" applyNumberFormat="1" applyFont="1" applyFill="1" applyBorder="1">
      <alignment vertical="center"/>
    </xf>
    <xf numFmtId="187" fontId="91" fillId="0" borderId="11" xfId="0" applyNumberFormat="1" applyFont="1" applyFill="1" applyBorder="1">
      <alignment vertical="center"/>
    </xf>
    <xf numFmtId="187" fontId="91" fillId="0" borderId="0" xfId="0" applyNumberFormat="1" applyFont="1" applyFill="1" applyBorder="1">
      <alignment vertical="center"/>
    </xf>
    <xf numFmtId="187" fontId="91" fillId="0" borderId="485" xfId="0" applyNumberFormat="1" applyFont="1" applyFill="1" applyBorder="1">
      <alignment vertical="center"/>
    </xf>
    <xf numFmtId="186" fontId="91" fillId="29" borderId="0" xfId="0" applyNumberFormat="1" applyFont="1" applyFill="1" applyBorder="1" applyAlignment="1">
      <alignment horizontal="right" vertical="center"/>
    </xf>
    <xf numFmtId="187" fontId="91" fillId="29" borderId="0" xfId="0" applyNumberFormat="1" applyFont="1" applyFill="1" applyBorder="1" applyAlignment="1">
      <alignment horizontal="right" vertical="center"/>
    </xf>
    <xf numFmtId="188" fontId="91" fillId="0" borderId="46" xfId="0" applyNumberFormat="1" applyFont="1" applyFill="1" applyBorder="1">
      <alignment vertical="center"/>
    </xf>
    <xf numFmtId="188" fontId="91" fillId="0" borderId="0" xfId="0" applyNumberFormat="1" applyFont="1" applyFill="1" applyBorder="1">
      <alignment vertical="center"/>
    </xf>
    <xf numFmtId="187" fontId="91" fillId="0" borderId="2" xfId="0" applyNumberFormat="1" applyFont="1" applyFill="1" applyBorder="1">
      <alignment vertical="center"/>
    </xf>
    <xf numFmtId="188" fontId="78" fillId="0" borderId="0" xfId="0" applyNumberFormat="1" applyFont="1" applyFill="1" applyBorder="1">
      <alignment vertical="center"/>
    </xf>
    <xf numFmtId="187" fontId="78" fillId="0" borderId="46" xfId="0" applyNumberFormat="1" applyFont="1" applyFill="1" applyBorder="1">
      <alignment vertical="center"/>
    </xf>
    <xf numFmtId="188" fontId="78" fillId="0" borderId="780" xfId="0" applyNumberFormat="1" applyFont="1" applyFill="1" applyBorder="1">
      <alignment vertical="center"/>
    </xf>
    <xf numFmtId="41" fontId="86" fillId="3" borderId="11" xfId="2" applyFont="1" applyFill="1" applyBorder="1">
      <alignment vertical="center"/>
    </xf>
    <xf numFmtId="41" fontId="86" fillId="3" borderId="0" xfId="2" applyFont="1" applyFill="1" applyBorder="1">
      <alignment vertical="center"/>
    </xf>
    <xf numFmtId="41" fontId="86" fillId="3" borderId="485" xfId="2" applyFont="1" applyFill="1" applyBorder="1">
      <alignment vertical="center"/>
    </xf>
    <xf numFmtId="186" fontId="86" fillId="29" borderId="0" xfId="2" applyNumberFormat="1" applyFont="1" applyFill="1" applyBorder="1" applyAlignment="1">
      <alignment horizontal="right" vertical="center"/>
    </xf>
    <xf numFmtId="187" fontId="86" fillId="29" borderId="0" xfId="2" applyNumberFormat="1" applyFont="1" applyFill="1" applyBorder="1" applyAlignment="1">
      <alignment horizontal="right" vertical="center"/>
    </xf>
    <xf numFmtId="186" fontId="86" fillId="3" borderId="46" xfId="2" applyNumberFormat="1" applyFont="1" applyFill="1" applyBorder="1">
      <alignment vertical="center"/>
    </xf>
    <xf numFmtId="186" fontId="86" fillId="3" borderId="0" xfId="2" applyNumberFormat="1" applyFont="1" applyFill="1" applyBorder="1">
      <alignment vertical="center"/>
    </xf>
    <xf numFmtId="41" fontId="86" fillId="3" borderId="2" xfId="2" applyFont="1" applyFill="1" applyBorder="1">
      <alignment vertical="center"/>
    </xf>
    <xf numFmtId="186" fontId="66" fillId="3" borderId="0" xfId="2" applyNumberFormat="1" applyFont="1" applyFill="1" applyBorder="1">
      <alignment vertical="center"/>
    </xf>
    <xf numFmtId="41" fontId="66" fillId="3" borderId="46" xfId="2" applyFont="1" applyFill="1" applyBorder="1">
      <alignment vertical="center"/>
    </xf>
    <xf numFmtId="186" fontId="66" fillId="3" borderId="780" xfId="2" applyNumberFormat="1" applyFont="1" applyFill="1" applyBorder="1">
      <alignment vertical="center"/>
    </xf>
    <xf numFmtId="0" fontId="91" fillId="3" borderId="0" xfId="0" applyFont="1" applyFill="1" applyBorder="1">
      <alignment vertical="center"/>
    </xf>
    <xf numFmtId="187" fontId="91" fillId="3" borderId="11" xfId="0" applyNumberFormat="1" applyFont="1" applyFill="1" applyBorder="1">
      <alignment vertical="center"/>
    </xf>
    <xf numFmtId="187" fontId="91" fillId="3" borderId="0" xfId="0" applyNumberFormat="1" applyFont="1" applyFill="1" applyBorder="1">
      <alignment vertical="center"/>
    </xf>
    <xf numFmtId="187" fontId="91" fillId="3" borderId="485" xfId="0" applyNumberFormat="1" applyFont="1" applyFill="1" applyBorder="1">
      <alignment vertical="center"/>
    </xf>
    <xf numFmtId="188" fontId="91" fillId="3" borderId="46" xfId="0" applyNumberFormat="1" applyFont="1" applyFill="1" applyBorder="1">
      <alignment vertical="center"/>
    </xf>
    <xf numFmtId="188" fontId="91" fillId="3" borderId="0" xfId="0" applyNumberFormat="1" applyFont="1" applyFill="1" applyBorder="1">
      <alignment vertical="center"/>
    </xf>
    <xf numFmtId="187" fontId="91" fillId="3" borderId="2" xfId="0" applyNumberFormat="1" applyFont="1" applyFill="1" applyBorder="1">
      <alignment vertical="center"/>
    </xf>
    <xf numFmtId="188" fontId="78" fillId="3" borderId="0" xfId="0" applyNumberFormat="1" applyFont="1" applyFill="1" applyBorder="1">
      <alignment vertical="center"/>
    </xf>
    <xf numFmtId="187" fontId="78" fillId="3" borderId="46" xfId="0" applyNumberFormat="1" applyFont="1" applyFill="1" applyBorder="1">
      <alignment vertical="center"/>
    </xf>
    <xf numFmtId="188" fontId="78" fillId="3" borderId="780" xfId="0" applyNumberFormat="1" applyFont="1" applyFill="1" applyBorder="1">
      <alignment vertical="center"/>
    </xf>
    <xf numFmtId="41" fontId="86" fillId="0" borderId="485" xfId="2" applyFont="1" applyFill="1" applyBorder="1">
      <alignment vertical="center"/>
    </xf>
    <xf numFmtId="186" fontId="86" fillId="0" borderId="46" xfId="2" applyNumberFormat="1" applyFont="1" applyFill="1" applyBorder="1">
      <alignment vertical="center"/>
    </xf>
    <xf numFmtId="186" fontId="86" fillId="0" borderId="0" xfId="2" applyNumberFormat="1" applyFont="1" applyFill="1" applyBorder="1">
      <alignment vertical="center"/>
    </xf>
    <xf numFmtId="41" fontId="86" fillId="0" borderId="2" xfId="2" applyFont="1" applyFill="1" applyBorder="1">
      <alignment vertical="center"/>
    </xf>
    <xf numFmtId="0" fontId="86" fillId="0" borderId="55" xfId="0" applyFont="1" applyFill="1" applyBorder="1">
      <alignment vertical="center"/>
    </xf>
    <xf numFmtId="41" fontId="86" fillId="0" borderId="56" xfId="2" applyFont="1" applyFill="1" applyBorder="1">
      <alignment vertical="center"/>
    </xf>
    <xf numFmtId="41" fontId="86" fillId="0" borderId="32" xfId="2" applyFont="1" applyFill="1" applyBorder="1">
      <alignment vertical="center"/>
    </xf>
    <xf numFmtId="41" fontId="86" fillId="0" borderId="974" xfId="2" applyFont="1" applyFill="1" applyBorder="1">
      <alignment vertical="center"/>
    </xf>
    <xf numFmtId="186" fontId="86" fillId="0" borderId="32" xfId="2" applyNumberFormat="1" applyFont="1" applyFill="1" applyBorder="1">
      <alignment vertical="center"/>
    </xf>
    <xf numFmtId="187" fontId="86" fillId="0" borderId="32" xfId="2" applyNumberFormat="1" applyFont="1" applyFill="1" applyBorder="1">
      <alignment vertical="center"/>
    </xf>
    <xf numFmtId="186" fontId="86" fillId="0" borderId="57" xfId="2" applyNumberFormat="1" applyFont="1" applyFill="1" applyBorder="1">
      <alignment vertical="center"/>
    </xf>
    <xf numFmtId="41" fontId="86" fillId="0" borderId="33" xfId="2" applyFont="1" applyFill="1" applyBorder="1">
      <alignment vertical="center"/>
    </xf>
    <xf numFmtId="186" fontId="66" fillId="0" borderId="32" xfId="2" applyNumberFormat="1" applyFont="1" applyFill="1" applyBorder="1">
      <alignment vertical="center"/>
    </xf>
    <xf numFmtId="41" fontId="66" fillId="0" borderId="57" xfId="2" applyFont="1" applyFill="1" applyBorder="1">
      <alignment vertical="center"/>
    </xf>
    <xf numFmtId="186" fontId="66" fillId="0" borderId="848" xfId="2" applyNumberFormat="1" applyFont="1" applyFill="1" applyBorder="1">
      <alignment vertical="center"/>
    </xf>
    <xf numFmtId="187" fontId="86" fillId="0" borderId="0" xfId="2" applyNumberFormat="1" applyFont="1" applyFill="1" applyBorder="1">
      <alignment vertical="center"/>
    </xf>
    <xf numFmtId="0" fontId="86" fillId="0" borderId="788" xfId="0" applyFont="1" applyFill="1" applyBorder="1">
      <alignment vertical="center"/>
    </xf>
    <xf numFmtId="41" fontId="86" fillId="0" borderId="789" xfId="2" applyFont="1" applyFill="1" applyBorder="1">
      <alignment vertical="center"/>
    </xf>
    <xf numFmtId="41" fontId="86" fillId="0" borderId="788" xfId="2" applyFont="1" applyFill="1" applyBorder="1">
      <alignment vertical="center"/>
    </xf>
    <xf numFmtId="41" fontId="86" fillId="0" borderId="869" xfId="2" applyFont="1" applyFill="1" applyBorder="1">
      <alignment vertical="center"/>
    </xf>
    <xf numFmtId="186" fontId="86" fillId="0" borderId="791" xfId="2" applyNumberFormat="1" applyFont="1" applyFill="1" applyBorder="1">
      <alignment vertical="center"/>
    </xf>
    <xf numFmtId="186" fontId="86" fillId="0" borderId="788" xfId="2" applyNumberFormat="1" applyFont="1" applyFill="1" applyBorder="1">
      <alignment vertical="center"/>
    </xf>
    <xf numFmtId="41" fontId="86" fillId="0" borderId="3" xfId="2" applyFont="1" applyFill="1" applyBorder="1">
      <alignment vertical="center"/>
    </xf>
    <xf numFmtId="186" fontId="66" fillId="0" borderId="788" xfId="2" applyNumberFormat="1" applyFont="1" applyFill="1" applyBorder="1">
      <alignment vertical="center"/>
    </xf>
    <xf numFmtId="41" fontId="66" fillId="0" borderId="791" xfId="2" applyFont="1" applyFill="1" applyBorder="1">
      <alignment vertical="center"/>
    </xf>
    <xf numFmtId="186" fontId="66" fillId="0" borderId="792" xfId="2" applyNumberFormat="1" applyFont="1" applyFill="1" applyBorder="1">
      <alignment vertical="center"/>
    </xf>
    <xf numFmtId="0" fontId="86" fillId="0" borderId="485" xfId="0" applyFont="1" applyBorder="1">
      <alignment vertical="center"/>
    </xf>
    <xf numFmtId="0" fontId="88" fillId="6" borderId="843" xfId="0" applyFont="1" applyFill="1" applyBorder="1">
      <alignment vertical="center"/>
    </xf>
    <xf numFmtId="41" fontId="86" fillId="14" borderId="844" xfId="2" applyFont="1" applyFill="1" applyBorder="1">
      <alignment vertical="center"/>
    </xf>
    <xf numFmtId="41" fontId="86" fillId="6" borderId="843" xfId="2" applyFont="1" applyFill="1" applyBorder="1">
      <alignment vertical="center"/>
    </xf>
    <xf numFmtId="41" fontId="86" fillId="6" borderId="1145" xfId="2" applyFont="1" applyFill="1" applyBorder="1">
      <alignment vertical="center"/>
    </xf>
    <xf numFmtId="186" fontId="86" fillId="6" borderId="843" xfId="2" applyNumberFormat="1" applyFont="1" applyFill="1" applyBorder="1">
      <alignment vertical="center"/>
    </xf>
    <xf numFmtId="187" fontId="86" fillId="6" borderId="843" xfId="0" applyNumberFormat="1" applyFont="1" applyFill="1" applyBorder="1">
      <alignment vertical="center"/>
    </xf>
    <xf numFmtId="186" fontId="86" fillId="6" borderId="845" xfId="0" applyNumberFormat="1" applyFont="1" applyFill="1" applyBorder="1">
      <alignment vertical="center"/>
    </xf>
    <xf numFmtId="186" fontId="86" fillId="6" borderId="843" xfId="0" applyNumberFormat="1" applyFont="1" applyFill="1" applyBorder="1">
      <alignment vertical="center"/>
    </xf>
    <xf numFmtId="41" fontId="86" fillId="6" borderId="1" xfId="0" applyNumberFormat="1" applyFont="1" applyFill="1" applyBorder="1">
      <alignment vertical="center"/>
    </xf>
    <xf numFmtId="186" fontId="66" fillId="6" borderId="843" xfId="0" applyNumberFormat="1" applyFont="1" applyFill="1" applyBorder="1">
      <alignment vertical="center"/>
    </xf>
    <xf numFmtId="41" fontId="66" fillId="6" borderId="845" xfId="0" applyNumberFormat="1" applyFont="1" applyFill="1" applyBorder="1">
      <alignment vertical="center"/>
    </xf>
    <xf numFmtId="186" fontId="66" fillId="6" borderId="846" xfId="0" applyNumberFormat="1" applyFont="1" applyFill="1" applyBorder="1">
      <alignment vertical="center"/>
    </xf>
    <xf numFmtId="41" fontId="74" fillId="0" borderId="0" xfId="2" applyFont="1">
      <alignment vertical="center"/>
    </xf>
    <xf numFmtId="0" fontId="86" fillId="24" borderId="0" xfId="0" applyFont="1" applyFill="1" applyBorder="1">
      <alignment vertical="center"/>
    </xf>
    <xf numFmtId="41" fontId="86" fillId="14" borderId="11" xfId="2" applyFont="1" applyFill="1" applyBorder="1">
      <alignment vertical="center"/>
    </xf>
    <xf numFmtId="41" fontId="86" fillId="24" borderId="0" xfId="2" applyFont="1" applyFill="1" applyBorder="1">
      <alignment vertical="center"/>
    </xf>
    <xf numFmtId="41" fontId="86" fillId="24" borderId="485" xfId="2" applyFont="1" applyFill="1" applyBorder="1">
      <alignment vertical="center"/>
    </xf>
    <xf numFmtId="186" fontId="86" fillId="24" borderId="0" xfId="2" applyNumberFormat="1" applyFont="1" applyFill="1" applyBorder="1">
      <alignment vertical="center"/>
    </xf>
    <xf numFmtId="187" fontId="86" fillId="24" borderId="0" xfId="0" applyNumberFormat="1" applyFont="1" applyFill="1" applyBorder="1">
      <alignment vertical="center"/>
    </xf>
    <xf numFmtId="186" fontId="86" fillId="24" borderId="46" xfId="0" applyNumberFormat="1" applyFont="1" applyFill="1" applyBorder="1">
      <alignment vertical="center"/>
    </xf>
    <xf numFmtId="186" fontId="86" fillId="24" borderId="0" xfId="0" applyNumberFormat="1" applyFont="1" applyFill="1" applyBorder="1">
      <alignment vertical="center"/>
    </xf>
    <xf numFmtId="41" fontId="86" fillId="24" borderId="2" xfId="2" applyFont="1" applyFill="1" applyBorder="1">
      <alignment vertical="center"/>
    </xf>
    <xf numFmtId="41" fontId="86" fillId="24" borderId="46" xfId="2" applyFont="1" applyFill="1" applyBorder="1">
      <alignment vertical="center"/>
    </xf>
    <xf numFmtId="186" fontId="86" fillId="24" borderId="780" xfId="0" applyNumberFormat="1" applyFont="1" applyFill="1" applyBorder="1">
      <alignment vertical="center"/>
    </xf>
    <xf numFmtId="0" fontId="66" fillId="24" borderId="0" xfId="0" applyFont="1" applyFill="1" applyBorder="1">
      <alignment vertical="center"/>
    </xf>
    <xf numFmtId="41" fontId="66" fillId="14" borderId="11" xfId="2" applyFont="1" applyFill="1" applyBorder="1">
      <alignment vertical="center"/>
    </xf>
    <xf numFmtId="0" fontId="86" fillId="24" borderId="55" xfId="0" applyFont="1" applyFill="1" applyBorder="1">
      <alignment vertical="center"/>
    </xf>
    <xf numFmtId="0" fontId="86" fillId="24" borderId="32" xfId="0" applyFont="1" applyFill="1" applyBorder="1">
      <alignment vertical="center"/>
    </xf>
    <xf numFmtId="41" fontId="86" fillId="14" borderId="56" xfId="2" applyFont="1" applyFill="1" applyBorder="1">
      <alignment vertical="center"/>
    </xf>
    <xf numFmtId="41" fontId="86" fillId="24" borderId="32" xfId="2" applyFont="1" applyFill="1" applyBorder="1">
      <alignment vertical="center"/>
    </xf>
    <xf numFmtId="41" fontId="86" fillId="24" borderId="974" xfId="2" applyFont="1" applyFill="1" applyBorder="1">
      <alignment vertical="center"/>
    </xf>
    <xf numFmtId="186" fontId="86" fillId="24" borderId="32" xfId="2" applyNumberFormat="1" applyFont="1" applyFill="1" applyBorder="1">
      <alignment vertical="center"/>
    </xf>
    <xf numFmtId="187" fontId="86" fillId="24" borderId="32" xfId="0" applyNumberFormat="1" applyFont="1" applyFill="1" applyBorder="1">
      <alignment vertical="center"/>
    </xf>
    <xf numFmtId="186" fontId="86" fillId="24" borderId="57" xfId="0" applyNumberFormat="1" applyFont="1" applyFill="1" applyBorder="1">
      <alignment vertical="center"/>
    </xf>
    <xf numFmtId="186" fontId="86" fillId="24" borderId="32" xfId="0" applyNumberFormat="1" applyFont="1" applyFill="1" applyBorder="1">
      <alignment vertical="center"/>
    </xf>
    <xf numFmtId="41" fontId="86" fillId="24" borderId="33" xfId="2" applyFont="1" applyFill="1" applyBorder="1">
      <alignment vertical="center"/>
    </xf>
    <xf numFmtId="41" fontId="86" fillId="24" borderId="57" xfId="2" applyFont="1" applyFill="1" applyBorder="1">
      <alignment vertical="center"/>
    </xf>
    <xf numFmtId="186" fontId="86" fillId="24" borderId="848" xfId="0" applyNumberFormat="1" applyFont="1" applyFill="1" applyBorder="1">
      <alignment vertical="center"/>
    </xf>
    <xf numFmtId="187" fontId="86" fillId="0" borderId="0" xfId="0" applyNumberFormat="1" applyFont="1" applyFill="1" applyBorder="1">
      <alignment vertical="center"/>
    </xf>
    <xf numFmtId="186" fontId="86" fillId="0" borderId="46" xfId="0" applyNumberFormat="1" applyFont="1" applyFill="1" applyBorder="1">
      <alignment vertical="center"/>
    </xf>
    <xf numFmtId="186" fontId="86" fillId="0" borderId="0" xfId="0" applyNumberFormat="1" applyFont="1" applyFill="1" applyBorder="1">
      <alignment vertical="center"/>
    </xf>
    <xf numFmtId="186" fontId="66" fillId="0" borderId="0" xfId="0" applyNumberFormat="1" applyFont="1" applyFill="1" applyBorder="1">
      <alignment vertical="center"/>
    </xf>
    <xf numFmtId="186" fontId="66" fillId="0" borderId="780" xfId="0" applyNumberFormat="1" applyFont="1" applyFill="1" applyBorder="1">
      <alignment vertical="center"/>
    </xf>
    <xf numFmtId="187" fontId="86" fillId="0" borderId="32" xfId="0" applyNumberFormat="1" applyFont="1" applyFill="1" applyBorder="1">
      <alignment vertical="center"/>
    </xf>
    <xf numFmtId="186" fontId="86" fillId="0" borderId="57" xfId="0" applyNumberFormat="1" applyFont="1" applyFill="1" applyBorder="1">
      <alignment vertical="center"/>
    </xf>
    <xf numFmtId="186" fontId="86" fillId="0" borderId="32" xfId="0" applyNumberFormat="1" applyFont="1" applyFill="1" applyBorder="1">
      <alignment vertical="center"/>
    </xf>
    <xf numFmtId="186" fontId="66" fillId="0" borderId="32" xfId="0" applyNumberFormat="1" applyFont="1" applyFill="1" applyBorder="1">
      <alignment vertical="center"/>
    </xf>
    <xf numFmtId="186" fontId="66" fillId="0" borderId="848" xfId="0" applyNumberFormat="1" applyFont="1" applyFill="1" applyBorder="1">
      <alignment vertical="center"/>
    </xf>
    <xf numFmtId="0" fontId="74" fillId="0" borderId="786" xfId="0" applyFont="1" applyBorder="1">
      <alignment vertical="center"/>
    </xf>
    <xf numFmtId="41" fontId="86" fillId="14" borderId="0" xfId="2" applyFont="1" applyFill="1" applyBorder="1">
      <alignment vertical="center"/>
    </xf>
    <xf numFmtId="41" fontId="86" fillId="0" borderId="485" xfId="2" applyFont="1" applyBorder="1">
      <alignment vertical="center"/>
    </xf>
    <xf numFmtId="186" fontId="86" fillId="0" borderId="0" xfId="2" applyNumberFormat="1" applyFont="1" applyBorder="1">
      <alignment vertical="center"/>
    </xf>
    <xf numFmtId="187" fontId="86" fillId="0" borderId="0" xfId="0" applyNumberFormat="1" applyFont="1" applyBorder="1">
      <alignment vertical="center"/>
    </xf>
    <xf numFmtId="186" fontId="86" fillId="0" borderId="0" xfId="0" applyNumberFormat="1" applyFont="1" applyBorder="1">
      <alignment vertical="center"/>
    </xf>
    <xf numFmtId="41" fontId="86" fillId="0" borderId="2" xfId="2" applyFont="1" applyBorder="1">
      <alignment vertical="center"/>
    </xf>
    <xf numFmtId="186" fontId="66" fillId="0" borderId="0" xfId="0" applyNumberFormat="1" applyFont="1" applyBorder="1">
      <alignment vertical="center"/>
    </xf>
    <xf numFmtId="186" fontId="66" fillId="0" borderId="780" xfId="0" applyNumberFormat="1" applyFont="1" applyBorder="1">
      <alignment vertical="center"/>
    </xf>
    <xf numFmtId="0" fontId="88" fillId="6" borderId="31" xfId="0" applyFont="1" applyFill="1" applyBorder="1">
      <alignment vertical="center"/>
    </xf>
    <xf numFmtId="41" fontId="86" fillId="14" borderId="183" xfId="2" applyFont="1" applyFill="1" applyBorder="1">
      <alignment vertical="center"/>
    </xf>
    <xf numFmtId="41" fontId="86" fillId="6" borderId="31" xfId="2" applyFont="1" applyFill="1" applyBorder="1">
      <alignment vertical="center"/>
    </xf>
    <xf numFmtId="41" fontId="86" fillId="6" borderId="978" xfId="2" applyFont="1" applyFill="1" applyBorder="1">
      <alignment vertical="center"/>
    </xf>
    <xf numFmtId="186" fontId="86" fillId="6" borderId="31" xfId="2" applyNumberFormat="1" applyFont="1" applyFill="1" applyBorder="1">
      <alignment vertical="center"/>
    </xf>
    <xf numFmtId="187" fontId="86" fillId="6" borderId="31" xfId="0" applyNumberFormat="1" applyFont="1" applyFill="1" applyBorder="1">
      <alignment vertical="center"/>
    </xf>
    <xf numFmtId="186" fontId="86" fillId="6" borderId="101" xfId="0" applyNumberFormat="1" applyFont="1" applyFill="1" applyBorder="1">
      <alignment vertical="center"/>
    </xf>
    <xf numFmtId="186" fontId="86" fillId="6" borderId="31" xfId="0" applyNumberFormat="1" applyFont="1" applyFill="1" applyBorder="1">
      <alignment vertical="center"/>
    </xf>
    <xf numFmtId="41" fontId="86" fillId="6" borderId="1222" xfId="2" applyFont="1" applyFill="1" applyBorder="1">
      <alignment vertical="center"/>
    </xf>
    <xf numFmtId="186" fontId="66" fillId="6" borderId="31" xfId="0" applyNumberFormat="1" applyFont="1" applyFill="1" applyBorder="1">
      <alignment vertical="center"/>
    </xf>
    <xf numFmtId="41" fontId="66" fillId="6" borderId="101" xfId="2" applyFont="1" applyFill="1" applyBorder="1">
      <alignment vertical="center"/>
    </xf>
    <xf numFmtId="186" fontId="66" fillId="6" borderId="852" xfId="0" applyNumberFormat="1" applyFont="1" applyFill="1" applyBorder="1">
      <alignment vertical="center"/>
    </xf>
    <xf numFmtId="186" fontId="66" fillId="24" borderId="0" xfId="0" applyNumberFormat="1" applyFont="1" applyFill="1" applyBorder="1">
      <alignment vertical="center"/>
    </xf>
    <xf numFmtId="41" fontId="66" fillId="24" borderId="46" xfId="2" applyFont="1" applyFill="1" applyBorder="1">
      <alignment vertical="center"/>
    </xf>
    <xf numFmtId="186" fontId="66" fillId="24" borderId="780" xfId="0" applyNumberFormat="1" applyFont="1" applyFill="1" applyBorder="1">
      <alignment vertical="center"/>
    </xf>
    <xf numFmtId="186" fontId="66" fillId="24" borderId="32" xfId="0" applyNumberFormat="1" applyFont="1" applyFill="1" applyBorder="1">
      <alignment vertical="center"/>
    </xf>
    <xf numFmtId="41" fontId="66" fillId="24" borderId="57" xfId="2" applyFont="1" applyFill="1" applyBorder="1">
      <alignment vertical="center"/>
    </xf>
    <xf numFmtId="186" fontId="66" fillId="24" borderId="848" xfId="0" applyNumberFormat="1" applyFont="1" applyFill="1" applyBorder="1">
      <alignment vertical="center"/>
    </xf>
    <xf numFmtId="41" fontId="86" fillId="76" borderId="0" xfId="2" applyFont="1" applyFill="1" applyBorder="1">
      <alignment vertical="center"/>
    </xf>
    <xf numFmtId="186" fontId="86" fillId="76" borderId="0" xfId="2" applyNumberFormat="1" applyFont="1" applyFill="1" applyBorder="1">
      <alignment vertical="center"/>
    </xf>
    <xf numFmtId="41" fontId="86" fillId="14" borderId="789" xfId="2" applyFont="1" applyFill="1" applyBorder="1">
      <alignment vertical="center"/>
    </xf>
    <xf numFmtId="187" fontId="86" fillId="0" borderId="788" xfId="0" applyNumberFormat="1" applyFont="1" applyFill="1" applyBorder="1">
      <alignment vertical="center"/>
    </xf>
    <xf numFmtId="186" fontId="86" fillId="0" borderId="791" xfId="0" applyNumberFormat="1" applyFont="1" applyFill="1" applyBorder="1">
      <alignment vertical="center"/>
    </xf>
    <xf numFmtId="186" fontId="86" fillId="0" borderId="788" xfId="0" applyNumberFormat="1" applyFont="1" applyFill="1" applyBorder="1">
      <alignment vertical="center"/>
    </xf>
    <xf numFmtId="41" fontId="86" fillId="0" borderId="790" xfId="2" applyFont="1" applyFill="1" applyBorder="1">
      <alignment vertical="center"/>
    </xf>
    <xf numFmtId="186" fontId="66" fillId="0" borderId="788" xfId="0" applyNumberFormat="1" applyFont="1" applyFill="1" applyBorder="1">
      <alignment vertical="center"/>
    </xf>
    <xf numFmtId="186" fontId="66" fillId="0" borderId="792" xfId="0" applyNumberFormat="1" applyFont="1" applyFill="1" applyBorder="1">
      <alignment vertical="center"/>
    </xf>
    <xf numFmtId="0" fontId="74" fillId="0" borderId="1138" xfId="0" applyFont="1" applyBorder="1">
      <alignment vertical="center"/>
    </xf>
    <xf numFmtId="0" fontId="86" fillId="0" borderId="1138" xfId="0" applyFont="1" applyBorder="1">
      <alignment vertical="center"/>
    </xf>
    <xf numFmtId="0" fontId="86" fillId="0" borderId="1146" xfId="0" applyFont="1" applyBorder="1">
      <alignment vertical="center"/>
    </xf>
    <xf numFmtId="0" fontId="86" fillId="0" borderId="1223" xfId="0" applyFont="1" applyBorder="1">
      <alignment vertical="center"/>
    </xf>
    <xf numFmtId="0" fontId="66" fillId="0" borderId="1138" xfId="0" applyFont="1" applyBorder="1">
      <alignment vertical="center"/>
    </xf>
    <xf numFmtId="41" fontId="86" fillId="9" borderId="710" xfId="2" applyFont="1" applyFill="1" applyBorder="1">
      <alignment vertical="center"/>
    </xf>
    <xf numFmtId="41" fontId="86" fillId="9" borderId="709" xfId="2" applyFont="1" applyFill="1" applyBorder="1">
      <alignment vertical="center"/>
    </xf>
    <xf numFmtId="41" fontId="86" fillId="9" borderId="1147" xfId="2" applyFont="1" applyFill="1" applyBorder="1">
      <alignment vertical="center"/>
    </xf>
    <xf numFmtId="186" fontId="86" fillId="9" borderId="709" xfId="0" applyNumberFormat="1" applyFont="1" applyFill="1" applyBorder="1">
      <alignment vertical="center"/>
    </xf>
    <xf numFmtId="187" fontId="86" fillId="9" borderId="709" xfId="0" applyNumberFormat="1" applyFont="1" applyFill="1" applyBorder="1">
      <alignment vertical="center"/>
    </xf>
    <xf numFmtId="186" fontId="86" fillId="9" borderId="715" xfId="0" applyNumberFormat="1" applyFont="1" applyFill="1" applyBorder="1">
      <alignment vertical="center"/>
    </xf>
    <xf numFmtId="41" fontId="86" fillId="9" borderId="766" xfId="2" applyFont="1" applyFill="1" applyBorder="1">
      <alignment vertical="center"/>
    </xf>
    <xf numFmtId="186" fontId="66" fillId="9" borderId="709" xfId="0" applyNumberFormat="1" applyFont="1" applyFill="1" applyBorder="1">
      <alignment vertical="center"/>
    </xf>
    <xf numFmtId="41" fontId="66" fillId="9" borderId="715" xfId="2" applyFont="1" applyFill="1" applyBorder="1">
      <alignment vertical="center"/>
    </xf>
    <xf numFmtId="186" fontId="66" fillId="9" borderId="1137" xfId="0" applyNumberFormat="1" applyFont="1" applyFill="1" applyBorder="1">
      <alignment vertical="center"/>
    </xf>
    <xf numFmtId="186" fontId="66" fillId="0" borderId="810" xfId="0" applyNumberFormat="1" applyFont="1" applyFill="1" applyBorder="1">
      <alignment vertical="center"/>
    </xf>
    <xf numFmtId="0" fontId="86" fillId="0" borderId="725" xfId="0" applyFont="1" applyFill="1" applyBorder="1">
      <alignment vertical="center"/>
    </xf>
    <xf numFmtId="41" fontId="86" fillId="0" borderId="726" xfId="2" applyFont="1" applyFill="1" applyBorder="1">
      <alignment vertical="center"/>
    </xf>
    <xf numFmtId="41" fontId="86" fillId="0" borderId="725" xfId="2" applyFont="1" applyFill="1" applyBorder="1">
      <alignment vertical="center"/>
    </xf>
    <xf numFmtId="41" fontId="86" fillId="0" borderId="1148" xfId="2" applyFont="1" applyFill="1" applyBorder="1">
      <alignment vertical="center"/>
    </xf>
    <xf numFmtId="186" fontId="86" fillId="0" borderId="725" xfId="0" applyNumberFormat="1" applyFont="1" applyFill="1" applyBorder="1">
      <alignment vertical="center"/>
    </xf>
    <xf numFmtId="187" fontId="86" fillId="0" borderId="725" xfId="0" applyNumberFormat="1" applyFont="1" applyFill="1" applyBorder="1">
      <alignment vertical="center"/>
    </xf>
    <xf numFmtId="186" fontId="86" fillId="0" borderId="732" xfId="0" applyNumberFormat="1" applyFont="1" applyFill="1" applyBorder="1">
      <alignment vertical="center"/>
    </xf>
    <xf numFmtId="186" fontId="66" fillId="0" borderId="725" xfId="0" applyNumberFormat="1" applyFont="1" applyFill="1" applyBorder="1">
      <alignment vertical="center"/>
    </xf>
    <xf numFmtId="41" fontId="66" fillId="0" borderId="732" xfId="2" applyFont="1" applyFill="1" applyBorder="1">
      <alignment vertical="center"/>
    </xf>
    <xf numFmtId="186" fontId="66" fillId="0" borderId="1135" xfId="0" applyNumberFormat="1" applyFont="1" applyFill="1" applyBorder="1">
      <alignment vertical="center"/>
    </xf>
    <xf numFmtId="190" fontId="86" fillId="9" borderId="11" xfId="0" applyNumberFormat="1" applyFont="1" applyFill="1" applyBorder="1">
      <alignment vertical="center"/>
    </xf>
    <xf numFmtId="190" fontId="86" fillId="9" borderId="0" xfId="0" applyNumberFormat="1" applyFont="1" applyFill="1" applyBorder="1">
      <alignment vertical="center"/>
    </xf>
    <xf numFmtId="191" fontId="86" fillId="29" borderId="0" xfId="0" applyNumberFormat="1" applyFont="1" applyFill="1" applyBorder="1">
      <alignment vertical="center"/>
    </xf>
    <xf numFmtId="187" fontId="86" fillId="29" borderId="0" xfId="3" applyNumberFormat="1" applyFont="1" applyFill="1" applyBorder="1">
      <alignment vertical="center"/>
    </xf>
    <xf numFmtId="191" fontId="86" fillId="9" borderId="46" xfId="0" applyNumberFormat="1" applyFont="1" applyFill="1" applyBorder="1">
      <alignment vertical="center"/>
    </xf>
    <xf numFmtId="191" fontId="86" fillId="9" borderId="0" xfId="0" applyNumberFormat="1" applyFont="1" applyFill="1" applyBorder="1">
      <alignment vertical="center"/>
    </xf>
    <xf numFmtId="190" fontId="86" fillId="9" borderId="855" xfId="0" applyNumberFormat="1" applyFont="1" applyFill="1" applyBorder="1">
      <alignment vertical="center"/>
    </xf>
    <xf numFmtId="187" fontId="86" fillId="29" borderId="0" xfId="0" applyNumberFormat="1" applyFont="1" applyFill="1" applyBorder="1">
      <alignment vertical="center"/>
    </xf>
    <xf numFmtId="191" fontId="66" fillId="9" borderId="0" xfId="0" applyNumberFormat="1" applyFont="1" applyFill="1" applyBorder="1">
      <alignment vertical="center"/>
    </xf>
    <xf numFmtId="190" fontId="66" fillId="9" borderId="46" xfId="0" applyNumberFormat="1" applyFont="1" applyFill="1" applyBorder="1">
      <alignment vertical="center"/>
    </xf>
    <xf numFmtId="191" fontId="66" fillId="9" borderId="810" xfId="0" applyNumberFormat="1" applyFont="1" applyFill="1" applyBorder="1">
      <alignment vertical="center"/>
    </xf>
    <xf numFmtId="41" fontId="86" fillId="0" borderId="11" xfId="2" applyFont="1" applyFill="1" applyBorder="1" applyAlignment="1">
      <alignment vertical="center" shrinkToFit="1"/>
    </xf>
    <xf numFmtId="41" fontId="86" fillId="0" borderId="0" xfId="2" applyFont="1" applyFill="1" applyBorder="1" applyAlignment="1">
      <alignment vertical="center" shrinkToFit="1"/>
    </xf>
    <xf numFmtId="41" fontId="86" fillId="29" borderId="0" xfId="2" applyFont="1" applyFill="1" applyBorder="1" applyAlignment="1">
      <alignment horizontal="right" vertical="center" shrinkToFit="1"/>
    </xf>
    <xf numFmtId="186" fontId="86" fillId="0" borderId="46" xfId="2" applyNumberFormat="1" applyFont="1" applyFill="1" applyBorder="1" applyAlignment="1">
      <alignment vertical="center" shrinkToFit="1"/>
    </xf>
    <xf numFmtId="186" fontId="86" fillId="0" borderId="0" xfId="2" applyNumberFormat="1" applyFont="1" applyFill="1" applyBorder="1" applyAlignment="1">
      <alignment vertical="center" shrinkToFit="1"/>
    </xf>
    <xf numFmtId="41" fontId="86" fillId="0" borderId="855" xfId="2" applyFont="1" applyFill="1" applyBorder="1" applyAlignment="1">
      <alignment vertical="center" shrinkToFit="1"/>
    </xf>
    <xf numFmtId="186" fontId="86" fillId="29" borderId="0" xfId="2" applyNumberFormat="1" applyFont="1" applyFill="1" applyBorder="1" applyAlignment="1">
      <alignment horizontal="right" vertical="center" shrinkToFit="1"/>
    </xf>
    <xf numFmtId="186" fontId="66" fillId="0" borderId="0" xfId="2" applyNumberFormat="1" applyFont="1" applyFill="1" applyBorder="1" applyAlignment="1">
      <alignment vertical="center" shrinkToFit="1"/>
    </xf>
    <xf numFmtId="41" fontId="66" fillId="0" borderId="46" xfId="2" applyFont="1" applyFill="1" applyBorder="1" applyAlignment="1">
      <alignment vertical="center" shrinkToFit="1"/>
    </xf>
    <xf numFmtId="186" fontId="66" fillId="0" borderId="810" xfId="2" applyNumberFormat="1" applyFont="1" applyFill="1" applyBorder="1" applyAlignment="1">
      <alignment vertical="center" shrinkToFit="1"/>
    </xf>
    <xf numFmtId="0" fontId="86" fillId="0" borderId="812" xfId="0" applyFont="1" applyFill="1" applyBorder="1">
      <alignment vertical="center"/>
    </xf>
    <xf numFmtId="41" fontId="86" fillId="0" borderId="813" xfId="2" applyFont="1" applyFill="1" applyBorder="1" applyAlignment="1">
      <alignment vertical="center" shrinkToFit="1"/>
    </xf>
    <xf numFmtId="41" fontId="86" fillId="0" borderId="812" xfId="2" applyFont="1" applyFill="1" applyBorder="1" applyAlignment="1">
      <alignment vertical="center" shrinkToFit="1"/>
    </xf>
    <xf numFmtId="41" fontId="86" fillId="29" borderId="812" xfId="2" applyFont="1" applyFill="1" applyBorder="1" applyAlignment="1">
      <alignment horizontal="right" vertical="center" shrinkToFit="1"/>
    </xf>
    <xf numFmtId="186" fontId="86" fillId="0" borderId="815" xfId="2" applyNumberFormat="1" applyFont="1" applyFill="1" applyBorder="1" applyAlignment="1">
      <alignment vertical="center" shrinkToFit="1"/>
    </xf>
    <xf numFmtId="186" fontId="86" fillId="0" borderId="812" xfId="2" applyNumberFormat="1" applyFont="1" applyFill="1" applyBorder="1" applyAlignment="1">
      <alignment vertical="center" shrinkToFit="1"/>
    </xf>
    <xf numFmtId="41" fontId="86" fillId="0" borderId="856" xfId="2" applyFont="1" applyFill="1" applyBorder="1" applyAlignment="1">
      <alignment vertical="center" shrinkToFit="1"/>
    </xf>
    <xf numFmtId="186" fontId="86" fillId="29" borderId="812" xfId="2" applyNumberFormat="1" applyFont="1" applyFill="1" applyBorder="1" applyAlignment="1">
      <alignment horizontal="right" vertical="center" shrinkToFit="1"/>
    </xf>
    <xf numFmtId="186" fontId="66" fillId="0" borderId="812" xfId="2" applyNumberFormat="1" applyFont="1" applyFill="1" applyBorder="1" applyAlignment="1">
      <alignment vertical="center" shrinkToFit="1"/>
    </xf>
    <xf numFmtId="41" fontId="66" fillId="0" borderId="815" xfId="2" applyFont="1" applyFill="1" applyBorder="1" applyAlignment="1">
      <alignment vertical="center" shrinkToFit="1"/>
    </xf>
    <xf numFmtId="186" fontId="66" fillId="0" borderId="816" xfId="2" applyNumberFormat="1" applyFont="1" applyFill="1" applyBorder="1" applyAlignment="1">
      <alignment vertical="center" shrinkToFit="1"/>
    </xf>
    <xf numFmtId="176" fontId="86" fillId="0" borderId="0" xfId="3" applyNumberFormat="1" applyFont="1">
      <alignment vertical="center"/>
    </xf>
    <xf numFmtId="41" fontId="86" fillId="11" borderId="4" xfId="2" applyFont="1" applyFill="1" applyBorder="1">
      <alignment vertical="center"/>
    </xf>
    <xf numFmtId="41" fontId="91" fillId="9" borderId="0" xfId="2" applyFont="1" applyFill="1" applyBorder="1">
      <alignment vertical="center"/>
    </xf>
    <xf numFmtId="41" fontId="91" fillId="0" borderId="0" xfId="2" applyFont="1" applyFill="1" applyBorder="1">
      <alignment vertical="center"/>
    </xf>
    <xf numFmtId="192" fontId="66" fillId="8" borderId="6" xfId="2" applyNumberFormat="1" applyFont="1" applyFill="1" applyBorder="1">
      <alignment vertical="center"/>
    </xf>
    <xf numFmtId="41" fontId="66" fillId="6" borderId="34" xfId="2" applyFont="1" applyFill="1" applyBorder="1">
      <alignment vertical="center"/>
    </xf>
    <xf numFmtId="41" fontId="66" fillId="6" borderId="0" xfId="2" applyFont="1" applyFill="1" applyBorder="1">
      <alignment vertical="center"/>
    </xf>
    <xf numFmtId="187" fontId="78" fillId="0" borderId="0" xfId="0" applyNumberFormat="1" applyFont="1" applyFill="1" applyBorder="1">
      <alignment vertical="center"/>
    </xf>
    <xf numFmtId="41" fontId="66" fillId="3" borderId="0" xfId="2" applyFont="1" applyFill="1" applyBorder="1">
      <alignment vertical="center"/>
    </xf>
    <xf numFmtId="187" fontId="78" fillId="3" borderId="0" xfId="0" applyNumberFormat="1" applyFont="1" applyFill="1" applyBorder="1">
      <alignment vertical="center"/>
    </xf>
    <xf numFmtId="41" fontId="66" fillId="0" borderId="32" xfId="2" applyFont="1" applyFill="1" applyBorder="1">
      <alignment vertical="center"/>
    </xf>
    <xf numFmtId="41" fontId="66" fillId="6" borderId="31" xfId="2" applyFont="1" applyFill="1" applyBorder="1">
      <alignment vertical="center"/>
    </xf>
    <xf numFmtId="41" fontId="66" fillId="24" borderId="0" xfId="2" applyFont="1" applyFill="1" applyBorder="1">
      <alignment vertical="center"/>
    </xf>
    <xf numFmtId="41" fontId="66" fillId="24" borderId="32" xfId="2" applyFont="1" applyFill="1" applyBorder="1">
      <alignment vertical="center"/>
    </xf>
    <xf numFmtId="41" fontId="66" fillId="0" borderId="36" xfId="2" applyFont="1" applyFill="1" applyBorder="1">
      <alignment vertical="center"/>
    </xf>
    <xf numFmtId="41" fontId="66" fillId="9" borderId="58" xfId="2" applyFont="1" applyFill="1" applyBorder="1">
      <alignment vertical="center"/>
    </xf>
    <xf numFmtId="190" fontId="66" fillId="9" borderId="76" xfId="0" applyNumberFormat="1" applyFont="1" applyFill="1" applyBorder="1">
      <alignment vertical="center"/>
    </xf>
    <xf numFmtId="190" fontId="66" fillId="9" borderId="0" xfId="0" applyNumberFormat="1" applyFont="1" applyFill="1" applyBorder="1">
      <alignment vertical="center"/>
    </xf>
    <xf numFmtId="41" fontId="66" fillId="0" borderId="0" xfId="2" applyFont="1" applyFill="1" applyBorder="1" applyAlignment="1">
      <alignment vertical="center" shrinkToFit="1"/>
    </xf>
    <xf numFmtId="41" fontId="66" fillId="0" borderId="63" xfId="2" applyFont="1" applyFill="1" applyBorder="1" applyAlignment="1">
      <alignment vertical="center" shrinkToFit="1"/>
    </xf>
    <xf numFmtId="0" fontId="83" fillId="0" borderId="0" xfId="0" applyFont="1" applyBorder="1">
      <alignment vertical="center"/>
    </xf>
    <xf numFmtId="208" fontId="66" fillId="0" borderId="0" xfId="0" applyNumberFormat="1" applyFont="1">
      <alignment vertical="center"/>
    </xf>
    <xf numFmtId="209" fontId="66" fillId="0" borderId="0" xfId="2" applyNumberFormat="1" applyFont="1" applyFill="1" applyBorder="1" applyAlignment="1">
      <alignment horizontal="right" vertical="center"/>
    </xf>
    <xf numFmtId="0" fontId="126" fillId="0" borderId="0" xfId="0" applyFont="1">
      <alignment vertical="center"/>
    </xf>
    <xf numFmtId="0" fontId="126" fillId="0" borderId="0" xfId="0" applyFont="1" applyBorder="1">
      <alignment vertical="center"/>
    </xf>
    <xf numFmtId="202" fontId="126" fillId="0" borderId="0" xfId="0" applyNumberFormat="1" applyFont="1">
      <alignment vertical="center"/>
    </xf>
    <xf numFmtId="204" fontId="126" fillId="0" borderId="0" xfId="0" applyNumberFormat="1" applyFont="1">
      <alignment vertical="center"/>
    </xf>
    <xf numFmtId="0" fontId="74" fillId="0" borderId="0" xfId="0" applyFont="1" applyFill="1" applyAlignment="1">
      <alignment horizontal="left" vertical="center"/>
    </xf>
    <xf numFmtId="202" fontId="83" fillId="0" borderId="0" xfId="0" applyNumberFormat="1" applyFont="1">
      <alignment vertical="center"/>
    </xf>
    <xf numFmtId="0" fontId="127" fillId="0" borderId="0" xfId="0" quotePrefix="1" applyFont="1" applyAlignment="1">
      <alignment horizontal="right" vertical="center"/>
    </xf>
    <xf numFmtId="0" fontId="128" fillId="13" borderId="472" xfId="0" quotePrefix="1" applyFont="1" applyFill="1" applyBorder="1" applyAlignment="1">
      <alignment horizontal="left" vertical="center"/>
    </xf>
    <xf numFmtId="0" fontId="127" fillId="13" borderId="465" xfId="0" quotePrefix="1" applyFont="1" applyFill="1" applyBorder="1" applyAlignment="1">
      <alignment horizontal="right" vertical="center"/>
    </xf>
    <xf numFmtId="0" fontId="71" fillId="13" borderId="465" xfId="0" quotePrefix="1" applyFont="1" applyFill="1" applyBorder="1" applyAlignment="1">
      <alignment horizontal="right" vertical="center"/>
    </xf>
    <xf numFmtId="219" fontId="129" fillId="13" borderId="465" xfId="0" quotePrefix="1" applyNumberFormat="1" applyFont="1" applyFill="1" applyBorder="1" applyAlignment="1">
      <alignment horizontal="right" vertical="center"/>
    </xf>
    <xf numFmtId="0" fontId="71" fillId="13" borderId="473" xfId="0" quotePrefix="1" applyFont="1" applyFill="1" applyBorder="1" applyAlignment="1">
      <alignment horizontal="right" vertical="center"/>
    </xf>
    <xf numFmtId="0" fontId="128" fillId="15" borderId="465" xfId="0" quotePrefix="1" applyFont="1" applyFill="1" applyBorder="1" applyAlignment="1">
      <alignment horizontal="left" vertical="center"/>
    </xf>
    <xf numFmtId="0" fontId="71" fillId="15" borderId="465" xfId="0" quotePrefix="1" applyFont="1" applyFill="1" applyBorder="1" applyAlignment="1">
      <alignment horizontal="right" vertical="center"/>
    </xf>
    <xf numFmtId="219" fontId="130" fillId="15" borderId="465" xfId="0" quotePrefix="1" applyNumberFormat="1" applyFont="1" applyFill="1" applyBorder="1" applyAlignment="1">
      <alignment horizontal="right" vertical="center"/>
    </xf>
    <xf numFmtId="0" fontId="128" fillId="28" borderId="472" xfId="0" quotePrefix="1" applyFont="1" applyFill="1" applyBorder="1" applyAlignment="1">
      <alignment horizontal="left" vertical="center"/>
    </xf>
    <xf numFmtId="0" fontId="71" fillId="28" borderId="465" xfId="0" quotePrefix="1" applyFont="1" applyFill="1" applyBorder="1" applyAlignment="1">
      <alignment horizontal="right" vertical="center"/>
    </xf>
    <xf numFmtId="219" fontId="131" fillId="28" borderId="465" xfId="0" quotePrefix="1" applyNumberFormat="1" applyFont="1" applyFill="1" applyBorder="1" applyAlignment="1">
      <alignment horizontal="right" vertical="center"/>
    </xf>
    <xf numFmtId="0" fontId="127" fillId="28" borderId="465" xfId="0" quotePrefix="1" applyFont="1" applyFill="1" applyBorder="1" applyAlignment="1">
      <alignment horizontal="right" vertical="center"/>
    </xf>
    <xf numFmtId="0" fontId="132" fillId="3" borderId="14" xfId="0" applyFont="1" applyFill="1" applyBorder="1" applyAlignment="1">
      <alignment vertical="center"/>
    </xf>
    <xf numFmtId="0" fontId="66" fillId="3" borderId="465" xfId="0" applyFont="1" applyFill="1" applyBorder="1">
      <alignment vertical="center"/>
    </xf>
    <xf numFmtId="0" fontId="66" fillId="3" borderId="473" xfId="0" applyFont="1" applyFill="1" applyBorder="1">
      <alignment vertical="center"/>
    </xf>
    <xf numFmtId="0" fontId="132" fillId="7" borderId="14" xfId="0" applyFont="1" applyFill="1" applyBorder="1" applyAlignment="1">
      <alignment vertical="center"/>
    </xf>
    <xf numFmtId="0" fontId="67" fillId="7" borderId="14" xfId="0" applyFont="1" applyFill="1" applyBorder="1" applyAlignment="1">
      <alignment vertical="center"/>
    </xf>
    <xf numFmtId="0" fontId="67" fillId="7" borderId="692" xfId="0" applyFont="1" applyFill="1" applyBorder="1" applyAlignment="1">
      <alignment vertical="center"/>
    </xf>
    <xf numFmtId="0" fontId="132" fillId="4" borderId="14" xfId="0" applyFont="1" applyFill="1" applyBorder="1" applyAlignment="1">
      <alignment vertical="center"/>
    </xf>
    <xf numFmtId="209" fontId="67" fillId="4" borderId="14" xfId="0" applyNumberFormat="1" applyFont="1" applyFill="1" applyBorder="1" applyAlignment="1">
      <alignment vertical="center"/>
    </xf>
    <xf numFmtId="0" fontId="67" fillId="4" borderId="14" xfId="0" applyFont="1" applyFill="1" applyBorder="1" applyAlignment="1">
      <alignment vertical="center"/>
    </xf>
    <xf numFmtId="0" fontId="67" fillId="4" borderId="14" xfId="0" applyFont="1" applyFill="1" applyBorder="1" applyAlignment="1">
      <alignment horizontal="center" vertical="center"/>
    </xf>
    <xf numFmtId="0" fontId="74" fillId="4" borderId="477" xfId="0" quotePrefix="1" applyFont="1" applyFill="1" applyBorder="1" applyAlignment="1">
      <alignment horizontal="center" vertical="center"/>
    </xf>
    <xf numFmtId="0" fontId="67" fillId="13" borderId="478" xfId="0" quotePrefix="1" applyFont="1" applyFill="1" applyBorder="1" applyAlignment="1">
      <alignment horizontal="center" vertical="center"/>
    </xf>
    <xf numFmtId="0" fontId="67" fillId="13" borderId="479" xfId="0" quotePrefix="1" applyFont="1" applyFill="1" applyBorder="1" applyAlignment="1">
      <alignment horizontal="center" vertical="center"/>
    </xf>
    <xf numFmtId="0" fontId="67" fillId="13" borderId="480" xfId="0" quotePrefix="1" applyFont="1" applyFill="1" applyBorder="1" applyAlignment="1">
      <alignment horizontal="center" vertical="center"/>
    </xf>
    <xf numFmtId="0" fontId="67" fillId="15" borderId="479" xfId="0" quotePrefix="1" applyFont="1" applyFill="1" applyBorder="1" applyAlignment="1">
      <alignment horizontal="center" vertical="center"/>
    </xf>
    <xf numFmtId="0" fontId="67" fillId="28" borderId="478" xfId="0" quotePrefix="1" applyFont="1" applyFill="1" applyBorder="1" applyAlignment="1">
      <alignment horizontal="center" vertical="center"/>
    </xf>
    <xf numFmtId="0" fontId="67" fillId="28" borderId="479" xfId="0" quotePrefix="1" applyFont="1" applyFill="1" applyBorder="1" applyAlignment="1">
      <alignment horizontal="center" vertical="center"/>
    </xf>
    <xf numFmtId="0" fontId="67" fillId="41" borderId="479" xfId="0" quotePrefix="1" applyFont="1" applyFill="1" applyBorder="1" applyAlignment="1">
      <alignment horizontal="center" vertical="center"/>
    </xf>
    <xf numFmtId="0" fontId="66" fillId="3" borderId="478" xfId="0" quotePrefix="1" applyFont="1" applyFill="1" applyBorder="1" applyAlignment="1">
      <alignment horizontal="center" vertical="center"/>
    </xf>
    <xf numFmtId="0" fontId="66" fillId="3" borderId="479" xfId="0" quotePrefix="1" applyFont="1" applyFill="1" applyBorder="1" applyAlignment="1">
      <alignment horizontal="center" vertical="center"/>
    </xf>
    <xf numFmtId="0" fontId="66" fillId="7" borderId="480" xfId="0" quotePrefix="1" applyFont="1" applyFill="1" applyBorder="1" applyAlignment="1">
      <alignment horizontal="center" vertical="center"/>
    </xf>
    <xf numFmtId="0" fontId="67" fillId="7" borderId="385" xfId="0" quotePrefix="1" applyFont="1" applyFill="1" applyBorder="1" applyAlignment="1">
      <alignment horizontal="center" vertical="center"/>
    </xf>
    <xf numFmtId="208" fontId="67" fillId="7" borderId="385" xfId="0" quotePrefix="1" applyNumberFormat="1" applyFont="1" applyFill="1" applyBorder="1" applyAlignment="1">
      <alignment horizontal="center" vertical="center"/>
    </xf>
    <xf numFmtId="0" fontId="75" fillId="59" borderId="1069" xfId="0" quotePrefix="1" applyFont="1" applyFill="1" applyBorder="1" applyAlignment="1">
      <alignment horizontal="center" vertical="center"/>
    </xf>
    <xf numFmtId="0" fontId="67" fillId="4" borderId="385" xfId="0" quotePrefix="1" applyFont="1" applyFill="1" applyBorder="1" applyAlignment="1">
      <alignment horizontal="center" vertical="center"/>
    </xf>
    <xf numFmtId="209" fontId="67" fillId="4" borderId="385" xfId="0" quotePrefix="1" applyNumberFormat="1" applyFont="1" applyFill="1" applyBorder="1" applyAlignment="1">
      <alignment horizontal="center" vertical="center"/>
    </xf>
    <xf numFmtId="0" fontId="67" fillId="6" borderId="386" xfId="0" quotePrefix="1" applyFont="1" applyFill="1" applyBorder="1" applyAlignment="1">
      <alignment horizontal="center" vertical="center"/>
    </xf>
    <xf numFmtId="0" fontId="67" fillId="6" borderId="388" xfId="0" applyFont="1" applyFill="1" applyBorder="1" applyAlignment="1">
      <alignment horizontal="center" vertical="center" shrinkToFit="1"/>
    </xf>
    <xf numFmtId="0" fontId="67" fillId="4" borderId="560" xfId="0" quotePrefix="1" applyFont="1" applyFill="1" applyBorder="1" applyAlignment="1">
      <alignment horizontal="center" vertical="center"/>
    </xf>
    <xf numFmtId="0" fontId="66" fillId="0" borderId="560" xfId="0" quotePrefix="1" applyFont="1" applyBorder="1" applyAlignment="1">
      <alignment horizontal="center" vertical="center"/>
    </xf>
    <xf numFmtId="0" fontId="74" fillId="8" borderId="279" xfId="0" applyFont="1" applyFill="1" applyBorder="1">
      <alignment vertical="center"/>
    </xf>
    <xf numFmtId="210" fontId="66" fillId="5" borderId="481" xfId="0" applyNumberFormat="1" applyFont="1" applyFill="1" applyBorder="1">
      <alignment vertical="center"/>
    </xf>
    <xf numFmtId="210" fontId="66" fillId="5" borderId="37" xfId="0" applyNumberFormat="1" applyFont="1" applyFill="1" applyBorder="1">
      <alignment vertical="center"/>
    </xf>
    <xf numFmtId="210" fontId="66" fillId="5" borderId="482" xfId="0" applyNumberFormat="1" applyFont="1" applyFill="1" applyBorder="1">
      <alignment vertical="center"/>
    </xf>
    <xf numFmtId="2" fontId="66" fillId="5" borderId="37" xfId="0" applyNumberFormat="1" applyFont="1" applyFill="1" applyBorder="1">
      <alignment vertical="center"/>
    </xf>
    <xf numFmtId="226" fontId="66" fillId="8" borderId="483" xfId="0" applyNumberFormat="1" applyFont="1" applyFill="1" applyBorder="1" applyAlignment="1">
      <alignment horizontal="right" vertical="center"/>
    </xf>
    <xf numFmtId="226" fontId="66" fillId="8" borderId="106" xfId="0" applyNumberFormat="1" applyFont="1" applyFill="1" applyBorder="1" applyAlignment="1">
      <alignment horizontal="right" vertical="center"/>
    </xf>
    <xf numFmtId="226" fontId="77" fillId="8" borderId="484" xfId="0" applyNumberFormat="1" applyFont="1" applyFill="1" applyBorder="1" applyAlignment="1">
      <alignment horizontal="right" vertical="center"/>
    </xf>
    <xf numFmtId="208" fontId="66" fillId="8" borderId="37" xfId="2" applyNumberFormat="1" applyFont="1" applyFill="1" applyBorder="1" applyAlignment="1">
      <alignment horizontal="right" vertical="center"/>
    </xf>
    <xf numFmtId="208" fontId="66" fillId="8" borderId="482" xfId="2" applyNumberFormat="1" applyFont="1" applyFill="1" applyBorder="1" applyAlignment="1">
      <alignment horizontal="right" vertical="center"/>
    </xf>
    <xf numFmtId="195" fontId="66" fillId="8" borderId="37" xfId="2" applyNumberFormat="1" applyFont="1" applyFill="1" applyBorder="1" applyAlignment="1">
      <alignment horizontal="right" vertical="center"/>
    </xf>
    <xf numFmtId="209" fontId="66" fillId="8" borderId="37" xfId="2" applyNumberFormat="1" applyFont="1" applyFill="1" applyBorder="1" applyAlignment="1">
      <alignment horizontal="right" vertical="center"/>
    </xf>
    <xf numFmtId="189" fontId="66" fillId="8" borderId="72" xfId="0" applyNumberFormat="1" applyFont="1" applyFill="1" applyBorder="1" applyAlignment="1">
      <alignment horizontal="right" vertical="center"/>
    </xf>
    <xf numFmtId="187" fontId="78" fillId="8" borderId="37" xfId="3" applyNumberFormat="1" applyFont="1" applyFill="1" applyBorder="1" applyAlignment="1">
      <alignment horizontal="right" vertical="center"/>
    </xf>
    <xf numFmtId="189" fontId="66" fillId="8" borderId="37" xfId="0" applyNumberFormat="1" applyFont="1" applyFill="1" applyBorder="1" applyAlignment="1">
      <alignment horizontal="right" vertical="center"/>
    </xf>
    <xf numFmtId="186" fontId="66" fillId="8" borderId="37" xfId="0" applyNumberFormat="1" applyFont="1" applyFill="1" applyBorder="1" applyAlignment="1">
      <alignment horizontal="right" vertical="center"/>
    </xf>
    <xf numFmtId="202" fontId="66" fillId="8" borderId="39" xfId="2" applyNumberFormat="1" applyFont="1" applyFill="1" applyBorder="1" applyAlignment="1">
      <alignment horizontal="right" vertical="center"/>
    </xf>
    <xf numFmtId="187" fontId="66" fillId="8" borderId="37" xfId="0" applyNumberFormat="1" applyFont="1" applyFill="1" applyBorder="1" applyAlignment="1">
      <alignment horizontal="right" vertical="center"/>
    </xf>
    <xf numFmtId="186" fontId="66" fillId="8" borderId="227" xfId="0" applyNumberFormat="1" applyFont="1" applyFill="1" applyBorder="1" applyAlignment="1">
      <alignment horizontal="right" vertical="center"/>
    </xf>
    <xf numFmtId="247" fontId="66" fillId="0" borderId="560" xfId="0" applyNumberFormat="1" applyFont="1" applyBorder="1" applyAlignment="1">
      <alignment horizontal="center" vertical="center"/>
    </xf>
    <xf numFmtId="202" fontId="77" fillId="0" borderId="560" xfId="0" applyNumberFormat="1" applyFont="1" applyBorder="1" applyAlignment="1">
      <alignment horizontal="center" vertical="center"/>
    </xf>
    <xf numFmtId="0" fontId="66" fillId="0" borderId="264" xfId="0" applyFont="1" applyBorder="1">
      <alignment vertical="center"/>
    </xf>
    <xf numFmtId="210" fontId="66" fillId="5" borderId="485" xfId="0" applyNumberFormat="1" applyFont="1" applyFill="1" applyBorder="1">
      <alignment vertical="center"/>
    </xf>
    <xf numFmtId="210" fontId="66" fillId="5" borderId="0" xfId="0" applyNumberFormat="1" applyFont="1" applyFill="1">
      <alignment vertical="center"/>
    </xf>
    <xf numFmtId="210" fontId="66" fillId="5" borderId="406" xfId="0" applyNumberFormat="1" applyFont="1" applyFill="1" applyBorder="1">
      <alignment vertical="center"/>
    </xf>
    <xf numFmtId="210" fontId="66" fillId="5" borderId="0" xfId="0" applyNumberFormat="1" applyFont="1" applyFill="1" applyBorder="1">
      <alignment vertical="center"/>
    </xf>
    <xf numFmtId="226" fontId="66" fillId="5" borderId="485" xfId="0" applyNumberFormat="1" applyFont="1" applyFill="1" applyBorder="1" applyAlignment="1">
      <alignment horizontal="right" vertical="center"/>
    </xf>
    <xf numFmtId="226" fontId="66" fillId="5" borderId="0" xfId="0" applyNumberFormat="1" applyFont="1" applyFill="1" applyAlignment="1">
      <alignment horizontal="right" vertical="center"/>
    </xf>
    <xf numFmtId="226" fontId="66" fillId="5" borderId="406" xfId="0" applyNumberFormat="1" applyFont="1" applyFill="1" applyBorder="1" applyAlignment="1">
      <alignment horizontal="right" vertical="center"/>
    </xf>
    <xf numFmtId="208" fontId="66" fillId="0" borderId="0" xfId="2" applyNumberFormat="1" applyFont="1" applyFill="1" applyAlignment="1">
      <alignment horizontal="right" vertical="center"/>
    </xf>
    <xf numFmtId="208" fontId="66" fillId="0" borderId="406" xfId="2" applyNumberFormat="1" applyFont="1" applyFill="1" applyBorder="1" applyAlignment="1">
      <alignment horizontal="right" vertical="center"/>
    </xf>
    <xf numFmtId="195" fontId="66" fillId="0" borderId="0" xfId="2" applyNumberFormat="1" applyFont="1" applyFill="1" applyBorder="1" applyAlignment="1">
      <alignment horizontal="right" vertical="center"/>
    </xf>
    <xf numFmtId="198" fontId="66" fillId="0" borderId="458" xfId="0" applyNumberFormat="1" applyFont="1" applyBorder="1" applyAlignment="1">
      <alignment horizontal="right" vertical="center"/>
    </xf>
    <xf numFmtId="187" fontId="78" fillId="0" borderId="0" xfId="3" applyNumberFormat="1" applyFont="1" applyBorder="1" applyAlignment="1">
      <alignment horizontal="right" vertical="center"/>
    </xf>
    <xf numFmtId="189" fontId="66" fillId="0" borderId="46" xfId="0" applyNumberFormat="1" applyFont="1" applyBorder="1" applyAlignment="1">
      <alignment horizontal="right" vertical="center"/>
    </xf>
    <xf numFmtId="202" fontId="66" fillId="0" borderId="2" xfId="2" applyNumberFormat="1" applyFont="1" applyBorder="1" applyAlignment="1">
      <alignment horizontal="right" vertical="center"/>
    </xf>
    <xf numFmtId="186" fontId="66" fillId="0" borderId="225" xfId="0" applyNumberFormat="1" applyFont="1" applyBorder="1" applyAlignment="1">
      <alignment horizontal="right" vertical="center"/>
    </xf>
    <xf numFmtId="247" fontId="66" fillId="15" borderId="0" xfId="0" applyNumberFormat="1" applyFont="1" applyFill="1" applyAlignment="1">
      <alignment horizontal="center" vertical="center"/>
    </xf>
    <xf numFmtId="226" fontId="77" fillId="5" borderId="406" xfId="0" applyNumberFormat="1" applyFont="1" applyFill="1" applyBorder="1" applyAlignment="1">
      <alignment horizontal="right" vertical="center"/>
    </xf>
    <xf numFmtId="209" fontId="66" fillId="0" borderId="0" xfId="2" applyNumberFormat="1" applyFont="1" applyFill="1" applyAlignment="1">
      <alignment horizontal="right" vertical="center"/>
    </xf>
    <xf numFmtId="195" fontId="66" fillId="0" borderId="0" xfId="2" applyNumberFormat="1" applyFont="1" applyFill="1" applyAlignment="1">
      <alignment horizontal="right" vertical="center"/>
    </xf>
    <xf numFmtId="0" fontId="66" fillId="0" borderId="1231" xfId="0" applyFont="1" applyBorder="1">
      <alignment vertical="center"/>
    </xf>
    <xf numFmtId="210" fontId="66" fillId="5" borderId="689" xfId="0" applyNumberFormat="1" applyFont="1" applyFill="1" applyBorder="1">
      <alignment vertical="center"/>
    </xf>
    <xf numFmtId="210" fontId="66" fillId="5" borderId="68" xfId="0" applyNumberFormat="1" applyFont="1" applyFill="1" applyBorder="1">
      <alignment vertical="center"/>
    </xf>
    <xf numFmtId="210" fontId="66" fillId="5" borderId="491" xfId="0" applyNumberFormat="1" applyFont="1" applyFill="1" applyBorder="1">
      <alignment vertical="center"/>
    </xf>
    <xf numFmtId="226" fontId="66" fillId="5" borderId="689" xfId="0" applyNumberFormat="1" applyFont="1" applyFill="1" applyBorder="1" applyAlignment="1">
      <alignment horizontal="right" vertical="center"/>
    </xf>
    <xf numFmtId="226" fontId="66" fillId="5" borderId="68" xfId="0" applyNumberFormat="1" applyFont="1" applyFill="1" applyBorder="1" applyAlignment="1">
      <alignment horizontal="right" vertical="center"/>
    </xf>
    <xf numFmtId="226" fontId="66" fillId="5" borderId="491" xfId="0" applyNumberFormat="1" applyFont="1" applyFill="1" applyBorder="1" applyAlignment="1">
      <alignment horizontal="right" vertical="center"/>
    </xf>
    <xf numFmtId="208" fontId="66" fillId="5" borderId="68" xfId="2" applyNumberFormat="1" applyFont="1" applyFill="1" applyBorder="1" applyAlignment="1">
      <alignment horizontal="right" vertical="center"/>
    </xf>
    <xf numFmtId="208" fontId="66" fillId="0" borderId="68" xfId="2" applyNumberFormat="1" applyFont="1" applyFill="1" applyBorder="1" applyAlignment="1">
      <alignment horizontal="right" vertical="center"/>
    </xf>
    <xf numFmtId="208" fontId="66" fillId="0" borderId="491" xfId="2" applyNumberFormat="1" applyFont="1" applyFill="1" applyBorder="1" applyAlignment="1">
      <alignment horizontal="right" vertical="center"/>
    </xf>
    <xf numFmtId="195" fontId="66" fillId="0" borderId="68" xfId="2" applyNumberFormat="1" applyFont="1" applyFill="1" applyBorder="1" applyAlignment="1">
      <alignment horizontal="right" vertical="center"/>
    </xf>
    <xf numFmtId="209" fontId="66" fillId="0" borderId="68" xfId="2" applyNumberFormat="1" applyFont="1" applyFill="1" applyBorder="1" applyAlignment="1">
      <alignment horizontal="right" vertical="center"/>
    </xf>
    <xf numFmtId="198" fontId="66" fillId="0" borderId="541" xfId="0" applyNumberFormat="1" applyFont="1" applyBorder="1" applyAlignment="1">
      <alignment horizontal="right" vertical="center"/>
    </xf>
    <xf numFmtId="187" fontId="78" fillId="18" borderId="68" xfId="3" applyNumberFormat="1" applyFont="1" applyFill="1" applyBorder="1" applyAlignment="1">
      <alignment horizontal="right" vertical="center"/>
    </xf>
    <xf numFmtId="189" fontId="66" fillId="0" borderId="71" xfId="0" applyNumberFormat="1" applyFont="1" applyBorder="1" applyAlignment="1">
      <alignment horizontal="right" vertical="center"/>
    </xf>
    <xf numFmtId="189" fontId="66" fillId="0" borderId="68" xfId="0" applyNumberFormat="1" applyFont="1" applyBorder="1" applyAlignment="1">
      <alignment horizontal="right" vertical="center"/>
    </xf>
    <xf numFmtId="209" fontId="66" fillId="0" borderId="70" xfId="0" applyNumberFormat="1" applyFont="1" applyBorder="1" applyAlignment="1">
      <alignment horizontal="right" vertical="center"/>
    </xf>
    <xf numFmtId="189" fontId="66" fillId="0" borderId="226" xfId="0" applyNumberFormat="1" applyFont="1" applyBorder="1" applyAlignment="1">
      <alignment horizontal="right" vertical="center"/>
    </xf>
    <xf numFmtId="247" fontId="66" fillId="0" borderId="0" xfId="0" applyNumberFormat="1" applyFont="1" applyAlignment="1">
      <alignment horizontal="center" vertical="center"/>
    </xf>
    <xf numFmtId="0" fontId="78" fillId="0" borderId="264" xfId="0" applyFont="1" applyBorder="1">
      <alignment vertical="center"/>
    </xf>
    <xf numFmtId="210" fontId="133" fillId="32" borderId="485" xfId="0" applyNumberFormat="1" applyFont="1" applyFill="1" applyBorder="1">
      <alignment vertical="center"/>
    </xf>
    <xf numFmtId="210" fontId="133" fillId="32" borderId="0" xfId="0" applyNumberFormat="1" applyFont="1" applyFill="1" applyBorder="1">
      <alignment vertical="center"/>
    </xf>
    <xf numFmtId="210" fontId="133" fillId="32" borderId="406" xfId="0" applyNumberFormat="1" applyFont="1" applyFill="1" applyBorder="1">
      <alignment vertical="center"/>
    </xf>
    <xf numFmtId="210" fontId="78" fillId="5" borderId="0" xfId="0" applyNumberFormat="1" applyFont="1" applyFill="1" applyBorder="1">
      <alignment vertical="center"/>
    </xf>
    <xf numFmtId="210" fontId="78" fillId="5" borderId="485" xfId="0" applyNumberFormat="1" applyFont="1" applyFill="1" applyBorder="1">
      <alignment vertical="center"/>
    </xf>
    <xf numFmtId="210" fontId="78" fillId="5" borderId="406" xfId="0" applyNumberFormat="1" applyFont="1" applyFill="1" applyBorder="1">
      <alignment vertical="center"/>
    </xf>
    <xf numFmtId="226" fontId="78" fillId="5" borderId="485" xfId="0" applyNumberFormat="1" applyFont="1" applyFill="1" applyBorder="1" applyAlignment="1">
      <alignment horizontal="right" vertical="center"/>
    </xf>
    <xf numFmtId="226" fontId="78" fillId="5" borderId="0" xfId="0" applyNumberFormat="1" applyFont="1" applyFill="1" applyBorder="1" applyAlignment="1">
      <alignment horizontal="right" vertical="center"/>
    </xf>
    <xf numFmtId="226" fontId="78" fillId="5" borderId="406" xfId="0" applyNumberFormat="1" applyFont="1" applyFill="1" applyBorder="1" applyAlignment="1">
      <alignment horizontal="right" vertical="center"/>
    </xf>
    <xf numFmtId="208" fontId="78" fillId="5" borderId="0" xfId="2" applyNumberFormat="1" applyFont="1" applyFill="1" applyBorder="1" applyAlignment="1">
      <alignment horizontal="right" vertical="center"/>
    </xf>
    <xf numFmtId="208" fontId="78" fillId="0" borderId="0" xfId="2" applyNumberFormat="1" applyFont="1" applyFill="1" applyBorder="1" applyAlignment="1">
      <alignment horizontal="right" vertical="center"/>
    </xf>
    <xf numFmtId="208" fontId="78" fillId="0" borderId="406" xfId="2" applyNumberFormat="1" applyFont="1" applyFill="1" applyBorder="1" applyAlignment="1">
      <alignment horizontal="right" vertical="center"/>
    </xf>
    <xf numFmtId="209" fontId="78" fillId="0" borderId="0" xfId="2" applyNumberFormat="1" applyFont="1" applyFill="1" applyBorder="1" applyAlignment="1">
      <alignment horizontal="right" vertical="center"/>
    </xf>
    <xf numFmtId="195" fontId="78" fillId="0" borderId="0" xfId="2" applyNumberFormat="1" applyFont="1" applyFill="1" applyBorder="1" applyAlignment="1">
      <alignment horizontal="right" vertical="center"/>
    </xf>
    <xf numFmtId="198" fontId="78" fillId="0" borderId="458" xfId="0" applyNumberFormat="1" applyFont="1" applyBorder="1" applyAlignment="1">
      <alignment horizontal="right" vertical="center"/>
    </xf>
    <xf numFmtId="187" fontId="78" fillId="18" borderId="0" xfId="3" applyNumberFormat="1" applyFont="1" applyFill="1" applyBorder="1" applyAlignment="1">
      <alignment horizontal="right" vertical="center"/>
    </xf>
    <xf numFmtId="189" fontId="78" fillId="0" borderId="46" xfId="0" applyNumberFormat="1" applyFont="1" applyBorder="1" applyAlignment="1">
      <alignment horizontal="right" vertical="center"/>
    </xf>
    <xf numFmtId="189" fontId="78" fillId="0" borderId="0" xfId="0" applyNumberFormat="1" applyFont="1" applyBorder="1" applyAlignment="1">
      <alignment horizontal="right" vertical="center"/>
    </xf>
    <xf numFmtId="202" fontId="78" fillId="0" borderId="2" xfId="2" applyNumberFormat="1" applyFont="1" applyBorder="1" applyAlignment="1">
      <alignment horizontal="right" vertical="center"/>
    </xf>
    <xf numFmtId="187" fontId="66" fillId="18" borderId="0" xfId="3" applyNumberFormat="1" applyFont="1" applyFill="1" applyBorder="1" applyAlignment="1">
      <alignment horizontal="right" vertical="center"/>
    </xf>
    <xf numFmtId="189" fontId="78" fillId="0" borderId="225" xfId="0" applyNumberFormat="1" applyFont="1" applyBorder="1" applyAlignment="1">
      <alignment horizontal="right" vertical="center"/>
    </xf>
    <xf numFmtId="202" fontId="78" fillId="0" borderId="560" xfId="0" applyNumberFormat="1" applyFont="1" applyBorder="1">
      <alignment vertical="center"/>
    </xf>
    <xf numFmtId="202" fontId="78" fillId="15" borderId="560" xfId="0" applyNumberFormat="1" applyFont="1" applyFill="1" applyBorder="1" applyAlignment="1">
      <alignment horizontal="center" vertical="center"/>
    </xf>
    <xf numFmtId="202" fontId="78" fillId="0" borderId="560" xfId="0" applyNumberFormat="1" applyFont="1" applyBorder="1" applyAlignment="1">
      <alignment horizontal="center" vertical="center"/>
    </xf>
    <xf numFmtId="0" fontId="74" fillId="0" borderId="1231" xfId="0" applyFont="1" applyBorder="1">
      <alignment vertical="center"/>
    </xf>
    <xf numFmtId="0" fontId="78" fillId="0" borderId="68" xfId="0" applyFont="1" applyBorder="1">
      <alignment vertical="center"/>
    </xf>
    <xf numFmtId="210" fontId="82" fillId="0" borderId="689" xfId="0" applyNumberFormat="1" applyFont="1" applyBorder="1">
      <alignment vertical="center"/>
    </xf>
    <xf numFmtId="210" fontId="133" fillId="0" borderId="68" xfId="0" applyNumberFormat="1" applyFont="1" applyBorder="1">
      <alignment vertical="center"/>
    </xf>
    <xf numFmtId="210" fontId="133" fillId="0" borderId="491" xfId="0" applyNumberFormat="1" applyFont="1" applyBorder="1">
      <alignment vertical="center"/>
    </xf>
    <xf numFmtId="210" fontId="78" fillId="5" borderId="68" xfId="0" applyNumberFormat="1" applyFont="1" applyFill="1" applyBorder="1">
      <alignment vertical="center"/>
    </xf>
    <xf numFmtId="210" fontId="78" fillId="5" borderId="689" xfId="0" applyNumberFormat="1" applyFont="1" applyFill="1" applyBorder="1">
      <alignment vertical="center"/>
    </xf>
    <xf numFmtId="210" fontId="78" fillId="5" borderId="491" xfId="0" applyNumberFormat="1" applyFont="1" applyFill="1" applyBorder="1">
      <alignment vertical="center"/>
    </xf>
    <xf numFmtId="208" fontId="66" fillId="5" borderId="491" xfId="2" applyNumberFormat="1" applyFont="1" applyFill="1" applyBorder="1" applyAlignment="1">
      <alignment horizontal="right" vertical="center"/>
    </xf>
    <xf numFmtId="187" fontId="78" fillId="0" borderId="68" xfId="3" applyNumberFormat="1" applyFont="1" applyBorder="1" applyAlignment="1">
      <alignment horizontal="right" vertical="center"/>
    </xf>
    <xf numFmtId="202" fontId="66" fillId="0" borderId="70" xfId="2" applyNumberFormat="1" applyFont="1" applyBorder="1" applyAlignment="1">
      <alignment horizontal="right" vertical="center"/>
    </xf>
    <xf numFmtId="187" fontId="66" fillId="0" borderId="68" xfId="0" applyNumberFormat="1" applyFont="1" applyBorder="1" applyAlignment="1">
      <alignment horizontal="right" vertical="center"/>
    </xf>
    <xf numFmtId="186" fontId="66" fillId="0" borderId="226" xfId="0" applyNumberFormat="1" applyFont="1" applyBorder="1" applyAlignment="1">
      <alignment horizontal="right" vertical="center"/>
    </xf>
    <xf numFmtId="247" fontId="78" fillId="15" borderId="0" xfId="0" applyNumberFormat="1" applyFont="1" applyFill="1" applyAlignment="1">
      <alignment horizontal="center" vertical="center"/>
    </xf>
    <xf numFmtId="0" fontId="74" fillId="0" borderId="264" xfId="0" applyFont="1" applyBorder="1">
      <alignment vertical="center"/>
    </xf>
    <xf numFmtId="243" fontId="66" fillId="0" borderId="0" xfId="2" applyNumberFormat="1" applyFont="1" applyFill="1" applyBorder="1" applyAlignment="1">
      <alignment horizontal="right" vertical="center"/>
    </xf>
    <xf numFmtId="210" fontId="66" fillId="5" borderId="0" xfId="2" applyNumberFormat="1" applyFont="1" applyFill="1" applyBorder="1">
      <alignment vertical="center"/>
    </xf>
    <xf numFmtId="210" fontId="66" fillId="5" borderId="406" xfId="2" applyNumberFormat="1" applyFont="1" applyFill="1" applyBorder="1">
      <alignment vertical="center"/>
    </xf>
    <xf numFmtId="210" fontId="66" fillId="5" borderId="0" xfId="2" applyNumberFormat="1" applyFont="1" applyFill="1">
      <alignment vertical="center"/>
    </xf>
    <xf numFmtId="0" fontId="66" fillId="0" borderId="499" xfId="0" applyFont="1" applyBorder="1" applyAlignment="1">
      <alignment horizontal="left" vertical="center"/>
    </xf>
    <xf numFmtId="210" fontId="66" fillId="5" borderId="498" xfId="0" applyNumberFormat="1" applyFont="1" applyFill="1" applyBorder="1" applyAlignment="1">
      <alignment horizontal="right" vertical="center"/>
    </xf>
    <xf numFmtId="210" fontId="66" fillId="5" borderId="499" xfId="0" applyNumberFormat="1" applyFont="1" applyFill="1" applyBorder="1" applyAlignment="1">
      <alignment horizontal="right" vertical="center"/>
    </xf>
    <xf numFmtId="210" fontId="66" fillId="5" borderId="500" xfId="0" applyNumberFormat="1" applyFont="1" applyFill="1" applyBorder="1" applyAlignment="1">
      <alignment horizontal="right" vertical="center"/>
    </xf>
    <xf numFmtId="210" fontId="66" fillId="5" borderId="498" xfId="0" applyNumberFormat="1" applyFont="1" applyFill="1" applyBorder="1">
      <alignment vertical="center"/>
    </xf>
    <xf numFmtId="210" fontId="66" fillId="5" borderId="499" xfId="2" applyNumberFormat="1" applyFont="1" applyFill="1" applyBorder="1" applyAlignment="1">
      <alignment horizontal="right" vertical="center"/>
    </xf>
    <xf numFmtId="226" fontId="66" fillId="5" borderId="498" xfId="0" applyNumberFormat="1" applyFont="1" applyFill="1" applyBorder="1" applyAlignment="1">
      <alignment horizontal="right" vertical="center"/>
    </xf>
    <xf numFmtId="226" fontId="66" fillId="5" borderId="499" xfId="0" applyNumberFormat="1" applyFont="1" applyFill="1" applyBorder="1" applyAlignment="1">
      <alignment horizontal="right" vertical="center"/>
    </xf>
    <xf numFmtId="226" fontId="66" fillId="5" borderId="500" xfId="0" applyNumberFormat="1" applyFont="1" applyFill="1" applyBorder="1" applyAlignment="1">
      <alignment horizontal="right" vertical="center"/>
    </xf>
    <xf numFmtId="208" fontId="66" fillId="5" borderId="499" xfId="2" applyNumberFormat="1" applyFont="1" applyFill="1" applyBorder="1" applyAlignment="1">
      <alignment horizontal="right" vertical="center"/>
    </xf>
    <xf numFmtId="208" fontId="66" fillId="0" borderId="499" xfId="2" applyNumberFormat="1" applyFont="1" applyFill="1" applyBorder="1" applyAlignment="1">
      <alignment horizontal="right" vertical="center"/>
    </xf>
    <xf numFmtId="208" fontId="66" fillId="0" borderId="500" xfId="2" applyNumberFormat="1" applyFont="1" applyFill="1" applyBorder="1" applyAlignment="1">
      <alignment horizontal="right" vertical="center"/>
    </xf>
    <xf numFmtId="195" fontId="66" fillId="0" borderId="499" xfId="2" applyNumberFormat="1" applyFont="1" applyFill="1" applyBorder="1" applyAlignment="1">
      <alignment horizontal="right" vertical="center"/>
    </xf>
    <xf numFmtId="209" fontId="66" fillId="0" borderId="499" xfId="2" applyNumberFormat="1" applyFont="1" applyFill="1" applyBorder="1" applyAlignment="1">
      <alignment horizontal="right" vertical="center"/>
    </xf>
    <xf numFmtId="198" fontId="66" fillId="0" borderId="631" xfId="0" applyNumberFormat="1" applyFont="1" applyBorder="1" applyAlignment="1">
      <alignment horizontal="right" vertical="center"/>
    </xf>
    <xf numFmtId="187" fontId="78" fillId="0" borderId="499" xfId="3" applyNumberFormat="1" applyFont="1" applyBorder="1" applyAlignment="1">
      <alignment horizontal="right" vertical="center"/>
    </xf>
    <xf numFmtId="189" fontId="66" fillId="0" borderId="632" xfId="0" applyNumberFormat="1" applyFont="1" applyBorder="1" applyAlignment="1">
      <alignment horizontal="right" vertical="center"/>
    </xf>
    <xf numFmtId="189" fontId="66" fillId="0" borderId="499" xfId="0" applyNumberFormat="1" applyFont="1" applyBorder="1" applyAlignment="1">
      <alignment horizontal="right" vertical="center"/>
    </xf>
    <xf numFmtId="202" fontId="66" fillId="0" borderId="595" xfId="2" applyNumberFormat="1" applyFont="1" applyBorder="1" applyAlignment="1">
      <alignment horizontal="right" vertical="center"/>
    </xf>
    <xf numFmtId="186" fontId="66" fillId="0" borderId="499" xfId="0" applyNumberFormat="1" applyFont="1" applyBorder="1" applyAlignment="1">
      <alignment horizontal="right" vertical="center"/>
    </xf>
    <xf numFmtId="187" fontId="66" fillId="0" borderId="499" xfId="0" applyNumberFormat="1" applyFont="1" applyBorder="1" applyAlignment="1">
      <alignment horizontal="right" vertical="center"/>
    </xf>
    <xf numFmtId="186" fontId="66" fillId="0" borderId="633" xfId="0" applyNumberFormat="1" applyFont="1" applyBorder="1" applyAlignment="1">
      <alignment horizontal="right" vertical="center"/>
    </xf>
    <xf numFmtId="0" fontId="66" fillId="0" borderId="634" xfId="0" applyFont="1" applyBorder="1" applyAlignment="1">
      <alignment horizontal="right" vertical="center"/>
    </xf>
    <xf numFmtId="0" fontId="66" fillId="0" borderId="634" xfId="0" applyFont="1" applyBorder="1" applyAlignment="1">
      <alignment horizontal="left" vertical="center"/>
    </xf>
    <xf numFmtId="210" fontId="66" fillId="5" borderId="635" xfId="0" applyNumberFormat="1" applyFont="1" applyFill="1" applyBorder="1" applyAlignment="1">
      <alignment horizontal="right" vertical="center"/>
    </xf>
    <xf numFmtId="210" fontId="66" fillId="5" borderId="634" xfId="0" applyNumberFormat="1" applyFont="1" applyFill="1" applyBorder="1" applyAlignment="1">
      <alignment horizontal="right" vertical="center"/>
    </xf>
    <xf numFmtId="210" fontId="66" fillId="5" borderId="636" xfId="0" applyNumberFormat="1" applyFont="1" applyFill="1" applyBorder="1" applyAlignment="1">
      <alignment horizontal="right" vertical="center"/>
    </xf>
    <xf numFmtId="210" fontId="66" fillId="5" borderId="635" xfId="0" applyNumberFormat="1" applyFont="1" applyFill="1" applyBorder="1">
      <alignment vertical="center"/>
    </xf>
    <xf numFmtId="210" fontId="66" fillId="5" borderId="634" xfId="2" applyNumberFormat="1" applyFont="1" applyFill="1" applyBorder="1" applyAlignment="1">
      <alignment horizontal="right" vertical="center"/>
    </xf>
    <xf numFmtId="226" fontId="66" fillId="5" borderId="635" xfId="0" applyNumberFormat="1" applyFont="1" applyFill="1" applyBorder="1" applyAlignment="1">
      <alignment horizontal="right" vertical="center"/>
    </xf>
    <xf numFmtId="226" fontId="66" fillId="5" borderId="634" xfId="0" applyNumberFormat="1" applyFont="1" applyFill="1" applyBorder="1" applyAlignment="1">
      <alignment horizontal="right" vertical="center"/>
    </xf>
    <xf numFmtId="226" fontId="66" fillId="5" borderId="636" xfId="0" applyNumberFormat="1" applyFont="1" applyFill="1" applyBorder="1" applyAlignment="1">
      <alignment horizontal="right" vertical="center"/>
    </xf>
    <xf numFmtId="208" fontId="66" fillId="5" borderId="634" xfId="2" applyNumberFormat="1" applyFont="1" applyFill="1" applyBorder="1" applyAlignment="1">
      <alignment horizontal="right" vertical="center"/>
    </xf>
    <xf numFmtId="208" fontId="66" fillId="0" borderId="634" xfId="2" applyNumberFormat="1" applyFont="1" applyFill="1" applyBorder="1" applyAlignment="1">
      <alignment horizontal="right" vertical="center"/>
    </xf>
    <xf numFmtId="208" fontId="66" fillId="0" borderId="636" xfId="2" applyNumberFormat="1" applyFont="1" applyFill="1" applyBorder="1" applyAlignment="1">
      <alignment horizontal="right" vertical="center"/>
    </xf>
    <xf numFmtId="195" fontId="66" fillId="0" borderId="634" xfId="2" applyNumberFormat="1" applyFont="1" applyFill="1" applyBorder="1" applyAlignment="1">
      <alignment horizontal="right" vertical="center"/>
    </xf>
    <xf numFmtId="209" fontId="66" fillId="0" borderId="634" xfId="2" applyNumberFormat="1" applyFont="1" applyFill="1" applyBorder="1" applyAlignment="1">
      <alignment horizontal="right" vertical="center"/>
    </xf>
    <xf numFmtId="198" fontId="66" fillId="0" borderId="637" xfId="0" applyNumberFormat="1" applyFont="1" applyBorder="1" applyAlignment="1">
      <alignment horizontal="right" vertical="center"/>
    </xf>
    <xf numFmtId="187" fontId="78" fillId="0" borderId="634" xfId="3" applyNumberFormat="1" applyFont="1" applyBorder="1" applyAlignment="1">
      <alignment horizontal="right" vertical="center"/>
    </xf>
    <xf numFmtId="189" fontId="66" fillId="0" borderId="638" xfId="0" applyNumberFormat="1" applyFont="1" applyBorder="1" applyAlignment="1">
      <alignment horizontal="right" vertical="center"/>
    </xf>
    <xf numFmtId="208" fontId="66" fillId="0" borderId="634" xfId="0" applyNumberFormat="1" applyFont="1" applyBorder="1" applyAlignment="1">
      <alignment horizontal="right" vertical="center"/>
    </xf>
    <xf numFmtId="208" fontId="66" fillId="0" borderId="624" xfId="2" applyNumberFormat="1" applyFont="1" applyBorder="1" applyAlignment="1">
      <alignment horizontal="right" vertical="center"/>
    </xf>
    <xf numFmtId="187" fontId="66" fillId="0" borderId="634" xfId="0" applyNumberFormat="1" applyFont="1" applyBorder="1" applyAlignment="1">
      <alignment horizontal="right" vertical="center"/>
    </xf>
    <xf numFmtId="208" fontId="66" fillId="0" borderId="639" xfId="0" applyNumberFormat="1" applyFont="1" applyBorder="1" applyAlignment="1">
      <alignment horizontal="right" vertical="center"/>
    </xf>
    <xf numFmtId="210" fontId="66" fillId="5" borderId="485" xfId="0" applyNumberFormat="1" applyFont="1" applyFill="1" applyBorder="1" applyAlignment="1">
      <alignment horizontal="right" vertical="center"/>
    </xf>
    <xf numFmtId="210" fontId="66" fillId="5" borderId="0" xfId="0" applyNumberFormat="1" applyFont="1" applyFill="1" applyAlignment="1">
      <alignment horizontal="right" vertical="center"/>
    </xf>
    <xf numFmtId="210" fontId="66" fillId="5" borderId="406" xfId="0" applyNumberFormat="1" applyFont="1" applyFill="1" applyBorder="1" applyAlignment="1">
      <alignment horizontal="right" vertical="center"/>
    </xf>
    <xf numFmtId="210" fontId="66" fillId="5" borderId="0" xfId="2" applyNumberFormat="1" applyFont="1" applyFill="1" applyBorder="1" applyAlignment="1">
      <alignment horizontal="right" vertical="center"/>
    </xf>
    <xf numFmtId="210" fontId="66" fillId="5" borderId="0" xfId="0" applyNumberFormat="1" applyFont="1" applyFill="1" applyBorder="1" applyAlignment="1">
      <alignment horizontal="right" vertical="center"/>
    </xf>
    <xf numFmtId="243" fontId="66" fillId="0" borderId="0" xfId="2" applyNumberFormat="1" applyFont="1" applyFill="1" applyAlignment="1">
      <alignment horizontal="right" vertical="center"/>
    </xf>
    <xf numFmtId="198" fontId="66" fillId="29" borderId="458" xfId="0" applyNumberFormat="1" applyFont="1" applyFill="1" applyBorder="1" applyAlignment="1">
      <alignment horizontal="right" vertical="center"/>
    </xf>
    <xf numFmtId="208" fontId="66" fillId="0" borderId="0" xfId="0" applyNumberFormat="1" applyFont="1" applyAlignment="1">
      <alignment horizontal="right" vertical="center"/>
    </xf>
    <xf numFmtId="208" fontId="66" fillId="0" borderId="2" xfId="2" applyNumberFormat="1" applyFont="1" applyBorder="1" applyAlignment="1">
      <alignment horizontal="right" vertical="center"/>
    </xf>
    <xf numFmtId="208" fontId="66" fillId="29" borderId="0" xfId="0" applyNumberFormat="1" applyFont="1" applyFill="1" applyAlignment="1">
      <alignment horizontal="right" vertical="center"/>
    </xf>
    <xf numFmtId="187" fontId="66" fillId="29" borderId="0" xfId="0" applyNumberFormat="1" applyFont="1" applyFill="1" applyAlignment="1">
      <alignment horizontal="right" vertical="center"/>
    </xf>
    <xf numFmtId="202" fontId="66" fillId="4" borderId="0" xfId="0" applyNumberFormat="1" applyFont="1" applyFill="1" applyAlignment="1">
      <alignment horizontal="center" vertical="center"/>
    </xf>
    <xf numFmtId="195" fontId="66" fillId="5" borderId="0" xfId="2" applyNumberFormat="1" applyFont="1" applyFill="1" applyBorder="1" applyAlignment="1">
      <alignment horizontal="right" vertical="center"/>
    </xf>
    <xf numFmtId="0" fontId="74" fillId="2" borderId="527" xfId="0" applyFont="1" applyFill="1" applyBorder="1">
      <alignment vertical="center"/>
    </xf>
    <xf numFmtId="0" fontId="66" fillId="2" borderId="527" xfId="0" applyFont="1" applyFill="1" applyBorder="1">
      <alignment vertical="center"/>
    </xf>
    <xf numFmtId="210" fontId="66" fillId="2" borderId="528" xfId="0" applyNumberFormat="1" applyFont="1" applyFill="1" applyBorder="1">
      <alignment vertical="center"/>
    </xf>
    <xf numFmtId="210" fontId="66" fillId="2" borderId="527" xfId="0" applyNumberFormat="1" applyFont="1" applyFill="1" applyBorder="1">
      <alignment vertical="center"/>
    </xf>
    <xf numFmtId="210" fontId="66" fillId="2" borderId="529" xfId="0" applyNumberFormat="1" applyFont="1" applyFill="1" applyBorder="1">
      <alignment vertical="center"/>
    </xf>
    <xf numFmtId="226" fontId="66" fillId="2" borderId="528" xfId="0" applyNumberFormat="1" applyFont="1" applyFill="1" applyBorder="1" applyAlignment="1">
      <alignment horizontal="right" vertical="center"/>
    </xf>
    <xf numFmtId="226" fontId="66" fillId="2" borderId="527" xfId="0" applyNumberFormat="1" applyFont="1" applyFill="1" applyBorder="1" applyAlignment="1">
      <alignment horizontal="right" vertical="center"/>
    </xf>
    <xf numFmtId="226" fontId="66" fillId="2" borderId="529" xfId="0" applyNumberFormat="1" applyFont="1" applyFill="1" applyBorder="1" applyAlignment="1">
      <alignment horizontal="right" vertical="center"/>
    </xf>
    <xf numFmtId="208" fontId="66" fillId="2" borderId="527" xfId="2" applyNumberFormat="1" applyFont="1" applyFill="1" applyBorder="1" applyAlignment="1">
      <alignment horizontal="right" vertical="center"/>
    </xf>
    <xf numFmtId="208" fontId="66" fillId="2" borderId="529" xfId="2" applyNumberFormat="1" applyFont="1" applyFill="1" applyBorder="1" applyAlignment="1">
      <alignment horizontal="right" vertical="center"/>
    </xf>
    <xf numFmtId="195" fontId="66" fillId="2" borderId="527" xfId="2" applyNumberFormat="1" applyFont="1" applyFill="1" applyBorder="1" applyAlignment="1">
      <alignment horizontal="right" vertical="center"/>
    </xf>
    <xf numFmtId="209" fontId="66" fillId="2" borderId="527" xfId="2" applyNumberFormat="1" applyFont="1" applyFill="1" applyBorder="1" applyAlignment="1">
      <alignment horizontal="right" vertical="center"/>
    </xf>
    <xf numFmtId="198" fontId="66" fillId="2" borderId="630" xfId="0" applyNumberFormat="1" applyFont="1" applyFill="1" applyBorder="1" applyAlignment="1">
      <alignment horizontal="right" vertical="center"/>
    </xf>
    <xf numFmtId="187" fontId="78" fillId="2" borderId="527" xfId="3" applyNumberFormat="1" applyFont="1" applyFill="1" applyBorder="1" applyAlignment="1">
      <alignment horizontal="right" vertical="center"/>
    </xf>
    <xf numFmtId="189" fontId="66" fillId="2" borderId="531" xfId="0" applyNumberFormat="1" applyFont="1" applyFill="1" applyBorder="1" applyAlignment="1">
      <alignment horizontal="right" vertical="center"/>
    </xf>
    <xf numFmtId="189" fontId="66" fillId="2" borderId="527" xfId="0" applyNumberFormat="1" applyFont="1" applyFill="1" applyBorder="1" applyAlignment="1">
      <alignment horizontal="right" vertical="center"/>
    </xf>
    <xf numFmtId="202" fontId="66" fillId="2" borderId="530" xfId="2" applyNumberFormat="1" applyFont="1" applyFill="1" applyBorder="1" applyAlignment="1">
      <alignment horizontal="right" vertical="center"/>
    </xf>
    <xf numFmtId="187" fontId="66" fillId="2" borderId="527" xfId="0" applyNumberFormat="1" applyFont="1" applyFill="1" applyBorder="1" applyAlignment="1">
      <alignment horizontal="right" vertical="center"/>
    </xf>
    <xf numFmtId="248" fontId="66" fillId="15" borderId="0" xfId="0" applyNumberFormat="1" applyFont="1" applyFill="1" applyAlignment="1">
      <alignment horizontal="center" vertical="center"/>
    </xf>
    <xf numFmtId="210" fontId="66" fillId="2" borderId="485" xfId="0" applyNumberFormat="1" applyFont="1" applyFill="1" applyBorder="1">
      <alignment vertical="center"/>
    </xf>
    <xf numFmtId="210" fontId="66" fillId="2" borderId="0" xfId="0" applyNumberFormat="1" applyFont="1" applyFill="1" applyBorder="1">
      <alignment vertical="center"/>
    </xf>
    <xf numFmtId="210" fontId="66" fillId="2" borderId="406" xfId="0" applyNumberFormat="1" applyFont="1" applyFill="1" applyBorder="1">
      <alignment vertical="center"/>
    </xf>
    <xf numFmtId="226" fontId="66" fillId="2" borderId="0" xfId="0" applyNumberFormat="1" applyFont="1" applyFill="1" applyBorder="1" applyAlignment="1">
      <alignment horizontal="right" vertical="center"/>
    </xf>
    <xf numFmtId="226" fontId="66" fillId="2" borderId="406" xfId="0" applyNumberFormat="1" applyFont="1" applyFill="1" applyBorder="1" applyAlignment="1">
      <alignment horizontal="right" vertical="center"/>
    </xf>
    <xf numFmtId="208" fontId="66" fillId="2" borderId="406" xfId="2" applyNumberFormat="1" applyFont="1" applyFill="1" applyBorder="1" applyAlignment="1">
      <alignment horizontal="right" vertical="center"/>
    </xf>
    <xf numFmtId="243" fontId="66" fillId="2" borderId="0" xfId="0" applyNumberFormat="1" applyFont="1" applyFill="1" applyBorder="1" applyAlignment="1">
      <alignment horizontal="right" vertical="center"/>
    </xf>
    <xf numFmtId="209" fontId="66" fillId="2" borderId="0" xfId="2" applyNumberFormat="1" applyFont="1" applyFill="1" applyBorder="1" applyAlignment="1">
      <alignment horizontal="right" vertical="center"/>
    </xf>
    <xf numFmtId="209" fontId="66" fillId="2" borderId="0" xfId="0" applyNumberFormat="1" applyFont="1" applyFill="1" applyBorder="1" applyAlignment="1">
      <alignment horizontal="right" vertical="center"/>
    </xf>
    <xf numFmtId="195" fontId="66" fillId="2" borderId="0" xfId="2" applyNumberFormat="1" applyFont="1" applyFill="1" applyBorder="1" applyAlignment="1">
      <alignment horizontal="right" vertical="center"/>
    </xf>
    <xf numFmtId="189" fontId="66" fillId="2" borderId="46" xfId="0" applyNumberFormat="1" applyFont="1" applyFill="1" applyBorder="1" applyAlignment="1">
      <alignment horizontal="right" vertical="center"/>
    </xf>
    <xf numFmtId="189" fontId="66" fillId="2" borderId="0" xfId="0" applyNumberFormat="1" applyFont="1" applyFill="1" applyBorder="1" applyAlignment="1">
      <alignment horizontal="right" vertical="center"/>
    </xf>
    <xf numFmtId="202" fontId="66" fillId="2" borderId="2" xfId="2" applyNumberFormat="1" applyFont="1" applyFill="1" applyBorder="1" applyAlignment="1">
      <alignment horizontal="right" vertical="center"/>
    </xf>
    <xf numFmtId="189" fontId="66" fillId="29" borderId="0" xfId="0" applyNumberFormat="1" applyFont="1" applyFill="1" applyBorder="1" applyAlignment="1">
      <alignment horizontal="right" vertical="center"/>
    </xf>
    <xf numFmtId="187" fontId="66" fillId="29" borderId="0" xfId="0" applyNumberFormat="1" applyFont="1" applyFill="1" applyBorder="1" applyAlignment="1">
      <alignment horizontal="right" vertical="center"/>
    </xf>
    <xf numFmtId="195" fontId="66" fillId="2" borderId="0" xfId="0" applyNumberFormat="1" applyFont="1" applyFill="1" applyBorder="1" applyAlignment="1">
      <alignment horizontal="right" vertical="center"/>
    </xf>
    <xf numFmtId="0" fontId="74" fillId="2" borderId="465" xfId="0" applyFont="1" applyFill="1" applyBorder="1">
      <alignment vertical="center"/>
    </xf>
    <xf numFmtId="0" fontId="66" fillId="2" borderId="465" xfId="0" applyFont="1" applyFill="1" applyBorder="1">
      <alignment vertical="center"/>
    </xf>
    <xf numFmtId="210" fontId="66" fillId="2" borderId="472" xfId="0" applyNumberFormat="1" applyFont="1" applyFill="1" applyBorder="1">
      <alignment vertical="center"/>
    </xf>
    <xf numFmtId="210" fontId="66" fillId="2" borderId="465" xfId="0" applyNumberFormat="1" applyFont="1" applyFill="1" applyBorder="1">
      <alignment vertical="center"/>
    </xf>
    <xf numFmtId="210" fontId="66" fillId="2" borderId="473" xfId="0" applyNumberFormat="1" applyFont="1" applyFill="1" applyBorder="1">
      <alignment vertical="center"/>
    </xf>
    <xf numFmtId="226" fontId="66" fillId="2" borderId="472" xfId="0" applyNumberFormat="1" applyFont="1" applyFill="1" applyBorder="1" applyAlignment="1">
      <alignment horizontal="right" vertical="center"/>
    </xf>
    <xf numFmtId="226" fontId="66" fillId="2" borderId="465" xfId="0" applyNumberFormat="1" applyFont="1" applyFill="1" applyBorder="1" applyAlignment="1">
      <alignment horizontal="right" vertical="center"/>
    </xf>
    <xf numFmtId="226" fontId="66" fillId="2" borderId="473" xfId="0" applyNumberFormat="1" applyFont="1" applyFill="1" applyBorder="1" applyAlignment="1">
      <alignment horizontal="right" vertical="center"/>
    </xf>
    <xf numFmtId="208" fontId="66" fillId="2" borderId="465" xfId="2" applyNumberFormat="1" applyFont="1" applyFill="1" applyBorder="1" applyAlignment="1">
      <alignment horizontal="right" vertical="center"/>
    </xf>
    <xf numFmtId="208" fontId="66" fillId="2" borderId="473" xfId="2" applyNumberFormat="1" applyFont="1" applyFill="1" applyBorder="1" applyAlignment="1">
      <alignment horizontal="right" vertical="center"/>
    </xf>
    <xf numFmtId="243" fontId="66" fillId="2" borderId="465" xfId="2" applyNumberFormat="1" applyFont="1" applyFill="1" applyBorder="1" applyAlignment="1">
      <alignment horizontal="right" vertical="center"/>
    </xf>
    <xf numFmtId="209" fontId="66" fillId="2" borderId="465" xfId="2" applyNumberFormat="1" applyFont="1" applyFill="1" applyBorder="1" applyAlignment="1">
      <alignment horizontal="right" vertical="center"/>
    </xf>
    <xf numFmtId="195" fontId="66" fillId="2" borderId="465" xfId="2" applyNumberFormat="1" applyFont="1" applyFill="1" applyBorder="1" applyAlignment="1">
      <alignment horizontal="right" vertical="center"/>
    </xf>
    <xf numFmtId="198" fontId="66" fillId="29" borderId="627" xfId="0" applyNumberFormat="1" applyFont="1" applyFill="1" applyBorder="1" applyAlignment="1">
      <alignment horizontal="right" vertical="center"/>
    </xf>
    <xf numFmtId="187" fontId="78" fillId="29" borderId="465" xfId="3" applyNumberFormat="1" applyFont="1" applyFill="1" applyBorder="1" applyAlignment="1">
      <alignment horizontal="right" vertical="center"/>
    </xf>
    <xf numFmtId="189" fontId="66" fillId="2" borderId="628" xfId="0" applyNumberFormat="1" applyFont="1" applyFill="1" applyBorder="1" applyAlignment="1">
      <alignment horizontal="right" vertical="center"/>
    </xf>
    <xf numFmtId="189" fontId="66" fillId="2" borderId="465" xfId="0" applyNumberFormat="1" applyFont="1" applyFill="1" applyBorder="1" applyAlignment="1">
      <alignment horizontal="right" vertical="center"/>
    </xf>
    <xf numFmtId="202" fontId="66" fillId="2" borderId="626" xfId="2" applyNumberFormat="1" applyFont="1" applyFill="1" applyBorder="1" applyAlignment="1">
      <alignment horizontal="right" vertical="center"/>
    </xf>
    <xf numFmtId="186" fontId="66" fillId="29" borderId="465" xfId="0" applyNumberFormat="1" applyFont="1" applyFill="1" applyBorder="1" applyAlignment="1">
      <alignment horizontal="right" vertical="center"/>
    </xf>
    <xf numFmtId="187" fontId="66" fillId="29" borderId="465" xfId="0" applyNumberFormat="1" applyFont="1" applyFill="1" applyBorder="1" applyAlignment="1">
      <alignment horizontal="right" vertical="center"/>
    </xf>
    <xf numFmtId="226" fontId="66" fillId="2" borderId="485" xfId="0" applyNumberFormat="1" applyFont="1" applyFill="1" applyBorder="1" applyAlignment="1">
      <alignment horizontal="right" vertical="center"/>
    </xf>
    <xf numFmtId="208" fontId="66" fillId="2" borderId="2" xfId="2" applyNumberFormat="1" applyFont="1" applyFill="1" applyBorder="1" applyAlignment="1">
      <alignment horizontal="right" vertical="center"/>
    </xf>
    <xf numFmtId="186" fontId="66" fillId="29" borderId="0" xfId="0" applyNumberFormat="1" applyFont="1" applyFill="1" applyBorder="1" applyAlignment="1">
      <alignment horizontal="right" vertical="center"/>
    </xf>
    <xf numFmtId="210" fontId="66" fillId="2" borderId="485" xfId="0" quotePrefix="1" applyNumberFormat="1" applyFont="1" applyFill="1" applyBorder="1">
      <alignment vertical="center"/>
    </xf>
    <xf numFmtId="210" fontId="66" fillId="2" borderId="0" xfId="0" quotePrefix="1" applyNumberFormat="1" applyFont="1" applyFill="1" applyBorder="1">
      <alignment vertical="center"/>
    </xf>
    <xf numFmtId="210" fontId="66" fillId="2" borderId="406" xfId="0" quotePrefix="1" applyNumberFormat="1" applyFont="1" applyFill="1" applyBorder="1">
      <alignment vertical="center"/>
    </xf>
    <xf numFmtId="243" fontId="66" fillId="2" borderId="0" xfId="2" applyNumberFormat="1" applyFont="1" applyFill="1" applyBorder="1" applyAlignment="1">
      <alignment horizontal="right" vertical="center"/>
    </xf>
    <xf numFmtId="210" fontId="135" fillId="2" borderId="485" xfId="5" applyNumberFormat="1" applyFont="1" applyFill="1" applyBorder="1"/>
    <xf numFmtId="210" fontId="135" fillId="2" borderId="0" xfId="5" applyNumberFormat="1" applyFont="1" applyFill="1" applyBorder="1"/>
    <xf numFmtId="210" fontId="135" fillId="2" borderId="406" xfId="5" applyNumberFormat="1" applyFont="1" applyFill="1" applyBorder="1"/>
    <xf numFmtId="0" fontId="66" fillId="2" borderId="479" xfId="0" applyFont="1" applyFill="1" applyBorder="1">
      <alignment vertical="center"/>
    </xf>
    <xf numFmtId="210" fontId="135" fillId="2" borderId="478" xfId="5" applyNumberFormat="1" applyFont="1" applyFill="1" applyBorder="1"/>
    <xf numFmtId="210" fontId="135" fillId="2" borderId="479" xfId="5" applyNumberFormat="1" applyFont="1" applyFill="1" applyBorder="1"/>
    <xf numFmtId="210" fontId="135" fillId="2" borderId="480" xfId="5" applyNumberFormat="1" applyFont="1" applyFill="1" applyBorder="1"/>
    <xf numFmtId="210" fontId="66" fillId="2" borderId="478" xfId="0" applyNumberFormat="1" applyFont="1" applyFill="1" applyBorder="1">
      <alignment vertical="center"/>
    </xf>
    <xf numFmtId="210" fontId="66" fillId="2" borderId="479" xfId="0" applyNumberFormat="1" applyFont="1" applyFill="1" applyBorder="1">
      <alignment vertical="center"/>
    </xf>
    <xf numFmtId="210" fontId="66" fillId="2" borderId="480" xfId="0" applyNumberFormat="1" applyFont="1" applyFill="1" applyBorder="1">
      <alignment vertical="center"/>
    </xf>
    <xf numFmtId="226" fontId="66" fillId="2" borderId="478" xfId="0" applyNumberFormat="1" applyFont="1" applyFill="1" applyBorder="1" applyAlignment="1">
      <alignment horizontal="right" vertical="center"/>
    </xf>
    <xf numFmtId="226" fontId="66" fillId="2" borderId="479" xfId="0" applyNumberFormat="1" applyFont="1" applyFill="1" applyBorder="1" applyAlignment="1">
      <alignment horizontal="right" vertical="center"/>
    </xf>
    <xf numFmtId="226" fontId="66" fillId="2" borderId="480" xfId="0" applyNumberFormat="1" applyFont="1" applyFill="1" applyBorder="1" applyAlignment="1">
      <alignment horizontal="right" vertical="center"/>
    </xf>
    <xf numFmtId="208" fontId="66" fillId="2" borderId="480" xfId="2" applyNumberFormat="1" applyFont="1" applyFill="1" applyBorder="1" applyAlignment="1">
      <alignment horizontal="right" vertical="center"/>
    </xf>
    <xf numFmtId="195" fontId="66" fillId="2" borderId="479" xfId="2" applyNumberFormat="1" applyFont="1" applyFill="1" applyBorder="1" applyAlignment="1">
      <alignment horizontal="right" vertical="center"/>
    </xf>
    <xf numFmtId="209" fontId="66" fillId="2" borderId="479" xfId="2" applyNumberFormat="1" applyFont="1" applyFill="1" applyBorder="1" applyAlignment="1">
      <alignment horizontal="right" vertical="center"/>
    </xf>
    <xf numFmtId="198" fontId="66" fillId="29" borderId="629" xfId="0" applyNumberFormat="1" applyFont="1" applyFill="1" applyBorder="1" applyAlignment="1">
      <alignment horizontal="right" vertical="center"/>
    </xf>
    <xf numFmtId="187" fontId="78" fillId="29" borderId="479" xfId="3" applyNumberFormat="1" applyFont="1" applyFill="1" applyBorder="1" applyAlignment="1">
      <alignment horizontal="right" vertical="center"/>
    </xf>
    <xf numFmtId="189" fontId="66" fillId="2" borderId="537" xfId="0" applyNumberFormat="1" applyFont="1" applyFill="1" applyBorder="1" applyAlignment="1">
      <alignment horizontal="right" vertical="center"/>
    </xf>
    <xf numFmtId="189" fontId="66" fillId="2" borderId="479" xfId="0" applyNumberFormat="1" applyFont="1" applyFill="1" applyBorder="1" applyAlignment="1">
      <alignment horizontal="right" vertical="center"/>
    </xf>
    <xf numFmtId="208" fontId="66" fillId="2" borderId="535" xfId="2" applyNumberFormat="1" applyFont="1" applyFill="1" applyBorder="1" applyAlignment="1">
      <alignment horizontal="right" vertical="center"/>
    </xf>
    <xf numFmtId="186" fontId="66" fillId="29" borderId="479" xfId="0" applyNumberFormat="1" applyFont="1" applyFill="1" applyBorder="1" applyAlignment="1">
      <alignment horizontal="right" vertical="center"/>
    </xf>
    <xf numFmtId="187" fontId="66" fillId="29" borderId="479" xfId="0" applyNumberFormat="1" applyFont="1" applyFill="1" applyBorder="1" applyAlignment="1">
      <alignment horizontal="right" vertical="center"/>
    </xf>
    <xf numFmtId="0" fontId="66" fillId="2" borderId="486" xfId="0" applyFont="1" applyFill="1" applyBorder="1">
      <alignment vertical="center"/>
    </xf>
    <xf numFmtId="0" fontId="136" fillId="2" borderId="486" xfId="0" applyFont="1" applyFill="1" applyBorder="1">
      <alignment vertical="center"/>
    </xf>
    <xf numFmtId="210" fontId="66" fillId="2" borderId="487" xfId="0" applyNumberFormat="1" applyFont="1" applyFill="1" applyBorder="1">
      <alignment vertical="center"/>
    </xf>
    <xf numFmtId="210" fontId="66" fillId="2" borderId="486" xfId="0" applyNumberFormat="1" applyFont="1" applyFill="1" applyBorder="1">
      <alignment vertical="center"/>
    </xf>
    <xf numFmtId="210" fontId="66" fillId="2" borderId="488" xfId="0" applyNumberFormat="1" applyFont="1" applyFill="1" applyBorder="1">
      <alignment vertical="center"/>
    </xf>
    <xf numFmtId="226" fontId="66" fillId="2" borderId="487" xfId="0" applyNumberFormat="1" applyFont="1" applyFill="1" applyBorder="1" applyAlignment="1">
      <alignment horizontal="right" vertical="center"/>
    </xf>
    <xf numFmtId="226" fontId="66" fillId="2" borderId="486" xfId="0" applyNumberFormat="1" applyFont="1" applyFill="1" applyBorder="1" applyAlignment="1">
      <alignment horizontal="right" vertical="center"/>
    </xf>
    <xf numFmtId="226" fontId="66" fillId="2" borderId="488" xfId="0" applyNumberFormat="1" applyFont="1" applyFill="1" applyBorder="1" applyAlignment="1">
      <alignment horizontal="right" vertical="center"/>
    </xf>
    <xf numFmtId="208" fontId="66" fillId="2" borderId="486" xfId="2" applyNumberFormat="1" applyFont="1" applyFill="1" applyBorder="1" applyAlignment="1">
      <alignment horizontal="right" vertical="center"/>
    </xf>
    <xf numFmtId="208" fontId="66" fillId="2" borderId="488" xfId="2" applyNumberFormat="1" applyFont="1" applyFill="1" applyBorder="1" applyAlignment="1">
      <alignment horizontal="right" vertical="center"/>
    </xf>
    <xf numFmtId="209" fontId="66" fillId="2" borderId="486" xfId="2" applyNumberFormat="1" applyFont="1" applyFill="1" applyBorder="1" applyAlignment="1">
      <alignment horizontal="right" vertical="center"/>
    </xf>
    <xf numFmtId="198" fontId="66" fillId="29" borderId="540" xfId="0" applyNumberFormat="1" applyFont="1" applyFill="1" applyBorder="1" applyAlignment="1">
      <alignment horizontal="right" vertical="center"/>
    </xf>
    <xf numFmtId="187" fontId="78" fillId="29" borderId="486" xfId="3" applyNumberFormat="1" applyFont="1" applyFill="1" applyBorder="1" applyAlignment="1">
      <alignment horizontal="right" vertical="center"/>
    </xf>
    <xf numFmtId="189" fontId="66" fillId="2" borderId="490" xfId="0" applyNumberFormat="1" applyFont="1" applyFill="1" applyBorder="1" applyAlignment="1">
      <alignment horizontal="right" vertical="center"/>
    </xf>
    <xf numFmtId="189" fontId="66" fillId="2" borderId="486" xfId="0" applyNumberFormat="1" applyFont="1" applyFill="1" applyBorder="1" applyAlignment="1">
      <alignment horizontal="right" vertical="center"/>
    </xf>
    <xf numFmtId="208" fontId="66" fillId="2" borderId="489" xfId="2" applyNumberFormat="1" applyFont="1" applyFill="1" applyBorder="1" applyAlignment="1">
      <alignment horizontal="right" vertical="center"/>
    </xf>
    <xf numFmtId="186" fontId="66" fillId="29" borderId="486" xfId="0" applyNumberFormat="1" applyFont="1" applyFill="1" applyBorder="1" applyAlignment="1">
      <alignment horizontal="right" vertical="center"/>
    </xf>
    <xf numFmtId="187" fontId="66" fillId="29" borderId="486" xfId="0" applyNumberFormat="1" applyFont="1" applyFill="1" applyBorder="1" applyAlignment="1">
      <alignment horizontal="right" vertical="center"/>
    </xf>
    <xf numFmtId="214" fontId="66" fillId="0" borderId="0" xfId="2" applyNumberFormat="1" applyFont="1" applyFill="1" applyBorder="1" applyAlignment="1">
      <alignment horizontal="right" vertical="center"/>
    </xf>
    <xf numFmtId="189" fontId="66" fillId="0" borderId="225" xfId="0" applyNumberFormat="1" applyFont="1" applyBorder="1" applyAlignment="1">
      <alignment horizontal="right" vertical="center"/>
    </xf>
    <xf numFmtId="247" fontId="66" fillId="28" borderId="0" xfId="0" applyNumberFormat="1" applyFont="1" applyFill="1" applyAlignment="1">
      <alignment horizontal="center" vertical="center"/>
    </xf>
    <xf numFmtId="209" fontId="66" fillId="0" borderId="2" xfId="2" applyNumberFormat="1" applyFont="1" applyBorder="1" applyAlignment="1">
      <alignment horizontal="right" vertical="center"/>
    </xf>
    <xf numFmtId="0" fontId="136" fillId="0" borderId="0" xfId="0" applyFont="1">
      <alignment vertical="center"/>
    </xf>
    <xf numFmtId="210" fontId="136" fillId="5" borderId="485" xfId="0" applyNumberFormat="1" applyFont="1" applyFill="1" applyBorder="1">
      <alignment vertical="center"/>
    </xf>
    <xf numFmtId="210" fontId="136" fillId="5" borderId="0" xfId="0" applyNumberFormat="1" applyFont="1" applyFill="1">
      <alignment vertical="center"/>
    </xf>
    <xf numFmtId="210" fontId="136" fillId="5" borderId="406" xfId="0" applyNumberFormat="1" applyFont="1" applyFill="1" applyBorder="1">
      <alignment vertical="center"/>
    </xf>
    <xf numFmtId="210" fontId="136" fillId="5" borderId="0" xfId="0" applyNumberFormat="1" applyFont="1" applyFill="1" applyBorder="1">
      <alignment vertical="center"/>
    </xf>
    <xf numFmtId="226" fontId="66" fillId="5" borderId="483" xfId="0" applyNumberFormat="1" applyFont="1" applyFill="1" applyBorder="1" applyAlignment="1">
      <alignment horizontal="right" vertical="center"/>
    </xf>
    <xf numFmtId="226" fontId="66" fillId="5" borderId="106" xfId="0" applyNumberFormat="1" applyFont="1" applyFill="1" applyBorder="1" applyAlignment="1">
      <alignment horizontal="right" vertical="center"/>
    </xf>
    <xf numFmtId="226" fontId="66" fillId="5" borderId="484" xfId="0" applyNumberFormat="1" applyFont="1" applyFill="1" applyBorder="1" applyAlignment="1">
      <alignment horizontal="right" vertical="center"/>
    </xf>
    <xf numFmtId="210" fontId="133" fillId="32" borderId="0" xfId="0" applyNumberFormat="1" applyFont="1" applyFill="1">
      <alignment vertical="center"/>
    </xf>
    <xf numFmtId="186" fontId="66" fillId="0" borderId="68" xfId="0" applyNumberFormat="1" applyFont="1" applyBorder="1" applyAlignment="1">
      <alignment horizontal="right" vertical="center"/>
    </xf>
    <xf numFmtId="192" fontId="66" fillId="15" borderId="0" xfId="0" applyNumberFormat="1" applyFont="1" applyFill="1" applyAlignment="1">
      <alignment horizontal="center" vertical="center"/>
    </xf>
    <xf numFmtId="226" fontId="66" fillId="3" borderId="485" xfId="0" applyNumberFormat="1" applyFont="1" applyFill="1" applyBorder="1" applyAlignment="1">
      <alignment horizontal="right" vertical="center"/>
    </xf>
    <xf numFmtId="226" fontId="66" fillId="3" borderId="0" xfId="0" applyNumberFormat="1" applyFont="1" applyFill="1" applyAlignment="1">
      <alignment horizontal="right" vertical="center"/>
    </xf>
    <xf numFmtId="226" fontId="66" fillId="3" borderId="406" xfId="0" applyNumberFormat="1" applyFont="1" applyFill="1" applyBorder="1" applyAlignment="1">
      <alignment horizontal="right" vertical="center"/>
    </xf>
    <xf numFmtId="208" fontId="66" fillId="3" borderId="0" xfId="2" applyNumberFormat="1" applyFont="1" applyFill="1" applyAlignment="1">
      <alignment horizontal="right" vertical="center"/>
    </xf>
    <xf numFmtId="208" fontId="66" fillId="3" borderId="406" xfId="2" applyNumberFormat="1" applyFont="1" applyFill="1" applyBorder="1" applyAlignment="1">
      <alignment horizontal="right" vertical="center"/>
    </xf>
    <xf numFmtId="195" fontId="66" fillId="3" borderId="0" xfId="2" applyNumberFormat="1" applyFont="1" applyFill="1" applyBorder="1" applyAlignment="1">
      <alignment horizontal="right" vertical="center"/>
    </xf>
    <xf numFmtId="198" fontId="66" fillId="3" borderId="458" xfId="0" applyNumberFormat="1" applyFont="1" applyFill="1" applyBorder="1" applyAlignment="1">
      <alignment horizontal="right" vertical="center"/>
    </xf>
    <xf numFmtId="187" fontId="78" fillId="3" borderId="0" xfId="3" applyNumberFormat="1" applyFont="1" applyFill="1" applyBorder="1" applyAlignment="1">
      <alignment horizontal="right" vertical="center"/>
    </xf>
    <xf numFmtId="189" fontId="66" fillId="3" borderId="46" xfId="0" applyNumberFormat="1" applyFont="1" applyFill="1" applyBorder="1" applyAlignment="1">
      <alignment horizontal="right" vertical="center"/>
    </xf>
    <xf numFmtId="209" fontId="66" fillId="3" borderId="2" xfId="2" applyNumberFormat="1" applyFont="1" applyFill="1" applyBorder="1" applyAlignment="1">
      <alignment horizontal="right" vertical="center"/>
    </xf>
    <xf numFmtId="186" fontId="66" fillId="3" borderId="0" xfId="0" applyNumberFormat="1" applyFont="1" applyFill="1" applyAlignment="1">
      <alignment horizontal="right" vertical="center"/>
    </xf>
    <xf numFmtId="187" fontId="66" fillId="3" borderId="0" xfId="0" applyNumberFormat="1" applyFont="1" applyFill="1" applyAlignment="1">
      <alignment horizontal="right" vertical="center"/>
    </xf>
    <xf numFmtId="189" fontId="66" fillId="3" borderId="225" xfId="0" applyNumberFormat="1" applyFont="1" applyFill="1" applyBorder="1" applyAlignment="1">
      <alignment horizontal="right" vertical="center"/>
    </xf>
    <xf numFmtId="192" fontId="66" fillId="0" borderId="0" xfId="0" applyNumberFormat="1" applyFont="1" applyAlignment="1">
      <alignment horizontal="center" vertical="center"/>
    </xf>
    <xf numFmtId="187" fontId="78" fillId="57" borderId="0" xfId="3" applyNumberFormat="1" applyFont="1" applyFill="1" applyBorder="1" applyAlignment="1">
      <alignment horizontal="right" vertical="center"/>
    </xf>
    <xf numFmtId="187" fontId="66" fillId="57" borderId="0" xfId="0" applyNumberFormat="1" applyFont="1" applyFill="1" applyAlignment="1">
      <alignment horizontal="right" vertical="center"/>
    </xf>
    <xf numFmtId="209" fontId="66" fillId="3" borderId="0" xfId="2" applyNumberFormat="1" applyFont="1" applyFill="1" applyAlignment="1">
      <alignment horizontal="right" vertical="center"/>
    </xf>
    <xf numFmtId="0" fontId="66" fillId="0" borderId="267" xfId="0" applyFont="1" applyBorder="1">
      <alignment vertical="center"/>
    </xf>
    <xf numFmtId="0" fontId="66" fillId="3" borderId="6" xfId="0" applyFont="1" applyFill="1" applyBorder="1">
      <alignment vertical="center"/>
    </xf>
    <xf numFmtId="226" fontId="66" fillId="3" borderId="492" xfId="0" applyNumberFormat="1" applyFont="1" applyFill="1" applyBorder="1" applyAlignment="1">
      <alignment horizontal="right" vertical="center"/>
    </xf>
    <xf numFmtId="226" fontId="66" fillId="3" borderId="390" xfId="0" applyNumberFormat="1" applyFont="1" applyFill="1" applyBorder="1" applyAlignment="1">
      <alignment horizontal="right" vertical="center"/>
    </xf>
    <xf numFmtId="226" fontId="66" fillId="3" borderId="493" xfId="0" applyNumberFormat="1" applyFont="1" applyFill="1" applyBorder="1" applyAlignment="1">
      <alignment horizontal="right" vertical="center"/>
    </xf>
    <xf numFmtId="208" fontId="66" fillId="3" borderId="6" xfId="2" applyNumberFormat="1" applyFont="1" applyFill="1" applyBorder="1" applyAlignment="1">
      <alignment horizontal="right" vertical="center"/>
    </xf>
    <xf numFmtId="208" fontId="66" fillId="3" borderId="508" xfId="2" applyNumberFormat="1" applyFont="1" applyFill="1" applyBorder="1" applyAlignment="1">
      <alignment horizontal="right" vertical="center"/>
    </xf>
    <xf numFmtId="195" fontId="66" fillId="3" borderId="6" xfId="2" applyNumberFormat="1" applyFont="1" applyFill="1" applyBorder="1" applyAlignment="1">
      <alignment horizontal="right" vertical="center"/>
    </xf>
    <xf numFmtId="209" fontId="66" fillId="3" borderId="6" xfId="2" applyNumberFormat="1" applyFont="1" applyFill="1" applyBorder="1" applyAlignment="1">
      <alignment horizontal="right" vertical="center"/>
    </xf>
    <xf numFmtId="198" fontId="66" fillId="3" borderId="456" xfId="0" applyNumberFormat="1" applyFont="1" applyFill="1" applyBorder="1" applyAlignment="1">
      <alignment horizontal="right" vertical="center"/>
    </xf>
    <xf numFmtId="187" fontId="78" fillId="3" borderId="6" xfId="3" applyNumberFormat="1" applyFont="1" applyFill="1" applyBorder="1" applyAlignment="1">
      <alignment horizontal="right" vertical="center"/>
    </xf>
    <xf numFmtId="189" fontId="66" fillId="3" borderId="43" xfId="0" applyNumberFormat="1" applyFont="1" applyFill="1" applyBorder="1" applyAlignment="1">
      <alignment horizontal="right" vertical="center"/>
    </xf>
    <xf numFmtId="189" fontId="66" fillId="3" borderId="6" xfId="0" applyNumberFormat="1" applyFont="1" applyFill="1" applyBorder="1" applyAlignment="1">
      <alignment horizontal="right" vertical="center"/>
    </xf>
    <xf numFmtId="209" fontId="66" fillId="3" borderId="3" xfId="2" applyNumberFormat="1" applyFont="1" applyFill="1" applyBorder="1" applyAlignment="1">
      <alignment horizontal="right" vertical="center"/>
    </xf>
    <xf numFmtId="186" fontId="66" fillId="3" borderId="6" xfId="0" applyNumberFormat="1" applyFont="1" applyFill="1" applyBorder="1" applyAlignment="1">
      <alignment horizontal="right" vertical="center"/>
    </xf>
    <xf numFmtId="187" fontId="66" fillId="3" borderId="6" xfId="0" applyNumberFormat="1" applyFont="1" applyFill="1" applyBorder="1" applyAlignment="1">
      <alignment horizontal="right" vertical="center"/>
    </xf>
    <xf numFmtId="189" fontId="66" fillId="3" borderId="230" xfId="0" applyNumberFormat="1" applyFont="1" applyFill="1" applyBorder="1" applyAlignment="1">
      <alignment horizontal="right" vertical="center"/>
    </xf>
    <xf numFmtId="247" fontId="66" fillId="15" borderId="390" xfId="0" applyNumberFormat="1" applyFont="1" applyFill="1" applyBorder="1" applyAlignment="1">
      <alignment horizontal="center" vertical="center"/>
    </xf>
    <xf numFmtId="226" fontId="66" fillId="5" borderId="0" xfId="2" applyNumberFormat="1" applyFont="1" applyFill="1" applyBorder="1" applyAlignment="1">
      <alignment horizontal="right" vertical="center"/>
    </xf>
    <xf numFmtId="204" fontId="66" fillId="5" borderId="0" xfId="2" applyNumberFormat="1" applyFont="1" applyFill="1" applyBorder="1" applyAlignment="1">
      <alignment horizontal="right" vertical="center"/>
    </xf>
    <xf numFmtId="204" fontId="66" fillId="0" borderId="0" xfId="2" applyNumberFormat="1" applyFont="1" applyAlignment="1">
      <alignment horizontal="right" vertical="center"/>
    </xf>
    <xf numFmtId="204" fontId="66" fillId="0" borderId="406" xfId="2" applyNumberFormat="1" applyFont="1" applyBorder="1" applyAlignment="1">
      <alignment horizontal="right" vertical="center"/>
    </xf>
    <xf numFmtId="209" fontId="66" fillId="0" borderId="0" xfId="2" applyNumberFormat="1" applyFont="1" applyAlignment="1">
      <alignment horizontal="right" vertical="center"/>
    </xf>
    <xf numFmtId="0" fontId="66" fillId="0" borderId="0" xfId="2" applyNumberFormat="1" applyFont="1" applyBorder="1" applyAlignment="1">
      <alignment horizontal="right" vertical="center"/>
    </xf>
    <xf numFmtId="198" fontId="66" fillId="0" borderId="0" xfId="0" applyNumberFormat="1" applyFont="1" applyAlignment="1">
      <alignment horizontal="right" vertical="center"/>
    </xf>
    <xf numFmtId="187" fontId="78" fillId="0" borderId="0" xfId="0" applyNumberFormat="1" applyFont="1" applyAlignment="1">
      <alignment horizontal="right" vertical="center"/>
    </xf>
    <xf numFmtId="0" fontId="74" fillId="4" borderId="256" xfId="0" applyFont="1" applyFill="1" applyBorder="1">
      <alignment vertical="center"/>
    </xf>
    <xf numFmtId="0" fontId="66" fillId="4" borderId="0" xfId="0" applyFont="1" applyFill="1">
      <alignment vertical="center"/>
    </xf>
    <xf numFmtId="210" fontId="66" fillId="4" borderId="485" xfId="0" applyNumberFormat="1" applyFont="1" applyFill="1" applyBorder="1">
      <alignment vertical="center"/>
    </xf>
    <xf numFmtId="210" fontId="66" fillId="4" borderId="0" xfId="0" applyNumberFormat="1" applyFont="1" applyFill="1">
      <alignment vertical="center"/>
    </xf>
    <xf numFmtId="210" fontId="66" fillId="4" borderId="406" xfId="0" applyNumberFormat="1" applyFont="1" applyFill="1" applyBorder="1">
      <alignment vertical="center"/>
    </xf>
    <xf numFmtId="2" fontId="66" fillId="4" borderId="0" xfId="0" applyNumberFormat="1" applyFont="1" applyFill="1">
      <alignment vertical="center"/>
    </xf>
    <xf numFmtId="210" fontId="66" fillId="4" borderId="0" xfId="0" applyNumberFormat="1" applyFont="1" applyFill="1" applyBorder="1">
      <alignment vertical="center"/>
    </xf>
    <xf numFmtId="226" fontId="66" fillId="4" borderId="485" xfId="0" applyNumberFormat="1" applyFont="1" applyFill="1" applyBorder="1" applyAlignment="1">
      <alignment horizontal="right" vertical="center"/>
    </xf>
    <xf numFmtId="226" fontId="66" fillId="4" borderId="0" xfId="0" applyNumberFormat="1" applyFont="1" applyFill="1" applyAlignment="1">
      <alignment horizontal="right" vertical="center"/>
    </xf>
    <xf numFmtId="226" fontId="77" fillId="4" borderId="406" xfId="0" applyNumberFormat="1" applyFont="1" applyFill="1" applyBorder="1" applyAlignment="1">
      <alignment horizontal="right" vertical="center"/>
    </xf>
    <xf numFmtId="208" fontId="66" fillId="4" borderId="0" xfId="2" applyNumberFormat="1" applyFont="1" applyFill="1" applyBorder="1" applyAlignment="1">
      <alignment horizontal="right" vertical="center"/>
    </xf>
    <xf numFmtId="208" fontId="66" fillId="4" borderId="0" xfId="2" applyNumberFormat="1" applyFont="1" applyFill="1" applyAlignment="1">
      <alignment horizontal="right" vertical="center"/>
    </xf>
    <xf numFmtId="208" fontId="66" fillId="4" borderId="406" xfId="2" applyNumberFormat="1" applyFont="1" applyFill="1" applyBorder="1" applyAlignment="1">
      <alignment horizontal="right" vertical="center"/>
    </xf>
    <xf numFmtId="195" fontId="66" fillId="4" borderId="0" xfId="2" applyNumberFormat="1" applyFont="1" applyFill="1" applyBorder="1" applyAlignment="1">
      <alignment horizontal="right" vertical="center"/>
    </xf>
    <xf numFmtId="189" fontId="66" fillId="4" borderId="46" xfId="0" applyNumberFormat="1" applyFont="1" applyFill="1" applyBorder="1" applyAlignment="1">
      <alignment horizontal="right" vertical="center"/>
    </xf>
    <xf numFmtId="202" fontId="66" fillId="4" borderId="1" xfId="2" applyNumberFormat="1" applyFont="1" applyFill="1" applyBorder="1" applyAlignment="1">
      <alignment horizontal="right" vertical="center"/>
    </xf>
    <xf numFmtId="186" fontId="66" fillId="42" borderId="0" xfId="0" applyNumberFormat="1" applyFont="1" applyFill="1" applyAlignment="1">
      <alignment horizontal="right" vertical="center"/>
    </xf>
    <xf numFmtId="189" fontId="66" fillId="4" borderId="257" xfId="0" applyNumberFormat="1" applyFont="1" applyFill="1" applyBorder="1" applyAlignment="1">
      <alignment horizontal="right" vertical="center"/>
    </xf>
    <xf numFmtId="0" fontId="66" fillId="0" borderId="256" xfId="0" applyFont="1" applyBorder="1">
      <alignment vertical="center"/>
    </xf>
    <xf numFmtId="0" fontId="74" fillId="5" borderId="0" xfId="0" applyFont="1" applyFill="1">
      <alignment vertical="center"/>
    </xf>
    <xf numFmtId="208" fontId="66" fillId="0" borderId="0" xfId="2" applyNumberFormat="1" applyFont="1" applyAlignment="1">
      <alignment horizontal="right" vertical="center"/>
    </xf>
    <xf numFmtId="208" fontId="66" fillId="0" borderId="406" xfId="2" applyNumberFormat="1" applyFont="1" applyBorder="1" applyAlignment="1">
      <alignment horizontal="right" vertical="center"/>
    </xf>
    <xf numFmtId="189" fontId="66" fillId="0" borderId="257" xfId="0" applyNumberFormat="1" applyFont="1" applyBorder="1" applyAlignment="1">
      <alignment horizontal="right" vertical="center"/>
    </xf>
    <xf numFmtId="0" fontId="82" fillId="5" borderId="0" xfId="0" applyFont="1" applyFill="1">
      <alignment vertical="center"/>
    </xf>
    <xf numFmtId="243" fontId="66" fillId="0" borderId="0" xfId="2" applyNumberFormat="1" applyFont="1" applyBorder="1" applyAlignment="1">
      <alignment horizontal="right" vertical="center"/>
    </xf>
    <xf numFmtId="195" fontId="66" fillId="0" borderId="0" xfId="2" applyNumberFormat="1" applyFont="1" applyBorder="1" applyAlignment="1">
      <alignment horizontal="right" vertical="center"/>
    </xf>
    <xf numFmtId="221" fontId="66" fillId="0" borderId="0" xfId="0" applyNumberFormat="1" applyFont="1" applyAlignment="1"/>
    <xf numFmtId="221" fontId="66" fillId="0" borderId="406" xfId="0" applyNumberFormat="1" applyFont="1" applyBorder="1" applyAlignment="1"/>
    <xf numFmtId="210" fontId="66" fillId="0" borderId="0" xfId="0" applyNumberFormat="1" applyFont="1" applyAlignment="1"/>
    <xf numFmtId="0" fontId="82" fillId="5" borderId="581" xfId="0" applyFont="1" applyFill="1" applyBorder="1">
      <alignment vertical="center"/>
    </xf>
    <xf numFmtId="0" fontId="122" fillId="5" borderId="581" xfId="0" applyFont="1" applyFill="1" applyBorder="1" applyAlignment="1">
      <alignment horizontal="left" vertical="center"/>
    </xf>
    <xf numFmtId="0" fontId="66" fillId="0" borderId="581" xfId="0" applyFont="1" applyBorder="1">
      <alignment vertical="center"/>
    </xf>
    <xf numFmtId="210" fontId="66" fillId="5" borderId="582" xfId="0" applyNumberFormat="1" applyFont="1" applyFill="1" applyBorder="1">
      <alignment vertical="center"/>
    </xf>
    <xf numFmtId="210" fontId="66" fillId="5" borderId="581" xfId="0" applyNumberFormat="1" applyFont="1" applyFill="1" applyBorder="1">
      <alignment vertical="center"/>
    </xf>
    <xf numFmtId="210" fontId="66" fillId="5" borderId="583" xfId="0" applyNumberFormat="1" applyFont="1" applyFill="1" applyBorder="1">
      <alignment vertical="center"/>
    </xf>
    <xf numFmtId="226" fontId="66" fillId="5" borderId="582" xfId="0" applyNumberFormat="1" applyFont="1" applyFill="1" applyBorder="1" applyAlignment="1">
      <alignment horizontal="right" vertical="center"/>
    </xf>
    <xf numFmtId="226" fontId="66" fillId="5" borderId="581" xfId="0" applyNumberFormat="1" applyFont="1" applyFill="1" applyBorder="1" applyAlignment="1">
      <alignment horizontal="right" vertical="center"/>
    </xf>
    <xf numFmtId="226" fontId="66" fillId="5" borderId="583" xfId="0" applyNumberFormat="1" applyFont="1" applyFill="1" applyBorder="1" applyAlignment="1">
      <alignment horizontal="right" vertical="center"/>
    </xf>
    <xf numFmtId="208" fontId="66" fillId="5" borderId="581" xfId="2" applyNumberFormat="1" applyFont="1" applyFill="1" applyBorder="1" applyAlignment="1">
      <alignment horizontal="right" vertical="center"/>
    </xf>
    <xf numFmtId="208" fontId="66" fillId="0" borderId="581" xfId="2" applyNumberFormat="1" applyFont="1" applyBorder="1" applyAlignment="1">
      <alignment horizontal="right" vertical="center"/>
    </xf>
    <xf numFmtId="208" fontId="66" fillId="0" borderId="583" xfId="2" applyNumberFormat="1" applyFont="1" applyBorder="1" applyAlignment="1">
      <alignment horizontal="right" vertical="center"/>
    </xf>
    <xf numFmtId="243" fontId="66" fillId="0" borderId="581" xfId="2" applyNumberFormat="1" applyFont="1" applyFill="1" applyBorder="1" applyAlignment="1">
      <alignment horizontal="right" vertical="center"/>
    </xf>
    <xf numFmtId="209" fontId="66" fillId="0" borderId="581" xfId="2" applyNumberFormat="1" applyFont="1" applyBorder="1" applyAlignment="1">
      <alignment horizontal="right" vertical="center"/>
    </xf>
    <xf numFmtId="243" fontId="66" fillId="0" borderId="581" xfId="2" applyNumberFormat="1" applyFont="1" applyBorder="1" applyAlignment="1">
      <alignment horizontal="right" vertical="center"/>
    </xf>
    <xf numFmtId="208" fontId="66" fillId="0" borderId="581" xfId="2" applyNumberFormat="1" applyFont="1" applyFill="1" applyBorder="1" applyAlignment="1">
      <alignment horizontal="right" vertical="center"/>
    </xf>
    <xf numFmtId="198" fontId="66" fillId="0" borderId="585" xfId="0" applyNumberFormat="1" applyFont="1" applyBorder="1" applyAlignment="1">
      <alignment horizontal="right" vertical="center"/>
    </xf>
    <xf numFmtId="189" fontId="66" fillId="0" borderId="586" xfId="0" applyNumberFormat="1" applyFont="1" applyBorder="1" applyAlignment="1">
      <alignment horizontal="right" vertical="center"/>
    </xf>
    <xf numFmtId="189" fontId="66" fillId="0" borderId="581" xfId="0" applyNumberFormat="1" applyFont="1" applyBorder="1" applyAlignment="1">
      <alignment horizontal="right" vertical="center"/>
    </xf>
    <xf numFmtId="202" fontId="66" fillId="0" borderId="584" xfId="2" applyNumberFormat="1" applyFont="1" applyBorder="1" applyAlignment="1">
      <alignment horizontal="right" vertical="center"/>
    </xf>
    <xf numFmtId="186" fontId="66" fillId="5" borderId="581" xfId="0" applyNumberFormat="1" applyFont="1" applyFill="1" applyBorder="1" applyAlignment="1">
      <alignment horizontal="right" vertical="center"/>
    </xf>
    <xf numFmtId="187" fontId="66" fillId="18" borderId="581" xfId="3" applyNumberFormat="1" applyFont="1" applyFill="1" applyBorder="1" applyAlignment="1">
      <alignment horizontal="right" vertical="center"/>
    </xf>
    <xf numFmtId="189" fontId="66" fillId="0" borderId="587" xfId="0" applyNumberFormat="1" applyFont="1" applyBorder="1" applyAlignment="1">
      <alignment horizontal="right" vertical="center"/>
    </xf>
    <xf numFmtId="208" fontId="66" fillId="5" borderId="406" xfId="2" applyNumberFormat="1" applyFont="1" applyFill="1" applyBorder="1" applyAlignment="1">
      <alignment horizontal="right" vertical="center"/>
    </xf>
    <xf numFmtId="0" fontId="66" fillId="5" borderId="581" xfId="0" applyFont="1" applyFill="1" applyBorder="1">
      <alignment vertical="center"/>
    </xf>
    <xf numFmtId="195" fontId="66" fillId="0" borderId="581" xfId="2" applyNumberFormat="1" applyFont="1" applyFill="1" applyBorder="1" applyAlignment="1">
      <alignment horizontal="right" vertical="center"/>
    </xf>
    <xf numFmtId="195" fontId="66" fillId="0" borderId="581" xfId="2" applyNumberFormat="1" applyFont="1" applyBorder="1" applyAlignment="1">
      <alignment horizontal="right" vertical="center"/>
    </xf>
    <xf numFmtId="195" fontId="66" fillId="5" borderId="581" xfId="2" applyNumberFormat="1" applyFont="1" applyFill="1" applyBorder="1" applyAlignment="1">
      <alignment horizontal="right" vertical="center"/>
    </xf>
    <xf numFmtId="209" fontId="66" fillId="0" borderId="584" xfId="2" applyNumberFormat="1" applyFont="1" applyBorder="1" applyAlignment="1">
      <alignment horizontal="right" vertical="center"/>
    </xf>
    <xf numFmtId="0" fontId="74" fillId="5" borderId="588" xfId="0" applyFont="1" applyFill="1" applyBorder="1">
      <alignment vertical="center"/>
    </xf>
    <xf numFmtId="0" fontId="66" fillId="5" borderId="588" xfId="0" applyFont="1" applyFill="1" applyBorder="1">
      <alignment vertical="center"/>
    </xf>
    <xf numFmtId="0" fontId="66" fillId="0" borderId="588" xfId="0" applyFont="1" applyBorder="1">
      <alignment vertical="center"/>
    </xf>
    <xf numFmtId="210" fontId="66" fillId="5" borderId="589" xfId="0" applyNumberFormat="1" applyFont="1" applyFill="1" applyBorder="1">
      <alignment vertical="center"/>
    </xf>
    <xf numFmtId="210" fontId="66" fillId="5" borderId="588" xfId="0" applyNumberFormat="1" applyFont="1" applyFill="1" applyBorder="1">
      <alignment vertical="center"/>
    </xf>
    <xf numFmtId="210" fontId="66" fillId="5" borderId="590" xfId="0" applyNumberFormat="1" applyFont="1" applyFill="1" applyBorder="1">
      <alignment vertical="center"/>
    </xf>
    <xf numFmtId="226" fontId="66" fillId="5" borderId="589" xfId="0" applyNumberFormat="1" applyFont="1" applyFill="1" applyBorder="1" applyAlignment="1">
      <alignment horizontal="right" vertical="center"/>
    </xf>
    <xf numFmtId="226" fontId="66" fillId="5" borderId="588" xfId="0" applyNumberFormat="1" applyFont="1" applyFill="1" applyBorder="1" applyAlignment="1">
      <alignment horizontal="right" vertical="center"/>
    </xf>
    <xf numFmtId="226" fontId="66" fillId="5" borderId="590" xfId="0" applyNumberFormat="1" applyFont="1" applyFill="1" applyBorder="1" applyAlignment="1">
      <alignment horizontal="right" vertical="center"/>
    </xf>
    <xf numFmtId="208" fontId="66" fillId="5" borderId="588" xfId="2" applyNumberFormat="1" applyFont="1" applyFill="1" applyBorder="1" applyAlignment="1">
      <alignment horizontal="right" vertical="center"/>
    </xf>
    <xf numFmtId="208" fontId="66" fillId="0" borderId="588" xfId="2" applyNumberFormat="1" applyFont="1" applyBorder="1" applyAlignment="1">
      <alignment horizontal="right" vertical="center"/>
    </xf>
    <xf numFmtId="208" fontId="66" fillId="0" borderId="590" xfId="2" applyNumberFormat="1" applyFont="1" applyBorder="1" applyAlignment="1">
      <alignment horizontal="right" vertical="center"/>
    </xf>
    <xf numFmtId="243" fontId="66" fillId="5" borderId="588" xfId="2" applyNumberFormat="1" applyFont="1" applyFill="1" applyBorder="1" applyAlignment="1">
      <alignment horizontal="right" vertical="center"/>
    </xf>
    <xf numFmtId="209" fontId="66" fillId="0" borderId="588" xfId="2" applyNumberFormat="1" applyFont="1" applyBorder="1" applyAlignment="1">
      <alignment horizontal="right" vertical="center"/>
    </xf>
    <xf numFmtId="243" fontId="66" fillId="0" borderId="588" xfId="2" applyNumberFormat="1" applyFont="1" applyBorder="1" applyAlignment="1">
      <alignment horizontal="right" vertical="center"/>
    </xf>
    <xf numFmtId="243" fontId="66" fillId="0" borderId="588" xfId="2" applyNumberFormat="1" applyFont="1" applyFill="1" applyBorder="1" applyAlignment="1">
      <alignment horizontal="right" vertical="center"/>
    </xf>
    <xf numFmtId="208" fontId="66" fillId="0" borderId="588" xfId="2" applyNumberFormat="1" applyFont="1" applyFill="1" applyBorder="1" applyAlignment="1">
      <alignment horizontal="right" vertical="center"/>
    </xf>
    <xf numFmtId="198" fontId="66" fillId="0" borderId="592" xfId="0" applyNumberFormat="1" applyFont="1" applyBorder="1" applyAlignment="1">
      <alignment horizontal="right" vertical="center"/>
    </xf>
    <xf numFmtId="189" fontId="66" fillId="0" borderId="593" xfId="0" applyNumberFormat="1" applyFont="1" applyBorder="1" applyAlignment="1">
      <alignment horizontal="right" vertical="center"/>
    </xf>
    <xf numFmtId="189" fontId="66" fillId="0" borderId="588" xfId="0" applyNumberFormat="1" applyFont="1" applyBorder="1" applyAlignment="1">
      <alignment horizontal="right" vertical="center"/>
    </xf>
    <xf numFmtId="209" fontId="66" fillId="0" borderId="591" xfId="2" applyNumberFormat="1" applyFont="1" applyBorder="1" applyAlignment="1">
      <alignment horizontal="right" vertical="center"/>
    </xf>
    <xf numFmtId="186" fontId="66" fillId="5" borderId="588" xfId="0" applyNumberFormat="1" applyFont="1" applyFill="1" applyBorder="1" applyAlignment="1">
      <alignment horizontal="right" vertical="center"/>
    </xf>
    <xf numFmtId="187" fontId="66" fillId="18" borderId="588" xfId="3" applyNumberFormat="1" applyFont="1" applyFill="1" applyBorder="1" applyAlignment="1">
      <alignment horizontal="right" vertical="center"/>
    </xf>
    <xf numFmtId="189" fontId="66" fillId="0" borderId="594" xfId="0" applyNumberFormat="1" applyFont="1" applyBorder="1" applyAlignment="1">
      <alignment horizontal="right" vertical="center"/>
    </xf>
    <xf numFmtId="243" fontId="66" fillId="5" borderId="0" xfId="2" applyNumberFormat="1" applyFont="1" applyFill="1" applyBorder="1" applyAlignment="1">
      <alignment horizontal="right" vertical="center"/>
    </xf>
    <xf numFmtId="0" fontId="137" fillId="5" borderId="0" xfId="0" applyFont="1" applyFill="1">
      <alignment vertical="center"/>
    </xf>
    <xf numFmtId="0" fontId="138" fillId="0" borderId="0" xfId="0" applyFont="1">
      <alignment vertical="center"/>
    </xf>
    <xf numFmtId="210" fontId="138" fillId="5" borderId="485" xfId="0" applyNumberFormat="1" applyFont="1" applyFill="1" applyBorder="1">
      <alignment vertical="center"/>
    </xf>
    <xf numFmtId="210" fontId="138" fillId="5" borderId="0" xfId="0" applyNumberFormat="1" applyFont="1" applyFill="1">
      <alignment vertical="center"/>
    </xf>
    <xf numFmtId="0" fontId="66" fillId="5" borderId="502" xfId="0" applyFont="1" applyFill="1" applyBorder="1">
      <alignment vertical="center"/>
    </xf>
    <xf numFmtId="210" fontId="66" fillId="5" borderId="675" xfId="0" applyNumberFormat="1" applyFont="1" applyFill="1" applyBorder="1">
      <alignment vertical="center"/>
    </xf>
    <xf numFmtId="210" fontId="66" fillId="5" borderId="19" xfId="0" applyNumberFormat="1" applyFont="1" applyFill="1" applyBorder="1">
      <alignment vertical="center"/>
    </xf>
    <xf numFmtId="210" fontId="66" fillId="5" borderId="653" xfId="0" applyNumberFormat="1" applyFont="1" applyFill="1" applyBorder="1">
      <alignment vertical="center"/>
    </xf>
    <xf numFmtId="210" fontId="138" fillId="5" borderId="675" xfId="0" applyNumberFormat="1" applyFont="1" applyFill="1" applyBorder="1">
      <alignment vertical="center"/>
    </xf>
    <xf numFmtId="210" fontId="138" fillId="5" borderId="19" xfId="0" applyNumberFormat="1" applyFont="1" applyFill="1" applyBorder="1">
      <alignment vertical="center"/>
    </xf>
    <xf numFmtId="226" fontId="66" fillId="5" borderId="675" xfId="0" applyNumberFormat="1" applyFont="1" applyFill="1" applyBorder="1" applyAlignment="1">
      <alignment horizontal="right" vertical="center"/>
    </xf>
    <xf numFmtId="226" fontId="66" fillId="5" borderId="19" xfId="0" applyNumberFormat="1" applyFont="1" applyFill="1" applyBorder="1" applyAlignment="1">
      <alignment horizontal="right" vertical="center"/>
    </xf>
    <xf numFmtId="226" fontId="66" fillId="5" borderId="653" xfId="0" applyNumberFormat="1" applyFont="1" applyFill="1" applyBorder="1" applyAlignment="1">
      <alignment horizontal="right" vertical="center"/>
    </xf>
    <xf numFmtId="208" fontId="66" fillId="5" borderId="19" xfId="2" applyNumberFormat="1" applyFont="1" applyFill="1" applyBorder="1" applyAlignment="1">
      <alignment horizontal="right" vertical="center"/>
    </xf>
    <xf numFmtId="208" fontId="66" fillId="0" borderId="19" xfId="2" applyNumberFormat="1" applyFont="1" applyBorder="1" applyAlignment="1">
      <alignment horizontal="right" vertical="center"/>
    </xf>
    <xf numFmtId="208" fontId="66" fillId="0" borderId="653" xfId="2" applyNumberFormat="1" applyFont="1" applyBorder="1" applyAlignment="1">
      <alignment horizontal="right" vertical="center"/>
    </xf>
    <xf numFmtId="208" fontId="66" fillId="0" borderId="19" xfId="2" applyNumberFormat="1" applyFont="1" applyFill="1" applyBorder="1" applyAlignment="1">
      <alignment horizontal="right" vertical="center"/>
    </xf>
    <xf numFmtId="198" fontId="66" fillId="0" borderId="910" xfId="0" applyNumberFormat="1" applyFont="1" applyBorder="1" applyAlignment="1">
      <alignment horizontal="right" vertical="center"/>
    </xf>
    <xf numFmtId="187" fontId="78" fillId="18" borderId="19" xfId="3" applyNumberFormat="1" applyFont="1" applyFill="1" applyBorder="1" applyAlignment="1">
      <alignment horizontal="right" vertical="center"/>
    </xf>
    <xf numFmtId="189" fontId="66" fillId="0" borderId="98" xfId="0" applyNumberFormat="1" applyFont="1" applyBorder="1" applyAlignment="1">
      <alignment horizontal="right" vertical="center"/>
    </xf>
    <xf numFmtId="209" fontId="66" fillId="0" borderId="23" xfId="2" applyNumberFormat="1" applyFont="1" applyBorder="1" applyAlignment="1">
      <alignment horizontal="right" vertical="center"/>
    </xf>
    <xf numFmtId="186" fontId="66" fillId="5" borderId="19" xfId="0" applyNumberFormat="1" applyFont="1" applyFill="1" applyBorder="1" applyAlignment="1">
      <alignment horizontal="right" vertical="center"/>
    </xf>
    <xf numFmtId="187" fontId="66" fillId="18" borderId="19" xfId="3" applyNumberFormat="1" applyFont="1" applyFill="1" applyBorder="1" applyAlignment="1">
      <alignment horizontal="right" vertical="center"/>
    </xf>
    <xf numFmtId="189" fontId="66" fillId="0" borderId="263" xfId="0" applyNumberFormat="1" applyFont="1" applyBorder="1" applyAlignment="1">
      <alignment horizontal="right" vertical="center"/>
    </xf>
    <xf numFmtId="204" fontId="66" fillId="0" borderId="11" xfId="2" applyNumberFormat="1" applyFont="1" applyBorder="1" applyAlignment="1">
      <alignment horizontal="right" vertical="center"/>
    </xf>
    <xf numFmtId="202" fontId="66" fillId="0" borderId="0" xfId="0" applyNumberFormat="1" applyFont="1" applyBorder="1" applyAlignment="1">
      <alignment horizontal="center" vertical="center"/>
    </xf>
    <xf numFmtId="226" fontId="66" fillId="0" borderId="0" xfId="0" applyNumberFormat="1" applyFont="1" applyAlignment="1">
      <alignment horizontal="center" vertical="center"/>
    </xf>
    <xf numFmtId="226" fontId="66" fillId="0" borderId="0" xfId="0" applyNumberFormat="1" applyFont="1">
      <alignment vertical="center"/>
    </xf>
    <xf numFmtId="226" fontId="66" fillId="0" borderId="0" xfId="0" applyNumberFormat="1" applyFont="1" applyAlignment="1">
      <alignment horizontal="right" vertical="center"/>
    </xf>
    <xf numFmtId="209" fontId="66" fillId="0" borderId="0" xfId="0" applyNumberFormat="1" applyFont="1" applyAlignment="1">
      <alignment horizontal="right" vertical="center"/>
    </xf>
    <xf numFmtId="243" fontId="66" fillId="0" borderId="0" xfId="0" applyNumberFormat="1" applyFont="1" applyAlignment="1">
      <alignment horizontal="right" vertical="center"/>
    </xf>
    <xf numFmtId="0" fontId="74" fillId="7" borderId="16" xfId="0" applyFont="1" applyFill="1" applyBorder="1">
      <alignment vertical="center"/>
    </xf>
    <xf numFmtId="0" fontId="66" fillId="7" borderId="17" xfId="0" applyFont="1" applyFill="1" applyBorder="1">
      <alignment vertical="center"/>
    </xf>
    <xf numFmtId="0" fontId="66" fillId="7" borderId="494" xfId="0" applyFont="1" applyFill="1" applyBorder="1">
      <alignment vertical="center"/>
    </xf>
    <xf numFmtId="210" fontId="66" fillId="7" borderId="17" xfId="0" applyNumberFormat="1" applyFont="1" applyFill="1" applyBorder="1">
      <alignment vertical="center"/>
    </xf>
    <xf numFmtId="210" fontId="66" fillId="7" borderId="494" xfId="0" applyNumberFormat="1" applyFont="1" applyFill="1" applyBorder="1">
      <alignment vertical="center"/>
    </xf>
    <xf numFmtId="210" fontId="82" fillId="7" borderId="17" xfId="0" applyNumberFormat="1" applyFont="1" applyFill="1" applyBorder="1">
      <alignment vertical="center"/>
    </xf>
    <xf numFmtId="210" fontId="66" fillId="7" borderId="495" xfId="0" applyNumberFormat="1" applyFont="1" applyFill="1" applyBorder="1">
      <alignment vertical="center"/>
    </xf>
    <xf numFmtId="210" fontId="66" fillId="7" borderId="17" xfId="2" applyNumberFormat="1" applyFont="1" applyFill="1" applyBorder="1">
      <alignment vertical="center"/>
    </xf>
    <xf numFmtId="226" fontId="66" fillId="7" borderId="495" xfId="0" applyNumberFormat="1" applyFont="1" applyFill="1" applyBorder="1" applyAlignment="1">
      <alignment horizontal="right" vertical="center"/>
    </xf>
    <xf numFmtId="226" fontId="66" fillId="7" borderId="17" xfId="0" applyNumberFormat="1" applyFont="1" applyFill="1" applyBorder="1" applyAlignment="1">
      <alignment horizontal="right" vertical="center"/>
    </xf>
    <xf numFmtId="226" fontId="77" fillId="7" borderId="494" xfId="0" applyNumberFormat="1" applyFont="1" applyFill="1" applyBorder="1" applyAlignment="1">
      <alignment horizontal="right" vertical="center"/>
    </xf>
    <xf numFmtId="208" fontId="66" fillId="7" borderId="375" xfId="2" applyNumberFormat="1" applyFont="1" applyFill="1" applyBorder="1" applyAlignment="1">
      <alignment horizontal="right" vertical="center"/>
    </xf>
    <xf numFmtId="208" fontId="66" fillId="7" borderId="17" xfId="2" applyNumberFormat="1" applyFont="1" applyFill="1" applyBorder="1" applyAlignment="1">
      <alignment horizontal="right" vertical="center"/>
    </xf>
    <xf numFmtId="208" fontId="66" fillId="7" borderId="494" xfId="2" applyNumberFormat="1" applyFont="1" applyFill="1" applyBorder="1" applyAlignment="1">
      <alignment horizontal="right" vertical="center"/>
    </xf>
    <xf numFmtId="198" fontId="66" fillId="18" borderId="543" xfId="0" applyNumberFormat="1" applyFont="1" applyFill="1" applyBorder="1" applyAlignment="1">
      <alignment horizontal="right" vertical="center"/>
    </xf>
    <xf numFmtId="187" fontId="78" fillId="18" borderId="911" xfId="3" applyNumberFormat="1" applyFont="1" applyFill="1" applyBorder="1" applyAlignment="1">
      <alignment horizontal="right" vertical="center"/>
    </xf>
    <xf numFmtId="189" fontId="66" fillId="7" borderId="97" xfId="0" applyNumberFormat="1" applyFont="1" applyFill="1" applyBorder="1" applyAlignment="1">
      <alignment horizontal="right" vertical="center"/>
    </xf>
    <xf numFmtId="209" fontId="66" fillId="7" borderId="22" xfId="2" applyNumberFormat="1" applyFont="1" applyFill="1" applyBorder="1" applyAlignment="1">
      <alignment horizontal="right" vertical="center"/>
    </xf>
    <xf numFmtId="186" fontId="66" fillId="7" borderId="17" xfId="0" applyNumberFormat="1" applyFont="1" applyFill="1" applyBorder="1" applyAlignment="1">
      <alignment horizontal="right" vertical="center"/>
    </xf>
    <xf numFmtId="187" fontId="66" fillId="7" borderId="17" xfId="3" applyNumberFormat="1" applyFont="1" applyFill="1" applyBorder="1" applyAlignment="1">
      <alignment horizontal="right" vertical="center"/>
    </xf>
    <xf numFmtId="189" fontId="66" fillId="7" borderId="280" xfId="0" applyNumberFormat="1" applyFont="1" applyFill="1" applyBorder="1" applyAlignment="1">
      <alignment horizontal="right" vertical="center"/>
    </xf>
    <xf numFmtId="0" fontId="66" fillId="0" borderId="251" xfId="0" applyFont="1" applyBorder="1">
      <alignment vertical="center"/>
    </xf>
    <xf numFmtId="0" fontId="74" fillId="0" borderId="18" xfId="0" applyFont="1" applyBorder="1">
      <alignment vertical="center"/>
    </xf>
    <xf numFmtId="0" fontId="66" fillId="0" borderId="18" xfId="0" applyFont="1" applyBorder="1">
      <alignment vertical="center"/>
    </xf>
    <xf numFmtId="210" fontId="66" fillId="5" borderId="496" xfId="0" applyNumberFormat="1" applyFont="1" applyFill="1" applyBorder="1">
      <alignment vertical="center"/>
    </xf>
    <xf numFmtId="210" fontId="66" fillId="5" borderId="18" xfId="0" applyNumberFormat="1" applyFont="1" applyFill="1" applyBorder="1">
      <alignment vertical="center"/>
    </xf>
    <xf numFmtId="210" fontId="66" fillId="5" borderId="497" xfId="0" applyNumberFormat="1" applyFont="1" applyFill="1" applyBorder="1">
      <alignment vertical="center"/>
    </xf>
    <xf numFmtId="226" fontId="66" fillId="5" borderId="496" xfId="0" applyNumberFormat="1" applyFont="1" applyFill="1" applyBorder="1" applyAlignment="1">
      <alignment horizontal="right" vertical="center"/>
    </xf>
    <xf numFmtId="226" fontId="66" fillId="5" borderId="18" xfId="0" applyNumberFormat="1" applyFont="1" applyFill="1" applyBorder="1" applyAlignment="1">
      <alignment horizontal="right" vertical="center"/>
    </xf>
    <xf numFmtId="226" fontId="66" fillId="5" borderId="497" xfId="0" applyNumberFormat="1" applyFont="1" applyFill="1" applyBorder="1" applyAlignment="1">
      <alignment horizontal="right" vertical="center"/>
    </xf>
    <xf numFmtId="208" fontId="66" fillId="0" borderId="496" xfId="2" applyNumberFormat="1" applyFont="1" applyBorder="1" applyAlignment="1">
      <alignment horizontal="right" vertical="center"/>
    </xf>
    <xf numFmtId="208" fontId="66" fillId="0" borderId="18" xfId="2" applyNumberFormat="1" applyFont="1" applyBorder="1" applyAlignment="1">
      <alignment horizontal="right" vertical="center"/>
    </xf>
    <xf numFmtId="208" fontId="66" fillId="0" borderId="497" xfId="2" applyNumberFormat="1" applyFont="1" applyBorder="1" applyAlignment="1">
      <alignment horizontal="right" vertical="center"/>
    </xf>
    <xf numFmtId="209" fontId="66" fillId="0" borderId="18" xfId="2" applyNumberFormat="1" applyFont="1" applyFill="1" applyBorder="1" applyAlignment="1">
      <alignment horizontal="right" vertical="center"/>
    </xf>
    <xf numFmtId="193" fontId="66" fillId="29" borderId="18" xfId="0" applyNumberFormat="1" applyFont="1" applyFill="1" applyBorder="1" applyAlignment="1">
      <alignment horizontal="right" vertical="center"/>
    </xf>
    <xf numFmtId="187" fontId="66" fillId="29" borderId="18" xfId="3" applyNumberFormat="1" applyFont="1" applyFill="1" applyBorder="1" applyAlignment="1">
      <alignment horizontal="right" vertical="center"/>
    </xf>
    <xf numFmtId="189" fontId="66" fillId="0" borderId="253" xfId="0" applyNumberFormat="1" applyFont="1" applyBorder="1" applyAlignment="1">
      <alignment horizontal="right" vertical="center"/>
    </xf>
    <xf numFmtId="189" fontId="66" fillId="0" borderId="18" xfId="0" applyNumberFormat="1" applyFont="1" applyBorder="1" applyAlignment="1">
      <alignment horizontal="right" vertical="center"/>
    </xf>
    <xf numFmtId="208" fontId="66" fillId="0" borderId="24" xfId="2" applyNumberFormat="1" applyFont="1" applyBorder="1" applyAlignment="1">
      <alignment horizontal="right" vertical="center"/>
    </xf>
    <xf numFmtId="186" fontId="66" fillId="29" borderId="18" xfId="0" applyNumberFormat="1" applyFont="1" applyFill="1" applyBorder="1" applyAlignment="1">
      <alignment horizontal="right" vertical="center"/>
    </xf>
    <xf numFmtId="189" fontId="66" fillId="0" borderId="255" xfId="0" applyNumberFormat="1" applyFont="1" applyBorder="1" applyAlignment="1">
      <alignment horizontal="right" vertical="center"/>
    </xf>
    <xf numFmtId="193" fontId="66" fillId="29" borderId="0" xfId="0" applyNumberFormat="1" applyFont="1" applyFill="1" applyAlignment="1">
      <alignment horizontal="right" vertical="center"/>
    </xf>
    <xf numFmtId="186" fontId="66" fillId="29" borderId="0" xfId="0" applyNumberFormat="1" applyFont="1" applyFill="1" applyAlignment="1">
      <alignment horizontal="right" vertical="center"/>
    </xf>
    <xf numFmtId="189" fontId="66" fillId="0" borderId="1233" xfId="0" applyNumberFormat="1" applyFont="1" applyBorder="1" applyAlignment="1">
      <alignment horizontal="right" vertical="center"/>
    </xf>
    <xf numFmtId="210" fontId="135" fillId="0" borderId="485" xfId="5" applyNumberFormat="1" applyFont="1" applyBorder="1"/>
    <xf numFmtId="210" fontId="135" fillId="0" borderId="0" xfId="5" applyNumberFormat="1" applyFont="1"/>
    <xf numFmtId="210" fontId="135" fillId="0" borderId="406" xfId="5" applyNumberFormat="1" applyFont="1" applyBorder="1"/>
    <xf numFmtId="208" fontId="66" fillId="0" borderId="11" xfId="2" applyNumberFormat="1" applyFont="1" applyBorder="1" applyAlignment="1">
      <alignment horizontal="right" vertical="center"/>
    </xf>
    <xf numFmtId="209" fontId="66" fillId="0" borderId="0" xfId="2" applyNumberFormat="1" applyFont="1" applyBorder="1" applyAlignment="1">
      <alignment horizontal="right" vertical="center"/>
    </xf>
    <xf numFmtId="243" fontId="66" fillId="0" borderId="0" xfId="0" applyNumberFormat="1" applyFont="1">
      <alignment vertical="center"/>
    </xf>
    <xf numFmtId="0" fontId="139" fillId="0" borderId="0" xfId="0" applyFont="1" applyFill="1">
      <alignment vertical="center"/>
    </xf>
    <xf numFmtId="210" fontId="71" fillId="32" borderId="485" xfId="0" applyNumberFormat="1" applyFont="1" applyFill="1" applyBorder="1">
      <alignment vertical="center"/>
    </xf>
    <xf numFmtId="210" fontId="71" fillId="32" borderId="0" xfId="0" applyNumberFormat="1" applyFont="1" applyFill="1">
      <alignment vertical="center"/>
    </xf>
    <xf numFmtId="210" fontId="71" fillId="32" borderId="406" xfId="0" applyNumberFormat="1" applyFont="1" applyFill="1" applyBorder="1">
      <alignment vertical="center"/>
    </xf>
    <xf numFmtId="210" fontId="71" fillId="32" borderId="498" xfId="0" applyNumberFormat="1" applyFont="1" applyFill="1" applyBorder="1">
      <alignment vertical="center"/>
    </xf>
    <xf numFmtId="210" fontId="71" fillId="32" borderId="499" xfId="0" applyNumberFormat="1" applyFont="1" applyFill="1" applyBorder="1">
      <alignment vertical="center"/>
    </xf>
    <xf numFmtId="210" fontId="71" fillId="32" borderId="500" xfId="0" applyNumberFormat="1" applyFont="1" applyFill="1" applyBorder="1">
      <alignment vertical="center"/>
    </xf>
    <xf numFmtId="226" fontId="71" fillId="32" borderId="499" xfId="0" applyNumberFormat="1" applyFont="1" applyFill="1" applyBorder="1">
      <alignment vertical="center"/>
    </xf>
    <xf numFmtId="208" fontId="71" fillId="32" borderId="499" xfId="0" applyNumberFormat="1" applyFont="1" applyFill="1" applyBorder="1">
      <alignment vertical="center"/>
    </xf>
    <xf numFmtId="0" fontId="71" fillId="32" borderId="499" xfId="0" applyFont="1" applyFill="1" applyBorder="1">
      <alignment vertical="center"/>
    </xf>
    <xf numFmtId="209" fontId="71" fillId="32" borderId="499" xfId="0" applyNumberFormat="1" applyFont="1" applyFill="1" applyBorder="1">
      <alignment vertical="center"/>
    </xf>
    <xf numFmtId="210" fontId="71" fillId="32" borderId="1234" xfId="0" applyNumberFormat="1" applyFont="1" applyFill="1" applyBorder="1">
      <alignment vertical="center"/>
    </xf>
    <xf numFmtId="186" fontId="78" fillId="37" borderId="0" xfId="0" applyNumberFormat="1" applyFont="1" applyFill="1" applyAlignment="1">
      <alignment horizontal="right" vertical="center"/>
    </xf>
    <xf numFmtId="187" fontId="78" fillId="37" borderId="0" xfId="3" applyNumberFormat="1" applyFont="1" applyFill="1" applyBorder="1" applyAlignment="1">
      <alignment horizontal="right" vertical="center"/>
    </xf>
    <xf numFmtId="210" fontId="82" fillId="5" borderId="498" xfId="0" applyNumberFormat="1" applyFont="1" applyFill="1" applyBorder="1">
      <alignment vertical="center"/>
    </xf>
    <xf numFmtId="210" fontId="82" fillId="5" borderId="499" xfId="0" applyNumberFormat="1" applyFont="1" applyFill="1" applyBorder="1">
      <alignment vertical="center"/>
    </xf>
    <xf numFmtId="210" fontId="82" fillId="5" borderId="500" xfId="0" applyNumberFormat="1" applyFont="1" applyFill="1" applyBorder="1">
      <alignment vertical="center"/>
    </xf>
    <xf numFmtId="210" fontId="66" fillId="0" borderId="499" xfId="0" applyNumberFormat="1" applyFont="1" applyBorder="1">
      <alignment vertical="center"/>
    </xf>
    <xf numFmtId="210" fontId="66" fillId="0" borderId="500" xfId="0" applyNumberFormat="1" applyFont="1" applyBorder="1">
      <alignment vertical="center"/>
    </xf>
    <xf numFmtId="210" fontId="133" fillId="32" borderId="501" xfId="0" applyNumberFormat="1" applyFont="1" applyFill="1" applyBorder="1">
      <alignment vertical="center"/>
    </xf>
    <xf numFmtId="210" fontId="71" fillId="32" borderId="0" xfId="0" applyNumberFormat="1" applyFont="1" applyFill="1" applyBorder="1">
      <alignment vertical="center"/>
    </xf>
    <xf numFmtId="0" fontId="66" fillId="0" borderId="502" xfId="0" applyFont="1" applyBorder="1">
      <alignment vertical="center"/>
    </xf>
    <xf numFmtId="0" fontId="74" fillId="0" borderId="502" xfId="0" applyFont="1" applyBorder="1">
      <alignment vertical="center"/>
    </xf>
    <xf numFmtId="210" fontId="66" fillId="5" borderId="503" xfId="0" applyNumberFormat="1" applyFont="1" applyFill="1" applyBorder="1">
      <alignment vertical="center"/>
    </xf>
    <xf numFmtId="210" fontId="66" fillId="0" borderId="503" xfId="0" applyNumberFormat="1" applyFont="1" applyBorder="1">
      <alignment vertical="center"/>
    </xf>
    <xf numFmtId="210" fontId="66" fillId="0" borderId="504" xfId="0" applyNumberFormat="1" applyFont="1" applyBorder="1">
      <alignment vertical="center"/>
    </xf>
    <xf numFmtId="210" fontId="66" fillId="0" borderId="505" xfId="0" applyNumberFormat="1" applyFont="1" applyBorder="1">
      <alignment vertical="center"/>
    </xf>
    <xf numFmtId="210" fontId="66" fillId="0" borderId="502" xfId="0" applyNumberFormat="1" applyFont="1" applyBorder="1">
      <alignment vertical="center"/>
    </xf>
    <xf numFmtId="210" fontId="66" fillId="0" borderId="506" xfId="0" applyNumberFormat="1" applyFont="1" applyBorder="1">
      <alignment vertical="center"/>
    </xf>
    <xf numFmtId="226" fontId="66" fillId="5" borderId="507" xfId="0" applyNumberFormat="1" applyFont="1" applyFill="1" applyBorder="1" applyAlignment="1">
      <alignment horizontal="right" vertical="center"/>
    </xf>
    <xf numFmtId="226" fontId="66" fillId="5" borderId="6" xfId="0" applyNumberFormat="1" applyFont="1" applyFill="1" applyBorder="1" applyAlignment="1">
      <alignment horizontal="right" vertical="center"/>
    </xf>
    <xf numFmtId="226" fontId="66" fillId="5" borderId="508" xfId="0" applyNumberFormat="1" applyFont="1" applyFill="1" applyBorder="1" applyAlignment="1">
      <alignment horizontal="right" vertical="center"/>
    </xf>
    <xf numFmtId="208" fontId="66" fillId="0" borderId="117" xfId="2" applyNumberFormat="1" applyFont="1" applyBorder="1" applyAlignment="1">
      <alignment horizontal="right" vertical="center"/>
    </xf>
    <xf numFmtId="208" fontId="66" fillId="0" borderId="6" xfId="2" applyNumberFormat="1" applyFont="1" applyFill="1" applyBorder="1" applyAlignment="1">
      <alignment horizontal="right" vertical="center"/>
    </xf>
    <xf numFmtId="208" fontId="66" fillId="0" borderId="508" xfId="2" applyNumberFormat="1" applyFont="1" applyFill="1" applyBorder="1" applyAlignment="1">
      <alignment horizontal="right" vertical="center"/>
    </xf>
    <xf numFmtId="193" fontId="66" fillId="29" borderId="6" xfId="0" applyNumberFormat="1" applyFont="1" applyFill="1" applyBorder="1" applyAlignment="1">
      <alignment horizontal="right" vertical="center"/>
    </xf>
    <xf numFmtId="209" fontId="66" fillId="0" borderId="43" xfId="0" applyNumberFormat="1" applyFont="1" applyBorder="1" applyAlignment="1">
      <alignment horizontal="right" vertical="center"/>
    </xf>
    <xf numFmtId="189" fontId="66" fillId="0" borderId="6" xfId="0" applyNumberFormat="1" applyFont="1" applyBorder="1" applyAlignment="1">
      <alignment horizontal="right" vertical="center"/>
    </xf>
    <xf numFmtId="209" fontId="66" fillId="0" borderId="3" xfId="2" applyNumberFormat="1" applyFont="1" applyBorder="1" applyAlignment="1">
      <alignment horizontal="right" vertical="center"/>
    </xf>
    <xf numFmtId="209" fontId="66" fillId="0" borderId="509" xfId="0" applyNumberFormat="1" applyFont="1" applyBorder="1" applyAlignment="1">
      <alignment horizontal="right" vertical="center"/>
    </xf>
    <xf numFmtId="2" fontId="66" fillId="0" borderId="0" xfId="0" applyNumberFormat="1" applyFont="1">
      <alignment vertical="center"/>
    </xf>
    <xf numFmtId="0" fontId="66" fillId="0" borderId="510" xfId="0" applyFont="1" applyBorder="1">
      <alignment vertical="center"/>
    </xf>
    <xf numFmtId="193" fontId="66" fillId="0" borderId="0" xfId="0" applyNumberFormat="1" applyFont="1" applyAlignment="1">
      <alignment horizontal="right" vertical="center"/>
    </xf>
    <xf numFmtId="186" fontId="66" fillId="0" borderId="36" xfId="0" applyNumberFormat="1" applyFont="1" applyBorder="1" applyAlignment="1">
      <alignment horizontal="right" vertical="center"/>
    </xf>
    <xf numFmtId="0" fontId="74" fillId="0" borderId="269" xfId="0" applyFont="1" applyBorder="1">
      <alignment vertical="center"/>
    </xf>
    <xf numFmtId="0" fontId="74" fillId="0" borderId="34" xfId="0" applyFont="1" applyBorder="1">
      <alignment vertical="center"/>
    </xf>
    <xf numFmtId="0" fontId="66" fillId="0" borderId="34" xfId="0" applyFont="1" applyBorder="1">
      <alignment vertical="center"/>
    </xf>
    <xf numFmtId="0" fontId="66" fillId="0" borderId="34" xfId="0" applyFont="1" applyBorder="1" applyAlignment="1">
      <alignment horizontal="right" vertical="center"/>
    </xf>
    <xf numFmtId="213" fontId="66" fillId="0" borderId="34" xfId="0" applyNumberFormat="1" applyFont="1" applyBorder="1" applyAlignment="1">
      <alignment horizontal="right" vertical="center"/>
    </xf>
    <xf numFmtId="226" fontId="66" fillId="5" borderId="34" xfId="0" applyNumberFormat="1" applyFont="1" applyFill="1" applyBorder="1" applyAlignment="1">
      <alignment horizontal="right" vertical="center"/>
    </xf>
    <xf numFmtId="226" fontId="66" fillId="5" borderId="511" xfId="0" applyNumberFormat="1" applyFont="1" applyFill="1" applyBorder="1" applyAlignment="1">
      <alignment horizontal="right" vertical="center"/>
    </xf>
    <xf numFmtId="208" fontId="66" fillId="0" borderId="34" xfId="2" applyNumberFormat="1" applyFont="1" applyBorder="1" applyAlignment="1">
      <alignment horizontal="right" vertical="center"/>
    </xf>
    <xf numFmtId="208" fontId="66" fillId="0" borderId="533" xfId="2" applyNumberFormat="1" applyFont="1" applyBorder="1" applyAlignment="1">
      <alignment horizontal="right" vertical="center"/>
    </xf>
    <xf numFmtId="209" fontId="66" fillId="0" borderId="34" xfId="2" applyNumberFormat="1" applyFont="1" applyBorder="1" applyAlignment="1">
      <alignment horizontal="right" vertical="center"/>
    </xf>
    <xf numFmtId="193" fontId="66" fillId="29" borderId="34" xfId="0" applyNumberFormat="1" applyFont="1" applyFill="1" applyBorder="1" applyAlignment="1">
      <alignment horizontal="right" vertical="center"/>
    </xf>
    <xf numFmtId="187" fontId="66" fillId="29" borderId="342" xfId="3" applyNumberFormat="1" applyFont="1" applyFill="1" applyBorder="1" applyAlignment="1">
      <alignment horizontal="right" vertical="center"/>
    </xf>
    <xf numFmtId="189" fontId="66" fillId="0" borderId="51" xfId="0" applyNumberFormat="1" applyFont="1" applyBorder="1" applyAlignment="1">
      <alignment horizontal="right" vertical="center"/>
    </xf>
    <xf numFmtId="209" fontId="66" fillId="0" borderId="1" xfId="2" applyNumberFormat="1" applyFont="1" applyBorder="1" applyAlignment="1">
      <alignment horizontal="right" vertical="center"/>
    </xf>
    <xf numFmtId="186" fontId="66" fillId="29" borderId="391" xfId="0" applyNumberFormat="1" applyFont="1" applyFill="1" applyBorder="1" applyAlignment="1">
      <alignment horizontal="right" vertical="center"/>
    </xf>
    <xf numFmtId="187" fontId="66" fillId="29" borderId="34" xfId="3" applyNumberFormat="1" applyFont="1" applyFill="1" applyBorder="1" applyAlignment="1">
      <alignment horizontal="right" vertical="center"/>
    </xf>
    <xf numFmtId="189" fontId="66" fillId="0" borderId="184" xfId="0" applyNumberFormat="1" applyFont="1" applyBorder="1" applyAlignment="1">
      <alignment horizontal="right" vertical="center"/>
    </xf>
    <xf numFmtId="204" fontId="66" fillId="0" borderId="270" xfId="0" applyNumberFormat="1" applyFont="1" applyBorder="1">
      <alignment vertical="center"/>
    </xf>
    <xf numFmtId="210" fontId="66" fillId="3" borderId="0" xfId="0" applyNumberFormat="1" applyFont="1" applyFill="1" applyBorder="1">
      <alignment vertical="center"/>
    </xf>
    <xf numFmtId="210" fontId="66" fillId="3" borderId="510" xfId="0" applyNumberFormat="1" applyFont="1" applyFill="1" applyBorder="1">
      <alignment vertical="center"/>
    </xf>
    <xf numFmtId="226" fontId="66" fillId="3" borderId="0" xfId="0" applyNumberFormat="1" applyFont="1" applyFill="1">
      <alignment vertical="center"/>
    </xf>
    <xf numFmtId="226" fontId="66" fillId="3" borderId="510" xfId="0" applyNumberFormat="1" applyFont="1" applyFill="1" applyBorder="1">
      <alignment vertical="center"/>
    </xf>
    <xf numFmtId="209" fontId="66" fillId="3" borderId="0" xfId="2" applyNumberFormat="1" applyFont="1" applyFill="1" applyBorder="1" applyAlignment="1">
      <alignment horizontal="right" vertical="center"/>
    </xf>
    <xf numFmtId="186" fontId="66" fillId="29" borderId="187" xfId="0" applyNumberFormat="1" applyFont="1" applyFill="1" applyBorder="1" applyAlignment="1">
      <alignment horizontal="right" vertical="center"/>
    </xf>
    <xf numFmtId="189" fontId="66" fillId="3" borderId="271" xfId="0" applyNumberFormat="1" applyFont="1" applyFill="1" applyBorder="1" applyAlignment="1">
      <alignment horizontal="right" vertical="center"/>
    </xf>
    <xf numFmtId="210" fontId="66" fillId="0" borderId="0" xfId="0" applyNumberFormat="1" applyFont="1" applyBorder="1">
      <alignment vertical="center"/>
    </xf>
    <xf numFmtId="210" fontId="66" fillId="0" borderId="510" xfId="0" applyNumberFormat="1" applyFont="1" applyBorder="1">
      <alignment vertical="center"/>
    </xf>
    <xf numFmtId="226" fontId="66" fillId="0" borderId="510" xfId="0" applyNumberFormat="1" applyFont="1" applyBorder="1">
      <alignment vertical="center"/>
    </xf>
    <xf numFmtId="189" fontId="66" fillId="0" borderId="271" xfId="0" applyNumberFormat="1" applyFont="1" applyBorder="1" applyAlignment="1">
      <alignment horizontal="right" vertical="center"/>
    </xf>
    <xf numFmtId="209" fontId="66" fillId="5" borderId="0" xfId="2" applyNumberFormat="1" applyFont="1" applyFill="1" applyBorder="1" applyAlignment="1">
      <alignment horizontal="right" vertical="center"/>
    </xf>
    <xf numFmtId="0" fontId="66" fillId="0" borderId="270" xfId="0" applyFont="1" applyBorder="1">
      <alignment vertical="center"/>
    </xf>
    <xf numFmtId="210" fontId="66" fillId="2" borderId="25" xfId="0" applyNumberFormat="1" applyFont="1" applyFill="1" applyBorder="1">
      <alignment vertical="center"/>
    </xf>
    <xf numFmtId="210" fontId="66" fillId="2" borderId="512" xfId="0" applyNumberFormat="1" applyFont="1" applyFill="1" applyBorder="1">
      <alignment vertical="center"/>
    </xf>
    <xf numFmtId="226" fontId="66" fillId="2" borderId="25" xfId="0" applyNumberFormat="1" applyFont="1" applyFill="1" applyBorder="1">
      <alignment vertical="center"/>
    </xf>
    <xf numFmtId="226" fontId="66" fillId="2" borderId="512" xfId="0" applyNumberFormat="1" applyFont="1" applyFill="1" applyBorder="1">
      <alignment vertical="center"/>
    </xf>
    <xf numFmtId="208" fontId="66" fillId="2" borderId="534" xfId="2" applyNumberFormat="1" applyFont="1" applyFill="1" applyBorder="1" applyAlignment="1">
      <alignment horizontal="right" vertical="center"/>
    </xf>
    <xf numFmtId="209" fontId="66" fillId="2" borderId="25" xfId="2" applyNumberFormat="1" applyFont="1" applyFill="1" applyBorder="1" applyAlignment="1">
      <alignment horizontal="right" vertical="center"/>
    </xf>
    <xf numFmtId="189" fontId="66" fillId="2" borderId="99" xfId="0" applyNumberFormat="1" applyFont="1" applyFill="1" applyBorder="1" applyAlignment="1">
      <alignment horizontal="right" vertical="center"/>
    </xf>
    <xf numFmtId="208" fontId="66" fillId="2" borderId="26" xfId="2" applyNumberFormat="1" applyFont="1" applyFill="1" applyBorder="1" applyAlignment="1">
      <alignment horizontal="right" vertical="center"/>
    </xf>
    <xf numFmtId="189" fontId="66" fillId="2" borderId="281" xfId="0" applyNumberFormat="1" applyFont="1" applyFill="1" applyBorder="1" applyAlignment="1">
      <alignment horizontal="right" vertical="center"/>
    </xf>
    <xf numFmtId="0" fontId="66" fillId="2" borderId="0" xfId="0" applyFont="1" applyFill="1">
      <alignment vertical="center"/>
    </xf>
    <xf numFmtId="208" fontId="140" fillId="33" borderId="0" xfId="2" applyNumberFormat="1" applyFont="1" applyFill="1" applyBorder="1" applyAlignment="1">
      <alignment horizontal="right" vertical="center"/>
    </xf>
    <xf numFmtId="208" fontId="140" fillId="33" borderId="406" xfId="2" applyNumberFormat="1" applyFont="1" applyFill="1" applyBorder="1" applyAlignment="1">
      <alignment horizontal="right" vertical="center"/>
    </xf>
    <xf numFmtId="208" fontId="66" fillId="3" borderId="2" xfId="2" applyNumberFormat="1" applyFont="1" applyFill="1" applyBorder="1" applyAlignment="1">
      <alignment horizontal="right" vertical="center"/>
    </xf>
    <xf numFmtId="210" fontId="66" fillId="2" borderId="510" xfId="0" applyNumberFormat="1" applyFont="1" applyFill="1" applyBorder="1">
      <alignment vertical="center"/>
    </xf>
    <xf numFmtId="226" fontId="66" fillId="2" borderId="0" xfId="0" applyNumberFormat="1" applyFont="1" applyFill="1">
      <alignment vertical="center"/>
    </xf>
    <xf numFmtId="226" fontId="66" fillId="2" borderId="510" xfId="0" applyNumberFormat="1" applyFont="1" applyFill="1" applyBorder="1">
      <alignment vertical="center"/>
    </xf>
    <xf numFmtId="208" fontId="140" fillId="34" borderId="0" xfId="2" applyNumberFormat="1" applyFont="1" applyFill="1" applyBorder="1" applyAlignment="1">
      <alignment horizontal="right" vertical="center"/>
    </xf>
    <xf numFmtId="208" fontId="140" fillId="34" borderId="406" xfId="2" applyNumberFormat="1" applyFont="1" applyFill="1" applyBorder="1" applyAlignment="1">
      <alignment horizontal="right" vertical="center"/>
    </xf>
    <xf numFmtId="189" fontId="66" fillId="2" borderId="271" xfId="0" applyNumberFormat="1" applyFont="1" applyFill="1" applyBorder="1" applyAlignment="1">
      <alignment horizontal="right" vertical="center"/>
    </xf>
    <xf numFmtId="208" fontId="66" fillId="2" borderId="0" xfId="2" applyNumberFormat="1" applyFont="1" applyFill="1" applyAlignment="1">
      <alignment horizontal="right" vertical="center"/>
    </xf>
    <xf numFmtId="209" fontId="66" fillId="2" borderId="0" xfId="2" applyNumberFormat="1" applyFont="1" applyFill="1" applyAlignment="1">
      <alignment horizontal="right" vertical="center"/>
    </xf>
    <xf numFmtId="0" fontId="93" fillId="2" borderId="27" xfId="0" applyFont="1" applyFill="1" applyBorder="1">
      <alignment vertical="center"/>
    </xf>
    <xf numFmtId="210" fontId="93" fillId="2" borderId="27" xfId="0" applyNumberFormat="1" applyFont="1" applyFill="1" applyBorder="1">
      <alignment vertical="center"/>
    </xf>
    <xf numFmtId="210" fontId="93" fillId="2" borderId="513" xfId="0" applyNumberFormat="1" applyFont="1" applyFill="1" applyBorder="1">
      <alignment vertical="center"/>
    </xf>
    <xf numFmtId="226" fontId="82" fillId="2" borderId="27" xfId="0" applyNumberFormat="1" applyFont="1" applyFill="1" applyBorder="1">
      <alignment vertical="center"/>
    </xf>
    <xf numFmtId="226" fontId="82" fillId="2" borderId="513" xfId="0" applyNumberFormat="1" applyFont="1" applyFill="1" applyBorder="1">
      <alignment vertical="center"/>
    </xf>
    <xf numFmtId="209" fontId="66" fillId="2" borderId="27" xfId="2" applyNumberFormat="1" applyFont="1" applyFill="1" applyBorder="1" applyAlignment="1">
      <alignment horizontal="right" vertical="center"/>
    </xf>
    <xf numFmtId="209" fontId="66" fillId="2" borderId="100" xfId="0" applyNumberFormat="1" applyFont="1" applyFill="1" applyBorder="1" applyAlignment="1">
      <alignment horizontal="right" vertical="center"/>
    </xf>
    <xf numFmtId="209" fontId="66" fillId="2" borderId="27" xfId="0" applyNumberFormat="1" applyFont="1" applyFill="1" applyBorder="1" applyAlignment="1">
      <alignment horizontal="right" vertical="center"/>
    </xf>
    <xf numFmtId="208" fontId="66" fillId="2" borderId="28" xfId="2" applyNumberFormat="1" applyFont="1" applyFill="1" applyBorder="1" applyAlignment="1">
      <alignment horizontal="right" vertical="center"/>
    </xf>
    <xf numFmtId="209" fontId="66" fillId="2" borderId="282" xfId="0" applyNumberFormat="1" applyFont="1" applyFill="1" applyBorder="1" applyAlignment="1">
      <alignment horizontal="right" vertical="center"/>
    </xf>
    <xf numFmtId="0" fontId="74" fillId="7" borderId="0" xfId="0" applyFont="1" applyFill="1">
      <alignment vertical="center"/>
    </xf>
    <xf numFmtId="0" fontId="66" fillId="7" borderId="0" xfId="0" applyFont="1" applyFill="1">
      <alignment vertical="center"/>
    </xf>
    <xf numFmtId="210" fontId="66" fillId="7" borderId="0" xfId="0" applyNumberFormat="1" applyFont="1" applyFill="1" applyBorder="1">
      <alignment vertical="center"/>
    </xf>
    <xf numFmtId="210" fontId="66" fillId="7" borderId="510" xfId="0" applyNumberFormat="1" applyFont="1" applyFill="1" applyBorder="1">
      <alignment vertical="center"/>
    </xf>
    <xf numFmtId="226" fontId="66" fillId="7" borderId="0" xfId="0" applyNumberFormat="1" applyFont="1" applyFill="1">
      <alignment vertical="center"/>
    </xf>
    <xf numFmtId="226" fontId="66" fillId="7" borderId="510" xfId="0" applyNumberFormat="1" applyFont="1" applyFill="1" applyBorder="1">
      <alignment vertical="center"/>
    </xf>
    <xf numFmtId="208" fontId="140" fillId="35" borderId="0" xfId="2" applyNumberFormat="1" applyFont="1" applyFill="1" applyBorder="1" applyAlignment="1">
      <alignment horizontal="right" vertical="center"/>
    </xf>
    <xf numFmtId="208" fontId="140" fillId="35" borderId="406" xfId="2" applyNumberFormat="1" applyFont="1" applyFill="1" applyBorder="1" applyAlignment="1">
      <alignment horizontal="right" vertical="center"/>
    </xf>
    <xf numFmtId="209" fontId="66" fillId="7" borderId="0" xfId="2" applyNumberFormat="1" applyFont="1" applyFill="1" applyBorder="1" applyAlignment="1">
      <alignment horizontal="right" vertical="center"/>
    </xf>
    <xf numFmtId="189" fontId="66" fillId="7" borderId="46" xfId="0" applyNumberFormat="1" applyFont="1" applyFill="1" applyBorder="1" applyAlignment="1">
      <alignment horizontal="right" vertical="center"/>
    </xf>
    <xf numFmtId="208" fontId="66" fillId="7" borderId="2" xfId="2" applyNumberFormat="1" applyFont="1" applyFill="1" applyBorder="1" applyAlignment="1">
      <alignment horizontal="right" vertical="center"/>
    </xf>
    <xf numFmtId="189" fontId="66" fillId="7" borderId="271" xfId="0" applyNumberFormat="1" applyFont="1" applyFill="1" applyBorder="1" applyAlignment="1">
      <alignment horizontal="right" vertical="center"/>
    </xf>
    <xf numFmtId="0" fontId="141" fillId="3" borderId="0" xfId="0" applyFont="1" applyFill="1">
      <alignment vertical="center"/>
    </xf>
    <xf numFmtId="243" fontId="66" fillId="3" borderId="0" xfId="2" applyNumberFormat="1" applyFont="1" applyFill="1" applyBorder="1" applyAlignment="1">
      <alignment horizontal="right" vertical="center"/>
    </xf>
    <xf numFmtId="208" fontId="140" fillId="0" borderId="0" xfId="2" applyNumberFormat="1" applyFont="1" applyFill="1" applyBorder="1" applyAlignment="1">
      <alignment horizontal="right" vertical="center"/>
    </xf>
    <xf numFmtId="208" fontId="140" fillId="0" borderId="406" xfId="2" applyNumberFormat="1" applyFont="1" applyFill="1" applyBorder="1" applyAlignment="1">
      <alignment horizontal="right" vertical="center"/>
    </xf>
    <xf numFmtId="0" fontId="66" fillId="0" borderId="272" xfId="0" applyFont="1" applyBorder="1">
      <alignment vertical="center"/>
    </xf>
    <xf numFmtId="0" fontId="93" fillId="0" borderId="36" xfId="0" applyFont="1" applyBorder="1">
      <alignment vertical="center"/>
    </xf>
    <xf numFmtId="210" fontId="93" fillId="0" borderId="36" xfId="0" applyNumberFormat="1" applyFont="1" applyBorder="1">
      <alignment vertical="center"/>
    </xf>
    <xf numFmtId="210" fontId="93" fillId="0" borderId="514" xfId="0" applyNumberFormat="1" applyFont="1" applyBorder="1">
      <alignment vertical="center"/>
    </xf>
    <xf numFmtId="226" fontId="82" fillId="0" borderId="36" xfId="0" applyNumberFormat="1" applyFont="1" applyBorder="1">
      <alignment vertical="center"/>
    </xf>
    <xf numFmtId="226" fontId="82" fillId="0" borderId="514" xfId="0" applyNumberFormat="1" applyFont="1" applyBorder="1">
      <alignment vertical="center"/>
    </xf>
    <xf numFmtId="208" fontId="66" fillId="0" borderId="36" xfId="2" applyNumberFormat="1" applyFont="1" applyBorder="1" applyAlignment="1">
      <alignment horizontal="right" vertical="center"/>
    </xf>
    <xf numFmtId="208" fontId="140" fillId="0" borderId="515" xfId="2" applyNumberFormat="1" applyFont="1" applyFill="1" applyBorder="1" applyAlignment="1">
      <alignment horizontal="right" vertical="center"/>
    </xf>
    <xf numFmtId="208" fontId="140" fillId="0" borderId="1070" xfId="2" applyNumberFormat="1" applyFont="1" applyFill="1" applyBorder="1" applyAlignment="1">
      <alignment horizontal="right" vertical="center"/>
    </xf>
    <xf numFmtId="209" fontId="66" fillId="0" borderId="36" xfId="2" applyNumberFormat="1" applyFont="1" applyBorder="1" applyAlignment="1">
      <alignment horizontal="right" vertical="center"/>
    </xf>
    <xf numFmtId="189" fontId="66" fillId="0" borderId="54" xfId="0" applyNumberFormat="1" applyFont="1" applyBorder="1" applyAlignment="1">
      <alignment horizontal="right" vertical="center"/>
    </xf>
    <xf numFmtId="209" fontId="66" fillId="0" borderId="36" xfId="0" applyNumberFormat="1" applyFont="1" applyBorder="1" applyAlignment="1">
      <alignment horizontal="right" vertical="center"/>
    </xf>
    <xf numFmtId="209" fontId="66" fillId="0" borderId="53" xfId="2" applyNumberFormat="1" applyFont="1" applyBorder="1" applyAlignment="1">
      <alignment horizontal="right" vertical="center"/>
    </xf>
    <xf numFmtId="209" fontId="66" fillId="0" borderId="273" xfId="0" applyNumberFormat="1" applyFont="1" applyBorder="1" applyAlignment="1">
      <alignment horizontal="right" vertical="center"/>
    </xf>
    <xf numFmtId="0" fontId="74" fillId="0" borderId="270" xfId="0" applyFont="1" applyBorder="1">
      <alignment vertical="center"/>
    </xf>
    <xf numFmtId="226" fontId="66" fillId="0" borderId="0" xfId="0" applyNumberFormat="1" applyFont="1" applyBorder="1">
      <alignment vertical="center"/>
    </xf>
    <xf numFmtId="215" fontId="66" fillId="0" borderId="0" xfId="2" applyNumberFormat="1" applyFont="1" applyBorder="1" applyAlignment="1">
      <alignment horizontal="right" vertical="center"/>
    </xf>
    <xf numFmtId="210" fontId="66" fillId="2" borderId="625" xfId="0" applyNumberFormat="1" applyFont="1" applyFill="1" applyBorder="1">
      <alignment vertical="center"/>
    </xf>
    <xf numFmtId="226" fontId="66" fillId="2" borderId="465" xfId="0" applyNumberFormat="1" applyFont="1" applyFill="1" applyBorder="1">
      <alignment vertical="center"/>
    </xf>
    <xf numFmtId="226" fontId="66" fillId="2" borderId="625" xfId="0" applyNumberFormat="1" applyFont="1" applyFill="1" applyBorder="1">
      <alignment vertical="center"/>
    </xf>
    <xf numFmtId="189" fontId="66" fillId="2" borderId="102" xfId="0" applyNumberFormat="1" applyFont="1" applyFill="1" applyBorder="1" applyAlignment="1">
      <alignment horizontal="right" vertical="center"/>
    </xf>
    <xf numFmtId="208" fontId="66" fillId="2" borderId="29" xfId="2" applyNumberFormat="1" applyFont="1" applyFill="1" applyBorder="1" applyAlignment="1">
      <alignment horizontal="right" vertical="center"/>
    </xf>
    <xf numFmtId="189" fontId="66" fillId="2" borderId="283" xfId="0" applyNumberFormat="1" applyFont="1" applyFill="1" applyBorder="1" applyAlignment="1">
      <alignment horizontal="right" vertical="center"/>
    </xf>
    <xf numFmtId="209" fontId="66" fillId="2" borderId="2" xfId="2" applyNumberFormat="1" applyFont="1" applyFill="1" applyBorder="1" applyAlignment="1">
      <alignment horizontal="right" vertical="center"/>
    </xf>
    <xf numFmtId="210" fontId="66" fillId="2" borderId="15" xfId="0" applyNumberFormat="1" applyFont="1" applyFill="1" applyBorder="1">
      <alignment vertical="center"/>
    </xf>
    <xf numFmtId="210" fontId="66" fillId="2" borderId="517" xfId="0" applyNumberFormat="1" applyFont="1" applyFill="1" applyBorder="1">
      <alignment vertical="center"/>
    </xf>
    <xf numFmtId="226" fontId="82" fillId="2" borderId="15" xfId="0" applyNumberFormat="1" applyFont="1" applyFill="1" applyBorder="1">
      <alignment vertical="center"/>
    </xf>
    <xf numFmtId="226" fontId="82" fillId="2" borderId="517" xfId="0" applyNumberFormat="1" applyFont="1" applyFill="1" applyBorder="1">
      <alignment vertical="center"/>
    </xf>
    <xf numFmtId="208" fontId="66" fillId="2" borderId="1071" xfId="2" applyNumberFormat="1" applyFont="1" applyFill="1" applyBorder="1" applyAlignment="1">
      <alignment horizontal="right" vertical="center"/>
    </xf>
    <xf numFmtId="209" fontId="66" fillId="2" borderId="15" xfId="2" applyNumberFormat="1" applyFont="1" applyFill="1" applyBorder="1" applyAlignment="1">
      <alignment horizontal="right" vertical="center"/>
    </xf>
    <xf numFmtId="195" fontId="66" fillId="2" borderId="15" xfId="2" applyNumberFormat="1" applyFont="1" applyFill="1" applyBorder="1" applyAlignment="1">
      <alignment horizontal="right" vertical="center"/>
    </xf>
    <xf numFmtId="189" fontId="66" fillId="2" borderId="103" xfId="0" applyNumberFormat="1" applyFont="1" applyFill="1" applyBorder="1" applyAlignment="1">
      <alignment horizontal="right" vertical="center"/>
    </xf>
    <xf numFmtId="208" fontId="66" fillId="2" borderId="30" xfId="2" applyNumberFormat="1" applyFont="1" applyFill="1" applyBorder="1" applyAlignment="1">
      <alignment horizontal="right" vertical="center"/>
    </xf>
    <xf numFmtId="189" fontId="66" fillId="2" borderId="284" xfId="0" applyNumberFormat="1" applyFont="1" applyFill="1" applyBorder="1" applyAlignment="1">
      <alignment horizontal="right" vertical="center"/>
    </xf>
    <xf numFmtId="0" fontId="66" fillId="7" borderId="14" xfId="0" applyFont="1" applyFill="1" applyBorder="1">
      <alignment vertical="center"/>
    </xf>
    <xf numFmtId="226" fontId="82" fillId="7" borderId="0" xfId="0" applyNumberFormat="1" applyFont="1" applyFill="1">
      <alignment vertical="center"/>
    </xf>
    <xf numFmtId="226" fontId="82" fillId="7" borderId="510" xfId="0" applyNumberFormat="1" applyFont="1" applyFill="1" applyBorder="1">
      <alignment vertical="center"/>
    </xf>
    <xf numFmtId="208" fontId="66" fillId="7" borderId="406" xfId="2" applyNumberFormat="1" applyFont="1" applyFill="1" applyBorder="1" applyAlignment="1">
      <alignment horizontal="right" vertical="center"/>
    </xf>
    <xf numFmtId="226" fontId="82" fillId="3" borderId="0" xfId="0" applyNumberFormat="1" applyFont="1" applyFill="1">
      <alignment vertical="center"/>
    </xf>
    <xf numFmtId="226" fontId="82" fillId="3" borderId="510" xfId="0" applyNumberFormat="1" applyFont="1" applyFill="1" applyBorder="1">
      <alignment vertical="center"/>
    </xf>
    <xf numFmtId="215" fontId="66" fillId="3" borderId="0" xfId="2" applyNumberFormat="1" applyFont="1" applyFill="1" applyBorder="1" applyAlignment="1">
      <alignment horizontal="right" vertical="center"/>
    </xf>
    <xf numFmtId="226" fontId="82" fillId="0" borderId="0" xfId="0" applyNumberFormat="1" applyFont="1">
      <alignment vertical="center"/>
    </xf>
    <xf numFmtId="226" fontId="82" fillId="0" borderId="510" xfId="0" applyNumberFormat="1" applyFont="1" applyBorder="1">
      <alignment vertical="center"/>
    </xf>
    <xf numFmtId="208" fontId="66" fillId="5" borderId="36" xfId="2" applyNumberFormat="1" applyFont="1" applyFill="1" applyBorder="1" applyAlignment="1">
      <alignment horizontal="right" vertical="center"/>
    </xf>
    <xf numFmtId="208" fontId="66" fillId="0" borderId="1072" xfId="2" applyNumberFormat="1" applyFont="1" applyBorder="1" applyAlignment="1">
      <alignment horizontal="right" vertical="center"/>
    </xf>
    <xf numFmtId="209" fontId="66" fillId="0" borderId="54" xfId="0" applyNumberFormat="1" applyFont="1" applyBorder="1" applyAlignment="1">
      <alignment horizontal="right" vertical="center"/>
    </xf>
    <xf numFmtId="208" fontId="66" fillId="0" borderId="53" xfId="2" applyNumberFormat="1" applyFont="1" applyBorder="1" applyAlignment="1">
      <alignment horizontal="right" vertical="center"/>
    </xf>
    <xf numFmtId="189" fontId="66" fillId="0" borderId="273" xfId="0" applyNumberFormat="1" applyFont="1" applyBorder="1" applyAlignment="1">
      <alignment horizontal="right" vertical="center"/>
    </xf>
    <xf numFmtId="0" fontId="74" fillId="2" borderId="0" xfId="0" applyFont="1" applyFill="1">
      <alignment vertical="center"/>
    </xf>
    <xf numFmtId="226" fontId="82" fillId="2" borderId="0" xfId="0" applyNumberFormat="1" applyFont="1" applyFill="1">
      <alignment vertical="center"/>
    </xf>
    <xf numFmtId="226" fontId="82" fillId="2" borderId="510" xfId="0" applyNumberFormat="1" applyFont="1" applyFill="1" applyBorder="1">
      <alignment vertical="center"/>
    </xf>
    <xf numFmtId="186" fontId="66" fillId="2" borderId="271" xfId="0" applyNumberFormat="1" applyFont="1" applyFill="1" applyBorder="1" applyAlignment="1">
      <alignment horizontal="right" vertical="center"/>
    </xf>
    <xf numFmtId="215" fontId="66" fillId="2" borderId="0" xfId="2" applyNumberFormat="1" applyFont="1" applyFill="1" applyBorder="1" applyAlignment="1">
      <alignment horizontal="right" vertical="center"/>
    </xf>
    <xf numFmtId="226" fontId="66" fillId="7" borderId="0" xfId="0" applyNumberFormat="1" applyFont="1" applyFill="1" applyAlignment="1">
      <alignment horizontal="right" vertical="center"/>
    </xf>
    <xf numFmtId="226" fontId="66" fillId="7" borderId="510" xfId="0" applyNumberFormat="1" applyFont="1" applyFill="1" applyBorder="1" applyAlignment="1">
      <alignment horizontal="right" vertical="center"/>
    </xf>
    <xf numFmtId="0" fontId="66" fillId="0" borderId="514" xfId="0" applyFont="1" applyBorder="1">
      <alignment vertical="center"/>
    </xf>
    <xf numFmtId="226" fontId="66" fillId="5" borderId="36" xfId="0" applyNumberFormat="1" applyFont="1" applyFill="1" applyBorder="1" applyAlignment="1">
      <alignment horizontal="right" vertical="center"/>
    </xf>
    <xf numFmtId="226" fontId="66" fillId="5" borderId="514" xfId="0" applyNumberFormat="1" applyFont="1" applyFill="1" applyBorder="1" applyAlignment="1">
      <alignment horizontal="right" vertical="center"/>
    </xf>
    <xf numFmtId="208" fontId="66" fillId="0" borderId="518" xfId="2" applyNumberFormat="1" applyFont="1" applyBorder="1" applyAlignment="1">
      <alignment horizontal="right" vertical="center"/>
    </xf>
    <xf numFmtId="208" fontId="66" fillId="0" borderId="862" xfId="2" applyNumberFormat="1" applyFont="1" applyBorder="1" applyAlignment="1">
      <alignment horizontal="right" vertical="center"/>
    </xf>
    <xf numFmtId="209" fontId="66" fillId="0" borderId="36" xfId="2" applyNumberFormat="1" applyFont="1" applyFill="1" applyBorder="1" applyAlignment="1">
      <alignment horizontal="right" vertical="center"/>
    </xf>
    <xf numFmtId="243" fontId="66" fillId="0" borderId="518" xfId="2" applyNumberFormat="1" applyFont="1" applyBorder="1" applyAlignment="1">
      <alignment horizontal="right" vertical="center"/>
    </xf>
    <xf numFmtId="193" fontId="66" fillId="29" borderId="518" xfId="0" applyNumberFormat="1" applyFont="1" applyFill="1" applyBorder="1" applyAlignment="1">
      <alignment horizontal="right" vertical="center"/>
    </xf>
    <xf numFmtId="187" fontId="66" fillId="29" borderId="343" xfId="3" applyNumberFormat="1" applyFont="1" applyFill="1" applyBorder="1" applyAlignment="1">
      <alignment horizontal="right" vertical="center"/>
    </xf>
    <xf numFmtId="208" fontId="66" fillId="0" borderId="3" xfId="2" applyNumberFormat="1" applyFont="1" applyBorder="1" applyAlignment="1">
      <alignment horizontal="right" vertical="center"/>
    </xf>
    <xf numFmtId="186" fontId="66" fillId="29" borderId="392" xfId="0" applyNumberFormat="1" applyFont="1" applyFill="1" applyBorder="1" applyAlignment="1">
      <alignment horizontal="right" vertical="center"/>
    </xf>
    <xf numFmtId="187" fontId="66" fillId="29" borderId="36" xfId="3" applyNumberFormat="1" applyFont="1" applyFill="1" applyBorder="1" applyAlignment="1">
      <alignment horizontal="right" vertical="center"/>
    </xf>
    <xf numFmtId="189" fontId="66" fillId="3" borderId="2" xfId="2" applyNumberFormat="1" applyFont="1" applyFill="1" applyBorder="1" applyAlignment="1">
      <alignment horizontal="right" vertical="center"/>
    </xf>
    <xf numFmtId="209" fontId="66" fillId="29" borderId="187" xfId="0" applyNumberFormat="1" applyFont="1" applyFill="1" applyBorder="1" applyAlignment="1">
      <alignment horizontal="right" vertical="center"/>
    </xf>
    <xf numFmtId="209" fontId="66" fillId="29" borderId="0" xfId="3" applyNumberFormat="1" applyFont="1" applyFill="1" applyBorder="1" applyAlignment="1">
      <alignment horizontal="right" vertical="center"/>
    </xf>
    <xf numFmtId="209" fontId="66" fillId="2" borderId="271" xfId="0" applyNumberFormat="1" applyFont="1" applyFill="1" applyBorder="1" applyAlignment="1">
      <alignment horizontal="right" vertical="center"/>
    </xf>
    <xf numFmtId="189" fontId="66" fillId="7" borderId="2" xfId="0" applyNumberFormat="1" applyFont="1" applyFill="1" applyBorder="1" applyAlignment="1">
      <alignment horizontal="right" vertical="center"/>
    </xf>
    <xf numFmtId="220" fontId="66" fillId="0" borderId="0" xfId="0" applyNumberFormat="1" applyFont="1">
      <alignment vertical="center"/>
    </xf>
    <xf numFmtId="204" fontId="66" fillId="0" borderId="0" xfId="0" applyNumberFormat="1" applyFont="1">
      <alignment vertical="center"/>
    </xf>
    <xf numFmtId="0" fontId="142" fillId="5" borderId="0" xfId="0" applyFont="1" applyFill="1" applyAlignment="1">
      <alignment horizontal="left" vertical="center"/>
    </xf>
    <xf numFmtId="219" fontId="129" fillId="15" borderId="465" xfId="0" quotePrefix="1" applyNumberFormat="1" applyFont="1" applyFill="1" applyBorder="1" applyAlignment="1">
      <alignment horizontal="right" vertical="center"/>
    </xf>
    <xf numFmtId="0" fontId="128" fillId="3" borderId="472" xfId="0" quotePrefix="1" applyFont="1" applyFill="1" applyBorder="1" applyAlignment="1">
      <alignment horizontal="left" vertical="center"/>
    </xf>
    <xf numFmtId="0" fontId="67" fillId="13" borderId="519" xfId="0" quotePrefix="1" applyFont="1" applyFill="1" applyBorder="1" applyAlignment="1">
      <alignment horizontal="center" vertical="center"/>
    </xf>
    <xf numFmtId="0" fontId="67" fillId="13" borderId="477" xfId="0" quotePrefix="1" applyFont="1" applyFill="1" applyBorder="1" applyAlignment="1">
      <alignment horizontal="center" vertical="center"/>
    </xf>
    <xf numFmtId="0" fontId="67" fillId="13" borderId="520" xfId="0" quotePrefix="1" applyFont="1" applyFill="1" applyBorder="1" applyAlignment="1">
      <alignment horizontal="center" vertical="center"/>
    </xf>
    <xf numFmtId="0" fontId="67" fillId="15" borderId="477" xfId="0" quotePrefix="1" applyFont="1" applyFill="1" applyBorder="1" applyAlignment="1">
      <alignment horizontal="center" vertical="center"/>
    </xf>
    <xf numFmtId="0" fontId="67" fillId="28" borderId="519" xfId="0" quotePrefix="1" applyFont="1" applyFill="1" applyBorder="1" applyAlignment="1">
      <alignment horizontal="center" vertical="center"/>
    </xf>
    <xf numFmtId="0" fontId="67" fillId="28" borderId="477" xfId="0" quotePrefix="1" applyFont="1" applyFill="1" applyBorder="1" applyAlignment="1">
      <alignment horizontal="center" vertical="center"/>
    </xf>
    <xf numFmtId="0" fontId="66" fillId="3" borderId="519" xfId="0" quotePrefix="1" applyFont="1" applyFill="1" applyBorder="1" applyAlignment="1">
      <alignment horizontal="center" vertical="center"/>
    </xf>
    <xf numFmtId="0" fontId="66" fillId="3" borderId="477" xfId="0" quotePrefix="1" applyFont="1" applyFill="1" applyBorder="1" applyAlignment="1">
      <alignment horizontal="center" vertical="center"/>
    </xf>
    <xf numFmtId="0" fontId="66" fillId="7" borderId="520" xfId="0" quotePrefix="1" applyFont="1" applyFill="1" applyBorder="1" applyAlignment="1">
      <alignment horizontal="center" vertical="center"/>
    </xf>
    <xf numFmtId="0" fontId="67" fillId="4" borderId="521" xfId="0" quotePrefix="1" applyFont="1" applyFill="1" applyBorder="1" applyAlignment="1">
      <alignment horizontal="center" vertical="center"/>
    </xf>
    <xf numFmtId="208" fontId="67" fillId="4" borderId="521" xfId="0" quotePrefix="1" applyNumberFormat="1" applyFont="1" applyFill="1" applyBorder="1" applyAlignment="1">
      <alignment horizontal="center" vertical="center"/>
    </xf>
    <xf numFmtId="0" fontId="67" fillId="14" borderId="522" xfId="0" quotePrefix="1" applyFont="1" applyFill="1" applyBorder="1" applyAlignment="1">
      <alignment horizontal="center" vertical="center"/>
    </xf>
    <xf numFmtId="0" fontId="67" fillId="14" borderId="523" xfId="0" quotePrefix="1" applyFont="1" applyFill="1" applyBorder="1" applyAlignment="1">
      <alignment horizontal="center" vertical="center" shrinkToFit="1"/>
    </xf>
    <xf numFmtId="0" fontId="67" fillId="14" borderId="0" xfId="0" quotePrefix="1" applyFont="1" applyFill="1" applyAlignment="1">
      <alignment horizontal="center" vertical="center" shrinkToFit="1"/>
    </xf>
    <xf numFmtId="0" fontId="74" fillId="8" borderId="481" xfId="0" applyFont="1" applyFill="1" applyBorder="1">
      <alignment vertical="center"/>
    </xf>
    <xf numFmtId="210" fontId="66" fillId="5" borderId="524" xfId="0" applyNumberFormat="1" applyFont="1" applyFill="1" applyBorder="1">
      <alignment vertical="center"/>
    </xf>
    <xf numFmtId="210" fontId="66" fillId="5" borderId="525" xfId="0" applyNumberFormat="1" applyFont="1" applyFill="1" applyBorder="1">
      <alignment vertical="center"/>
    </xf>
    <xf numFmtId="210" fontId="66" fillId="5" borderId="526" xfId="0" applyNumberFormat="1" applyFont="1" applyFill="1" applyBorder="1">
      <alignment vertical="center"/>
    </xf>
    <xf numFmtId="210" fontId="66" fillId="8" borderId="483" xfId="0" applyNumberFormat="1" applyFont="1" applyFill="1" applyBorder="1" applyAlignment="1">
      <alignment horizontal="center" vertical="center"/>
    </xf>
    <xf numFmtId="210" fontId="66" fillId="8" borderId="106" xfId="0" applyNumberFormat="1" applyFont="1" applyFill="1" applyBorder="1" applyAlignment="1">
      <alignment horizontal="center" vertical="center"/>
    </xf>
    <xf numFmtId="210" fontId="77" fillId="8" borderId="484" xfId="0" applyNumberFormat="1" applyFont="1" applyFill="1" applyBorder="1" applyAlignment="1">
      <alignment horizontal="center" vertical="center"/>
    </xf>
    <xf numFmtId="208" fontId="66" fillId="8" borderId="37" xfId="2" applyNumberFormat="1" applyFont="1" applyFill="1" applyBorder="1" applyAlignment="1">
      <alignment horizontal="center" vertical="center"/>
    </xf>
    <xf numFmtId="209" fontId="66" fillId="8" borderId="37" xfId="2" applyNumberFormat="1" applyFont="1" applyFill="1" applyBorder="1" applyAlignment="1">
      <alignment horizontal="center" vertical="center"/>
    </xf>
    <xf numFmtId="187" fontId="66" fillId="29" borderId="37" xfId="3" applyNumberFormat="1" applyFont="1" applyFill="1" applyBorder="1" applyAlignment="1">
      <alignment horizontal="center" vertical="center"/>
    </xf>
    <xf numFmtId="186" fontId="66" fillId="8" borderId="72" xfId="0" applyNumberFormat="1" applyFont="1" applyFill="1" applyBorder="1" applyAlignment="1">
      <alignment horizontal="center" vertical="center"/>
    </xf>
    <xf numFmtId="186" fontId="66" fillId="8" borderId="482" xfId="0" applyNumberFormat="1" applyFont="1" applyFill="1" applyBorder="1" applyAlignment="1">
      <alignment horizontal="center" vertical="center"/>
    </xf>
    <xf numFmtId="186" fontId="66" fillId="8" borderId="0" xfId="0" applyNumberFormat="1" applyFont="1" applyFill="1" applyAlignment="1">
      <alignment horizontal="right" vertical="center"/>
    </xf>
    <xf numFmtId="210" fontId="66" fillId="5" borderId="0" xfId="0" applyNumberFormat="1" applyFont="1" applyFill="1" applyAlignment="1">
      <alignment horizontal="center" vertical="center"/>
    </xf>
    <xf numFmtId="210" fontId="66" fillId="5" borderId="406" xfId="0" applyNumberFormat="1" applyFont="1" applyFill="1" applyBorder="1" applyAlignment="1">
      <alignment horizontal="center" vertical="center"/>
    </xf>
    <xf numFmtId="208" fontId="66" fillId="5" borderId="0" xfId="2" applyNumberFormat="1" applyFont="1" applyFill="1" applyBorder="1" applyAlignment="1">
      <alignment horizontal="center" vertical="center"/>
    </xf>
    <xf numFmtId="208" fontId="66" fillId="0" borderId="0" xfId="2" applyNumberFormat="1" applyFont="1" applyFill="1" applyBorder="1" applyAlignment="1">
      <alignment horizontal="center" vertical="center"/>
    </xf>
    <xf numFmtId="209" fontId="66" fillId="0" borderId="0" xfId="2" applyNumberFormat="1" applyFont="1" applyFill="1" applyBorder="1" applyAlignment="1">
      <alignment horizontal="center" vertical="center"/>
    </xf>
    <xf numFmtId="193" fontId="66" fillId="0" borderId="0" xfId="0" applyNumberFormat="1" applyFont="1" applyAlignment="1">
      <alignment horizontal="center" vertical="center"/>
    </xf>
    <xf numFmtId="186" fontId="66" fillId="0" borderId="406" xfId="0" applyNumberFormat="1" applyFont="1" applyBorder="1" applyAlignment="1">
      <alignment horizontal="center" vertical="center"/>
    </xf>
    <xf numFmtId="210" fontId="77" fillId="5" borderId="406" xfId="0" applyNumberFormat="1" applyFont="1" applyFill="1" applyBorder="1" applyAlignment="1">
      <alignment horizontal="center" vertical="center"/>
    </xf>
    <xf numFmtId="195" fontId="66" fillId="5" borderId="0" xfId="2" applyNumberFormat="1" applyFont="1" applyFill="1" applyBorder="1">
      <alignment vertical="center"/>
    </xf>
    <xf numFmtId="195" fontId="66" fillId="5" borderId="406" xfId="2" applyNumberFormat="1" applyFont="1" applyFill="1" applyBorder="1">
      <alignment vertical="center"/>
    </xf>
    <xf numFmtId="189" fontId="66" fillId="0" borderId="406" xfId="0" applyNumberFormat="1" applyFont="1" applyBorder="1" applyAlignment="1">
      <alignment horizontal="center" vertical="center"/>
    </xf>
    <xf numFmtId="0" fontId="74" fillId="2" borderId="468" xfId="0" applyFont="1" applyFill="1" applyBorder="1">
      <alignment vertical="center"/>
    </xf>
    <xf numFmtId="210" fontId="66" fillId="2" borderId="528" xfId="0" applyNumberFormat="1" applyFont="1" applyFill="1" applyBorder="1" applyAlignment="1">
      <alignment horizontal="center" vertical="center"/>
    </xf>
    <xf numFmtId="210" fontId="66" fillId="2" borderId="527" xfId="0" applyNumberFormat="1" applyFont="1" applyFill="1" applyBorder="1" applyAlignment="1">
      <alignment horizontal="center" vertical="center"/>
    </xf>
    <xf numFmtId="210" fontId="66" fillId="2" borderId="529" xfId="0" applyNumberFormat="1" applyFont="1" applyFill="1" applyBorder="1" applyAlignment="1">
      <alignment horizontal="center" vertical="center"/>
    </xf>
    <xf numFmtId="208" fontId="66" fillId="2" borderId="527" xfId="2" applyNumberFormat="1" applyFont="1" applyFill="1" applyBorder="1" applyAlignment="1">
      <alignment horizontal="center" vertical="center"/>
    </xf>
    <xf numFmtId="209" fontId="66" fillId="2" borderId="527" xfId="2" applyNumberFormat="1" applyFont="1" applyFill="1" applyBorder="1" applyAlignment="1">
      <alignment horizontal="center" vertical="center"/>
    </xf>
    <xf numFmtId="193" fontId="66" fillId="29" borderId="527" xfId="0" applyNumberFormat="1" applyFont="1" applyFill="1" applyBorder="1" applyAlignment="1">
      <alignment horizontal="center" vertical="center"/>
    </xf>
    <xf numFmtId="187" fontId="66" fillId="29" borderId="527" xfId="3" applyNumberFormat="1" applyFont="1" applyFill="1" applyBorder="1" applyAlignment="1">
      <alignment horizontal="center" vertical="center"/>
    </xf>
    <xf numFmtId="189" fontId="66" fillId="2" borderId="531" xfId="0" applyNumberFormat="1" applyFont="1" applyFill="1" applyBorder="1" applyAlignment="1">
      <alignment horizontal="center" vertical="center"/>
    </xf>
    <xf numFmtId="189" fontId="66" fillId="2" borderId="529" xfId="0" applyNumberFormat="1" applyFont="1" applyFill="1" applyBorder="1" applyAlignment="1">
      <alignment horizontal="center" vertical="center"/>
    </xf>
    <xf numFmtId="208" fontId="66" fillId="5" borderId="68" xfId="2" applyNumberFormat="1" applyFont="1" applyFill="1" applyBorder="1" applyAlignment="1">
      <alignment horizontal="center" vertical="center"/>
    </xf>
    <xf numFmtId="208" fontId="66" fillId="0" borderId="68" xfId="2" applyNumberFormat="1" applyFont="1" applyFill="1" applyBorder="1" applyAlignment="1">
      <alignment horizontal="center" vertical="center"/>
    </xf>
    <xf numFmtId="209" fontId="66" fillId="0" borderId="68" xfId="2" applyNumberFormat="1" applyFont="1" applyFill="1" applyBorder="1" applyAlignment="1">
      <alignment horizontal="center" vertical="center"/>
    </xf>
    <xf numFmtId="193" fontId="66" fillId="0" borderId="68" xfId="0" applyNumberFormat="1" applyFont="1" applyBorder="1" applyAlignment="1">
      <alignment horizontal="center" vertical="center"/>
    </xf>
    <xf numFmtId="187" fontId="66" fillId="29" borderId="68" xfId="3" applyNumberFormat="1" applyFont="1" applyFill="1" applyBorder="1" applyAlignment="1">
      <alignment horizontal="center" vertical="center"/>
    </xf>
    <xf numFmtId="189" fontId="66" fillId="0" borderId="71" xfId="0" applyNumberFormat="1" applyFont="1" applyBorder="1" applyAlignment="1">
      <alignment horizontal="center" vertical="center"/>
    </xf>
    <xf numFmtId="189" fontId="66" fillId="0" borderId="491" xfId="0" applyNumberFormat="1" applyFont="1" applyBorder="1" applyAlignment="1">
      <alignment horizontal="center" vertical="center"/>
    </xf>
    <xf numFmtId="210" fontId="66" fillId="3" borderId="0" xfId="0" applyNumberFormat="1" applyFont="1" applyFill="1" applyAlignment="1">
      <alignment horizontal="center" vertical="center"/>
    </xf>
    <xf numFmtId="210" fontId="66" fillId="3" borderId="406" xfId="0" applyNumberFormat="1" applyFont="1" applyFill="1" applyBorder="1" applyAlignment="1">
      <alignment horizontal="center" vertical="center"/>
    </xf>
    <xf numFmtId="208" fontId="66" fillId="3" borderId="0" xfId="2" applyNumberFormat="1" applyFont="1" applyFill="1" applyBorder="1" applyAlignment="1">
      <alignment horizontal="center" vertical="center"/>
    </xf>
    <xf numFmtId="209" fontId="66" fillId="3" borderId="0" xfId="2" applyNumberFormat="1" applyFont="1" applyFill="1" applyBorder="1" applyAlignment="1">
      <alignment horizontal="center" vertical="center"/>
    </xf>
    <xf numFmtId="193" fontId="66" fillId="3" borderId="0" xfId="0" applyNumberFormat="1" applyFont="1" applyFill="1" applyAlignment="1">
      <alignment horizontal="center" vertical="center"/>
    </xf>
    <xf numFmtId="189" fontId="66" fillId="3" borderId="406" xfId="0" applyNumberFormat="1" applyFont="1" applyFill="1" applyBorder="1" applyAlignment="1">
      <alignment horizontal="center" vertical="center"/>
    </xf>
    <xf numFmtId="0" fontId="74" fillId="4" borderId="485" xfId="0" applyFont="1" applyFill="1" applyBorder="1">
      <alignment vertical="center"/>
    </xf>
    <xf numFmtId="208" fontId="66" fillId="4" borderId="0" xfId="2" applyNumberFormat="1" applyFont="1" applyFill="1" applyBorder="1" applyAlignment="1">
      <alignment horizontal="center" vertical="center"/>
    </xf>
    <xf numFmtId="209" fontId="66" fillId="4" borderId="0" xfId="2" applyNumberFormat="1" applyFont="1" applyFill="1" applyBorder="1" applyAlignment="1">
      <alignment horizontal="center" vertical="center"/>
    </xf>
    <xf numFmtId="208" fontId="66" fillId="0" borderId="0" xfId="2" applyNumberFormat="1" applyFont="1" applyBorder="1" applyAlignment="1">
      <alignment horizontal="center" vertical="center"/>
    </xf>
    <xf numFmtId="209" fontId="66" fillId="0" borderId="0" xfId="2" applyNumberFormat="1" applyFont="1" applyBorder="1" applyAlignment="1">
      <alignment horizontal="center" vertical="center"/>
    </xf>
    <xf numFmtId="0" fontId="74" fillId="7" borderId="495" xfId="0" applyFont="1" applyFill="1" applyBorder="1">
      <alignment vertical="center"/>
    </xf>
    <xf numFmtId="210" fontId="66" fillId="7" borderId="495" xfId="0" applyNumberFormat="1" applyFont="1" applyFill="1" applyBorder="1" applyAlignment="1">
      <alignment horizontal="center" vertical="center"/>
    </xf>
    <xf numFmtId="210" fontId="66" fillId="7" borderId="17" xfId="0" applyNumberFormat="1" applyFont="1" applyFill="1" applyBorder="1" applyAlignment="1">
      <alignment horizontal="center" vertical="center"/>
    </xf>
    <xf numFmtId="210" fontId="77" fillId="7" borderId="494" xfId="0" applyNumberFormat="1" applyFont="1" applyFill="1" applyBorder="1" applyAlignment="1">
      <alignment horizontal="center" vertical="center"/>
    </xf>
    <xf numFmtId="208" fontId="66" fillId="7" borderId="375" xfId="2" applyNumberFormat="1" applyFont="1" applyFill="1" applyBorder="1" applyAlignment="1">
      <alignment horizontal="center" vertical="center"/>
    </xf>
    <xf numFmtId="208" fontId="66" fillId="7" borderId="17" xfId="2" applyNumberFormat="1" applyFont="1" applyFill="1" applyBorder="1" applyAlignment="1">
      <alignment horizontal="center" vertical="center"/>
    </xf>
    <xf numFmtId="209" fontId="66" fillId="7" borderId="17" xfId="2" applyNumberFormat="1" applyFont="1" applyFill="1" applyBorder="1" applyAlignment="1">
      <alignment horizontal="center" vertical="center"/>
    </xf>
    <xf numFmtId="193" fontId="66" fillId="29" borderId="17" xfId="0" applyNumberFormat="1" applyFont="1" applyFill="1" applyBorder="1" applyAlignment="1">
      <alignment horizontal="center" vertical="center"/>
    </xf>
    <xf numFmtId="187" fontId="66" fillId="29" borderId="17" xfId="3" applyNumberFormat="1" applyFont="1" applyFill="1" applyBorder="1" applyAlignment="1">
      <alignment horizontal="center" vertical="center"/>
    </xf>
    <xf numFmtId="189" fontId="66" fillId="7" borderId="97" xfId="0" applyNumberFormat="1" applyFont="1" applyFill="1" applyBorder="1" applyAlignment="1">
      <alignment horizontal="center" vertical="center"/>
    </xf>
    <xf numFmtId="189" fontId="66" fillId="7" borderId="494" xfId="0" applyNumberFormat="1" applyFont="1" applyFill="1" applyBorder="1" applyAlignment="1">
      <alignment horizontal="center" vertical="center"/>
    </xf>
    <xf numFmtId="0" fontId="74" fillId="0" borderId="532" xfId="0" applyFont="1" applyBorder="1">
      <alignment vertical="center"/>
    </xf>
    <xf numFmtId="0" fontId="66" fillId="0" borderId="532" xfId="0" applyFont="1" applyBorder="1">
      <alignment vertical="center"/>
    </xf>
    <xf numFmtId="0" fontId="66" fillId="0" borderId="533" xfId="0" applyFont="1" applyBorder="1">
      <alignment vertical="center"/>
    </xf>
    <xf numFmtId="0" fontId="66" fillId="0" borderId="34" xfId="0" applyFont="1" applyBorder="1" applyAlignment="1">
      <alignment horizontal="center" vertical="center"/>
    </xf>
    <xf numFmtId="213" fontId="66" fillId="0" borderId="34" xfId="0" applyNumberFormat="1" applyFont="1" applyBorder="1" applyAlignment="1">
      <alignment horizontal="center" vertical="center"/>
    </xf>
    <xf numFmtId="210" fontId="66" fillId="5" borderId="34" xfId="0" applyNumberFormat="1" applyFont="1" applyFill="1" applyBorder="1" applyAlignment="1">
      <alignment horizontal="center" vertical="center"/>
    </xf>
    <xf numFmtId="210" fontId="66" fillId="5" borderId="511" xfId="0" applyNumberFormat="1" applyFont="1" applyFill="1" applyBorder="1" applyAlignment="1">
      <alignment horizontal="center" vertical="center"/>
    </xf>
    <xf numFmtId="208" fontId="66" fillId="0" borderId="34" xfId="2" applyNumberFormat="1" applyFont="1" applyBorder="1" applyAlignment="1">
      <alignment horizontal="center" vertical="center"/>
    </xf>
    <xf numFmtId="209" fontId="66" fillId="0" borderId="34" xfId="2" applyNumberFormat="1" applyFont="1" applyBorder="1" applyAlignment="1">
      <alignment horizontal="center" vertical="center"/>
    </xf>
    <xf numFmtId="193" fontId="66" fillId="29" borderId="34" xfId="0" applyNumberFormat="1" applyFont="1" applyFill="1" applyBorder="1" applyAlignment="1">
      <alignment horizontal="center" vertical="center"/>
    </xf>
    <xf numFmtId="187" fontId="66" fillId="29" borderId="342" xfId="3" applyNumberFormat="1" applyFont="1" applyFill="1" applyBorder="1" applyAlignment="1">
      <alignment horizontal="center" vertical="center"/>
    </xf>
    <xf numFmtId="189" fontId="66" fillId="0" borderId="51" xfId="0" applyNumberFormat="1" applyFont="1" applyBorder="1" applyAlignment="1">
      <alignment horizontal="center" vertical="center"/>
    </xf>
    <xf numFmtId="189" fontId="66" fillId="0" borderId="533" xfId="0" applyNumberFormat="1" applyFont="1" applyBorder="1" applyAlignment="1">
      <alignment horizontal="center" vertical="center"/>
    </xf>
    <xf numFmtId="204" fontId="66" fillId="0" borderId="485" xfId="0" applyNumberFormat="1" applyFont="1" applyBorder="1">
      <alignment vertical="center"/>
    </xf>
    <xf numFmtId="210" fontId="66" fillId="0" borderId="510" xfId="0" applyNumberFormat="1" applyFont="1" applyBorder="1" applyAlignment="1">
      <alignment horizontal="center" vertical="center"/>
    </xf>
    <xf numFmtId="193" fontId="66" fillId="29" borderId="0" xfId="0" applyNumberFormat="1" applyFont="1" applyFill="1" applyAlignment="1">
      <alignment horizontal="center" vertical="center"/>
    </xf>
    <xf numFmtId="187" fontId="66" fillId="29" borderId="40" xfId="3" applyNumberFormat="1" applyFont="1" applyFill="1" applyBorder="1" applyAlignment="1">
      <alignment horizontal="center" vertical="center"/>
    </xf>
    <xf numFmtId="0" fontId="66" fillId="2" borderId="534" xfId="0" applyFont="1" applyFill="1" applyBorder="1">
      <alignment vertical="center"/>
    </xf>
    <xf numFmtId="210" fontId="66" fillId="2" borderId="25" xfId="0" applyNumberFormat="1" applyFont="1" applyFill="1" applyBorder="1" applyAlignment="1">
      <alignment horizontal="center" vertical="center"/>
    </xf>
    <xf numFmtId="210" fontId="66" fillId="2" borderId="512" xfId="0" applyNumberFormat="1" applyFont="1" applyFill="1" applyBorder="1" applyAlignment="1">
      <alignment horizontal="center" vertical="center"/>
    </xf>
    <xf numFmtId="208" fontId="66" fillId="2" borderId="25" xfId="2" applyNumberFormat="1" applyFont="1" applyFill="1" applyBorder="1" applyAlignment="1">
      <alignment horizontal="center" vertical="center"/>
    </xf>
    <xf numFmtId="208" fontId="140" fillId="34" borderId="901" xfId="2" applyNumberFormat="1" applyFont="1" applyFill="1" applyBorder="1" applyAlignment="1">
      <alignment horizontal="center" vertical="center"/>
    </xf>
    <xf numFmtId="208" fontId="140" fillId="34" borderId="0" xfId="2" applyNumberFormat="1" applyFont="1" applyFill="1" applyBorder="1" applyAlignment="1">
      <alignment horizontal="center" vertical="center"/>
    </xf>
    <xf numFmtId="209" fontId="66" fillId="2" borderId="25" xfId="2" applyNumberFormat="1" applyFont="1" applyFill="1" applyBorder="1" applyAlignment="1">
      <alignment horizontal="center" vertical="center"/>
    </xf>
    <xf numFmtId="189" fontId="66" fillId="2" borderId="534" xfId="0" applyNumberFormat="1" applyFont="1" applyFill="1" applyBorder="1" applyAlignment="1">
      <alignment horizontal="center" vertical="center"/>
    </xf>
    <xf numFmtId="0" fontId="66" fillId="3" borderId="406" xfId="0" applyFont="1" applyFill="1" applyBorder="1">
      <alignment vertical="center"/>
    </xf>
    <xf numFmtId="210" fontId="66" fillId="3" borderId="510" xfId="0" applyNumberFormat="1" applyFont="1" applyFill="1" applyBorder="1" applyAlignment="1">
      <alignment horizontal="center" vertical="center"/>
    </xf>
    <xf numFmtId="208" fontId="140" fillId="33" borderId="0" xfId="2" applyNumberFormat="1" applyFont="1" applyFill="1" applyBorder="1" applyAlignment="1">
      <alignment horizontal="center" vertical="center"/>
    </xf>
    <xf numFmtId="0" fontId="66" fillId="2" borderId="406" xfId="0" applyFont="1" applyFill="1" applyBorder="1">
      <alignment vertical="center"/>
    </xf>
    <xf numFmtId="210" fontId="66" fillId="2" borderId="0" xfId="0" applyNumberFormat="1" applyFont="1" applyFill="1" applyAlignment="1">
      <alignment horizontal="center" vertical="center"/>
    </xf>
    <xf numFmtId="210" fontId="66" fillId="2" borderId="510" xfId="0" applyNumberFormat="1" applyFont="1" applyFill="1" applyBorder="1" applyAlignment="1">
      <alignment horizontal="center" vertical="center"/>
    </xf>
    <xf numFmtId="208" fontId="66" fillId="2" borderId="0" xfId="2" applyNumberFormat="1" applyFont="1" applyFill="1" applyBorder="1" applyAlignment="1">
      <alignment horizontal="center" vertical="center"/>
    </xf>
    <xf numFmtId="209" fontId="66" fillId="2" borderId="0" xfId="2" applyNumberFormat="1" applyFont="1" applyFill="1" applyBorder="1" applyAlignment="1">
      <alignment horizontal="center" vertical="center"/>
    </xf>
    <xf numFmtId="189" fontId="66" fillId="2" borderId="406" xfId="0" applyNumberFormat="1" applyFont="1" applyFill="1" applyBorder="1" applyAlignment="1">
      <alignment horizontal="center" vertical="center"/>
    </xf>
    <xf numFmtId="0" fontId="74" fillId="0" borderId="485" xfId="0" applyFont="1" applyBorder="1">
      <alignment vertical="center"/>
    </xf>
    <xf numFmtId="210" fontId="66" fillId="0" borderId="0" xfId="0" applyNumberFormat="1" applyFont="1" applyBorder="1" applyAlignment="1">
      <alignment horizontal="center" vertical="center"/>
    </xf>
    <xf numFmtId="0" fontId="66" fillId="2" borderId="485" xfId="0" applyFont="1" applyFill="1" applyBorder="1">
      <alignment vertical="center"/>
    </xf>
    <xf numFmtId="0" fontId="66" fillId="3" borderId="485" xfId="0" applyFont="1" applyFill="1" applyBorder="1">
      <alignment vertical="center"/>
    </xf>
    <xf numFmtId="210" fontId="82" fillId="3" borderId="0" xfId="0" applyNumberFormat="1" applyFont="1" applyFill="1" applyAlignment="1">
      <alignment horizontal="center" vertical="center"/>
    </xf>
    <xf numFmtId="210" fontId="82" fillId="3" borderId="510" xfId="0" applyNumberFormat="1" applyFont="1" applyFill="1" applyBorder="1" applyAlignment="1">
      <alignment horizontal="center" vertical="center"/>
    </xf>
    <xf numFmtId="204" fontId="66" fillId="0" borderId="478" xfId="0" applyNumberFormat="1" applyFont="1" applyBorder="1">
      <alignment vertical="center"/>
    </xf>
    <xf numFmtId="0" fontId="74" fillId="2" borderId="479" xfId="0" applyFont="1" applyFill="1" applyBorder="1">
      <alignment vertical="center"/>
    </xf>
    <xf numFmtId="0" fontId="66" fillId="2" borderId="480" xfId="0" applyFont="1" applyFill="1" applyBorder="1">
      <alignment vertical="center"/>
    </xf>
    <xf numFmtId="210" fontId="82" fillId="2" borderId="479" xfId="0" applyNumberFormat="1" applyFont="1" applyFill="1" applyBorder="1" applyAlignment="1">
      <alignment horizontal="center" vertical="center"/>
    </xf>
    <xf numFmtId="210" fontId="82" fillId="2" borderId="516" xfId="0" applyNumberFormat="1" applyFont="1" applyFill="1" applyBorder="1" applyAlignment="1">
      <alignment horizontal="center" vertical="center"/>
    </xf>
    <xf numFmtId="208" fontId="66" fillId="2" borderId="479" xfId="2" applyNumberFormat="1" applyFont="1" applyFill="1" applyBorder="1" applyAlignment="1">
      <alignment horizontal="center" vertical="center"/>
    </xf>
    <xf numFmtId="209" fontId="66" fillId="2" borderId="479" xfId="2" applyNumberFormat="1" applyFont="1" applyFill="1" applyBorder="1" applyAlignment="1">
      <alignment horizontal="center" vertical="center"/>
    </xf>
    <xf numFmtId="193" fontId="66" fillId="29" borderId="479" xfId="0" applyNumberFormat="1" applyFont="1" applyFill="1" applyBorder="1" applyAlignment="1">
      <alignment horizontal="center" vertical="center"/>
    </xf>
    <xf numFmtId="187" fontId="66" fillId="29" borderId="536" xfId="3" applyNumberFormat="1" applyFont="1" applyFill="1" applyBorder="1" applyAlignment="1">
      <alignment horizontal="center" vertical="center"/>
    </xf>
    <xf numFmtId="189" fontId="66" fillId="2" borderId="537" xfId="0" applyNumberFormat="1" applyFont="1" applyFill="1" applyBorder="1" applyAlignment="1">
      <alignment horizontal="center" vertical="center"/>
    </xf>
    <xf numFmtId="189" fontId="66" fillId="2" borderId="480" xfId="0" applyNumberFormat="1" applyFont="1" applyFill="1" applyBorder="1" applyAlignment="1">
      <alignment horizontal="center" vertical="center"/>
    </xf>
    <xf numFmtId="0" fontId="144" fillId="0" borderId="0" xfId="0" applyFont="1">
      <alignment vertical="center"/>
    </xf>
    <xf numFmtId="0" fontId="145" fillId="0" borderId="0" xfId="0" applyFont="1">
      <alignment vertical="center"/>
    </xf>
    <xf numFmtId="41" fontId="145" fillId="0" borderId="0" xfId="2" applyFont="1">
      <alignment vertical="center"/>
    </xf>
    <xf numFmtId="202" fontId="145" fillId="0" borderId="0" xfId="2" applyNumberFormat="1" applyFont="1">
      <alignment vertical="center"/>
    </xf>
    <xf numFmtId="202" fontId="145" fillId="0" borderId="0" xfId="0" applyNumberFormat="1" applyFont="1">
      <alignment vertical="center"/>
    </xf>
    <xf numFmtId="202" fontId="146" fillId="0" borderId="0" xfId="0" applyNumberFormat="1" applyFont="1">
      <alignment vertical="center"/>
    </xf>
    <xf numFmtId="0" fontId="147" fillId="0" borderId="0" xfId="0" applyFont="1">
      <alignment vertical="center"/>
    </xf>
    <xf numFmtId="202" fontId="147" fillId="0" borderId="0" xfId="0" applyNumberFormat="1" applyFont="1">
      <alignment vertical="center"/>
    </xf>
    <xf numFmtId="9" fontId="147" fillId="0" borderId="0" xfId="3" applyFont="1">
      <alignment vertical="center"/>
    </xf>
    <xf numFmtId="0" fontId="145" fillId="0" borderId="884" xfId="0" applyFont="1" applyBorder="1">
      <alignment vertical="center"/>
    </xf>
    <xf numFmtId="185" fontId="144" fillId="18" borderId="0" xfId="0" applyNumberFormat="1" applyFont="1" applyFill="1" applyAlignment="1">
      <alignment horizontal="center" vertical="center"/>
    </xf>
    <xf numFmtId="0" fontId="150" fillId="5" borderId="0" xfId="0" applyFont="1" applyFill="1">
      <alignment vertical="center"/>
    </xf>
    <xf numFmtId="0" fontId="147" fillId="5" borderId="0" xfId="0" applyFont="1" applyFill="1">
      <alignment vertical="center"/>
    </xf>
    <xf numFmtId="178" fontId="0" fillId="18" borderId="0" xfId="0" applyNumberFormat="1" applyFill="1">
      <alignment vertical="center"/>
    </xf>
    <xf numFmtId="178" fontId="32" fillId="57" borderId="0" xfId="0" applyNumberFormat="1" applyFont="1" applyFill="1">
      <alignment vertical="center"/>
    </xf>
    <xf numFmtId="195" fontId="86" fillId="0" borderId="0" xfId="2" applyNumberFormat="1" applyFont="1">
      <alignment vertical="center"/>
    </xf>
    <xf numFmtId="250" fontId="66" fillId="3" borderId="0" xfId="2" applyNumberFormat="1" applyFont="1" applyFill="1" applyBorder="1" applyAlignment="1">
      <alignment horizontal="right" vertical="center"/>
    </xf>
    <xf numFmtId="250" fontId="66" fillId="18" borderId="0" xfId="2" applyNumberFormat="1" applyFont="1" applyFill="1" applyBorder="1" applyAlignment="1">
      <alignment horizontal="right" vertical="center"/>
    </xf>
    <xf numFmtId="250" fontId="66" fillId="3" borderId="0" xfId="2" applyNumberFormat="1" applyFont="1" applyFill="1" applyAlignment="1">
      <alignment horizontal="right" vertical="center"/>
    </xf>
    <xf numFmtId="0" fontId="151" fillId="3" borderId="0" xfId="0" applyFont="1" applyFill="1">
      <alignment vertical="center"/>
    </xf>
    <xf numFmtId="234" fontId="55" fillId="57" borderId="1076" xfId="0" applyNumberFormat="1" applyFont="1" applyFill="1" applyBorder="1" applyAlignment="1">
      <alignment horizontal="center" vertical="center"/>
    </xf>
    <xf numFmtId="234" fontId="34" fillId="18" borderId="0" xfId="0" applyNumberFormat="1" applyFont="1" applyFill="1" applyAlignment="1">
      <alignment horizontal="center" vertical="center"/>
    </xf>
    <xf numFmtId="235" fontId="56" fillId="57" borderId="1078" xfId="0" applyNumberFormat="1" applyFont="1" applyFill="1" applyBorder="1" applyAlignment="1">
      <alignment horizontal="center" vertical="center"/>
    </xf>
    <xf numFmtId="235" fontId="50" fillId="18" borderId="1041" xfId="0" applyNumberFormat="1" applyFont="1" applyFill="1" applyBorder="1" applyAlignment="1">
      <alignment horizontal="center" vertical="center"/>
    </xf>
    <xf numFmtId="237" fontId="33" fillId="57" borderId="1076" xfId="0" applyNumberFormat="1" applyFont="1" applyFill="1" applyBorder="1" applyAlignment="1">
      <alignment horizontal="center" vertical="center"/>
    </xf>
    <xf numFmtId="237" fontId="30" fillId="18" borderId="0" xfId="0" applyNumberFormat="1" applyFont="1" applyFill="1" applyAlignment="1">
      <alignment horizontal="center" vertical="center"/>
    </xf>
    <xf numFmtId="235" fontId="56" fillId="57" borderId="1076" xfId="0" applyNumberFormat="1" applyFont="1" applyFill="1" applyBorder="1" applyAlignment="1">
      <alignment horizontal="center" vertical="center"/>
    </xf>
    <xf numFmtId="235" fontId="50" fillId="18" borderId="0" xfId="0" applyNumberFormat="1" applyFont="1" applyFill="1" applyAlignment="1">
      <alignment horizontal="center" vertical="center"/>
    </xf>
    <xf numFmtId="237" fontId="33" fillId="57" borderId="1079" xfId="0" applyNumberFormat="1" applyFont="1" applyFill="1" applyBorder="1" applyAlignment="1">
      <alignment horizontal="center" vertical="center"/>
    </xf>
    <xf numFmtId="237" fontId="30" fillId="18" borderId="1056" xfId="0" applyNumberFormat="1" applyFont="1" applyFill="1" applyBorder="1" applyAlignment="1">
      <alignment horizontal="center" vertical="center"/>
    </xf>
    <xf numFmtId="237" fontId="33" fillId="18" borderId="1076" xfId="0" applyNumberFormat="1" applyFont="1" applyFill="1" applyBorder="1" applyAlignment="1">
      <alignment horizontal="center" vertical="center"/>
    </xf>
    <xf numFmtId="235" fontId="58" fillId="18" borderId="1080" xfId="0" applyNumberFormat="1" applyFont="1" applyFill="1" applyBorder="1" applyAlignment="1">
      <alignment horizontal="center" vertical="center"/>
    </xf>
    <xf numFmtId="235" fontId="50" fillId="18" borderId="1205" xfId="0" applyNumberFormat="1" applyFont="1" applyFill="1" applyBorder="1" applyAlignment="1">
      <alignment horizontal="center" vertical="center"/>
    </xf>
    <xf numFmtId="237" fontId="30" fillId="18" borderId="1048" xfId="0" applyNumberFormat="1" applyFont="1" applyFill="1" applyBorder="1" applyAlignment="1">
      <alignment horizontal="center" vertical="center"/>
    </xf>
    <xf numFmtId="235" fontId="30" fillId="18" borderId="1048" xfId="0" applyNumberFormat="1" applyFont="1" applyFill="1" applyBorder="1" applyAlignment="1">
      <alignment horizontal="center" vertical="center"/>
    </xf>
    <xf numFmtId="235" fontId="58" fillId="18" borderId="1076" xfId="0" applyNumberFormat="1" applyFont="1" applyFill="1" applyBorder="1" applyAlignment="1">
      <alignment horizontal="center" vertical="center"/>
    </xf>
    <xf numFmtId="235" fontId="56" fillId="57" borderId="1081" xfId="0" applyNumberFormat="1" applyFont="1" applyFill="1" applyBorder="1" applyAlignment="1">
      <alignment horizontal="center" vertical="center"/>
    </xf>
    <xf numFmtId="235" fontId="50" fillId="18" borderId="518" xfId="0" applyNumberFormat="1" applyFont="1" applyFill="1" applyBorder="1" applyAlignment="1">
      <alignment horizontal="center" vertical="center"/>
    </xf>
    <xf numFmtId="178" fontId="44" fillId="0" borderId="0" xfId="0" quotePrefix="1" applyNumberFormat="1" applyFont="1">
      <alignment vertical="center"/>
    </xf>
    <xf numFmtId="0" fontId="0" fillId="18" borderId="0" xfId="0" applyFill="1">
      <alignment vertical="center"/>
    </xf>
    <xf numFmtId="178" fontId="44" fillId="18" borderId="0" xfId="0" quotePrefix="1" applyNumberFormat="1" applyFont="1" applyFill="1">
      <alignment vertical="center"/>
    </xf>
    <xf numFmtId="0" fontId="8" fillId="0" borderId="0" xfId="0" applyFont="1" applyAlignment="1">
      <alignment horizontal="center" vertical="center"/>
    </xf>
    <xf numFmtId="0" fontId="152" fillId="5" borderId="0" xfId="0" applyFont="1" applyFill="1">
      <alignment vertical="center"/>
    </xf>
    <xf numFmtId="202" fontId="152" fillId="5" borderId="0" xfId="0" applyNumberFormat="1" applyFont="1" applyFill="1">
      <alignment vertical="center"/>
    </xf>
    <xf numFmtId="9" fontId="152" fillId="5" borderId="0" xfId="3" applyFont="1" applyFill="1">
      <alignment vertical="center"/>
    </xf>
    <xf numFmtId="0" fontId="161" fillId="5" borderId="0" xfId="0" applyFont="1" applyFill="1" applyAlignment="1">
      <alignment horizontal="left" vertical="center"/>
    </xf>
    <xf numFmtId="0" fontId="162" fillId="5" borderId="0" xfId="0" applyFont="1" applyFill="1" applyAlignment="1">
      <alignment vertical="top"/>
    </xf>
    <xf numFmtId="0" fontId="162" fillId="5" borderId="0" xfId="0" applyFont="1" applyFill="1">
      <alignment vertical="center"/>
    </xf>
    <xf numFmtId="0" fontId="162" fillId="6" borderId="934" xfId="0" applyFont="1" applyFill="1" applyBorder="1">
      <alignment vertical="center"/>
    </xf>
    <xf numFmtId="0" fontId="47" fillId="5" borderId="0" xfId="0" applyFont="1" applyFill="1" applyAlignment="1">
      <alignment horizontal="center" vertical="center"/>
    </xf>
    <xf numFmtId="0" fontId="66" fillId="5" borderId="956" xfId="0" applyFont="1" applyFill="1" applyBorder="1" applyAlignment="1">
      <alignment horizontal="center" vertical="center"/>
    </xf>
    <xf numFmtId="0" fontId="159" fillId="5" borderId="956" xfId="10" applyFont="1" applyFill="1" applyBorder="1" applyAlignment="1">
      <alignment horizontal="center" vertical="center"/>
    </xf>
    <xf numFmtId="0" fontId="159" fillId="5" borderId="957" xfId="1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6" fillId="5" borderId="945" xfId="0" applyFont="1" applyFill="1" applyBorder="1" applyAlignment="1">
      <alignment horizontal="center" vertical="center" wrapText="1"/>
    </xf>
    <xf numFmtId="0" fontId="156" fillId="5" borderId="946" xfId="0" applyFont="1" applyFill="1" applyBorder="1" applyAlignment="1">
      <alignment horizontal="center" vertical="center" wrapText="1"/>
    </xf>
    <xf numFmtId="0" fontId="156" fillId="5" borderId="940" xfId="0" applyFont="1" applyFill="1" applyBorder="1" applyAlignment="1">
      <alignment horizontal="center" vertical="center" wrapText="1"/>
    </xf>
    <xf numFmtId="0" fontId="156" fillId="5" borderId="941" xfId="0" applyFont="1" applyFill="1" applyBorder="1" applyAlignment="1">
      <alignment horizontal="center" vertical="center" wrapText="1"/>
    </xf>
    <xf numFmtId="0" fontId="66" fillId="5" borderId="0" xfId="0" applyFont="1" applyFill="1" applyAlignment="1">
      <alignment horizontal="center" vertical="center"/>
    </xf>
    <xf numFmtId="0" fontId="66" fillId="5" borderId="941" xfId="0" applyFont="1" applyFill="1" applyBorder="1" applyAlignment="1">
      <alignment horizontal="center" vertical="center"/>
    </xf>
    <xf numFmtId="0" fontId="159" fillId="5" borderId="0" xfId="10" applyFont="1" applyFill="1" applyAlignment="1">
      <alignment horizontal="center" vertical="center"/>
    </xf>
    <xf numFmtId="0" fontId="159" fillId="5" borderId="338" xfId="10" applyFont="1" applyFill="1" applyBorder="1" applyAlignment="1">
      <alignment horizontal="center" vertical="center"/>
    </xf>
    <xf numFmtId="0" fontId="159" fillId="5" borderId="941" xfId="10" applyFont="1" applyFill="1" applyBorder="1" applyAlignment="1">
      <alignment horizontal="center" vertical="center"/>
    </xf>
    <xf numFmtId="0" fontId="159" fillId="5" borderId="942" xfId="10" applyFont="1" applyFill="1" applyBorder="1" applyAlignment="1">
      <alignment horizontal="center" vertical="center"/>
    </xf>
    <xf numFmtId="0" fontId="156" fillId="5" borderId="940" xfId="0" applyFont="1" applyFill="1" applyBorder="1" applyAlignment="1">
      <alignment horizontal="left" vertical="center" wrapText="1"/>
    </xf>
    <xf numFmtId="0" fontId="156" fillId="5" borderId="941" xfId="0" applyFont="1" applyFill="1" applyBorder="1" applyAlignment="1">
      <alignment horizontal="left" vertical="center" wrapText="1"/>
    </xf>
    <xf numFmtId="0" fontId="156" fillId="5" borderId="939" xfId="0" applyFont="1" applyFill="1" applyBorder="1" applyAlignment="1">
      <alignment horizontal="left" vertical="center" wrapText="1"/>
    </xf>
    <xf numFmtId="0" fontId="154" fillId="5" borderId="953" xfId="0" applyFont="1" applyFill="1" applyBorder="1" applyAlignment="1">
      <alignment horizontal="center" vertical="center"/>
    </xf>
    <xf numFmtId="0" fontId="154" fillId="5" borderId="954" xfId="0" applyFont="1" applyFill="1" applyBorder="1" applyAlignment="1">
      <alignment horizontal="center" vertical="center"/>
    </xf>
    <xf numFmtId="0" fontId="155" fillId="5" borderId="955" xfId="10" applyFont="1" applyFill="1" applyBorder="1" applyAlignment="1">
      <alignment horizontal="center" vertical="center"/>
    </xf>
    <xf numFmtId="0" fontId="155" fillId="5" borderId="956" xfId="10" applyFont="1" applyFill="1" applyBorder="1" applyAlignment="1">
      <alignment horizontal="center" vertical="center"/>
    </xf>
    <xf numFmtId="0" fontId="155" fillId="5" borderId="954" xfId="10" applyFont="1" applyFill="1" applyBorder="1" applyAlignment="1">
      <alignment horizontal="center" vertical="center"/>
    </xf>
    <xf numFmtId="0" fontId="156" fillId="5" borderId="955" xfId="0" applyFont="1" applyFill="1" applyBorder="1" applyAlignment="1">
      <alignment horizontal="left" vertical="center" wrapText="1"/>
    </xf>
    <xf numFmtId="0" fontId="156" fillId="5" borderId="956" xfId="0" applyFont="1" applyFill="1" applyBorder="1" applyAlignment="1">
      <alignment horizontal="left" vertical="center" wrapText="1"/>
    </xf>
    <xf numFmtId="0" fontId="156" fillId="5" borderId="954" xfId="0" applyFont="1" applyFill="1" applyBorder="1" applyAlignment="1">
      <alignment horizontal="left" vertical="center" wrapText="1"/>
    </xf>
    <xf numFmtId="0" fontId="156" fillId="5" borderId="955" xfId="0" applyFont="1" applyFill="1" applyBorder="1" applyAlignment="1">
      <alignment horizontal="center" vertical="center" wrapText="1"/>
    </xf>
    <xf numFmtId="0" fontId="154" fillId="5" borderId="943" xfId="0" applyFont="1" applyFill="1" applyBorder="1" applyAlignment="1">
      <alignment horizontal="center" vertical="center"/>
    </xf>
    <xf numFmtId="0" fontId="154" fillId="5" borderId="944" xfId="0" applyFont="1" applyFill="1" applyBorder="1" applyAlignment="1">
      <alignment horizontal="center" vertical="center"/>
    </xf>
    <xf numFmtId="0" fontId="154" fillId="5" borderId="938" xfId="0" applyFont="1" applyFill="1" applyBorder="1" applyAlignment="1">
      <alignment horizontal="center" vertical="center"/>
    </xf>
    <xf numFmtId="0" fontId="154" fillId="5" borderId="939" xfId="0" applyFont="1" applyFill="1" applyBorder="1" applyAlignment="1">
      <alignment horizontal="center" vertical="center"/>
    </xf>
    <xf numFmtId="0" fontId="155" fillId="5" borderId="945" xfId="10" applyFont="1" applyFill="1" applyBorder="1" applyAlignment="1">
      <alignment horizontal="center" vertical="center"/>
    </xf>
    <xf numFmtId="0" fontId="155" fillId="5" borderId="946" xfId="10" applyFont="1" applyFill="1" applyBorder="1" applyAlignment="1">
      <alignment horizontal="center" vertical="center"/>
    </xf>
    <xf numFmtId="0" fontId="155" fillId="5" borderId="944" xfId="10" applyFont="1" applyFill="1" applyBorder="1" applyAlignment="1">
      <alignment horizontal="center" vertical="center"/>
    </xf>
    <xf numFmtId="0" fontId="155" fillId="5" borderId="940" xfId="10" applyFont="1" applyFill="1" applyBorder="1" applyAlignment="1">
      <alignment horizontal="center" vertical="center"/>
    </xf>
    <xf numFmtId="0" fontId="155" fillId="5" borderId="941" xfId="10" applyFont="1" applyFill="1" applyBorder="1" applyAlignment="1">
      <alignment horizontal="center" vertical="center"/>
    </xf>
    <xf numFmtId="0" fontId="155" fillId="5" borderId="939" xfId="10" applyFont="1" applyFill="1" applyBorder="1" applyAlignment="1">
      <alignment horizontal="center" vertical="center"/>
    </xf>
    <xf numFmtId="0" fontId="156" fillId="5" borderId="945" xfId="0" applyFont="1" applyFill="1" applyBorder="1" applyAlignment="1">
      <alignment horizontal="left" vertical="center" wrapText="1"/>
    </xf>
    <xf numFmtId="0" fontId="156" fillId="5" borderId="946" xfId="0" applyFont="1" applyFill="1" applyBorder="1" applyAlignment="1">
      <alignment horizontal="left" vertical="center" wrapText="1"/>
    </xf>
    <xf numFmtId="0" fontId="156" fillId="5" borderId="944" xfId="0" applyFont="1" applyFill="1" applyBorder="1" applyAlignment="1">
      <alignment horizontal="left" vertical="center" wrapText="1"/>
    </xf>
    <xf numFmtId="0" fontId="66" fillId="5" borderId="946" xfId="0" applyFont="1" applyFill="1" applyBorder="1" applyAlignment="1">
      <alignment horizontal="center" vertical="center" wrapText="1"/>
    </xf>
    <xf numFmtId="0" fontId="66" fillId="5" borderId="946" xfId="0" applyFont="1" applyFill="1" applyBorder="1" applyAlignment="1">
      <alignment horizontal="center" vertical="center"/>
    </xf>
    <xf numFmtId="0" fontId="66" fillId="5" borderId="951" xfId="0" applyFont="1" applyFill="1" applyBorder="1" applyAlignment="1">
      <alignment horizontal="center" vertical="center"/>
    </xf>
    <xf numFmtId="0" fontId="159" fillId="5" borderId="951" xfId="10" applyFont="1" applyFill="1" applyBorder="1" applyAlignment="1">
      <alignment horizontal="center" vertical="center"/>
    </xf>
    <xf numFmtId="0" fontId="159" fillId="5" borderId="952" xfId="10" applyFont="1" applyFill="1" applyBorder="1" applyAlignment="1">
      <alignment horizontal="center" vertical="center"/>
    </xf>
    <xf numFmtId="0" fontId="154" fillId="5" borderId="948" xfId="0" applyFont="1" applyFill="1" applyBorder="1" applyAlignment="1">
      <alignment horizontal="center" vertical="center"/>
    </xf>
    <xf numFmtId="0" fontId="154" fillId="5" borderId="949" xfId="0" applyFont="1" applyFill="1" applyBorder="1" applyAlignment="1">
      <alignment horizontal="center" vertical="center"/>
    </xf>
    <xf numFmtId="0" fontId="155" fillId="5" borderId="950" xfId="10" applyFont="1" applyFill="1" applyBorder="1" applyAlignment="1">
      <alignment horizontal="center" vertical="center"/>
    </xf>
    <xf numFmtId="0" fontId="155" fillId="5" borderId="951" xfId="10" applyFont="1" applyFill="1" applyBorder="1" applyAlignment="1">
      <alignment horizontal="center" vertical="center"/>
    </xf>
    <xf numFmtId="0" fontId="155" fillId="5" borderId="949" xfId="10" applyFont="1" applyFill="1" applyBorder="1" applyAlignment="1">
      <alignment horizontal="center" vertical="center"/>
    </xf>
    <xf numFmtId="0" fontId="156" fillId="5" borderId="950" xfId="0" applyFont="1" applyFill="1" applyBorder="1" applyAlignment="1">
      <alignment horizontal="left" vertical="center" wrapText="1"/>
    </xf>
    <xf numFmtId="0" fontId="156" fillId="5" borderId="951" xfId="0" applyFont="1" applyFill="1" applyBorder="1" applyAlignment="1">
      <alignment horizontal="left" vertical="center" wrapText="1"/>
    </xf>
    <xf numFmtId="0" fontId="156" fillId="5" borderId="949" xfId="0" applyFont="1" applyFill="1" applyBorder="1" applyAlignment="1">
      <alignment horizontal="left" vertical="center" wrapText="1"/>
    </xf>
    <xf numFmtId="0" fontId="156" fillId="5" borderId="950" xfId="0" applyFont="1" applyFill="1" applyBorder="1" applyAlignment="1">
      <alignment horizontal="center" vertical="center" wrapText="1"/>
    </xf>
    <xf numFmtId="0" fontId="156" fillId="5" borderId="951" xfId="0" applyFont="1" applyFill="1" applyBorder="1" applyAlignment="1">
      <alignment horizontal="center" vertical="center"/>
    </xf>
    <xf numFmtId="0" fontId="156" fillId="5" borderId="937" xfId="0" applyFont="1" applyFill="1" applyBorder="1" applyAlignment="1">
      <alignment horizontal="left" vertical="center" wrapText="1"/>
    </xf>
    <xf numFmtId="0" fontId="156" fillId="5" borderId="0" xfId="0" applyFont="1" applyFill="1" applyAlignment="1">
      <alignment horizontal="left" vertical="center" wrapText="1"/>
    </xf>
    <xf numFmtId="0" fontId="156" fillId="5" borderId="936" xfId="0" applyFont="1" applyFill="1" applyBorder="1" applyAlignment="1">
      <alignment horizontal="left" vertical="center" wrapText="1"/>
    </xf>
    <xf numFmtId="0" fontId="159" fillId="5" borderId="946" xfId="10" applyFont="1" applyFill="1" applyBorder="1" applyAlignment="1">
      <alignment horizontal="center" vertical="center"/>
    </xf>
    <xf numFmtId="0" fontId="159" fillId="5" borderId="947" xfId="10" applyFont="1" applyFill="1" applyBorder="1" applyAlignment="1">
      <alignment horizontal="center" vertical="center"/>
    </xf>
    <xf numFmtId="0" fontId="152" fillId="5" borderId="884" xfId="0" quotePrefix="1" applyFont="1" applyFill="1" applyBorder="1" applyAlignment="1">
      <alignment horizontal="center" vertical="center"/>
    </xf>
    <xf numFmtId="0" fontId="152" fillId="5" borderId="884" xfId="0" applyFont="1" applyFill="1" applyBorder="1" applyAlignment="1">
      <alignment horizontal="center" vertical="center"/>
    </xf>
    <xf numFmtId="0" fontId="153" fillId="5" borderId="0" xfId="0" applyFont="1" applyFill="1" applyAlignment="1">
      <alignment horizontal="center" vertical="center"/>
    </xf>
    <xf numFmtId="0" fontId="162" fillId="6" borderId="931" xfId="0" applyFont="1" applyFill="1" applyBorder="1" applyAlignment="1">
      <alignment horizontal="center" vertical="center"/>
    </xf>
    <xf numFmtId="0" fontId="162" fillId="6" borderId="932" xfId="0" applyFont="1" applyFill="1" applyBorder="1" applyAlignment="1">
      <alignment horizontal="center" vertical="center"/>
    </xf>
    <xf numFmtId="0" fontId="162" fillId="6" borderId="933" xfId="0" applyFont="1" applyFill="1" applyBorder="1" applyAlignment="1">
      <alignment horizontal="center" vertical="center"/>
    </xf>
    <xf numFmtId="0" fontId="162" fillId="6" borderId="934" xfId="0" applyFont="1" applyFill="1" applyBorder="1" applyAlignment="1">
      <alignment horizontal="center" vertical="center"/>
    </xf>
    <xf numFmtId="0" fontId="163" fillId="6" borderId="934" xfId="0" applyFont="1" applyFill="1" applyBorder="1" applyAlignment="1">
      <alignment horizontal="center" vertical="center"/>
    </xf>
    <xf numFmtId="0" fontId="163" fillId="6" borderId="935" xfId="0" applyFont="1" applyFill="1" applyBorder="1" applyAlignment="1">
      <alignment horizontal="center" vertical="center"/>
    </xf>
    <xf numFmtId="0" fontId="154" fillId="5" borderId="329" xfId="0" applyFont="1" applyFill="1" applyBorder="1" applyAlignment="1">
      <alignment horizontal="center" vertical="center"/>
    </xf>
    <xf numFmtId="0" fontId="154" fillId="5" borderId="936" xfId="0" applyFont="1" applyFill="1" applyBorder="1" applyAlignment="1">
      <alignment horizontal="center" vertical="center"/>
    </xf>
    <xf numFmtId="0" fontId="155" fillId="5" borderId="0" xfId="10" applyFont="1" applyFill="1" applyBorder="1" applyAlignment="1">
      <alignment horizontal="center" vertical="center"/>
    </xf>
    <xf numFmtId="0" fontId="155" fillId="5" borderId="936" xfId="10" applyFont="1" applyFill="1" applyBorder="1" applyAlignment="1">
      <alignment horizontal="center" vertical="center"/>
    </xf>
    <xf numFmtId="0" fontId="156" fillId="5" borderId="0" xfId="0" applyFont="1" applyFill="1" applyAlignment="1">
      <alignment horizontal="center" vertical="center" wrapText="1"/>
    </xf>
    <xf numFmtId="0" fontId="74" fillId="4" borderId="775" xfId="0" applyFont="1" applyFill="1" applyBorder="1" applyAlignment="1">
      <alignment horizontal="center" vertical="center"/>
    </xf>
    <xf numFmtId="0" fontId="74" fillId="4" borderId="384" xfId="0" applyFont="1" applyFill="1" applyBorder="1" applyAlignment="1">
      <alignment horizontal="center" vertical="center"/>
    </xf>
    <xf numFmtId="0" fontId="74" fillId="4" borderId="776" xfId="0" applyFont="1" applyFill="1" applyBorder="1" applyAlignment="1">
      <alignment horizontal="center" vertical="center"/>
    </xf>
    <xf numFmtId="0" fontId="148" fillId="39" borderId="0" xfId="0" applyFont="1" applyFill="1" applyAlignment="1">
      <alignment horizontal="center" vertical="center"/>
    </xf>
    <xf numFmtId="0" fontId="70" fillId="39" borderId="0" xfId="0" applyFont="1" applyFill="1" applyAlignment="1">
      <alignment horizontal="center" vertical="center"/>
    </xf>
    <xf numFmtId="0" fontId="67" fillId="6" borderId="740" xfId="0" applyFont="1" applyFill="1" applyBorder="1" applyAlignment="1">
      <alignment horizontal="center" vertical="center"/>
    </xf>
    <xf numFmtId="0" fontId="67" fillId="6" borderId="741" xfId="0" applyFont="1" applyFill="1" applyBorder="1" applyAlignment="1">
      <alignment horizontal="center" vertical="center"/>
    </xf>
    <xf numFmtId="0" fontId="67" fillId="6" borderId="744" xfId="0" applyFont="1" applyFill="1" applyBorder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74" fillId="3" borderId="546" xfId="0" applyFont="1" applyFill="1" applyBorder="1" applyAlignment="1">
      <alignment horizontal="center" vertical="center"/>
    </xf>
    <xf numFmtId="0" fontId="147" fillId="5" borderId="884" xfId="0" applyFont="1" applyFill="1" applyBorder="1" applyAlignment="1">
      <alignment horizontal="center" vertical="center"/>
    </xf>
    <xf numFmtId="0" fontId="67" fillId="4" borderId="472" xfId="0" quotePrefix="1" applyFont="1" applyFill="1" applyBorder="1" applyAlignment="1">
      <alignment horizontal="center" vertical="center"/>
    </xf>
    <xf numFmtId="0" fontId="67" fillId="4" borderId="465" xfId="0" quotePrefix="1" applyFont="1" applyFill="1" applyBorder="1" applyAlignment="1">
      <alignment horizontal="center" vertical="center"/>
    </xf>
    <xf numFmtId="0" fontId="74" fillId="4" borderId="474" xfId="0" applyFont="1" applyFill="1" applyBorder="1" applyAlignment="1">
      <alignment horizontal="center" vertical="center"/>
    </xf>
    <xf numFmtId="0" fontId="74" fillId="4" borderId="475" xfId="0" applyFont="1" applyFill="1" applyBorder="1" applyAlignment="1">
      <alignment horizontal="center" vertical="center"/>
    </xf>
    <xf numFmtId="0" fontId="74" fillId="4" borderId="476" xfId="0" applyFont="1" applyFill="1" applyBorder="1" applyAlignment="1">
      <alignment horizontal="center" vertical="center"/>
    </xf>
    <xf numFmtId="210" fontId="71" fillId="36" borderId="0" xfId="0" applyNumberFormat="1" applyFont="1" applyFill="1" applyAlignment="1">
      <alignment horizontal="center" vertical="center"/>
    </xf>
    <xf numFmtId="210" fontId="71" fillId="36" borderId="406" xfId="0" applyNumberFormat="1" applyFont="1" applyFill="1" applyBorder="1" applyAlignment="1">
      <alignment horizontal="center" vertical="center"/>
    </xf>
    <xf numFmtId="0" fontId="67" fillId="6" borderId="7" xfId="0" applyFont="1" applyFill="1" applyBorder="1" applyAlignment="1">
      <alignment horizontal="center" vertical="center"/>
    </xf>
    <xf numFmtId="0" fontId="67" fillId="6" borderId="14" xfId="0" applyFont="1" applyFill="1" applyBorder="1" applyAlignment="1">
      <alignment horizontal="center" vertical="center"/>
    </xf>
    <xf numFmtId="0" fontId="67" fillId="6" borderId="8" xfId="0" applyFont="1" applyFill="1" applyBorder="1" applyAlignment="1">
      <alignment horizontal="center" vertical="center"/>
    </xf>
    <xf numFmtId="210" fontId="71" fillId="32" borderId="485" xfId="0" applyNumberFormat="1" applyFont="1" applyFill="1" applyBorder="1" applyAlignment="1">
      <alignment horizontal="center" vertical="center"/>
    </xf>
    <xf numFmtId="210" fontId="71" fillId="32" borderId="0" xfId="0" applyNumberFormat="1" applyFont="1" applyFill="1" applyAlignment="1">
      <alignment horizontal="center" vertical="center"/>
    </xf>
    <xf numFmtId="210" fontId="71" fillId="32" borderId="406" xfId="0" applyNumberFormat="1" applyFont="1" applyFill="1" applyBorder="1" applyAlignment="1">
      <alignment horizontal="center" vertical="center"/>
    </xf>
    <xf numFmtId="0" fontId="67" fillId="4" borderId="14" xfId="0" applyFont="1" applyFill="1" applyBorder="1" applyAlignment="1">
      <alignment horizontal="center" vertical="center"/>
    </xf>
    <xf numFmtId="0" fontId="137" fillId="5" borderId="19" xfId="0" applyFont="1" applyFill="1" applyBorder="1" applyAlignment="1">
      <alignment horizontal="left" vertical="center"/>
    </xf>
    <xf numFmtId="0" fontId="137" fillId="5" borderId="653" xfId="0" applyFont="1" applyFill="1" applyBorder="1" applyAlignment="1">
      <alignment horizontal="left" vertical="center"/>
    </xf>
    <xf numFmtId="0" fontId="9" fillId="11" borderId="223" xfId="0" applyFont="1" applyFill="1" applyBorder="1" applyAlignment="1">
      <alignment horizontal="center" vertical="center" wrapText="1"/>
    </xf>
    <xf numFmtId="0" fontId="9" fillId="11" borderId="208" xfId="0" applyFont="1" applyFill="1" applyBorder="1" applyAlignment="1">
      <alignment horizontal="center" vertical="center"/>
    </xf>
    <xf numFmtId="0" fontId="9" fillId="0" borderId="207" xfId="0" applyFont="1" applyBorder="1" applyAlignment="1">
      <alignment horizontal="center" vertical="center" wrapText="1"/>
    </xf>
    <xf numFmtId="0" fontId="9" fillId="0" borderId="208" xfId="0" applyFont="1" applyBorder="1" applyAlignment="1">
      <alignment horizontal="center" vertical="center"/>
    </xf>
    <xf numFmtId="0" fontId="9" fillId="0" borderId="209" xfId="0" applyFont="1" applyBorder="1" applyAlignment="1">
      <alignment horizontal="center" vertical="center"/>
    </xf>
    <xf numFmtId="0" fontId="9" fillId="12" borderId="207" xfId="0" applyFont="1" applyFill="1" applyBorder="1" applyAlignment="1">
      <alignment horizontal="center" vertical="center" wrapText="1"/>
    </xf>
    <xf numFmtId="0" fontId="9" fillId="12" borderId="208" xfId="0" applyFont="1" applyFill="1" applyBorder="1" applyAlignment="1">
      <alignment horizontal="center" vertical="center"/>
    </xf>
    <xf numFmtId="0" fontId="9" fillId="12" borderId="2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9" fillId="0" borderId="208" xfId="0" applyFont="1" applyBorder="1" applyAlignment="1">
      <alignment horizontal="center" vertical="center" wrapText="1"/>
    </xf>
    <xf numFmtId="0" fontId="9" fillId="0" borderId="210" xfId="0" applyFont="1" applyBorder="1" applyAlignment="1">
      <alignment horizontal="center" vertical="center"/>
    </xf>
    <xf numFmtId="0" fontId="69" fillId="5" borderId="884" xfId="0" applyFont="1" applyFill="1" applyBorder="1" applyAlignment="1">
      <alignment horizontal="center" vertical="center"/>
    </xf>
    <xf numFmtId="0" fontId="74" fillId="0" borderId="833" xfId="0" applyFont="1" applyFill="1" applyBorder="1" applyAlignment="1">
      <alignment horizontal="center" vertical="center" wrapText="1"/>
    </xf>
    <xf numFmtId="0" fontId="74" fillId="0" borderId="831" xfId="0" applyFont="1" applyFill="1" applyBorder="1" applyAlignment="1">
      <alignment horizontal="center" vertical="center"/>
    </xf>
    <xf numFmtId="0" fontId="74" fillId="0" borderId="837" xfId="0" applyFont="1" applyFill="1" applyBorder="1" applyAlignment="1">
      <alignment horizontal="center" vertical="center"/>
    </xf>
    <xf numFmtId="0" fontId="74" fillId="9" borderId="853" xfId="0" applyFont="1" applyFill="1" applyBorder="1" applyAlignment="1">
      <alignment horizontal="center" vertical="center" wrapText="1"/>
    </xf>
    <xf numFmtId="0" fontId="74" fillId="9" borderId="854" xfId="0" applyFont="1" applyFill="1" applyBorder="1" applyAlignment="1">
      <alignment horizontal="center" vertical="center" wrapText="1"/>
    </xf>
    <xf numFmtId="0" fontId="67" fillId="6" borderId="692" xfId="0" applyFont="1" applyFill="1" applyBorder="1" applyAlignment="1">
      <alignment horizontal="center" vertical="center"/>
    </xf>
    <xf numFmtId="0" fontId="74" fillId="11" borderId="826" xfId="0" applyFont="1" applyFill="1" applyBorder="1" applyAlignment="1">
      <alignment horizontal="center" vertical="center" wrapText="1"/>
    </xf>
    <xf numFmtId="0" fontId="74" fillId="11" borderId="831" xfId="0" applyFont="1" applyFill="1" applyBorder="1" applyAlignment="1">
      <alignment horizontal="center" vertical="center"/>
    </xf>
    <xf numFmtId="0" fontId="74" fillId="0" borderId="835" xfId="0" applyFont="1" applyFill="1" applyBorder="1" applyAlignment="1">
      <alignment horizontal="center" vertical="center"/>
    </xf>
    <xf numFmtId="0" fontId="74" fillId="9" borderId="1136" xfId="0" applyFont="1" applyFill="1" applyBorder="1" applyAlignment="1">
      <alignment horizontal="center" vertical="center" wrapText="1"/>
    </xf>
    <xf numFmtId="0" fontId="74" fillId="9" borderId="1134" xfId="0" applyFont="1" applyFill="1" applyBorder="1" applyAlignment="1">
      <alignment horizontal="center" vertical="center" wrapText="1"/>
    </xf>
    <xf numFmtId="0" fontId="74" fillId="12" borderId="826" xfId="0" applyFont="1" applyFill="1" applyBorder="1" applyAlignment="1">
      <alignment horizontal="center" vertical="center" wrapText="1"/>
    </xf>
    <xf numFmtId="0" fontId="74" fillId="12" borderId="831" xfId="0" applyFont="1" applyFill="1" applyBorder="1" applyAlignment="1">
      <alignment horizontal="center" vertical="center"/>
    </xf>
    <xf numFmtId="0" fontId="74" fillId="12" borderId="837" xfId="0" applyFont="1" applyFill="1" applyBorder="1" applyAlignment="1">
      <alignment horizontal="center" vertical="center"/>
    </xf>
    <xf numFmtId="0" fontId="74" fillId="6" borderId="842" xfId="0" applyFont="1" applyFill="1" applyBorder="1" applyAlignment="1">
      <alignment horizontal="center" vertical="center" wrapText="1"/>
    </xf>
    <xf numFmtId="0" fontId="74" fillId="6" borderId="847" xfId="0" applyFont="1" applyFill="1" applyBorder="1" applyAlignment="1">
      <alignment horizontal="center" vertical="center" wrapText="1"/>
    </xf>
    <xf numFmtId="0" fontId="74" fillId="6" borderId="849" xfId="0" applyFont="1" applyFill="1" applyBorder="1" applyAlignment="1">
      <alignment horizontal="center" vertical="center" wrapText="1"/>
    </xf>
    <xf numFmtId="0" fontId="74" fillId="0" borderId="842" xfId="0" applyFont="1" applyFill="1" applyBorder="1" applyAlignment="1">
      <alignment horizontal="center" vertical="center" wrapText="1"/>
    </xf>
    <xf numFmtId="0" fontId="74" fillId="0" borderId="847" xfId="0" applyFont="1" applyFill="1" applyBorder="1" applyAlignment="1">
      <alignment horizontal="center" vertical="center" wrapText="1"/>
    </xf>
    <xf numFmtId="0" fontId="74" fillId="0" borderId="850" xfId="0" applyFont="1" applyFill="1" applyBorder="1" applyAlignment="1">
      <alignment horizontal="center" vertical="center" wrapText="1"/>
    </xf>
    <xf numFmtId="0" fontId="74" fillId="0" borderId="851" xfId="0" applyFont="1" applyFill="1" applyBorder="1" applyAlignment="1">
      <alignment horizontal="center" vertical="center" wrapText="1"/>
    </xf>
    <xf numFmtId="0" fontId="74" fillId="0" borderId="849" xfId="0" applyFont="1" applyFill="1" applyBorder="1" applyAlignment="1">
      <alignment horizontal="center" vertical="center" wrapText="1"/>
    </xf>
    <xf numFmtId="0" fontId="75" fillId="0" borderId="1211" xfId="0" applyFont="1" applyBorder="1" applyAlignment="1">
      <alignment horizontal="center" vertical="center" wrapText="1"/>
    </xf>
    <xf numFmtId="0" fontId="88" fillId="0" borderId="1212" xfId="0" applyFont="1" applyBorder="1" applyAlignment="1">
      <alignment horizontal="center" vertical="center" wrapText="1"/>
    </xf>
    <xf numFmtId="0" fontId="75" fillId="0" borderId="686" xfId="0" applyFont="1" applyBorder="1" applyAlignment="1">
      <alignment horizontal="center" vertical="center" wrapText="1"/>
    </xf>
    <xf numFmtId="0" fontId="88" fillId="0" borderId="563" xfId="0" applyFont="1" applyBorder="1" applyAlignment="1">
      <alignment horizontal="center" vertical="center" wrapText="1"/>
    </xf>
    <xf numFmtId="0" fontId="75" fillId="0" borderId="687" xfId="0" applyFont="1" applyBorder="1" applyAlignment="1">
      <alignment horizontal="center" vertical="center" wrapText="1"/>
    </xf>
    <xf numFmtId="0" fontId="88" fillId="0" borderId="683" xfId="0" applyFont="1" applyBorder="1" applyAlignment="1">
      <alignment horizontal="center" vertical="center" wrapText="1"/>
    </xf>
    <xf numFmtId="0" fontId="75" fillId="12" borderId="1217" xfId="0" applyFont="1" applyFill="1" applyBorder="1" applyAlignment="1">
      <alignment horizontal="center" vertical="center" wrapText="1"/>
    </xf>
    <xf numFmtId="0" fontId="88" fillId="12" borderId="1212" xfId="0" applyFont="1" applyFill="1" applyBorder="1" applyAlignment="1">
      <alignment horizontal="center" vertical="center" wrapText="1"/>
    </xf>
    <xf numFmtId="0" fontId="75" fillId="12" borderId="907" xfId="0" applyFont="1" applyFill="1" applyBorder="1" applyAlignment="1">
      <alignment horizontal="center" vertical="center" wrapText="1"/>
    </xf>
    <xf numFmtId="0" fontId="88" fillId="12" borderId="563" xfId="0" applyFont="1" applyFill="1" applyBorder="1" applyAlignment="1">
      <alignment horizontal="center" vertical="center" wrapText="1"/>
    </xf>
    <xf numFmtId="0" fontId="75" fillId="12" borderId="563" xfId="0" applyFont="1" applyFill="1" applyBorder="1" applyAlignment="1">
      <alignment horizontal="center" vertical="center" wrapText="1"/>
    </xf>
    <xf numFmtId="0" fontId="75" fillId="12" borderId="908" xfId="0" applyFont="1" applyFill="1" applyBorder="1" applyAlignment="1">
      <alignment horizontal="center" vertical="center" wrapText="1"/>
    </xf>
    <xf numFmtId="0" fontId="75" fillId="12" borderId="909" xfId="0" applyFont="1" applyFill="1" applyBorder="1" applyAlignment="1">
      <alignment horizontal="center" vertical="center" wrapText="1"/>
    </xf>
    <xf numFmtId="0" fontId="75" fillId="0" borderId="1212" xfId="0" applyFont="1" applyBorder="1" applyAlignment="1">
      <alignment horizontal="center" vertical="center" wrapText="1"/>
    </xf>
    <xf numFmtId="0" fontId="75" fillId="0" borderId="563" xfId="0" applyFont="1" applyBorder="1" applyAlignment="1">
      <alignment horizontal="center" vertical="center" wrapText="1"/>
    </xf>
    <xf numFmtId="0" fontId="75" fillId="0" borderId="689" xfId="0" applyFont="1" applyBorder="1" applyAlignment="1">
      <alignment horizontal="center" vertical="center" wrapText="1"/>
    </xf>
    <xf numFmtId="0" fontId="88" fillId="0" borderId="383" xfId="0" applyFont="1" applyBorder="1" applyAlignment="1">
      <alignment horizontal="center" vertical="center" wrapText="1"/>
    </xf>
    <xf numFmtId="0" fontId="75" fillId="0" borderId="481" xfId="0" applyFont="1" applyBorder="1" applyAlignment="1">
      <alignment horizontal="center" vertical="center" wrapText="1"/>
    </xf>
    <xf numFmtId="0" fontId="88" fillId="0" borderId="965" xfId="0" applyFont="1" applyBorder="1" applyAlignment="1">
      <alignment horizontal="center" vertical="center" wrapText="1"/>
    </xf>
    <xf numFmtId="0" fontId="75" fillId="0" borderId="1214" xfId="0" applyFont="1" applyBorder="1" applyAlignment="1">
      <alignment horizontal="center" vertical="center" wrapText="1"/>
    </xf>
    <xf numFmtId="0" fontId="88" fillId="0" borderId="1215" xfId="0" applyFont="1" applyBorder="1" applyAlignment="1">
      <alignment horizontal="center" vertical="center" wrapText="1"/>
    </xf>
    <xf numFmtId="0" fontId="143" fillId="5" borderId="1068" xfId="0" applyFont="1" applyFill="1" applyBorder="1" applyAlignment="1">
      <alignment horizontal="center" vertical="center"/>
    </xf>
    <xf numFmtId="0" fontId="67" fillId="4" borderId="906" xfId="0" quotePrefix="1" applyFont="1" applyFill="1" applyBorder="1" applyAlignment="1">
      <alignment horizontal="center" vertical="center"/>
    </xf>
    <xf numFmtId="0" fontId="67" fillId="4" borderId="692" xfId="0" applyFont="1" applyFill="1" applyBorder="1" applyAlignment="1">
      <alignment horizontal="center" vertical="center"/>
    </xf>
    <xf numFmtId="0" fontId="75" fillId="13" borderId="1211" xfId="0" applyFont="1" applyFill="1" applyBorder="1" applyAlignment="1">
      <alignment horizontal="center" vertical="center" wrapText="1"/>
    </xf>
    <xf numFmtId="0" fontId="75" fillId="13" borderId="1212" xfId="0" applyFont="1" applyFill="1" applyBorder="1" applyAlignment="1">
      <alignment horizontal="center" vertical="center" wrapText="1"/>
    </xf>
    <xf numFmtId="0" fontId="75" fillId="13" borderId="686" xfId="0" applyFont="1" applyFill="1" applyBorder="1" applyAlignment="1">
      <alignment horizontal="center" vertical="center" wrapText="1"/>
    </xf>
    <xf numFmtId="0" fontId="75" fillId="13" borderId="563" xfId="0" applyFont="1" applyFill="1" applyBorder="1" applyAlignment="1">
      <alignment horizontal="center" vertical="center" wrapText="1"/>
    </xf>
    <xf numFmtId="0" fontId="75" fillId="13" borderId="689" xfId="0" applyFont="1" applyFill="1" applyBorder="1" applyAlignment="1">
      <alignment horizontal="center" vertical="center" wrapText="1"/>
    </xf>
    <xf numFmtId="0" fontId="75" fillId="13" borderId="383" xfId="0" applyFont="1" applyFill="1" applyBorder="1" applyAlignment="1">
      <alignment horizontal="center" vertical="center" wrapText="1"/>
    </xf>
    <xf numFmtId="0" fontId="67" fillId="4" borderId="14" xfId="0" quotePrefix="1" applyFont="1" applyFill="1" applyBorder="1" applyAlignment="1">
      <alignment horizontal="center" vertical="center"/>
    </xf>
    <xf numFmtId="0" fontId="67" fillId="4" borderId="692" xfId="0" quotePrefix="1" applyFont="1" applyFill="1" applyBorder="1" applyAlignment="1">
      <alignment horizontal="center" vertical="center"/>
    </xf>
    <xf numFmtId="0" fontId="119" fillId="41" borderId="1211" xfId="0" applyFont="1" applyFill="1" applyBorder="1" applyAlignment="1">
      <alignment horizontal="center" vertical="center" wrapText="1"/>
    </xf>
    <xf numFmtId="0" fontId="119" fillId="41" borderId="1212" xfId="0" applyFont="1" applyFill="1" applyBorder="1" applyAlignment="1">
      <alignment horizontal="center" vertical="center" wrapText="1"/>
    </xf>
    <xf numFmtId="0" fontId="119" fillId="41" borderId="686" xfId="0" applyFont="1" applyFill="1" applyBorder="1" applyAlignment="1">
      <alignment horizontal="center" vertical="center" wrapText="1"/>
    </xf>
    <xf numFmtId="0" fontId="119" fillId="41" borderId="563" xfId="0" applyFont="1" applyFill="1" applyBorder="1" applyAlignment="1">
      <alignment horizontal="center" vertical="center" wrapText="1"/>
    </xf>
    <xf numFmtId="0" fontId="119" fillId="41" borderId="689" xfId="0" applyFont="1" applyFill="1" applyBorder="1" applyAlignment="1">
      <alignment horizontal="center" vertical="center" wrapText="1"/>
    </xf>
    <xf numFmtId="0" fontId="119" fillId="41" borderId="383" xfId="0" applyFont="1" applyFill="1" applyBorder="1" applyAlignment="1">
      <alignment horizontal="center" vertical="center" wrapText="1"/>
    </xf>
    <xf numFmtId="0" fontId="75" fillId="28" borderId="1211" xfId="0" applyFont="1" applyFill="1" applyBorder="1" applyAlignment="1">
      <alignment horizontal="center" vertical="center" wrapText="1"/>
    </xf>
    <xf numFmtId="0" fontId="75" fillId="28" borderId="1212" xfId="0" applyFont="1" applyFill="1" applyBorder="1" applyAlignment="1">
      <alignment horizontal="center" vertical="center" wrapText="1"/>
    </xf>
    <xf numFmtId="0" fontId="75" fillId="28" borderId="686" xfId="0" applyFont="1" applyFill="1" applyBorder="1" applyAlignment="1">
      <alignment horizontal="center" vertical="center" wrapText="1"/>
    </xf>
    <xf numFmtId="0" fontId="75" fillId="28" borderId="563" xfId="0" applyFont="1" applyFill="1" applyBorder="1" applyAlignment="1">
      <alignment horizontal="center" vertical="center" wrapText="1"/>
    </xf>
    <xf numFmtId="0" fontId="75" fillId="28" borderId="689" xfId="0" applyFont="1" applyFill="1" applyBorder="1" applyAlignment="1">
      <alignment horizontal="center" vertical="center" wrapText="1"/>
    </xf>
    <xf numFmtId="0" fontId="75" fillId="28" borderId="383" xfId="0" applyFont="1" applyFill="1" applyBorder="1" applyAlignment="1">
      <alignment horizontal="center" vertical="center" wrapText="1"/>
    </xf>
    <xf numFmtId="0" fontId="78" fillId="0" borderId="6" xfId="0" quotePrefix="1" applyFont="1" applyBorder="1" applyAlignment="1">
      <alignment horizontal="center" vertical="center"/>
    </xf>
    <xf numFmtId="0" fontId="78" fillId="0" borderId="508" xfId="0" quotePrefix="1" applyFont="1" applyBorder="1" applyAlignment="1">
      <alignment horizontal="center" vertical="center"/>
    </xf>
    <xf numFmtId="0" fontId="74" fillId="9" borderId="58" xfId="0" applyFont="1" applyFill="1" applyBorder="1" applyAlignment="1">
      <alignment horizontal="center" vertical="center" wrapText="1"/>
    </xf>
    <xf numFmtId="0" fontId="74" fillId="9" borderId="0" xfId="0" applyFont="1" applyFill="1" applyBorder="1" applyAlignment="1">
      <alignment horizontal="center" vertical="center" wrapText="1"/>
    </xf>
    <xf numFmtId="0" fontId="74" fillId="9" borderId="63" xfId="0" applyFont="1" applyFill="1" applyBorder="1" applyAlignment="1">
      <alignment horizontal="center" vertical="center" wrapText="1"/>
    </xf>
    <xf numFmtId="0" fontId="74" fillId="11" borderId="223" xfId="0" applyFont="1" applyFill="1" applyBorder="1" applyAlignment="1">
      <alignment horizontal="center" vertical="center" wrapText="1"/>
    </xf>
    <xf numFmtId="0" fontId="74" fillId="11" borderId="208" xfId="0" applyFont="1" applyFill="1" applyBorder="1" applyAlignment="1">
      <alignment horizontal="center" vertical="center"/>
    </xf>
    <xf numFmtId="0" fontId="74" fillId="0" borderId="207" xfId="0" applyFont="1" applyFill="1" applyBorder="1" applyAlignment="1">
      <alignment horizontal="center" vertical="center" wrapText="1"/>
    </xf>
    <xf numFmtId="0" fontId="74" fillId="0" borderId="208" xfId="0" applyFont="1" applyFill="1" applyBorder="1" applyAlignment="1">
      <alignment horizontal="center" vertical="center"/>
    </xf>
    <xf numFmtId="0" fontId="74" fillId="0" borderId="209" xfId="0" applyFont="1" applyFill="1" applyBorder="1" applyAlignment="1">
      <alignment horizontal="center" vertical="center"/>
    </xf>
    <xf numFmtId="0" fontId="74" fillId="0" borderId="208" xfId="0" applyFont="1" applyFill="1" applyBorder="1" applyAlignment="1">
      <alignment horizontal="center" vertical="center" wrapText="1"/>
    </xf>
    <xf numFmtId="0" fontId="74" fillId="0" borderId="210" xfId="0" applyFont="1" applyFill="1" applyBorder="1" applyAlignment="1">
      <alignment horizontal="center" vertical="center"/>
    </xf>
    <xf numFmtId="0" fontId="74" fillId="0" borderId="275" xfId="0" applyFont="1" applyFill="1" applyBorder="1" applyAlignment="1">
      <alignment horizontal="center" vertical="center" wrapText="1"/>
    </xf>
    <xf numFmtId="0" fontId="74" fillId="0" borderId="276" xfId="0" applyFont="1" applyFill="1" applyBorder="1" applyAlignment="1">
      <alignment horizontal="center" vertical="center" wrapText="1"/>
    </xf>
    <xf numFmtId="0" fontId="74" fillId="0" borderId="277" xfId="0" applyFont="1" applyFill="1" applyBorder="1" applyAlignment="1">
      <alignment horizontal="center" vertical="center" wrapText="1"/>
    </xf>
    <xf numFmtId="0" fontId="74" fillId="6" borderId="269" xfId="0" applyFont="1" applyFill="1" applyBorder="1" applyAlignment="1">
      <alignment horizontal="center" vertical="center" wrapText="1"/>
    </xf>
    <xf numFmtId="0" fontId="74" fillId="6" borderId="270" xfId="0" applyFont="1" applyFill="1" applyBorder="1" applyAlignment="1">
      <alignment horizontal="center" vertical="center" wrapText="1"/>
    </xf>
    <xf numFmtId="0" fontId="74" fillId="6" borderId="270" xfId="0" applyFont="1" applyFill="1" applyBorder="1" applyAlignment="1">
      <alignment horizontal="center" vertical="center"/>
    </xf>
    <xf numFmtId="0" fontId="74" fillId="6" borderId="272" xfId="0" applyFont="1" applyFill="1" applyBorder="1" applyAlignment="1">
      <alignment horizontal="center" vertical="center"/>
    </xf>
    <xf numFmtId="0" fontId="67" fillId="4" borderId="8" xfId="0" quotePrefix="1" applyFont="1" applyFill="1" applyBorder="1" applyAlignment="1">
      <alignment horizontal="center" vertical="center"/>
    </xf>
    <xf numFmtId="0" fontId="75" fillId="13" borderId="524" xfId="0" applyFont="1" applyFill="1" applyBorder="1" applyAlignment="1">
      <alignment horizontal="center" vertical="center" wrapText="1"/>
    </xf>
    <xf numFmtId="0" fontId="88" fillId="13" borderId="685" xfId="0" applyFont="1" applyFill="1" applyBorder="1" applyAlignment="1">
      <alignment horizontal="center" vertical="center" wrapText="1"/>
    </xf>
    <xf numFmtId="0" fontId="88" fillId="13" borderId="563" xfId="0" applyFont="1" applyFill="1" applyBorder="1" applyAlignment="1">
      <alignment horizontal="center" vertical="center" wrapText="1"/>
    </xf>
    <xf numFmtId="0" fontId="75" fillId="28" borderId="524" xfId="0" applyFont="1" applyFill="1" applyBorder="1" applyAlignment="1">
      <alignment horizontal="center" vertical="center" wrapText="1"/>
    </xf>
    <xf numFmtId="0" fontId="75" fillId="28" borderId="68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/>
    </xf>
    <xf numFmtId="41" fontId="67" fillId="4" borderId="472" xfId="2" quotePrefix="1" applyFont="1" applyFill="1" applyBorder="1" applyAlignment="1">
      <alignment horizontal="center" vertical="center"/>
    </xf>
    <xf numFmtId="41" fontId="67" fillId="4" borderId="465" xfId="2" applyFont="1" applyFill="1" applyBorder="1" applyAlignment="1">
      <alignment horizontal="center" vertical="center"/>
    </xf>
    <xf numFmtId="0" fontId="110" fillId="4" borderId="906" xfId="0" quotePrefix="1" applyFont="1" applyFill="1" applyBorder="1" applyAlignment="1">
      <alignment horizontal="center" vertical="center"/>
    </xf>
    <xf numFmtId="0" fontId="110" fillId="4" borderId="14" xfId="0" quotePrefix="1" applyFont="1" applyFill="1" applyBorder="1" applyAlignment="1">
      <alignment horizontal="center" vertical="center"/>
    </xf>
    <xf numFmtId="0" fontId="110" fillId="4" borderId="692" xfId="0" quotePrefix="1" applyFont="1" applyFill="1" applyBorder="1" applyAlignment="1">
      <alignment horizontal="center" vertical="center"/>
    </xf>
    <xf numFmtId="0" fontId="119" fillId="41" borderId="524" xfId="0" applyFont="1" applyFill="1" applyBorder="1" applyAlignment="1">
      <alignment horizontal="center" vertical="center" wrapText="1"/>
    </xf>
    <xf numFmtId="0" fontId="119" fillId="41" borderId="685" xfId="0" applyFont="1" applyFill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/>
    </xf>
    <xf numFmtId="0" fontId="17" fillId="0" borderId="228" xfId="0" applyFont="1" applyBorder="1" applyAlignment="1">
      <alignment horizontal="center" vertical="center"/>
    </xf>
    <xf numFmtId="0" fontId="17" fillId="8" borderId="217" xfId="0" applyFont="1" applyFill="1" applyBorder="1" applyAlignment="1">
      <alignment horizontal="center" vertical="center" wrapText="1"/>
    </xf>
    <xf numFmtId="0" fontId="17" fillId="8" borderId="85" xfId="0" applyFont="1" applyFill="1" applyBorder="1" applyAlignment="1">
      <alignment horizontal="center" vertical="center" wrapText="1"/>
    </xf>
    <xf numFmtId="0" fontId="17" fillId="8" borderId="85" xfId="0" applyFont="1" applyFill="1" applyBorder="1" applyAlignment="1">
      <alignment horizontal="center" vertical="center"/>
    </xf>
    <xf numFmtId="0" fontId="17" fillId="3" borderId="217" xfId="0" applyFont="1" applyFill="1" applyBorder="1" applyAlignment="1">
      <alignment horizontal="center" vertical="center" wrapText="1"/>
    </xf>
    <xf numFmtId="0" fontId="17" fillId="3" borderId="85" xfId="0" applyFont="1" applyFill="1" applyBorder="1" applyAlignment="1">
      <alignment horizontal="center" vertical="center"/>
    </xf>
    <xf numFmtId="0" fontId="17" fillId="3" borderId="220" xfId="0" applyFont="1" applyFill="1" applyBorder="1" applyAlignment="1">
      <alignment horizontal="center" vertical="center"/>
    </xf>
    <xf numFmtId="0" fontId="13" fillId="11" borderId="223" xfId="0" applyFont="1" applyFill="1" applyBorder="1" applyAlignment="1">
      <alignment horizontal="center" vertical="center" wrapText="1"/>
    </xf>
    <xf numFmtId="0" fontId="13" fillId="11" borderId="208" xfId="0" applyFont="1" applyFill="1" applyBorder="1" applyAlignment="1">
      <alignment horizontal="center" vertical="center" wrapText="1"/>
    </xf>
    <xf numFmtId="0" fontId="13" fillId="11" borderId="210" xfId="0" applyFont="1" applyFill="1" applyBorder="1" applyAlignment="1">
      <alignment horizontal="center" vertical="center" wrapText="1"/>
    </xf>
    <xf numFmtId="0" fontId="17" fillId="8" borderId="217" xfId="0" applyFont="1" applyFill="1" applyBorder="1" applyAlignment="1">
      <alignment horizontal="center" vertical="center"/>
    </xf>
    <xf numFmtId="0" fontId="17" fillId="8" borderId="958" xfId="0" applyFont="1" applyFill="1" applyBorder="1" applyAlignment="1">
      <alignment horizontal="center" vertical="center"/>
    </xf>
    <xf numFmtId="0" fontId="13" fillId="0" borderId="223" xfId="0" applyFont="1" applyFill="1" applyBorder="1" applyAlignment="1">
      <alignment horizontal="center" vertical="center" wrapText="1"/>
    </xf>
    <xf numFmtId="0" fontId="13" fillId="0" borderId="208" xfId="0" applyFont="1" applyFill="1" applyBorder="1" applyAlignment="1">
      <alignment horizontal="center" vertical="center" wrapText="1"/>
    </xf>
    <xf numFmtId="0" fontId="13" fillId="0" borderId="210" xfId="0" applyFont="1" applyFill="1" applyBorder="1" applyAlignment="1">
      <alignment horizontal="center" vertical="center" wrapText="1"/>
    </xf>
    <xf numFmtId="0" fontId="13" fillId="0" borderId="383" xfId="0" applyFont="1" applyFill="1" applyBorder="1" applyAlignment="1">
      <alignment horizontal="center" vertical="center" wrapText="1"/>
    </xf>
    <xf numFmtId="0" fontId="13" fillId="0" borderId="381" xfId="0" applyFont="1" applyFill="1" applyBorder="1" applyAlignment="1">
      <alignment horizontal="center" vertical="center" wrapText="1"/>
    </xf>
    <xf numFmtId="0" fontId="13" fillId="0" borderId="382" xfId="0" applyFont="1" applyFill="1" applyBorder="1" applyAlignment="1">
      <alignment horizontal="center" vertical="center" wrapText="1"/>
    </xf>
    <xf numFmtId="0" fontId="17" fillId="3" borderId="85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41" fontId="25" fillId="15" borderId="565" xfId="2" applyFont="1" applyFill="1" applyBorder="1" applyAlignment="1">
      <alignment horizontal="center" vertical="center"/>
    </xf>
    <xf numFmtId="41" fontId="25" fillId="15" borderId="566" xfId="2" applyFont="1" applyFill="1" applyBorder="1" applyAlignment="1">
      <alignment horizontal="center" vertical="center"/>
    </xf>
    <xf numFmtId="41" fontId="25" fillId="15" borderId="567" xfId="2" applyFont="1" applyFill="1" applyBorder="1" applyAlignment="1">
      <alignment horizontal="center" vertical="center"/>
    </xf>
    <xf numFmtId="0" fontId="9" fillId="11" borderId="217" xfId="0" applyFont="1" applyFill="1" applyBorder="1" applyAlignment="1">
      <alignment horizontal="center" vertical="center" wrapText="1"/>
    </xf>
    <xf numFmtId="0" fontId="9" fillId="11" borderId="85" xfId="0" applyFont="1" applyFill="1" applyBorder="1" applyAlignment="1">
      <alignment horizontal="center" vertical="center" wrapText="1"/>
    </xf>
    <xf numFmtId="0" fontId="9" fillId="11" borderId="1237" xfId="0" applyFont="1" applyFill="1" applyBorder="1" applyAlignment="1">
      <alignment horizontal="center" vertical="center" wrapText="1"/>
    </xf>
    <xf numFmtId="0" fontId="9" fillId="11" borderId="68" xfId="0" applyFont="1" applyFill="1" applyBorder="1" applyAlignment="1">
      <alignment horizontal="center" vertical="center"/>
    </xf>
    <xf numFmtId="0" fontId="6" fillId="6" borderId="217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6" fillId="6" borderId="383" xfId="0" applyFont="1" applyFill="1" applyBorder="1" applyAlignment="1">
      <alignment horizontal="center" vertical="center"/>
    </xf>
    <xf numFmtId="0" fontId="6" fillId="4" borderId="96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41" fontId="25" fillId="13" borderId="565" xfId="2" applyFont="1" applyFill="1" applyBorder="1" applyAlignment="1">
      <alignment horizontal="center" vertical="center"/>
    </xf>
    <xf numFmtId="41" fontId="25" fillId="13" borderId="566" xfId="2" applyFont="1" applyFill="1" applyBorder="1" applyAlignment="1">
      <alignment horizontal="center" vertical="center"/>
    </xf>
    <xf numFmtId="41" fontId="25" fillId="13" borderId="567" xfId="2" applyFont="1" applyFill="1" applyBorder="1" applyAlignment="1">
      <alignment horizontal="center" vertical="center"/>
    </xf>
    <xf numFmtId="41" fontId="25" fillId="28" borderId="959" xfId="2" applyFont="1" applyFill="1" applyBorder="1" applyAlignment="1">
      <alignment horizontal="center" vertical="center"/>
    </xf>
    <xf numFmtId="41" fontId="25" fillId="28" borderId="960" xfId="2" applyFont="1" applyFill="1" applyBorder="1" applyAlignment="1">
      <alignment horizontal="center" vertical="center"/>
    </xf>
    <xf numFmtId="41" fontId="25" fillId="28" borderId="961" xfId="2" applyFont="1" applyFill="1" applyBorder="1" applyAlignment="1">
      <alignment horizontal="center" vertical="center"/>
    </xf>
    <xf numFmtId="0" fontId="7" fillId="9" borderId="960" xfId="0" quotePrefix="1" applyFont="1" applyFill="1" applyBorder="1" applyAlignment="1">
      <alignment horizontal="center" vertical="center"/>
    </xf>
    <xf numFmtId="0" fontId="7" fillId="9" borderId="960" xfId="0" applyFont="1" applyFill="1" applyBorder="1" applyAlignment="1">
      <alignment horizontal="center" vertical="center"/>
    </xf>
    <xf numFmtId="0" fontId="7" fillId="9" borderId="961" xfId="0" applyFont="1" applyFill="1" applyBorder="1" applyAlignment="1">
      <alignment horizontal="center" vertical="center"/>
    </xf>
    <xf numFmtId="0" fontId="74" fillId="11" borderId="1239" xfId="0" applyFont="1" applyFill="1" applyBorder="1" applyAlignment="1">
      <alignment horizontal="center" vertical="center" wrapText="1"/>
    </xf>
    <xf numFmtId="0" fontId="74" fillId="11" borderId="1241" xfId="0" applyFont="1" applyFill="1" applyBorder="1" applyAlignment="1">
      <alignment horizontal="center" vertical="center" wrapText="1"/>
    </xf>
    <xf numFmtId="0" fontId="74" fillId="11" borderId="1243" xfId="0" applyFont="1" applyFill="1" applyBorder="1" applyAlignment="1">
      <alignment horizontal="center" vertical="center" wrapText="1"/>
    </xf>
    <xf numFmtId="0" fontId="149" fillId="5" borderId="884" xfId="0" applyFont="1" applyFill="1" applyBorder="1" applyAlignment="1">
      <alignment horizontal="center" vertical="center"/>
    </xf>
    <xf numFmtId="0" fontId="74" fillId="11" borderId="616" xfId="0" applyFont="1" applyFill="1" applyBorder="1" applyAlignment="1">
      <alignment horizontal="center" vertical="center"/>
    </xf>
    <xf numFmtId="0" fontId="75" fillId="6" borderId="569" xfId="0" applyFont="1" applyFill="1" applyBorder="1" applyAlignment="1">
      <alignment horizontal="center" vertical="center" wrapText="1"/>
    </xf>
    <xf numFmtId="0" fontId="75" fillId="6" borderId="573" xfId="0" applyFont="1" applyFill="1" applyBorder="1" applyAlignment="1">
      <alignment horizontal="center" vertical="center" wrapText="1"/>
    </xf>
    <xf numFmtId="0" fontId="74" fillId="8" borderId="570" xfId="0" applyFont="1" applyFill="1" applyBorder="1" applyAlignment="1">
      <alignment horizontal="left" vertical="center"/>
    </xf>
    <xf numFmtId="0" fontId="74" fillId="8" borderId="922" xfId="0" applyFont="1" applyFill="1" applyBorder="1" applyAlignment="1">
      <alignment horizontal="left" vertical="center"/>
    </xf>
    <xf numFmtId="0" fontId="74" fillId="8" borderId="574" xfId="0" applyFont="1" applyFill="1" applyBorder="1" applyAlignment="1">
      <alignment horizontal="left" vertical="center"/>
    </xf>
    <xf numFmtId="0" fontId="74" fillId="8" borderId="923" xfId="0" applyFont="1" applyFill="1" applyBorder="1" applyAlignment="1">
      <alignment horizontal="left" vertical="center"/>
    </xf>
    <xf numFmtId="0" fontId="74" fillId="4" borderId="865" xfId="0" quotePrefix="1" applyFont="1" applyFill="1" applyBorder="1" applyAlignment="1">
      <alignment horizontal="center" vertical="center"/>
    </xf>
    <xf numFmtId="0" fontId="74" fillId="4" borderId="670" xfId="0" quotePrefix="1" applyFont="1" applyFill="1" applyBorder="1" applyAlignment="1">
      <alignment horizontal="center" vertical="center"/>
    </xf>
    <xf numFmtId="0" fontId="74" fillId="4" borderId="921" xfId="0" quotePrefix="1" applyFont="1" applyFill="1" applyBorder="1" applyAlignment="1">
      <alignment horizontal="center" vertical="center"/>
    </xf>
    <xf numFmtId="0" fontId="67" fillId="4" borderId="1178" xfId="0" quotePrefix="1" applyFont="1" applyFill="1" applyBorder="1" applyAlignment="1">
      <alignment horizontal="center" vertical="center"/>
    </xf>
    <xf numFmtId="223" fontId="114" fillId="71" borderId="458" xfId="2" quotePrefix="1" applyNumberFormat="1" applyFont="1" applyFill="1" applyBorder="1" applyAlignment="1">
      <alignment horizontal="center" vertical="center"/>
    </xf>
    <xf numFmtId="223" fontId="114" fillId="71" borderId="0" xfId="2" applyNumberFormat="1" applyFont="1" applyFill="1" applyBorder="1" applyAlignment="1">
      <alignment horizontal="center" vertical="center"/>
    </xf>
    <xf numFmtId="223" fontId="114" fillId="71" borderId="406" xfId="2" applyNumberFormat="1" applyFont="1" applyFill="1" applyBorder="1" applyAlignment="1">
      <alignment horizontal="center" vertical="center"/>
    </xf>
    <xf numFmtId="0" fontId="74" fillId="0" borderId="260" xfId="0" applyFont="1" applyFill="1" applyBorder="1" applyAlignment="1">
      <alignment horizontal="center" vertical="center" wrapText="1"/>
    </xf>
    <xf numFmtId="0" fontId="74" fillId="0" borderId="256" xfId="0" applyFont="1" applyFill="1" applyBorder="1" applyAlignment="1">
      <alignment horizontal="center" vertical="center" wrapText="1"/>
    </xf>
    <xf numFmtId="0" fontId="74" fillId="0" borderId="258" xfId="0" applyFont="1" applyFill="1" applyBorder="1" applyAlignment="1">
      <alignment horizontal="center" vertical="center" wrapText="1"/>
    </xf>
    <xf numFmtId="0" fontId="74" fillId="0" borderId="262" xfId="0" applyFont="1" applyFill="1" applyBorder="1" applyAlignment="1">
      <alignment horizontal="center" vertical="center" wrapText="1"/>
    </xf>
    <xf numFmtId="0" fontId="74" fillId="9" borderId="881" xfId="0" applyFont="1" applyFill="1" applyBorder="1" applyAlignment="1">
      <alignment horizontal="center" vertical="center" wrapText="1"/>
    </xf>
    <xf numFmtId="0" fontId="74" fillId="9" borderId="188" xfId="0" applyFont="1" applyFill="1" applyBorder="1" applyAlignment="1">
      <alignment horizontal="center" vertical="center" wrapText="1"/>
    </xf>
    <xf numFmtId="0" fontId="74" fillId="9" borderId="241" xfId="0" applyFont="1" applyFill="1" applyBorder="1" applyAlignment="1">
      <alignment horizontal="center" vertical="center" wrapText="1"/>
    </xf>
    <xf numFmtId="0" fontId="74" fillId="0" borderId="243" xfId="0" applyFont="1" applyFill="1" applyBorder="1" applyAlignment="1">
      <alignment horizontal="center" vertical="center" wrapText="1"/>
    </xf>
    <xf numFmtId="0" fontId="74" fillId="0" borderId="188" xfId="0" applyFont="1" applyFill="1" applyBorder="1" applyAlignment="1">
      <alignment horizontal="center" vertical="center" wrapText="1"/>
    </xf>
    <xf numFmtId="0" fontId="74" fillId="11" borderId="206" xfId="0" applyFont="1" applyFill="1" applyBorder="1" applyAlignment="1">
      <alignment horizontal="center" vertical="center" wrapText="1"/>
    </xf>
    <xf numFmtId="0" fontId="74" fillId="11" borderId="264" xfId="0" applyFont="1" applyFill="1" applyBorder="1" applyAlignment="1">
      <alignment horizontal="center" vertical="center" wrapText="1"/>
    </xf>
    <xf numFmtId="0" fontId="74" fillId="11" borderId="267" xfId="0" applyFont="1" applyFill="1" applyBorder="1" applyAlignment="1">
      <alignment horizontal="center" vertical="center" wrapText="1"/>
    </xf>
    <xf numFmtId="0" fontId="74" fillId="0" borderId="251" xfId="0" applyFont="1" applyFill="1" applyBorder="1" applyAlignment="1">
      <alignment horizontal="center" vertical="center" wrapText="1"/>
    </xf>
    <xf numFmtId="0" fontId="74" fillId="2" borderId="245" xfId="0" applyFont="1" applyFill="1" applyBorder="1" applyAlignment="1">
      <alignment horizontal="center" vertical="center" wrapText="1"/>
    </xf>
    <xf numFmtId="0" fontId="74" fillId="2" borderId="188" xfId="0" applyFont="1" applyFill="1" applyBorder="1" applyAlignment="1">
      <alignment horizontal="center" vertical="center" wrapText="1"/>
    </xf>
    <xf numFmtId="0" fontId="74" fillId="2" borderId="246" xfId="0" applyFont="1" applyFill="1" applyBorder="1" applyAlignment="1">
      <alignment horizontal="center" vertical="center" wrapText="1"/>
    </xf>
    <xf numFmtId="0" fontId="74" fillId="4" borderId="472" xfId="0" quotePrefix="1" applyFont="1" applyFill="1" applyBorder="1" applyAlignment="1">
      <alignment horizontal="center" vertical="center"/>
    </xf>
    <xf numFmtId="0" fontId="74" fillId="4" borderId="465" xfId="0" quotePrefix="1" applyFont="1" applyFill="1" applyBorder="1" applyAlignment="1">
      <alignment horizontal="center" vertical="center"/>
    </xf>
    <xf numFmtId="0" fontId="74" fillId="0" borderId="191" xfId="0" applyFont="1" applyFill="1" applyBorder="1" applyAlignment="1">
      <alignment horizontal="center" vertical="center" wrapText="1"/>
    </xf>
    <xf numFmtId="0" fontId="74" fillId="2" borderId="243" xfId="0" applyFont="1" applyFill="1" applyBorder="1" applyAlignment="1">
      <alignment horizontal="center" vertical="center" wrapText="1"/>
    </xf>
    <xf numFmtId="0" fontId="74" fillId="11" borderId="616" xfId="0" applyFont="1" applyFill="1" applyBorder="1" applyAlignment="1">
      <alignment horizontal="center" vertical="center" wrapText="1"/>
    </xf>
    <xf numFmtId="0" fontId="74" fillId="11" borderId="0" xfId="0" applyFont="1" applyFill="1" applyBorder="1" applyAlignment="1">
      <alignment horizontal="center" vertical="center" wrapText="1"/>
    </xf>
    <xf numFmtId="0" fontId="74" fillId="11" borderId="6" xfId="0" applyFont="1" applyFill="1" applyBorder="1" applyAlignment="1">
      <alignment horizontal="center" vertical="center" wrapText="1"/>
    </xf>
    <xf numFmtId="0" fontId="74" fillId="4" borderId="669" xfId="0" quotePrefix="1" applyFont="1" applyFill="1" applyBorder="1" applyAlignment="1">
      <alignment horizontal="center" vertical="center"/>
    </xf>
    <xf numFmtId="0" fontId="74" fillId="4" borderId="461" xfId="0" quotePrefix="1" applyFont="1" applyFill="1" applyBorder="1" applyAlignment="1">
      <alignment horizontal="center" vertical="center"/>
    </xf>
    <xf numFmtId="0" fontId="74" fillId="4" borderId="642" xfId="0" quotePrefix="1" applyFont="1" applyFill="1" applyBorder="1" applyAlignment="1">
      <alignment horizontal="center" vertical="center"/>
    </xf>
    <xf numFmtId="0" fontId="74" fillId="6" borderId="858" xfId="0" applyFont="1" applyFill="1" applyBorder="1" applyAlignment="1">
      <alignment horizontal="center" vertical="center" wrapText="1"/>
    </xf>
    <xf numFmtId="0" fontId="74" fillId="6" borderId="573" xfId="0" applyFont="1" applyFill="1" applyBorder="1" applyAlignment="1">
      <alignment horizontal="center" vertical="center" wrapText="1"/>
    </xf>
    <xf numFmtId="0" fontId="74" fillId="6" borderId="861" xfId="0" applyFont="1" applyFill="1" applyBorder="1" applyAlignment="1">
      <alignment horizontal="center" vertical="center" wrapText="1"/>
    </xf>
    <xf numFmtId="0" fontId="74" fillId="6" borderId="644" xfId="0" applyFont="1" applyFill="1" applyBorder="1" applyAlignment="1">
      <alignment horizontal="center" vertical="center" wrapText="1"/>
    </xf>
    <xf numFmtId="0" fontId="74" fillId="6" borderId="0" xfId="0" applyFont="1" applyFill="1" applyBorder="1" applyAlignment="1">
      <alignment horizontal="center" vertical="center" wrapText="1"/>
    </xf>
    <xf numFmtId="0" fontId="74" fillId="6" borderId="518" xfId="0" applyFont="1" applyFill="1" applyBorder="1" applyAlignment="1">
      <alignment horizontal="center" vertical="center" wrapText="1"/>
    </xf>
    <xf numFmtId="0" fontId="66" fillId="8" borderId="644" xfId="0" applyFont="1" applyFill="1" applyBorder="1" applyAlignment="1">
      <alignment horizontal="left" vertical="center"/>
    </xf>
    <xf numFmtId="0" fontId="66" fillId="8" borderId="0" xfId="0" applyFont="1" applyFill="1" applyBorder="1" applyAlignment="1">
      <alignment horizontal="left" vertical="center"/>
    </xf>
    <xf numFmtId="0" fontId="66" fillId="8" borderId="518" xfId="0" applyFont="1" applyFill="1" applyBorder="1" applyAlignment="1">
      <alignment horizontal="left" vertical="center"/>
    </xf>
    <xf numFmtId="0" fontId="113" fillId="8" borderId="0" xfId="0" applyFont="1" applyFill="1" applyBorder="1" applyAlignment="1">
      <alignment horizontal="center" vertical="center" wrapText="1"/>
    </xf>
    <xf numFmtId="0" fontId="113" fillId="8" borderId="518" xfId="0" applyFont="1" applyFill="1" applyBorder="1" applyAlignment="1">
      <alignment horizontal="center" vertical="center" wrapText="1"/>
    </xf>
    <xf numFmtId="0" fontId="66" fillId="5" borderId="0" xfId="0" applyFont="1" applyFill="1" applyBorder="1" applyAlignment="1">
      <alignment horizontal="left" vertical="center"/>
    </xf>
    <xf numFmtId="0" fontId="66" fillId="5" borderId="518" xfId="0" applyFont="1" applyFill="1" applyBorder="1" applyAlignment="1">
      <alignment horizontal="left" vertical="center"/>
    </xf>
    <xf numFmtId="0" fontId="100" fillId="8" borderId="0" xfId="0" applyFont="1" applyFill="1" applyBorder="1" applyAlignment="1">
      <alignment horizontal="center" vertical="center" wrapText="1"/>
    </xf>
    <xf numFmtId="0" fontId="100" fillId="8" borderId="518" xfId="0" applyFont="1" applyFill="1" applyBorder="1" applyAlignment="1">
      <alignment horizontal="center" vertical="center" wrapText="1"/>
    </xf>
    <xf numFmtId="0" fontId="86" fillId="5" borderId="0" xfId="0" applyFont="1" applyFill="1" applyBorder="1" applyAlignment="1">
      <alignment horizontal="left" vertical="center"/>
    </xf>
    <xf numFmtId="0" fontId="86" fillId="5" borderId="518" xfId="0" applyFont="1" applyFill="1" applyBorder="1" applyAlignment="1">
      <alignment horizontal="left" vertical="center"/>
    </xf>
    <xf numFmtId="0" fontId="74" fillId="4" borderId="1195" xfId="0" quotePrefix="1" applyFont="1" applyFill="1" applyBorder="1" applyAlignment="1">
      <alignment horizontal="center" vertical="center"/>
    </xf>
    <xf numFmtId="0" fontId="74" fillId="4" borderId="643" xfId="0" quotePrefix="1" applyFont="1" applyFill="1" applyBorder="1" applyAlignment="1">
      <alignment horizontal="center" vertical="center"/>
    </xf>
    <xf numFmtId="0" fontId="74" fillId="43" borderId="206" xfId="0" applyFont="1" applyFill="1" applyBorder="1" applyAlignment="1">
      <alignment horizontal="center" vertical="center" wrapText="1"/>
    </xf>
    <xf numFmtId="0" fontId="74" fillId="43" borderId="264" xfId="0" applyFont="1" applyFill="1" applyBorder="1" applyAlignment="1">
      <alignment horizontal="center" vertical="center" wrapText="1"/>
    </xf>
    <xf numFmtId="0" fontId="74" fillId="43" borderId="267" xfId="0" applyFont="1" applyFill="1" applyBorder="1" applyAlignment="1">
      <alignment horizontal="center" vertical="center" wrapText="1"/>
    </xf>
    <xf numFmtId="0" fontId="74" fillId="43" borderId="4" xfId="0" applyFont="1" applyFill="1" applyBorder="1" applyAlignment="1">
      <alignment horizontal="center" vertical="center" wrapText="1"/>
    </xf>
    <xf numFmtId="0" fontId="74" fillId="43" borderId="0" xfId="0" applyFont="1" applyFill="1" applyBorder="1" applyAlignment="1">
      <alignment horizontal="center" vertical="center" wrapText="1"/>
    </xf>
    <xf numFmtId="0" fontId="74" fillId="43" borderId="611" xfId="0" applyFont="1" applyFill="1" applyBorder="1" applyAlignment="1">
      <alignment horizontal="center" vertical="center" wrapText="1"/>
    </xf>
    <xf numFmtId="0" fontId="74" fillId="11" borderId="611" xfId="0" applyFont="1" applyFill="1" applyBorder="1" applyAlignment="1">
      <alignment horizontal="center" vertical="center" wrapText="1"/>
    </xf>
    <xf numFmtId="0" fontId="9" fillId="9" borderId="190" xfId="0" applyFont="1" applyFill="1" applyBorder="1" applyAlignment="1">
      <alignment horizontal="center" vertical="center" wrapText="1"/>
    </xf>
    <xf numFmtId="0" fontId="9" fillId="9" borderId="188" xfId="0" applyFont="1" applyFill="1" applyBorder="1" applyAlignment="1">
      <alignment horizontal="center" vertical="center" wrapText="1"/>
    </xf>
    <xf numFmtId="0" fontId="9" fillId="9" borderId="241" xfId="0" applyFont="1" applyFill="1" applyBorder="1" applyAlignment="1">
      <alignment horizontal="center" vertical="center" wrapText="1"/>
    </xf>
    <xf numFmtId="0" fontId="0" fillId="0" borderId="243" xfId="0" applyFill="1" applyBorder="1" applyAlignment="1">
      <alignment horizontal="center" vertical="center" wrapText="1"/>
    </xf>
    <xf numFmtId="0" fontId="0" fillId="0" borderId="188" xfId="0" applyFill="1" applyBorder="1" applyAlignment="1">
      <alignment horizontal="center" vertical="center" wrapText="1"/>
    </xf>
    <xf numFmtId="0" fontId="0" fillId="2" borderId="245" xfId="0" applyFill="1" applyBorder="1" applyAlignment="1">
      <alignment horizontal="center" vertical="center" wrapText="1"/>
    </xf>
    <xf numFmtId="0" fontId="0" fillId="2" borderId="188" xfId="0" applyFill="1" applyBorder="1" applyAlignment="1">
      <alignment horizontal="center" vertical="center" wrapText="1"/>
    </xf>
    <xf numFmtId="0" fontId="0" fillId="2" borderId="246" xfId="0" applyFill="1" applyBorder="1" applyAlignment="1">
      <alignment horizontal="center" vertical="center" wrapText="1"/>
    </xf>
    <xf numFmtId="0" fontId="0" fillId="0" borderId="191" xfId="0" applyFill="1" applyBorder="1" applyAlignment="1">
      <alignment horizontal="center" vertical="center" wrapText="1"/>
    </xf>
    <xf numFmtId="0" fontId="9" fillId="11" borderId="206" xfId="0" applyFont="1" applyFill="1" applyBorder="1" applyAlignment="1">
      <alignment horizontal="center" vertical="center" wrapText="1"/>
    </xf>
    <xf numFmtId="0" fontId="9" fillId="11" borderId="264" xfId="0" applyFont="1" applyFill="1" applyBorder="1" applyAlignment="1">
      <alignment horizontal="center" vertical="center" wrapText="1"/>
    </xf>
    <xf numFmtId="0" fontId="9" fillId="11" borderId="267" xfId="0" applyFont="1" applyFill="1" applyBorder="1" applyAlignment="1">
      <alignment horizontal="center" vertical="center" wrapText="1"/>
    </xf>
    <xf numFmtId="0" fontId="9" fillId="0" borderId="251" xfId="0" applyFont="1" applyFill="1" applyBorder="1" applyAlignment="1">
      <alignment horizontal="center" vertical="center" wrapText="1"/>
    </xf>
    <xf numFmtId="0" fontId="9" fillId="0" borderId="256" xfId="0" applyFont="1" applyFill="1" applyBorder="1" applyAlignment="1">
      <alignment horizontal="center" vertical="center" wrapText="1"/>
    </xf>
    <xf numFmtId="0" fontId="9" fillId="0" borderId="258" xfId="0" applyFont="1" applyFill="1" applyBorder="1" applyAlignment="1">
      <alignment horizontal="center" vertical="center" wrapText="1"/>
    </xf>
    <xf numFmtId="0" fontId="9" fillId="0" borderId="260" xfId="0" applyFont="1" applyFill="1" applyBorder="1" applyAlignment="1">
      <alignment horizontal="center" vertical="center" wrapText="1"/>
    </xf>
    <xf numFmtId="0" fontId="9" fillId="0" borderId="262" xfId="0" applyFont="1" applyFill="1" applyBorder="1" applyAlignment="1">
      <alignment horizontal="center" vertical="center" wrapText="1"/>
    </xf>
    <xf numFmtId="0" fontId="0" fillId="6" borderId="538" xfId="0" applyFill="1" applyBorder="1" applyAlignment="1">
      <alignment horizontal="center" vertical="center" wrapText="1"/>
    </xf>
    <xf numFmtId="0" fontId="0" fillId="6" borderId="539" xfId="0" applyFill="1" applyBorder="1" applyAlignment="1">
      <alignment horizontal="center" vertical="center" wrapText="1"/>
    </xf>
    <xf numFmtId="0" fontId="4" fillId="11" borderId="294" xfId="0" applyFont="1" applyFill="1" applyBorder="1" applyAlignment="1">
      <alignment horizontal="center" vertical="center"/>
    </xf>
    <xf numFmtId="0" fontId="4" fillId="11" borderId="295" xfId="0" applyFont="1" applyFill="1" applyBorder="1" applyAlignment="1">
      <alignment horizontal="center" vertical="center"/>
    </xf>
    <xf numFmtId="0" fontId="4" fillId="0" borderId="313" xfId="0" quotePrefix="1" applyFont="1" applyBorder="1" applyAlignment="1">
      <alignment horizontal="left" vertical="center"/>
    </xf>
    <xf numFmtId="0" fontId="4" fillId="0" borderId="302" xfId="0" quotePrefix="1" applyFont="1" applyBorder="1" applyAlignment="1">
      <alignment horizontal="left" vertical="center"/>
    </xf>
    <xf numFmtId="0" fontId="4" fillId="11" borderId="302" xfId="0" quotePrefix="1" applyFont="1" applyFill="1" applyBorder="1" applyAlignment="1">
      <alignment horizontal="left" vertical="center"/>
    </xf>
    <xf numFmtId="0" fontId="4" fillId="11" borderId="303" xfId="0" quotePrefix="1" applyFont="1" applyFill="1" applyBorder="1" applyAlignment="1">
      <alignment horizontal="left" vertical="center"/>
    </xf>
    <xf numFmtId="0" fontId="4" fillId="11" borderId="296" xfId="0" applyFont="1" applyFill="1" applyBorder="1" applyAlignment="1">
      <alignment horizontal="center" vertical="center"/>
    </xf>
    <xf numFmtId="0" fontId="4" fillId="11" borderId="312" xfId="0" quotePrefix="1" applyFont="1" applyFill="1" applyBorder="1" applyAlignment="1">
      <alignment horizontal="left" vertical="center"/>
    </xf>
    <xf numFmtId="0" fontId="4" fillId="0" borderId="297" xfId="0" quotePrefix="1" applyFont="1" applyBorder="1" applyAlignment="1">
      <alignment horizontal="left" vertical="center"/>
    </xf>
    <xf numFmtId="0" fontId="4" fillId="2" borderId="302" xfId="0" quotePrefix="1" applyFont="1" applyFill="1" applyBorder="1" applyAlignment="1">
      <alignment horizontal="left" vertical="center"/>
    </xf>
    <xf numFmtId="0" fontId="4" fillId="0" borderId="303" xfId="0" quotePrefix="1" applyFont="1" applyBorder="1" applyAlignment="1">
      <alignment horizontal="left" vertical="center"/>
    </xf>
    <xf numFmtId="0" fontId="4" fillId="11" borderId="304" xfId="0" quotePrefix="1" applyFont="1" applyFill="1" applyBorder="1" applyAlignment="1">
      <alignment horizontal="left" vertical="center"/>
    </xf>
    <xf numFmtId="0" fontId="4" fillId="11" borderId="305" xfId="0" quotePrefix="1" applyFont="1" applyFill="1" applyBorder="1" applyAlignment="1">
      <alignment horizontal="left" vertical="center"/>
    </xf>
    <xf numFmtId="0" fontId="37" fillId="8" borderId="0" xfId="0" applyFont="1" applyFill="1" applyBorder="1" applyAlignment="1">
      <alignment horizontal="center" vertical="center" wrapText="1"/>
    </xf>
    <xf numFmtId="0" fontId="37" fillId="8" borderId="518" xfId="0" applyFont="1" applyFill="1" applyBorder="1" applyAlignment="1">
      <alignment horizontal="center" vertical="center" wrapText="1"/>
    </xf>
    <xf numFmtId="0" fontId="37" fillId="8" borderId="621" xfId="0" applyFont="1" applyFill="1" applyBorder="1" applyAlignment="1">
      <alignment horizontal="center" vertical="center" wrapText="1"/>
    </xf>
    <xf numFmtId="0" fontId="9" fillId="43" borderId="472" xfId="0" applyFont="1" applyFill="1" applyBorder="1" applyAlignment="1">
      <alignment horizontal="center" vertical="center" wrapText="1"/>
    </xf>
    <xf numFmtId="0" fontId="9" fillId="43" borderId="485" xfId="0" applyFont="1" applyFill="1" applyBorder="1" applyAlignment="1">
      <alignment horizontal="center" vertical="center" wrapText="1"/>
    </xf>
    <xf numFmtId="0" fontId="9" fillId="43" borderId="478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518" xfId="0" applyFont="1" applyFill="1" applyBorder="1" applyAlignment="1">
      <alignment horizontal="center" vertical="center" wrapText="1"/>
    </xf>
    <xf numFmtId="0" fontId="9" fillId="6" borderId="621" xfId="0" applyFont="1" applyFill="1" applyBorder="1" applyAlignment="1">
      <alignment horizontal="center" vertical="center" wrapText="1"/>
    </xf>
    <xf numFmtId="0" fontId="9" fillId="43" borderId="465" xfId="0" applyFont="1" applyFill="1" applyBorder="1" applyAlignment="1">
      <alignment horizontal="center" vertical="center" wrapText="1"/>
    </xf>
    <xf numFmtId="0" fontId="9" fillId="43" borderId="0" xfId="0" applyFont="1" applyFill="1" applyBorder="1" applyAlignment="1">
      <alignment horizontal="center" vertical="center" wrapText="1"/>
    </xf>
    <xf numFmtId="0" fontId="9" fillId="43" borderId="611" xfId="0" applyFont="1" applyFill="1" applyBorder="1" applyAlignment="1">
      <alignment horizontal="center" vertical="center" wrapText="1"/>
    </xf>
    <xf numFmtId="0" fontId="9" fillId="11" borderId="616" xfId="0" applyFont="1" applyFill="1" applyBorder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 wrapText="1"/>
    </xf>
    <xf numFmtId="0" fontId="9" fillId="11" borderId="479" xfId="0" applyFont="1" applyFill="1" applyBorder="1" applyAlignment="1">
      <alignment horizontal="center" vertical="center" wrapText="1"/>
    </xf>
    <xf numFmtId="0" fontId="9" fillId="11" borderId="611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5" borderId="518" xfId="0" applyFill="1" applyBorder="1" applyAlignment="1">
      <alignment horizontal="center" vertical="center"/>
    </xf>
    <xf numFmtId="0" fontId="0" fillId="5" borderId="621" xfId="0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518" xfId="0" applyFill="1" applyBorder="1" applyAlignment="1">
      <alignment horizontal="center" vertical="center"/>
    </xf>
    <xf numFmtId="0" fontId="5" fillId="4" borderId="472" xfId="0" applyFont="1" applyFill="1" applyBorder="1" applyAlignment="1">
      <alignment horizontal="center" vertical="center"/>
    </xf>
    <xf numFmtId="0" fontId="5" fillId="4" borderId="465" xfId="0" applyFont="1" applyFill="1" applyBorder="1" applyAlignment="1">
      <alignment horizontal="center" vertical="center"/>
    </xf>
    <xf numFmtId="0" fontId="5" fillId="4" borderId="473" xfId="0" applyFont="1" applyFill="1" applyBorder="1" applyAlignment="1">
      <alignment horizontal="center" vertical="center"/>
    </xf>
    <xf numFmtId="0" fontId="66" fillId="6" borderId="701" xfId="0" applyFont="1" applyFill="1" applyBorder="1" applyAlignment="1">
      <alignment horizontal="center" vertical="center" wrapText="1"/>
    </xf>
    <xf numFmtId="0" fontId="66" fillId="6" borderId="702" xfId="0" applyFont="1" applyFill="1" applyBorder="1" applyAlignment="1">
      <alignment horizontal="center" vertical="center" wrapText="1"/>
    </xf>
    <xf numFmtId="0" fontId="86" fillId="6" borderId="702" xfId="0" applyFont="1" applyFill="1" applyBorder="1" applyAlignment="1">
      <alignment horizontal="center" vertical="center" wrapText="1"/>
    </xf>
    <xf numFmtId="0" fontId="86" fillId="6" borderId="703" xfId="0" applyFont="1" applyFill="1" applyBorder="1" applyAlignment="1">
      <alignment horizontal="center" vertical="center" wrapText="1"/>
    </xf>
    <xf numFmtId="0" fontId="66" fillId="11" borderId="704" xfId="0" applyFont="1" applyFill="1" applyBorder="1" applyAlignment="1">
      <alignment horizontal="center" vertical="center"/>
    </xf>
    <xf numFmtId="0" fontId="66" fillId="11" borderId="705" xfId="0" applyFont="1" applyFill="1" applyBorder="1" applyAlignment="1">
      <alignment horizontal="center" vertical="center"/>
    </xf>
    <xf numFmtId="0" fontId="66" fillId="11" borderId="706" xfId="0" applyFont="1" applyFill="1" applyBorder="1" applyAlignment="1">
      <alignment horizontal="center" vertical="center"/>
    </xf>
    <xf numFmtId="0" fontId="66" fillId="0" borderId="297" xfId="0" quotePrefix="1" applyFont="1" applyBorder="1" applyAlignment="1">
      <alignment horizontal="left" vertical="center"/>
    </xf>
    <xf numFmtId="0" fontId="66" fillId="0" borderId="302" xfId="0" quotePrefix="1" applyFont="1" applyBorder="1" applyAlignment="1">
      <alignment horizontal="left" vertical="center"/>
    </xf>
    <xf numFmtId="0" fontId="66" fillId="2" borderId="302" xfId="0" quotePrefix="1" applyFont="1" applyFill="1" applyBorder="1" applyAlignment="1">
      <alignment horizontal="left" vertical="center"/>
    </xf>
    <xf numFmtId="0" fontId="66" fillId="0" borderId="303" xfId="0" quotePrefix="1" applyFont="1" applyBorder="1" applyAlignment="1">
      <alignment horizontal="left" vertical="center"/>
    </xf>
    <xf numFmtId="0" fontId="66" fillId="11" borderId="302" xfId="0" quotePrefix="1" applyFont="1" applyFill="1" applyBorder="1" applyAlignment="1">
      <alignment horizontal="left" vertical="center"/>
    </xf>
    <xf numFmtId="0" fontId="66" fillId="11" borderId="312" xfId="0" quotePrefix="1" applyFont="1" applyFill="1" applyBorder="1" applyAlignment="1">
      <alignment horizontal="left" vertical="center"/>
    </xf>
    <xf numFmtId="0" fontId="66" fillId="11" borderId="303" xfId="0" quotePrefix="1" applyFont="1" applyFill="1" applyBorder="1" applyAlignment="1">
      <alignment horizontal="left" vertical="center"/>
    </xf>
    <xf numFmtId="0" fontId="66" fillId="11" borderId="304" xfId="0" quotePrefix="1" applyFont="1" applyFill="1" applyBorder="1" applyAlignment="1">
      <alignment horizontal="left" vertical="center"/>
    </xf>
    <xf numFmtId="0" fontId="66" fillId="11" borderId="305" xfId="0" quotePrefix="1" applyFont="1" applyFill="1" applyBorder="1" applyAlignment="1">
      <alignment horizontal="left" vertical="center"/>
    </xf>
    <xf numFmtId="0" fontId="66" fillId="0" borderId="313" xfId="0" quotePrefix="1" applyFont="1" applyBorder="1" applyAlignment="1">
      <alignment horizontal="left" vertical="center"/>
    </xf>
    <xf numFmtId="0" fontId="74" fillId="4" borderId="773" xfId="0" quotePrefix="1" applyFont="1" applyFill="1" applyBorder="1" applyAlignment="1">
      <alignment horizontal="center" vertical="center"/>
    </xf>
    <xf numFmtId="0" fontId="74" fillId="4" borderId="693" xfId="0" quotePrefix="1" applyFont="1" applyFill="1" applyBorder="1" applyAlignment="1">
      <alignment horizontal="center" vertical="center"/>
    </xf>
    <xf numFmtId="0" fontId="75" fillId="9" borderId="707" xfId="0" applyFont="1" applyFill="1" applyBorder="1" applyAlignment="1">
      <alignment horizontal="center" vertical="center" wrapText="1"/>
    </xf>
    <xf numFmtId="0" fontId="75" fillId="9" borderId="717" xfId="0" applyFont="1" applyFill="1" applyBorder="1" applyAlignment="1">
      <alignment horizontal="center" vertical="center"/>
    </xf>
    <xf numFmtId="0" fontId="75" fillId="9" borderId="723" xfId="0" applyFont="1" applyFill="1" applyBorder="1" applyAlignment="1">
      <alignment horizontal="center" vertical="center"/>
    </xf>
    <xf numFmtId="0" fontId="67" fillId="15" borderId="741" xfId="0" applyFont="1" applyFill="1" applyBorder="1" applyAlignment="1">
      <alignment horizontal="center" vertical="center"/>
    </xf>
    <xf numFmtId="0" fontId="67" fillId="6" borderId="743" xfId="0" applyFont="1" applyFill="1" applyBorder="1" applyAlignment="1">
      <alignment horizontal="center" vertical="center"/>
    </xf>
    <xf numFmtId="0" fontId="67" fillId="6" borderId="742" xfId="0" applyFont="1" applyFill="1" applyBorder="1" applyAlignment="1">
      <alignment horizontal="center" vertical="center"/>
    </xf>
    <xf numFmtId="0" fontId="75" fillId="11" borderId="223" xfId="0" applyFont="1" applyFill="1" applyBorder="1" applyAlignment="1">
      <alignment horizontal="center" vertical="center" wrapText="1"/>
    </xf>
    <xf numFmtId="0" fontId="75" fillId="11" borderId="208" xfId="0" applyFont="1" applyFill="1" applyBorder="1" applyAlignment="1">
      <alignment horizontal="center" vertical="center" wrapText="1"/>
    </xf>
    <xf numFmtId="0" fontId="75" fillId="11" borderId="210" xfId="0" applyFont="1" applyFill="1" applyBorder="1" applyAlignment="1">
      <alignment horizontal="center" vertical="center" wrapText="1"/>
    </xf>
    <xf numFmtId="0" fontId="86" fillId="15" borderId="741" xfId="0" applyFont="1" applyFill="1" applyBorder="1" applyAlignment="1">
      <alignment horizontal="center" vertical="center"/>
    </xf>
    <xf numFmtId="0" fontId="86" fillId="29" borderId="743" xfId="0" applyFont="1" applyFill="1" applyBorder="1" applyAlignment="1">
      <alignment horizontal="center" vertical="center"/>
    </xf>
    <xf numFmtId="0" fontId="86" fillId="29" borderId="742" xfId="0" applyFont="1" applyFill="1" applyBorder="1" applyAlignment="1">
      <alignment horizontal="center" vertical="center"/>
    </xf>
    <xf numFmtId="0" fontId="74" fillId="4" borderId="749" xfId="0" quotePrefix="1" applyFont="1" applyFill="1" applyBorder="1" applyAlignment="1">
      <alignment horizontal="center" vertical="center"/>
    </xf>
    <xf numFmtId="0" fontId="88" fillId="4" borderId="750" xfId="0" quotePrefix="1" applyFont="1" applyFill="1" applyBorder="1" applyAlignment="1">
      <alignment horizontal="center" vertical="center"/>
    </xf>
    <xf numFmtId="0" fontId="88" fillId="4" borderId="751" xfId="0" quotePrefix="1" applyFont="1" applyFill="1" applyBorder="1" applyAlignment="1">
      <alignment horizontal="center" vertical="center"/>
    </xf>
    <xf numFmtId="0" fontId="74" fillId="4" borderId="745" xfId="0" quotePrefix="1" applyFont="1" applyFill="1" applyBorder="1" applyAlignment="1">
      <alignment horizontal="center" vertical="center"/>
    </xf>
    <xf numFmtId="0" fontId="74" fillId="4" borderId="746" xfId="0" quotePrefix="1" applyFont="1" applyFill="1" applyBorder="1" applyAlignment="1">
      <alignment horizontal="center" vertical="center"/>
    </xf>
    <xf numFmtId="0" fontId="74" fillId="4" borderId="747" xfId="0" quotePrefix="1" applyFont="1" applyFill="1" applyBorder="1" applyAlignment="1">
      <alignment horizontal="center" vertical="center"/>
    </xf>
    <xf numFmtId="0" fontId="75" fillId="15" borderId="223" xfId="0" applyFont="1" applyFill="1" applyBorder="1" applyAlignment="1">
      <alignment horizontal="center" vertical="center" wrapText="1"/>
    </xf>
    <xf numFmtId="0" fontId="75" fillId="15" borderId="208" xfId="0" applyFont="1" applyFill="1" applyBorder="1" applyAlignment="1">
      <alignment horizontal="center" vertical="center" wrapText="1"/>
    </xf>
    <xf numFmtId="0" fontId="75" fillId="15" borderId="896" xfId="0" applyFont="1" applyFill="1" applyBorder="1" applyAlignment="1">
      <alignment horizontal="center" vertical="center" wrapText="1"/>
    </xf>
    <xf numFmtId="0" fontId="109" fillId="31" borderId="6" xfId="0" quotePrefix="1" applyFont="1" applyFill="1" applyBorder="1" applyAlignment="1">
      <alignment horizontal="center" vertical="center"/>
    </xf>
    <xf numFmtId="0" fontId="110" fillId="6" borderId="741" xfId="0" applyFont="1" applyFill="1" applyBorder="1" applyAlignment="1">
      <alignment horizontal="center" vertical="center"/>
    </xf>
    <xf numFmtId="221" fontId="86" fillId="0" borderId="502" xfId="0" applyNumberFormat="1" applyFont="1" applyBorder="1" applyAlignment="1">
      <alignment horizontal="center" vertical="center"/>
    </xf>
    <xf numFmtId="221" fontId="66" fillId="34" borderId="0" xfId="0" applyNumberFormat="1" applyFont="1" applyFill="1" applyBorder="1" applyAlignment="1">
      <alignment horizontal="center" vertical="center"/>
    </xf>
    <xf numFmtId="221" fontId="66" fillId="0" borderId="0" xfId="0" applyNumberFormat="1" applyFont="1" applyBorder="1" applyAlignment="1">
      <alignment horizontal="center" vertical="center"/>
    </xf>
    <xf numFmtId="0" fontId="67" fillId="4" borderId="661" xfId="0" quotePrefix="1" applyFont="1" applyFill="1" applyBorder="1" applyAlignment="1">
      <alignment horizontal="center" vertical="center"/>
    </xf>
    <xf numFmtId="0" fontId="86" fillId="4" borderId="472" xfId="0" quotePrefix="1" applyFont="1" applyFill="1" applyBorder="1" applyAlignment="1">
      <alignment horizontal="center" vertical="center"/>
    </xf>
    <xf numFmtId="0" fontId="86" fillId="4" borderId="465" xfId="0" quotePrefix="1" applyFont="1" applyFill="1" applyBorder="1" applyAlignment="1">
      <alignment horizontal="center" vertical="center"/>
    </xf>
    <xf numFmtId="0" fontId="86" fillId="4" borderId="661" xfId="0" quotePrefix="1" applyFont="1" applyFill="1" applyBorder="1" applyAlignment="1">
      <alignment horizontal="center" vertical="center"/>
    </xf>
    <xf numFmtId="221" fontId="66" fillId="47" borderId="894" xfId="0" applyNumberFormat="1" applyFont="1" applyFill="1" applyBorder="1" applyAlignment="1">
      <alignment horizontal="center" vertical="center"/>
    </xf>
    <xf numFmtId="221" fontId="66" fillId="0" borderId="892" xfId="0" applyNumberFormat="1" applyFont="1" applyBorder="1" applyAlignment="1">
      <alignment horizontal="center" vertical="center"/>
    </xf>
    <xf numFmtId="221" fontId="66" fillId="51" borderId="894" xfId="0" applyNumberFormat="1" applyFont="1" applyFill="1" applyBorder="1" applyAlignment="1">
      <alignment horizontal="center" vertical="center"/>
    </xf>
    <xf numFmtId="221" fontId="66" fillId="47" borderId="892" xfId="0" applyNumberFormat="1" applyFont="1" applyFill="1" applyBorder="1" applyAlignment="1">
      <alignment horizontal="center" vertical="center"/>
    </xf>
    <xf numFmtId="221" fontId="66" fillId="47" borderId="0" xfId="0" applyNumberFormat="1" applyFont="1" applyFill="1" applyBorder="1" applyAlignment="1">
      <alignment horizontal="center" vertical="center"/>
    </xf>
    <xf numFmtId="0" fontId="67" fillId="43" borderId="741" xfId="0" applyFont="1" applyFill="1" applyBorder="1" applyAlignment="1">
      <alignment horizontal="center" vertical="center"/>
    </xf>
    <xf numFmtId="221" fontId="112" fillId="50" borderId="4" xfId="0" applyNumberFormat="1" applyFont="1" applyFill="1" applyBorder="1" applyAlignment="1">
      <alignment horizontal="center" vertical="center"/>
    </xf>
    <xf numFmtId="221" fontId="66" fillId="51" borderId="0" xfId="0" applyNumberFormat="1" applyFont="1" applyFill="1" applyBorder="1" applyAlignment="1">
      <alignment horizontal="center" vertical="center"/>
    </xf>
    <xf numFmtId="0" fontId="67" fillId="4" borderId="741" xfId="0" applyFont="1" applyFill="1" applyBorder="1" applyAlignment="1">
      <alignment horizontal="center" vertical="center"/>
    </xf>
    <xf numFmtId="221" fontId="86" fillId="0" borderId="0" xfId="0" applyNumberFormat="1" applyFont="1" applyBorder="1" applyAlignment="1">
      <alignment horizontal="center" vertical="center"/>
    </xf>
    <xf numFmtId="0" fontId="100" fillId="8" borderId="1043" xfId="0" applyFont="1" applyFill="1" applyBorder="1" applyAlignment="1">
      <alignment horizontal="left" vertical="center"/>
    </xf>
    <xf numFmtId="0" fontId="100" fillId="8" borderId="1044" xfId="0" applyFont="1" applyFill="1" applyBorder="1" applyAlignment="1">
      <alignment horizontal="left" vertical="center"/>
    </xf>
    <xf numFmtId="0" fontId="98" fillId="6" borderId="1042" xfId="0" applyFont="1" applyFill="1" applyBorder="1" applyAlignment="1">
      <alignment horizontal="center" vertical="center" wrapText="1"/>
    </xf>
    <xf numFmtId="0" fontId="98" fillId="6" borderId="1035" xfId="0" applyFont="1" applyFill="1" applyBorder="1" applyAlignment="1">
      <alignment horizontal="center" vertical="center" wrapText="1"/>
    </xf>
    <xf numFmtId="0" fontId="98" fillId="6" borderId="1065" xfId="0" applyFont="1" applyFill="1" applyBorder="1" applyAlignment="1">
      <alignment horizontal="center" vertical="center" wrapText="1"/>
    </xf>
    <xf numFmtId="0" fontId="74" fillId="4" borderId="1167" xfId="0" quotePrefix="1" applyFont="1" applyFill="1" applyBorder="1" applyAlignment="1">
      <alignment horizontal="center" vertical="center"/>
    </xf>
    <xf numFmtId="0" fontId="88" fillId="4" borderId="1124" xfId="0" quotePrefix="1" applyFont="1" applyFill="1" applyBorder="1" applyAlignment="1">
      <alignment horizontal="center" vertical="center"/>
    </xf>
    <xf numFmtId="0" fontId="88" fillId="4" borderId="1168" xfId="0" quotePrefix="1" applyFont="1" applyFill="1" applyBorder="1" applyAlignment="1">
      <alignment horizontal="center" vertical="center"/>
    </xf>
    <xf numFmtId="0" fontId="74" fillId="4" borderId="857" xfId="0" quotePrefix="1" applyFont="1" applyFill="1" applyBorder="1" applyAlignment="1">
      <alignment horizontal="center" vertical="center"/>
    </xf>
    <xf numFmtId="0" fontId="67" fillId="43" borderId="689" xfId="0" applyFont="1" applyFill="1" applyBorder="1" applyAlignment="1">
      <alignment horizontal="center" vertical="center"/>
    </xf>
    <xf numFmtId="0" fontId="67" fillId="43" borderId="68" xfId="0" applyFont="1" applyFill="1" applyBorder="1" applyAlignment="1">
      <alignment horizontal="center" vertical="center"/>
    </xf>
    <xf numFmtId="0" fontId="74" fillId="9" borderId="707" xfId="0" applyFont="1" applyFill="1" applyBorder="1" applyAlignment="1">
      <alignment horizontal="center" vertical="center"/>
    </xf>
    <xf numFmtId="0" fontId="74" fillId="9" borderId="717" xfId="0" applyFont="1" applyFill="1" applyBorder="1" applyAlignment="1">
      <alignment horizontal="center" vertical="center"/>
    </xf>
    <xf numFmtId="0" fontId="74" fillId="9" borderId="723" xfId="0" applyFont="1" applyFill="1" applyBorder="1" applyAlignment="1">
      <alignment horizontal="center" vertical="center"/>
    </xf>
    <xf numFmtId="0" fontId="74" fillId="11" borderId="207" xfId="0" applyFont="1" applyFill="1" applyBorder="1" applyAlignment="1">
      <alignment horizontal="center" vertical="center"/>
    </xf>
    <xf numFmtId="0" fontId="74" fillId="11" borderId="210" xfId="0" applyFont="1" applyFill="1" applyBorder="1" applyAlignment="1">
      <alignment horizontal="center" vertical="center"/>
    </xf>
    <xf numFmtId="0" fontId="74" fillId="11" borderId="223" xfId="0" applyFont="1" applyFill="1" applyBorder="1" applyAlignment="1">
      <alignment horizontal="center" vertical="center"/>
    </xf>
    <xf numFmtId="0" fontId="74" fillId="11" borderId="1121" xfId="0" applyFont="1" applyFill="1" applyBorder="1" applyAlignment="1">
      <alignment horizontal="center" vertical="center"/>
    </xf>
    <xf numFmtId="0" fontId="74" fillId="9" borderId="194" xfId="0" applyFont="1" applyFill="1" applyBorder="1" applyAlignment="1">
      <alignment horizontal="center" vertical="center"/>
    </xf>
    <xf numFmtId="0" fontId="74" fillId="11" borderId="214" xfId="0" applyFont="1" applyFill="1" applyBorder="1" applyAlignment="1">
      <alignment horizontal="center" vertical="center" wrapText="1"/>
    </xf>
    <xf numFmtId="0" fontId="74" fillId="11" borderId="142" xfId="0" applyFont="1" applyFill="1" applyBorder="1" applyAlignment="1">
      <alignment horizontal="center" vertical="center" wrapText="1"/>
    </xf>
    <xf numFmtId="0" fontId="74" fillId="4" borderId="736" xfId="0" quotePrefix="1" applyFont="1" applyFill="1" applyBorder="1" applyAlignment="1">
      <alignment horizontal="center" vertical="center"/>
    </xf>
    <xf numFmtId="0" fontId="88" fillId="4" borderId="736" xfId="0" quotePrefix="1" applyFont="1" applyFill="1" applyBorder="1" applyAlignment="1">
      <alignment horizontal="center" vertical="center"/>
    </xf>
    <xf numFmtId="0" fontId="100" fillId="8" borderId="27" xfId="0" applyFont="1" applyFill="1" applyBorder="1" applyAlignment="1">
      <alignment horizontal="left" vertical="center"/>
    </xf>
    <xf numFmtId="0" fontId="100" fillId="8" borderId="1165" xfId="0" applyFont="1" applyFill="1" applyBorder="1" applyAlignment="1">
      <alignment horizontal="left" vertical="center"/>
    </xf>
    <xf numFmtId="0" fontId="101" fillId="0" borderId="991" xfId="0" applyFont="1" applyBorder="1" applyAlignment="1">
      <alignment horizontal="left" vertical="center"/>
    </xf>
    <xf numFmtId="0" fontId="101" fillId="0" borderId="1036" xfId="0" applyFont="1" applyBorder="1" applyAlignment="1">
      <alignment horizontal="left" vertical="center"/>
    </xf>
    <xf numFmtId="0" fontId="9" fillId="9" borderId="193" xfId="0" applyFont="1" applyFill="1" applyBorder="1" applyAlignment="1">
      <alignment horizontal="center" vertical="center"/>
    </xf>
    <xf numFmtId="0" fontId="9" fillId="9" borderId="194" xfId="0" applyFont="1" applyFill="1" applyBorder="1" applyAlignment="1">
      <alignment horizontal="center" vertical="center"/>
    </xf>
    <xf numFmtId="0" fontId="9" fillId="11" borderId="214" xfId="0" applyFont="1" applyFill="1" applyBorder="1" applyAlignment="1">
      <alignment horizontal="center" vertical="center" wrapText="1"/>
    </xf>
    <xf numFmtId="0" fontId="9" fillId="11" borderId="142" xfId="0" applyFont="1" applyFill="1" applyBorder="1" applyAlignment="1">
      <alignment horizontal="center" vertical="center" wrapText="1"/>
    </xf>
    <xf numFmtId="0" fontId="9" fillId="11" borderId="207" xfId="0" applyFont="1" applyFill="1" applyBorder="1" applyAlignment="1">
      <alignment horizontal="center" vertical="center"/>
    </xf>
    <xf numFmtId="0" fontId="9" fillId="11" borderId="210" xfId="0" applyFont="1" applyFill="1" applyBorder="1" applyAlignment="1">
      <alignment horizontal="center" vertical="center"/>
    </xf>
    <xf numFmtId="0" fontId="9" fillId="9" borderId="195" xfId="0" applyFont="1" applyFill="1" applyBorder="1" applyAlignment="1">
      <alignment horizontal="center" vertical="center"/>
    </xf>
    <xf numFmtId="0" fontId="19" fillId="6" borderId="1034" xfId="0" applyFont="1" applyFill="1" applyBorder="1" applyAlignment="1">
      <alignment horizontal="center" vertical="center" wrapText="1"/>
    </xf>
    <xf numFmtId="0" fontId="19" fillId="6" borderId="1035" xfId="0" applyFont="1" applyFill="1" applyBorder="1" applyAlignment="1">
      <alignment horizontal="center" vertical="center" wrapText="1"/>
    </xf>
    <xf numFmtId="0" fontId="19" fillId="6" borderId="1042" xfId="0" applyFont="1" applyFill="1" applyBorder="1" applyAlignment="1">
      <alignment horizontal="center" vertical="center" wrapText="1"/>
    </xf>
    <xf numFmtId="0" fontId="19" fillId="6" borderId="1065" xfId="0" applyFont="1" applyFill="1" applyBorder="1" applyAlignment="1">
      <alignment horizontal="center" vertical="center" wrapText="1"/>
    </xf>
    <xf numFmtId="0" fontId="37" fillId="8" borderId="1043" xfId="0" applyFont="1" applyFill="1" applyBorder="1" applyAlignment="1">
      <alignment horizontal="left" vertical="center"/>
    </xf>
    <xf numFmtId="0" fontId="37" fillId="8" borderId="1044" xfId="0" applyFont="1" applyFill="1" applyBorder="1" applyAlignment="1">
      <alignment horizontal="left" vertical="center"/>
    </xf>
    <xf numFmtId="0" fontId="37" fillId="8" borderId="1023" xfId="0" applyFont="1" applyFill="1" applyBorder="1" applyAlignment="1">
      <alignment horizontal="left" vertical="center"/>
    </xf>
    <xf numFmtId="0" fontId="37" fillId="8" borderId="1024" xfId="0" applyFont="1" applyFill="1" applyBorder="1" applyAlignment="1">
      <alignment horizontal="left" vertical="center"/>
    </xf>
    <xf numFmtId="0" fontId="30" fillId="0" borderId="991" xfId="0" applyFont="1" applyBorder="1" applyAlignment="1">
      <alignment horizontal="left" vertical="center"/>
    </xf>
    <xf numFmtId="0" fontId="30" fillId="0" borderId="1036" xfId="0" applyFont="1" applyBorder="1" applyAlignment="1">
      <alignment horizontal="left" vertical="center"/>
    </xf>
    <xf numFmtId="0" fontId="74" fillId="8" borderId="269" xfId="0" applyFont="1" applyFill="1" applyBorder="1" applyAlignment="1">
      <alignment horizontal="center" vertical="center"/>
    </xf>
    <xf numFmtId="0" fontId="74" fillId="8" borderId="270" xfId="0" applyFont="1" applyFill="1" applyBorder="1" applyAlignment="1">
      <alignment horizontal="center" vertical="center"/>
    </xf>
    <xf numFmtId="0" fontId="74" fillId="8" borderId="272" xfId="0" applyFont="1" applyFill="1" applyBorder="1" applyAlignment="1">
      <alignment horizontal="center" vertical="center"/>
    </xf>
    <xf numFmtId="0" fontId="74" fillId="11" borderId="208" xfId="0" applyFont="1" applyFill="1" applyBorder="1" applyAlignment="1">
      <alignment horizontal="center" vertical="center" wrapText="1"/>
    </xf>
    <xf numFmtId="0" fontId="74" fillId="11" borderId="210" xfId="0" applyFont="1" applyFill="1" applyBorder="1" applyAlignment="1">
      <alignment horizontal="center" vertical="center" wrapText="1"/>
    </xf>
    <xf numFmtId="0" fontId="74" fillId="9" borderId="190" xfId="0" applyFont="1" applyFill="1" applyBorder="1" applyAlignment="1">
      <alignment horizontal="center" vertical="center"/>
    </xf>
    <xf numFmtId="0" fontId="74" fillId="9" borderId="188" xfId="0" applyFont="1" applyFill="1" applyBorder="1" applyAlignment="1">
      <alignment horizontal="center" vertical="center"/>
    </xf>
    <xf numFmtId="0" fontId="74" fillId="9" borderId="191" xfId="0" applyFont="1" applyFill="1" applyBorder="1" applyAlignment="1">
      <alignment horizontal="center" vertical="center"/>
    </xf>
    <xf numFmtId="0" fontId="88" fillId="11" borderId="181" xfId="0" applyFont="1" applyFill="1" applyBorder="1" applyAlignment="1">
      <alignment horizontal="center" vertical="center"/>
    </xf>
    <xf numFmtId="0" fontId="88" fillId="11" borderId="74" xfId="0" applyFont="1" applyFill="1" applyBorder="1" applyAlignment="1">
      <alignment horizontal="center" vertical="center"/>
    </xf>
    <xf numFmtId="0" fontId="88" fillId="11" borderId="75" xfId="0" applyFont="1" applyFill="1" applyBorder="1" applyAlignment="1">
      <alignment horizontal="center" vertical="center"/>
    </xf>
    <xf numFmtId="0" fontId="66" fillId="2" borderId="158" xfId="0" applyFont="1" applyFill="1" applyBorder="1" applyAlignment="1">
      <alignment horizontal="center" vertical="center"/>
    </xf>
    <xf numFmtId="0" fontId="66" fillId="2" borderId="127" xfId="0" applyFont="1" applyFill="1" applyBorder="1" applyAlignment="1">
      <alignment horizontal="center" vertical="center"/>
    </xf>
    <xf numFmtId="0" fontId="78" fillId="5" borderId="885" xfId="0" applyFont="1" applyFill="1" applyBorder="1" applyAlignment="1">
      <alignment horizontal="center" vertical="center"/>
    </xf>
    <xf numFmtId="0" fontId="78" fillId="5" borderId="886" xfId="0" applyFont="1" applyFill="1" applyBorder="1" applyAlignment="1">
      <alignment horizontal="center" vertical="center"/>
    </xf>
    <xf numFmtId="0" fontId="78" fillId="2" borderId="353" xfId="0" applyFont="1" applyFill="1" applyBorder="1" applyAlignment="1">
      <alignment horizontal="center" vertical="center"/>
    </xf>
    <xf numFmtId="0" fontId="78" fillId="2" borderId="354" xfId="0" applyFont="1" applyFill="1" applyBorder="1" applyAlignment="1">
      <alignment horizontal="center" vertical="center"/>
    </xf>
    <xf numFmtId="0" fontId="78" fillId="5" borderId="228" xfId="0" applyFont="1" applyFill="1" applyBorder="1" applyAlignment="1">
      <alignment horizontal="center" vertical="center"/>
    </xf>
    <xf numFmtId="0" fontId="78" fillId="5" borderId="13" xfId="0" applyFont="1" applyFill="1" applyBorder="1" applyAlignment="1">
      <alignment horizontal="center" vertical="center"/>
    </xf>
    <xf numFmtId="0" fontId="74" fillId="4" borderId="739" xfId="0" quotePrefix="1" applyFont="1" applyFill="1" applyBorder="1" applyAlignment="1">
      <alignment horizontal="center" vertical="center"/>
    </xf>
    <xf numFmtId="0" fontId="67" fillId="4" borderId="1125" xfId="0" quotePrefix="1" applyFont="1" applyFill="1" applyBorder="1" applyAlignment="1">
      <alignment horizontal="center" vertical="center"/>
    </xf>
    <xf numFmtId="187" fontId="66" fillId="10" borderId="0" xfId="0" applyNumberFormat="1" applyFont="1" applyFill="1" applyAlignment="1">
      <alignment horizontal="center" vertical="center"/>
    </xf>
    <xf numFmtId="187" fontId="66" fillId="10" borderId="176" xfId="0" applyNumberFormat="1" applyFont="1" applyFill="1" applyBorder="1" applyAlignment="1">
      <alignment horizontal="center" vertical="center"/>
    </xf>
    <xf numFmtId="0" fontId="9" fillId="9" borderId="152" xfId="0" applyFont="1" applyFill="1" applyBorder="1" applyAlignment="1">
      <alignment horizontal="center" vertical="center" wrapText="1"/>
    </xf>
    <xf numFmtId="0" fontId="9" fillId="9" borderId="153" xfId="0" applyFont="1" applyFill="1" applyBorder="1" applyAlignment="1">
      <alignment horizontal="center" vertical="center" wrapText="1"/>
    </xf>
    <xf numFmtId="0" fontId="9" fillId="9" borderId="153" xfId="0" applyFont="1" applyFill="1" applyBorder="1" applyAlignment="1">
      <alignment horizontal="center" vertical="center"/>
    </xf>
    <xf numFmtId="0" fontId="9" fillId="9" borderId="157" xfId="0" applyFont="1" applyFill="1" applyBorder="1" applyAlignment="1">
      <alignment horizontal="center" vertical="center"/>
    </xf>
    <xf numFmtId="0" fontId="9" fillId="9" borderId="193" xfId="0" applyFont="1" applyFill="1" applyBorder="1" applyAlignment="1">
      <alignment horizontal="center" vertical="center" wrapText="1"/>
    </xf>
    <xf numFmtId="0" fontId="9" fillId="9" borderId="724" xfId="0" applyFont="1" applyFill="1" applyBorder="1" applyAlignment="1">
      <alignment horizontal="center" vertical="center"/>
    </xf>
    <xf numFmtId="0" fontId="9" fillId="9" borderId="190" xfId="0" applyFont="1" applyFill="1" applyBorder="1" applyAlignment="1">
      <alignment horizontal="center" vertical="center"/>
    </xf>
    <xf numFmtId="0" fontId="9" fillId="9" borderId="188" xfId="0" applyFont="1" applyFill="1" applyBorder="1" applyAlignment="1">
      <alignment horizontal="center" vertical="center"/>
    </xf>
    <xf numFmtId="0" fontId="9" fillId="9" borderId="191" xfId="0" applyFont="1" applyFill="1" applyBorder="1" applyAlignment="1">
      <alignment horizontal="center" vertical="center"/>
    </xf>
    <xf numFmtId="0" fontId="9" fillId="11" borderId="181" xfId="0" applyFont="1" applyFill="1" applyBorder="1" applyAlignment="1">
      <alignment horizontal="center" vertical="center"/>
    </xf>
    <xf numFmtId="0" fontId="9" fillId="11" borderId="74" xfId="0" applyFont="1" applyFill="1" applyBorder="1" applyAlignment="1">
      <alignment horizontal="center" vertical="center"/>
    </xf>
    <xf numFmtId="0" fontId="9" fillId="11" borderId="75" xfId="0" applyFont="1" applyFill="1" applyBorder="1" applyAlignment="1">
      <alignment horizontal="center" vertical="center"/>
    </xf>
    <xf numFmtId="0" fontId="0" fillId="2" borderId="158" xfId="0" applyFill="1" applyBorder="1" applyAlignment="1">
      <alignment horizontal="center" vertical="center"/>
    </xf>
    <xf numFmtId="0" fontId="0" fillId="2" borderId="126" xfId="0" applyFill="1" applyBorder="1" applyAlignment="1">
      <alignment horizontal="center" vertical="center"/>
    </xf>
    <xf numFmtId="0" fontId="8" fillId="5" borderId="228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11" borderId="208" xfId="0" applyFont="1" applyFill="1" applyBorder="1" applyAlignment="1">
      <alignment horizontal="center" vertical="center" wrapText="1"/>
    </xf>
    <xf numFmtId="0" fontId="9" fillId="11" borderId="210" xfId="0" applyFont="1" applyFill="1" applyBorder="1" applyAlignment="1">
      <alignment horizontal="center" vertical="center" wrapText="1"/>
    </xf>
    <xf numFmtId="0" fontId="8" fillId="2" borderId="353" xfId="0" applyFont="1" applyFill="1" applyBorder="1" applyAlignment="1">
      <alignment horizontal="center" vertical="center"/>
    </xf>
    <xf numFmtId="0" fontId="8" fillId="2" borderId="143" xfId="0" applyFont="1" applyFill="1" applyBorder="1" applyAlignment="1">
      <alignment horizontal="center" vertical="center"/>
    </xf>
    <xf numFmtId="0" fontId="9" fillId="8" borderId="269" xfId="0" applyFont="1" applyFill="1" applyBorder="1" applyAlignment="1">
      <alignment horizontal="center" vertical="center"/>
    </xf>
    <xf numFmtId="0" fontId="9" fillId="8" borderId="270" xfId="0" applyFont="1" applyFill="1" applyBorder="1" applyAlignment="1">
      <alignment horizontal="center" vertical="center"/>
    </xf>
    <xf numFmtId="0" fontId="9" fillId="8" borderId="272" xfId="0" applyFont="1" applyFill="1" applyBorder="1" applyAlignment="1">
      <alignment horizontal="center" vertical="center"/>
    </xf>
    <xf numFmtId="0" fontId="13" fillId="0" borderId="193" xfId="0" applyFont="1" applyFill="1" applyBorder="1" applyAlignment="1">
      <alignment horizontal="center" vertical="center" wrapText="1"/>
    </xf>
    <xf numFmtId="0" fontId="13" fillId="0" borderId="194" xfId="0" applyFont="1" applyFill="1" applyBorder="1" applyAlignment="1">
      <alignment horizontal="center" vertical="center"/>
    </xf>
    <xf numFmtId="0" fontId="13" fillId="0" borderId="195" xfId="0" applyFont="1" applyFill="1" applyBorder="1" applyAlignment="1">
      <alignment horizontal="center" vertical="center"/>
    </xf>
    <xf numFmtId="0" fontId="13" fillId="0" borderId="194" xfId="0" applyFont="1" applyFill="1" applyBorder="1" applyAlignment="1">
      <alignment horizontal="center" vertical="center" wrapText="1"/>
    </xf>
    <xf numFmtId="0" fontId="13" fillId="0" borderId="195" xfId="0" applyFont="1" applyFill="1" applyBorder="1" applyAlignment="1">
      <alignment horizontal="center" vertical="center" wrapText="1"/>
    </xf>
    <xf numFmtId="0" fontId="13" fillId="9" borderId="193" xfId="0" applyFont="1" applyFill="1" applyBorder="1" applyAlignment="1">
      <alignment horizontal="center" vertical="center" wrapText="1"/>
    </xf>
    <xf numFmtId="0" fontId="13" fillId="9" borderId="194" xfId="0" applyFont="1" applyFill="1" applyBorder="1" applyAlignment="1">
      <alignment horizontal="center" vertical="center"/>
    </xf>
    <xf numFmtId="0" fontId="13" fillId="9" borderId="195" xfId="0" applyFont="1" applyFill="1" applyBorder="1" applyAlignment="1">
      <alignment horizontal="center" vertical="center"/>
    </xf>
    <xf numFmtId="0" fontId="5" fillId="15" borderId="196" xfId="0" applyFont="1" applyFill="1" applyBorder="1" applyAlignment="1">
      <alignment horizontal="center" vertical="center"/>
    </xf>
    <xf numFmtId="0" fontId="5" fillId="15" borderId="197" xfId="0" applyFont="1" applyFill="1" applyBorder="1" applyAlignment="1">
      <alignment horizontal="center" vertical="center"/>
    </xf>
    <xf numFmtId="0" fontId="5" fillId="15" borderId="198" xfId="0" applyFont="1" applyFill="1" applyBorder="1" applyAlignment="1">
      <alignment horizontal="center" vertical="center"/>
    </xf>
    <xf numFmtId="0" fontId="5" fillId="6" borderId="660" xfId="0" applyFont="1" applyFill="1" applyBorder="1" applyAlignment="1">
      <alignment horizontal="center" vertical="center"/>
    </xf>
    <xf numFmtId="0" fontId="5" fillId="6" borderId="465" xfId="0" applyFont="1" applyFill="1" applyBorder="1" applyAlignment="1">
      <alignment horizontal="center" vertical="center"/>
    </xf>
    <xf numFmtId="0" fontId="5" fillId="6" borderId="661" xfId="0" applyFont="1" applyFill="1" applyBorder="1" applyAlignment="1">
      <alignment horizontal="center" vertical="center"/>
    </xf>
    <xf numFmtId="0" fontId="5" fillId="6" borderId="662" xfId="0" applyFont="1" applyFill="1" applyBorder="1" applyAlignment="1">
      <alignment horizontal="center" vertical="center"/>
    </xf>
    <xf numFmtId="0" fontId="13" fillId="15" borderId="223" xfId="0" applyFont="1" applyFill="1" applyBorder="1" applyAlignment="1">
      <alignment horizontal="center" vertical="center" wrapText="1"/>
    </xf>
    <xf numFmtId="0" fontId="13" fillId="15" borderId="208" xfId="0" applyFont="1" applyFill="1" applyBorder="1" applyAlignment="1">
      <alignment horizontal="center" vertical="center" wrapText="1"/>
    </xf>
    <xf numFmtId="0" fontId="13" fillId="15" borderId="210" xfId="0" applyFont="1" applyFill="1" applyBorder="1" applyAlignment="1">
      <alignment horizontal="center" vertical="center" wrapText="1"/>
    </xf>
    <xf numFmtId="0" fontId="74" fillId="9" borderId="767" xfId="0" applyFont="1" applyFill="1" applyBorder="1" applyAlignment="1">
      <alignment horizontal="center" vertical="center" wrapText="1"/>
    </xf>
    <xf numFmtId="0" fontId="74" fillId="9" borderId="769" xfId="0" applyFont="1" applyFill="1" applyBorder="1" applyAlignment="1">
      <alignment horizontal="center" vertical="center" wrapText="1"/>
    </xf>
    <xf numFmtId="0" fontId="74" fillId="9" borderId="768" xfId="0" applyFont="1" applyFill="1" applyBorder="1" applyAlignment="1">
      <alignment horizontal="center" vertical="center" wrapText="1"/>
    </xf>
    <xf numFmtId="0" fontId="74" fillId="9" borderId="768" xfId="0" applyFont="1" applyFill="1" applyBorder="1" applyAlignment="1">
      <alignment horizontal="center" vertical="center"/>
    </xf>
    <xf numFmtId="0" fontId="74" fillId="9" borderId="770" xfId="0" applyFont="1" applyFill="1" applyBorder="1" applyAlignment="1">
      <alignment horizontal="center" vertical="center"/>
    </xf>
    <xf numFmtId="0" fontId="74" fillId="4" borderId="735" xfId="0" quotePrefix="1" applyFont="1" applyFill="1" applyBorder="1" applyAlignment="1">
      <alignment horizontal="center" vertical="center"/>
    </xf>
    <xf numFmtId="0" fontId="74" fillId="4" borderId="737" xfId="0" quotePrefix="1" applyFont="1" applyFill="1" applyBorder="1" applyAlignment="1">
      <alignment horizontal="center" vertical="center"/>
    </xf>
    <xf numFmtId="0" fontId="74" fillId="9" borderId="193" xfId="0" applyFont="1" applyFill="1" applyBorder="1" applyAlignment="1">
      <alignment horizontal="center" vertical="center"/>
    </xf>
    <xf numFmtId="0" fontId="74" fillId="9" borderId="195" xfId="0" applyFont="1" applyFill="1" applyBorder="1" applyAlignment="1">
      <alignment horizontal="center" vertical="center"/>
    </xf>
    <xf numFmtId="0" fontId="75" fillId="11" borderId="1229" xfId="0" applyFont="1" applyFill="1" applyBorder="1" applyAlignment="1">
      <alignment horizontal="center" vertical="center"/>
    </xf>
    <xf numFmtId="0" fontId="75" fillId="11" borderId="356" xfId="0" applyFont="1" applyFill="1" applyBorder="1" applyAlignment="1">
      <alignment horizontal="center" vertical="center"/>
    </xf>
    <xf numFmtId="0" fontId="75" fillId="11" borderId="1230" xfId="0" applyFont="1" applyFill="1" applyBorder="1" applyAlignment="1">
      <alignment horizontal="center" vertical="center"/>
    </xf>
    <xf numFmtId="0" fontId="75" fillId="11" borderId="757" xfId="0" applyFont="1" applyFill="1" applyBorder="1" applyAlignment="1">
      <alignment horizontal="center" vertical="center"/>
    </xf>
    <xf numFmtId="0" fontId="75" fillId="11" borderId="705" xfId="0" applyFont="1" applyFill="1" applyBorder="1" applyAlignment="1">
      <alignment horizontal="center" vertical="center"/>
    </xf>
    <xf numFmtId="0" fontId="75" fillId="11" borderId="758" xfId="0" applyFont="1" applyFill="1" applyBorder="1" applyAlignment="1">
      <alignment horizontal="center" vertical="center"/>
    </xf>
    <xf numFmtId="0" fontId="66" fillId="0" borderId="302" xfId="0" applyFont="1" applyBorder="1" applyAlignment="1">
      <alignment horizontal="left" vertical="center"/>
    </xf>
    <xf numFmtId="0" fontId="66" fillId="0" borderId="303" xfId="0" applyFont="1" applyBorder="1" applyAlignment="1">
      <alignment horizontal="left" vertical="center"/>
    </xf>
    <xf numFmtId="0" fontId="74" fillId="11" borderId="4" xfId="0" applyFont="1" applyFill="1" applyBorder="1" applyAlignment="1">
      <alignment horizontal="left" vertical="center"/>
    </xf>
    <xf numFmtId="0" fontId="74" fillId="11" borderId="0" xfId="0" applyFont="1" applyFill="1" applyBorder="1" applyAlignment="1">
      <alignment horizontal="left" vertical="center"/>
    </xf>
    <xf numFmtId="0" fontId="86" fillId="0" borderId="297" xfId="0" applyFont="1" applyFill="1" applyBorder="1" applyAlignment="1">
      <alignment horizontal="left" vertical="center"/>
    </xf>
    <xf numFmtId="0" fontId="66" fillId="0" borderId="302" xfId="0" applyFont="1" applyFill="1" applyBorder="1" applyAlignment="1">
      <alignment horizontal="left" vertical="center"/>
    </xf>
    <xf numFmtId="0" fontId="66" fillId="0" borderId="357" xfId="0" applyFont="1" applyFill="1" applyBorder="1" applyAlignment="1">
      <alignment horizontal="left" vertical="center"/>
    </xf>
    <xf numFmtId="0" fontId="66" fillId="0" borderId="363" xfId="0" applyFont="1" applyFill="1" applyBorder="1" applyAlignment="1">
      <alignment horizontal="left" vertical="center"/>
    </xf>
    <xf numFmtId="0" fontId="66" fillId="0" borderId="357" xfId="0" applyFont="1" applyBorder="1" applyAlignment="1">
      <alignment horizontal="left" vertical="center"/>
    </xf>
    <xf numFmtId="0" fontId="10" fillId="0" borderId="357" xfId="0" applyFont="1" applyFill="1" applyBorder="1" applyAlignment="1">
      <alignment horizontal="left" vertical="center"/>
    </xf>
    <xf numFmtId="0" fontId="10" fillId="0" borderId="363" xfId="0" applyFont="1" applyFill="1" applyBorder="1" applyAlignment="1">
      <alignment horizontal="left" vertical="center"/>
    </xf>
    <xf numFmtId="0" fontId="10" fillId="0" borderId="302" xfId="0" applyFont="1" applyBorder="1" applyAlignment="1">
      <alignment horizontal="left" vertical="center"/>
    </xf>
    <xf numFmtId="0" fontId="10" fillId="0" borderId="303" xfId="0" applyFont="1" applyBorder="1" applyAlignment="1">
      <alignment horizontal="left" vertical="center"/>
    </xf>
    <xf numFmtId="0" fontId="13" fillId="11" borderId="294" xfId="0" applyFont="1" applyFill="1" applyBorder="1" applyAlignment="1">
      <alignment horizontal="center" vertical="center"/>
    </xf>
    <xf numFmtId="0" fontId="13" fillId="11" borderId="295" xfId="0" applyFont="1" applyFill="1" applyBorder="1" applyAlignment="1">
      <alignment horizontal="center" vertical="center"/>
    </xf>
    <xf numFmtId="0" fontId="13" fillId="11" borderId="296" xfId="0" applyFont="1" applyFill="1" applyBorder="1" applyAlignment="1">
      <alignment horizontal="center" vertical="center"/>
    </xf>
    <xf numFmtId="0" fontId="13" fillId="6" borderId="275" xfId="0" applyFont="1" applyFill="1" applyBorder="1" applyAlignment="1">
      <alignment horizontal="center" vertical="center" wrapText="1"/>
    </xf>
    <xf numFmtId="0" fontId="13" fillId="6" borderId="276" xfId="0" applyFont="1" applyFill="1" applyBorder="1" applyAlignment="1">
      <alignment horizontal="center" vertical="center"/>
    </xf>
    <xf numFmtId="0" fontId="13" fillId="6" borderId="277" xfId="0" applyFont="1" applyFill="1" applyBorder="1" applyAlignment="1">
      <alignment horizontal="center" vertical="center"/>
    </xf>
    <xf numFmtId="0" fontId="9" fillId="9" borderId="315" xfId="0" applyFont="1" applyFill="1" applyBorder="1" applyAlignment="1">
      <alignment horizontal="center" vertical="center"/>
    </xf>
    <xf numFmtId="0" fontId="9" fillId="9" borderId="194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left" vertical="center"/>
    </xf>
    <xf numFmtId="0" fontId="9" fillId="11" borderId="0" xfId="0" applyFont="1" applyFill="1" applyBorder="1" applyAlignment="1">
      <alignment horizontal="left" vertical="center"/>
    </xf>
    <xf numFmtId="0" fontId="10" fillId="0" borderId="297" xfId="0" applyFont="1" applyFill="1" applyBorder="1" applyAlignment="1">
      <alignment horizontal="left" vertical="center"/>
    </xf>
    <xf numFmtId="0" fontId="10" fillId="0" borderId="302" xfId="0" applyFont="1" applyFill="1" applyBorder="1" applyAlignment="1">
      <alignment horizontal="left" vertical="center"/>
    </xf>
    <xf numFmtId="0" fontId="10" fillId="0" borderId="1173" xfId="0" applyFont="1" applyBorder="1" applyAlignment="1">
      <alignment horizontal="left" vertical="center"/>
    </xf>
    <xf numFmtId="0" fontId="10" fillId="0" borderId="1176" xfId="0" applyFont="1" applyFill="1" applyBorder="1" applyAlignment="1">
      <alignment horizontal="left" vertical="center"/>
    </xf>
    <xf numFmtId="0" fontId="10" fillId="0" borderId="1173" xfId="0" applyFont="1" applyFill="1" applyBorder="1" applyAlignment="1">
      <alignment horizontal="left" vertical="center"/>
    </xf>
    <xf numFmtId="0" fontId="13" fillId="11" borderId="355" xfId="0" applyFont="1" applyFill="1" applyBorder="1" applyAlignment="1">
      <alignment horizontal="center" vertical="center"/>
    </xf>
    <xf numFmtId="0" fontId="13" fillId="11" borderId="356" xfId="0" applyFont="1" applyFill="1" applyBorder="1" applyAlignment="1">
      <alignment horizontal="center" vertical="center"/>
    </xf>
    <xf numFmtId="0" fontId="13" fillId="11" borderId="1230" xfId="0" applyFont="1" applyFill="1" applyBorder="1" applyAlignment="1">
      <alignment horizontal="center" vertical="center"/>
    </xf>
    <xf numFmtId="0" fontId="67" fillId="4" borderId="473" xfId="0" quotePrefix="1" applyFont="1" applyFill="1" applyBorder="1" applyAlignment="1">
      <alignment horizontal="center" vertical="center"/>
    </xf>
  </cellXfs>
  <cellStyles count="14">
    <cellStyle name="경고문" xfId="4" builtinId="11"/>
    <cellStyle name="백분율" xfId="3" builtinId="5"/>
    <cellStyle name="백분율 2" xfId="12" xr:uid="{4DFD455E-E4B8-4F42-ADCD-CEC3AE3EB199}"/>
    <cellStyle name="쉼표 [0]" xfId="2" builtinId="6"/>
    <cellStyle name="쉼표 [0] 10 2 11 2 2" xfId="1" xr:uid="{00000000-0005-0000-0000-000002000000}"/>
    <cellStyle name="쉼표 [0] 2" xfId="7" xr:uid="{A40371DE-ED9E-4496-B922-20443B289758}"/>
    <cellStyle name="쉼표 [0] 3" xfId="11" xr:uid="{4910A56F-A7B1-4314-B59E-1B25BD3B0667}"/>
    <cellStyle name="표준" xfId="0" builtinId="0"/>
    <cellStyle name="표준 2" xfId="6" xr:uid="{293D6D8C-33D1-451C-B992-B22B8E884273}"/>
    <cellStyle name="표준 2 2" xfId="5" xr:uid="{E3A53502-88E9-43DF-99A8-D816ABA25DBD}"/>
    <cellStyle name="표준 2 3" xfId="13" xr:uid="{CA3A7637-7BB5-4A10-9195-3C4E28216C79}"/>
    <cellStyle name="표준 3" xfId="8" xr:uid="{F7D31E17-121E-43AA-92C0-6970AB176447}"/>
    <cellStyle name="표준 4" xfId="9" xr:uid="{B51E1958-EEE1-4E02-A158-5FBBEC6DA633}"/>
    <cellStyle name="하이퍼링크" xfId="10" builtinId="8"/>
  </cellStyles>
  <dxfs count="20"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305496"/>
      <color rgb="FFFFCCCC"/>
      <color rgb="FFF1F7ED"/>
      <color rgb="FFFFF5D9"/>
      <color rgb="FF000000"/>
      <color rgb="FFF2F8EE"/>
      <color rgb="FFCC00FF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15297</xdr:colOff>
      <xdr:row>44</xdr:row>
      <xdr:rowOff>8716</xdr:rowOff>
    </xdr:from>
    <xdr:to>
      <xdr:col>28</xdr:col>
      <xdr:colOff>65463</xdr:colOff>
      <xdr:row>53</xdr:row>
      <xdr:rowOff>200024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303FD6-B1B5-4166-B6DD-62A7A4276FE8}"/>
            </a:ext>
          </a:extLst>
        </xdr:cNvPr>
        <xdr:cNvSpPr/>
      </xdr:nvSpPr>
      <xdr:spPr>
        <a:xfrm>
          <a:off x="13883697" y="9221989"/>
          <a:ext cx="7199111" cy="2061671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코코넛 컨설팅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2024. 12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월부터 실적 기입 </a:t>
          </a:r>
        </a:p>
      </xdr:txBody>
    </xdr:sp>
    <xdr:clientData/>
  </xdr:twoCellAnchor>
  <xdr:twoCellAnchor>
    <xdr:from>
      <xdr:col>3</xdr:col>
      <xdr:colOff>1287</xdr:colOff>
      <xdr:row>44</xdr:row>
      <xdr:rowOff>12997</xdr:rowOff>
    </xdr:from>
    <xdr:to>
      <xdr:col>17</xdr:col>
      <xdr:colOff>0</xdr:colOff>
      <xdr:row>67</xdr:row>
      <xdr:rowOff>9913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A10E15-93E6-4663-8FAB-5F6827C46E5D}"/>
            </a:ext>
          </a:extLst>
        </xdr:cNvPr>
        <xdr:cNvSpPr/>
      </xdr:nvSpPr>
      <xdr:spPr>
        <a:xfrm>
          <a:off x="3949832" y="9808161"/>
          <a:ext cx="1301041" cy="5109243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코코넛 컨설팅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2024. 12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월부터 실적 기입 예정 </a:t>
          </a:r>
        </a:p>
        <a:p>
          <a:pPr algn="ctr"/>
          <a:endParaRPr lang="en-US" altLang="ko-KR" sz="280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Mall</a:t>
          </a:r>
          <a:r>
            <a:rPr lang="en-US" altLang="ko-KR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 2024.05 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오픈</a:t>
          </a:r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16</xdr:col>
      <xdr:colOff>654050</xdr:colOff>
      <xdr:row>27</xdr:row>
      <xdr:rowOff>209550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9976066-2B7D-4CC3-BA2A-2A40F37EF5BF}"/>
            </a:ext>
          </a:extLst>
        </xdr:cNvPr>
        <xdr:cNvSpPr/>
      </xdr:nvSpPr>
      <xdr:spPr>
        <a:xfrm>
          <a:off x="4000500" y="647700"/>
          <a:ext cx="9321800" cy="525780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시연폰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 중고폰</a:t>
          </a:r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r>
            <a:rPr lang="en-US" altLang="ko-KR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23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년 외주로 실적 확인 불가</a:t>
          </a:r>
          <a:endParaRPr lang="ko-KR" altLang="en-US" sz="2800">
            <a:latin typeface="KT서체 Bold" panose="020B0600000101010101" pitchFamily="50" charset="-127"/>
            <a:ea typeface="KT서체 Bold" panose="020B0600000101010101" pitchFamily="50" charset="-127"/>
          </a:endParaRPr>
        </a:p>
      </xdr:txBody>
    </xdr:sp>
    <xdr:clientData/>
  </xdr:twoCellAnchor>
  <xdr:twoCellAnchor>
    <xdr:from>
      <xdr:col>18</xdr:col>
      <xdr:colOff>7620</xdr:colOff>
      <xdr:row>54</xdr:row>
      <xdr:rowOff>10101</xdr:rowOff>
    </xdr:from>
    <xdr:to>
      <xdr:col>22</xdr:col>
      <xdr:colOff>27709</xdr:colOff>
      <xdr:row>66</xdr:row>
      <xdr:rowOff>139815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C2C7617-ABB6-4ACF-B9DF-2BCC4124F94B}"/>
            </a:ext>
          </a:extLst>
        </xdr:cNvPr>
        <xdr:cNvSpPr/>
      </xdr:nvSpPr>
      <xdr:spPr>
        <a:xfrm>
          <a:off x="13876020" y="11301556"/>
          <a:ext cx="2832562" cy="2415714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Mall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2024.05 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오픈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</xdr:colOff>
      <xdr:row>79</xdr:row>
      <xdr:rowOff>25585</xdr:rowOff>
    </xdr:from>
    <xdr:to>
      <xdr:col>16</xdr:col>
      <xdr:colOff>649941</xdr:colOff>
      <xdr:row>80</xdr:row>
      <xdr:rowOff>179293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F0039D-7FAC-47BD-9A48-FD59B8736C31}"/>
            </a:ext>
          </a:extLst>
        </xdr:cNvPr>
        <xdr:cNvSpPr/>
      </xdr:nvSpPr>
      <xdr:spPr>
        <a:xfrm>
          <a:off x="3512564" y="17143371"/>
          <a:ext cx="9144320" cy="376865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43237</xdr:colOff>
      <xdr:row>83</xdr:row>
      <xdr:rowOff>46999</xdr:rowOff>
    </xdr:from>
    <xdr:to>
      <xdr:col>16</xdr:col>
      <xdr:colOff>665017</xdr:colOff>
      <xdr:row>96</xdr:row>
      <xdr:rowOff>166999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157BE66-0B7C-44EB-99AB-009B72614D05}"/>
            </a:ext>
          </a:extLst>
        </xdr:cNvPr>
        <xdr:cNvSpPr/>
      </xdr:nvSpPr>
      <xdr:spPr>
        <a:xfrm>
          <a:off x="3493019" y="18044054"/>
          <a:ext cx="9086907" cy="3001745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44823</xdr:colOff>
      <xdr:row>75</xdr:row>
      <xdr:rowOff>27080</xdr:rowOff>
    </xdr:from>
    <xdr:to>
      <xdr:col>16</xdr:col>
      <xdr:colOff>637054</xdr:colOff>
      <xdr:row>76</xdr:row>
      <xdr:rowOff>179294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5EC48E9-8EEB-42DD-BF82-CE5E11B1EE9D}"/>
            </a:ext>
          </a:extLst>
        </xdr:cNvPr>
        <xdr:cNvSpPr/>
      </xdr:nvSpPr>
      <xdr:spPr>
        <a:xfrm>
          <a:off x="3490152" y="16284894"/>
          <a:ext cx="9153845" cy="359043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56204</xdr:colOff>
      <xdr:row>99</xdr:row>
      <xdr:rowOff>46505</xdr:rowOff>
    </xdr:from>
    <xdr:to>
      <xdr:col>16</xdr:col>
      <xdr:colOff>648435</xdr:colOff>
      <xdr:row>100</xdr:row>
      <xdr:rowOff>187512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83115E8-5751-4BF9-A353-DCD45C5FFA5A}"/>
            </a:ext>
          </a:extLst>
        </xdr:cNvPr>
        <xdr:cNvSpPr/>
      </xdr:nvSpPr>
      <xdr:spPr>
        <a:xfrm>
          <a:off x="3501533" y="21627434"/>
          <a:ext cx="9153845" cy="364164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49481</xdr:colOff>
      <xdr:row>59</xdr:row>
      <xdr:rowOff>0</xdr:rowOff>
    </xdr:from>
    <xdr:to>
      <xdr:col>21</xdr:col>
      <xdr:colOff>974269</xdr:colOff>
      <xdr:row>90</xdr:row>
      <xdr:rowOff>31206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C20808B-3B70-48CA-8A5C-04617C2EC020}"/>
            </a:ext>
          </a:extLst>
        </xdr:cNvPr>
        <xdr:cNvSpPr/>
      </xdr:nvSpPr>
      <xdr:spPr>
        <a:xfrm>
          <a:off x="14586857" y="11924805"/>
          <a:ext cx="6783283" cy="5860012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후행</a:t>
          </a:r>
          <a:endParaRPr kumimoji="0" lang="en-US" altLang="ko-KR" sz="1500" b="1" i="0" u="none" strike="noStrike" kern="0" cap="none" spc="0" normalizeH="0" baseline="0" noProof="0">
            <a:ln>
              <a:noFill/>
            </a:ln>
            <a:solidFill>
              <a:schemeClr val="tx1">
                <a:lumMod val="85000"/>
                <a:lumOff val="15000"/>
              </a:schemeClr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지표</a:t>
          </a:r>
          <a:endParaRPr kumimoji="0" lang="en-US" altLang="ko-KR" sz="1500" b="1" i="0" u="none" strike="noStrike" kern="0" cap="none" spc="0" normalizeH="0" baseline="0" noProof="0">
            <a:ln>
              <a:noFill/>
            </a:ln>
            <a:solidFill>
              <a:schemeClr val="tx1">
                <a:lumMod val="85000"/>
                <a:lumOff val="15000"/>
              </a:schemeClr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</xdr:txBody>
    </xdr:sp>
    <xdr:clientData/>
  </xdr:twoCellAnchor>
  <xdr:twoCellAnchor>
    <xdr:from>
      <xdr:col>13</xdr:col>
      <xdr:colOff>870858</xdr:colOff>
      <xdr:row>89</xdr:row>
      <xdr:rowOff>168234</xdr:rowOff>
    </xdr:from>
    <xdr:to>
      <xdr:col>22</xdr:col>
      <xdr:colOff>6403</xdr:colOff>
      <xdr:row>118</xdr:row>
      <xdr:rowOff>127625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B7DFAD4-526B-4F0C-90B5-EACD5BFEA31C}"/>
            </a:ext>
          </a:extLst>
        </xdr:cNvPr>
        <xdr:cNvSpPr/>
      </xdr:nvSpPr>
      <xdr:spPr>
        <a:xfrm>
          <a:off x="13587351" y="17733818"/>
          <a:ext cx="7804532" cy="541214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불완전 판매 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"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음성적 재가입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"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은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25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10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마감까지 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KT 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공지 완료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25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11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~12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월분은 </a:t>
          </a:r>
          <a:r>
            <a:rPr kumimoji="0" lang="en-US" altLang="ko-KR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KT </a:t>
          </a:r>
          <a:r>
            <a:rPr kumimoji="0" lang="ko-KR" altLang="en-US" sz="15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별도 공지시 까지 대기 필요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91</xdr:row>
      <xdr:rowOff>0</xdr:rowOff>
    </xdr:from>
    <xdr:to>
      <xdr:col>47</xdr:col>
      <xdr:colOff>352397</xdr:colOff>
      <xdr:row>94</xdr:row>
      <xdr:rowOff>168571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EF73F6-4C21-448F-90A4-82A890C19576}"/>
            </a:ext>
          </a:extLst>
        </xdr:cNvPr>
        <xdr:cNvSpPr/>
      </xdr:nvSpPr>
      <xdr:spPr>
        <a:xfrm>
          <a:off x="30975300" y="20116800"/>
          <a:ext cx="3514697" cy="854371"/>
        </a:xfrm>
        <a:prstGeom prst="rect">
          <a:avLst/>
        </a:prstGeom>
        <a:solidFill>
          <a:srgbClr val="70AD47">
            <a:lumMod val="60000"/>
            <a:lumOff val="40000"/>
            <a:alpha val="32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25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10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마감까지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KT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공지 완료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11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마감은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중순이후 공지될 예정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</xdr:txBody>
    </xdr:sp>
    <xdr:clientData/>
  </xdr:twoCellAnchor>
  <xdr:twoCellAnchor>
    <xdr:from>
      <xdr:col>44</xdr:col>
      <xdr:colOff>38100</xdr:colOff>
      <xdr:row>59</xdr:row>
      <xdr:rowOff>171450</xdr:rowOff>
    </xdr:from>
    <xdr:to>
      <xdr:col>48</xdr:col>
      <xdr:colOff>771315</xdr:colOff>
      <xdr:row>65</xdr:row>
      <xdr:rowOff>120388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0BEEA3E-8663-48FE-A0B0-866C0958306D}"/>
            </a:ext>
          </a:extLst>
        </xdr:cNvPr>
        <xdr:cNvSpPr/>
      </xdr:nvSpPr>
      <xdr:spPr>
        <a:xfrm>
          <a:off x="31737300" y="12973050"/>
          <a:ext cx="3590715" cy="1320538"/>
        </a:xfrm>
        <a:prstGeom prst="rect">
          <a:avLst/>
        </a:prstGeom>
        <a:solidFill>
          <a:srgbClr val="70AD47">
            <a:lumMod val="60000"/>
            <a:lumOff val="40000"/>
            <a:alpha val="32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불완전판매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"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후불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"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은 후행 지표로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영업월 기준 불완전판매자료는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익익월에 작성 가능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3D3E-52A5-46E2-925C-03C6DD651AC3}">
  <sheetPr codeName="Sheet4">
    <pageSetUpPr fitToPage="1"/>
  </sheetPr>
  <dimension ref="A1:BI41"/>
  <sheetViews>
    <sheetView tabSelected="1" view="pageBreakPreview" zoomScale="55" zoomScaleNormal="40" zoomScaleSheetLayoutView="55" workbookViewId="0">
      <selection activeCell="AH15" sqref="AH15"/>
    </sheetView>
  </sheetViews>
  <sheetFormatPr defaultColWidth="8.640625" defaultRowHeight="17.600000000000001" x14ac:dyDescent="0.55000000000000004"/>
  <cols>
    <col min="1" max="1" width="6.85546875" style="926" customWidth="1"/>
    <col min="2" max="3" width="8.640625" style="926"/>
    <col min="4" max="4" width="30.2109375" style="926" customWidth="1"/>
    <col min="5" max="5" width="5.0703125" style="926" customWidth="1"/>
    <col min="6" max="15" width="9.85546875" style="926" customWidth="1"/>
    <col min="16" max="18" width="0" style="926" hidden="1" customWidth="1"/>
    <col min="19" max="19" width="8.640625" style="926" hidden="1" customWidth="1"/>
    <col min="20" max="24" width="8.640625" style="926"/>
    <col min="25" max="25" width="11.140625" style="926" customWidth="1"/>
    <col min="26" max="16384" width="8.640625" style="926"/>
  </cols>
  <sheetData>
    <row r="1" spans="1:61" ht="9" customHeight="1" thickBot="1" x14ac:dyDescent="0.6"/>
    <row r="2" spans="1:61" s="6987" customFormat="1" ht="53.15" customHeight="1" thickTop="1" thickBot="1" x14ac:dyDescent="0.6">
      <c r="A2" s="7054" t="s">
        <v>1219</v>
      </c>
      <c r="B2" s="7055"/>
      <c r="C2" s="7055"/>
      <c r="D2" s="7055"/>
      <c r="E2" s="7055"/>
      <c r="F2" s="7055"/>
      <c r="G2" s="7055"/>
      <c r="H2" s="7055"/>
      <c r="I2" s="7055"/>
      <c r="J2" s="7055"/>
      <c r="K2" s="7055"/>
      <c r="L2" s="7055"/>
      <c r="M2" s="7055"/>
      <c r="N2" s="7055"/>
      <c r="O2" s="7055"/>
      <c r="P2" s="7055"/>
      <c r="Q2" s="7055"/>
      <c r="R2" s="7055"/>
      <c r="S2" s="7055"/>
      <c r="T2" s="7055"/>
      <c r="U2" s="7055"/>
      <c r="V2" s="7055"/>
      <c r="W2" s="7055"/>
      <c r="X2" s="7055"/>
      <c r="Y2" s="7055"/>
      <c r="Z2" s="7055"/>
      <c r="AA2" s="7055"/>
      <c r="AE2" s="6988"/>
      <c r="AG2" s="6988"/>
      <c r="AH2" s="6988"/>
      <c r="AI2" s="6989"/>
      <c r="AK2" s="6988"/>
      <c r="AL2" s="6989"/>
      <c r="BE2" s="7056"/>
      <c r="BF2" s="7056"/>
      <c r="BG2" s="7056"/>
      <c r="BH2" s="7056"/>
      <c r="BI2" s="7056"/>
    </row>
    <row r="3" spans="1:61" s="1417" customFormat="1" ht="12" customHeight="1" thickTop="1" x14ac:dyDescent="0.55000000000000004">
      <c r="A3" s="1587"/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87"/>
      <c r="S3" s="1587"/>
      <c r="T3" s="1587"/>
      <c r="U3" s="1587"/>
      <c r="V3" s="1587"/>
      <c r="W3" s="1587"/>
      <c r="X3" s="1587"/>
      <c r="Y3" s="1587"/>
      <c r="Z3" s="1587"/>
      <c r="AA3" s="1587"/>
      <c r="AE3" s="1585"/>
      <c r="AG3" s="1585"/>
      <c r="AH3" s="1585"/>
      <c r="AI3" s="1586"/>
      <c r="AK3" s="1585"/>
      <c r="AL3" s="1586"/>
      <c r="BE3" s="1588"/>
      <c r="BF3" s="1588"/>
      <c r="BG3" s="1588"/>
      <c r="BH3" s="1588"/>
      <c r="BI3" s="1588"/>
    </row>
    <row r="4" spans="1:61" s="6992" customFormat="1" ht="36" customHeight="1" x14ac:dyDescent="0.55000000000000004">
      <c r="A4" s="6990" t="s">
        <v>1163</v>
      </c>
      <c r="B4" s="6991"/>
      <c r="C4" s="6991"/>
      <c r="D4" s="6991"/>
      <c r="E4" s="6991"/>
      <c r="F4" s="6991"/>
      <c r="G4" s="6991"/>
      <c r="H4" s="6991"/>
      <c r="I4" s="6991"/>
      <c r="J4" s="6991"/>
      <c r="K4" s="6991"/>
      <c r="L4" s="6991"/>
      <c r="M4" s="6991"/>
      <c r="N4" s="6991"/>
      <c r="O4" s="6991"/>
      <c r="P4" s="6991"/>
      <c r="Q4" s="6991"/>
      <c r="R4" s="6991"/>
      <c r="S4" s="6991"/>
      <c r="T4" s="6991"/>
      <c r="U4" s="6991"/>
      <c r="V4" s="6991"/>
      <c r="W4" s="6991"/>
      <c r="X4" s="6991"/>
      <c r="Y4" s="6991"/>
      <c r="Z4" s="6991"/>
      <c r="AA4" s="6991"/>
    </row>
    <row r="5" spans="1:61" s="6992" customFormat="1" ht="7.3" customHeight="1" thickBot="1" x14ac:dyDescent="0.6">
      <c r="A5" s="6990"/>
      <c r="B5" s="6991"/>
      <c r="C5" s="6991"/>
      <c r="D5" s="6991"/>
      <c r="E5" s="6991"/>
      <c r="F5" s="6991"/>
      <c r="G5" s="6991"/>
      <c r="H5" s="6991"/>
      <c r="I5" s="6991"/>
      <c r="J5" s="6991"/>
      <c r="K5" s="6991"/>
      <c r="L5" s="6991"/>
      <c r="M5" s="6991"/>
      <c r="N5" s="6991"/>
      <c r="O5" s="6991"/>
      <c r="P5" s="6991"/>
      <c r="Q5" s="6991"/>
      <c r="R5" s="6991"/>
      <c r="S5" s="6991"/>
      <c r="T5" s="6991"/>
      <c r="U5" s="6991"/>
      <c r="V5" s="6991"/>
      <c r="W5" s="6991"/>
      <c r="X5" s="6991"/>
      <c r="Y5" s="6991"/>
      <c r="Z5" s="6991"/>
      <c r="AA5" s="6991"/>
    </row>
    <row r="6" spans="1:61" s="6992" customFormat="1" ht="28.3" customHeight="1" x14ac:dyDescent="0.55000000000000004">
      <c r="A6" s="7057" t="s">
        <v>959</v>
      </c>
      <c r="B6" s="7058"/>
      <c r="C6" s="7059" t="s">
        <v>127</v>
      </c>
      <c r="D6" s="7060"/>
      <c r="E6" s="7058"/>
      <c r="F6" s="7059" t="s">
        <v>960</v>
      </c>
      <c r="G6" s="7060"/>
      <c r="H6" s="7060"/>
      <c r="I6" s="7060"/>
      <c r="J6" s="7060"/>
      <c r="K6" s="7060"/>
      <c r="L6" s="7060"/>
      <c r="M6" s="7060"/>
      <c r="N6" s="7060"/>
      <c r="O6" s="7058"/>
      <c r="P6" s="7060" t="s">
        <v>961</v>
      </c>
      <c r="Q6" s="7060"/>
      <c r="R6" s="7060"/>
      <c r="S6" s="7060"/>
      <c r="T6" s="6993"/>
      <c r="U6" s="6993"/>
      <c r="V6" s="6993"/>
      <c r="W6" s="6993"/>
      <c r="X6" s="6993"/>
      <c r="Y6" s="6993"/>
      <c r="Z6" s="7061" t="s">
        <v>962</v>
      </c>
      <c r="AA6" s="7062"/>
    </row>
    <row r="7" spans="1:61" s="2426" customFormat="1" ht="30" customHeight="1" x14ac:dyDescent="0.55000000000000004">
      <c r="A7" s="7063">
        <v>1</v>
      </c>
      <c r="B7" s="7064"/>
      <c r="C7" s="7065" t="s">
        <v>963</v>
      </c>
      <c r="D7" s="7065"/>
      <c r="E7" s="7066"/>
      <c r="F7" s="7049" t="s">
        <v>1220</v>
      </c>
      <c r="G7" s="7050"/>
      <c r="H7" s="7050"/>
      <c r="I7" s="7050"/>
      <c r="J7" s="7050"/>
      <c r="K7" s="7050" t="s">
        <v>964</v>
      </c>
      <c r="L7" s="7050"/>
      <c r="M7" s="7050"/>
      <c r="N7" s="7050"/>
      <c r="O7" s="7051"/>
      <c r="P7" s="7067" t="s">
        <v>1221</v>
      </c>
      <c r="Q7" s="7067"/>
      <c r="R7" s="7067"/>
      <c r="S7" s="7067"/>
      <c r="T7" s="7003" t="s">
        <v>965</v>
      </c>
      <c r="U7" s="7003"/>
      <c r="V7" s="7003"/>
      <c r="W7" s="7003"/>
      <c r="X7" s="7003"/>
      <c r="Y7" s="7003"/>
      <c r="Z7" s="7005" t="s">
        <v>1142</v>
      </c>
      <c r="AA7" s="7006"/>
    </row>
    <row r="8" spans="1:61" s="2426" customFormat="1" ht="29.05" customHeight="1" x14ac:dyDescent="0.55000000000000004">
      <c r="A8" s="7023"/>
      <c r="B8" s="7024"/>
      <c r="C8" s="7029"/>
      <c r="D8" s="7029"/>
      <c r="E8" s="7030"/>
      <c r="F8" s="7009" t="s">
        <v>966</v>
      </c>
      <c r="G8" s="7010"/>
      <c r="H8" s="7010"/>
      <c r="I8" s="7010"/>
      <c r="J8" s="7010"/>
      <c r="K8" s="7010" t="s">
        <v>967</v>
      </c>
      <c r="L8" s="7010"/>
      <c r="M8" s="7010"/>
      <c r="N8" s="7010"/>
      <c r="O8" s="7011"/>
      <c r="P8" s="7002"/>
      <c r="Q8" s="7002"/>
      <c r="R8" s="7002"/>
      <c r="S8" s="7002"/>
      <c r="T8" s="7004"/>
      <c r="U8" s="7004"/>
      <c r="V8" s="7004"/>
      <c r="W8" s="7004"/>
      <c r="X8" s="7004"/>
      <c r="Y8" s="7004"/>
      <c r="Z8" s="7007"/>
      <c r="AA8" s="7008"/>
    </row>
    <row r="9" spans="1:61" s="2426" customFormat="1" ht="30" customHeight="1" x14ac:dyDescent="0.55000000000000004">
      <c r="A9" s="7021">
        <v>2</v>
      </c>
      <c r="B9" s="7022"/>
      <c r="C9" s="7025" t="s">
        <v>968</v>
      </c>
      <c r="D9" s="7026"/>
      <c r="E9" s="7027"/>
      <c r="F9" s="7031" t="s">
        <v>969</v>
      </c>
      <c r="G9" s="7032"/>
      <c r="H9" s="7032"/>
      <c r="I9" s="7032"/>
      <c r="J9" s="7032"/>
      <c r="K9" s="7032" t="s">
        <v>970</v>
      </c>
      <c r="L9" s="7032"/>
      <c r="M9" s="7032"/>
      <c r="N9" s="7032"/>
      <c r="O9" s="7033"/>
      <c r="P9" s="6999" t="s">
        <v>971</v>
      </c>
      <c r="Q9" s="7000"/>
      <c r="R9" s="7000"/>
      <c r="S9" s="7000"/>
      <c r="T9" s="7003" t="s">
        <v>965</v>
      </c>
      <c r="U9" s="7003"/>
      <c r="V9" s="7003"/>
      <c r="W9" s="7003"/>
      <c r="X9" s="7003"/>
      <c r="Y9" s="7003"/>
      <c r="Z9" s="7005" t="s">
        <v>1143</v>
      </c>
      <c r="AA9" s="7006"/>
    </row>
    <row r="10" spans="1:61" s="2426" customFormat="1" ht="30" customHeight="1" x14ac:dyDescent="0.55000000000000004">
      <c r="A10" s="7023"/>
      <c r="B10" s="7024"/>
      <c r="C10" s="7028"/>
      <c r="D10" s="7029"/>
      <c r="E10" s="7030"/>
      <c r="F10" s="7009" t="s">
        <v>972</v>
      </c>
      <c r="G10" s="7010"/>
      <c r="H10" s="7010"/>
      <c r="I10" s="7010"/>
      <c r="J10" s="7010"/>
      <c r="K10" s="7010" t="s">
        <v>973</v>
      </c>
      <c r="L10" s="7010"/>
      <c r="M10" s="7010"/>
      <c r="N10" s="7010"/>
      <c r="O10" s="7011"/>
      <c r="P10" s="7001"/>
      <c r="Q10" s="7002"/>
      <c r="R10" s="7002"/>
      <c r="S10" s="7002"/>
      <c r="T10" s="7004"/>
      <c r="U10" s="7004"/>
      <c r="V10" s="7004"/>
      <c r="W10" s="7004"/>
      <c r="X10" s="7004"/>
      <c r="Y10" s="7004"/>
      <c r="Z10" s="7007"/>
      <c r="AA10" s="7008"/>
    </row>
    <row r="11" spans="1:61" s="2426" customFormat="1" ht="30" customHeight="1" x14ac:dyDescent="0.55000000000000004">
      <c r="A11" s="7021" t="s">
        <v>1222</v>
      </c>
      <c r="B11" s="7022"/>
      <c r="C11" s="7025" t="s">
        <v>974</v>
      </c>
      <c r="D11" s="7026"/>
      <c r="E11" s="7027"/>
      <c r="F11" s="7031" t="s">
        <v>975</v>
      </c>
      <c r="G11" s="7032"/>
      <c r="H11" s="7032"/>
      <c r="I11" s="7032"/>
      <c r="J11" s="7032"/>
      <c r="K11" s="7032" t="s">
        <v>976</v>
      </c>
      <c r="L11" s="7032"/>
      <c r="M11" s="7032"/>
      <c r="N11" s="7032"/>
      <c r="O11" s="7033"/>
      <c r="P11" s="6999" t="s">
        <v>971</v>
      </c>
      <c r="Q11" s="7000"/>
      <c r="R11" s="7000"/>
      <c r="S11" s="7000"/>
      <c r="T11" s="7003" t="s">
        <v>965</v>
      </c>
      <c r="U11" s="7003"/>
      <c r="V11" s="7003"/>
      <c r="W11" s="7003"/>
      <c r="X11" s="7003"/>
      <c r="Y11" s="7003"/>
      <c r="Z11" s="7005" t="s">
        <v>1144</v>
      </c>
      <c r="AA11" s="7006"/>
    </row>
    <row r="12" spans="1:61" s="2426" customFormat="1" ht="30" customHeight="1" x14ac:dyDescent="0.55000000000000004">
      <c r="A12" s="7023"/>
      <c r="B12" s="7024"/>
      <c r="C12" s="7028"/>
      <c r="D12" s="7029"/>
      <c r="E12" s="7030"/>
      <c r="F12" s="7009" t="s">
        <v>977</v>
      </c>
      <c r="G12" s="7010"/>
      <c r="H12" s="7010"/>
      <c r="I12" s="7010"/>
      <c r="J12" s="7010"/>
      <c r="K12" s="7010" t="s">
        <v>978</v>
      </c>
      <c r="L12" s="7010"/>
      <c r="M12" s="7010"/>
      <c r="N12" s="7010"/>
      <c r="O12" s="7011"/>
      <c r="P12" s="7001"/>
      <c r="Q12" s="7002"/>
      <c r="R12" s="7002"/>
      <c r="S12" s="7002"/>
      <c r="T12" s="7004"/>
      <c r="U12" s="7004"/>
      <c r="V12" s="7004"/>
      <c r="W12" s="7004"/>
      <c r="X12" s="7004"/>
      <c r="Y12" s="7004"/>
      <c r="Z12" s="7007"/>
      <c r="AA12" s="7008"/>
    </row>
    <row r="13" spans="1:61" s="2426" customFormat="1" ht="30" customHeight="1" x14ac:dyDescent="0.55000000000000004">
      <c r="A13" s="7021">
        <v>3</v>
      </c>
      <c r="B13" s="7022"/>
      <c r="C13" s="7025" t="s">
        <v>979</v>
      </c>
      <c r="D13" s="7026"/>
      <c r="E13" s="7027"/>
      <c r="F13" s="7031" t="s">
        <v>980</v>
      </c>
      <c r="G13" s="7032"/>
      <c r="H13" s="7032"/>
      <c r="I13" s="7032"/>
      <c r="J13" s="7032"/>
      <c r="K13" s="7032" t="s">
        <v>981</v>
      </c>
      <c r="L13" s="7032"/>
      <c r="M13" s="7032"/>
      <c r="N13" s="7032"/>
      <c r="O13" s="7033"/>
      <c r="P13" s="6999" t="s">
        <v>971</v>
      </c>
      <c r="Q13" s="7000"/>
      <c r="R13" s="7000"/>
      <c r="S13" s="7000"/>
      <c r="T13" s="7003" t="s">
        <v>965</v>
      </c>
      <c r="U13" s="7003"/>
      <c r="V13" s="7003"/>
      <c r="W13" s="7003"/>
      <c r="X13" s="7003"/>
      <c r="Y13" s="7003"/>
      <c r="Z13" s="7005" t="s">
        <v>1145</v>
      </c>
      <c r="AA13" s="7006"/>
    </row>
    <row r="14" spans="1:61" s="2426" customFormat="1" ht="30" customHeight="1" x14ac:dyDescent="0.55000000000000004">
      <c r="A14" s="7023"/>
      <c r="B14" s="7024"/>
      <c r="C14" s="7028"/>
      <c r="D14" s="7029"/>
      <c r="E14" s="7030"/>
      <c r="F14" s="7009" t="s">
        <v>982</v>
      </c>
      <c r="G14" s="7010"/>
      <c r="H14" s="7010"/>
      <c r="I14" s="7010"/>
      <c r="J14" s="7010"/>
      <c r="K14" s="7010" t="s">
        <v>983</v>
      </c>
      <c r="L14" s="7010"/>
      <c r="M14" s="7010"/>
      <c r="N14" s="7010"/>
      <c r="O14" s="7011"/>
      <c r="P14" s="7001"/>
      <c r="Q14" s="7002"/>
      <c r="R14" s="7002"/>
      <c r="S14" s="7002"/>
      <c r="T14" s="7004"/>
      <c r="U14" s="7004"/>
      <c r="V14" s="7004"/>
      <c r="W14" s="7004"/>
      <c r="X14" s="7004"/>
      <c r="Y14" s="7004"/>
      <c r="Z14" s="7007"/>
      <c r="AA14" s="7008"/>
    </row>
    <row r="15" spans="1:61" s="2426" customFormat="1" ht="30" customHeight="1" x14ac:dyDescent="0.55000000000000004">
      <c r="A15" s="7021" t="s">
        <v>1223</v>
      </c>
      <c r="B15" s="7022"/>
      <c r="C15" s="7025" t="s">
        <v>984</v>
      </c>
      <c r="D15" s="7026"/>
      <c r="E15" s="7027"/>
      <c r="F15" s="7031" t="s">
        <v>985</v>
      </c>
      <c r="G15" s="7032"/>
      <c r="H15" s="7032"/>
      <c r="I15" s="7032"/>
      <c r="J15" s="7032"/>
      <c r="K15" s="7032" t="s">
        <v>986</v>
      </c>
      <c r="L15" s="7032"/>
      <c r="M15" s="7032"/>
      <c r="N15" s="7032"/>
      <c r="O15" s="7033"/>
      <c r="P15" s="6999" t="s">
        <v>971</v>
      </c>
      <c r="Q15" s="7000"/>
      <c r="R15" s="7000"/>
      <c r="S15" s="7000"/>
      <c r="T15" s="7003" t="s">
        <v>965</v>
      </c>
      <c r="U15" s="7003"/>
      <c r="V15" s="7003"/>
      <c r="W15" s="7003"/>
      <c r="X15" s="7003"/>
      <c r="Y15" s="7003"/>
      <c r="Z15" s="7005" t="s">
        <v>1146</v>
      </c>
      <c r="AA15" s="7006"/>
    </row>
    <row r="16" spans="1:61" s="2426" customFormat="1" ht="30" customHeight="1" x14ac:dyDescent="0.55000000000000004">
      <c r="A16" s="7023"/>
      <c r="B16" s="7024"/>
      <c r="C16" s="7028"/>
      <c r="D16" s="7029"/>
      <c r="E16" s="7030"/>
      <c r="F16" s="7009" t="s">
        <v>987</v>
      </c>
      <c r="G16" s="7010"/>
      <c r="H16" s="7010"/>
      <c r="I16" s="7010"/>
      <c r="J16" s="7010"/>
      <c r="K16" s="7010"/>
      <c r="L16" s="7010"/>
      <c r="M16" s="7010"/>
      <c r="N16" s="7010"/>
      <c r="O16" s="7011"/>
      <c r="P16" s="7001"/>
      <c r="Q16" s="7002"/>
      <c r="R16" s="7002"/>
      <c r="S16" s="7002"/>
      <c r="T16" s="7004"/>
      <c r="U16" s="7004"/>
      <c r="V16" s="7004"/>
      <c r="W16" s="7004"/>
      <c r="X16" s="7004"/>
      <c r="Y16" s="7004"/>
      <c r="Z16" s="7007"/>
      <c r="AA16" s="7008"/>
    </row>
    <row r="17" spans="1:27" s="2426" customFormat="1" ht="30" customHeight="1" x14ac:dyDescent="0.55000000000000004">
      <c r="A17" s="7021">
        <v>4</v>
      </c>
      <c r="B17" s="7022"/>
      <c r="C17" s="7025" t="s">
        <v>948</v>
      </c>
      <c r="D17" s="7026"/>
      <c r="E17" s="7027"/>
      <c r="F17" s="7031" t="s">
        <v>988</v>
      </c>
      <c r="G17" s="7032"/>
      <c r="H17" s="7032"/>
      <c r="I17" s="7032"/>
      <c r="J17" s="7032"/>
      <c r="K17" s="7032" t="s">
        <v>989</v>
      </c>
      <c r="L17" s="7032"/>
      <c r="M17" s="7032"/>
      <c r="N17" s="7032"/>
      <c r="O17" s="7033"/>
      <c r="P17" s="6999" t="s">
        <v>1224</v>
      </c>
      <c r="Q17" s="7000"/>
      <c r="R17" s="7000"/>
      <c r="S17" s="7000"/>
      <c r="T17" s="7035" t="s">
        <v>965</v>
      </c>
      <c r="U17" s="7035"/>
      <c r="V17" s="7035"/>
      <c r="W17" s="7035"/>
      <c r="X17" s="7035"/>
      <c r="Y17" s="7035"/>
      <c r="Z17" s="7052">
        <v>12</v>
      </c>
      <c r="AA17" s="7053"/>
    </row>
    <row r="18" spans="1:27" s="2426" customFormat="1" ht="30" customHeight="1" x14ac:dyDescent="0.55000000000000004">
      <c r="A18" s="7023"/>
      <c r="B18" s="7024"/>
      <c r="C18" s="7028"/>
      <c r="D18" s="7029"/>
      <c r="E18" s="7030"/>
      <c r="F18" s="7009" t="s">
        <v>990</v>
      </c>
      <c r="G18" s="7010"/>
      <c r="H18" s="7010"/>
      <c r="I18" s="7010"/>
      <c r="J18" s="7010"/>
      <c r="K18" s="7010" t="s">
        <v>991</v>
      </c>
      <c r="L18" s="7010"/>
      <c r="M18" s="7010"/>
      <c r="N18" s="7010"/>
      <c r="O18" s="7011"/>
      <c r="P18" s="7001"/>
      <c r="Q18" s="7002"/>
      <c r="R18" s="7002"/>
      <c r="S18" s="7002"/>
      <c r="T18" s="7004"/>
      <c r="U18" s="7004"/>
      <c r="V18" s="7004"/>
      <c r="W18" s="7004"/>
      <c r="X18" s="7004"/>
      <c r="Y18" s="7004"/>
      <c r="Z18" s="7007"/>
      <c r="AA18" s="7008"/>
    </row>
    <row r="19" spans="1:27" s="2426" customFormat="1" ht="30" customHeight="1" x14ac:dyDescent="0.55000000000000004">
      <c r="A19" s="7021">
        <v>5</v>
      </c>
      <c r="B19" s="7022"/>
      <c r="C19" s="7025" t="s">
        <v>1019</v>
      </c>
      <c r="D19" s="7026"/>
      <c r="E19" s="7027"/>
      <c r="F19" s="7049" t="s">
        <v>992</v>
      </c>
      <c r="G19" s="7050"/>
      <c r="H19" s="7050"/>
      <c r="I19" s="7050"/>
      <c r="J19" s="7050"/>
      <c r="K19" s="7050" t="s">
        <v>993</v>
      </c>
      <c r="L19" s="7050"/>
      <c r="M19" s="7050"/>
      <c r="N19" s="7050"/>
      <c r="O19" s="7051"/>
      <c r="P19" s="6999" t="s">
        <v>1224</v>
      </c>
      <c r="Q19" s="7000"/>
      <c r="R19" s="7000"/>
      <c r="S19" s="7000"/>
      <c r="T19" s="7003" t="s">
        <v>965</v>
      </c>
      <c r="U19" s="7003"/>
      <c r="V19" s="7003"/>
      <c r="W19" s="7003"/>
      <c r="X19" s="7003"/>
      <c r="Y19" s="7003"/>
      <c r="Z19" s="7005" t="s">
        <v>1147</v>
      </c>
      <c r="AA19" s="7006"/>
    </row>
    <row r="20" spans="1:27" s="2426" customFormat="1" ht="30" customHeight="1" x14ac:dyDescent="0.55000000000000004">
      <c r="A20" s="7023"/>
      <c r="B20" s="7024"/>
      <c r="C20" s="7028"/>
      <c r="D20" s="7029"/>
      <c r="E20" s="7030"/>
      <c r="F20" s="7009" t="s">
        <v>1117</v>
      </c>
      <c r="G20" s="7010"/>
      <c r="H20" s="7010"/>
      <c r="I20" s="7010"/>
      <c r="J20" s="7010"/>
      <c r="K20" s="7010" t="s">
        <v>994</v>
      </c>
      <c r="L20" s="7010"/>
      <c r="M20" s="7010"/>
      <c r="N20" s="7010"/>
      <c r="O20" s="7011"/>
      <c r="P20" s="7001"/>
      <c r="Q20" s="7002"/>
      <c r="R20" s="7002"/>
      <c r="S20" s="7002"/>
      <c r="T20" s="7004"/>
      <c r="U20" s="7004"/>
      <c r="V20" s="7004"/>
      <c r="W20" s="7004"/>
      <c r="X20" s="7004"/>
      <c r="Y20" s="7004"/>
      <c r="Z20" s="7007"/>
      <c r="AA20" s="7008"/>
    </row>
    <row r="21" spans="1:27" s="2426" customFormat="1" ht="44.5" customHeight="1" x14ac:dyDescent="0.55000000000000004">
      <c r="A21" s="7039">
        <v>6</v>
      </c>
      <c r="B21" s="7040"/>
      <c r="C21" s="7041" t="s">
        <v>22</v>
      </c>
      <c r="D21" s="7042"/>
      <c r="E21" s="7043"/>
      <c r="F21" s="7044" t="s">
        <v>995</v>
      </c>
      <c r="G21" s="7045"/>
      <c r="H21" s="7045"/>
      <c r="I21" s="7045"/>
      <c r="J21" s="7045"/>
      <c r="K21" s="7045" t="s">
        <v>996</v>
      </c>
      <c r="L21" s="7045"/>
      <c r="M21" s="7045"/>
      <c r="N21" s="7045"/>
      <c r="O21" s="7046"/>
      <c r="P21" s="7047" t="s">
        <v>997</v>
      </c>
      <c r="Q21" s="7048"/>
      <c r="R21" s="7048"/>
      <c r="S21" s="7048"/>
      <c r="T21" s="7036" t="s">
        <v>965</v>
      </c>
      <c r="U21" s="7036"/>
      <c r="V21" s="7036"/>
      <c r="W21" s="7036"/>
      <c r="X21" s="7036"/>
      <c r="Y21" s="7036"/>
      <c r="Z21" s="7037">
        <v>15</v>
      </c>
      <c r="AA21" s="7038"/>
    </row>
    <row r="22" spans="1:27" s="2426" customFormat="1" ht="30" customHeight="1" x14ac:dyDescent="0.55000000000000004">
      <c r="A22" s="7021">
        <v>7</v>
      </c>
      <c r="B22" s="7022"/>
      <c r="C22" s="7025" t="s">
        <v>803</v>
      </c>
      <c r="D22" s="7026"/>
      <c r="E22" s="7027"/>
      <c r="F22" s="7031" t="s">
        <v>998</v>
      </c>
      <c r="G22" s="7032"/>
      <c r="H22" s="7032"/>
      <c r="I22" s="7032"/>
      <c r="J22" s="7032"/>
      <c r="K22" s="7032" t="s">
        <v>999</v>
      </c>
      <c r="L22" s="7032"/>
      <c r="M22" s="7032"/>
      <c r="N22" s="7032"/>
      <c r="O22" s="7033"/>
      <c r="P22" s="6999" t="s">
        <v>1225</v>
      </c>
      <c r="Q22" s="7000"/>
      <c r="R22" s="7000"/>
      <c r="S22" s="7000"/>
      <c r="T22" s="7003" t="s">
        <v>965</v>
      </c>
      <c r="U22" s="7003"/>
      <c r="V22" s="7003"/>
      <c r="W22" s="7003"/>
      <c r="X22" s="7003"/>
      <c r="Y22" s="7003"/>
      <c r="Z22" s="7005">
        <v>16</v>
      </c>
      <c r="AA22" s="7006"/>
    </row>
    <row r="23" spans="1:27" s="2426" customFormat="1" ht="30" customHeight="1" x14ac:dyDescent="0.55000000000000004">
      <c r="A23" s="7023"/>
      <c r="B23" s="7024"/>
      <c r="C23" s="7028"/>
      <c r="D23" s="7029"/>
      <c r="E23" s="7030"/>
      <c r="F23" s="7009" t="s">
        <v>1000</v>
      </c>
      <c r="G23" s="7010"/>
      <c r="H23" s="7010"/>
      <c r="I23" s="7010"/>
      <c r="J23" s="7010"/>
      <c r="K23" s="7010" t="s">
        <v>1001</v>
      </c>
      <c r="L23" s="7010"/>
      <c r="M23" s="7010"/>
      <c r="N23" s="7010"/>
      <c r="O23" s="7011"/>
      <c r="P23" s="7001"/>
      <c r="Q23" s="7002"/>
      <c r="R23" s="7002"/>
      <c r="S23" s="7002"/>
      <c r="T23" s="7004"/>
      <c r="U23" s="7004"/>
      <c r="V23" s="7004"/>
      <c r="W23" s="7004"/>
      <c r="X23" s="7004"/>
      <c r="Y23" s="7004"/>
      <c r="Z23" s="7007"/>
      <c r="AA23" s="7008"/>
    </row>
    <row r="24" spans="1:27" s="2426" customFormat="1" ht="30" customHeight="1" x14ac:dyDescent="0.55000000000000004">
      <c r="A24" s="7021">
        <v>8</v>
      </c>
      <c r="B24" s="7022"/>
      <c r="C24" s="7025" t="s">
        <v>1002</v>
      </c>
      <c r="D24" s="7026"/>
      <c r="E24" s="7027"/>
      <c r="F24" s="7031" t="s">
        <v>1003</v>
      </c>
      <c r="G24" s="7032"/>
      <c r="H24" s="7032"/>
      <c r="I24" s="7032"/>
      <c r="J24" s="7032"/>
      <c r="K24" s="7032" t="s">
        <v>1226</v>
      </c>
      <c r="L24" s="7032"/>
      <c r="M24" s="7032"/>
      <c r="N24" s="7032"/>
      <c r="O24" s="7033"/>
      <c r="P24" s="6999" t="s">
        <v>971</v>
      </c>
      <c r="Q24" s="7000"/>
      <c r="R24" s="7000"/>
      <c r="S24" s="7000"/>
      <c r="T24" s="7003" t="s">
        <v>965</v>
      </c>
      <c r="U24" s="7003"/>
      <c r="V24" s="7003"/>
      <c r="W24" s="7003"/>
      <c r="X24" s="7003"/>
      <c r="Y24" s="7003"/>
      <c r="Z24" s="7005">
        <v>17</v>
      </c>
      <c r="AA24" s="7006"/>
    </row>
    <row r="25" spans="1:27" s="2426" customFormat="1" ht="30" customHeight="1" x14ac:dyDescent="0.55000000000000004">
      <c r="A25" s="7023"/>
      <c r="B25" s="7024"/>
      <c r="C25" s="7028"/>
      <c r="D25" s="7029"/>
      <c r="E25" s="7030"/>
      <c r="F25" s="7009" t="s">
        <v>1004</v>
      </c>
      <c r="G25" s="7010"/>
      <c r="H25" s="7010"/>
      <c r="I25" s="7010"/>
      <c r="J25" s="7010"/>
      <c r="K25" s="7010"/>
      <c r="L25" s="7010"/>
      <c r="M25" s="7010"/>
      <c r="N25" s="7010"/>
      <c r="O25" s="7011"/>
      <c r="P25" s="7001"/>
      <c r="Q25" s="7002"/>
      <c r="R25" s="7002"/>
      <c r="S25" s="7002"/>
      <c r="T25" s="7004"/>
      <c r="U25" s="7004"/>
      <c r="V25" s="7004"/>
      <c r="W25" s="7004"/>
      <c r="X25" s="7004"/>
      <c r="Y25" s="7004"/>
      <c r="Z25" s="7007"/>
      <c r="AA25" s="7008"/>
    </row>
    <row r="26" spans="1:27" s="2426" customFormat="1" ht="30" customHeight="1" x14ac:dyDescent="0.55000000000000004">
      <c r="A26" s="7021">
        <v>9</v>
      </c>
      <c r="B26" s="7022"/>
      <c r="C26" s="7025" t="s">
        <v>784</v>
      </c>
      <c r="D26" s="7026"/>
      <c r="E26" s="7027"/>
      <c r="F26" s="7031" t="s">
        <v>1005</v>
      </c>
      <c r="G26" s="7032"/>
      <c r="H26" s="7032"/>
      <c r="I26" s="7032"/>
      <c r="J26" s="7032"/>
      <c r="K26" s="7032" t="s">
        <v>1006</v>
      </c>
      <c r="L26" s="7032"/>
      <c r="M26" s="7032"/>
      <c r="N26" s="7032"/>
      <c r="O26" s="7033"/>
      <c r="P26" s="6999" t="s">
        <v>971</v>
      </c>
      <c r="Q26" s="7000"/>
      <c r="R26" s="7000"/>
      <c r="S26" s="7000"/>
      <c r="T26" s="7003" t="s">
        <v>965</v>
      </c>
      <c r="U26" s="7003"/>
      <c r="V26" s="7003"/>
      <c r="W26" s="7003"/>
      <c r="X26" s="7003"/>
      <c r="Y26" s="7003"/>
      <c r="Z26" s="7005" t="s">
        <v>1161</v>
      </c>
      <c r="AA26" s="7006"/>
    </row>
    <row r="27" spans="1:27" s="2426" customFormat="1" ht="30" customHeight="1" x14ac:dyDescent="0.55000000000000004">
      <c r="A27" s="7023"/>
      <c r="B27" s="7024"/>
      <c r="C27" s="7028"/>
      <c r="D27" s="7029"/>
      <c r="E27" s="7030"/>
      <c r="F27" s="7009" t="s">
        <v>1007</v>
      </c>
      <c r="G27" s="7010"/>
      <c r="H27" s="7010"/>
      <c r="I27" s="7010"/>
      <c r="J27" s="7010"/>
      <c r="K27" s="7010"/>
      <c r="L27" s="7010"/>
      <c r="M27" s="7010"/>
      <c r="N27" s="7010"/>
      <c r="O27" s="7011"/>
      <c r="P27" s="7001"/>
      <c r="Q27" s="7002"/>
      <c r="R27" s="7002"/>
      <c r="S27" s="7002"/>
      <c r="T27" s="7004"/>
      <c r="U27" s="7004"/>
      <c r="V27" s="7004"/>
      <c r="W27" s="7004"/>
      <c r="X27" s="7004"/>
      <c r="Y27" s="7004"/>
      <c r="Z27" s="7007"/>
      <c r="AA27" s="7008"/>
    </row>
    <row r="28" spans="1:27" s="2426" customFormat="1" ht="30" customHeight="1" x14ac:dyDescent="0.55000000000000004">
      <c r="A28" s="7021">
        <v>10</v>
      </c>
      <c r="B28" s="7022"/>
      <c r="C28" s="7025" t="s">
        <v>1008</v>
      </c>
      <c r="D28" s="7026"/>
      <c r="E28" s="7027"/>
      <c r="F28" s="7031" t="s">
        <v>1009</v>
      </c>
      <c r="G28" s="7032"/>
      <c r="H28" s="7032"/>
      <c r="I28" s="7032"/>
      <c r="J28" s="7032"/>
      <c r="K28" s="7032" t="s">
        <v>1010</v>
      </c>
      <c r="L28" s="7032"/>
      <c r="M28" s="7032"/>
      <c r="N28" s="7032"/>
      <c r="O28" s="7033"/>
      <c r="P28" s="7034" t="s">
        <v>1227</v>
      </c>
      <c r="Q28" s="7035"/>
      <c r="R28" s="7035"/>
      <c r="S28" s="7035"/>
      <c r="T28" s="7003" t="s">
        <v>965</v>
      </c>
      <c r="U28" s="7003"/>
      <c r="V28" s="7003"/>
      <c r="W28" s="7003"/>
      <c r="X28" s="7003"/>
      <c r="Y28" s="7003"/>
      <c r="Z28" s="7005" t="s">
        <v>1162</v>
      </c>
      <c r="AA28" s="7006"/>
    </row>
    <row r="29" spans="1:27" s="2426" customFormat="1" ht="30" customHeight="1" x14ac:dyDescent="0.55000000000000004">
      <c r="A29" s="7023"/>
      <c r="B29" s="7024"/>
      <c r="C29" s="7028"/>
      <c r="D29" s="7029"/>
      <c r="E29" s="7030"/>
      <c r="F29" s="7009" t="s">
        <v>1011</v>
      </c>
      <c r="G29" s="7010"/>
      <c r="H29" s="7010"/>
      <c r="I29" s="7010"/>
      <c r="J29" s="7010"/>
      <c r="K29" s="7010" t="s">
        <v>1012</v>
      </c>
      <c r="L29" s="7010"/>
      <c r="M29" s="7010"/>
      <c r="N29" s="7010"/>
      <c r="O29" s="7011"/>
      <c r="P29" s="7004"/>
      <c r="Q29" s="7004"/>
      <c r="R29" s="7004"/>
      <c r="S29" s="7004"/>
      <c r="T29" s="7004"/>
      <c r="U29" s="7004"/>
      <c r="V29" s="7004"/>
      <c r="W29" s="7004"/>
      <c r="X29" s="7004"/>
      <c r="Y29" s="7004"/>
      <c r="Z29" s="7007"/>
      <c r="AA29" s="7008"/>
    </row>
    <row r="30" spans="1:27" s="2426" customFormat="1" ht="30" customHeight="1" x14ac:dyDescent="0.55000000000000004">
      <c r="A30" s="7021">
        <v>11</v>
      </c>
      <c r="B30" s="7022"/>
      <c r="C30" s="7025" t="s">
        <v>288</v>
      </c>
      <c r="D30" s="7026"/>
      <c r="E30" s="7027"/>
      <c r="F30" s="7031" t="s">
        <v>1013</v>
      </c>
      <c r="G30" s="7032"/>
      <c r="H30" s="7032"/>
      <c r="I30" s="7032"/>
      <c r="J30" s="7032"/>
      <c r="K30" s="7032" t="s">
        <v>1014</v>
      </c>
      <c r="L30" s="7032"/>
      <c r="M30" s="7032"/>
      <c r="N30" s="7032"/>
      <c r="O30" s="7033"/>
      <c r="P30" s="6999" t="s">
        <v>971</v>
      </c>
      <c r="Q30" s="7000"/>
      <c r="R30" s="7000"/>
      <c r="S30" s="7000"/>
      <c r="T30" s="7003" t="s">
        <v>965</v>
      </c>
      <c r="U30" s="7003"/>
      <c r="V30" s="7003"/>
      <c r="W30" s="7003"/>
      <c r="X30" s="7003"/>
      <c r="Y30" s="7003"/>
      <c r="Z30" s="7005">
        <v>23</v>
      </c>
      <c r="AA30" s="7006"/>
    </row>
    <row r="31" spans="1:27" s="2426" customFormat="1" ht="30" customHeight="1" x14ac:dyDescent="0.55000000000000004">
      <c r="A31" s="7023"/>
      <c r="B31" s="7024"/>
      <c r="C31" s="7028"/>
      <c r="D31" s="7029"/>
      <c r="E31" s="7030"/>
      <c r="F31" s="7009" t="s">
        <v>1228</v>
      </c>
      <c r="G31" s="7010"/>
      <c r="H31" s="7010"/>
      <c r="I31" s="7010"/>
      <c r="J31" s="7010"/>
      <c r="K31" s="7010" t="s">
        <v>1015</v>
      </c>
      <c r="L31" s="7010"/>
      <c r="M31" s="7010"/>
      <c r="N31" s="7010"/>
      <c r="O31" s="7011"/>
      <c r="P31" s="7001"/>
      <c r="Q31" s="7002"/>
      <c r="R31" s="7002"/>
      <c r="S31" s="7002"/>
      <c r="T31" s="7004"/>
      <c r="U31" s="7004"/>
      <c r="V31" s="7004"/>
      <c r="W31" s="7004"/>
      <c r="X31" s="7004"/>
      <c r="Y31" s="7004"/>
      <c r="Z31" s="7007"/>
      <c r="AA31" s="7008"/>
    </row>
    <row r="32" spans="1:27" s="2426" customFormat="1" ht="46" customHeight="1" thickBot="1" x14ac:dyDescent="0.6">
      <c r="A32" s="7012">
        <v>12</v>
      </c>
      <c r="B32" s="7013"/>
      <c r="C32" s="7014" t="s">
        <v>1016</v>
      </c>
      <c r="D32" s="7015"/>
      <c r="E32" s="7016"/>
      <c r="F32" s="7017" t="s">
        <v>1017</v>
      </c>
      <c r="G32" s="7018"/>
      <c r="H32" s="7018"/>
      <c r="I32" s="7018"/>
      <c r="J32" s="7018"/>
      <c r="K32" s="7018" t="s">
        <v>1018</v>
      </c>
      <c r="L32" s="7018"/>
      <c r="M32" s="7018"/>
      <c r="N32" s="7018"/>
      <c r="O32" s="7019"/>
      <c r="P32" s="7020" t="s">
        <v>971</v>
      </c>
      <c r="Q32" s="6995"/>
      <c r="R32" s="6995"/>
      <c r="S32" s="6995"/>
      <c r="T32" s="6995" t="s">
        <v>965</v>
      </c>
      <c r="U32" s="6995"/>
      <c r="V32" s="6995"/>
      <c r="W32" s="6995"/>
      <c r="X32" s="6995"/>
      <c r="Y32" s="6995"/>
      <c r="Z32" s="6996">
        <v>24</v>
      </c>
      <c r="AA32" s="6997"/>
    </row>
    <row r="33" spans="1:5" ht="21" customHeight="1" x14ac:dyDescent="0.55000000000000004">
      <c r="A33" s="6994"/>
      <c r="B33" s="6994"/>
      <c r="C33" s="6998"/>
      <c r="D33" s="6998"/>
      <c r="E33" s="6998"/>
    </row>
    <row r="34" spans="1:5" ht="21" customHeight="1" x14ac:dyDescent="0.55000000000000004">
      <c r="A34" s="6994"/>
      <c r="B34" s="6994"/>
    </row>
    <row r="35" spans="1:5" ht="21" customHeight="1" x14ac:dyDescent="0.55000000000000004">
      <c r="A35" s="6994"/>
      <c r="B35" s="6994"/>
    </row>
    <row r="36" spans="1:5" ht="21" customHeight="1" x14ac:dyDescent="0.55000000000000004">
      <c r="A36" s="6994"/>
      <c r="B36" s="6994"/>
    </row>
    <row r="37" spans="1:5" ht="21" customHeight="1" x14ac:dyDescent="0.55000000000000004"/>
    <row r="38" spans="1:5" ht="21" customHeight="1" x14ac:dyDescent="0.55000000000000004"/>
    <row r="39" spans="1:5" ht="21" customHeight="1" x14ac:dyDescent="0.55000000000000004"/>
    <row r="40" spans="1:5" ht="21" customHeight="1" x14ac:dyDescent="0.55000000000000004"/>
    <row r="41" spans="1:5" ht="21" customHeight="1" x14ac:dyDescent="0.55000000000000004"/>
  </sheetData>
  <mergeCells count="134">
    <mergeCell ref="A2:AA2"/>
    <mergeCell ref="BE2:BI2"/>
    <mergeCell ref="A6:B6"/>
    <mergeCell ref="C6:E6"/>
    <mergeCell ref="F6:O6"/>
    <mergeCell ref="P6:S6"/>
    <mergeCell ref="Z6:AA6"/>
    <mergeCell ref="F10:J10"/>
    <mergeCell ref="K10:O10"/>
    <mergeCell ref="Z7:AA8"/>
    <mergeCell ref="F8:J8"/>
    <mergeCell ref="K8:O8"/>
    <mergeCell ref="A9:B10"/>
    <mergeCell ref="C9:E10"/>
    <mergeCell ref="F9:J9"/>
    <mergeCell ref="K9:O9"/>
    <mergeCell ref="P9:S10"/>
    <mergeCell ref="T9:Y10"/>
    <mergeCell ref="Z9:AA10"/>
    <mergeCell ref="A7:B8"/>
    <mergeCell ref="C7:E8"/>
    <mergeCell ref="F7:J7"/>
    <mergeCell ref="K7:O7"/>
    <mergeCell ref="P7:S8"/>
    <mergeCell ref="T7:Y8"/>
    <mergeCell ref="K12:O12"/>
    <mergeCell ref="A13:B14"/>
    <mergeCell ref="C13:E14"/>
    <mergeCell ref="F13:J13"/>
    <mergeCell ref="K13:O13"/>
    <mergeCell ref="P13:S14"/>
    <mergeCell ref="T13:Y14"/>
    <mergeCell ref="Z13:AA14"/>
    <mergeCell ref="F14:J14"/>
    <mergeCell ref="K14:O14"/>
    <mergeCell ref="A11:B12"/>
    <mergeCell ref="C11:E12"/>
    <mergeCell ref="F11:J11"/>
    <mergeCell ref="K11:O11"/>
    <mergeCell ref="P11:S12"/>
    <mergeCell ref="T11:Y12"/>
    <mergeCell ref="Z11:AA12"/>
    <mergeCell ref="F12:J12"/>
    <mergeCell ref="Z15:AA16"/>
    <mergeCell ref="F16:J16"/>
    <mergeCell ref="K16:O16"/>
    <mergeCell ref="A17:B18"/>
    <mergeCell ref="C17:E18"/>
    <mergeCell ref="F17:J17"/>
    <mergeCell ref="K17:O17"/>
    <mergeCell ref="P17:S18"/>
    <mergeCell ref="T17:Y18"/>
    <mergeCell ref="Z17:AA18"/>
    <mergeCell ref="A15:B16"/>
    <mergeCell ref="C15:E16"/>
    <mergeCell ref="F15:J15"/>
    <mergeCell ref="K15:O15"/>
    <mergeCell ref="P15:S16"/>
    <mergeCell ref="T15:Y16"/>
    <mergeCell ref="F18:J18"/>
    <mergeCell ref="K18:O18"/>
    <mergeCell ref="Z19:AA20"/>
    <mergeCell ref="F20:J20"/>
    <mergeCell ref="K20:O20"/>
    <mergeCell ref="A21:B21"/>
    <mergeCell ref="C21:E21"/>
    <mergeCell ref="F21:J21"/>
    <mergeCell ref="K21:O21"/>
    <mergeCell ref="P21:S21"/>
    <mergeCell ref="K23:O23"/>
    <mergeCell ref="A19:B20"/>
    <mergeCell ref="C19:E20"/>
    <mergeCell ref="F19:J19"/>
    <mergeCell ref="K19:O19"/>
    <mergeCell ref="P19:S20"/>
    <mergeCell ref="T19:Y20"/>
    <mergeCell ref="A24:B25"/>
    <mergeCell ref="C24:E25"/>
    <mergeCell ref="F24:J24"/>
    <mergeCell ref="K24:O24"/>
    <mergeCell ref="P24:S25"/>
    <mergeCell ref="T21:Y21"/>
    <mergeCell ref="Z21:AA21"/>
    <mergeCell ref="A22:B23"/>
    <mergeCell ref="C22:E23"/>
    <mergeCell ref="F22:J22"/>
    <mergeCell ref="K22:O22"/>
    <mergeCell ref="P22:S23"/>
    <mergeCell ref="T22:Y23"/>
    <mergeCell ref="Z22:AA23"/>
    <mergeCell ref="F23:J23"/>
    <mergeCell ref="T24:Y25"/>
    <mergeCell ref="Z24:AA25"/>
    <mergeCell ref="F25:J25"/>
    <mergeCell ref="K25:O25"/>
    <mergeCell ref="Z26:AA27"/>
    <mergeCell ref="F27:J27"/>
    <mergeCell ref="K27:O27"/>
    <mergeCell ref="A28:B29"/>
    <mergeCell ref="C28:E29"/>
    <mergeCell ref="F28:J28"/>
    <mergeCell ref="K28:O28"/>
    <mergeCell ref="P28:S29"/>
    <mergeCell ref="T28:Y29"/>
    <mergeCell ref="Z28:AA29"/>
    <mergeCell ref="A26:B27"/>
    <mergeCell ref="C26:E27"/>
    <mergeCell ref="F26:J26"/>
    <mergeCell ref="K26:O26"/>
    <mergeCell ref="P26:S27"/>
    <mergeCell ref="T26:Y27"/>
    <mergeCell ref="F29:J29"/>
    <mergeCell ref="K29:O29"/>
    <mergeCell ref="A36:B36"/>
    <mergeCell ref="T32:Y32"/>
    <mergeCell ref="Z32:AA32"/>
    <mergeCell ref="A33:B33"/>
    <mergeCell ref="C33:E33"/>
    <mergeCell ref="A34:B34"/>
    <mergeCell ref="A35:B35"/>
    <mergeCell ref="P30:S31"/>
    <mergeCell ref="T30:Y31"/>
    <mergeCell ref="Z30:AA31"/>
    <mergeCell ref="F31:J31"/>
    <mergeCell ref="K31:O31"/>
    <mergeCell ref="A32:B32"/>
    <mergeCell ref="C32:E32"/>
    <mergeCell ref="F32:J32"/>
    <mergeCell ref="K32:O32"/>
    <mergeCell ref="P32:S32"/>
    <mergeCell ref="A30:B31"/>
    <mergeCell ref="C30:E31"/>
    <mergeCell ref="F30:J30"/>
    <mergeCell ref="K30:O30"/>
  </mergeCells>
  <phoneticPr fontId="1" type="noConversion"/>
  <hyperlinks>
    <hyperlink ref="Z7:AA8" location="'1.재무'!Print_Titles" display="1 ~ 3" xr:uid="{5D49832B-C29F-4BF2-8EDA-FA6FF236CE76}"/>
    <hyperlink ref="C9:E10" location="'2.무선가입자'!Print_Titles" display="무선가입자" xr:uid="{4D762560-7567-4261-B35E-C1A485191811}"/>
    <hyperlink ref="Z9:AA10" location="'2.무선가입자'!Print_Titles" display="4 ~ 5" xr:uid="{B5959204-2D9E-458E-95E7-94EDEEF352E3}"/>
    <hyperlink ref="C11:E12" location="'2-(1) 수수료 기준_가입자(무선)'!Print_Titles" display="무선가입자 (상세)" xr:uid="{7E0C2A93-AD95-43EB-860A-127A82D72E36}"/>
    <hyperlink ref="Z11:AA12" location="'2-(1) 수수료 기준_가입자(무선)'!Print_Titles" display="6 ~ 7" xr:uid="{8BF8EDB5-4146-4231-9D12-92778D69BF2D}"/>
    <hyperlink ref="C13:E14" location="'3.유선가입자'!Print_Titles" display="유선가입자" xr:uid="{234F574A-B0F8-4C0C-8BF4-08FE77D8D9EF}"/>
    <hyperlink ref="Z13:AA14" location="'3.유선가입자'!Print_Titles" display="8 ~ 9" xr:uid="{C380D9BB-BB6A-44AB-84A1-24BED4CEC0B8}"/>
    <hyperlink ref="C15:E16" location="'3-(1) 수수료 기준_가입자 (유선)'!Print_Titles" display="유선가입자(상세)" xr:uid="{2ED13326-A4A3-41B8-B366-FF47EB88798B}"/>
    <hyperlink ref="Z15:AA16" location="'3-(1) 수수료 기준_가입자 (유선)'!Print_Titles" display="10 ~ 11" xr:uid="{6F5C44E0-0F20-49FB-898D-BC65F2EB3220}"/>
    <hyperlink ref="C17:E18" location="'4. 디지털'!Print_Area" display="온라인" xr:uid="{957C62D4-C3A7-48A0-A544-63D50E6E85F2}"/>
    <hyperlink ref="Z17:AA18" location="'4. 디지털'!Print_Area" display="'4. 디지털'!Print_Area" xr:uid="{02FA2F2A-A579-45DC-A382-54B53CAC92AE}"/>
    <hyperlink ref="C19:E20" location="'5. 소상공인'!Print_Titles" display="소상공인" xr:uid="{C4DD6837-58D6-4093-BAA5-221D191087D4}"/>
    <hyperlink ref="Z19:AA20" location="'5. 소상공인'!Print_Titles" display="13 ~ 14" xr:uid="{48DB1ECA-5CE2-4AFD-8DC3-02D8243F3083}"/>
    <hyperlink ref="C21:E21" location="'6. B2B'!Print_Area" display="B2B" xr:uid="{A20D5E2D-09C4-4B48-97B9-0A960F58779D}"/>
    <hyperlink ref="Z21:AA21" location="'6. B2B'!Print_Area" display="'6. B2B'!Print_Area" xr:uid="{4A65147D-2182-483F-A604-09DE12BB4C52}"/>
    <hyperlink ref="C22:E23" location="'7.유통플랫폼사업'!Print_Area" display="유통플랫폼사업" xr:uid="{A3C1E923-0FB7-4780-863E-62D21ACDBE87}"/>
    <hyperlink ref="Z22:AA23" location="'7.유통플랫폼사업'!Print_Area" display="'7.유통플랫폼사업'!Print_Area" xr:uid="{6D231E7A-B585-4D1B-B70A-66018EA802DC}"/>
    <hyperlink ref="C24:E25" location="'8.인프라'!Print_Titles" display="인프라" xr:uid="{6B680824-1C4F-4999-9C5B-775C43712F2A}"/>
    <hyperlink ref="Z24:AA25" location="'8.인프라'!Print_Titles" display="17 ~18" xr:uid="{D1A38E75-7501-4F18-A6D3-78A9B85F7343}"/>
    <hyperlink ref="C26:E27" location="'9.인력'!Print_Titles" display="인력" xr:uid="{9F4927FE-6EC9-4F40-BEAB-090444DCDDF1}"/>
    <hyperlink ref="Z26:AA27" location="'9.인력'!Print_Titles" display="19 ~ 20" xr:uid="{AB2F875A-7953-4B8E-9894-7B15A3441343}"/>
    <hyperlink ref="C28:E29" location="'10.영업품질'!Print_Titles" display="영업품질" xr:uid="{7EF9B0C3-4DD5-4AA1-A021-F9B758DC854A}"/>
    <hyperlink ref="Z28:AA29" location="'10.영업품질'!Print_Titles" display="21 ~ 22" xr:uid="{C467D005-F45E-4971-840E-08B1B7FE4E77}"/>
    <hyperlink ref="C30:E31" location="'11. 재고'!Print_Area" display="재고" xr:uid="{A4CAC4C9-12D7-46A4-8C37-7943EE949EB1}"/>
    <hyperlink ref="Z30:AA31" location="'11. 재고'!Print_Area" display="'11. 재고'!Print_Area" xr:uid="{F6A1A4E8-0137-4D1A-BF7E-57C78FF30A2A}"/>
    <hyperlink ref="C32:E32" location="'12.기타지표'!Print_Area" display="기타지표" xr:uid="{64CE3AF6-A1F8-4A43-B09E-ED8E24B0D2EA}"/>
    <hyperlink ref="Z32:AA32" location="'12.기타지표'!Print_Area" display="'12.기타지표'!Print_Area" xr:uid="{0445B7A1-13E3-4090-A7B0-C31BA9AE186D}"/>
    <hyperlink ref="C7:E8" location="'1.재무'!Print_Titles" display="재무" xr:uid="{2071C212-0BC3-4ABA-B421-EAB0D99DA494}"/>
  </hyperlinks>
  <printOptions horizontalCentered="1" verticalCentered="1"/>
  <pageMargins left="0.23622047244094491" right="0.23622047244094491" top="0.35433070866141736" bottom="0.55118110236220474" header="0.31496062992125984" footer="0.31496062992125984"/>
  <pageSetup paperSize="9" scale="57" fitToHeight="0" orientation="landscape" r:id="rId1"/>
  <colBreaks count="1" manualBreakCount="1">
    <brk id="2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97A3-30C0-4000-829A-9374D6DFE009}">
  <sheetPr codeName="Sheet1">
    <tabColor theme="7" tint="0.79998168889431442"/>
    <pageSetUpPr fitToPage="1"/>
  </sheetPr>
  <dimension ref="A1:BS160"/>
  <sheetViews>
    <sheetView showGridLines="0" view="pageBreakPreview" zoomScale="40" zoomScaleNormal="55" zoomScaleSheetLayoutView="40" workbookViewId="0">
      <pane xSplit="5" topLeftCell="G1" activePane="topRight" state="frozen"/>
      <selection activeCell="AG13" sqref="AG13"/>
      <selection pane="topRight" activeCell="N24" sqref="N24"/>
    </sheetView>
  </sheetViews>
  <sheetFormatPr defaultRowHeight="15" outlineLevelRow="1" outlineLevelCol="1" x14ac:dyDescent="0.55000000000000004"/>
  <cols>
    <col min="1" max="1" width="5.35546875" style="2441" customWidth="1"/>
    <col min="2" max="2" width="8.5" style="2441" customWidth="1"/>
    <col min="3" max="3" width="13.35546875" style="2441" customWidth="1"/>
    <col min="4" max="4" width="21.92578125" style="2441" customWidth="1"/>
    <col min="5" max="5" width="39.42578125" style="2441" customWidth="1"/>
    <col min="6" max="7" width="13.5" style="2467" customWidth="1"/>
    <col min="8" max="8" width="14.2109375" style="2441" customWidth="1"/>
    <col min="9" max="9" width="14.2109375" style="2441" customWidth="1" outlineLevel="1"/>
    <col min="10" max="10" width="14.0703125" style="2441" customWidth="1" outlineLevel="1"/>
    <col min="11" max="16" width="14.5" style="2441" customWidth="1" outlineLevel="1"/>
    <col min="17" max="19" width="14.2109375" style="2441" customWidth="1" outlineLevel="1"/>
    <col min="20" max="20" width="10.0703125" style="2441" hidden="1" customWidth="1"/>
    <col min="21" max="22" width="9.640625" style="2441" hidden="1" customWidth="1"/>
    <col min="23" max="23" width="12.85546875" style="2441" customWidth="1"/>
    <col min="24" max="24" width="13.35546875" style="2441" customWidth="1"/>
    <col min="25" max="25" width="9.640625" style="2441" hidden="1" customWidth="1"/>
    <col min="26" max="26" width="13.35546875" style="2443" customWidth="1"/>
    <col min="27" max="28" width="9.640625" style="2441" hidden="1" customWidth="1"/>
    <col min="29" max="29" width="13.35546875" style="2441" customWidth="1"/>
    <col min="30" max="30" width="8.640625" style="2441" customWidth="1"/>
    <col min="31" max="43" width="9.640625" style="2441" hidden="1" customWidth="1" outlineLevel="1"/>
    <col min="44" max="44" width="9.0703125" style="2441" hidden="1" customWidth="1" outlineLevel="1"/>
    <col min="45" max="57" width="9.640625" style="2441" hidden="1" customWidth="1" outlineLevel="1"/>
    <col min="58" max="58" width="8.640625" style="2441" hidden="1" customWidth="1" collapsed="1"/>
    <col min="59" max="63" width="8.640625" style="2441" hidden="1" customWidth="1"/>
    <col min="64" max="64" width="8.640625" style="2441" customWidth="1"/>
    <col min="65" max="16384" width="9.140625" style="2441"/>
  </cols>
  <sheetData>
    <row r="1" spans="1:71" ht="16.75" thickBot="1" x14ac:dyDescent="0.6">
      <c r="F1" s="2441" t="s">
        <v>740</v>
      </c>
      <c r="G1" s="2441" t="s">
        <v>882</v>
      </c>
      <c r="H1" s="2441" t="s">
        <v>883</v>
      </c>
      <c r="I1" s="2441" t="s">
        <v>884</v>
      </c>
      <c r="J1" s="2441" t="s">
        <v>805</v>
      </c>
      <c r="K1" s="2441" t="s">
        <v>885</v>
      </c>
      <c r="L1" s="2441" t="s">
        <v>886</v>
      </c>
      <c r="M1" s="2441" t="s">
        <v>887</v>
      </c>
      <c r="N1" s="2441" t="s">
        <v>1150</v>
      </c>
      <c r="O1" s="2441" t="s">
        <v>1160</v>
      </c>
      <c r="P1" s="2441" t="s">
        <v>1166</v>
      </c>
      <c r="Q1" s="2441" t="s">
        <v>1169</v>
      </c>
      <c r="R1" s="2441" t="s">
        <v>1176</v>
      </c>
      <c r="S1" s="2441" t="s">
        <v>1194</v>
      </c>
      <c r="T1" s="2442" t="s">
        <v>1195</v>
      </c>
      <c r="U1" s="2441" t="s">
        <v>1099</v>
      </c>
      <c r="V1" s="2441" t="s">
        <v>1100</v>
      </c>
      <c r="W1" s="2441" t="s">
        <v>1101</v>
      </c>
      <c r="X1" s="2441" t="s">
        <v>1102</v>
      </c>
      <c r="Y1" s="2441" t="s">
        <v>1103</v>
      </c>
      <c r="Z1" s="2443" t="s">
        <v>1104</v>
      </c>
      <c r="AA1" s="2441" t="s">
        <v>1105</v>
      </c>
      <c r="AB1" s="2441" t="s">
        <v>1106</v>
      </c>
      <c r="AC1" s="2441" t="s">
        <v>1107</v>
      </c>
      <c r="AD1" s="2441" t="s">
        <v>720</v>
      </c>
      <c r="BG1" s="2441" t="s">
        <v>737</v>
      </c>
      <c r="BH1" s="2441" t="s">
        <v>740</v>
      </c>
      <c r="BI1" s="2441" t="s">
        <v>738</v>
      </c>
      <c r="BJ1" s="2441" t="s">
        <v>719</v>
      </c>
      <c r="BK1" s="2441" t="s">
        <v>467</v>
      </c>
    </row>
    <row r="2" spans="1:71" s="2444" customFormat="1" ht="50.05" customHeight="1" thickTop="1" thickBot="1" x14ac:dyDescent="0.6">
      <c r="A2" s="7078" t="s">
        <v>956</v>
      </c>
      <c r="B2" s="7078"/>
      <c r="C2" s="7078"/>
      <c r="D2" s="7078"/>
      <c r="E2" s="7078"/>
      <c r="F2" s="7078"/>
      <c r="G2" s="7078"/>
      <c r="H2" s="7078"/>
      <c r="I2" s="7078"/>
      <c r="J2" s="7078"/>
      <c r="K2" s="7078"/>
      <c r="L2" s="7078"/>
      <c r="M2" s="7078"/>
      <c r="N2" s="7078"/>
      <c r="O2" s="7078"/>
      <c r="P2" s="7078"/>
      <c r="Q2" s="7078"/>
      <c r="R2" s="7078"/>
      <c r="S2" s="7078"/>
      <c r="T2" s="7078"/>
      <c r="U2" s="7078"/>
      <c r="V2" s="7078"/>
      <c r="W2" s="7078"/>
      <c r="X2" s="7078"/>
      <c r="Y2" s="7078"/>
      <c r="Z2" s="7078"/>
      <c r="AA2" s="7078"/>
      <c r="AB2" s="7078"/>
      <c r="AC2" s="7078"/>
      <c r="AD2" s="6951"/>
      <c r="AE2" s="6951"/>
      <c r="AF2" s="6951"/>
      <c r="AG2" s="6952"/>
      <c r="AH2" s="6951"/>
      <c r="AI2" s="6952"/>
      <c r="AJ2" s="6952"/>
      <c r="AK2" s="6953"/>
      <c r="AL2" s="6951"/>
      <c r="AM2" s="6952"/>
      <c r="AN2" s="6953"/>
      <c r="AO2" s="6951"/>
      <c r="AP2" s="6951"/>
      <c r="AQ2" s="6951"/>
      <c r="AR2" s="6951"/>
      <c r="AS2" s="6951"/>
      <c r="AT2" s="6951"/>
      <c r="AU2" s="6951"/>
      <c r="AV2" s="6951"/>
      <c r="AW2" s="6951"/>
      <c r="AX2" s="6951"/>
      <c r="AY2" s="6951"/>
      <c r="AZ2" s="6951"/>
      <c r="BA2" s="6951"/>
      <c r="BB2" s="6951"/>
      <c r="BC2" s="6951"/>
      <c r="BD2" s="6951"/>
      <c r="BE2" s="6951"/>
      <c r="BF2" s="6951"/>
      <c r="BG2" s="7071" t="s">
        <v>734</v>
      </c>
      <c r="BH2" s="7071"/>
      <c r="BI2" s="7071"/>
      <c r="BJ2" s="7071"/>
      <c r="BK2" s="7072"/>
    </row>
    <row r="3" spans="1:71" s="2444" customFormat="1" ht="15.55" customHeight="1" thickTop="1" thickBot="1" x14ac:dyDescent="0.6">
      <c r="A3" s="2447"/>
      <c r="B3" s="2447"/>
      <c r="C3" s="2447"/>
      <c r="D3" s="2447"/>
      <c r="E3" s="2447"/>
      <c r="F3" s="2447"/>
      <c r="G3" s="2447"/>
      <c r="H3" s="2447"/>
      <c r="I3" s="2447"/>
      <c r="J3" s="2447"/>
      <c r="K3" s="2447"/>
      <c r="L3" s="2447"/>
      <c r="M3" s="2447"/>
      <c r="N3" s="2447"/>
      <c r="O3" s="2447"/>
      <c r="P3" s="2447"/>
      <c r="Q3" s="2447"/>
      <c r="R3" s="2447"/>
      <c r="S3" s="2447"/>
      <c r="T3" s="2447"/>
      <c r="U3" s="2447"/>
      <c r="V3" s="2447"/>
      <c r="W3" s="2447"/>
      <c r="X3" s="2447"/>
      <c r="Y3" s="2447"/>
      <c r="Z3" s="2448"/>
      <c r="AA3" s="2447"/>
      <c r="AB3" s="2447"/>
      <c r="AC3" s="2447"/>
      <c r="AG3" s="2445"/>
      <c r="AI3" s="2445"/>
      <c r="AJ3" s="2445"/>
      <c r="AK3" s="2446"/>
      <c r="AM3" s="2445"/>
      <c r="AN3" s="2446"/>
      <c r="BG3" s="2449"/>
      <c r="BH3" s="2449"/>
      <c r="BI3" s="2449"/>
      <c r="BJ3" s="2449"/>
      <c r="BK3" s="2449"/>
    </row>
    <row r="4" spans="1:71" ht="19.5" customHeight="1" thickTop="1" thickBot="1" x14ac:dyDescent="0.6">
      <c r="C4" s="2450"/>
      <c r="D4" s="2450"/>
      <c r="E4" s="2451" t="s">
        <v>646</v>
      </c>
      <c r="F4" s="2452"/>
      <c r="G4" s="2453"/>
      <c r="H4" s="7079" t="s">
        <v>1152</v>
      </c>
      <c r="I4" s="7080"/>
      <c r="J4" s="7080"/>
      <c r="K4" s="7080"/>
      <c r="L4" s="7080"/>
      <c r="M4" s="7080"/>
      <c r="N4" s="7080"/>
      <c r="O4" s="7080"/>
      <c r="P4" s="7080"/>
      <c r="Q4" s="7080"/>
      <c r="R4" s="7080"/>
      <c r="S4" s="7080"/>
      <c r="T4" s="7080"/>
      <c r="U4" s="7080"/>
      <c r="V4" s="7080"/>
      <c r="W4" s="7080"/>
      <c r="X4" s="7080"/>
      <c r="Y4" s="2454"/>
      <c r="Z4" s="7073" t="s">
        <v>1197</v>
      </c>
      <c r="AA4" s="7074"/>
      <c r="AB4" s="7074"/>
      <c r="AC4" s="7075"/>
      <c r="AE4" s="2455" t="s">
        <v>579</v>
      </c>
      <c r="AS4" s="2455" t="s">
        <v>580</v>
      </c>
      <c r="BG4" s="7076" t="s">
        <v>735</v>
      </c>
      <c r="BH4" s="7077"/>
      <c r="BI4" s="7076" t="s">
        <v>739</v>
      </c>
      <c r="BJ4" s="7077"/>
      <c r="BK4" s="2456" t="s">
        <v>736</v>
      </c>
    </row>
    <row r="5" spans="1:71" ht="22.5" customHeight="1" thickBot="1" x14ac:dyDescent="0.6">
      <c r="A5" s="7068" t="s">
        <v>127</v>
      </c>
      <c r="B5" s="7069"/>
      <c r="C5" s="7069"/>
      <c r="D5" s="7070"/>
      <c r="E5" s="2457" t="s">
        <v>128</v>
      </c>
      <c r="F5" s="2458" t="s">
        <v>888</v>
      </c>
      <c r="G5" s="2458" t="s">
        <v>889</v>
      </c>
      <c r="H5" s="2459" t="str" cm="1">
        <f t="array" aca="1" ref="H5" ca="1">INDIRECT("'※ 재무_세부시트'!"&amp;H$1&amp;$AD5, TRUE)</f>
        <v>'25.1월</v>
      </c>
      <c r="I5" s="2460" t="str" cm="1">
        <f t="array" aca="1" ref="I5" ca="1">INDIRECT("'※ 재무_세부시트'!"&amp;I$1&amp;$AD5, TRUE)</f>
        <v>'25.2월</v>
      </c>
      <c r="J5" s="2460" t="str" cm="1">
        <f t="array" aca="1" ref="J5" ca="1">INDIRECT("'※ 재무_세부시트'!"&amp;J$1&amp;$AD5, TRUE)</f>
        <v>'25.3월</v>
      </c>
      <c r="K5" s="2460" t="str" cm="1">
        <f t="array" aca="1" ref="K5" ca="1">INDIRECT("'※ 재무_세부시트'!"&amp;K$1&amp;$AD5, TRUE)</f>
        <v>'25.4월</v>
      </c>
      <c r="L5" s="2460" t="str" cm="1">
        <f t="array" aca="1" ref="L5" ca="1">INDIRECT("'※ 재무_세부시트'!"&amp;L$1&amp;$AD5, TRUE)</f>
        <v>'25.5월</v>
      </c>
      <c r="M5" s="2460" t="str" cm="1">
        <f t="array" aca="1" ref="M5" ca="1">INDIRECT("'※ 재무_세부시트'!"&amp;M$1&amp;$AD5, TRUE)</f>
        <v>'25.6월</v>
      </c>
      <c r="N5" s="2460" t="str" cm="1">
        <f t="array" aca="1" ref="N5" ca="1">INDIRECT("'※ 재무_세부시트'!"&amp;N$1&amp;$AD5, TRUE)</f>
        <v>'25.7월</v>
      </c>
      <c r="O5" s="2460" t="str" cm="1">
        <f t="array" aca="1" ref="O5" ca="1">INDIRECT("'※ 재무_세부시트'!"&amp;O$1&amp;$AD5, TRUE)</f>
        <v>'25.8월</v>
      </c>
      <c r="P5" s="2460" t="str" cm="1">
        <f t="array" aca="1" ref="P5" ca="1">INDIRECT("'※ 재무_세부시트'!"&amp;P$1&amp;$AD5, TRUE)</f>
        <v>'25.9월</v>
      </c>
      <c r="Q5" s="2460" t="str" cm="1">
        <f t="array" aca="1" ref="Q5" ca="1">INDIRECT("'※ 재무_세부시트'!"&amp;Q$1&amp;$AD5, TRUE)</f>
        <v>'25.10월</v>
      </c>
      <c r="R5" s="2460" t="str" cm="1">
        <f t="array" aca="1" ref="R5" ca="1">INDIRECT("'※ 재무_세부시트'!"&amp;R$1&amp;$AD5, TRUE)</f>
        <v>'25.11월</v>
      </c>
      <c r="S5" s="2460" t="str" cm="1">
        <f t="array" aca="1" ref="S5" ca="1">INDIRECT("'※ 재무_세부시트'!"&amp;S$1&amp;$AD5, TRUE)</f>
        <v>'25.12월</v>
      </c>
      <c r="T5" s="2461" t="s">
        <v>475</v>
      </c>
      <c r="U5" s="2461" t="s">
        <v>8</v>
      </c>
      <c r="V5" s="2461" t="s">
        <v>9</v>
      </c>
      <c r="W5" s="2462" t="s">
        <v>133</v>
      </c>
      <c r="X5" s="2463" t="s">
        <v>463</v>
      </c>
      <c r="Y5" s="2463" t="s">
        <v>753</v>
      </c>
      <c r="Z5" s="2464" t="s">
        <v>45</v>
      </c>
      <c r="AA5" s="2465" t="s">
        <v>8</v>
      </c>
      <c r="AB5" s="2465" t="s">
        <v>9</v>
      </c>
      <c r="AC5" s="2466" t="s">
        <v>609</v>
      </c>
      <c r="AD5" s="2441">
        <v>4</v>
      </c>
      <c r="AE5" s="2455" t="s">
        <v>581</v>
      </c>
      <c r="AF5" s="2455" t="s">
        <v>582</v>
      </c>
      <c r="AG5" s="2455" t="s">
        <v>583</v>
      </c>
      <c r="AH5" s="2455" t="s">
        <v>584</v>
      </c>
      <c r="AI5" s="2455" t="s">
        <v>585</v>
      </c>
      <c r="AJ5" s="2455" t="s">
        <v>586</v>
      </c>
      <c r="AK5" s="2455" t="s">
        <v>587</v>
      </c>
      <c r="AL5" s="2455" t="s">
        <v>588</v>
      </c>
      <c r="AM5" s="2455" t="s">
        <v>589</v>
      </c>
      <c r="AN5" s="2455" t="s">
        <v>590</v>
      </c>
      <c r="AO5" s="2455" t="s">
        <v>591</v>
      </c>
      <c r="AP5" s="2455" t="s">
        <v>592</v>
      </c>
      <c r="AQ5" s="2455" t="s">
        <v>593</v>
      </c>
      <c r="AS5" s="2455" t="s">
        <v>594</v>
      </c>
      <c r="AT5" s="2455" t="s">
        <v>595</v>
      </c>
      <c r="AU5" s="2455" t="s">
        <v>596</v>
      </c>
      <c r="AV5" s="2455" t="s">
        <v>597</v>
      </c>
      <c r="AW5" s="2455" t="s">
        <v>598</v>
      </c>
      <c r="AX5" s="2455" t="s">
        <v>599</v>
      </c>
      <c r="AY5" s="2455" t="s">
        <v>600</v>
      </c>
      <c r="AZ5" s="2455" t="s">
        <v>601</v>
      </c>
      <c r="BA5" s="2455" t="s">
        <v>602</v>
      </c>
      <c r="BB5" s="2455" t="s">
        <v>603</v>
      </c>
      <c r="BC5" s="2455" t="s">
        <v>604</v>
      </c>
      <c r="BD5" s="2455" t="s">
        <v>605</v>
      </c>
      <c r="BE5" s="2455" t="s">
        <v>593</v>
      </c>
      <c r="BF5" s="2467"/>
      <c r="BG5" s="2468">
        <v>23.02</v>
      </c>
      <c r="BH5" s="2469">
        <v>24.01</v>
      </c>
      <c r="BI5" s="2468">
        <v>23.08</v>
      </c>
      <c r="BJ5" s="2469">
        <v>24.07</v>
      </c>
      <c r="BK5" s="2470">
        <v>23.1</v>
      </c>
      <c r="BL5" s="2471"/>
      <c r="BM5" s="2472"/>
      <c r="BN5" s="2472"/>
      <c r="BO5" s="2472"/>
      <c r="BP5" s="2472"/>
      <c r="BQ5" s="2472"/>
      <c r="BR5" s="2472"/>
      <c r="BS5" s="2472"/>
    </row>
    <row r="6" spans="1:71" ht="33" customHeight="1" x14ac:dyDescent="0.55000000000000004">
      <c r="A6" s="2473" t="s">
        <v>1198</v>
      </c>
      <c r="B6" s="2474"/>
      <c r="C6" s="2474"/>
      <c r="D6" s="2474"/>
      <c r="E6" s="2474"/>
      <c r="F6" s="2475" cm="1">
        <f t="array" aca="1" ref="F6" ca="1">INDIRECT("'※ 재무_세부시트'!"&amp;F$1&amp;$AD6, TRUE)</f>
        <v>6951.3446866799995</v>
      </c>
      <c r="G6" s="2476" cm="1">
        <f t="array" aca="1" ref="G6" ca="1">INDIRECT("'※ 재무_세부시트'!"&amp;G$1&amp;$AD6, TRUE)</f>
        <v>8073.07113751</v>
      </c>
      <c r="H6" s="2477" cm="1">
        <f t="array" aca="1" ref="H6" ca="1">INDIRECT("'※ 재무_세부시트'!"&amp;H$1&amp;$AD6, TRUE)</f>
        <v>560.63832912000009</v>
      </c>
      <c r="I6" s="2478" cm="1">
        <f t="array" aca="1" ref="I6" ca="1">INDIRECT("'※ 재무_세부시트'!"&amp;I$1&amp;$AD6, TRUE)</f>
        <v>1003.2939245800001</v>
      </c>
      <c r="J6" s="2478" cm="1">
        <f t="array" aca="1" ref="J6" ca="1">INDIRECT("'※ 재무_세부시트'!"&amp;J$1&amp;$AD6, TRUE)</f>
        <v>569.23055278000004</v>
      </c>
      <c r="K6" s="2478" cm="1">
        <f t="array" aca="1" ref="K6" ca="1">INDIRECT("'※ 재무_세부시트'!"&amp;K$1&amp;$AD6, TRUE)</f>
        <v>449.51814091999995</v>
      </c>
      <c r="L6" s="2478" cm="1">
        <f t="array" aca="1" ref="L6" ca="1">INDIRECT("'※ 재무_세부시트'!"&amp;L$1&amp;$AD6, TRUE)</f>
        <v>517.36253804</v>
      </c>
      <c r="M6" s="2478" cm="1">
        <f t="array" aca="1" ref="M6" ca="1">INDIRECT("'※ 재무_세부시트'!"&amp;M$1&amp;$AD6, TRUE)</f>
        <v>544.95947401000012</v>
      </c>
      <c r="N6" s="2478" cm="1">
        <f t="array" aca="1" ref="N6" ca="1">INDIRECT("'※ 재무_세부시트'!"&amp;N$1&amp;$AD6, TRUE)</f>
        <v>810.20837570000003</v>
      </c>
      <c r="O6" s="2478" cm="1">
        <f t="array" aca="1" ref="O6" ca="1">INDIRECT("'※ 재무_세부시트'!"&amp;O$1&amp;$AD6, TRUE)</f>
        <v>537.55464549999999</v>
      </c>
      <c r="P6" s="2478" cm="1">
        <f t="array" aca="1" ref="P6" ca="1">INDIRECT("'※ 재무_세부시트'!"&amp;P$1&amp;$AD6, TRUE)</f>
        <v>892.84893813999997</v>
      </c>
      <c r="Q6" s="2478" cm="1">
        <f t="array" aca="1" ref="Q6" ca="1">INDIRECT("'※ 재무_세부시트'!"&amp;Q$1&amp;$AD6, TRUE)</f>
        <v>572.41535059</v>
      </c>
      <c r="R6" s="2478" cm="1">
        <f t="array" aca="1" ref="R6" ca="1">INDIRECT("'※ 재무_세부시트'!"&amp;R$1&amp;$AD6, TRUE)</f>
        <v>569.38080047000005</v>
      </c>
      <c r="S6" s="2478" cm="1">
        <f t="array" aca="1" ref="S6" ca="1">INDIRECT("'※ 재무_세부시트'!"&amp;S$1&amp;$AD6, TRUE)</f>
        <v>507.16995210000005</v>
      </c>
      <c r="T6" s="2479" cm="1">
        <f t="array" aca="1" ref="T6" ca="1">INDIRECT("'※ 재무_세부시트'!"&amp;T$1&amp;$AD6, TRUE)</f>
        <v>71395.772220095911</v>
      </c>
      <c r="U6" s="2479" cm="1">
        <f t="array" aca="1" ref="U6" ca="1">INDIRECT("'※ 재무_세부시트'!"&amp;U$1&amp;$AD6, TRUE)</f>
        <v>-61687.7230720683</v>
      </c>
      <c r="V6" s="2480" cm="1">
        <f t="array" aca="1" ref="V6" ca="1">INDIRECT("'※ 재무_세부시트'!"&amp;V$1&amp;$AD6, TRUE)</f>
        <v>8.1545272841440381E-3</v>
      </c>
      <c r="W6" s="2481" cm="1">
        <f t="array" aca="1" ref="W6" ca="1">INDIRECT("'※ 재무_세부시트'!"&amp;W$1&amp;$AD6, TRUE)</f>
        <v>-62.210848370000008</v>
      </c>
      <c r="X6" s="2482" cm="1">
        <f t="array" aca="1" ref="X6" ca="1">INDIRECT("'※ 재무_세부시트'!"&amp;X$1&amp;$AD6, TRUE)</f>
        <v>-9.8561040199999752</v>
      </c>
      <c r="Y6" s="2482" cm="1">
        <f t="array" aca="1" ref="Y6" ca="1">INDIRECT("'※ 재무_세부시트'!"&amp;Y$1&amp;$AD6, TRUE)</f>
        <v>0</v>
      </c>
      <c r="Z6" s="2483" cm="1">
        <f t="array" aca="1" ref="Z6" ca="1">INDIRECT("'※ 재무_세부시트'!"&amp;Z$1&amp;$AD6, TRUE)</f>
        <v>7534.5810219500017</v>
      </c>
      <c r="AA6" s="2482" cm="1">
        <f t="array" aca="1" ref="AA6" ca="1">INDIRECT("'※ 재무_세부시트'!"&amp;AA$1&amp;$AD6, TRUE)</f>
        <v>-122349.14756323434</v>
      </c>
      <c r="AB6" s="2484" cm="1">
        <f t="array" aca="1" ref="AB6" ca="1">INDIRECT("'※ 재무_세부시트'!"&amp;AB$1&amp;$AD6, TRUE)</f>
        <v>5.8010199614868939E-2</v>
      </c>
      <c r="AC6" s="2485" cm="1">
        <f t="array" aca="1" ref="AC6" ca="1">INDIRECT("'※ 재무_세부시트'!"&amp;AC$1&amp;$AD6, TRUE)</f>
        <v>-538.49011555999823</v>
      </c>
      <c r="AD6" s="2441">
        <v>5</v>
      </c>
      <c r="AE6" s="2486">
        <f t="shared" ref="AE6:AP6" si="0">AE7+AE13+AE51</f>
        <v>474.37247896999997</v>
      </c>
      <c r="AF6" s="2486">
        <f t="shared" si="0"/>
        <v>736.97131250999996</v>
      </c>
      <c r="AG6" s="2486">
        <f t="shared" si="0"/>
        <v>520.49605724000003</v>
      </c>
      <c r="AH6" s="2486">
        <f t="shared" si="0"/>
        <v>489.87118201000004</v>
      </c>
      <c r="AI6" s="2486">
        <f t="shared" si="0"/>
        <v>510.89927579999988</v>
      </c>
      <c r="AJ6" s="2486">
        <f t="shared" si="0"/>
        <v>472.27082456000005</v>
      </c>
      <c r="AK6" s="2486">
        <f t="shared" si="0"/>
        <v>412.06066977</v>
      </c>
      <c r="AL6" s="2486">
        <f t="shared" si="0"/>
        <v>845.34421192000002</v>
      </c>
      <c r="AM6" s="2486">
        <f t="shared" si="0"/>
        <v>469.75417109</v>
      </c>
      <c r="AN6" s="2486">
        <f t="shared" si="0"/>
        <v>1016.6928875100001</v>
      </c>
      <c r="AO6" s="2486">
        <f t="shared" si="0"/>
        <v>514.05646851999995</v>
      </c>
      <c r="AP6" s="2486">
        <f t="shared" si="0"/>
        <v>488.55514677999997</v>
      </c>
      <c r="AQ6" s="2487">
        <f>SUM(AE6:AP6)</f>
        <v>6951.3446866799995</v>
      </c>
      <c r="AR6" s="2488"/>
      <c r="AS6" s="2486">
        <f t="shared" ref="AS6:BD6" si="1">AS7+AS13+AS51</f>
        <v>1002.2017145223418</v>
      </c>
      <c r="AT6" s="2486">
        <f t="shared" si="1"/>
        <v>838.15168051427952</v>
      </c>
      <c r="AU6" s="2486">
        <f t="shared" si="1"/>
        <v>667.59223489602198</v>
      </c>
      <c r="AV6" s="2486">
        <f t="shared" si="1"/>
        <v>652.13201505484051</v>
      </c>
      <c r="AW6" s="2486">
        <f t="shared" si="1"/>
        <v>699.40269082969439</v>
      </c>
      <c r="AX6" s="2486">
        <f t="shared" si="1"/>
        <v>605.97812034182869</v>
      </c>
      <c r="AY6" s="2486">
        <f t="shared" si="1"/>
        <v>1040.6455064113488</v>
      </c>
      <c r="AZ6" s="2486">
        <f t="shared" si="1"/>
        <v>585.97321121068819</v>
      </c>
      <c r="BA6" s="2486">
        <f t="shared" si="1"/>
        <v>740.23904092896453</v>
      </c>
      <c r="BB6" s="2486">
        <f t="shared" si="1"/>
        <v>1066.5779902030529</v>
      </c>
      <c r="BC6" s="2486">
        <f t="shared" si="1"/>
        <v>702.30817944778107</v>
      </c>
      <c r="BD6" s="2486">
        <f t="shared" si="1"/>
        <v>733.89433891261251</v>
      </c>
      <c r="BE6" s="2487">
        <f t="shared" ref="BE6:BE16" si="2">SUM(AS6:BD6)</f>
        <v>9335.0967232734547</v>
      </c>
      <c r="BG6" s="2489" cm="1">
        <f t="array" aca="1" ref="BG6" ca="1">INDIRECT("'※ 재무_세부시트'!"&amp;BG$1&amp;$AD6, TRUE)</f>
        <v>474.37247896999997</v>
      </c>
      <c r="BH6" s="2489" cm="1">
        <f t="array" aca="1" ref="BH6" ca="1">INDIRECT("'※ 재무_세부시트'!"&amp;BH$1&amp;$AD6, TRUE)</f>
        <v>6951.3446866799995</v>
      </c>
      <c r="BI6" s="2489" cm="1">
        <f t="array" aca="1" ref="BI6" ca="1">INDIRECT("'※ 재무_세부시트'!"&amp;BI$1&amp;$AD6, TRUE)</f>
        <v>412.06066977</v>
      </c>
      <c r="BJ6" s="2489" cm="1">
        <f t="array" aca="1" ref="BJ6" ca="1">INDIRECT("'※ 재무_세부시트'!"&amp;BJ$1&amp;$AD6, TRUE)</f>
        <v>619.57998966000002</v>
      </c>
      <c r="BK6" s="2489" cm="1">
        <f t="array" aca="1" ref="BK6" ca="1">INDIRECT("'※ 재무_세부시트'!"&amp;BK$1&amp;$AD6, TRUE)</f>
        <v>469.75417109</v>
      </c>
      <c r="BL6" s="2490"/>
      <c r="BM6" s="2491"/>
      <c r="BN6" s="2472"/>
      <c r="BO6" s="2472"/>
      <c r="BP6" s="2472"/>
      <c r="BQ6" s="2472"/>
      <c r="BR6" s="2472"/>
      <c r="BS6" s="2472"/>
    </row>
    <row r="7" spans="1:71" ht="19.5" customHeight="1" x14ac:dyDescent="0.55000000000000004">
      <c r="A7" s="2492"/>
      <c r="B7" s="2427" t="s">
        <v>729</v>
      </c>
      <c r="C7" s="2493"/>
      <c r="D7" s="2493"/>
      <c r="E7" s="2493"/>
      <c r="F7" s="2494" cm="1">
        <f t="array" aca="1" ref="F7" ca="1">INDIRECT("'※ 재무_세부시트'!"&amp;F$1&amp;$AD7, TRUE)</f>
        <v>4527.9375039300003</v>
      </c>
      <c r="G7" s="2494" cm="1">
        <f t="array" aca="1" ref="G7" ca="1">INDIRECT("'※ 재무_세부시트'!"&amp;G$1&amp;$AD7, TRUE)</f>
        <v>5452.5105203399999</v>
      </c>
      <c r="H7" s="2495" cm="1">
        <f t="array" aca="1" ref="H7" ca="1">INDIRECT("'※ 재무_세부시트'!"&amp;H$1&amp;$AD7, TRUE)</f>
        <v>377.48240117</v>
      </c>
      <c r="I7" s="2496" cm="1">
        <f t="array" aca="1" ref="I7" ca="1">INDIRECT("'※ 재무_세부시트'!"&amp;I$1&amp;$AD7, TRUE)</f>
        <v>737.19830149000006</v>
      </c>
      <c r="J7" s="2496" cm="1">
        <f t="array" aca="1" ref="J7" ca="1">INDIRECT("'※ 재무_세부시트'!"&amp;J$1&amp;$AD7, TRUE)</f>
        <v>368.49674788999999</v>
      </c>
      <c r="K7" s="2496" cm="1">
        <f t="array" aca="1" ref="K7" ca="1">INDIRECT("'※ 재무_세부시트'!"&amp;K$1&amp;$AD7, TRUE)</f>
        <v>243.45806517</v>
      </c>
      <c r="L7" s="2496" cm="1">
        <f t="array" aca="1" ref="L7" ca="1">INDIRECT("'※ 재무_세부시트'!"&amp;L$1&amp;$AD7, TRUE)</f>
        <v>287.03541559000001</v>
      </c>
      <c r="M7" s="2496" cm="1">
        <f t="array" aca="1" ref="M7" ca="1">INDIRECT("'※ 재무_세부시트'!"&amp;M$1&amp;$AD7, TRUE)</f>
        <v>319.55447298000001</v>
      </c>
      <c r="N7" s="2496" cm="1">
        <f t="array" aca="1" ref="N7" ca="1">INDIRECT("'※ 재무_세부시트'!"&amp;N$1&amp;$AD7, TRUE)</f>
        <v>493.41568697000002</v>
      </c>
      <c r="O7" s="2496" cm="1">
        <f t="array" aca="1" ref="O7" ca="1">INDIRECT("'※ 재무_세부시트'!"&amp;O$1&amp;$AD7, TRUE)</f>
        <v>313.17966244000002</v>
      </c>
      <c r="P7" s="2496" cm="1">
        <f t="array" aca="1" ref="P7" ca="1">INDIRECT("'※ 재무_세부시트'!"&amp;P$1&amp;$AD7, TRUE)</f>
        <v>611.85294778000002</v>
      </c>
      <c r="Q7" s="2496" cm="1">
        <f t="array" aca="1" ref="Q7" ca="1">INDIRECT("'※ 재무_세부시트'!"&amp;Q$1&amp;$AD7, TRUE)</f>
        <v>365.72221931000001</v>
      </c>
      <c r="R7" s="2496" cm="1">
        <f t="array" aca="1" ref="R7" ca="1">INDIRECT("'※ 재무_세부시트'!"&amp;R$1&amp;$AD7, TRUE)</f>
        <v>336.72216888000003</v>
      </c>
      <c r="S7" s="2496" cm="1">
        <f t="array" aca="1" ref="S7" ca="1">INDIRECT("'※ 재무_세부시트'!"&amp;S$1&amp;$AD7, TRUE)</f>
        <v>222.84258446999999</v>
      </c>
      <c r="T7" s="2497" cm="1">
        <f t="array" aca="1" ref="T7" ca="1">INDIRECT("'※ 재무_세부시트'!"&amp;T$1&amp;$AD7, TRUE)</f>
        <v>48852.203915623293</v>
      </c>
      <c r="U7" s="2497" cm="1">
        <f t="array" aca="1" ref="U7" ca="1">INDIRECT("'※ 재무_세부시트'!"&amp;U$1&amp;$AD7, TRUE)</f>
        <v>-42044.631155431394</v>
      </c>
      <c r="V7" s="2498" cm="1">
        <f t="array" aca="1" ref="V7" ca="1">INDIRECT("'※ 재무_세부시트'!"&amp;V$1&amp;$AD7, TRUE)</f>
        <v>5.2722002228307255E-3</v>
      </c>
      <c r="W7" s="2499" cm="1">
        <f t="array" aca="1" ref="W7" ca="1">INDIRECT("'※ 재무_세부시트'!"&amp;W$1&amp;$AD7, TRUE)</f>
        <v>-113.87958441000004</v>
      </c>
      <c r="X7" s="2500" cm="1">
        <f t="array" aca="1" ref="X7" ca="1">INDIRECT("'※ 재무_세부시트'!"&amp;X$1&amp;$AD7, TRUE)</f>
        <v>-67.989103930000027</v>
      </c>
      <c r="Y7" s="2500" cm="1">
        <f t="array" aca="1" ref="Y7" ca="1">INDIRECT("'※ 재무_세부시트'!"&amp;Y$1&amp;$AD7, TRUE)</f>
        <v>0</v>
      </c>
      <c r="Z7" s="2501" cm="1">
        <f t="array" aca="1" ref="Z7" ca="1">INDIRECT("'※ 재무_세부시트'!"&amp;Z$1&amp;$AD7, TRUE)</f>
        <v>4676.9606741399994</v>
      </c>
      <c r="AA7" s="2500" cm="1">
        <f t="array" aca="1" ref="AA7" ca="1">INDIRECT("'※ 재무_세부시트'!"&amp;AA$1&amp;$AD7, TRUE)</f>
        <v>-81924.806235685959</v>
      </c>
      <c r="AB7" s="2502" cm="1">
        <f t="array" aca="1" ref="AB7" ca="1">INDIRECT("'※ 재무_세부시트'!"&amp;AB$1&amp;$AD7, TRUE)</f>
        <v>5.4005372419362777E-2</v>
      </c>
      <c r="AC7" s="2503" cm="1">
        <f t="array" aca="1" ref="AC7" ca="1">INDIRECT("'※ 재무_세부시트'!"&amp;AC$1&amp;$AD7, TRUE)</f>
        <v>-775.5498462000005</v>
      </c>
      <c r="AD7" s="2441">
        <v>6</v>
      </c>
      <c r="AE7" s="2504">
        <f t="shared" ref="AE7:AP7" si="3">AE12+AE54</f>
        <v>326.19489231</v>
      </c>
      <c r="AF7" s="2504">
        <f t="shared" si="3"/>
        <v>526.58672906000004</v>
      </c>
      <c r="AG7" s="2504">
        <f t="shared" si="3"/>
        <v>341.83855597000002</v>
      </c>
      <c r="AH7" s="2504">
        <f t="shared" si="3"/>
        <v>294.56878303000008</v>
      </c>
      <c r="AI7" s="2504">
        <f t="shared" si="3"/>
        <v>312.07730736999997</v>
      </c>
      <c r="AJ7" s="2504">
        <f t="shared" si="3"/>
        <v>247.2728238</v>
      </c>
      <c r="AK7" s="2504">
        <f t="shared" si="3"/>
        <v>221.53120198000002</v>
      </c>
      <c r="AL7" s="2504">
        <f t="shared" si="3"/>
        <v>575.99764282000001</v>
      </c>
      <c r="AM7" s="2504">
        <f t="shared" si="3"/>
        <v>273.79614848</v>
      </c>
      <c r="AN7" s="2504">
        <f t="shared" si="3"/>
        <v>776.33182365000016</v>
      </c>
      <c r="AO7" s="2504">
        <f t="shared" si="3"/>
        <v>344.11766620999998</v>
      </c>
      <c r="AP7" s="2504">
        <f t="shared" si="3"/>
        <v>287.62392925</v>
      </c>
      <c r="AQ7" s="2505">
        <f t="shared" ref="AQ7:AQ12" si="4">SUM(AE7:AP7)</f>
        <v>4527.9375039300003</v>
      </c>
      <c r="AR7" s="2488"/>
      <c r="AS7" s="2504">
        <f t="shared" ref="AS7:BD7" si="5">AS12+AS54</f>
        <v>740.33425106929974</v>
      </c>
      <c r="AT7" s="2504">
        <f t="shared" si="5"/>
        <v>600.43881185707403</v>
      </c>
      <c r="AU7" s="2504">
        <f t="shared" si="5"/>
        <v>454.58783957094846</v>
      </c>
      <c r="AV7" s="2504">
        <f t="shared" si="5"/>
        <v>422.73288679391487</v>
      </c>
      <c r="AW7" s="2504">
        <f t="shared" si="5"/>
        <v>481.46189400929256</v>
      </c>
      <c r="AX7" s="2504">
        <f t="shared" si="5"/>
        <v>367.77918159117587</v>
      </c>
      <c r="AY7" s="2504">
        <f t="shared" si="5"/>
        <v>772.9113689350628</v>
      </c>
      <c r="AZ7" s="2504">
        <f t="shared" si="5"/>
        <v>379.60551540272456</v>
      </c>
      <c r="BA7" s="2504">
        <f t="shared" si="5"/>
        <v>507.68915366114504</v>
      </c>
      <c r="BB7" s="2504">
        <f t="shared" si="5"/>
        <v>785.2680041530773</v>
      </c>
      <c r="BC7" s="2504">
        <f t="shared" si="5"/>
        <v>458.9342309380558</v>
      </c>
      <c r="BD7" s="2504">
        <f t="shared" si="5"/>
        <v>499.73868743753911</v>
      </c>
      <c r="BE7" s="2505">
        <f t="shared" si="2"/>
        <v>6471.4818254193096</v>
      </c>
      <c r="BG7" s="2506" cm="1">
        <f t="array" aca="1" ref="BG7" ca="1">INDIRECT("'※ 재무_세부시트'!"&amp;BG$1&amp;$AD7, TRUE)</f>
        <v>326.19489231</v>
      </c>
      <c r="BH7" s="2506" cm="1">
        <f t="array" aca="1" ref="BH7" ca="1">INDIRECT("'※ 재무_세부시트'!"&amp;BH$1&amp;$AD7, TRUE)</f>
        <v>4527.9375039300003</v>
      </c>
      <c r="BI7" s="2506" cm="1">
        <f t="array" aca="1" ref="BI7" ca="1">INDIRECT("'※ 재무_세부시트'!"&amp;BI$1&amp;$AD7, TRUE)</f>
        <v>221.53120198000002</v>
      </c>
      <c r="BJ7" s="2506" cm="1">
        <f t="array" aca="1" ref="BJ7" ca="1">INDIRECT("'※ 재무_세부시트'!"&amp;BJ$1&amp;$AD7, TRUE)</f>
        <v>431.33398294</v>
      </c>
      <c r="BK7" s="2506" cm="1">
        <f t="array" aca="1" ref="BK7" ca="1">INDIRECT("'※ 재무_세부시트'!"&amp;BK$1&amp;$AD7, TRUE)</f>
        <v>273.79614848</v>
      </c>
      <c r="BL7" s="2490"/>
      <c r="BM7" s="2491"/>
      <c r="BN7" s="2472"/>
      <c r="BO7" s="2472"/>
      <c r="BP7" s="2472"/>
      <c r="BQ7" s="2472"/>
      <c r="BR7" s="2472"/>
      <c r="BS7" s="2472"/>
    </row>
    <row r="8" spans="1:71" ht="19.5" customHeight="1" x14ac:dyDescent="0.55000000000000004">
      <c r="A8" s="2492"/>
      <c r="B8" s="2427" t="s">
        <v>730</v>
      </c>
      <c r="C8" s="2493"/>
      <c r="D8" s="2493"/>
      <c r="E8" s="2493"/>
      <c r="F8" s="2494" cm="1">
        <f t="array" aca="1" ref="F8" ca="1">INDIRECT("'※ 재무_세부시트'!"&amp;F$1&amp;$AD8, TRUE)</f>
        <v>4694.0465484699998</v>
      </c>
      <c r="G8" s="2494" cm="1">
        <f t="array" aca="1" ref="G8" ca="1">INDIRECT("'※ 재무_세부시트'!"&amp;G$1&amp;$AD8, TRUE)</f>
        <v>5825.5333803899994</v>
      </c>
      <c r="H8" s="2495" cm="1">
        <f t="array" aca="1" ref="H8" ca="1">INDIRECT("'※ 재무_세부시트'!"&amp;H$1&amp;$AD8, TRUE)</f>
        <v>388.74830183</v>
      </c>
      <c r="I8" s="2496" cm="1">
        <f t="array" aca="1" ref="I8" ca="1">INDIRECT("'※ 재무_세부시트'!"&amp;I$1&amp;$AD8, TRUE)</f>
        <v>790.57613643000002</v>
      </c>
      <c r="J8" s="2496" cm="1">
        <f t="array" aca="1" ref="J8" ca="1">INDIRECT("'※ 재무_세부시트'!"&amp;J$1&amp;$AD8, TRUE)</f>
        <v>385.18886522999998</v>
      </c>
      <c r="K8" s="2496" cm="1">
        <f t="array" aca="1" ref="K8" ca="1">INDIRECT("'※ 재무_세부시트'!"&amp;K$1&amp;$AD8, TRUE)</f>
        <v>256.63170775999998</v>
      </c>
      <c r="L8" s="2496" cm="1">
        <f t="array" aca="1" ref="L8" ca="1">INDIRECT("'※ 재무_세부시트'!"&amp;L$1&amp;$AD8, TRUE)</f>
        <v>307.72261552999998</v>
      </c>
      <c r="M8" s="2496" cm="1">
        <f t="array" aca="1" ref="M8" ca="1">INDIRECT("'※ 재무_세부시트'!"&amp;M$1&amp;$AD8, TRUE)</f>
        <v>324.79941638999998</v>
      </c>
      <c r="N8" s="2496" cm="1">
        <f t="array" aca="1" ref="N8" ca="1">INDIRECT("'※ 재무_세부시트'!"&amp;N$1&amp;$AD8, TRUE)</f>
        <v>562.04739076999999</v>
      </c>
      <c r="O8" s="2496" cm="1">
        <f t="array" aca="1" ref="O8" ca="1">INDIRECT("'※ 재무_세부시트'!"&amp;O$1&amp;$AD8, TRUE)</f>
        <v>357.89968886999998</v>
      </c>
      <c r="P8" s="2496" cm="1">
        <f t="array" aca="1" ref="P8" ca="1">INDIRECT("'※ 재무_세부시트'!"&amp;P$1&amp;$AD8, TRUE)</f>
        <v>628.35758573999999</v>
      </c>
      <c r="Q8" s="2496" cm="1">
        <f t="array" aca="1" ref="Q8" ca="1">INDIRECT("'※ 재무_세부시트'!"&amp;Q$1&amp;$AD8, TRUE)</f>
        <v>396.72068184</v>
      </c>
      <c r="R8" s="2496" cm="1">
        <f t="array" aca="1" ref="R8" ca="1">INDIRECT("'※ 재무_세부시트'!"&amp;R$1&amp;$AD8, TRUE)</f>
        <v>359.62469528000003</v>
      </c>
      <c r="S8" s="2496" cm="1">
        <f t="array" aca="1" ref="S8" ca="1">INDIRECT("'※ 재무_세부시트'!"&amp;S$1&amp;$AD8, TRUE)</f>
        <v>254.39444005999999</v>
      </c>
      <c r="T8" s="2497" cm="1">
        <f t="array" aca="1" ref="T8" ca="1">INDIRECT("'※ 재무_세부시트'!"&amp;T$1&amp;$AD8, TRUE)</f>
        <v>52894.318456368695</v>
      </c>
      <c r="U8" s="2497" cm="1">
        <f t="array" aca="1" ref="U8" ca="1">INDIRECT("'※ 재무_세부시트'!"&amp;U$1&amp;$AD8, TRUE)</f>
        <v>-43488.895072572617</v>
      </c>
      <c r="V8" s="2498" cm="1">
        <f t="array" aca="1" ref="V8" ca="1">INDIRECT("'※ 재무_세부시트'!"&amp;V$1&amp;$AD8, TRUE)</f>
        <v>5.815622073564757E-3</v>
      </c>
      <c r="W8" s="2499" cm="1">
        <f t="array" aca="1" ref="W8" ca="1">INDIRECT("'※ 재무_세부시트'!"&amp;W$1&amp;$AD8, TRUE)</f>
        <v>-105.23025522000003</v>
      </c>
      <c r="X8" s="2500" cm="1">
        <f t="array" aca="1" ref="X8" ca="1">INDIRECT("'※ 재무_세부시트'!"&amp;X$1&amp;$AD8, TRUE)</f>
        <v>-71.295471180000021</v>
      </c>
      <c r="Y8" s="2500" cm="1">
        <f t="array" aca="1" ref="Y8" ca="1">INDIRECT("'※ 재무_세부시트'!"&amp;Y$1&amp;$AD8, TRUE)</f>
        <v>0</v>
      </c>
      <c r="Z8" s="2501" cm="1">
        <f t="array" aca="1" ref="Z8" ca="1">INDIRECT("'※ 재무_세부시트'!"&amp;Z$1&amp;$AD8, TRUE)</f>
        <v>5012.7115257300011</v>
      </c>
      <c r="AA8" s="2500" cm="1">
        <f t="array" aca="1" ref="AA8" ca="1">INDIRECT("'※ 재무_세부시트'!"&amp;AA$1&amp;$AD8, TRUE)</f>
        <v>-86298.434697163568</v>
      </c>
      <c r="AB8" s="2502" cm="1">
        <f t="array" aca="1" ref="AB8" ca="1">INDIRECT("'※ 재무_세부시트'!"&amp;AB$1&amp;$AD8, TRUE)</f>
        <v>5.4897038675802014E-2</v>
      </c>
      <c r="AC8" s="2503" cm="1">
        <f t="array" aca="1" ref="AC8" ca="1">INDIRECT("'※ 재무_세부시트'!"&amp;AC$1&amp;$AD8, TRUE)</f>
        <v>-812.82185465999828</v>
      </c>
      <c r="AD8" s="2441">
        <v>7</v>
      </c>
      <c r="AE8" s="2504">
        <v>332.61488631999998</v>
      </c>
      <c r="AF8" s="2504">
        <v>563.94444568999995</v>
      </c>
      <c r="AG8" s="2504">
        <v>347.83519862000003</v>
      </c>
      <c r="AH8" s="2504">
        <v>318.36151551</v>
      </c>
      <c r="AI8" s="2504">
        <v>338.16961079999999</v>
      </c>
      <c r="AJ8" s="2504">
        <v>266.59198839999999</v>
      </c>
      <c r="AK8" s="2504">
        <v>230.31366503000001</v>
      </c>
      <c r="AL8" s="2504">
        <v>636.29756194000004</v>
      </c>
      <c r="AM8" s="2504">
        <v>264.79659497</v>
      </c>
      <c r="AN8" s="2504">
        <v>768.34303264999994</v>
      </c>
      <c r="AO8" s="2504">
        <v>341.94121783000003</v>
      </c>
      <c r="AP8" s="2504">
        <v>284.83683071000002</v>
      </c>
      <c r="AQ8" s="2507">
        <f t="shared" si="4"/>
        <v>4694.0465484699998</v>
      </c>
      <c r="AR8" s="2488"/>
      <c r="AS8" s="2504">
        <v>806.87567366591941</v>
      </c>
      <c r="AT8" s="2504">
        <v>636.89746911862062</v>
      </c>
      <c r="AU8" s="2504">
        <v>474.2181881467335</v>
      </c>
      <c r="AV8" s="2504">
        <v>449.32353526927051</v>
      </c>
      <c r="AW8" s="2504">
        <v>496.44002310106799</v>
      </c>
      <c r="AX8" s="2504">
        <v>388.97767518221895</v>
      </c>
      <c r="AY8" s="2504">
        <v>825.31507698549831</v>
      </c>
      <c r="AZ8" s="2504">
        <v>384.25014180600061</v>
      </c>
      <c r="BA8" s="2504">
        <v>530.89774717600437</v>
      </c>
      <c r="BB8" s="2504">
        <v>801.35745336611944</v>
      </c>
      <c r="BC8" s="2504">
        <v>477.91502998804668</v>
      </c>
      <c r="BD8" s="2504">
        <v>509.01537771271273</v>
      </c>
      <c r="BE8" s="2507">
        <f t="shared" si="2"/>
        <v>6781.4833915182135</v>
      </c>
      <c r="BG8" s="2506" cm="1">
        <f t="array" aca="1" ref="BG8" ca="1">INDIRECT("'※ 재무_세부시트'!"&amp;BG$1&amp;$AD8, TRUE)</f>
        <v>332.61488631999998</v>
      </c>
      <c r="BH8" s="2506" cm="1">
        <f t="array" aca="1" ref="BH8" ca="1">INDIRECT("'※ 재무_세부시트'!"&amp;BH$1&amp;$AD8, TRUE)</f>
        <v>4694.0465484699998</v>
      </c>
      <c r="BI8" s="2506" cm="1">
        <f t="array" aca="1" ref="BI8" ca="1">INDIRECT("'※ 재무_세부시트'!"&amp;BI$1&amp;$AD8, TRUE)</f>
        <v>230.31366503000001</v>
      </c>
      <c r="BJ8" s="2506" cm="1">
        <f t="array" aca="1" ref="BJ8" ca="1">INDIRECT("'※ 재무_세부시트'!"&amp;BJ$1&amp;$AD8, TRUE)</f>
        <v>461.67626223000002</v>
      </c>
      <c r="BK8" s="2506" cm="1">
        <f t="array" aca="1" ref="BK8" ca="1">INDIRECT("'※ 재무_세부시트'!"&amp;BK$1&amp;$AD8, TRUE)</f>
        <v>264.79659497</v>
      </c>
      <c r="BL8" s="2490"/>
      <c r="BM8" s="2491"/>
      <c r="BN8" s="2472"/>
      <c r="BO8" s="2472"/>
      <c r="BP8" s="2472"/>
      <c r="BQ8" s="2472"/>
      <c r="BR8" s="2472"/>
      <c r="BS8" s="2472"/>
    </row>
    <row r="9" spans="1:71" ht="19.5" hidden="1" customHeight="1" outlineLevel="1" x14ac:dyDescent="0.55000000000000004">
      <c r="A9" s="2492"/>
      <c r="B9" s="2427" t="s">
        <v>731</v>
      </c>
      <c r="C9" s="2493"/>
      <c r="D9" s="2493"/>
      <c r="E9" s="2493"/>
      <c r="F9" s="2494" cm="1">
        <f t="array" aca="1" ref="F9" ca="1">INDIRECT("'※ 재무_세부시트'!"&amp;F$1&amp;$AD9, TRUE)</f>
        <v>-166.1090445399997</v>
      </c>
      <c r="G9" s="2494" cm="1">
        <f t="array" aca="1" ref="G9" ca="1">INDIRECT("'※ 재무_세부시트'!"&amp;G$1&amp;$AD9, TRUE)</f>
        <v>-373.02286004999985</v>
      </c>
      <c r="H9" s="2495" cm="1">
        <f t="array" aca="1" ref="H9" ca="1">INDIRECT("'※ 재무_세부시트'!"&amp;H$1&amp;$AD9, TRUE)</f>
        <v>-11.26590066</v>
      </c>
      <c r="I9" s="2496" cm="1">
        <f t="array" aca="1" ref="I9" ca="1">INDIRECT("'※ 재무_세부시트'!"&amp;I$1&amp;$AD9, TRUE)</f>
        <v>-53.377834939999957</v>
      </c>
      <c r="J9" s="2496" cm="1">
        <f t="array" aca="1" ref="J9" ca="1">INDIRECT("'※ 재무_세부시트'!"&amp;J$1&amp;$AD9, TRUE)</f>
        <v>-16.692117339999982</v>
      </c>
      <c r="K9" s="2496" cm="1">
        <f t="array" aca="1" ref="K9" ca="1">INDIRECT("'※ 재무_세부시트'!"&amp;K$1&amp;$AD9, TRUE)</f>
        <v>-13.173642589999986</v>
      </c>
      <c r="L9" s="2496" cm="1">
        <f t="array" aca="1" ref="L9" ca="1">INDIRECT("'※ 재무_세부시트'!"&amp;L$1&amp;$AD9, TRUE)</f>
        <v>-20.687199939999971</v>
      </c>
      <c r="M9" s="2496" cm="1">
        <f t="array" aca="1" ref="M9" ca="1">INDIRECT("'※ 재무_세부시트'!"&amp;M$1&amp;$AD9, TRUE)</f>
        <v>-5.2449434099999621</v>
      </c>
      <c r="N9" s="2496" cm="1">
        <f t="array" aca="1" ref="N9" ca="1">INDIRECT("'※ 재무_세부시트'!"&amp;N$1&amp;$AD9, TRUE)</f>
        <v>-68.631703799999968</v>
      </c>
      <c r="O9" s="2496" cm="1">
        <f t="array" aca="1" ref="O9" ca="1">INDIRECT("'※ 재무_세부시트'!"&amp;O$1&amp;$AD9, TRUE)</f>
        <v>-44.720026429999962</v>
      </c>
      <c r="P9" s="2496" cm="1">
        <f t="array" aca="1" ref="P9" ca="1">INDIRECT("'※ 재무_세부시트'!"&amp;P$1&amp;$AD9, TRUE)</f>
        <v>-16.504637959999968</v>
      </c>
      <c r="Q9" s="2496" cm="1">
        <f t="array" aca="1" ref="Q9" ca="1">INDIRECT("'※ 재무_세부시트'!"&amp;Q$1&amp;$AD9, TRUE)</f>
        <v>-30.998462529999983</v>
      </c>
      <c r="R9" s="2496" cm="1">
        <f t="array" aca="1" ref="R9" ca="1">INDIRECT("'※ 재무_세부시트'!"&amp;R$1&amp;$AD9, TRUE)</f>
        <v>-22.902526399999999</v>
      </c>
      <c r="S9" s="2496" cm="1">
        <f t="array" aca="1" ref="S9" ca="1">INDIRECT("'※ 재무_세부시트'!"&amp;S$1&amp;$AD9, TRUE)</f>
        <v>-31.551855590000002</v>
      </c>
      <c r="T9" s="2496" cm="1">
        <f t="array" aca="1" ref="T9" ca="1">INDIRECT("'※ 재무_세부시트'!"&amp;T$1&amp;$AD9, TRUE)</f>
        <v>18501.453763727215</v>
      </c>
      <c r="U9" s="2497" cm="1">
        <f t="array" aca="1" ref="U9" ca="1">INDIRECT("'※ 재무_세부시트'!"&amp;U$1&amp;$AD9, TRUE)</f>
        <v>-18483.155367125681</v>
      </c>
      <c r="V9" s="2498" t="str" cm="1">
        <f t="array" aca="1" ref="V9" ca="1">INDIRECT("'※ 재무_세부시트'!"&amp;V$1&amp;$AD9, TRUE)</f>
        <v>-</v>
      </c>
      <c r="W9" s="2499" cm="1">
        <f t="array" aca="1" ref="W9" ca="1">INDIRECT("'※ 재무_세부시트'!"&amp;W$1&amp;$AD9, TRUE)</f>
        <v>-8.6493291900000031</v>
      </c>
      <c r="X9" s="2500" cm="1">
        <f t="array" aca="1" ref="X9" ca="1">INDIRECT("'※ 재무_세부시트'!"&amp;X$1&amp;$AD9, TRUE)</f>
        <v>3.3063672499999939</v>
      </c>
      <c r="Y9" s="2500" cm="1">
        <f t="array" aca="1" ref="Y9" ca="1">INDIRECT("'※ 재무_세부시트'!"&amp;Y$1&amp;$AD9, TRUE)</f>
        <v>0</v>
      </c>
      <c r="Z9" s="2508" cm="1">
        <f t="array" aca="1" ref="Z9" ca="1">INDIRECT("'※ 재무_세부시트'!"&amp;Z$1&amp;$AD9, TRUE)</f>
        <v>-335.75085158999974</v>
      </c>
      <c r="AA9" s="2500" cm="1">
        <f t="array" aca="1" ref="AA9" ca="1">INDIRECT("'※ 재무_세부시트'!"&amp;AA$1&amp;$AD9, TRUE)</f>
        <v>-38908.33321388076</v>
      </c>
      <c r="AB9" s="2502" t="str" cm="1">
        <f t="array" aca="1" ref="AB9" ca="1">INDIRECT("'※ 재무_세부시트'!"&amp;AB$1&amp;$AD9, TRUE)</f>
        <v>-</v>
      </c>
      <c r="AC9" s="2503" cm="1">
        <f t="array" aca="1" ref="AC9" ca="1">INDIRECT("'※ 재무_세부시트'!"&amp;AC$1&amp;$AD9, TRUE)</f>
        <v>37.272008460000109</v>
      </c>
      <c r="AD9" s="2441">
        <v>8</v>
      </c>
      <c r="AE9" s="2505">
        <f>AE7-AE8</f>
        <v>-6.4199940099999822</v>
      </c>
      <c r="AF9" s="2505">
        <f t="shared" ref="AF9:AP9" si="6">AF7-AF8</f>
        <v>-37.357716629999913</v>
      </c>
      <c r="AG9" s="2505">
        <f t="shared" si="6"/>
        <v>-5.9966426500000125</v>
      </c>
      <c r="AH9" s="2505">
        <f t="shared" si="6"/>
        <v>-23.792732479999927</v>
      </c>
      <c r="AI9" s="2505">
        <f t="shared" si="6"/>
        <v>-26.092303430000015</v>
      </c>
      <c r="AJ9" s="2505">
        <f t="shared" si="6"/>
        <v>-19.319164599999993</v>
      </c>
      <c r="AK9" s="2505">
        <f t="shared" si="6"/>
        <v>-8.7824630499999898</v>
      </c>
      <c r="AL9" s="2505">
        <f t="shared" si="6"/>
        <v>-60.299919120000027</v>
      </c>
      <c r="AM9" s="2505">
        <f t="shared" si="6"/>
        <v>8.9995535099999984</v>
      </c>
      <c r="AN9" s="2505">
        <f t="shared" si="6"/>
        <v>7.9887910000002194</v>
      </c>
      <c r="AO9" s="2505">
        <f t="shared" si="6"/>
        <v>2.1764483799999539</v>
      </c>
      <c r="AP9" s="2505">
        <f t="shared" si="6"/>
        <v>2.7870985399999881</v>
      </c>
      <c r="AQ9" s="2505">
        <f t="shared" si="4"/>
        <v>-166.1090445399997</v>
      </c>
      <c r="AR9" s="2488"/>
      <c r="AS9" s="2505">
        <f>AS7-AS8</f>
        <v>-66.541422596619668</v>
      </c>
      <c r="AT9" s="2505">
        <f t="shared" ref="AT9:BD9" si="7">AT7-AT8</f>
        <v>-36.458657261546591</v>
      </c>
      <c r="AU9" s="2505">
        <f t="shared" si="7"/>
        <v>-19.630348575785035</v>
      </c>
      <c r="AV9" s="2505">
        <f t="shared" si="7"/>
        <v>-26.590648475355636</v>
      </c>
      <c r="AW9" s="2505">
        <f t="shared" si="7"/>
        <v>-14.978129091775429</v>
      </c>
      <c r="AX9" s="2505">
        <f t="shared" si="7"/>
        <v>-21.198493591043075</v>
      </c>
      <c r="AY9" s="2505">
        <f t="shared" si="7"/>
        <v>-52.403708050435512</v>
      </c>
      <c r="AZ9" s="2505">
        <f t="shared" si="7"/>
        <v>-4.6446264032760496</v>
      </c>
      <c r="BA9" s="2505">
        <f t="shared" si="7"/>
        <v>-23.208593514859331</v>
      </c>
      <c r="BB9" s="2505">
        <f t="shared" si="7"/>
        <v>-16.089449213042144</v>
      </c>
      <c r="BC9" s="2505">
        <f t="shared" si="7"/>
        <v>-18.980799049990878</v>
      </c>
      <c r="BD9" s="2505">
        <f t="shared" si="7"/>
        <v>-9.2766902751736211</v>
      </c>
      <c r="BE9" s="2505">
        <f t="shared" si="2"/>
        <v>-310.00156609890297</v>
      </c>
      <c r="BG9" s="2509" cm="1">
        <f t="array" aca="1" ref="BG9" ca="1">INDIRECT("'※ 재무_세부시트'!"&amp;BG$1&amp;$AD9, TRUE)</f>
        <v>-6.4199940099999822</v>
      </c>
      <c r="BH9" s="2509" cm="1">
        <f t="array" aca="1" ref="BH9" ca="1">INDIRECT("'※ 재무_세부시트'!"&amp;BH$1&amp;$AD9, TRUE)</f>
        <v>-166.1090445399997</v>
      </c>
      <c r="BI9" s="2509" cm="1">
        <f t="array" aca="1" ref="BI9" ca="1">INDIRECT("'※ 재무_세부시트'!"&amp;BI$1&amp;$AD9, TRUE)</f>
        <v>-8.7824630499999898</v>
      </c>
      <c r="BJ9" s="2509" cm="1">
        <f t="array" aca="1" ref="BJ9" ca="1">INDIRECT("'※ 재무_세부시트'!"&amp;BJ$1&amp;$AD9, TRUE)</f>
        <v>-30.342279290000022</v>
      </c>
      <c r="BK9" s="2509" cm="1">
        <f t="array" aca="1" ref="BK9" ca="1">INDIRECT("'※ 재무_세부시트'!"&amp;BK$1&amp;$AD9, TRUE)</f>
        <v>8.9995535099999984</v>
      </c>
      <c r="BL9" s="2490"/>
      <c r="BM9" s="2491"/>
      <c r="BN9" s="2472"/>
      <c r="BO9" s="2472"/>
      <c r="BP9" s="2472"/>
      <c r="BQ9" s="2472"/>
      <c r="BR9" s="2472"/>
      <c r="BS9" s="2472"/>
    </row>
    <row r="10" spans="1:71" s="2525" customFormat="1" ht="19.5" hidden="1" customHeight="1" outlineLevel="1" x14ac:dyDescent="0.55000000000000004">
      <c r="A10" s="2492"/>
      <c r="B10" s="2510" t="s">
        <v>12</v>
      </c>
      <c r="C10" s="2511"/>
      <c r="D10" s="2511"/>
      <c r="E10" s="2511"/>
      <c r="F10" s="2512" cm="1">
        <f t="array" aca="1" ref="F10" ca="1">INDIRECT("'※ 재무_세부시트'!"&amp;F$1&amp;$AD10, TRUE)</f>
        <v>190.22445883545461</v>
      </c>
      <c r="G10" s="2512" cm="1">
        <f t="array" aca="1" ref="G10" ca="1">INDIRECT("'※ 재무_세부시트'!"&amp;G$1&amp;$AD10, TRUE)</f>
        <v>353.16111325545455</v>
      </c>
      <c r="H10" s="2513" cm="1">
        <f t="array" aca="1" ref="H10" ca="1">INDIRECT("'※ 재무_세부시트'!"&amp;H$1&amp;$AD10, TRUE)</f>
        <v>15.730996770909101</v>
      </c>
      <c r="I10" s="2514" cm="1">
        <f t="array" aca="1" ref="I10" ca="1">INDIRECT("'※ 재무_세부시트'!"&amp;I$1&amp;$AD10, TRUE)</f>
        <v>40.752403027272699</v>
      </c>
      <c r="J10" s="2514" cm="1">
        <f t="array" aca="1" ref="J10" ca="1">INDIRECT("'※ 재무_세부시트'!"&amp;J$1&amp;$AD10, TRUE)</f>
        <v>0</v>
      </c>
      <c r="K10" s="2514" cm="1">
        <f t="array" aca="1" ref="K10" ca="1">INDIRECT("'※ 재무_세부시트'!"&amp;K$1&amp;$AD10, TRUE)</f>
        <v>0</v>
      </c>
      <c r="L10" s="2514" cm="1">
        <f t="array" aca="1" ref="L10" ca="1">INDIRECT("'※ 재무_세부시트'!"&amp;L$1&amp;$AD10, TRUE)</f>
        <v>0</v>
      </c>
      <c r="M10" s="2514" cm="1">
        <f t="array" aca="1" ref="M10" ca="1">INDIRECT("'※ 재무_세부시트'!"&amp;M$1&amp;$AD10, TRUE)</f>
        <v>0</v>
      </c>
      <c r="N10" s="2514" cm="1">
        <f t="array" aca="1" ref="N10" ca="1">INDIRECT("'※ 재무_세부시트'!"&amp;N$1&amp;$AD10, TRUE)</f>
        <v>0</v>
      </c>
      <c r="O10" s="2514" cm="1">
        <f t="array" aca="1" ref="O10" ca="1">INDIRECT("'※ 재무_세부시트'!"&amp;O$1&amp;$AD10, TRUE)</f>
        <v>0</v>
      </c>
      <c r="P10" s="2514" cm="1">
        <f t="array" aca="1" ref="P10" ca="1">INDIRECT("'※ 재무_세부시트'!"&amp;P$1&amp;$AD10, TRUE)</f>
        <v>0</v>
      </c>
      <c r="Q10" s="2514" cm="1">
        <f t="array" aca="1" ref="Q10" ca="1">INDIRECT("'※ 재무_세부시트'!"&amp;Q$1&amp;$AD10, TRUE)</f>
        <v>0</v>
      </c>
      <c r="R10" s="2514" cm="1">
        <f t="array" aca="1" ref="R10" ca="1">INDIRECT("'※ 재무_세부시트'!"&amp;R$1&amp;$AD10, TRUE)</f>
        <v>0</v>
      </c>
      <c r="S10" s="2514" cm="1">
        <f t="array" aca="1" ref="S10" ca="1">INDIRECT("'※ 재무_세부시트'!"&amp;S$1&amp;$AD10, TRUE)</f>
        <v>0</v>
      </c>
      <c r="T10" s="2515" cm="1">
        <f t="array" aca="1" ref="T10" ca="1">INDIRECT("'※ 재무_세부시트'!"&amp;T$1&amp;$AD10, TRUE)</f>
        <v>0</v>
      </c>
      <c r="U10" s="2515" cm="1">
        <f t="array" aca="1" ref="U10" ca="1">INDIRECT("'※ 재무_세부시트'!"&amp;U$1&amp;$AD10, TRUE)</f>
        <v>0</v>
      </c>
      <c r="V10" s="2516" cm="1">
        <f t="array" aca="1" ref="V10" ca="1">INDIRECT("'※ 재무_세부시트'!"&amp;V$1&amp;$AD10, TRUE)</f>
        <v>0</v>
      </c>
      <c r="W10" s="2517" cm="1">
        <f t="array" aca="1" ref="W10" ca="1">INDIRECT("'※ 재무_세부시트'!"&amp;W$1&amp;$AD10, TRUE)</f>
        <v>0</v>
      </c>
      <c r="X10" s="2518" cm="1">
        <f t="array" aca="1" ref="X10" ca="1">INDIRECT("'※ 재무_세부시트'!"&amp;X$1&amp;$AD10, TRUE)</f>
        <v>-13.6417818763636</v>
      </c>
      <c r="Y10" s="2518" cm="1">
        <f t="array" aca="1" ref="Y10" ca="1">INDIRECT("'※ 재무_세부시트'!"&amp;Y$1&amp;$AD10, TRUE)</f>
        <v>0</v>
      </c>
      <c r="Z10" s="2519" cm="1">
        <f t="array" aca="1" ref="Z10" ca="1">INDIRECT("'※ 재무_세부시트'!"&amp;Z$1&amp;$AD10, TRUE)</f>
        <v>56.4833997981818</v>
      </c>
      <c r="AA10" s="2518" cm="1">
        <f t="array" aca="1" ref="AA10" ca="1">INDIRECT("'※ 재무_세부시트'!"&amp;AA$1&amp;$AD10, TRUE)</f>
        <v>56.4833997981818</v>
      </c>
      <c r="AB10" s="2520" cm="1">
        <f t="array" aca="1" ref="AB10" ca="1">INDIRECT("'※ 재무_세부시트'!"&amp;AB$1&amp;$AD10, TRUE)</f>
        <v>0</v>
      </c>
      <c r="AC10" s="2521" cm="1">
        <f t="array" aca="1" ref="AC10" ca="1">INDIRECT("'※ 재무_세부시트'!"&amp;AC$1&amp;$AD10, TRUE)</f>
        <v>-296.67771345727277</v>
      </c>
      <c r="AD10" s="2441">
        <v>9</v>
      </c>
      <c r="AE10" s="2522">
        <v>8.9098141818181809</v>
      </c>
      <c r="AF10" s="2522">
        <v>21.6892493736364</v>
      </c>
      <c r="AG10" s="2522">
        <v>14.507443909090901</v>
      </c>
      <c r="AH10" s="2522">
        <v>17.838918654545502</v>
      </c>
      <c r="AI10" s="2522">
        <v>17.416590454545499</v>
      </c>
      <c r="AJ10" s="2522">
        <v>16.897780480000002</v>
      </c>
      <c r="AK10" s="2522">
        <v>11.35646</v>
      </c>
      <c r="AL10" s="2522">
        <v>35.958989363636363</v>
      </c>
      <c r="AM10" s="2522">
        <v>8.8794840000000015</v>
      </c>
      <c r="AN10" s="2522">
        <v>21.659157418181799</v>
      </c>
      <c r="AO10" s="2522">
        <v>9.1784308181818197</v>
      </c>
      <c r="AP10" s="2522">
        <v>5.9321401818181805</v>
      </c>
      <c r="AQ10" s="2523">
        <f t="shared" si="4"/>
        <v>190.22445883545461</v>
      </c>
      <c r="AR10" s="2524"/>
      <c r="AS10" s="2522">
        <v>29.926518455764462</v>
      </c>
      <c r="AT10" s="2522">
        <v>28.159416251510709</v>
      </c>
      <c r="AU10" s="2522">
        <v>28.93726454090794</v>
      </c>
      <c r="AV10" s="2522">
        <v>28.281398234383314</v>
      </c>
      <c r="AW10" s="2522">
        <v>29.218948441699094</v>
      </c>
      <c r="AX10" s="2522">
        <v>29.443764905997909</v>
      </c>
      <c r="AY10" s="2522">
        <v>27.124195291720316</v>
      </c>
      <c r="AZ10" s="2522">
        <v>33.515021415944915</v>
      </c>
      <c r="BA10" s="2522">
        <v>27.846220577923194</v>
      </c>
      <c r="BB10" s="2522">
        <v>33.355319498026368</v>
      </c>
      <c r="BC10" s="2522">
        <v>28.624115325036357</v>
      </c>
      <c r="BD10" s="2522">
        <v>27.745943001493966</v>
      </c>
      <c r="BE10" s="2523">
        <f t="shared" si="2"/>
        <v>352.17812594040856</v>
      </c>
      <c r="BG10" s="2526" cm="1">
        <f t="array" aca="1" ref="BG10" ca="1">INDIRECT("'※ 재무_세부시트'!"&amp;BG$1&amp;$AD10, TRUE)</f>
        <v>8.9098141818181809</v>
      </c>
      <c r="BH10" s="2526" cm="1">
        <f t="array" aca="1" ref="BH10" ca="1">INDIRECT("'※ 재무_세부시트'!"&amp;BH$1&amp;$AD10, TRUE)</f>
        <v>190.22445883545461</v>
      </c>
      <c r="BI10" s="2526" cm="1">
        <f t="array" aca="1" ref="BI10" ca="1">INDIRECT("'※ 재무_세부시트'!"&amp;BI$1&amp;$AD10, TRUE)</f>
        <v>11.35646</v>
      </c>
      <c r="BJ10" s="2526" cm="1">
        <f t="array" aca="1" ref="BJ10" ca="1">INDIRECT("'※ 재무_세부시트'!"&amp;BJ$1&amp;$AD10, TRUE)</f>
        <v>25.559513700000004</v>
      </c>
      <c r="BK10" s="2526" cm="1">
        <f t="array" aca="1" ref="BK10" ca="1">INDIRECT("'※ 재무_세부시트'!"&amp;BK$1&amp;$AD10, TRUE)</f>
        <v>8.8794840000000015</v>
      </c>
      <c r="BL10" s="2490"/>
      <c r="BM10" s="2491"/>
      <c r="BN10" s="2527"/>
      <c r="BO10" s="2527"/>
      <c r="BP10" s="2527"/>
      <c r="BQ10" s="2527"/>
      <c r="BR10" s="2527"/>
      <c r="BS10" s="2527"/>
    </row>
    <row r="11" spans="1:71" s="2525" customFormat="1" ht="25" customHeight="1" collapsed="1" x14ac:dyDescent="0.55000000000000004">
      <c r="A11" s="2492"/>
      <c r="B11" s="2528" t="s">
        <v>732</v>
      </c>
      <c r="C11" s="2529"/>
      <c r="D11" s="2529"/>
      <c r="E11" s="2529"/>
      <c r="F11" s="2530" cm="1">
        <f t="array" aca="1" ref="F11" ca="1">INDIRECT("'※ 재무_세부시트'!"&amp;F$1&amp;$AD11, TRUE)</f>
        <v>6683.9912439099999</v>
      </c>
      <c r="G11" s="2530" cm="1">
        <f t="array" aca="1" ref="G11" ca="1">INDIRECT("'※ 재무_세부시트'!"&amp;G$1&amp;$AD11, TRUE)</f>
        <v>7673.4989194300015</v>
      </c>
      <c r="H11" s="2531" cm="1">
        <f t="array" aca="1" ref="H11" ca="1">INDIRECT("'※ 재무_세부시트'!"&amp;H$1&amp;$AD11, TRUE)</f>
        <v>533.56526463</v>
      </c>
      <c r="I11" s="2532" cm="1">
        <f t="array" aca="1" ref="I11" ca="1">INDIRECT("'※ 재무_세부시트'!"&amp;I$1&amp;$AD11, TRUE)</f>
        <v>937.03689825000004</v>
      </c>
      <c r="J11" s="2532" cm="1">
        <f t="array" aca="1" ref="J11" ca="1">INDIRECT("'※ 재무_세부시트'!"&amp;J$1&amp;$AD11, TRUE)</f>
        <v>520.82450781</v>
      </c>
      <c r="K11" s="2532" cm="1">
        <f t="array" aca="1" ref="K11" ca="1">INDIRECT("'※ 재무_세부시트'!"&amp;K$1&amp;$AD11, TRUE)</f>
        <v>413.50723091999998</v>
      </c>
      <c r="L11" s="2532" cm="1">
        <f t="array" aca="1" ref="L11" ca="1">INDIRECT("'※ 재무_세부시트'!"&amp;L$1&amp;$AD11, TRUE)</f>
        <v>474.81408935000002</v>
      </c>
      <c r="M11" s="2532" cm="1">
        <f t="array" aca="1" ref="M11" ca="1">INDIRECT("'※ 재무_세부시트'!"&amp;M$1&amp;$AD11, TRUE)</f>
        <v>497.40316263000005</v>
      </c>
      <c r="N11" s="2532" cm="1">
        <f t="array" aca="1" ref="N11" ca="1">INDIRECT("'※ 재무_세부시트'!"&amp;N$1&amp;$AD11, TRUE)</f>
        <v>753.50974447999999</v>
      </c>
      <c r="O11" s="2532" cm="1">
        <f t="array" aca="1" ref="O11" ca="1">INDIRECT("'※ 재무_세부시트'!"&amp;O$1&amp;$AD11, TRUE)</f>
        <v>479.3554901</v>
      </c>
      <c r="P11" s="2532" cm="1">
        <f t="array" aca="1" ref="P11" ca="1">INDIRECT("'※ 재무_세부시트'!"&amp;P$1&amp;$AD11, TRUE)</f>
        <v>835.81191424000008</v>
      </c>
      <c r="Q11" s="2532" cm="1">
        <f t="array" aca="1" ref="Q11" ca="1">INDIRECT("'※ 재무_세부시트'!"&amp;Q$1&amp;$AD11, TRUE)</f>
        <v>526.29929918000005</v>
      </c>
      <c r="R11" s="2532" cm="1">
        <f t="array" aca="1" ref="R11" ca="1">INDIRECT("'※ 재무_세부시트'!"&amp;R$1&amp;$AD11, TRUE)</f>
        <v>515.05238196000005</v>
      </c>
      <c r="S11" s="2532" cm="1">
        <f t="array" aca="1" ref="S11" ca="1">INDIRECT("'※ 재무_세부시트'!"&amp;S$1&amp;$AD11, TRUE)</f>
        <v>490.81679814000006</v>
      </c>
      <c r="T11" s="2533" cm="1">
        <f t="array" aca="1" ref="T11" ca="1">INDIRECT("'※ 재무_세부시트'!"&amp;T$1&amp;$AD11, TRUE)</f>
        <v>66464.982177646962</v>
      </c>
      <c r="U11" s="2533" cm="1">
        <f t="array" aca="1" ref="U11" ca="1">INDIRECT("'※ 재무_세부시트'!"&amp;U$1&amp;$AD11, TRUE)</f>
        <v>-56773.286183579352</v>
      </c>
      <c r="V11" s="2534" cm="1">
        <f t="array" aca="1" ref="V11" ca="1">INDIRECT("'※ 재무_세부시트'!"&amp;V$1&amp;$AD11, TRUE)</f>
        <v>8.5711077722929758E-3</v>
      </c>
      <c r="W11" s="2535" cm="1">
        <f t="array" aca="1" ref="W11" ca="1">INDIRECT("'※ 재무_세부시트'!"&amp;W$1&amp;$AD11, TRUE)</f>
        <v>-24.235583819999988</v>
      </c>
      <c r="X11" s="2536" cm="1">
        <f t="array" aca="1" ref="X11" ca="1">INDIRECT("'※ 재무_세부시트'!"&amp;X$1&amp;$AD11, TRUE)</f>
        <v>1.6206598600000461</v>
      </c>
      <c r="Y11" s="2537" cm="1">
        <f t="array" aca="1" ref="Y11" ca="1">INDIRECT("'※ 재무_세부시트'!"&amp;Y$1&amp;$AD11, TRUE)</f>
        <v>0</v>
      </c>
      <c r="Z11" s="2538" cm="1">
        <f t="array" aca="1" ref="Z11" ca="1">INDIRECT("'※ 재무_세부시트'!"&amp;Z$1&amp;$AD11, TRUE)</f>
        <v>6977.9967816900007</v>
      </c>
      <c r="AA11" s="2536" cm="1">
        <f t="array" aca="1" ref="AA11" ca="1">INDIRECT("'※ 재무_세부시트'!"&amp;AA$1&amp;$AD11, TRUE)</f>
        <v>-116148.86582523036</v>
      </c>
      <c r="AB11" s="2539" cm="1">
        <f t="array" aca="1" ref="AB11" ca="1">INDIRECT("'※ 재무_세부시트'!"&amp;AB$1&amp;$AD11, TRUE)</f>
        <v>5.667322819689715E-2</v>
      </c>
      <c r="AC11" s="2540" cm="1">
        <f t="array" aca="1" ref="AC11" ca="1">INDIRECT("'※ 재무_세부시트'!"&amp;AC$1&amp;$AD11, TRUE)</f>
        <v>-695.50213774000076</v>
      </c>
      <c r="AD11" s="2441">
        <v>10</v>
      </c>
      <c r="AE11" s="2541">
        <f>AE12+AE13</f>
        <v>455.44411862999999</v>
      </c>
      <c r="AF11" s="2541">
        <f t="shared" ref="AF11:AP11" si="8">AF12+AF13</f>
        <v>716.63619097000003</v>
      </c>
      <c r="AG11" s="2541">
        <f t="shared" si="8"/>
        <v>514.12810136000007</v>
      </c>
      <c r="AH11" s="2541">
        <f t="shared" si="8"/>
        <v>465.41110929000001</v>
      </c>
      <c r="AI11" s="2541">
        <f t="shared" si="8"/>
        <v>466.02965399999994</v>
      </c>
      <c r="AJ11" s="2541">
        <f t="shared" si="8"/>
        <v>463.61064787999999</v>
      </c>
      <c r="AK11" s="2541">
        <f t="shared" si="8"/>
        <v>405.68139678</v>
      </c>
      <c r="AL11" s="2541">
        <f t="shared" si="8"/>
        <v>822.26186137000002</v>
      </c>
      <c r="AM11" s="2541">
        <f t="shared" si="8"/>
        <v>434.32382740000003</v>
      </c>
      <c r="AN11" s="2541">
        <f t="shared" si="8"/>
        <v>986.75108071000022</v>
      </c>
      <c r="AO11" s="2541">
        <f t="shared" si="8"/>
        <v>503.84647468000003</v>
      </c>
      <c r="AP11" s="2541">
        <f t="shared" si="8"/>
        <v>449.86678083999993</v>
      </c>
      <c r="AQ11" s="2542">
        <f t="shared" si="4"/>
        <v>6683.9912439099999</v>
      </c>
      <c r="AR11" s="2524"/>
      <c r="AS11" s="2541">
        <f t="shared" ref="AS11:BD11" si="9">AS12+AS13</f>
        <v>977.3728988556486</v>
      </c>
      <c r="AT11" s="2541">
        <f t="shared" si="9"/>
        <v>818.861893015448</v>
      </c>
      <c r="AU11" s="2541">
        <f t="shared" si="9"/>
        <v>644.77682694843134</v>
      </c>
      <c r="AV11" s="2541">
        <f t="shared" si="9"/>
        <v>632.84222755600899</v>
      </c>
      <c r="AW11" s="2541">
        <f t="shared" si="9"/>
        <v>600.00672384966163</v>
      </c>
      <c r="AX11" s="2541">
        <f t="shared" si="9"/>
        <v>579.57716502127062</v>
      </c>
      <c r="AY11" s="2541">
        <f t="shared" si="9"/>
        <v>995.06612264573505</v>
      </c>
      <c r="AZ11" s="2541">
        <f t="shared" si="9"/>
        <v>561.0646815301817</v>
      </c>
      <c r="BA11" s="2541">
        <f t="shared" si="9"/>
        <v>720.94925343013301</v>
      </c>
      <c r="BB11" s="2541">
        <f t="shared" si="9"/>
        <v>1047.2882027042212</v>
      </c>
      <c r="BC11" s="2541">
        <f t="shared" si="9"/>
        <v>682.02212460914222</v>
      </c>
      <c r="BD11" s="2541">
        <f t="shared" si="9"/>
        <v>669.9325630687581</v>
      </c>
      <c r="BE11" s="2542">
        <f t="shared" si="2"/>
        <v>8929.760683234641</v>
      </c>
      <c r="BG11" s="2543" cm="1">
        <f t="array" aca="1" ref="BG11" ca="1">INDIRECT("'※ 재무_세부시트'!"&amp;BG$1&amp;$AD11, TRUE)</f>
        <v>455.44411862999999</v>
      </c>
      <c r="BH11" s="2543" cm="1">
        <f t="array" aca="1" ref="BH11" ca="1">INDIRECT("'※ 재무_세부시트'!"&amp;BH$1&amp;$AD11, TRUE)</f>
        <v>6683.9912439099999</v>
      </c>
      <c r="BI11" s="2543" cm="1">
        <f t="array" aca="1" ref="BI11" ca="1">INDIRECT("'※ 재무_세부시트'!"&amp;BI$1&amp;$AD11, TRUE)</f>
        <v>405.68139678</v>
      </c>
      <c r="BJ11" s="2543" cm="1">
        <f t="array" aca="1" ref="BJ11" ca="1">INDIRECT("'※ 재무_세부시트'!"&amp;BJ$1&amp;$AD11, TRUE)</f>
        <v>611.33346903000006</v>
      </c>
      <c r="BK11" s="2543" cm="1">
        <f t="array" aca="1" ref="BK11" ca="1">INDIRECT("'※ 재무_세부시트'!"&amp;BK$1&amp;$AD11, TRUE)</f>
        <v>434.32382740000003</v>
      </c>
      <c r="BL11" s="2490"/>
      <c r="BM11" s="2491"/>
      <c r="BN11" s="2527"/>
      <c r="BO11" s="2527"/>
      <c r="BP11" s="2527"/>
      <c r="BQ11" s="2527"/>
      <c r="BR11" s="2527"/>
      <c r="BS11" s="2527"/>
    </row>
    <row r="12" spans="1:71" ht="19.5" customHeight="1" x14ac:dyDescent="0.55000000000000004">
      <c r="A12" s="2492"/>
      <c r="B12" s="2544" t="s">
        <v>1199</v>
      </c>
      <c r="C12" s="2545"/>
      <c r="D12" s="2546"/>
      <c r="E12" s="2427"/>
      <c r="F12" s="2547" cm="1">
        <f t="array" aca="1" ref="F12" ca="1">INDIRECT("'※ 재무_세부시트'!"&amp;F$1&amp;$AD12, TRUE)</f>
        <v>4264.0504496600006</v>
      </c>
      <c r="G12" s="2547" cm="1">
        <f t="array" aca="1" ref="G12" ca="1">INDIRECT("'※ 재무_세부시트'!"&amp;G$1&amp;$AD12, TRUE)</f>
        <v>5103.3961762299996</v>
      </c>
      <c r="H12" s="2548" cm="1">
        <f t="array" aca="1" ref="H12" ca="1">INDIRECT("'※ 재무_세부시트'!"&amp;H$1&amp;$AD12, TRUE)</f>
        <v>355.07525212000002</v>
      </c>
      <c r="I12" s="2549" cm="1">
        <f t="array" aca="1" ref="I12" ca="1">INDIRECT("'※ 재무_세부시트'!"&amp;I$1&amp;$AD12, TRUE)</f>
        <v>679.23028433000002</v>
      </c>
      <c r="J12" s="2549" cm="1">
        <f t="array" aca="1" ref="J12" ca="1">INDIRECT("'※ 재무_세부시트'!"&amp;J$1&amp;$AD12, TRUE)</f>
        <v>321.53379536</v>
      </c>
      <c r="K12" s="2549" cm="1">
        <f t="array" aca="1" ref="K12" ca="1">INDIRECT("'※ 재무_세부시트'!"&amp;K$1&amp;$AD12, TRUE)</f>
        <v>213.07457941000001</v>
      </c>
      <c r="L12" s="2549" cm="1">
        <f t="array" aca="1" ref="L12" ca="1">INDIRECT("'※ 재무_세부시트'!"&amp;L$1&amp;$AD12, TRUE)</f>
        <v>246.36238930000002</v>
      </c>
      <c r="M12" s="2549" cm="1">
        <f t="array" aca="1" ref="M12" ca="1">INDIRECT("'※ 재무_세부시트'!"&amp;M$1&amp;$AD12, TRUE)</f>
        <v>274.80846724000003</v>
      </c>
      <c r="N12" s="2549" cm="1">
        <f t="array" aca="1" ref="N12" ca="1">INDIRECT("'※ 재무_세부시트'!"&amp;N$1&amp;$AD12, TRUE)</f>
        <v>441.47967010000002</v>
      </c>
      <c r="O12" s="2549" cm="1">
        <f t="array" aca="1" ref="O12" ca="1">INDIRECT("'※ 재무_세부시트'!"&amp;O$1&amp;$AD12, TRUE)</f>
        <v>256.74804626000002</v>
      </c>
      <c r="P12" s="2549" cm="1">
        <f t="array" aca="1" ref="P12" ca="1">INDIRECT("'※ 재무_세부시트'!"&amp;P$1&amp;$AD12, TRUE)</f>
        <v>559.57756142000005</v>
      </c>
      <c r="Q12" s="2549" cm="1">
        <f t="array" aca="1" ref="Q12" ca="1">INDIRECT("'※ 재무_세부시트'!"&amp;Q$1&amp;$AD12, TRUE)</f>
        <v>324.98229727</v>
      </c>
      <c r="R12" s="2549" cm="1">
        <f t="array" aca="1" ref="R12" ca="1">INDIRECT("'※ 재무_세부시트'!"&amp;R$1&amp;$AD12, TRUE)</f>
        <v>284.83313692000002</v>
      </c>
      <c r="S12" s="2549" cm="1">
        <f t="array" aca="1" ref="S12" ca="1">INDIRECT("'※ 재무_세부시트'!"&amp;S$1&amp;$AD12, TRUE)</f>
        <v>209.09681289</v>
      </c>
      <c r="T12" s="2550" cm="1">
        <f t="array" aca="1" ref="T12" ca="1">INDIRECT("'※ 재무_세부시트'!"&amp;T$1&amp;$AD12, TRUE)</f>
        <v>44393.452368199221</v>
      </c>
      <c r="U12" s="2550" cm="1">
        <f t="array" aca="1" ref="U12" ca="1">INDIRECT("'※ 재무_세부시트'!"&amp;U$1&amp;$AD12, TRUE)</f>
        <v>-37599.625379587327</v>
      </c>
      <c r="V12" s="2551" cm="1">
        <f t="array" aca="1" ref="V12" ca="1">INDIRECT("'※ 재무_세부시트'!"&amp;V$1&amp;$AD12, TRUE)</f>
        <v>5.5303856032353103E-3</v>
      </c>
      <c r="W12" s="2552" cm="1">
        <f t="array" aca="1" ref="W12" ca="1">INDIRECT("'※ 재무_세부시트'!"&amp;W$1&amp;$AD12, TRUE)</f>
        <v>-75.73632403000002</v>
      </c>
      <c r="X12" s="2553" cm="1">
        <f t="array" aca="1" ref="X12" ca="1">INDIRECT("'※ 재무_세부시트'!"&amp;X$1&amp;$AD12, TRUE)</f>
        <v>-59.68252996999999</v>
      </c>
      <c r="Y12" s="2553" cm="1">
        <f t="array" aca="1" ref="Y12" ca="1">INDIRECT("'※ 재무_세부시트'!"&amp;Y$1&amp;$AD12, TRUE)</f>
        <v>0</v>
      </c>
      <c r="Z12" s="2554" cm="1">
        <f t="array" aca="1" ref="Z12" ca="1">INDIRECT("'※ 재무_세부시트'!"&amp;Z$1&amp;$AD12, TRUE)</f>
        <v>4166.802292620001</v>
      </c>
      <c r="AA12" s="2555" cm="1">
        <f t="array" aca="1" ref="AA12" ca="1">INDIRECT("'※ 재무_세부시트'!"&amp;AA$1&amp;$AD12, TRUE)</f>
        <v>-76616.175628991739</v>
      </c>
      <c r="AB12" s="2556" cm="1">
        <f t="array" aca="1" ref="AB12" ca="1">INDIRECT("'※ 재무_세부시트'!"&amp;AB$1&amp;$AD12, TRUE)</f>
        <v>5.1580201669011054E-2</v>
      </c>
      <c r="AC12" s="2557" cm="1">
        <f t="array" aca="1" ref="AC12" ca="1">INDIRECT("'※ 재무_세부시트'!"&amp;AC$1&amp;$AD12, TRUE)</f>
        <v>-936.59388360999856</v>
      </c>
      <c r="AD12" s="2441">
        <v>11</v>
      </c>
      <c r="AE12" s="2505">
        <v>307.56190311</v>
      </c>
      <c r="AF12" s="2505">
        <v>506.34739579000001</v>
      </c>
      <c r="AG12" s="2505">
        <v>335.51970858999999</v>
      </c>
      <c r="AH12" s="2505">
        <v>270.10871031000005</v>
      </c>
      <c r="AI12" s="2505">
        <v>267.22186732</v>
      </c>
      <c r="AJ12" s="2505">
        <v>238.84647827000001</v>
      </c>
      <c r="AK12" s="2505">
        <v>215.18169999000003</v>
      </c>
      <c r="AL12" s="2505">
        <v>553.17258282</v>
      </c>
      <c r="AM12" s="2505">
        <v>238.47595929000002</v>
      </c>
      <c r="AN12" s="2505">
        <v>746.45886135000012</v>
      </c>
      <c r="AO12" s="2505">
        <v>333.94233086999998</v>
      </c>
      <c r="AP12" s="2505">
        <v>251.21295194999999</v>
      </c>
      <c r="AQ12" s="2505">
        <f t="shared" si="4"/>
        <v>4264.0504496600006</v>
      </c>
      <c r="AR12" s="2488"/>
      <c r="AS12" s="2505">
        <v>716.82328813650679</v>
      </c>
      <c r="AT12" s="2505">
        <v>582.79605838198484</v>
      </c>
      <c r="AU12" s="2505">
        <v>433.41946564710003</v>
      </c>
      <c r="AV12" s="2505">
        <v>405.09013331882574</v>
      </c>
      <c r="AW12" s="2505">
        <v>383.71296105300206</v>
      </c>
      <c r="AX12" s="2505">
        <v>343.02526029436007</v>
      </c>
      <c r="AY12" s="2505">
        <v>728.97901919319133</v>
      </c>
      <c r="AZ12" s="2505">
        <v>356.3440197459604</v>
      </c>
      <c r="BA12" s="2505">
        <v>490.04640018605591</v>
      </c>
      <c r="BB12" s="2505">
        <v>767.62525067798811</v>
      </c>
      <c r="BC12" s="2505">
        <v>440.29521012315928</v>
      </c>
      <c r="BD12" s="2505">
        <v>437.42394561742697</v>
      </c>
      <c r="BE12" s="2505">
        <f t="shared" si="2"/>
        <v>6085.5810123755618</v>
      </c>
      <c r="BG12" s="2558" cm="1">
        <f t="array" aca="1" ref="BG12" ca="1">INDIRECT("'※ 재무_세부시트'!"&amp;BG$1&amp;$AD12, TRUE)</f>
        <v>307.56190311</v>
      </c>
      <c r="BH12" s="2558" cm="1">
        <f t="array" aca="1" ref="BH12" ca="1">INDIRECT("'※ 재무_세부시트'!"&amp;BH$1&amp;$AD12, TRUE)</f>
        <v>4264.0504496600006</v>
      </c>
      <c r="BI12" s="2558" cm="1">
        <f t="array" aca="1" ref="BI12" ca="1">INDIRECT("'※ 재무_세부시트'!"&amp;BI$1&amp;$AD12, TRUE)</f>
        <v>215.18169999000003</v>
      </c>
      <c r="BJ12" s="2558" cm="1">
        <f t="array" aca="1" ref="BJ12" ca="1">INDIRECT("'※ 재무_세부시트'!"&amp;BJ$1&amp;$AD12, TRUE)</f>
        <v>424.33744472000001</v>
      </c>
      <c r="BK12" s="2558" cm="1">
        <f t="array" aca="1" ref="BK12" ca="1">INDIRECT("'※ 재무_세부시트'!"&amp;BK$1&amp;$AD12, TRUE)</f>
        <v>238.47595929000002</v>
      </c>
      <c r="BL12" s="2490"/>
      <c r="BM12" s="2491"/>
      <c r="BN12" s="2472"/>
      <c r="BO12" s="2472"/>
      <c r="BP12" s="2472"/>
      <c r="BQ12" s="2472"/>
      <c r="BR12" s="2472"/>
      <c r="BS12" s="2472"/>
    </row>
    <row r="13" spans="1:71" ht="19.5" customHeight="1" x14ac:dyDescent="0.55000000000000004">
      <c r="A13" s="2492"/>
      <c r="B13" s="2544" t="s">
        <v>1200</v>
      </c>
      <c r="C13" s="2545"/>
      <c r="D13" s="2427"/>
      <c r="E13" s="2427"/>
      <c r="F13" s="2547" cm="1">
        <f t="array" aca="1" ref="F13" ca="1">INDIRECT("'※ 재무_세부시트'!"&amp;F$1&amp;$AD13, TRUE)</f>
        <v>2419.9407942499997</v>
      </c>
      <c r="G13" s="2547" cm="1">
        <f t="array" aca="1" ref="G13" ca="1">INDIRECT("'※ 재무_세부시트'!"&amp;G$1&amp;$AD13, TRUE)</f>
        <v>2570.1027432000001</v>
      </c>
      <c r="H13" s="2548" cm="1">
        <f t="array" aca="1" ref="H13" ca="1">INDIRECT("'※ 재무_세부시트'!"&amp;H$1&amp;$AD13, TRUE)</f>
        <v>178.49001250999999</v>
      </c>
      <c r="I13" s="2549" cm="1">
        <f t="array" aca="1" ref="I13" ca="1">INDIRECT("'※ 재무_세부시트'!"&amp;I$1&amp;$AD13, TRUE)</f>
        <v>257.80661392000002</v>
      </c>
      <c r="J13" s="2549" cm="1">
        <f t="array" aca="1" ref="J13" ca="1">INDIRECT("'※ 재무_세부시트'!"&amp;J$1&amp;$AD13, TRUE)</f>
        <v>199.29071245</v>
      </c>
      <c r="K13" s="2549" cm="1">
        <f t="array" aca="1" ref="K13" ca="1">INDIRECT("'※ 재무_세부시트'!"&amp;K$1&amp;$AD13, TRUE)</f>
        <v>200.43265151</v>
      </c>
      <c r="L13" s="2549" cm="1">
        <f t="array" aca="1" ref="L13" ca="1">INDIRECT("'※ 재무_세부시트'!"&amp;L$1&amp;$AD13, TRUE)</f>
        <v>228.45170005</v>
      </c>
      <c r="M13" s="2549" cm="1">
        <f t="array" aca="1" ref="M13" ca="1">INDIRECT("'※ 재무_세부시트'!"&amp;M$1&amp;$AD13, TRUE)</f>
        <v>222.59469539000003</v>
      </c>
      <c r="N13" s="2549" cm="1">
        <f t="array" aca="1" ref="N13" ca="1">INDIRECT("'※ 재무_세부시트'!"&amp;N$1&amp;$AD13, TRUE)</f>
        <v>312.03007437999997</v>
      </c>
      <c r="O13" s="2549" cm="1">
        <f t="array" aca="1" ref="O13" ca="1">INDIRECT("'※ 재무_세부시트'!"&amp;O$1&amp;$AD13, TRUE)</f>
        <v>222.60744383999997</v>
      </c>
      <c r="P13" s="2549" cm="1">
        <f t="array" aca="1" ref="P13" ca="1">INDIRECT("'※ 재무_세부시트'!"&amp;P$1&amp;$AD13, TRUE)</f>
        <v>276.23435281999997</v>
      </c>
      <c r="Q13" s="2549" cm="1">
        <f t="array" aca="1" ref="Q13" ca="1">INDIRECT("'※ 재무_세부시트'!"&amp;Q$1&amp;$AD13, TRUE)</f>
        <v>201.31700191000002</v>
      </c>
      <c r="R13" s="2549" cm="1">
        <f t="array" aca="1" ref="R13" ca="1">INDIRECT("'※ 재무_세부시트'!"&amp;R$1&amp;$AD13, TRUE)</f>
        <v>230.21924503999998</v>
      </c>
      <c r="S13" s="2549" cm="1">
        <f t="array" aca="1" ref="S13" ca="1">INDIRECT("'※ 재무_세부시트'!"&amp;S$1&amp;$AD13, TRUE)</f>
        <v>281.71998525000004</v>
      </c>
      <c r="T13" s="2550" cm="1">
        <f t="array" aca="1" ref="T13" ca="1">INDIRECT("'※ 재무_세부시트'!"&amp;T$1&amp;$AD13, TRUE)</f>
        <v>22071.529809447744</v>
      </c>
      <c r="U13" s="2550" cm="1">
        <f t="array" aca="1" ref="U13" ca="1">INDIRECT("'※ 재무_세부시트'!"&amp;U$1&amp;$AD13, TRUE)</f>
        <v>-19173.660803992025</v>
      </c>
      <c r="V13" s="2551" cm="1">
        <f t="array" aca="1" ref="V13" ca="1">INDIRECT("'※ 재무_세부시트'!"&amp;V$1&amp;$AD13, TRUE)</f>
        <v>1.4480312069028166E-2</v>
      </c>
      <c r="W13" s="2559" cm="1">
        <f t="array" aca="1" ref="W13" ca="1">INDIRECT("'※ 재무_세부시트'!"&amp;W$1&amp;$AD13, TRUE)</f>
        <v>51.50074021000006</v>
      </c>
      <c r="X13" s="2555" cm="1">
        <f t="array" aca="1" ref="X13" ca="1">INDIRECT("'※ 재무_세부시트'!"&amp;X$1&amp;$AD13, TRUE)</f>
        <v>61.303189830000036</v>
      </c>
      <c r="Y13" s="2555" cm="1">
        <f t="array" aca="1" ref="Y13" ca="1">INDIRECT("'※ 재무_세부시트'!"&amp;Y$1&amp;$AD13, TRUE)</f>
        <v>0</v>
      </c>
      <c r="Z13" s="2554" cm="1">
        <f t="array" aca="1" ref="Z13" ca="1">INDIRECT("'※ 재무_세부시트'!"&amp;Z$1&amp;$AD13, TRUE)</f>
        <v>2811.1944890699997</v>
      </c>
      <c r="AA13" s="2555" cm="1">
        <f t="array" aca="1" ref="AA13" ca="1">INDIRECT("'※ 재무_세부시트'!"&amp;AA$1&amp;$AD13, TRUE)</f>
        <v>-39532.690196238618</v>
      </c>
      <c r="AB13" s="2556" cm="1">
        <f t="array" aca="1" ref="AB13" ca="1">INDIRECT("'※ 재무_세부시트'!"&amp;AB$1&amp;$AD13, TRUE)</f>
        <v>6.6389621782749542E-2</v>
      </c>
      <c r="AC13" s="2560" cm="1">
        <f t="array" aca="1" ref="AC13" ca="1">INDIRECT("'※ 재무_세부시트'!"&amp;AC$1&amp;$AD13, TRUE)</f>
        <v>241.09174586999961</v>
      </c>
      <c r="AD13" s="2441">
        <v>12</v>
      </c>
      <c r="AE13" s="2505">
        <f t="shared" ref="AE13:AP13" si="10">AE14+AE22+AE39</f>
        <v>147.88221551999999</v>
      </c>
      <c r="AF13" s="2505">
        <f t="shared" si="10"/>
        <v>210.28879517999999</v>
      </c>
      <c r="AG13" s="2505">
        <f t="shared" si="10"/>
        <v>178.60839277000002</v>
      </c>
      <c r="AH13" s="2505">
        <f t="shared" si="10"/>
        <v>195.30239897999996</v>
      </c>
      <c r="AI13" s="2505">
        <f t="shared" si="10"/>
        <v>198.80778667999996</v>
      </c>
      <c r="AJ13" s="2505">
        <f t="shared" si="10"/>
        <v>224.76416961000001</v>
      </c>
      <c r="AK13" s="2505">
        <f t="shared" si="10"/>
        <v>190.49969679</v>
      </c>
      <c r="AL13" s="2505">
        <f t="shared" si="10"/>
        <v>269.08927855000002</v>
      </c>
      <c r="AM13" s="2505">
        <f t="shared" si="10"/>
        <v>195.84786810999998</v>
      </c>
      <c r="AN13" s="2505">
        <f t="shared" si="10"/>
        <v>240.29221936000005</v>
      </c>
      <c r="AO13" s="2505">
        <f t="shared" si="10"/>
        <v>169.90414381000002</v>
      </c>
      <c r="AP13" s="2505">
        <f t="shared" si="10"/>
        <v>198.65382888999994</v>
      </c>
      <c r="AQ13" s="2505">
        <f t="shared" ref="AQ13:AQ25" si="11">SUM(AE13:AP13)</f>
        <v>2419.9407942499997</v>
      </c>
      <c r="AR13" s="2488"/>
      <c r="AS13" s="2505">
        <f t="shared" ref="AS13:BD13" si="12">AS14+AS22+AS39</f>
        <v>260.54961071914187</v>
      </c>
      <c r="AT13" s="2505">
        <f t="shared" si="12"/>
        <v>236.06583463346314</v>
      </c>
      <c r="AU13" s="2505">
        <f t="shared" si="12"/>
        <v>211.35736130133125</v>
      </c>
      <c r="AV13" s="2505">
        <f t="shared" si="12"/>
        <v>227.75209423718326</v>
      </c>
      <c r="AW13" s="2505">
        <f t="shared" si="12"/>
        <v>216.29376279665954</v>
      </c>
      <c r="AX13" s="2505">
        <f t="shared" si="12"/>
        <v>236.55190472691052</v>
      </c>
      <c r="AY13" s="2505">
        <f t="shared" si="12"/>
        <v>266.08710345254372</v>
      </c>
      <c r="AZ13" s="2505">
        <f t="shared" si="12"/>
        <v>204.72066178422133</v>
      </c>
      <c r="BA13" s="2505">
        <f t="shared" si="12"/>
        <v>230.90285324407716</v>
      </c>
      <c r="BB13" s="2505">
        <f t="shared" si="12"/>
        <v>279.66295202623314</v>
      </c>
      <c r="BC13" s="2505">
        <f t="shared" si="12"/>
        <v>241.72691448598295</v>
      </c>
      <c r="BD13" s="2505">
        <f t="shared" si="12"/>
        <v>232.50861745133108</v>
      </c>
      <c r="BE13" s="2505">
        <f t="shared" si="2"/>
        <v>2844.1796708590791</v>
      </c>
      <c r="BG13" s="2561" cm="1">
        <f t="array" aca="1" ref="BG13" ca="1">INDIRECT("'※ 재무_세부시트'!"&amp;BG$1&amp;$AD13, TRUE)</f>
        <v>147.88221551999999</v>
      </c>
      <c r="BH13" s="2561" cm="1">
        <f t="array" aca="1" ref="BH13" ca="1">INDIRECT("'※ 재무_세부시트'!"&amp;BH$1&amp;$AD13, TRUE)</f>
        <v>2419.9407942499997</v>
      </c>
      <c r="BI13" s="2561" cm="1">
        <f t="array" aca="1" ref="BI13" ca="1">INDIRECT("'※ 재무_세부시트'!"&amp;BI$1&amp;$AD13, TRUE)</f>
        <v>190.49969679</v>
      </c>
      <c r="BJ13" s="2561" cm="1">
        <f t="array" aca="1" ref="BJ13" ca="1">INDIRECT("'※ 재무_세부시트'!"&amp;BJ$1&amp;$AD13, TRUE)</f>
        <v>186.99602431</v>
      </c>
      <c r="BK13" s="2561" cm="1">
        <f t="array" aca="1" ref="BK13" ca="1">INDIRECT("'※ 재무_세부시트'!"&amp;BK$1&amp;$AD13, TRUE)</f>
        <v>195.84786810999998</v>
      </c>
      <c r="BL13" s="2490"/>
      <c r="BM13" s="2491"/>
      <c r="BN13" s="2562"/>
      <c r="BO13" s="2472"/>
      <c r="BP13" s="2562">
        <f ca="1">SUM(H80:K80)/SUM(H13:K13,H51:K51)</f>
        <v>0.10223774145753071</v>
      </c>
      <c r="BQ13" s="2472"/>
      <c r="BR13" s="2472"/>
      <c r="BS13" s="2472"/>
    </row>
    <row r="14" spans="1:71" ht="25" customHeight="1" x14ac:dyDescent="0.55000000000000004">
      <c r="A14" s="2492"/>
      <c r="B14" s="2427"/>
      <c r="C14" s="2563" t="s">
        <v>6</v>
      </c>
      <c r="D14" s="2564"/>
      <c r="E14" s="2564"/>
      <c r="F14" s="2565" cm="1">
        <f t="array" aca="1" ref="F14" ca="1">INDIRECT("'※ 재무_세부시트'!"&amp;F$1&amp;$AD14, TRUE)</f>
        <v>1287.44553939</v>
      </c>
      <c r="G14" s="2565" cm="1">
        <f t="array" aca="1" ref="G14" ca="1">INDIRECT("'※ 재무_세부시트'!"&amp;G$1&amp;$AD14, TRUE)</f>
        <v>1379.1251761600001</v>
      </c>
      <c r="H14" s="2566" cm="1">
        <f t="array" aca="1" ref="H14" ca="1">INDIRECT("'※ 재무_세부시트'!"&amp;H$1&amp;$AD14, TRUE)</f>
        <v>95.784423849999996</v>
      </c>
      <c r="I14" s="2567" cm="1">
        <f t="array" aca="1" ref="I14" ca="1">INDIRECT("'※ 재무_세부시트'!"&amp;I$1&amp;$AD14, TRUE)</f>
        <v>166.62481603999998</v>
      </c>
      <c r="J14" s="2567" cm="1">
        <f t="array" aca="1" ref="J14" ca="1">INDIRECT("'※ 재무_세부시트'!"&amp;J$1&amp;$AD14, TRUE)</f>
        <v>110.26219452000001</v>
      </c>
      <c r="K14" s="2567" cm="1">
        <f t="array" aca="1" ref="K14" ca="1">INDIRECT("'※ 재무_세부시트'!"&amp;K$1&amp;$AD14, TRUE)</f>
        <v>103.99977730000001</v>
      </c>
      <c r="L14" s="2567" cm="1">
        <f t="array" aca="1" ref="L14" ca="1">INDIRECT("'※ 재무_세부시트'!"&amp;L$1&amp;$AD14, TRUE)</f>
        <v>141.27506871</v>
      </c>
      <c r="M14" s="2567" cm="1">
        <f t="array" aca="1" ref="M14" ca="1">INDIRECT("'※ 재무_세부시트'!"&amp;M$1&amp;$AD14, TRUE)</f>
        <v>121.71603564</v>
      </c>
      <c r="N14" s="2567" cm="1">
        <f t="array" aca="1" ref="N14" ca="1">INDIRECT("'※ 재무_세부시트'!"&amp;N$1&amp;$AD14, TRUE)</f>
        <v>222.07761886999998</v>
      </c>
      <c r="O14" s="2567" cm="1">
        <f t="array" aca="1" ref="O14" ca="1">INDIRECT("'※ 재무_세부시트'!"&amp;O$1&amp;$AD14, TRUE)</f>
        <v>134.99655784999999</v>
      </c>
      <c r="P14" s="2567" cm="1">
        <f t="array" aca="1" ref="P14" ca="1">INDIRECT("'※ 재무_세부시트'!"&amp;P$1&amp;$AD14, TRUE)</f>
        <v>185.93206875999999</v>
      </c>
      <c r="Q14" s="2567" cm="1">
        <f t="array" aca="1" ref="Q14" ca="1">INDIRECT("'※ 재무_세부시트'!"&amp;Q$1&amp;$AD14, TRUE)</f>
        <v>119.40087632000001</v>
      </c>
      <c r="R14" s="2567" cm="1">
        <f t="array" aca="1" ref="R14" ca="1">INDIRECT("'※ 재무_세부시트'!"&amp;R$1&amp;$AD14, TRUE)</f>
        <v>143.23107128999999</v>
      </c>
      <c r="S14" s="2567" cm="1">
        <f t="array" aca="1" ref="S14" ca="1">INDIRECT("'※ 재무_세부시트'!"&amp;S$1&amp;$AD14, TRUE)</f>
        <v>183.73159751000003</v>
      </c>
      <c r="T14" s="2568" cm="1">
        <f t="array" aca="1" ref="T14" ca="1">INDIRECT("'※ 재무_세부시트'!"&amp;T$1&amp;$AD14, TRUE)</f>
        <v>13441.120382041359</v>
      </c>
      <c r="U14" s="2568" cm="1">
        <f t="array" aca="1" ref="U14" ca="1">INDIRECT("'※ 재무_세부시트'!"&amp;U$1&amp;$AD14, TRUE)</f>
        <v>-10561.343875244289</v>
      </c>
      <c r="V14" s="2569" cm="1">
        <f t="array" aca="1" ref="V14" ca="1">INDIRECT("'※ 재무_세부시트'!"&amp;V$1&amp;$AD14, TRUE)</f>
        <v>1.7099144438387462E-2</v>
      </c>
      <c r="W14" s="2570" cm="1">
        <f t="array" aca="1" ref="W14" ca="1">INDIRECT("'※ 재무_세부시트'!"&amp;W$1&amp;$AD14, TRUE)</f>
        <v>40.50052622000004</v>
      </c>
      <c r="X14" s="2571" cm="1">
        <f t="array" aca="1" ref="X14" ca="1">INDIRECT("'※ 재무_세부시트'!"&amp;X$1&amp;$AD14, TRUE)</f>
        <v>70.681951640000023</v>
      </c>
      <c r="Y14" s="2571" cm="1">
        <f t="array" aca="1" ref="Y14" ca="1">INDIRECT("'※ 재무_세부시트'!"&amp;Y$1&amp;$AD14, TRUE)</f>
        <v>0</v>
      </c>
      <c r="Z14" s="2572" cm="1">
        <f t="array" aca="1" ref="Z14" ca="1">INDIRECT("'※ 재무_세부시트'!"&amp;Z$1&amp;$AD14, TRUE)</f>
        <v>1729.03210666</v>
      </c>
      <c r="AA14" s="2571" cm="1">
        <f t="array" aca="1" ref="AA14" ca="1">INDIRECT("'※ 재무_세부시트'!"&amp;AA$1&amp;$AD14, TRUE)</f>
        <v>-22867.778477657012</v>
      </c>
      <c r="AB14" s="2573" cm="1">
        <f t="array" aca="1" ref="AB14" ca="1">INDIRECT("'※ 재무_세부시트'!"&amp;AB$1&amp;$AD14, TRUE)</f>
        <v>7.0294971810793846E-2</v>
      </c>
      <c r="AC14" s="2574" cm="1">
        <f t="array" aca="1" ref="AC14" ca="1">INDIRECT("'※ 재무_세부시트'!"&amp;AC$1&amp;$AD14, TRUE)</f>
        <v>349.90693049999982</v>
      </c>
      <c r="AD14" s="2441">
        <v>13</v>
      </c>
      <c r="AE14" s="2505">
        <f t="shared" ref="AE14:AP14" si="13">AE15+AE16</f>
        <v>39.929752489999998</v>
      </c>
      <c r="AF14" s="2505">
        <f t="shared" si="13"/>
        <v>126.18733025999998</v>
      </c>
      <c r="AG14" s="2505">
        <f t="shared" si="13"/>
        <v>78.48728340000001</v>
      </c>
      <c r="AH14" s="2505">
        <f t="shared" si="13"/>
        <v>106.54674632999999</v>
      </c>
      <c r="AI14" s="2505">
        <f t="shared" si="13"/>
        <v>107.44778007999999</v>
      </c>
      <c r="AJ14" s="2505">
        <f t="shared" si="13"/>
        <v>126.97076551999999</v>
      </c>
      <c r="AK14" s="2505">
        <f t="shared" si="13"/>
        <v>94.720604569999992</v>
      </c>
      <c r="AL14" s="2505">
        <f t="shared" si="13"/>
        <v>176.59733647000002</v>
      </c>
      <c r="AM14" s="2505">
        <f t="shared" si="13"/>
        <v>99.013854939999987</v>
      </c>
      <c r="AN14" s="2505">
        <f t="shared" si="13"/>
        <v>146.00524172999999</v>
      </c>
      <c r="AO14" s="2505">
        <f t="shared" si="13"/>
        <v>80.48795358000001</v>
      </c>
      <c r="AP14" s="2505">
        <f t="shared" si="13"/>
        <v>105.05089002000001</v>
      </c>
      <c r="AQ14" s="2505">
        <f t="shared" si="11"/>
        <v>1287.44553939</v>
      </c>
      <c r="AR14" s="2488"/>
      <c r="AS14" s="2505">
        <f t="shared" ref="AS14:BD14" si="14">AS15+AS16</f>
        <v>168.44608530801298</v>
      </c>
      <c r="AT14" s="2505">
        <f t="shared" si="14"/>
        <v>144.24672199393601</v>
      </c>
      <c r="AU14" s="2505">
        <f t="shared" si="14"/>
        <v>116.38592298260501</v>
      </c>
      <c r="AV14" s="2505">
        <f t="shared" si="14"/>
        <v>135.67492440005898</v>
      </c>
      <c r="AW14" s="2505">
        <f t="shared" si="14"/>
        <v>124.43375163193799</v>
      </c>
      <c r="AX14" s="2505">
        <f t="shared" si="14"/>
        <v>141.27620030138797</v>
      </c>
      <c r="AY14" s="2505">
        <f t="shared" si="14"/>
        <v>171.33586159315399</v>
      </c>
      <c r="AZ14" s="2505">
        <f t="shared" si="14"/>
        <v>112.743223704168</v>
      </c>
      <c r="BA14" s="2505">
        <f t="shared" si="14"/>
        <v>135.75565750789099</v>
      </c>
      <c r="BB14" s="2505">
        <f t="shared" si="14"/>
        <v>187.417734130848</v>
      </c>
      <c r="BC14" s="2505">
        <f t="shared" si="14"/>
        <v>149.856665454465</v>
      </c>
      <c r="BD14" s="2505">
        <f t="shared" si="14"/>
        <v>135.060847840614</v>
      </c>
      <c r="BE14" s="2505">
        <f t="shared" si="2"/>
        <v>1722.6335968490791</v>
      </c>
      <c r="BG14" s="2561" cm="1">
        <f t="array" aca="1" ref="BG14" ca="1">INDIRECT("'※ 재무_세부시트'!"&amp;BG$1&amp;$AD14, TRUE)</f>
        <v>39.929752489999998</v>
      </c>
      <c r="BH14" s="2561" cm="1">
        <f t="array" aca="1" ref="BH14" ca="1">INDIRECT("'※ 재무_세부시트'!"&amp;BH$1&amp;$AD14, TRUE)</f>
        <v>1287.44553939</v>
      </c>
      <c r="BI14" s="2561" cm="1">
        <f t="array" aca="1" ref="BI14" ca="1">INDIRECT("'※ 재무_세부시트'!"&amp;BI$1&amp;$AD14, TRUE)</f>
        <v>94.720604569999992</v>
      </c>
      <c r="BJ14" s="2561" cm="1">
        <f t="array" aca="1" ref="BJ14" ca="1">INDIRECT("'※ 재무_세부시트'!"&amp;BJ$1&amp;$AD14, TRUE)</f>
        <v>90.23088611</v>
      </c>
      <c r="BK14" s="2561" cm="1">
        <f t="array" aca="1" ref="BK14" ca="1">INDIRECT("'※ 재무_세부시트'!"&amp;BK$1&amp;$AD14, TRUE)</f>
        <v>99.013854939999987</v>
      </c>
      <c r="BL14" s="2490"/>
      <c r="BM14" s="2491"/>
      <c r="BN14" s="2472"/>
      <c r="BO14" s="2472"/>
      <c r="BP14" s="2472"/>
      <c r="BQ14" s="2472"/>
      <c r="BR14" s="2472"/>
      <c r="BS14" s="2472"/>
    </row>
    <row r="15" spans="1:71" ht="19.5" customHeight="1" x14ac:dyDescent="0.55000000000000004">
      <c r="A15" s="2492"/>
      <c r="B15" s="2427"/>
      <c r="C15" s="2575" t="s">
        <v>762</v>
      </c>
      <c r="D15" s="2576" t="s">
        <v>102</v>
      </c>
      <c r="E15" s="2575" t="s">
        <v>115</v>
      </c>
      <c r="F15" s="2547" cm="1">
        <f t="array" aca="1" ref="F15" ca="1">INDIRECT("'※ 재무_세부시트'!"&amp;F$1&amp;$AD15, TRUE)</f>
        <v>1276.9099971900002</v>
      </c>
      <c r="G15" s="2547" cm="1">
        <f t="array" aca="1" ref="G15" ca="1">INDIRECT("'※ 재무_세부시트'!"&amp;G$1&amp;$AD15, TRUE)</f>
        <v>1282.1047440300001</v>
      </c>
      <c r="H15" s="2548" cm="1">
        <f t="array" aca="1" ref="H15" ca="1">INDIRECT("'※ 재무_세부시트'!"&amp;H$1&amp;$AD15, TRUE)</f>
        <v>90.128599940000001</v>
      </c>
      <c r="I15" s="2549" cm="1">
        <f t="array" aca="1" ref="I15" ca="1">INDIRECT("'※ 재무_세부시트'!"&amp;I$1&amp;$AD15, TRUE)</f>
        <v>143.86297662999999</v>
      </c>
      <c r="J15" s="2549" cm="1">
        <f t="array" aca="1" ref="J15" ca="1">INDIRECT("'※ 재무_세부시트'!"&amp;J$1&amp;$AD15, TRUE)</f>
        <v>101.90001775</v>
      </c>
      <c r="K15" s="2549" cm="1">
        <f t="array" aca="1" ref="K15" ca="1">INDIRECT("'※ 재무_세부시트'!"&amp;K$1&amp;$AD15, TRUE)</f>
        <v>94.597901870000001</v>
      </c>
      <c r="L15" s="2549" cm="1">
        <f t="array" aca="1" ref="L15" ca="1">INDIRECT("'※ 재무_세부시트'!"&amp;L$1&amp;$AD15, TRUE)</f>
        <v>123.08660382000001</v>
      </c>
      <c r="M15" s="2549" cm="1">
        <f t="array" aca="1" ref="M15" ca="1">INDIRECT("'※ 재무_세부시트'!"&amp;M$1&amp;$AD15, TRUE)</f>
        <v>121.90912466</v>
      </c>
      <c r="N15" s="2549" cm="1">
        <f t="array" aca="1" ref="N15" ca="1">INDIRECT("'※ 재무_세부시트'!"&amp;N$1&amp;$AD15, TRUE)</f>
        <v>202.7067563</v>
      </c>
      <c r="O15" s="2549" cm="1">
        <f t="array" aca="1" ref="O15" ca="1">INDIRECT("'※ 재무_세부시트'!"&amp;O$1&amp;$AD15, TRUE)</f>
        <v>131.07890674999999</v>
      </c>
      <c r="P15" s="2549" cm="1">
        <f t="array" aca="1" ref="P15" ca="1">INDIRECT("'※ 재무_세부시트'!"&amp;P$1&amp;$AD15, TRUE)</f>
        <v>170.82371760999999</v>
      </c>
      <c r="Q15" s="2549" cm="1">
        <f t="array" aca="1" ref="Q15" ca="1">INDIRECT("'※ 재무_세부시트'!"&amp;Q$1&amp;$AD15, TRUE)</f>
        <v>115.48542496</v>
      </c>
      <c r="R15" s="2549" cm="1">
        <f t="array" aca="1" ref="R15" ca="1">INDIRECT("'※ 재무_세부시트'!"&amp;R$1&amp;$AD15, TRUE)</f>
        <v>131.92251568999998</v>
      </c>
      <c r="S15" s="2549" cm="1">
        <f t="array" aca="1" ref="S15" ca="1">INDIRECT("'※ 재무_세부시트'!"&amp;S$1&amp;$AD15, TRUE)</f>
        <v>161.46234918000002</v>
      </c>
      <c r="T15" s="2550" cm="1">
        <f t="array" aca="1" ref="T15" ca="1">INDIRECT("'※ 재무_세부시트'!"&amp;T$1&amp;$AD15, TRUE)</f>
        <v>0</v>
      </c>
      <c r="U15" s="2550" cm="1">
        <f t="array" aca="1" ref="U15" ca="1">INDIRECT("'※ 재무_세부시트'!"&amp;U$1&amp;$AD15, TRUE)</f>
        <v>161.46234918000002</v>
      </c>
      <c r="V15" s="2551" cm="1">
        <f t="array" aca="1" ref="V15" ca="1">INDIRECT("'※ 재무_세부시트'!"&amp;V$1&amp;$AD15, TRUE)</f>
        <v>0</v>
      </c>
      <c r="W15" s="2559" cm="1">
        <f t="array" aca="1" ref="W15" ca="1">INDIRECT("'※ 재무_세부시트'!"&amp;W$1&amp;$AD15, TRUE)</f>
        <v>29.539833490000035</v>
      </c>
      <c r="X15" s="2555" cm="1">
        <f t="array" aca="1" ref="X15" ca="1">INDIRECT("'※ 재무_세부시트'!"&amp;X$1&amp;$AD15, TRUE)</f>
        <v>54.834663090000021</v>
      </c>
      <c r="Y15" s="2555" cm="1">
        <f t="array" aca="1" ref="Y15" ca="1">INDIRECT("'※ 재무_세부시트'!"&amp;Y$1&amp;$AD15, TRUE)</f>
        <v>0</v>
      </c>
      <c r="Z15" s="2554" cm="1">
        <f t="array" aca="1" ref="Z15" ca="1">INDIRECT("'※ 재무_세부시트'!"&amp;Z$1&amp;$AD15, TRUE)</f>
        <v>1588.96489516</v>
      </c>
      <c r="AA15" s="2555" cm="1">
        <f t="array" aca="1" ref="AA15" ca="1">INDIRECT("'※ 재무_세부시트'!"&amp;AA$1&amp;$AD15, TRUE)</f>
        <v>1588.96489516</v>
      </c>
      <c r="AB15" s="2556" cm="1">
        <f t="array" aca="1" ref="AB15" ca="1">INDIRECT("'※ 재무_세부시트'!"&amp;AB$1&amp;$AD15, TRUE)</f>
        <v>0</v>
      </c>
      <c r="AC15" s="2560" cm="1">
        <f t="array" aca="1" ref="AC15" ca="1">INDIRECT("'※ 재무_세부시트'!"&amp;AC$1&amp;$AD15, TRUE)</f>
        <v>306.86015112999985</v>
      </c>
      <c r="AD15" s="2441">
        <v>14</v>
      </c>
      <c r="AE15" s="2577">
        <f>(3960.788967/100)-AE52</f>
        <v>39.607889669999999</v>
      </c>
      <c r="AF15" s="2577">
        <f>(12151.035847/100)-AF52</f>
        <v>121.51035846999999</v>
      </c>
      <c r="AG15" s="2577">
        <f>(7705.783112/100)-AG52</f>
        <v>77.057831120000003</v>
      </c>
      <c r="AH15" s="2577">
        <f>(10243.475541/100)-AH52</f>
        <v>102.43475540999999</v>
      </c>
      <c r="AI15" s="2577">
        <f>(10480.835253/100)-AI52</f>
        <v>104.80835252999999</v>
      </c>
      <c r="AJ15" s="2577">
        <f>(12702.525719/100)-AJ52</f>
        <v>127.02525718999999</v>
      </c>
      <c r="AK15" s="2577">
        <f>(9774.77105/100)-AK52</f>
        <v>97.747710499999997</v>
      </c>
      <c r="AL15" s="2577">
        <f>(17064.927391/100)-AL52</f>
        <v>170.64927391000001</v>
      </c>
      <c r="AM15" s="2577">
        <f>(10400.48971/100)-AM52</f>
        <v>104.00489709999999</v>
      </c>
      <c r="AN15" s="2577">
        <f>(14586.148137/100)-AN52</f>
        <v>145.86148137000001</v>
      </c>
      <c r="AO15" s="2577">
        <f>(8100.090309/100)-AO52</f>
        <v>81.000903090000008</v>
      </c>
      <c r="AP15" s="2577">
        <f>(10520.128683/100)-AP52</f>
        <v>105.20128683000002</v>
      </c>
      <c r="AQ15" s="2505">
        <f t="shared" si="11"/>
        <v>1276.9099971900002</v>
      </c>
      <c r="AR15" s="2488"/>
      <c r="AS15" s="2577">
        <f>(16674.6085308013/100)-AS52</f>
        <v>166.74608530801299</v>
      </c>
      <c r="AT15" s="2577">
        <f>(14254.6721993936/100)-AT52</f>
        <v>142.54672199393602</v>
      </c>
      <c r="AU15" s="2577">
        <f>(11468.5922982605/100)-AU52</f>
        <v>114.68592298260501</v>
      </c>
      <c r="AV15" s="2577">
        <f>(13397.4924400059/100)-AV52</f>
        <v>133.974924400059</v>
      </c>
      <c r="AW15" s="2577">
        <f>(12273.3751631938/100)-AW52</f>
        <v>122.73375163193799</v>
      </c>
      <c r="AX15" s="2577">
        <f>(13957.6200301388/100)-AX52</f>
        <v>139.57620030138798</v>
      </c>
      <c r="AY15" s="2577">
        <f>(16963.5861593154/100)-AY52</f>
        <v>169.635861593154</v>
      </c>
      <c r="AZ15" s="2577">
        <f>(11104.3223704168/100)-AZ52</f>
        <v>111.043223704168</v>
      </c>
      <c r="BA15" s="2577">
        <f>(13405.5657507891/100)-BA52</f>
        <v>134.055657507891</v>
      </c>
      <c r="BB15" s="2577">
        <f>(18571.7734130848/100)-BB52</f>
        <v>185.71773413084802</v>
      </c>
      <c r="BC15" s="2577">
        <f>(14815.6665454465/100)-BC52</f>
        <v>148.15666545446501</v>
      </c>
      <c r="BD15" s="2577">
        <f>(13336.0847840614/100)-BD52</f>
        <v>133.36084784061401</v>
      </c>
      <c r="BE15" s="2505">
        <f t="shared" si="2"/>
        <v>1702.233596849079</v>
      </c>
      <c r="BG15" s="2561" cm="1">
        <f t="array" aca="1" ref="BG15" ca="1">INDIRECT("'※ 재무_세부시트'!"&amp;BG$1&amp;$AD15, TRUE)</f>
        <v>39.607889669999999</v>
      </c>
      <c r="BH15" s="2561" cm="1">
        <f t="array" aca="1" ref="BH15" ca="1">INDIRECT("'※ 재무_세부시트'!"&amp;BH$1&amp;$AD15, TRUE)</f>
        <v>1276.9099971900002</v>
      </c>
      <c r="BI15" s="2561" cm="1">
        <f t="array" aca="1" ref="BI15" ca="1">INDIRECT("'※ 재무_세부시트'!"&amp;BI$1&amp;$AD15, TRUE)</f>
        <v>97.747710499999997</v>
      </c>
      <c r="BJ15" s="2561" cm="1">
        <f t="array" aca="1" ref="BJ15" ca="1">INDIRECT("'※ 재무_세부시트'!"&amp;BJ$1&amp;$AD15, TRUE)</f>
        <v>77.151312730000001</v>
      </c>
      <c r="BK15" s="2561" cm="1">
        <f t="array" aca="1" ref="BK15" ca="1">INDIRECT("'※ 재무_세부시트'!"&amp;BK$1&amp;$AD15, TRUE)</f>
        <v>104.00489709999999</v>
      </c>
      <c r="BL15" s="2490"/>
      <c r="BM15" s="2491"/>
      <c r="BN15" s="2472"/>
      <c r="BO15" s="2472"/>
      <c r="BP15" s="2472"/>
      <c r="BQ15" s="2472"/>
      <c r="BR15" s="2472"/>
      <c r="BS15" s="2472"/>
    </row>
    <row r="16" spans="1:71" ht="19.5" customHeight="1" x14ac:dyDescent="0.55000000000000004">
      <c r="A16" s="2492"/>
      <c r="B16" s="2427"/>
      <c r="C16" s="2578"/>
      <c r="D16" s="2576" t="s">
        <v>103</v>
      </c>
      <c r="E16" s="2575" t="s">
        <v>116</v>
      </c>
      <c r="F16" s="2547" cm="1">
        <f t="array" aca="1" ref="F16" ca="1">INDIRECT("'※ 재무_세부시트'!"&amp;F$1&amp;$AD16, TRUE)</f>
        <v>10.535542200000002</v>
      </c>
      <c r="G16" s="2547" cm="1">
        <f t="array" aca="1" ref="G16" ca="1">INDIRECT("'※ 재무_세부시트'!"&amp;G$1&amp;$AD16, TRUE)</f>
        <v>97.020432130000003</v>
      </c>
      <c r="H16" s="2548" cm="1">
        <f t="array" aca="1" ref="H16" ca="1">INDIRECT("'※ 재무_세부시트'!"&amp;H$1&amp;$AD16, TRUE)</f>
        <v>5.6558239100000005</v>
      </c>
      <c r="I16" s="2549" cm="1">
        <f t="array" aca="1" ref="I16" ca="1">INDIRECT("'※ 재무_세부시트'!"&amp;I$1&amp;$AD16, TRUE)</f>
        <v>22.761839409999997</v>
      </c>
      <c r="J16" s="2549" cm="1">
        <f t="array" aca="1" ref="J16" ca="1">INDIRECT("'※ 재무_세부시트'!"&amp;J$1&amp;$AD16, TRUE)</f>
        <v>8.3621767699999996</v>
      </c>
      <c r="K16" s="2549" cm="1">
        <f t="array" aca="1" ref="K16" ca="1">INDIRECT("'※ 재무_세부시트'!"&amp;K$1&amp;$AD16, TRUE)</f>
        <v>9.4018754300000005</v>
      </c>
      <c r="L16" s="2549" cm="1">
        <f t="array" aca="1" ref="L16" ca="1">INDIRECT("'※ 재무_세부시트'!"&amp;L$1&amp;$AD16, TRUE)</f>
        <v>18.188464889999999</v>
      </c>
      <c r="M16" s="2549" cm="1">
        <f t="array" aca="1" ref="M16" ca="1">INDIRECT("'※ 재무_세부시트'!"&amp;M$1&amp;$AD16, TRUE)</f>
        <v>-0.19308901999999861</v>
      </c>
      <c r="N16" s="2549" cm="1">
        <f t="array" aca="1" ref="N16" ca="1">INDIRECT("'※ 재무_세부시트'!"&amp;N$1&amp;$AD16, TRUE)</f>
        <v>19.37086257</v>
      </c>
      <c r="O16" s="2549" cm="1">
        <f t="array" aca="1" ref="O16" ca="1">INDIRECT("'※ 재무_세부시트'!"&amp;O$1&amp;$AD16, TRUE)</f>
        <v>3.9176511000000001</v>
      </c>
      <c r="P16" s="2549" cm="1">
        <f t="array" aca="1" ref="P16" ca="1">INDIRECT("'※ 재무_세부시트'!"&amp;P$1&amp;$AD16, TRUE)</f>
        <v>15.108351150000001</v>
      </c>
      <c r="Q16" s="2549" cm="1">
        <f t="array" aca="1" ref="Q16" ca="1">INDIRECT("'※ 재무_세부시트'!"&amp;Q$1&amp;$AD16, TRUE)</f>
        <v>3.9154513599999987</v>
      </c>
      <c r="R16" s="2549" cm="1">
        <f t="array" aca="1" ref="R16" ca="1">INDIRECT("'※ 재무_세부시트'!"&amp;R$1&amp;$AD16, TRUE)</f>
        <v>11.3085556</v>
      </c>
      <c r="S16" s="2549" cm="1">
        <f t="array" aca="1" ref="S16" ca="1">INDIRECT("'※ 재무_세부시트'!"&amp;S$1&amp;$AD16, TRUE)</f>
        <v>22.26924833</v>
      </c>
      <c r="T16" s="2550" cm="1">
        <f t="array" aca="1" ref="T16" ca="1">INDIRECT("'※ 재무_세부시트'!"&amp;T$1&amp;$AD16, TRUE)</f>
        <v>0</v>
      </c>
      <c r="U16" s="2550" cm="1">
        <f t="array" aca="1" ref="U16" ca="1">INDIRECT("'※ 재무_세부시트'!"&amp;U$1&amp;$AD16, TRUE)</f>
        <v>22.26924833</v>
      </c>
      <c r="V16" s="2551" cm="1">
        <f t="array" aca="1" ref="V16" ca="1">INDIRECT("'※ 재무_세부시트'!"&amp;V$1&amp;$AD16, TRUE)</f>
        <v>0</v>
      </c>
      <c r="W16" s="2559" cm="1">
        <f t="array" aca="1" ref="W16" ca="1">INDIRECT("'※ 재무_세부시트'!"&amp;W$1&amp;$AD16, TRUE)</f>
        <v>10.96069273</v>
      </c>
      <c r="X16" s="2579" cm="1">
        <f t="array" aca="1" ref="X16" ca="1">INDIRECT("'※ 재무_세부시트'!"&amp;X$1&amp;$AD16, TRUE)</f>
        <v>15.84728855</v>
      </c>
      <c r="Y16" s="2579" cm="1">
        <f t="array" aca="1" ref="Y16" ca="1">INDIRECT("'※ 재무_세부시트'!"&amp;Y$1&amp;$AD16, TRUE)</f>
        <v>0</v>
      </c>
      <c r="Z16" s="2554" cm="1">
        <f t="array" aca="1" ref="Z16" ca="1">INDIRECT("'※ 재무_세부시트'!"&amp;Z$1&amp;$AD16, TRUE)</f>
        <v>140.06721150000001</v>
      </c>
      <c r="AA16" s="2555" cm="1">
        <f t="array" aca="1" ref="AA16" ca="1">INDIRECT("'※ 재무_세부시트'!"&amp;AA$1&amp;$AD16, TRUE)</f>
        <v>140.06721150000001</v>
      </c>
      <c r="AB16" s="2556" cm="1">
        <f t="array" aca="1" ref="AB16" ca="1">INDIRECT("'※ 재무_세부시트'!"&amp;AB$1&amp;$AD16, TRUE)</f>
        <v>0</v>
      </c>
      <c r="AC16" s="2580" cm="1">
        <f t="array" aca="1" ref="AC16" ca="1">INDIRECT("'※ 재무_세부시트'!"&amp;AC$1&amp;$AD16, TRUE)</f>
        <v>43.04677937000001</v>
      </c>
      <c r="AD16" s="2441">
        <v>15</v>
      </c>
      <c r="AE16" s="2504">
        <v>0.32186281999999999</v>
      </c>
      <c r="AF16" s="2504">
        <v>4.6769717899999996</v>
      </c>
      <c r="AG16" s="2504">
        <v>1.4294522799999998</v>
      </c>
      <c r="AH16" s="2504">
        <v>4.1119909200000002</v>
      </c>
      <c r="AI16" s="2504">
        <v>2.6394275499999997</v>
      </c>
      <c r="AJ16" s="2504">
        <v>-5.4491669999999999E-2</v>
      </c>
      <c r="AK16" s="2504">
        <v>-3.0271059299999981</v>
      </c>
      <c r="AL16" s="2504">
        <v>5.9480625599999994</v>
      </c>
      <c r="AM16" s="2504">
        <v>-4.9910421600000001</v>
      </c>
      <c r="AN16" s="2504">
        <v>0.14376036</v>
      </c>
      <c r="AO16" s="2504">
        <v>-0.51294951</v>
      </c>
      <c r="AP16" s="2504">
        <v>-0.15039680999999999</v>
      </c>
      <c r="AQ16" s="2505">
        <f t="shared" si="11"/>
        <v>10.535542200000002</v>
      </c>
      <c r="AR16" s="2488"/>
      <c r="AS16" s="2504">
        <v>1.7</v>
      </c>
      <c r="AT16" s="2504">
        <v>1.7</v>
      </c>
      <c r="AU16" s="2504">
        <v>1.7</v>
      </c>
      <c r="AV16" s="2504">
        <v>1.7</v>
      </c>
      <c r="AW16" s="2504">
        <v>1.7</v>
      </c>
      <c r="AX16" s="2504">
        <v>1.7</v>
      </c>
      <c r="AY16" s="2504">
        <v>1.7</v>
      </c>
      <c r="AZ16" s="2504">
        <v>1.7</v>
      </c>
      <c r="BA16" s="2504">
        <v>1.7</v>
      </c>
      <c r="BB16" s="2504">
        <v>1.7</v>
      </c>
      <c r="BC16" s="2504">
        <v>1.7</v>
      </c>
      <c r="BD16" s="2504">
        <v>1.7</v>
      </c>
      <c r="BE16" s="2505">
        <f t="shared" si="2"/>
        <v>20.399999999999995</v>
      </c>
      <c r="BG16" s="2581" cm="1">
        <f t="array" aca="1" ref="BG16" ca="1">INDIRECT("'※ 재무_세부시트'!"&amp;BG$1&amp;$AD16, TRUE)</f>
        <v>0.32186281999999999</v>
      </c>
      <c r="BH16" s="2581" cm="1">
        <f t="array" aca="1" ref="BH16" ca="1">INDIRECT("'※ 재무_세부시트'!"&amp;BH$1&amp;$AD16, TRUE)</f>
        <v>10.535542200000002</v>
      </c>
      <c r="BI16" s="2581" cm="1">
        <f t="array" aca="1" ref="BI16" ca="1">INDIRECT("'※ 재무_세부시트'!"&amp;BI$1&amp;$AD16, TRUE)</f>
        <v>-3.0271059299999981</v>
      </c>
      <c r="BJ16" s="2581" cm="1">
        <f t="array" aca="1" ref="BJ16" ca="1">INDIRECT("'※ 재무_세부시트'!"&amp;BJ$1&amp;$AD16, TRUE)</f>
        <v>13.079573379999999</v>
      </c>
      <c r="BK16" s="2581" cm="1">
        <f t="array" aca="1" ref="BK16" ca="1">INDIRECT("'※ 재무_세부시트'!"&amp;BK$1&amp;$AD16, TRUE)</f>
        <v>-4.9910421600000001</v>
      </c>
      <c r="BL16" s="2490"/>
      <c r="BM16" s="2491"/>
      <c r="BN16" s="2472"/>
      <c r="BO16" s="2472"/>
      <c r="BP16" s="2472"/>
      <c r="BQ16" s="2472"/>
      <c r="BR16" s="2472"/>
      <c r="BS16" s="2472"/>
    </row>
    <row r="17" spans="1:71" ht="19.5" customHeight="1" x14ac:dyDescent="0.55000000000000004">
      <c r="A17" s="2492"/>
      <c r="B17" s="2427"/>
      <c r="C17" s="2582" t="s">
        <v>763</v>
      </c>
      <c r="D17" s="2583" t="s">
        <v>19</v>
      </c>
      <c r="E17" s="2584"/>
      <c r="F17" s="2585" cm="1">
        <f t="array" aca="1" ref="F17" ca="1">INDIRECT("'※ 재무_세부시트'!"&amp;F$1&amp;$AD17, TRUE)</f>
        <v>983.66137408636359</v>
      </c>
      <c r="G17" s="2585" cm="1">
        <f t="array" aca="1" ref="G17" ca="1">INDIRECT("'※ 재무_세부시트'!"&amp;G$1&amp;$AD17, TRUE)</f>
        <v>1062.1937112071842</v>
      </c>
      <c r="H17" s="2586" cm="1">
        <f t="array" aca="1" ref="H17" ca="1">INDIRECT("'※ 재무_세부시트'!"&amp;H$1&amp;$AD17, TRUE)</f>
        <v>49.550632411397068</v>
      </c>
      <c r="I17" s="2587" cm="1">
        <f t="array" aca="1" ref="I17" ca="1">INDIRECT("'※ 재무_세부시트'!"&amp;I$1&amp;$AD17, TRUE)</f>
        <v>135.13312066999998</v>
      </c>
      <c r="J17" s="2587" cm="1">
        <f t="array" aca="1" ref="J17" ca="1">INDIRECT("'※ 재무_세부시트'!"&amp;J$1&amp;$AD17, TRUE)</f>
        <v>97.077539061742797</v>
      </c>
      <c r="K17" s="2587" cm="1">
        <f t="array" aca="1" ref="K17" ca="1">INDIRECT("'※ 재무_세부시트'!"&amp;K$1&amp;$AD17, TRUE)</f>
        <v>93.319227909999995</v>
      </c>
      <c r="L17" s="2587" cm="1">
        <f t="array" aca="1" ref="L17" ca="1">INDIRECT("'※ 재무_세부시트'!"&amp;L$1&amp;$AD17, TRUE)</f>
        <v>120.71903759999999</v>
      </c>
      <c r="M17" s="2587" cm="1">
        <f t="array" aca="1" ref="M17" ca="1">INDIRECT("'※ 재무_세부시트'!"&amp;M$1&amp;$AD17, TRUE)</f>
        <v>87.744516999999988</v>
      </c>
      <c r="N17" s="2587" cm="1">
        <f t="array" aca="1" ref="N17" ca="1">INDIRECT("'※ 재무_세부시트'!"&amp;N$1&amp;$AD17, TRUE)</f>
        <v>170.43939724999998</v>
      </c>
      <c r="O17" s="2587" cm="1">
        <f t="array" aca="1" ref="O17" ca="1">INDIRECT("'※ 재무_세부시트'!"&amp;O$1&amp;$AD17, TRUE)</f>
        <v>100.73823685000001</v>
      </c>
      <c r="P17" s="2587" cm="1">
        <f t="array" aca="1" ref="P17" ca="1">INDIRECT("'※ 재무_세부시트'!"&amp;P$1&amp;$AD17, TRUE)</f>
        <v>110.14978865</v>
      </c>
      <c r="Q17" s="2587" cm="1">
        <f t="array" aca="1" ref="Q17" ca="1">INDIRECT("'※ 재무_세부시트'!"&amp;Q$1&amp;$AD17, TRUE)</f>
        <v>79.77300421999999</v>
      </c>
      <c r="R17" s="2587" cm="1">
        <f t="array" aca="1" ref="R17" ca="1">INDIRECT("'※ 재무_세부시트'!"&amp;R$1&amp;$AD17, TRUE)</f>
        <v>66.225831493298131</v>
      </c>
      <c r="S17" s="2587" cm="1">
        <f t="array" aca="1" ref="S17" ca="1">INDIRECT("'※ 재무_세부시트'!"&amp;S$1&amp;$AD17, TRUE)</f>
        <v>63.352057251273543</v>
      </c>
      <c r="T17" s="2588"/>
      <c r="U17" s="2588"/>
      <c r="V17" s="2589"/>
      <c r="W17" s="2590" cm="1">
        <f t="array" aca="1" ref="W17" ca="1">INDIRECT("'※ 재무_세부시트'!"&amp;W$1&amp;$AD17, TRUE)</f>
        <v>-2.873774242024588</v>
      </c>
      <c r="X17" s="2591" cm="1">
        <f t="array" aca="1" ref="X17" ca="1">INDIRECT("'※ 재무_세부시트'!"&amp;X$1&amp;$AD17, TRUE)</f>
        <v>-1.3613092450329489</v>
      </c>
      <c r="Y17" s="2591" cm="1">
        <f t="array" aca="1" ref="Y17" ca="1">INDIRECT("'※ 재무_세부시트'!"&amp;Y$1&amp;$AD17, TRUE)</f>
        <v>0</v>
      </c>
      <c r="Z17" s="2592" cm="1">
        <f t="array" aca="1" ref="Z17" ca="1">INDIRECT("'※ 재무_세부시트'!"&amp;Z$1&amp;$AD17, TRUE)</f>
        <v>1174.2223903677113</v>
      </c>
      <c r="AA17" s="2593"/>
      <c r="AB17" s="2594"/>
      <c r="AC17" s="2595" cm="1">
        <f t="array" aca="1" ref="AC17" ca="1">INDIRECT("'※ 재무_세부시트'!"&amp;AC$1&amp;$AD17, TRUE)</f>
        <v>112.02867916052719</v>
      </c>
      <c r="AD17" s="2441">
        <v>16</v>
      </c>
      <c r="AE17" s="2596">
        <f>AE93</f>
        <v>65.196454645454537</v>
      </c>
      <c r="AF17" s="2596">
        <f t="shared" ref="AF17:AP17" si="15">AF93</f>
        <v>101.14363206363635</v>
      </c>
      <c r="AG17" s="2596">
        <f t="shared" si="15"/>
        <v>83.760335400000002</v>
      </c>
      <c r="AH17" s="2596">
        <f t="shared" si="15"/>
        <v>86.435154800000007</v>
      </c>
      <c r="AI17" s="2596">
        <f t="shared" si="15"/>
        <v>88.062806490909097</v>
      </c>
      <c r="AJ17" s="2596">
        <f t="shared" si="15"/>
        <v>86.666751163636363</v>
      </c>
      <c r="AK17" s="2596">
        <f t="shared" si="15"/>
        <v>68.686928145454544</v>
      </c>
      <c r="AL17" s="2596">
        <f t="shared" si="15"/>
        <v>136.58719861818179</v>
      </c>
      <c r="AM17" s="2596">
        <f t="shared" si="15"/>
        <v>53.766597872727267</v>
      </c>
      <c r="AN17" s="2596">
        <f t="shared" si="15"/>
        <v>99.132962363636366</v>
      </c>
      <c r="AO17" s="2596">
        <f t="shared" si="15"/>
        <v>63.846133331818173</v>
      </c>
      <c r="AP17" s="2596">
        <f t="shared" si="15"/>
        <v>50.37641919090909</v>
      </c>
      <c r="AQ17" s="2597">
        <f t="shared" si="11"/>
        <v>983.66137408636359</v>
      </c>
      <c r="AR17" s="2598"/>
      <c r="AS17" s="2596"/>
      <c r="AT17" s="2596"/>
      <c r="AU17" s="2596"/>
      <c r="AV17" s="2596"/>
      <c r="AW17" s="2596"/>
      <c r="AX17" s="2596"/>
      <c r="AY17" s="2596"/>
      <c r="AZ17" s="2596"/>
      <c r="BA17" s="2596"/>
      <c r="BB17" s="2596"/>
      <c r="BC17" s="2596"/>
      <c r="BD17" s="2596"/>
      <c r="BE17" s="2597"/>
      <c r="BG17" s="2561" cm="1">
        <f t="array" aca="1" ref="BG17" ca="1">INDIRECT("'※ 재무_세부시트'!"&amp;BG$1&amp;$AD17, TRUE)</f>
        <v>65.196454645454537</v>
      </c>
      <c r="BH17" s="2561" cm="1">
        <f t="array" aca="1" ref="BH17" ca="1">INDIRECT("'※ 재무_세부시트'!"&amp;BH$1&amp;$AD17, TRUE)</f>
        <v>983.66137408636359</v>
      </c>
      <c r="BI17" s="2561" cm="1">
        <f t="array" aca="1" ref="BI17" ca="1">INDIRECT("'※ 재무_세부시트'!"&amp;BI$1&amp;$AD17, TRUE)</f>
        <v>68.686928145454544</v>
      </c>
      <c r="BJ17" s="2561" cm="1">
        <f t="array" aca="1" ref="BJ17" ca="1">INDIRECT("'※ 재무_세부시트'!"&amp;BJ$1&amp;$AD17, TRUE)</f>
        <v>74.807018300410789</v>
      </c>
      <c r="BK17" s="2561" cm="1">
        <f t="array" aca="1" ref="BK17" ca="1">INDIRECT("'※ 재무_세부시트'!"&amp;BK$1&amp;$AD17, TRUE)</f>
        <v>53.766597872727267</v>
      </c>
      <c r="BL17" s="2490"/>
      <c r="BM17" s="2491"/>
      <c r="BN17" s="2472"/>
      <c r="BO17" s="2472"/>
      <c r="BP17" s="2472"/>
      <c r="BQ17" s="2472"/>
      <c r="BR17" s="2472"/>
      <c r="BS17" s="2472"/>
    </row>
    <row r="18" spans="1:71" ht="19.5" customHeight="1" x14ac:dyDescent="0.55000000000000004">
      <c r="A18" s="2492"/>
      <c r="B18" s="2427"/>
      <c r="C18" s="2599"/>
      <c r="D18" s="2576" t="s">
        <v>20</v>
      </c>
      <c r="E18" s="2427"/>
      <c r="F18" s="2547" cm="1">
        <f t="array" aca="1" ref="F18" ca="1">INDIRECT("'※ 재무_세부시트'!"&amp;F$1&amp;$AD18, TRUE)</f>
        <v>1016.221495074356</v>
      </c>
      <c r="G18" s="2547" cm="1">
        <f t="array" aca="1" ref="G18" ca="1">INDIRECT("'※ 재무_세부시트'!"&amp;G$1&amp;$AD18, TRUE)</f>
        <v>475.92213515295583</v>
      </c>
      <c r="H18" s="2548" cm="1">
        <f t="array" aca="1" ref="H18" ca="1">INDIRECT("'※ 재무_세부시트'!"&amp;H$1&amp;$AD18, TRUE)</f>
        <v>1.8922512386029322</v>
      </c>
      <c r="I18" s="2549" cm="1">
        <f t="array" aca="1" ref="I18" ca="1">INDIRECT("'※ 재무_세부시트'!"&amp;I$1&amp;$AD18, TRUE)</f>
        <v>2.4818941900000002</v>
      </c>
      <c r="J18" s="2549" cm="1">
        <f t="array" aca="1" ref="J18" ca="1">INDIRECT("'※ 재무_세부시트'!"&amp;J$1&amp;$AD18, TRUE)</f>
        <v>0.70588277825719248</v>
      </c>
      <c r="K18" s="2549" cm="1">
        <f t="array" aca="1" ref="K18" ca="1">INDIRECT("'※ 재무_세부시트'!"&amp;K$1&amp;$AD18, TRUE)</f>
        <v>3.8676703799999999</v>
      </c>
      <c r="L18" s="2549" cm="1">
        <f t="array" aca="1" ref="L18" ca="1">INDIRECT("'※ 재무_세부시트'!"&amp;L$1&amp;$AD18, TRUE)</f>
        <v>0.20809046</v>
      </c>
      <c r="M18" s="2549" cm="1">
        <f t="array" aca="1" ref="M18" ca="1">INDIRECT("'※ 재무_세부시트'!"&amp;M$1&amp;$AD18, TRUE)</f>
        <v>0.95145148999999996</v>
      </c>
      <c r="N18" s="2549" cm="1">
        <f t="array" aca="1" ref="N18" ca="1">INDIRECT("'※ 재무_세부시트'!"&amp;N$1&amp;$AD18, TRUE)</f>
        <v>1.1885326399999998</v>
      </c>
      <c r="O18" s="2549" cm="1">
        <f t="array" aca="1" ref="O18" ca="1">INDIRECT("'※ 재무_세부시트'!"&amp;O$1&amp;$AD18, TRUE)</f>
        <v>0.66414165999999997</v>
      </c>
      <c r="P18" s="2549" cm="1">
        <f t="array" aca="1" ref="P18" ca="1">INDIRECT("'※ 재무_세부시트'!"&amp;P$1&amp;$AD18, TRUE)</f>
        <v>2.6811764299999998</v>
      </c>
      <c r="Q18" s="2549" cm="1">
        <f t="array" aca="1" ref="Q18" ca="1">INDIRECT("'※ 재무_세부시트'!"&amp;Q$1&amp;$AD18, TRUE)</f>
        <v>-1.43874788</v>
      </c>
      <c r="R18" s="2549" cm="1">
        <f t="array" aca="1" ref="R18" ca="1">INDIRECT("'※ 재무_세부시트'!"&amp;R$1&amp;$AD18, TRUE)</f>
        <v>0.55627282670187073</v>
      </c>
      <c r="S18" s="2549" cm="1">
        <f t="array" aca="1" ref="S18" ca="1">INDIRECT("'※ 재무_세부시트'!"&amp;S$1&amp;$AD18, TRUE)</f>
        <v>0.80422347872646049</v>
      </c>
      <c r="T18" s="2600"/>
      <c r="U18" s="2600"/>
      <c r="V18" s="2601"/>
      <c r="W18" s="2559" cm="1">
        <f t="array" aca="1" ref="W18" ca="1">INDIRECT("'※ 재무_세부시트'!"&amp;W$1&amp;$AD18, TRUE)</f>
        <v>0.24795065202458977</v>
      </c>
      <c r="X18" s="2555" cm="1">
        <f t="array" aca="1" ref="X18" ca="1">INDIRECT("'※ 재무_세부시트'!"&amp;X$1&amp;$AD18, TRUE)</f>
        <v>-6.4082353649670329</v>
      </c>
      <c r="Y18" s="2555" cm="1">
        <f t="array" aca="1" ref="Y18" ca="1">INDIRECT("'※ 재무_세부시트'!"&amp;Y$1&amp;$AD18, TRUE)</f>
        <v>0</v>
      </c>
      <c r="Z18" s="2554" cm="1">
        <f t="array" aca="1" ref="Z18" ca="1">INDIRECT("'※ 재무_세부시트'!"&amp;Z$1&amp;$AD18, TRUE)</f>
        <v>14.562839692288454</v>
      </c>
      <c r="AA18" s="2602"/>
      <c r="AB18" s="2603"/>
      <c r="AC18" s="2560" cm="1">
        <f t="array" aca="1" ref="AC18" ca="1">INDIRECT("'※ 재무_세부시트'!"&amp;AC$1&amp;$AD18, TRUE)</f>
        <v>-461.3592954606674</v>
      </c>
      <c r="AD18" s="2441">
        <v>17</v>
      </c>
      <c r="AE18" s="2504">
        <f>AE114</f>
        <v>79.726587539999997</v>
      </c>
      <c r="AF18" s="2504">
        <f t="shared" ref="AF18:AP18" si="16">AF114</f>
        <v>101.15128841000002</v>
      </c>
      <c r="AG18" s="2504">
        <f t="shared" si="16"/>
        <v>75.106436419999994</v>
      </c>
      <c r="AH18" s="2504">
        <f t="shared" si="16"/>
        <v>81.7203667</v>
      </c>
      <c r="AI18" s="2504">
        <f t="shared" si="16"/>
        <v>74.699835210000003</v>
      </c>
      <c r="AJ18" s="2504">
        <f t="shared" si="16"/>
        <v>71.695196330000002</v>
      </c>
      <c r="AK18" s="2504">
        <f t="shared" si="16"/>
        <v>88.783247250000002</v>
      </c>
      <c r="AL18" s="2504">
        <f t="shared" si="16"/>
        <v>121.17300809</v>
      </c>
      <c r="AM18" s="2504">
        <f t="shared" si="16"/>
        <v>87.086653681077493</v>
      </c>
      <c r="AN18" s="2504">
        <f t="shared" si="16"/>
        <v>95.300378201577402</v>
      </c>
      <c r="AO18" s="2504">
        <f t="shared" si="16"/>
        <v>75.288409722199802</v>
      </c>
      <c r="AP18" s="2504">
        <f t="shared" si="16"/>
        <v>64.490087519501401</v>
      </c>
      <c r="AQ18" s="2505">
        <f t="shared" si="11"/>
        <v>1016.221495074356</v>
      </c>
      <c r="AR18" s="2488"/>
      <c r="AS18" s="2504"/>
      <c r="AT18" s="2504"/>
      <c r="AU18" s="2504"/>
      <c r="AV18" s="2504"/>
      <c r="AW18" s="2504"/>
      <c r="AX18" s="2504"/>
      <c r="AY18" s="2504"/>
      <c r="AZ18" s="2504"/>
      <c r="BA18" s="2504"/>
      <c r="BB18" s="2504"/>
      <c r="BC18" s="2504"/>
      <c r="BD18" s="2504"/>
      <c r="BE18" s="2505"/>
      <c r="BG18" s="2561" cm="1">
        <f t="array" aca="1" ref="BG18" ca="1">INDIRECT("'※ 재무_세부시트'!"&amp;BG$1&amp;$AD18, TRUE)</f>
        <v>79.726587539999997</v>
      </c>
      <c r="BH18" s="2561" cm="1">
        <f t="array" aca="1" ref="BH18" ca="1">INDIRECT("'※ 재무_세부시트'!"&amp;BH$1&amp;$AD18, TRUE)</f>
        <v>1016.221495074356</v>
      </c>
      <c r="BI18" s="2561" cm="1">
        <f t="array" aca="1" ref="BI18" ca="1">INDIRECT("'※ 재무_세부시트'!"&amp;BI$1&amp;$AD18, TRUE)</f>
        <v>88.783247250000002</v>
      </c>
      <c r="BJ18" s="2561" cm="1">
        <f t="array" aca="1" ref="BJ18" ca="1">INDIRECT("'※ 재무_세부시트'!"&amp;BJ$1&amp;$AD18, TRUE)</f>
        <v>47.880170992705509</v>
      </c>
      <c r="BK18" s="2561" cm="1">
        <f t="array" aca="1" ref="BK18" ca="1">INDIRECT("'※ 재무_세부시트'!"&amp;BK$1&amp;$AD18, TRUE)</f>
        <v>87.086653681077493</v>
      </c>
      <c r="BL18" s="2490"/>
      <c r="BM18" s="2491"/>
      <c r="BN18" s="2472"/>
      <c r="BO18" s="2472"/>
      <c r="BP18" s="2472"/>
      <c r="BQ18" s="2472"/>
      <c r="BR18" s="2472"/>
      <c r="BS18" s="2472"/>
    </row>
    <row r="19" spans="1:71" ht="19.5" customHeight="1" x14ac:dyDescent="0.55000000000000004">
      <c r="A19" s="2492"/>
      <c r="B19" s="2427"/>
      <c r="C19" s="2599"/>
      <c r="D19" s="2576" t="s">
        <v>954</v>
      </c>
      <c r="E19" s="2427"/>
      <c r="F19" s="2547" cm="1">
        <f t="array" aca="1" ref="F19" ca="1">INDIRECT("'※ 재무_세부시트'!"&amp;F$1&amp;$AD19, TRUE)</f>
        <v>133.80859477999999</v>
      </c>
      <c r="G19" s="2547" cm="1">
        <f t="array" aca="1" ref="G19" ca="1">INDIRECT("'※ 재무_세부시트'!"&amp;G$1&amp;$AD19, TRUE)</f>
        <v>188.32789410999999</v>
      </c>
      <c r="H19" s="2548" cm="1">
        <f t="array" aca="1" ref="H19" ca="1">INDIRECT("'※ 재무_세부시트'!"&amp;H$1&amp;$AD19, TRUE)</f>
        <v>24.539149869999999</v>
      </c>
      <c r="I19" s="2549" cm="1">
        <f t="array" aca="1" ref="I19" ca="1">INDIRECT("'※ 재무_세부시트'!"&amp;I$1&amp;$AD19, TRUE)</f>
        <v>24.976993330000003</v>
      </c>
      <c r="J19" s="2549" cm="1">
        <f t="array" aca="1" ref="J19" ca="1">INDIRECT("'※ 재무_세부시트'!"&amp;J$1&amp;$AD19, TRUE)</f>
        <v>8.5582727800000029</v>
      </c>
      <c r="K19" s="2549" cm="1">
        <f t="array" aca="1" ref="K19" ca="1">INDIRECT("'※ 재무_세부시트'!"&amp;K$1&amp;$AD19, TRUE)</f>
        <v>10.23685229</v>
      </c>
      <c r="L19" s="2549" cm="1">
        <f t="array" aca="1" ref="L19" ca="1">INDIRECT("'※ 재무_세부시트'!"&amp;L$1&amp;$AD19, TRUE)</f>
        <v>13.66836558</v>
      </c>
      <c r="M19" s="2549" cm="1">
        <f t="array" aca="1" ref="M19" ca="1">INDIRECT("'※ 재무_세부시트'!"&amp;M$1&amp;$AD19, TRUE)</f>
        <v>22.24111684</v>
      </c>
      <c r="N19" s="2549" cm="1">
        <f t="array" aca="1" ref="N19" ca="1">INDIRECT("'※ 재무_세부시트'!"&amp;N$1&amp;$AD19, TRUE)</f>
        <v>45.687561489999993</v>
      </c>
      <c r="O19" s="2549" cm="1">
        <f t="array" aca="1" ref="O19" ca="1">INDIRECT("'※ 재무_세부시트'!"&amp;O$1&amp;$AD19, TRUE)</f>
        <v>35.560174449999998</v>
      </c>
      <c r="P19" s="2549" cm="1">
        <f t="array" aca="1" ref="P19" ca="1">INDIRECT("'※ 재무_세부시트'!"&amp;P$1&amp;$AD19, TRUE)</f>
        <v>53.929139360000001</v>
      </c>
      <c r="Q19" s="2549" cm="1">
        <f t="array" aca="1" ref="Q19" ca="1">INDIRECT("'※ 재무_세부시트'!"&amp;Q$1&amp;$AD19, TRUE)</f>
        <v>45.383741640000004</v>
      </c>
      <c r="R19" s="2549" cm="1">
        <f t="array" aca="1" ref="R19" ca="1">INDIRECT("'※ 재무_세부시트'!"&amp;R$1&amp;$AD19, TRUE)</f>
        <v>37.088442920000006</v>
      </c>
      <c r="S19" s="2549" cm="1">
        <f t="array" aca="1" ref="S19" ca="1">INDIRECT("'※ 재무_세부시트'!"&amp;S$1&amp;$AD19, TRUE)</f>
        <v>42.187588810000001</v>
      </c>
      <c r="T19" s="2600"/>
      <c r="U19" s="2600"/>
      <c r="V19" s="2601"/>
      <c r="W19" s="2559" cm="1">
        <f t="array" aca="1" ref="W19" ca="1">INDIRECT("'※ 재무_세부시트'!"&amp;W$1&amp;$AD19, TRUE)</f>
        <v>5.0991458899999955</v>
      </c>
      <c r="X19" s="2555" cm="1">
        <f t="array" aca="1" ref="X19" ca="1">INDIRECT("'※ 재무_세부시트'!"&amp;X$1&amp;$AD19, TRUE)</f>
        <v>30.260297870000002</v>
      </c>
      <c r="Y19" s="2555" cm="1">
        <f t="array" aca="1" ref="Y19" ca="1">INDIRECT("'※ 재무_세부시트'!"&amp;Y$1&amp;$AD19, TRUE)</f>
        <v>0</v>
      </c>
      <c r="Z19" s="2554" cm="1">
        <f t="array" aca="1" ref="Z19" ca="1">INDIRECT("'※ 재무_세부시트'!"&amp;Z$1&amp;$AD19, TRUE)</f>
        <v>364.05739936000003</v>
      </c>
      <c r="AA19" s="2602"/>
      <c r="AB19" s="2603"/>
      <c r="AC19" s="2560" cm="1">
        <f t="array" aca="1" ref="AC19" ca="1">INDIRECT("'※ 재무_세부시트'!"&amp;AC$1&amp;$AD19, TRUE)</f>
        <v>175.72950525000005</v>
      </c>
      <c r="AD19" s="2441">
        <v>18</v>
      </c>
      <c r="AE19" s="2504">
        <f>AE136</f>
        <v>2.2492078100000001</v>
      </c>
      <c r="AF19" s="2504">
        <f t="shared" ref="AF19:AP19" si="17">AF136</f>
        <v>15.326399090000001</v>
      </c>
      <c r="AG19" s="2504">
        <f t="shared" si="17"/>
        <v>9.97892285</v>
      </c>
      <c r="AH19" s="2504">
        <f t="shared" si="17"/>
        <v>8.0602548600000006</v>
      </c>
      <c r="AI19" s="2504">
        <f t="shared" si="17"/>
        <v>10.574178959999999</v>
      </c>
      <c r="AJ19" s="2504">
        <f t="shared" si="17"/>
        <v>11.279598180000001</v>
      </c>
      <c r="AK19" s="2504">
        <f t="shared" si="17"/>
        <v>9.4175660299999997</v>
      </c>
      <c r="AL19" s="2504">
        <f t="shared" si="17"/>
        <v>22.97286021</v>
      </c>
      <c r="AM19" s="2504">
        <f t="shared" si="17"/>
        <v>2.5173947499999998</v>
      </c>
      <c r="AN19" s="2504">
        <f t="shared" si="17"/>
        <v>20.538734359999999</v>
      </c>
      <c r="AO19" s="2504">
        <f t="shared" si="17"/>
        <v>10.85683671</v>
      </c>
      <c r="AP19" s="2504">
        <f t="shared" si="17"/>
        <v>10.036640970000001</v>
      </c>
      <c r="AQ19" s="2505">
        <f t="shared" si="11"/>
        <v>133.80859477999999</v>
      </c>
      <c r="AR19" s="2488"/>
      <c r="AS19" s="2504"/>
      <c r="AT19" s="2504"/>
      <c r="AU19" s="2504"/>
      <c r="AV19" s="2504"/>
      <c r="AW19" s="2504"/>
      <c r="AX19" s="2504"/>
      <c r="AY19" s="2504"/>
      <c r="AZ19" s="2504"/>
      <c r="BA19" s="2504"/>
      <c r="BB19" s="2504"/>
      <c r="BC19" s="2504"/>
      <c r="BD19" s="2504"/>
      <c r="BE19" s="2505"/>
      <c r="BG19" s="2561" cm="1">
        <f t="array" aca="1" ref="BG19" ca="1">INDIRECT("'※ 재무_세부시트'!"&amp;BG$1&amp;$AD19, TRUE)</f>
        <v>2.2492078100000001</v>
      </c>
      <c r="BH19" s="2561" cm="1">
        <f t="array" aca="1" ref="BH19" ca="1">INDIRECT("'※ 재무_세부시트'!"&amp;BH$1&amp;$AD19, TRUE)</f>
        <v>133.80859477999999</v>
      </c>
      <c r="BI19" s="2561" cm="1">
        <f t="array" aca="1" ref="BI19" ca="1">INDIRECT("'※ 재무_세부시트'!"&amp;BI$1&amp;$AD19, TRUE)</f>
        <v>9.4175660299999997</v>
      </c>
      <c r="BJ19" s="2561" cm="1">
        <f t="array" aca="1" ref="BJ19" ca="1">INDIRECT("'※ 재무_세부시트'!"&amp;BJ$1&amp;$AD19, TRUE)</f>
        <v>11.711347229999999</v>
      </c>
      <c r="BK19" s="2561" cm="1">
        <f t="array" aca="1" ref="BK19" ca="1">INDIRECT("'※ 재무_세부시트'!"&amp;BK$1&amp;$AD19, TRUE)</f>
        <v>2.5173947499999998</v>
      </c>
      <c r="BL19" s="2490"/>
      <c r="BM19" s="2491"/>
      <c r="BN19" s="2472"/>
      <c r="BO19" s="2472"/>
      <c r="BP19" s="2472"/>
      <c r="BQ19" s="2472"/>
      <c r="BR19" s="2472"/>
      <c r="BS19" s="2472"/>
    </row>
    <row r="20" spans="1:71" ht="19.5" customHeight="1" x14ac:dyDescent="0.55000000000000004">
      <c r="A20" s="2492"/>
      <c r="B20" s="2427"/>
      <c r="C20" s="2604" t="s">
        <v>1135</v>
      </c>
      <c r="D20" s="2576" t="s">
        <v>67</v>
      </c>
      <c r="E20" s="2605" t="s">
        <v>1201</v>
      </c>
      <c r="F20" s="2547" cm="1">
        <f t="array" aca="1" ref="F20" ca="1">INDIRECT("'※ 재무_세부시트'!"&amp;F$1&amp;$AD20, TRUE)</f>
        <v>362.70516707928022</v>
      </c>
      <c r="G20" s="2547" cm="1">
        <f t="array" aca="1" ref="G20" ca="1">INDIRECT("'※ 재무_세부시트'!"&amp;G$1&amp;$AD20, TRUE)</f>
        <v>212.84063496986005</v>
      </c>
      <c r="H20" s="2548" cm="1">
        <f t="array" aca="1" ref="H20" ca="1">INDIRECT("'※ 재무_세부시트'!"&amp;H$1&amp;$AD20, TRUE)</f>
        <v>18.417865639999999</v>
      </c>
      <c r="I20" s="2549" cm="1">
        <f t="array" aca="1" ref="I20" ca="1">INDIRECT("'※ 재무_세부시트'!"&amp;I$1&amp;$AD20, TRUE)</f>
        <v>28.322452739999999</v>
      </c>
      <c r="J20" s="2549" cm="1">
        <f t="array" aca="1" ref="J20" ca="1">INDIRECT("'※ 재무_세부시트'!"&amp;J$1&amp;$AD20, TRUE)</f>
        <v>23.072599889999999</v>
      </c>
      <c r="K20" s="2549" cm="1">
        <f t="array" aca="1" ref="K20" ca="1">INDIRECT("'※ 재무_세부시트'!"&amp;K$1&amp;$AD20, TRUE)</f>
        <v>21.997285290000001</v>
      </c>
      <c r="L20" s="2549" cm="1">
        <f t="array" aca="1" ref="L20" ca="1">INDIRECT("'※ 재무_세부시트'!"&amp;L$1&amp;$AD20, TRUE)</f>
        <v>29.546987189999999</v>
      </c>
      <c r="M20" s="2549" cm="1">
        <f t="array" aca="1" ref="M20" ca="1">INDIRECT("'※ 재무_세부시트'!"&amp;M$1&amp;$AD20, TRUE)</f>
        <v>48.038093379999999</v>
      </c>
      <c r="N20" s="2549" cm="1">
        <f t="array" aca="1" ref="N20" ca="1">INDIRECT("'※ 재무_세부시트'!"&amp;N$1&amp;$AD20, TRUE)</f>
        <v>41.151348370000008</v>
      </c>
      <c r="O20" s="2549" cm="1">
        <f t="array" aca="1" ref="O20" ca="1">INDIRECT("'※ 재무_세부시트'!"&amp;O$1&amp;$AD20, TRUE)</f>
        <v>31.099450229999999</v>
      </c>
      <c r="P20" s="2549" cm="1">
        <f t="array" aca="1" ref="P20" ca="1">INDIRECT("'※ 재무_세부시트'!"&amp;P$1&amp;$AD20, TRUE)</f>
        <v>40.848417150000003</v>
      </c>
      <c r="Q20" s="2549" cm="1">
        <f t="array" aca="1" ref="Q20" ca="1">INDIRECT("'※ 재무_세부시트'!"&amp;Q$1&amp;$AD20, TRUE)</f>
        <v>24.811002490000003</v>
      </c>
      <c r="R20" s="2549" cm="1">
        <f t="array" aca="1" ref="R20" ca="1">INDIRECT("'※ 재무_세부시트'!"&amp;R$1&amp;$AD20, TRUE)</f>
        <v>51.910726690000011</v>
      </c>
      <c r="S20" s="2549" cm="1">
        <f t="array" aca="1" ref="S20" ca="1">INDIRECT("'※ 재무_세부시트'!"&amp;S$1&amp;$AD20, TRUE)</f>
        <v>35.002715450000004</v>
      </c>
      <c r="T20" s="2600"/>
      <c r="U20" s="2600"/>
      <c r="V20" s="2601"/>
      <c r="W20" s="2559" cm="1">
        <f t="array" aca="1" ref="W20" ca="1">INDIRECT("'※ 재무_세부시트'!"&amp;W$1&amp;$AD20, TRUE)</f>
        <v>-16.908011240000008</v>
      </c>
      <c r="X20" s="2555" cm="1">
        <f t="array" aca="1" ref="X20" ca="1">INDIRECT("'※ 재무_세부시트'!"&amp;X$1&amp;$AD20, TRUE)</f>
        <v>14.734210830000002</v>
      </c>
      <c r="Y20" s="2555" cm="1">
        <f t="array" aca="1" ref="Y20" ca="1">INDIRECT("'※ 재무_세부시트'!"&amp;Y$1&amp;$AD20, TRUE)</f>
        <v>0</v>
      </c>
      <c r="Z20" s="2554" cm="1">
        <f t="array" aca="1" ref="Z20" ca="1">INDIRECT("'※ 재무_세부시트'!"&amp;Z$1&amp;$AD20, TRUE)</f>
        <v>394.21894450999997</v>
      </c>
      <c r="AA20" s="2602"/>
      <c r="AB20" s="2603"/>
      <c r="AC20" s="2560" cm="1">
        <f t="array" aca="1" ref="AC20" ca="1">INDIRECT("'※ 재무_세부시트'!"&amp;AC$1&amp;$AD20, TRUE)</f>
        <v>181.37830954013992</v>
      </c>
      <c r="AD20" s="2441">
        <v>19</v>
      </c>
      <c r="AE20" s="2504">
        <f>AE14-AE17-AE18-AE19-AE21</f>
        <v>-14.952390405454537</v>
      </c>
      <c r="AF20" s="2504">
        <f t="shared" ref="AF20:AP20" si="18">AF14-AF17-AF18-AF19-AF21</f>
        <v>20.65425406636362</v>
      </c>
      <c r="AG20" s="2504">
        <f t="shared" si="18"/>
        <v>6.5305214800000044</v>
      </c>
      <c r="AH20" s="2504">
        <f t="shared" si="18"/>
        <v>23.230122759999986</v>
      </c>
      <c r="AI20" s="2504">
        <f t="shared" si="18"/>
        <v>26.516637999090889</v>
      </c>
      <c r="AJ20" s="2504">
        <f t="shared" si="18"/>
        <v>49.049275256363622</v>
      </c>
      <c r="AK20" s="2504">
        <f t="shared" si="18"/>
        <v>29.098264124545437</v>
      </c>
      <c r="AL20" s="2504">
        <f t="shared" si="18"/>
        <v>40.529453101818234</v>
      </c>
      <c r="AM20" s="2504">
        <f t="shared" si="18"/>
        <v>51.771138106195224</v>
      </c>
      <c r="AN20" s="2504">
        <f t="shared" si="18"/>
        <v>44.569634494786214</v>
      </c>
      <c r="AO20" s="2504">
        <f t="shared" si="18"/>
        <v>27.532633515982027</v>
      </c>
      <c r="AP20" s="2504">
        <f t="shared" si="18"/>
        <v>58.175622579589522</v>
      </c>
      <c r="AQ20" s="2505">
        <f t="shared" si="11"/>
        <v>362.70516707928022</v>
      </c>
      <c r="AR20" s="2488"/>
      <c r="AS20" s="2504"/>
      <c r="AT20" s="2504"/>
      <c r="AU20" s="2504"/>
      <c r="AV20" s="2504"/>
      <c r="AW20" s="2504"/>
      <c r="AX20" s="2504"/>
      <c r="AY20" s="2504"/>
      <c r="AZ20" s="2504"/>
      <c r="BA20" s="2504"/>
      <c r="BB20" s="2504"/>
      <c r="BC20" s="2504"/>
      <c r="BD20" s="2504"/>
      <c r="BE20" s="2505"/>
      <c r="BG20" s="2606" cm="1">
        <f t="array" aca="1" ref="BG20" ca="1">INDIRECT("'※ 재무_세부시트'!"&amp;BG$1&amp;$AD20, TRUE)</f>
        <v>-14.952390405454537</v>
      </c>
      <c r="BH20" s="2606" cm="1">
        <f t="array" aca="1" ref="BH20" ca="1">INDIRECT("'※ 재무_세부시트'!"&amp;BH$1&amp;$AD20, TRUE)</f>
        <v>362.70516707928022</v>
      </c>
      <c r="BI20" s="2606" cm="1">
        <f t="array" aca="1" ref="BI20" ca="1">INDIRECT("'※ 재무_세부시트'!"&amp;BI$1&amp;$AD20, TRUE)</f>
        <v>29.098264124545437</v>
      </c>
      <c r="BJ20" s="2606" cm="1">
        <f t="array" aca="1" ref="BJ20" ca="1">INDIRECT("'※ 재무_세부시트'!"&amp;BJ$1&amp;$AD20, TRUE)</f>
        <v>10.078795036883719</v>
      </c>
      <c r="BK20" s="2606" cm="1">
        <f t="array" aca="1" ref="BK20" ca="1">INDIRECT("'※ 재무_세부시트'!"&amp;BK$1&amp;$AD20, TRUE)</f>
        <v>51.771138106195224</v>
      </c>
      <c r="BL20" s="2490"/>
      <c r="BM20" s="2491"/>
      <c r="BN20" s="2472"/>
      <c r="BO20" s="2472"/>
      <c r="BP20" s="2472"/>
      <c r="BQ20" s="2472"/>
      <c r="BR20" s="2472"/>
      <c r="BS20" s="2472"/>
    </row>
    <row r="21" spans="1:71" ht="19.5" hidden="1" customHeight="1" x14ac:dyDescent="0.55000000000000004">
      <c r="A21" s="2492"/>
      <c r="B21" s="2427"/>
      <c r="C21" s="2599"/>
      <c r="D21" s="2576" t="s">
        <v>754</v>
      </c>
      <c r="E21" s="2427"/>
      <c r="F21" s="2547" cm="1">
        <f t="array" aca="1" ref="F21" ca="1">INDIRECT("'※ 재무_세부시트'!"&amp;F$1&amp;$AD21, TRUE)</f>
        <v>-1208.9510916299998</v>
      </c>
      <c r="G21" s="2547" cm="1">
        <f t="array" aca="1" ref="G21" ca="1">INDIRECT("'※ 재무_세부시트'!"&amp;G$1&amp;$AD21, TRUE)</f>
        <v>-560.15919927999994</v>
      </c>
      <c r="H21" s="2548" cm="1">
        <f t="array" aca="1" ref="H21" ca="1">INDIRECT("'※ 재무_세부시트'!"&amp;H$1&amp;$AD21, TRUE)</f>
        <v>1.3845246899999992</v>
      </c>
      <c r="I21" s="2549" cm="1">
        <f t="array" aca="1" ref="I21" ca="1">INDIRECT("'※ 재무_세부시트'!"&amp;I$1&amp;$AD21, TRUE)</f>
        <v>-24.289644889999998</v>
      </c>
      <c r="J21" s="2549" cm="1">
        <f t="array" aca="1" ref="J21" ca="1">INDIRECT("'※ 재무_세부시트'!"&amp;J$1&amp;$AD21, TRUE)</f>
        <v>-19.152099989999982</v>
      </c>
      <c r="K21" s="2549" cm="1">
        <f t="array" aca="1" ref="K21" ca="1">INDIRECT("'※ 재무_세부시트'!"&amp;K$1&amp;$AD21, TRUE)</f>
        <v>-25.421258569999992</v>
      </c>
      <c r="L21" s="2549" cm="1">
        <f t="array" aca="1" ref="L21" ca="1">INDIRECT("'※ 재무_세부시트'!"&amp;L$1&amp;$AD21, TRUE)</f>
        <v>-22.867412119999994</v>
      </c>
      <c r="M21" s="2549" cm="1">
        <f t="array" aca="1" ref="M21" ca="1">INDIRECT("'※ 재무_세부시트'!"&amp;M$1&amp;$AD21, TRUE)</f>
        <v>-37.259143069999979</v>
      </c>
      <c r="N21" s="2549" cm="1">
        <f t="array" aca="1" ref="N21" ca="1">INDIRECT("'※ 재무_세부시트'!"&amp;N$1&amp;$AD21, TRUE)</f>
        <v>-36.389220880000003</v>
      </c>
      <c r="O21" s="2549" cm="1">
        <f t="array" aca="1" ref="O21" ca="1">INDIRECT("'※ 재무_세부시트'!"&amp;O$1&amp;$AD21, TRUE)</f>
        <v>-33.065445340000011</v>
      </c>
      <c r="P21" s="2549" cm="1">
        <f t="array" aca="1" ref="P21" ca="1">INDIRECT("'※ 재무_세부시트'!"&amp;P$1&amp;$AD21, TRUE)</f>
        <v>-21.676452830000009</v>
      </c>
      <c r="Q21" s="2549" cm="1">
        <f t="array" aca="1" ref="Q21" ca="1">INDIRECT("'※ 재무_세부시트'!"&amp;Q$1&amp;$AD21, TRUE)</f>
        <v>-29.128124149999987</v>
      </c>
      <c r="R21" s="2549" cm="1">
        <f t="array" aca="1" ref="R21" ca="1">INDIRECT("'※ 재무_세부시트'!"&amp;R$1&amp;$AD21, TRUE)</f>
        <v>-12.55020264000003</v>
      </c>
      <c r="S21" s="2549" cm="1">
        <f t="array" aca="1" ref="S21" ca="1">INDIRECT("'※ 재무_세부시트'!"&amp;S$1&amp;$AD21, TRUE)</f>
        <v>42.385012520000011</v>
      </c>
      <c r="T21" s="2600"/>
      <c r="U21" s="2600"/>
      <c r="V21" s="2601"/>
      <c r="W21" s="2559" cm="1">
        <f t="array" aca="1" ref="W21" ca="1">INDIRECT("'※ 재무_세부시트'!"&amp;W$1&amp;$AD21, TRUE)</f>
        <v>54.935215160000041</v>
      </c>
      <c r="X21" s="2555" cm="1">
        <f t="array" aca="1" ref="X21" ca="1">INDIRECT("'※ 재무_세부시트'!"&amp;X$1&amp;$AD21, TRUE)</f>
        <v>33.456987549999994</v>
      </c>
      <c r="Y21" s="2555" cm="1">
        <f t="array" aca="1" ref="Y21" ca="1">INDIRECT("'※ 재무_세부시트'!"&amp;Y$1&amp;$AD21, TRUE)</f>
        <v>0</v>
      </c>
      <c r="Z21" s="2554" cm="1">
        <f t="array" aca="1" ref="Z21" ca="1">INDIRECT("'※ 재무_세부시트'!"&amp;Z$1&amp;$AD21, TRUE)</f>
        <v>-218.02946727000003</v>
      </c>
      <c r="AA21" s="2602"/>
      <c r="AB21" s="2603"/>
      <c r="AC21" s="2560" cm="1">
        <f t="array" aca="1" ref="AC21" ca="1">INDIRECT("'※ 재무_세부시트'!"&amp;AC$1&amp;$AD21, TRUE)</f>
        <v>342.12973200999988</v>
      </c>
      <c r="AD21" s="2441">
        <v>20</v>
      </c>
      <c r="AE21" s="2607">
        <v>-92.2901071</v>
      </c>
      <c r="AF21" s="2607">
        <v>-112.08824337</v>
      </c>
      <c r="AG21" s="2607">
        <v>-96.888932749999995</v>
      </c>
      <c r="AH21" s="2607">
        <v>-92.899152790000002</v>
      </c>
      <c r="AI21" s="2607">
        <v>-92.40567858</v>
      </c>
      <c r="AJ21" s="2607">
        <v>-91.720055410000001</v>
      </c>
      <c r="AK21" s="2607">
        <v>-101.26540098</v>
      </c>
      <c r="AL21" s="2607">
        <v>-144.66518354999999</v>
      </c>
      <c r="AM21" s="2607">
        <v>-96.127929469999998</v>
      </c>
      <c r="AN21" s="2607">
        <v>-113.53646768999999</v>
      </c>
      <c r="AO21" s="2607">
        <v>-97.036059699999996</v>
      </c>
      <c r="AP21" s="2607">
        <v>-78.027880240000002</v>
      </c>
      <c r="AQ21" s="2608">
        <f t="shared" si="11"/>
        <v>-1208.9510916299998</v>
      </c>
      <c r="AR21" s="2609"/>
      <c r="AS21" s="2607"/>
      <c r="AT21" s="2607"/>
      <c r="AU21" s="2607"/>
      <c r="AV21" s="2607"/>
      <c r="AW21" s="2607"/>
      <c r="AX21" s="2607"/>
      <c r="AY21" s="2607"/>
      <c r="AZ21" s="2607"/>
      <c r="BA21" s="2607"/>
      <c r="BB21" s="2607"/>
      <c r="BC21" s="2607"/>
      <c r="BD21" s="2607"/>
      <c r="BE21" s="2608"/>
      <c r="BG21" s="2606" cm="1">
        <f t="array" aca="1" ref="BG21" ca="1">INDIRECT("'※ 재무_세부시트'!"&amp;BG$1&amp;$AD21, TRUE)</f>
        <v>-92.2901071</v>
      </c>
      <c r="BH21" s="2606" cm="1">
        <f t="array" aca="1" ref="BH21" ca="1">INDIRECT("'※ 재무_세부시트'!"&amp;BH$1&amp;$AD21, TRUE)</f>
        <v>-1208.9510916299998</v>
      </c>
      <c r="BI21" s="2606" cm="1">
        <f t="array" aca="1" ref="BI21" ca="1">INDIRECT("'※ 재무_세부시트'!"&amp;BI$1&amp;$AD21, TRUE)</f>
        <v>-101.26540098</v>
      </c>
      <c r="BJ21" s="2606" cm="1">
        <f t="array" aca="1" ref="BJ21" ca="1">INDIRECT("'※ 재무_세부시트'!"&amp;BJ$1&amp;$AD21, TRUE)</f>
        <v>-54.246445450000017</v>
      </c>
      <c r="BK21" s="2606" cm="1">
        <f t="array" aca="1" ref="BK21" ca="1">INDIRECT("'※ 재무_세부시트'!"&amp;BK$1&amp;$AD21, TRUE)</f>
        <v>-96.127929469999998</v>
      </c>
      <c r="BL21" s="2490"/>
      <c r="BM21" s="2491"/>
      <c r="BN21" s="2472"/>
      <c r="BO21" s="2472"/>
      <c r="BP21" s="2472"/>
      <c r="BQ21" s="2472"/>
      <c r="BR21" s="2472"/>
      <c r="BS21" s="2472"/>
    </row>
    <row r="22" spans="1:71" ht="25" customHeight="1" x14ac:dyDescent="0.55000000000000004">
      <c r="A22" s="2492"/>
      <c r="B22" s="2610"/>
      <c r="C22" s="2611" t="s">
        <v>0</v>
      </c>
      <c r="D22" s="2612"/>
      <c r="E22" s="2564"/>
      <c r="F22" s="2565" cm="1">
        <f t="array" aca="1" ref="F22" ca="1">INDIRECT("'※ 재무_세부시트'!"&amp;F$1&amp;$AD22, TRUE)</f>
        <v>700.35095862000003</v>
      </c>
      <c r="G22" s="2565" cm="1">
        <f t="array" aca="1" ref="G22" ca="1">INDIRECT("'※ 재무_세부시트'!"&amp;G$1&amp;$AD22, TRUE)</f>
        <v>685.32327232000011</v>
      </c>
      <c r="H22" s="2566" cm="1">
        <f t="array" aca="1" ref="H22" ca="1">INDIRECT("'※ 재무_세부시트'!"&amp;H$1&amp;$AD22, TRUE)</f>
        <v>49.926384159999998</v>
      </c>
      <c r="I22" s="2567" cm="1">
        <f t="array" aca="1" ref="I22" ca="1">INDIRECT("'※ 재무_세부시트'!"&amp;I$1&amp;$AD22, TRUE)</f>
        <v>52.970257590000003</v>
      </c>
      <c r="J22" s="2567" cm="1">
        <f t="array" aca="1" ref="J22" ca="1">INDIRECT("'※ 재무_세부시트'!"&amp;J$1&amp;$AD22, TRUE)</f>
        <v>49.264714550000001</v>
      </c>
      <c r="K22" s="2567" cm="1">
        <f t="array" aca="1" ref="K22" ca="1">INDIRECT("'※ 재무_세부시트'!"&amp;K$1&amp;$AD22, TRUE)</f>
        <v>56.603339949999999</v>
      </c>
      <c r="L22" s="2567" cm="1">
        <f t="array" aca="1" ref="L22" ca="1">INDIRECT("'※ 재무_세부시트'!"&amp;L$1&amp;$AD22, TRUE)</f>
        <v>46.224100550000003</v>
      </c>
      <c r="M22" s="2567" cm="1">
        <f t="array" aca="1" ref="M22" ca="1">INDIRECT("'※ 재무_세부시트'!"&amp;M$1&amp;$AD22, TRUE)</f>
        <v>59.260521970000006</v>
      </c>
      <c r="N22" s="2567" cm="1">
        <f t="array" aca="1" ref="N22" ca="1">INDIRECT("'※ 재무_세부시트'!"&amp;N$1&amp;$AD22, TRUE)</f>
        <v>53.276578299999997</v>
      </c>
      <c r="O22" s="2567" cm="1">
        <f t="array" aca="1" ref="O22" ca="1">INDIRECT("'※ 재무_세부시트'!"&amp;O$1&amp;$AD22, TRUE)</f>
        <v>50.293205839999999</v>
      </c>
      <c r="P22" s="2567" cm="1">
        <f t="array" aca="1" ref="P22" ca="1">INDIRECT("'※ 재무_세부시트'!"&amp;P$1&amp;$AD22, TRUE)</f>
        <v>52.541221059999998</v>
      </c>
      <c r="Q22" s="2567" cm="1">
        <f t="array" aca="1" ref="Q22" ca="1">INDIRECT("'※ 재무_세부시트'!"&amp;Q$1&amp;$AD22, TRUE)</f>
        <v>44.020951680000003</v>
      </c>
      <c r="R22" s="2567" cm="1">
        <f t="array" aca="1" ref="R22" ca="1">INDIRECT("'※ 재무_세부시트'!"&amp;R$1&amp;$AD22, TRUE)</f>
        <v>50.254107279999999</v>
      </c>
      <c r="S22" s="2567" cm="1">
        <f t="array" aca="1" ref="S22" ca="1">INDIRECT("'※ 재무_세부시트'!"&amp;S$1&amp;$AD22, TRUE)</f>
        <v>51.007164610000004</v>
      </c>
      <c r="T22" s="2568" cm="1">
        <f t="array" aca="1" ref="T22" ca="1">INDIRECT("'※ 재무_세부시트'!"&amp;T$1&amp;$AD22, TRUE)</f>
        <v>5239.606094073054</v>
      </c>
      <c r="U22" s="2568" cm="1">
        <f t="array" aca="1" ref="U22" ca="1">INDIRECT("'※ 재무_세부시트'!"&amp;U$1&amp;$AD22, TRUE)</f>
        <v>51.007164610000004</v>
      </c>
      <c r="V22" s="2569" cm="1">
        <f t="array" aca="1" ref="V22" ca="1">INDIRECT("'※ 재무_세부시트'!"&amp;V$1&amp;$AD22, TRUE)</f>
        <v>0</v>
      </c>
      <c r="W22" s="2570" cm="1">
        <f t="array" aca="1" ref="W22" ca="1">INDIRECT("'※ 재무_세부시트'!"&amp;W$1&amp;$AD22, TRUE)</f>
        <v>0.7530573300000043</v>
      </c>
      <c r="X22" s="2571" cm="1">
        <f t="array" aca="1" ref="X22" ca="1">INDIRECT("'※ 재무_세부시트'!"&amp;X$1&amp;$AD22, TRUE)</f>
        <v>-16.083424269999995</v>
      </c>
      <c r="Y22" s="2571" cm="1">
        <f t="array" aca="1" ref="Y22" ca="1">INDIRECT("'※ 재무_세부시트'!"&amp;Y$1&amp;$AD22, TRUE)</f>
        <v>0</v>
      </c>
      <c r="Z22" s="2572" cm="1">
        <f t="array" aca="1" ref="Z22" ca="1">INDIRECT("'※ 재무_세부시트'!"&amp;Z$1&amp;$AD22, TRUE)</f>
        <v>615.64254754000001</v>
      </c>
      <c r="AA22" s="2571" cm="1">
        <f t="array" aca="1" ref="AA22" ca="1">INDIRECT("'※ 재무_세부시트'!"&amp;AA$1&amp;$AD22, TRUE)</f>
        <v>-10280.455034784933</v>
      </c>
      <c r="AB22" s="2573" cm="1">
        <f t="array" aca="1" ref="AB22" ca="1">INDIRECT("'※ 재무_세부시트'!"&amp;AB$1&amp;$AD22, TRUE)</f>
        <v>5.6501196220806842E-2</v>
      </c>
      <c r="AC22" s="2574" cm="1">
        <f t="array" aca="1" ref="AC22" ca="1">INDIRECT("'※ 재무_세부시트'!"&amp;AC$1&amp;$AD22, TRUE)</f>
        <v>-69.680724780000105</v>
      </c>
      <c r="AD22" s="2441">
        <v>21</v>
      </c>
      <c r="AE22" s="2504">
        <v>67.035031750000002</v>
      </c>
      <c r="AF22" s="2504">
        <v>50.863375660000003</v>
      </c>
      <c r="AG22" s="2504">
        <v>59.716036480000028</v>
      </c>
      <c r="AH22" s="2504">
        <v>55.567620829999989</v>
      </c>
      <c r="AI22" s="2504">
        <v>58.716058899999965</v>
      </c>
      <c r="AJ22" s="2504">
        <v>57.91467945000003</v>
      </c>
      <c r="AK22" s="2504">
        <v>60.555175100000007</v>
      </c>
      <c r="AL22" s="2504">
        <v>58.62319042</v>
      </c>
      <c r="AM22" s="2504">
        <v>53.750966200000001</v>
      </c>
      <c r="AN22" s="2504">
        <v>60.481486310000037</v>
      </c>
      <c r="AO22" s="2504">
        <v>55.964690570000002</v>
      </c>
      <c r="AP22" s="2504">
        <v>61.162646949999946</v>
      </c>
      <c r="AQ22" s="2505">
        <f t="shared" si="11"/>
        <v>700.35095862000003</v>
      </c>
      <c r="AR22" s="2488"/>
      <c r="AS22" s="2504">
        <v>56.980025411128899</v>
      </c>
      <c r="AT22" s="2504">
        <v>56.856112639527076</v>
      </c>
      <c r="AU22" s="2504">
        <v>56.714148318726167</v>
      </c>
      <c r="AV22" s="2504">
        <v>56.602669837124331</v>
      </c>
      <c r="AW22" s="2504">
        <v>56.499211164721594</v>
      </c>
      <c r="AX22" s="2504">
        <v>56.5738144255225</v>
      </c>
      <c r="AY22" s="2504">
        <v>56.308741859389777</v>
      </c>
      <c r="AZ22" s="2504">
        <v>56.195438080053393</v>
      </c>
      <c r="BA22" s="2504">
        <v>56.070905736186113</v>
      </c>
      <c r="BB22" s="2504">
        <v>55.951717895385201</v>
      </c>
      <c r="BC22" s="2504">
        <v>55.737249031517919</v>
      </c>
      <c r="BD22" s="2504">
        <v>55.520479610717011</v>
      </c>
      <c r="BE22" s="2505">
        <f>SUM(AS22:BD22)</f>
        <v>676.01051400999995</v>
      </c>
      <c r="BG22" s="2561" cm="1">
        <f t="array" aca="1" ref="BG22" ca="1">INDIRECT("'※ 재무_세부시트'!"&amp;BG$1&amp;$AD22, TRUE)</f>
        <v>67.035031750000002</v>
      </c>
      <c r="BH22" s="2561" cm="1">
        <f t="array" aca="1" ref="BH22" ca="1">INDIRECT("'※ 재무_세부시트'!"&amp;BH$1&amp;$AD22, TRUE)</f>
        <v>700.35095862000003</v>
      </c>
      <c r="BI22" s="2561" cm="1">
        <f t="array" aca="1" ref="BI22" ca="1">INDIRECT("'※ 재무_세부시트'!"&amp;BI$1&amp;$AD22, TRUE)</f>
        <v>60.555175100000007</v>
      </c>
      <c r="BJ22" s="2561" cm="1">
        <f t="array" aca="1" ref="BJ22" ca="1">INDIRECT("'※ 재무_세부시트'!"&amp;BJ$1&amp;$AD22, TRUE)</f>
        <v>55.127946979999997</v>
      </c>
      <c r="BK22" s="2561" cm="1">
        <f t="array" aca="1" ref="BK22" ca="1">INDIRECT("'※ 재무_세부시트'!"&amp;BK$1&amp;$AD22, TRUE)</f>
        <v>53.750966200000001</v>
      </c>
      <c r="BL22" s="2490"/>
      <c r="BM22" s="2491"/>
      <c r="BN22" s="2472"/>
      <c r="BO22" s="2472"/>
      <c r="BP22" s="2472"/>
      <c r="BQ22" s="2472"/>
      <c r="BR22" s="2472"/>
      <c r="BS22" s="2472"/>
    </row>
    <row r="23" spans="1:71" ht="19.5" customHeight="1" x14ac:dyDescent="0.55000000000000004">
      <c r="A23" s="2492"/>
      <c r="B23" s="2610"/>
      <c r="C23" s="2599" t="s">
        <v>762</v>
      </c>
      <c r="D23" s="2576" t="s">
        <v>102</v>
      </c>
      <c r="E23" s="2427" t="s">
        <v>891</v>
      </c>
      <c r="F23" s="2547" cm="1">
        <f t="array" aca="1" ref="F23" ca="1">INDIRECT("'※ 재무_세부시트'!"&amp;F$1&amp;$AD23, TRUE)</f>
        <v>515.25060068818198</v>
      </c>
      <c r="G23" s="2547" cm="1">
        <f t="array" aca="1" ref="G23" ca="1">INDIRECT("'※ 재무_세부시트'!"&amp;G$1&amp;$AD23, TRUE)</f>
        <v>504.98219532454544</v>
      </c>
      <c r="H23" s="2548" cm="1">
        <f t="array" aca="1" ref="H23" ca="1">INDIRECT("'※ 재무_세부시트'!"&amp;H$1&amp;$AD23, TRUE)</f>
        <v>35.549796920909088</v>
      </c>
      <c r="I23" s="2549" cm="1">
        <f t="array" aca="1" ref="I23" ca="1">INDIRECT("'※ 재무_세부시트'!"&amp;I$1&amp;$AD23, TRUE)</f>
        <v>38.023935420909098</v>
      </c>
      <c r="J23" s="2549" cm="1">
        <f t="array" aca="1" ref="J23" ca="1">INDIRECT("'※ 재무_세부시트'!"&amp;J$1&amp;$AD23, TRUE)</f>
        <v>34.712851677272724</v>
      </c>
      <c r="K23" s="2549" cm="1">
        <f t="array" aca="1" ref="K23" ca="1">INDIRECT("'※ 재무_세부시트'!"&amp;K$1&amp;$AD23, TRUE)</f>
        <v>42.590157515454543</v>
      </c>
      <c r="L23" s="2549" cm="1">
        <f t="array" aca="1" ref="L23" ca="1">INDIRECT("'※ 재무_세부시트'!"&amp;L$1&amp;$AD23, TRUE)</f>
        <v>32.231391938181822</v>
      </c>
      <c r="M23" s="2549" cm="1">
        <f t="array" aca="1" ref="M23" ca="1">INDIRECT("'※ 재무_세부시트'!"&amp;M$1&amp;$AD23, TRUE)</f>
        <v>45.135691693636367</v>
      </c>
      <c r="N23" s="2549" cm="1">
        <f t="array" aca="1" ref="N23" ca="1">INDIRECT("'※ 재무_세부시트'!"&amp;N$1&amp;$AD23, TRUE)</f>
        <v>38.94933758818182</v>
      </c>
      <c r="O23" s="2549" cm="1">
        <f t="array" aca="1" ref="O23" ca="1">INDIRECT("'※ 재무_세부시트'!"&amp;O$1&amp;$AD23, TRUE)</f>
        <v>37.446916998181806</v>
      </c>
      <c r="P23" s="2549" cm="1">
        <f t="array" aca="1" ref="P23" ca="1">INDIRECT("'※ 재무_세부시트'!"&amp;P$1&amp;$AD23, TRUE)</f>
        <v>38.870689267272724</v>
      </c>
      <c r="Q23" s="2549" cm="1">
        <f t="array" aca="1" ref="Q23" ca="1">INDIRECT("'※ 재무_세부시트'!"&amp;Q$1&amp;$AD23, TRUE)</f>
        <v>37.753138377272734</v>
      </c>
      <c r="R23" s="2549" cm="1">
        <f t="array" aca="1" ref="R23" ca="1">INDIRECT("'※ 재무_세부시트'!"&amp;R$1&amp;$AD23, TRUE)</f>
        <v>37.364049498181814</v>
      </c>
      <c r="S23" s="2549" cm="1">
        <f t="array" aca="1" ref="S23" ca="1">INDIRECT("'※ 재무_세부시트'!"&amp;S$1&amp;$AD23, TRUE)</f>
        <v>38.150326797272733</v>
      </c>
      <c r="T23" s="2600"/>
      <c r="U23" s="2600"/>
      <c r="V23" s="2601"/>
      <c r="W23" s="2559" cm="1">
        <f t="array" aca="1" ref="W23" ca="1">INDIRECT("'※ 재무_세부시트'!"&amp;W$1&amp;$AD23, TRUE)</f>
        <v>0.78627729909091926</v>
      </c>
      <c r="X23" s="2555" cm="1">
        <f t="array" aca="1" ref="X23" ca="1">INDIRECT("'※ 재무_세부시트'!"&amp;X$1&amp;$AD23, TRUE)</f>
        <v>-13.807365273636357</v>
      </c>
      <c r="Y23" s="2555" cm="1">
        <f t="array" aca="1" ref="Y23" ca="1">INDIRECT("'※ 재무_세부시트'!"&amp;Y$1&amp;$AD23, TRUE)</f>
        <v>0</v>
      </c>
      <c r="Z23" s="2554" cm="1">
        <f t="array" aca="1" ref="Z23" ca="1">INDIRECT("'※ 재무_세부시트'!"&amp;Z$1&amp;$AD23, TRUE)</f>
        <v>456.77828369272731</v>
      </c>
      <c r="AA23" s="2602"/>
      <c r="AB23" s="2613"/>
      <c r="AC23" s="2560" cm="1">
        <f t="array" aca="1" ref="AC23" ca="1">INDIRECT("'※ 재무_세부시트'!"&amp;AC$1&amp;$AD23, TRUE)</f>
        <v>-48.20391163181813</v>
      </c>
      <c r="AD23" s="2441">
        <v>22</v>
      </c>
      <c r="AE23" s="2614">
        <f>AE26+AE27+AE28</f>
        <v>45.289261744791645</v>
      </c>
      <c r="AF23" s="2614">
        <f t="shared" ref="AF23:AP23" si="19">AF26+AF27+AF28</f>
        <v>30.587527491433097</v>
      </c>
      <c r="AG23" s="2614">
        <f t="shared" si="19"/>
        <v>37.895040228415716</v>
      </c>
      <c r="AH23" s="2614">
        <f t="shared" si="19"/>
        <v>34.921305141273074</v>
      </c>
      <c r="AI23" s="2614">
        <f t="shared" si="19"/>
        <v>37.807270764439913</v>
      </c>
      <c r="AJ23" s="2614">
        <f t="shared" si="19"/>
        <v>36.979841515637446</v>
      </c>
      <c r="AK23" s="2614">
        <f t="shared" si="19"/>
        <v>39.296550299279069</v>
      </c>
      <c r="AL23" s="2614">
        <f t="shared" si="19"/>
        <v>37.691538546931604</v>
      </c>
      <c r="AM23" s="2614">
        <f t="shared" si="19"/>
        <v>33.298194199177061</v>
      </c>
      <c r="AN23" s="2614">
        <f t="shared" si="19"/>
        <v>39.110443331849872</v>
      </c>
      <c r="AO23" s="2614">
        <f t="shared" si="19"/>
        <v>35.306141447601547</v>
      </c>
      <c r="AP23" s="2614">
        <f t="shared" si="19"/>
        <v>39.858719868260884</v>
      </c>
      <c r="AQ23" s="2505">
        <f t="shared" si="11"/>
        <v>448.0418345790909</v>
      </c>
      <c r="AR23" s="2615"/>
      <c r="AS23" s="2614"/>
      <c r="AT23" s="2614"/>
      <c r="AU23" s="2614"/>
      <c r="AV23" s="2614"/>
      <c r="AW23" s="2614"/>
      <c r="AX23" s="2614"/>
      <c r="AY23" s="2614"/>
      <c r="AZ23" s="2614"/>
      <c r="BA23" s="2614"/>
      <c r="BB23" s="2614"/>
      <c r="BC23" s="2614"/>
      <c r="BD23" s="2614"/>
      <c r="BE23" s="2614"/>
      <c r="BF23" s="2426"/>
      <c r="BG23" s="2549" cm="1">
        <f t="array" aca="1" ref="BG23" ca="1">INDIRECT("'※ 재무_세부시트'!"&amp;BG$1&amp;$AD23, TRUE)</f>
        <v>50.943309609008267</v>
      </c>
      <c r="BH23" s="2561" cm="1">
        <f t="array" aca="1" ref="BH23" ca="1">INDIRECT("'※ 재무_세부시트'!"&amp;BH$1&amp;$AD23, TRUE)</f>
        <v>515.25060068818198</v>
      </c>
      <c r="BI23" s="2561" cm="1">
        <f t="array" aca="1" ref="BI23" ca="1">INDIRECT("'※ 재무_세부시트'!"&amp;BI$1&amp;$AD23, TRUE)</f>
        <v>44.93037177355373</v>
      </c>
      <c r="BJ23" s="2561" cm="1">
        <f t="array" aca="1" ref="BJ23" ca="1">INDIRECT("'※ 재무_세부시트'!"&amp;BJ$1&amp;$AD23, TRUE)</f>
        <v>40.355936529090918</v>
      </c>
      <c r="BK23" s="2561" cm="1">
        <f t="array" aca="1" ref="BK23" ca="1">INDIRECT("'※ 재무_세부시트'!"&amp;BK$1&amp;$AD23, TRUE)</f>
        <v>38.834797307107429</v>
      </c>
      <c r="BL23" s="2490"/>
      <c r="BM23" s="2491"/>
      <c r="BN23" s="2472"/>
      <c r="BO23" s="2472"/>
      <c r="BP23" s="2472"/>
      <c r="BQ23" s="2472"/>
      <c r="BR23" s="2472"/>
      <c r="BS23" s="2472"/>
    </row>
    <row r="24" spans="1:71" ht="19.5" customHeight="1" x14ac:dyDescent="0.55000000000000004">
      <c r="A24" s="2492"/>
      <c r="B24" s="2427"/>
      <c r="C24" s="2599"/>
      <c r="D24" s="2576" t="s">
        <v>103</v>
      </c>
      <c r="E24" s="2427"/>
      <c r="F24" s="2547" cm="1">
        <f t="array" aca="1" ref="F24" ca="1">INDIRECT("'※ 재무_세부시트'!"&amp;F$1&amp;$AD24, TRUE)</f>
        <v>90.192254881818187</v>
      </c>
      <c r="G24" s="2547" cm="1">
        <f t="array" aca="1" ref="G24" ca="1">INDIRECT("'※ 재무_세부시트'!"&amp;G$1&amp;$AD24, TRUE)</f>
        <v>82.572906545454529</v>
      </c>
      <c r="H24" s="2548" cm="1">
        <f t="array" aca="1" ref="H24" ca="1">INDIRECT("'※ 재무_세부시트'!"&amp;H$1&amp;$AD24, TRUE)</f>
        <v>5.8569293190909093</v>
      </c>
      <c r="I24" s="2549" cm="1">
        <f t="array" aca="1" ref="I24" ca="1">INDIRECT("'※ 재무_세부시트'!"&amp;I$1&amp;$AD24, TRUE)</f>
        <v>6.3086738090909087</v>
      </c>
      <c r="J24" s="2549" cm="1">
        <f t="array" aca="1" ref="J24" ca="1">INDIRECT("'※ 재무_세부시트'!"&amp;J$1&amp;$AD24, TRUE)</f>
        <v>6.4937647727272729</v>
      </c>
      <c r="K24" s="2549" cm="1">
        <f t="array" aca="1" ref="K24" ca="1">INDIRECT("'※ 재무_세부시트'!"&amp;K$1&amp;$AD24, TRUE)</f>
        <v>5.7726903545454542</v>
      </c>
      <c r="L24" s="2549" cm="1">
        <f t="array" aca="1" ref="L24" ca="1">INDIRECT("'※ 재무_세부시트'!"&amp;L$1&amp;$AD24, TRUE)</f>
        <v>5.6720752818181817</v>
      </c>
      <c r="M24" s="2549" cm="1">
        <f t="array" aca="1" ref="M24" ca="1">INDIRECT("'※ 재무_세부시트'!"&amp;M$1&amp;$AD24, TRUE)</f>
        <v>5.5931315363636358</v>
      </c>
      <c r="N24" s="2549" cm="1">
        <f t="array" aca="1" ref="N24" ca="1">INDIRECT("'※ 재무_세부시트'!"&amp;N$1&amp;$AD24, TRUE)</f>
        <v>6.1463115818181802</v>
      </c>
      <c r="O24" s="2549" cm="1">
        <f t="array" aca="1" ref="O24" ca="1">INDIRECT("'※ 재무_세부시트'!"&amp;O$1&amp;$AD24, TRUE)</f>
        <v>5.4555208818181811</v>
      </c>
      <c r="P24" s="2549" cm="1">
        <f t="array" aca="1" ref="P24" ca="1">INDIRECT("'※ 재무_세부시트'!"&amp;P$1&amp;$AD24, TRUE)</f>
        <v>5.3701455727272727</v>
      </c>
      <c r="Q24" s="2549" cm="1">
        <f t="array" aca="1" ref="Q24" ca="1">INDIRECT("'※ 재무_세부시트'!"&amp;Q$1&amp;$AD24, TRUE)</f>
        <v>5.3701455727272727</v>
      </c>
      <c r="R24" s="2549" cm="1">
        <f t="array" aca="1" ref="R24" ca="1">INDIRECT("'※ 재무_세부시트'!"&amp;R$1&amp;$AD24, TRUE)</f>
        <v>5.1315710818181817</v>
      </c>
      <c r="S24" s="2549" cm="1">
        <f t="array" aca="1" ref="S24" ca="1">INDIRECT("'※ 재무_세부시트'!"&amp;S$1&amp;$AD24, TRUE)</f>
        <v>5.1079652727272729</v>
      </c>
      <c r="T24" s="2600"/>
      <c r="U24" s="2600"/>
      <c r="V24" s="2601"/>
      <c r="W24" s="2559" cm="1">
        <f t="array" aca="1" ref="W24" ca="1">INDIRECT("'※ 재무_세부시트'!"&amp;W$1&amp;$AD24, TRUE)</f>
        <v>-2.3605809090908814E-2</v>
      </c>
      <c r="X24" s="2555" cm="1">
        <f t="array" aca="1" ref="X24" ca="1">INDIRECT("'※ 재무_세부시트'!"&amp;X$1&amp;$AD24, TRUE)</f>
        <v>-1.4735796363636355</v>
      </c>
      <c r="Y24" s="2555" cm="1">
        <f t="array" aca="1" ref="Y24" ca="1">INDIRECT("'※ 재무_세부시트'!"&amp;Y$1&amp;$AD24, TRUE)</f>
        <v>0</v>
      </c>
      <c r="Z24" s="2554" cm="1">
        <f t="array" aca="1" ref="Z24" ca="1">INDIRECT("'※ 재무_세부시트'!"&amp;Z$1&amp;$AD24, TRUE)</f>
        <v>68.278925037272728</v>
      </c>
      <c r="AA24" s="2602"/>
      <c r="AB24" s="2603"/>
      <c r="AC24" s="2560" cm="1">
        <f t="array" aca="1" ref="AC24" ca="1">INDIRECT("'※ 재무_세부시트'!"&amp;AC$1&amp;$AD24, TRUE)</f>
        <v>-14.293981508181801</v>
      </c>
      <c r="AD24" s="2441">
        <v>23</v>
      </c>
      <c r="AE24" s="2614">
        <f>AE30+AE31+AE32</f>
        <v>7.8971089809917352</v>
      </c>
      <c r="AF24" s="2614">
        <f t="shared" ref="AF24:AP24" si="20">AF30+AF31+AF32</f>
        <v>6.5027426033057862</v>
      </c>
      <c r="AG24" s="2614">
        <f t="shared" si="20"/>
        <v>7.9257180578512401</v>
      </c>
      <c r="AH24" s="2614">
        <f t="shared" si="20"/>
        <v>7.2734129570247923</v>
      </c>
      <c r="AI24" s="2614">
        <f t="shared" si="20"/>
        <v>7.2877746198347104</v>
      </c>
      <c r="AJ24" s="2614">
        <f t="shared" si="20"/>
        <v>7.2841511801652885</v>
      </c>
      <c r="AK24" s="2614">
        <f t="shared" si="20"/>
        <v>7.816819226446281</v>
      </c>
      <c r="AL24" s="2614">
        <f t="shared" si="20"/>
        <v>7.4730159950413224</v>
      </c>
      <c r="AM24" s="2614">
        <f t="shared" si="20"/>
        <v>7.359623552892562</v>
      </c>
      <c r="AN24" s="2614">
        <f t="shared" si="20"/>
        <v>7.6295910049586775</v>
      </c>
      <c r="AO24" s="2614">
        <f t="shared" si="20"/>
        <v>7.5977578181818188</v>
      </c>
      <c r="AP24" s="2614">
        <f t="shared" si="20"/>
        <v>8.1445388851239677</v>
      </c>
      <c r="AQ24" s="2505">
        <f t="shared" si="11"/>
        <v>90.192254881818187</v>
      </c>
      <c r="AR24" s="2488"/>
      <c r="AS24" s="2616"/>
      <c r="AT24" s="2616"/>
      <c r="AU24" s="2616"/>
      <c r="AV24" s="2616"/>
      <c r="AW24" s="2616"/>
      <c r="AX24" s="2616"/>
      <c r="AY24" s="2616"/>
      <c r="AZ24" s="2616"/>
      <c r="BA24" s="2616"/>
      <c r="BB24" s="2616"/>
      <c r="BC24" s="2616"/>
      <c r="BD24" s="2616"/>
      <c r="BE24" s="2505"/>
      <c r="BG24" s="2549" cm="1">
        <f t="array" aca="1" ref="BG24" ca="1">INDIRECT("'※ 재무_세부시트'!"&amp;BG$1&amp;$AD24, TRUE)</f>
        <v>7.8971089809917352</v>
      </c>
      <c r="BH24" s="2617" cm="1">
        <f t="array" aca="1" ref="BH24" ca="1">INDIRECT("'※ 재무_세부시트'!"&amp;BH$1&amp;$AD24, TRUE)</f>
        <v>90.192254881818187</v>
      </c>
      <c r="BI24" s="2617" cm="1">
        <f t="array" aca="1" ref="BI24" ca="1">INDIRECT("'※ 재무_세부시트'!"&amp;BI$1&amp;$AD24, TRUE)</f>
        <v>7.816819226446281</v>
      </c>
      <c r="BJ24" s="2617" cm="1">
        <f t="array" aca="1" ref="BJ24" ca="1">INDIRECT("'※ 재무_세부시트'!"&amp;BJ$1&amp;$AD24, TRUE)</f>
        <v>6.8127734909090902</v>
      </c>
      <c r="BK24" s="2617" cm="1">
        <f t="array" aca="1" ref="BK24" ca="1">INDIRECT("'※ 재무_세부시트'!"&amp;BK$1&amp;$AD24, TRUE)</f>
        <v>7.359623552892562</v>
      </c>
      <c r="BL24" s="2490"/>
      <c r="BM24" s="2491"/>
      <c r="BN24" s="2472"/>
      <c r="BO24" s="2472"/>
      <c r="BP24" s="2472"/>
      <c r="BQ24" s="2472"/>
      <c r="BR24" s="2472"/>
      <c r="BS24" s="2472"/>
    </row>
    <row r="25" spans="1:71" ht="19.5" customHeight="1" x14ac:dyDescent="0.55000000000000004">
      <c r="A25" s="2492"/>
      <c r="B25" s="2427"/>
      <c r="C25" s="2599"/>
      <c r="D25" s="2576" t="s">
        <v>67</v>
      </c>
      <c r="E25" s="2427"/>
      <c r="F25" s="2547" cm="1">
        <f t="array" aca="1" ref="F25" ca="1">INDIRECT("'※ 재무_세부시트'!"&amp;F$1&amp;$AD25, TRUE)</f>
        <v>94.908103049999994</v>
      </c>
      <c r="G25" s="2547" cm="1">
        <f t="array" aca="1" ref="G25" ca="1">INDIRECT("'※ 재무_세부시트'!"&amp;G$1&amp;$AD25, TRUE)</f>
        <v>97.76817045</v>
      </c>
      <c r="H25" s="2548" cm="1">
        <f t="array" aca="1" ref="H25" ca="1">INDIRECT("'※ 재무_세부시트'!"&amp;H$1&amp;$AD25, TRUE)</f>
        <v>8.5196579200000002</v>
      </c>
      <c r="I25" s="2549" cm="1">
        <f t="array" aca="1" ref="I25" ca="1">INDIRECT("'※ 재무_세부시트'!"&amp;I$1&amp;$AD25, TRUE)</f>
        <v>8.63764836</v>
      </c>
      <c r="J25" s="2549" cm="1">
        <f t="array" aca="1" ref="J25" ca="1">INDIRECT("'※ 재무_세부시트'!"&amp;J$1&amp;$AD25, TRUE)</f>
        <v>8.0580981000000005</v>
      </c>
      <c r="K25" s="2549" cm="1">
        <f t="array" aca="1" ref="K25" ca="1">INDIRECT("'※ 재무_세부시트'!"&amp;K$1&amp;$AD25, TRUE)</f>
        <v>8.2404920799999992</v>
      </c>
      <c r="L25" s="2549" cm="1">
        <f t="array" aca="1" ref="L25" ca="1">INDIRECT("'※ 재무_세부시트'!"&amp;L$1&amp;$AD25, TRUE)</f>
        <v>8.3206333299999997</v>
      </c>
      <c r="M25" s="2549" cm="1">
        <f t="array" aca="1" ref="M25" ca="1">INDIRECT("'※ 재무_세부시트'!"&amp;M$1&amp;$AD25, TRUE)</f>
        <v>8.5316987399999995</v>
      </c>
      <c r="N25" s="2549" cm="1">
        <f t="array" aca="1" ref="N25" ca="1">INDIRECT("'※ 재무_세부시트'!"&amp;N$1&amp;$AD25, TRUE)</f>
        <v>8.1809291299999991</v>
      </c>
      <c r="O25" s="2549" cm="1">
        <f t="array" aca="1" ref="O25" ca="1">INDIRECT("'※ 재무_세부시트'!"&amp;O$1&amp;$AD25, TRUE)</f>
        <v>7.3907679599999998</v>
      </c>
      <c r="P25" s="2549" cm="1">
        <f t="array" aca="1" ref="P25" ca="1">INDIRECT("'※ 재무_세부시트'!"&amp;P$1&amp;$AD25, TRUE)</f>
        <v>8.30038622</v>
      </c>
      <c r="Q25" s="2549" cm="1">
        <f t="array" aca="1" ref="Q25" ca="1">INDIRECT("'※ 재무_세부시트'!"&amp;Q$1&amp;$AD25, TRUE)</f>
        <v>0.89766773</v>
      </c>
      <c r="R25" s="2549" cm="1">
        <f t="array" aca="1" ref="R25" ca="1">INDIRECT("'※ 재무_세부시트'!"&amp;R$1&amp;$AD25, TRUE)</f>
        <v>7.7584866999999997</v>
      </c>
      <c r="S25" s="2549" cm="1">
        <f t="array" aca="1" ref="S25" ca="1">INDIRECT("'※ 재무_세부시트'!"&amp;S$1&amp;$AD25, TRUE)</f>
        <v>7.7488725399999998</v>
      </c>
      <c r="T25" s="2600"/>
      <c r="U25" s="2600"/>
      <c r="V25" s="2601"/>
      <c r="W25" s="2559" cm="1">
        <f t="array" aca="1" ref="W25" ca="1">INDIRECT("'※ 재무_세부시트'!"&amp;W$1&amp;$AD25, TRUE)</f>
        <v>-9.6141599999999272E-3</v>
      </c>
      <c r="X25" s="2555" cm="1">
        <f t="array" aca="1" ref="X25" ca="1">INDIRECT("'※ 재무_세부시트'!"&amp;X$1&amp;$AD25, TRUE)</f>
        <v>-0.80247936000000042</v>
      </c>
      <c r="Y25" s="2555" cm="1">
        <f t="array" aca="1" ref="Y25" ca="1">INDIRECT("'※ 재무_세부시트'!"&amp;Y$1&amp;$AD25, TRUE)</f>
        <v>0</v>
      </c>
      <c r="Z25" s="2554" cm="1">
        <f t="array" aca="1" ref="Z25" ca="1">INDIRECT("'※ 재무_세부시트'!"&amp;Z$1&amp;$AD25, TRUE)</f>
        <v>90.585338809999996</v>
      </c>
      <c r="AA25" s="2602"/>
      <c r="AB25" s="2603"/>
      <c r="AC25" s="2560" cm="1">
        <f t="array" aca="1" ref="AC25" ca="1">INDIRECT("'※ 재무_세부시트'!"&amp;AC$1&amp;$AD25, TRUE)</f>
        <v>-7.1828316400000034</v>
      </c>
      <c r="AD25" s="2441">
        <v>24</v>
      </c>
      <c r="AE25" s="2614">
        <f>AE22-AE23-AE24</f>
        <v>13.848661024216621</v>
      </c>
      <c r="AF25" s="2614">
        <f t="shared" ref="AF25:AP25" si="21">AF22-AF23-AF24</f>
        <v>13.773105565261119</v>
      </c>
      <c r="AG25" s="2614">
        <f t="shared" si="21"/>
        <v>13.895278193733072</v>
      </c>
      <c r="AH25" s="2614">
        <f t="shared" si="21"/>
        <v>13.372902731702123</v>
      </c>
      <c r="AI25" s="2614">
        <f t="shared" si="21"/>
        <v>13.621013515725341</v>
      </c>
      <c r="AJ25" s="2614">
        <f t="shared" si="21"/>
        <v>13.650686754197295</v>
      </c>
      <c r="AK25" s="2614">
        <f t="shared" si="21"/>
        <v>13.441805574274657</v>
      </c>
      <c r="AL25" s="2614">
        <f t="shared" si="21"/>
        <v>13.458635878027074</v>
      </c>
      <c r="AM25" s="2614">
        <f t="shared" si="21"/>
        <v>13.093148447930378</v>
      </c>
      <c r="AN25" s="2614">
        <f t="shared" si="21"/>
        <v>13.741451973191488</v>
      </c>
      <c r="AO25" s="2614">
        <f t="shared" si="21"/>
        <v>13.060791304216636</v>
      </c>
      <c r="AP25" s="2614">
        <f t="shared" si="21"/>
        <v>13.159388196615094</v>
      </c>
      <c r="AQ25" s="2505">
        <f t="shared" si="11"/>
        <v>162.1168691590909</v>
      </c>
      <c r="AR25" s="2488"/>
      <c r="AS25" s="2616"/>
      <c r="AT25" s="2616"/>
      <c r="AU25" s="2616"/>
      <c r="AV25" s="2616"/>
      <c r="AW25" s="2616"/>
      <c r="AX25" s="2616"/>
      <c r="AY25" s="2616"/>
      <c r="AZ25" s="2616"/>
      <c r="BA25" s="2616"/>
      <c r="BB25" s="2616"/>
      <c r="BC25" s="2616"/>
      <c r="BD25" s="2616"/>
      <c r="BE25" s="2505"/>
      <c r="BG25" s="2549" cm="1">
        <f t="array" aca="1" ref="BG25" ca="1">INDIRECT("'※ 재무_세부시트'!"&amp;BG$1&amp;$AD25, TRUE)</f>
        <v>8.1946131599999994</v>
      </c>
      <c r="BH25" s="2617" cm="1">
        <f t="array" aca="1" ref="BH25" ca="1">INDIRECT("'※ 재무_세부시트'!"&amp;BH$1&amp;$AD25, TRUE)</f>
        <v>94.908103049999994</v>
      </c>
      <c r="BI25" s="2617" cm="1">
        <f t="array" aca="1" ref="BI25" ca="1">INDIRECT("'※ 재무_세부시트'!"&amp;BI$1&amp;$AD25, TRUE)</f>
        <v>7.8079840999999996</v>
      </c>
      <c r="BJ25" s="2617" cm="1">
        <f t="array" aca="1" ref="BJ25" ca="1">INDIRECT("'※ 재무_세부시트'!"&amp;BJ$1&amp;$AD25, TRUE)</f>
        <v>7.9592369600000001</v>
      </c>
      <c r="BK25" s="2617" cm="1">
        <f t="array" aca="1" ref="BK25" ca="1">INDIRECT("'※ 재무_세부시트'!"&amp;BK$1&amp;$AD25, TRUE)</f>
        <v>7.5565453400000004</v>
      </c>
      <c r="BL25" s="2490"/>
      <c r="BM25" s="2491"/>
      <c r="BN25" s="2472"/>
      <c r="BO25" s="2472"/>
      <c r="BP25" s="2472"/>
      <c r="BQ25" s="2472"/>
      <c r="BR25" s="2472"/>
      <c r="BS25" s="2472"/>
    </row>
    <row r="26" spans="1:71" ht="19.5" customHeight="1" x14ac:dyDescent="0.55000000000000004">
      <c r="A26" s="2492"/>
      <c r="B26" s="2427"/>
      <c r="C26" s="2582" t="s">
        <v>764</v>
      </c>
      <c r="D26" s="2583" t="s">
        <v>104</v>
      </c>
      <c r="E26" s="2584" t="s">
        <v>867</v>
      </c>
      <c r="F26" s="2585" cm="1">
        <f t="array" aca="1" ref="F26" ca="1">INDIRECT("'※ 재무_세부시트'!"&amp;F$1&amp;$AD26, TRUE)</f>
        <v>410.81618177083294</v>
      </c>
      <c r="G26" s="2585" cm="1">
        <f t="array" aca="1" ref="G26" ca="1">INDIRECT("'※ 재무_세부시트'!"&amp;G$1&amp;$AD26, TRUE)</f>
        <v>405.48619674414363</v>
      </c>
      <c r="H26" s="2586" cm="1">
        <f t="array" aca="1" ref="H26" ca="1">INDIRECT("'※ 재무_세부시트'!"&amp;H$1&amp;$AD26, TRUE)</f>
        <v>28.244298460607862</v>
      </c>
      <c r="I26" s="2587" cm="1">
        <f t="array" aca="1" ref="I26" ca="1">INDIRECT("'※ 재무_세부시트'!"&amp;I$1&amp;$AD26, TRUE)</f>
        <v>30.704432768077552</v>
      </c>
      <c r="J26" s="2587" cm="1">
        <f t="array" aca="1" ref="J26" ca="1">INDIRECT("'※ 재무_세부시트'!"&amp;J$1&amp;$AD26, TRUE)</f>
        <v>27.694781502422678</v>
      </c>
      <c r="K26" s="2587" cm="1">
        <f t="array" aca="1" ref="K26" ca="1">INDIRECT("'※ 재무_세부시트'!"&amp;K$1&amp;$AD26, TRUE)</f>
        <v>35.63383083574859</v>
      </c>
      <c r="L26" s="2587" cm="1">
        <f t="array" aca="1" ref="L26" ca="1">INDIRECT("'※ 재무_세부시트'!"&amp;L$1&amp;$AD26, TRUE)</f>
        <v>25.398979669830549</v>
      </c>
      <c r="M26" s="2587" cm="1">
        <f t="array" aca="1" ref="M26" ca="1">INDIRECT("'※ 재무_세부시트'!"&amp;M$1&amp;$AD26, TRUE)</f>
        <v>38.599851278789693</v>
      </c>
      <c r="N26" s="2587" cm="1">
        <f t="array" aca="1" ref="N26" ca="1">INDIRECT("'※ 재무_세부시트'!"&amp;N$1&amp;$AD26, TRUE)</f>
        <v>32.468355201618003</v>
      </c>
      <c r="O26" s="2587" cm="1">
        <f t="array" aca="1" ref="O26" ca="1">INDIRECT("'※ 재무_세부시트'!"&amp;O$1&amp;$AD26, TRUE)</f>
        <v>31.153021984345262</v>
      </c>
      <c r="P26" s="2587" cm="1">
        <f t="array" aca="1" ref="P26" ca="1">INDIRECT("'※ 재무_세부시트'!"&amp;P$1&amp;$AD26, TRUE)</f>
        <v>32.786796350261362</v>
      </c>
      <c r="Q26" s="2587" cm="1">
        <f t="array" aca="1" ref="Q26" ca="1">INDIRECT("'※ 재무_세부시트'!"&amp;Q$1&amp;$AD26, TRUE)</f>
        <v>31.781018016395326</v>
      </c>
      <c r="R26" s="2587" cm="1">
        <f t="array" aca="1" ref="R26" ca="1">INDIRECT("'※ 재무_세부시트'!"&amp;R$1&amp;$AD26, TRUE)</f>
        <v>31.610685865514093</v>
      </c>
      <c r="S26" s="2587" cm="1">
        <f t="array" aca="1" ref="S26" ca="1">INDIRECT("'※ 재무_세부시트'!"&amp;S$1&amp;$AD26, TRUE)</f>
        <v>32.494026230587735</v>
      </c>
      <c r="T26" s="2588"/>
      <c r="U26" s="2588"/>
      <c r="V26" s="2589"/>
      <c r="W26" s="2590" cm="1">
        <f t="array" aca="1" ref="W26" ca="1">INDIRECT("'※ 재무_세부시트'!"&amp;W$1&amp;$AD26, TRUE)</f>
        <v>0.88334036507364289</v>
      </c>
      <c r="X26" s="2591" cm="1">
        <f t="array" aca="1" ref="X26" ca="1">INDIRECT("'※ 재무_세부시트'!"&amp;X$1&amp;$AD26, TRUE)</f>
        <v>-11.906722625799901</v>
      </c>
      <c r="Y26" s="2591" cm="1">
        <f t="array" aca="1" ref="Y26" ca="1">INDIRECT("'※ 재무_세부시트'!"&amp;Y$1&amp;$AD26, TRUE)</f>
        <v>0</v>
      </c>
      <c r="Z26" s="2592" cm="1">
        <f t="array" aca="1" ref="Z26" ca="1">INDIRECT("'※ 재무_세부시트'!"&amp;Z$1&amp;$AD26, TRUE)</f>
        <v>378.57007816419866</v>
      </c>
      <c r="AA26" s="2593"/>
      <c r="AB26" s="2594"/>
      <c r="AC26" s="2595" cm="1">
        <f t="array" aca="1" ref="AC26" ca="1">INDIRECT("'※ 재무_세부시트'!"&amp;AC$1&amp;$AD26, TRUE)</f>
        <v>-26.916118579944964</v>
      </c>
      <c r="AD26" s="2441">
        <v>25</v>
      </c>
      <c r="AE26" s="2618">
        <f>AE22-AE28-AE29-AE30-AE31-AE32-AE33-AE34-AE27</f>
        <v>42.066384744791641</v>
      </c>
      <c r="AF26" s="2618">
        <f t="shared" ref="AF26:AP26" si="22">AF22-AF28-AF29-AF30-AF31-AF32-AF33-AF34-AF27</f>
        <v>27.371089241433097</v>
      </c>
      <c r="AG26" s="2618">
        <f t="shared" si="22"/>
        <v>34.751476728415717</v>
      </c>
      <c r="AH26" s="2618">
        <f t="shared" si="22"/>
        <v>31.781032841273074</v>
      </c>
      <c r="AI26" s="2618">
        <f t="shared" si="22"/>
        <v>34.715691547439917</v>
      </c>
      <c r="AJ26" s="2618">
        <f t="shared" si="22"/>
        <v>33.895680180807446</v>
      </c>
      <c r="AK26" s="2618">
        <f t="shared" si="22"/>
        <v>36.221802545297365</v>
      </c>
      <c r="AL26" s="2618">
        <f t="shared" si="22"/>
        <v>34.629332205489725</v>
      </c>
      <c r="AM26" s="2618">
        <f t="shared" si="22"/>
        <v>30.2469242186496</v>
      </c>
      <c r="AN26" s="2618">
        <f t="shared" si="22"/>
        <v>36.059687511127684</v>
      </c>
      <c r="AO26" s="2618">
        <f t="shared" si="22"/>
        <v>32.256299670086584</v>
      </c>
      <c r="AP26" s="2618">
        <f t="shared" si="22"/>
        <v>36.820780336021066</v>
      </c>
      <c r="AQ26" s="2618">
        <f t="shared" ref="AQ26:AQ34" si="23">SUM(AE26:AP26)</f>
        <v>410.81618177083294</v>
      </c>
      <c r="AR26" s="2619"/>
      <c r="AS26" s="2618"/>
      <c r="AT26" s="2618"/>
      <c r="AU26" s="2618"/>
      <c r="AV26" s="2618"/>
      <c r="AW26" s="2618"/>
      <c r="AX26" s="2618"/>
      <c r="AY26" s="2618"/>
      <c r="AZ26" s="2618"/>
      <c r="BA26" s="2618"/>
      <c r="BB26" s="2618"/>
      <c r="BC26" s="2618"/>
      <c r="BD26" s="2618"/>
      <c r="BE26" s="2618">
        <f t="shared" ref="BE26:BE34" si="24">SUM(AS26:BD26)</f>
        <v>0</v>
      </c>
      <c r="BF26" s="2426"/>
      <c r="BG26" s="2561" cm="1">
        <f t="array" aca="1" ref="BG26" ca="1">INDIRECT("'※ 재무_세부시트'!"&amp;BG$1&amp;$AD26, TRUE)</f>
        <v>42.066384744791627</v>
      </c>
      <c r="BH26" s="2561" cm="1">
        <f t="array" aca="1" ref="BH26" ca="1">INDIRECT("'※ 재무_세부시트'!"&amp;BH$1&amp;$AD26, TRUE)</f>
        <v>410.81618177083294</v>
      </c>
      <c r="BI26" s="2561" cm="1">
        <f t="array" aca="1" ref="BI26" ca="1">INDIRECT("'※ 재무_세부시트'!"&amp;BI$1&amp;$AD26, TRUE)</f>
        <v>36.221802545297365</v>
      </c>
      <c r="BJ26" s="2561" cm="1">
        <f t="array" aca="1" ref="BJ26" ca="1">INDIRECT("'※ 재무_세부시트'!"&amp;BJ$1&amp;$AD26, TRUE)</f>
        <v>31.993702992727275</v>
      </c>
      <c r="BK26" s="2561" cm="1">
        <f t="array" aca="1" ref="BK26" ca="1">INDIRECT("'※ 재무_세부시트'!"&amp;BK$1&amp;$AD26, TRUE)</f>
        <v>30.2469242186496</v>
      </c>
      <c r="BL26" s="2490"/>
      <c r="BM26" s="2491"/>
      <c r="BN26" s="2472"/>
      <c r="BO26" s="2472"/>
      <c r="BP26" s="2472"/>
      <c r="BQ26" s="2472"/>
      <c r="BR26" s="2472"/>
      <c r="BS26" s="2472"/>
    </row>
    <row r="27" spans="1:71" ht="19.5" customHeight="1" x14ac:dyDescent="0.55000000000000004">
      <c r="A27" s="2492"/>
      <c r="B27" s="2427"/>
      <c r="C27" s="2599"/>
      <c r="D27" s="2576" t="s">
        <v>112</v>
      </c>
      <c r="E27" s="2427" t="s">
        <v>868</v>
      </c>
      <c r="F27" s="2547" cm="1">
        <f t="array" aca="1" ref="F27" ca="1">INDIRECT("'※ 재무_세부시트'!"&amp;F$1&amp;$AD27, TRUE)</f>
        <v>19.314571808258023</v>
      </c>
      <c r="G27" s="2547" cm="1">
        <f t="array" aca="1" ref="G27" ca="1">INDIRECT("'※ 재무_세부시트'!"&amp;G$1&amp;$AD27, TRUE)</f>
        <v>17.795332379492766</v>
      </c>
      <c r="H27" s="2548" cm="1">
        <f t="array" aca="1" ref="H27" ca="1">INDIRECT("'※ 재무_세부시트'!"&amp;H$1&amp;$AD27, TRUE)</f>
        <v>1.4180424187103164</v>
      </c>
      <c r="I27" s="2549" cm="1">
        <f t="array" aca="1" ref="I27" ca="1">INDIRECT("'※ 재무_세부시트'!"&amp;I$1&amp;$AD27, TRUE)</f>
        <v>1.4337837506497257</v>
      </c>
      <c r="J27" s="2549" cm="1">
        <f t="array" aca="1" ref="J27" ca="1">INDIRECT("'※ 재무_세부시트'!"&amp;J$1&amp;$AD27, TRUE)</f>
        <v>1.427474434531864</v>
      </c>
      <c r="K27" s="2549" cm="1">
        <f t="array" aca="1" ref="K27" ca="1">INDIRECT("'※ 재무_세부시트'!"&amp;K$1&amp;$AD27, TRUE)</f>
        <v>1.5287668697968635</v>
      </c>
      <c r="L27" s="2549" cm="1">
        <f t="array" aca="1" ref="L27" ca="1">INDIRECT("'※ 재무_세부시트'!"&amp;L$1&amp;$AD27, TRUE)</f>
        <v>1.5329222165330907</v>
      </c>
      <c r="M27" s="2549" cm="1">
        <f t="array" aca="1" ref="M27" ca="1">INDIRECT("'※ 재무_세부시트'!"&amp;M$1&amp;$AD27, TRUE)</f>
        <v>1.4180424187103164</v>
      </c>
      <c r="N27" s="2549" cm="1">
        <f t="array" aca="1" ref="N27" ca="1">INDIRECT("'※ 재무_세부시트'!"&amp;N$1&amp;$AD27, TRUE)</f>
        <v>1.518616017700182</v>
      </c>
      <c r="O27" s="2549" cm="1">
        <f t="array" aca="1" ref="O27" ca="1">INDIRECT("'※ 재무_세부시트'!"&amp;O$1&amp;$AD27, TRUE)</f>
        <v>1.518616017700182</v>
      </c>
      <c r="P27" s="2549" cm="1">
        <f t="array" aca="1" ref="P27" ca="1">INDIRECT("'※ 재무_세부시트'!"&amp;P$1&amp;$AD27, TRUE)</f>
        <v>1.5016432583749997</v>
      </c>
      <c r="Q27" s="2549" cm="1">
        <f t="array" aca="1" ref="Q27" ca="1">INDIRECT("'※ 재무_세부시트'!"&amp;Q$1&amp;$AD27, TRUE)</f>
        <v>1.5257767711046817</v>
      </c>
      <c r="R27" s="2549" cm="1">
        <f t="array" aca="1" ref="R27" ca="1">INDIRECT("'※ 재무_세부시트'!"&amp;R$1&amp;$AD27, TRUE)</f>
        <v>1.4983585047131818</v>
      </c>
      <c r="S27" s="2549" cm="1">
        <f t="array" aca="1" ref="S27" ca="1">INDIRECT("'※ 재무_세부시트'!"&amp;S$1&amp;$AD27, TRUE)</f>
        <v>1.5105706387304547</v>
      </c>
      <c r="T27" s="2600"/>
      <c r="U27" s="2600"/>
      <c r="V27" s="2601"/>
      <c r="W27" s="2559" cm="1">
        <f t="array" aca="1" ref="W27" ca="1">INDIRECT("'※ 재무_세부시트'!"&amp;W$1&amp;$AD27, TRUE)</f>
        <v>1.2212134017272946E-2</v>
      </c>
      <c r="X27" s="2555" cm="1">
        <f t="array" aca="1" ref="X27" ca="1">INDIRECT("'※ 재무_세부시트'!"&amp;X$1&amp;$AD27, TRUE)</f>
        <v>9.0124659345365066E-2</v>
      </c>
      <c r="Y27" s="2555" cm="1">
        <f t="array" aca="1" ref="Y27" ca="1">INDIRECT("'※ 재무_세부시트'!"&amp;Y$1&amp;$AD27, TRUE)</f>
        <v>0</v>
      </c>
      <c r="Z27" s="2554" cm="1">
        <f t="array" aca="1" ref="Z27" ca="1">INDIRECT("'※ 재무_세부시트'!"&amp;Z$1&amp;$AD27, TRUE)</f>
        <v>17.832613317255856</v>
      </c>
      <c r="AA27" s="2602"/>
      <c r="AB27" s="2603"/>
      <c r="AC27" s="2560" cm="1">
        <f t="array" aca="1" ref="AC27" ca="1">INDIRECT("'※ 재무_세부시트'!"&amp;AC$1&amp;$AD27, TRUE)</f>
        <v>3.7280937763089383E-2</v>
      </c>
      <c r="AD27" s="2441">
        <v>26</v>
      </c>
      <c r="AE27" s="2614">
        <v>1.7</v>
      </c>
      <c r="AF27" s="2614">
        <v>1.6830000000000001</v>
      </c>
      <c r="AG27" s="2614">
        <v>1.6661699999999999</v>
      </c>
      <c r="AH27" s="2614">
        <v>1.6495082999999999</v>
      </c>
      <c r="AI27" s="2614">
        <v>1.6330132169999998</v>
      </c>
      <c r="AJ27" s="2614">
        <v>1.61668308483</v>
      </c>
      <c r="AK27" s="2614">
        <v>1.6005162539816999</v>
      </c>
      <c r="AL27" s="2614">
        <v>1.5845110914418827</v>
      </c>
      <c r="AM27" s="2620">
        <v>1.5686659805274641</v>
      </c>
      <c r="AN27" s="2614">
        <v>1.5529793207221891</v>
      </c>
      <c r="AO27" s="2614">
        <v>1.5374495275149673</v>
      </c>
      <c r="AP27" s="2614">
        <v>1.5220750322398178</v>
      </c>
      <c r="AQ27" s="2614">
        <f t="shared" si="23"/>
        <v>19.314571808258023</v>
      </c>
      <c r="AR27" s="2615"/>
      <c r="AS27" s="2614"/>
      <c r="AT27" s="2614"/>
      <c r="AU27" s="2614"/>
      <c r="AV27" s="2614"/>
      <c r="AW27" s="2614"/>
      <c r="AX27" s="2614"/>
      <c r="AY27" s="2614"/>
      <c r="AZ27" s="2614"/>
      <c r="BA27" s="2614"/>
      <c r="BB27" s="2614"/>
      <c r="BC27" s="2614"/>
      <c r="BD27" s="2614"/>
      <c r="BE27" s="2614">
        <f t="shared" si="24"/>
        <v>0</v>
      </c>
      <c r="BF27" s="2426"/>
      <c r="BG27" s="2561" cm="1">
        <f t="array" aca="1" ref="BG27" ca="1">INDIRECT("'※ 재무_세부시트'!"&amp;BG$1&amp;$AD27, TRUE)</f>
        <v>1.7</v>
      </c>
      <c r="BH27" s="2561" cm="1">
        <f t="array" aca="1" ref="BH27" ca="1">INDIRECT("'※ 재무_세부시트'!"&amp;BH$1&amp;$AD27, TRUE)</f>
        <v>19.314571808258023</v>
      </c>
      <c r="BI27" s="2561" cm="1">
        <f t="array" aca="1" ref="BI27" ca="1">INDIRECT("'※ 재무_세부시트'!"&amp;BI$1&amp;$AD27, TRUE)</f>
        <v>1.6005162539816999</v>
      </c>
      <c r="BJ27" s="2561" cm="1">
        <f t="array" aca="1" ref="BJ27" ca="1">INDIRECT("'※ 재무_세부시트'!"&amp;BJ$1&amp;$AD27, TRUE)</f>
        <v>1.4897</v>
      </c>
      <c r="BK27" s="2561" cm="1">
        <f t="array" aca="1" ref="BK27" ca="1">INDIRECT("'※ 재무_세부시트'!"&amp;BK$1&amp;$AD27, TRUE)</f>
        <v>1.5686659805274641</v>
      </c>
      <c r="BL27" s="2490"/>
      <c r="BM27" s="2491"/>
      <c r="BN27" s="2472"/>
      <c r="BO27" s="2472"/>
      <c r="BP27" s="2472"/>
      <c r="BQ27" s="2472"/>
      <c r="BR27" s="2472"/>
      <c r="BS27" s="2472"/>
    </row>
    <row r="28" spans="1:71" ht="19.5" customHeight="1" x14ac:dyDescent="0.55000000000000004">
      <c r="A28" s="2492"/>
      <c r="B28" s="2427"/>
      <c r="C28" s="2599"/>
      <c r="D28" s="2576" t="s">
        <v>53</v>
      </c>
      <c r="E28" s="2427" t="s">
        <v>869</v>
      </c>
      <c r="F28" s="2547" cm="1">
        <f t="array" aca="1" ref="F28" ca="1">INDIRECT("'※ 재무_세부시트'!"&amp;F$1&amp;$AD28, TRUE)</f>
        <v>17.911080999999999</v>
      </c>
      <c r="G28" s="2547" cm="1">
        <f t="array" aca="1" ref="G28" ca="1">INDIRECT("'※ 재무_세부시트'!"&amp;G$1&amp;$AD28, TRUE)</f>
        <v>20.661178309999997</v>
      </c>
      <c r="H28" s="2548" cm="1">
        <f t="array" aca="1" ref="H28" ca="1">INDIRECT("'※ 재무_세부시트'!"&amp;H$1&amp;$AD28, TRUE)</f>
        <v>1.74486284159091</v>
      </c>
      <c r="I28" s="2549" cm="1">
        <f t="array" aca="1" ref="I28" ca="1">INDIRECT("'※ 재무_세부시트'!"&amp;I$1&amp;$AD28, TRUE)</f>
        <v>1.7453800658181817</v>
      </c>
      <c r="J28" s="2549" cm="1">
        <f t="array" aca="1" ref="J28" ca="1">INDIRECT("'※ 재무_세부시트'!"&amp;J$1&amp;$AD28, TRUE)</f>
        <v>1.7273761130454546</v>
      </c>
      <c r="K28" s="2549" cm="1">
        <f t="array" aca="1" ref="K28" ca="1">INDIRECT("'※ 재무_세부시트'!"&amp;K$1&amp;$AD28, TRUE)</f>
        <v>1.7503188826363636</v>
      </c>
      <c r="L28" s="2549" cm="1">
        <f t="array" aca="1" ref="L28" ca="1">INDIRECT("'※ 재무_세부시트'!"&amp;L$1&amp;$AD28, TRUE)</f>
        <v>1.7810159881818182</v>
      </c>
      <c r="M28" s="2549" cm="1">
        <f t="array" aca="1" ref="M28" ca="1">INDIRECT("'※ 재무_세부시트'!"&amp;M$1&amp;$AD28, TRUE)</f>
        <v>1.74486284159091</v>
      </c>
      <c r="N28" s="2549" cm="1">
        <f t="array" aca="1" ref="N28" ca="1">INDIRECT("'※ 재무_세부시트'!"&amp;N$1&amp;$AD28, TRUE)</f>
        <v>1.74486284159091</v>
      </c>
      <c r="O28" s="2549" cm="1">
        <f t="array" aca="1" ref="O28" ca="1">INDIRECT("'※ 재무_세부시트'!"&amp;O$1&amp;$AD28, TRUE)</f>
        <v>1.74486284159091</v>
      </c>
      <c r="P28" s="2549" cm="1">
        <f t="array" aca="1" ref="P28" ca="1">INDIRECT("'※ 재무_세부시트'!"&amp;P$1&amp;$AD28, TRUE)</f>
        <v>1.731559085909091</v>
      </c>
      <c r="Q28" s="2549" cm="1">
        <f t="array" aca="1" ref="Q28" ca="1">INDIRECT("'※ 재무_세부시트'!"&amp;Q$1&amp;$AD28, TRUE)</f>
        <v>1.7583898806818181</v>
      </c>
      <c r="R28" s="2549" cm="1">
        <f t="array" aca="1" ref="R28" ca="1">INDIRECT("'※ 재무_세부시트'!"&amp;R$1&amp;$AD28, TRUE)</f>
        <v>1.7430904370454547</v>
      </c>
      <c r="S28" s="2549" cm="1">
        <f t="array" aca="1" ref="S28" ca="1">INDIRECT("'※ 재무_세부시트'!"&amp;S$1&amp;$AD28, TRUE)</f>
        <v>1.7430904370454547</v>
      </c>
      <c r="T28" s="2600"/>
      <c r="U28" s="2600"/>
      <c r="V28" s="2601"/>
      <c r="W28" s="2559" cm="1">
        <f t="array" aca="1" ref="W28" ca="1">INDIRECT("'※ 재무_세부시트'!"&amp;W$1&amp;$AD28, TRUE)</f>
        <v>0</v>
      </c>
      <c r="X28" s="2555" cm="1">
        <f t="array" aca="1" ref="X28" ca="1">INDIRECT("'※ 재무_세부시트'!"&amp;X$1&amp;$AD28, TRUE)</f>
        <v>1.5631056454545655E-2</v>
      </c>
      <c r="Y28" s="2555" cm="1">
        <f t="array" aca="1" ref="Y28" ca="1">INDIRECT("'※ 재무_세부시트'!"&amp;Y$1&amp;$AD28, TRUE)</f>
        <v>0</v>
      </c>
      <c r="Z28" s="2554" cm="1">
        <f t="array" aca="1" ref="Z28" ca="1">INDIRECT("'※ 재무_세부시트'!"&amp;Z$1&amp;$AD28, TRUE)</f>
        <v>20.959672256727277</v>
      </c>
      <c r="AA28" s="2602"/>
      <c r="AB28" s="2603"/>
      <c r="AC28" s="2560" cm="1">
        <f t="array" aca="1" ref="AC28" ca="1">INDIRECT("'※ 재무_세부시트'!"&amp;AC$1&amp;$AD28, TRUE)</f>
        <v>0.29849394672728025</v>
      </c>
      <c r="AD28" s="2441">
        <v>27</v>
      </c>
      <c r="AE28" s="2614">
        <v>1.522877</v>
      </c>
      <c r="AF28" s="2614">
        <v>1.5334382500000001</v>
      </c>
      <c r="AG28" s="2614">
        <v>1.4773935</v>
      </c>
      <c r="AH28" s="2614">
        <v>1.490764</v>
      </c>
      <c r="AI28" s="2614">
        <v>1.4585659999999998</v>
      </c>
      <c r="AJ28" s="2614">
        <v>1.4674782500000001</v>
      </c>
      <c r="AK28" s="2614">
        <v>1.4742314999999999</v>
      </c>
      <c r="AL28" s="2614">
        <v>1.4776952499999998</v>
      </c>
      <c r="AM28" s="2620">
        <v>1.482604</v>
      </c>
      <c r="AN28" s="2614">
        <v>1.4977764999999998</v>
      </c>
      <c r="AO28" s="2614">
        <v>1.51239225</v>
      </c>
      <c r="AP28" s="2614">
        <v>1.5158645000000002</v>
      </c>
      <c r="AQ28" s="2614">
        <f t="shared" si="23"/>
        <v>17.911080999999999</v>
      </c>
      <c r="AR28" s="2615"/>
      <c r="AS28" s="2614"/>
      <c r="AT28" s="2614"/>
      <c r="AU28" s="2614"/>
      <c r="AV28" s="2614"/>
      <c r="AW28" s="2614"/>
      <c r="AX28" s="2614"/>
      <c r="AY28" s="2614"/>
      <c r="AZ28" s="2614"/>
      <c r="BA28" s="2614"/>
      <c r="BB28" s="2614"/>
      <c r="BC28" s="2614"/>
      <c r="BD28" s="2614"/>
      <c r="BE28" s="2614">
        <f t="shared" si="24"/>
        <v>0</v>
      </c>
      <c r="BF28" s="2426"/>
      <c r="BG28" s="2561" cm="1">
        <f t="array" aca="1" ref="BG28" ca="1">INDIRECT("'※ 재무_세부시트'!"&amp;BG$1&amp;$AD28, TRUE)</f>
        <v>1.522877</v>
      </c>
      <c r="BH28" s="2561" cm="1">
        <f t="array" aca="1" ref="BH28" ca="1">INDIRECT("'※ 재무_세부시트'!"&amp;BH$1&amp;$AD28, TRUE)</f>
        <v>17.911080999999999</v>
      </c>
      <c r="BI28" s="2561" cm="1">
        <f t="array" aca="1" ref="BI28" ca="1">INDIRECT("'※ 재무_세부시트'!"&amp;BI$1&amp;$AD28, TRUE)</f>
        <v>1.4742314999999999</v>
      </c>
      <c r="BJ28" s="2561" cm="1">
        <f t="array" aca="1" ref="BJ28" ca="1">INDIRECT("'※ 재무_세부시트'!"&amp;BJ$1&amp;$AD28, TRUE)</f>
        <v>1.7</v>
      </c>
      <c r="BK28" s="2561" cm="1">
        <f t="array" aca="1" ref="BK28" ca="1">INDIRECT("'※ 재무_세부시트'!"&amp;BK$1&amp;$AD28, TRUE)</f>
        <v>1.482604</v>
      </c>
      <c r="BL28" s="2490"/>
      <c r="BM28" s="2491"/>
      <c r="BN28" s="2472"/>
      <c r="BO28" s="2472"/>
      <c r="BP28" s="2472"/>
      <c r="BQ28" s="2472"/>
      <c r="BR28" s="2472"/>
      <c r="BS28" s="2472"/>
    </row>
    <row r="29" spans="1:71" ht="19.5" customHeight="1" x14ac:dyDescent="0.55000000000000004">
      <c r="A29" s="2492"/>
      <c r="B29" s="2427"/>
      <c r="C29" s="2599"/>
      <c r="D29" s="2576" t="s">
        <v>161</v>
      </c>
      <c r="E29" s="2428" t="s">
        <v>892</v>
      </c>
      <c r="F29" s="2621" cm="1">
        <f t="array" aca="1" ref="F29" ca="1">INDIRECT("'※ 재무_세부시트'!"&amp;F$1&amp;$AD29, TRUE)</f>
        <v>67.208766109090902</v>
      </c>
      <c r="G29" s="2621" cm="1">
        <f t="array" aca="1" ref="G29" ca="1">INDIRECT("'※ 재무_세부시트'!"&amp;G$1&amp;$AD29, TRUE)</f>
        <v>61.039487890909079</v>
      </c>
      <c r="H29" s="2548" cm="1">
        <f t="array" aca="1" ref="H29" ca="1">INDIRECT("'※ 재무_세부시트'!"&amp;H$1&amp;$AD29, TRUE)</f>
        <v>4.1425931999999994</v>
      </c>
      <c r="I29" s="2549" cm="1">
        <f t="array" aca="1" ref="I29" ca="1">INDIRECT("'※ 재무_세부시트'!"&amp;I$1&amp;$AD29, TRUE)</f>
        <v>4.140338836363636</v>
      </c>
      <c r="J29" s="2549" cm="1">
        <f t="array" aca="1" ref="J29" ca="1">INDIRECT("'※ 재무_세부시트'!"&amp;J$1&amp;$AD29, TRUE)</f>
        <v>3.8632196272727271</v>
      </c>
      <c r="K29" s="2549" cm="1">
        <f t="array" aca="1" ref="K29" ca="1">INDIRECT("'※ 재무_세부시트'!"&amp;K$1&amp;$AD29, TRUE)</f>
        <v>3.6772409272727269</v>
      </c>
      <c r="L29" s="2549" cm="1">
        <f t="array" aca="1" ref="L29" ca="1">INDIRECT("'※ 재무_세부시트'!"&amp;L$1&amp;$AD29, TRUE)</f>
        <v>3.5184740636363632</v>
      </c>
      <c r="M29" s="2549" cm="1">
        <f t="array" aca="1" ref="M29" ca="1">INDIRECT("'※ 재무_세부시트'!"&amp;M$1&amp;$AD29, TRUE)</f>
        <v>3.3729351545454542</v>
      </c>
      <c r="N29" s="2549" cm="1">
        <f t="array" aca="1" ref="N29" ca="1">INDIRECT("'※ 재무_세부시트'!"&amp;N$1&amp;$AD29, TRUE)</f>
        <v>3.217503527272727</v>
      </c>
      <c r="O29" s="2549" cm="1">
        <f t="array" aca="1" ref="O29" ca="1">INDIRECT("'※ 재무_세부시트'!"&amp;O$1&amp;$AD29, TRUE)</f>
        <v>3.0304161545454544</v>
      </c>
      <c r="P29" s="2549" cm="1">
        <f t="array" aca="1" ref="P29" ca="1">INDIRECT("'※ 재무_세부시트'!"&amp;P$1&amp;$AD29, TRUE)</f>
        <v>2.8506905727272724</v>
      </c>
      <c r="Q29" s="2549" cm="1">
        <f t="array" aca="1" ref="Q29" ca="1">INDIRECT("'※ 재무_세부시트'!"&amp;Q$1&amp;$AD29, TRUE)</f>
        <v>2.6879537090909089</v>
      </c>
      <c r="R29" s="2549" cm="1">
        <f t="array" aca="1" ref="R29" ca="1">INDIRECT("'※ 재무_세부시트'!"&amp;R$1&amp;$AD29, TRUE)</f>
        <v>2.5119146909090908</v>
      </c>
      <c r="S29" s="2549" cm="1">
        <f t="array" aca="1" ref="S29" ca="1">INDIRECT("'※ 재무_세부시트'!"&amp;S$1&amp;$AD29, TRUE)</f>
        <v>2.4026394909090905</v>
      </c>
      <c r="T29" s="2600"/>
      <c r="U29" s="2600"/>
      <c r="V29" s="2601"/>
      <c r="W29" s="2559" cm="1">
        <f t="array" aca="1" ref="W29" ca="1">INDIRECT("'※ 재무_세부시트'!"&amp;W$1&amp;$AD29, TRUE)</f>
        <v>-0.10927520000000035</v>
      </c>
      <c r="X29" s="2555" cm="1">
        <f t="array" aca="1" ref="X29" ca="1">INDIRECT("'※ 재무_세부시트'!"&amp;X$1&amp;$AD29, TRUE)</f>
        <v>-2.006398363636364</v>
      </c>
      <c r="Y29" s="2555" cm="1">
        <f t="array" aca="1" ref="Y29" ca="1">INDIRECT("'※ 재무_세부시트'!"&amp;Y$1&amp;$AD29, TRUE)</f>
        <v>0</v>
      </c>
      <c r="Z29" s="2554" cm="1">
        <f t="array" aca="1" ref="Z29" ca="1">INDIRECT("'※ 재무_세부시트'!"&amp;Z$1&amp;$AD29, TRUE)</f>
        <v>39.415919954545451</v>
      </c>
      <c r="AA29" s="2602"/>
      <c r="AB29" s="2603"/>
      <c r="AC29" s="2560" cm="1">
        <f t="array" aca="1" ref="AC29" ca="1">INDIRECT("'※ 재무_세부시트'!"&amp;AC$1&amp;$AD29, TRUE)</f>
        <v>-21.623567936363628</v>
      </c>
      <c r="AD29" s="2441">
        <v>28</v>
      </c>
      <c r="AE29" s="2616">
        <v>5.6540478642166336</v>
      </c>
      <c r="AF29" s="2616">
        <v>5.7012886452611227</v>
      </c>
      <c r="AG29" s="2616">
        <v>5.7383666137330751</v>
      </c>
      <c r="AH29" s="2616">
        <v>5.5275548617021277</v>
      </c>
      <c r="AI29" s="2616">
        <v>5.4801296257253389</v>
      </c>
      <c r="AJ29" s="2616">
        <v>5.4858960941972903</v>
      </c>
      <c r="AK29" s="2616">
        <v>5.6338214742746606</v>
      </c>
      <c r="AL29" s="2616">
        <v>5.6292190580270782</v>
      </c>
      <c r="AM29" s="2622">
        <v>5.5366031079303673</v>
      </c>
      <c r="AN29" s="2616">
        <v>5.6500353531914893</v>
      </c>
      <c r="AO29" s="2616">
        <v>5.5978558642166343</v>
      </c>
      <c r="AP29" s="2616">
        <v>5.573947546615087</v>
      </c>
      <c r="AQ29" s="2505">
        <f t="shared" si="23"/>
        <v>67.208766109090902</v>
      </c>
      <c r="AR29" s="2488"/>
      <c r="AS29" s="2616"/>
      <c r="AT29" s="2616"/>
      <c r="AU29" s="2616"/>
      <c r="AV29" s="2616"/>
      <c r="AW29" s="2616"/>
      <c r="AX29" s="2616"/>
      <c r="AY29" s="2616"/>
      <c r="AZ29" s="2616"/>
      <c r="BA29" s="2616"/>
      <c r="BB29" s="2616"/>
      <c r="BC29" s="2616"/>
      <c r="BD29" s="2616"/>
      <c r="BE29" s="2505">
        <f t="shared" si="24"/>
        <v>0</v>
      </c>
      <c r="BG29" s="2561" cm="1">
        <f t="array" aca="1" ref="BG29" ca="1">INDIRECT("'※ 재무_세부시트'!"&amp;BG$1&amp;$AD29, TRUE)</f>
        <v>5.6540478642166336</v>
      </c>
      <c r="BH29" s="2561" cm="1">
        <f t="array" aca="1" ref="BH29" ca="1">INDIRECT("'※ 재무_세부시트'!"&amp;BH$1&amp;$AD29, TRUE)</f>
        <v>67.208766109090902</v>
      </c>
      <c r="BI29" s="2561" cm="1">
        <f t="array" aca="1" ref="BI29" ca="1">INDIRECT("'※ 재무_세부시트'!"&amp;BI$1&amp;$AD29, TRUE)</f>
        <v>5.6338214742746606</v>
      </c>
      <c r="BJ29" s="2561" cm="1">
        <f t="array" aca="1" ref="BJ29" ca="1">INDIRECT("'※ 재무_세부시트'!"&amp;BJ$1&amp;$AD29, TRUE)</f>
        <v>5.1725335363636358</v>
      </c>
      <c r="BK29" s="2561" cm="1">
        <f t="array" aca="1" ref="BK29" ca="1">INDIRECT("'※ 재무_세부시트'!"&amp;BK$1&amp;$AD29, TRUE)</f>
        <v>5.5366031079303673</v>
      </c>
      <c r="BL29" s="2490"/>
      <c r="BM29" s="2491"/>
      <c r="BN29" s="2472"/>
      <c r="BO29" s="2472"/>
      <c r="BP29" s="2472"/>
      <c r="BQ29" s="2472"/>
      <c r="BR29" s="2472"/>
      <c r="BS29" s="2472"/>
    </row>
    <row r="30" spans="1:71" ht="19.5" customHeight="1" x14ac:dyDescent="0.55000000000000004">
      <c r="A30" s="2492"/>
      <c r="B30" s="2427"/>
      <c r="C30" s="2599"/>
      <c r="D30" s="2576" t="s">
        <v>87</v>
      </c>
      <c r="E30" s="2427"/>
      <c r="F30" s="2547" cm="1">
        <f t="array" aca="1" ref="F30" ca="1">INDIRECT("'※ 재무_세부시트'!"&amp;F$1&amp;$AD30, TRUE)</f>
        <v>56.691540672727271</v>
      </c>
      <c r="G30" s="2547" cm="1">
        <f t="array" aca="1" ref="G30" ca="1">INDIRECT("'※ 재무_세부시트'!"&amp;G$1&amp;$AD30, TRUE)</f>
        <v>54.931284545454545</v>
      </c>
      <c r="H30" s="2548" cm="1">
        <f t="array" aca="1" ref="H30" ca="1">INDIRECT("'※ 재무_세부시트'!"&amp;H$1&amp;$AD30, TRUE)</f>
        <v>3.8039284545454546</v>
      </c>
      <c r="I30" s="2549" cm="1">
        <f t="array" aca="1" ref="I30" ca="1">INDIRECT("'※ 재무_세부시트'!"&amp;I$1&amp;$AD30, TRUE)</f>
        <v>4.1171956363636362</v>
      </c>
      <c r="J30" s="2549" cm="1">
        <f t="array" aca="1" ref="J30" ca="1">INDIRECT("'※ 재무_세부시트'!"&amp;J$1&amp;$AD30, TRUE)</f>
        <v>4.3993616454545448</v>
      </c>
      <c r="K30" s="2549" cm="1">
        <f t="array" aca="1" ref="K30" ca="1">INDIRECT("'※ 재무_세부시트'!"&amp;K$1&amp;$AD30, TRUE)</f>
        <v>3.739106636363636</v>
      </c>
      <c r="L30" s="2549" cm="1">
        <f t="array" aca="1" ref="L30" ca="1">INDIRECT("'※ 재무_세부시트'!"&amp;L$1&amp;$AD30, TRUE)</f>
        <v>3.6557820909090908</v>
      </c>
      <c r="M30" s="2549" cm="1">
        <f t="array" aca="1" ref="M30" ca="1">INDIRECT("'※ 재무_세부시트'!"&amp;M$1&amp;$AD30, TRUE)</f>
        <v>3.5924522727272725</v>
      </c>
      <c r="N30" s="2549" cm="1">
        <f t="array" aca="1" ref="N30" ca="1">INDIRECT("'※ 재무_세부시트'!"&amp;N$1&amp;$AD30, TRUE)</f>
        <v>3.8894031818181811</v>
      </c>
      <c r="O30" s="2549" cm="1">
        <f t="array" aca="1" ref="O30" ca="1">INDIRECT("'※ 재무_세부시트'!"&amp;O$1&amp;$AD30, TRUE)</f>
        <v>3.4551302727272724</v>
      </c>
      <c r="P30" s="2549" cm="1">
        <f t="array" aca="1" ref="P30" ca="1">INDIRECT("'※ 재무_세부시트'!"&amp;P$1&amp;$AD30, TRUE)</f>
        <v>3.382942545454545</v>
      </c>
      <c r="Q30" s="2549" cm="1">
        <f t="array" aca="1" ref="Q30" ca="1">INDIRECT("'※ 재무_세부시트'!"&amp;Q$1&amp;$AD30, TRUE)</f>
        <v>3.382942545454545</v>
      </c>
      <c r="R30" s="2549" cm="1">
        <f t="array" aca="1" ref="R30" ca="1">INDIRECT("'※ 재무_세부시트'!"&amp;R$1&amp;$AD30, TRUE)</f>
        <v>3.1911021818181813</v>
      </c>
      <c r="S30" s="2549" cm="1">
        <f t="array" aca="1" ref="S30" ca="1">INDIRECT("'※ 재무_세부시트'!"&amp;S$1&amp;$AD30, TRUE)</f>
        <v>3.1645737272727268</v>
      </c>
      <c r="T30" s="2600"/>
      <c r="U30" s="2600"/>
      <c r="V30" s="2601"/>
      <c r="W30" s="2559" cm="1">
        <f t="array" aca="1" ref="W30" ca="1">INDIRECT("'※ 재무_세부시트'!"&amp;W$1&amp;$AD30, TRUE)</f>
        <v>-2.6528454545454494E-2</v>
      </c>
      <c r="X30" s="2555" cm="1">
        <f t="array" aca="1" ref="X30" ca="1">INDIRECT("'※ 재무_세부시트'!"&amp;X$1&amp;$AD30, TRUE)</f>
        <v>-1.1168895454545456</v>
      </c>
      <c r="Y30" s="2555" cm="1">
        <f t="array" aca="1" ref="Y30" ca="1">INDIRECT("'※ 재무_세부시트'!"&amp;Y$1&amp;$AD30, TRUE)</f>
        <v>0</v>
      </c>
      <c r="Z30" s="2554" cm="1">
        <f t="array" aca="1" ref="Z30" ca="1">INDIRECT("'※ 재무_세부시트'!"&amp;Z$1&amp;$AD30, TRUE)</f>
        <v>43.773921190909093</v>
      </c>
      <c r="AA30" s="2602"/>
      <c r="AB30" s="2603"/>
      <c r="AC30" s="2560" cm="1">
        <f t="array" aca="1" ref="AC30" ca="1">INDIRECT("'※ 재무_세부시트'!"&amp;AC$1&amp;$AD30, TRUE)</f>
        <v>-11.157363354545453</v>
      </c>
      <c r="AD30" s="2441">
        <v>29</v>
      </c>
      <c r="AE30" s="2616">
        <v>5.0341109999999993</v>
      </c>
      <c r="AF30" s="2616">
        <v>4.233279636363636</v>
      </c>
      <c r="AG30" s="2616">
        <v>4.916624399999999</v>
      </c>
      <c r="AH30" s="2616">
        <v>4.5693361818181817</v>
      </c>
      <c r="AI30" s="2616">
        <v>4.5908375454545451</v>
      </c>
      <c r="AJ30" s="2616">
        <v>4.5822824545454539</v>
      </c>
      <c r="AK30" s="2616">
        <v>4.9184787272727268</v>
      </c>
      <c r="AL30" s="2616">
        <v>4.678644454545454</v>
      </c>
      <c r="AM30" s="2622">
        <v>4.6044433636363626</v>
      </c>
      <c r="AN30" s="2616">
        <v>4.773463545454546</v>
      </c>
      <c r="AO30" s="2616">
        <v>4.7316570909090903</v>
      </c>
      <c r="AP30" s="2616">
        <v>5.0583822727272727</v>
      </c>
      <c r="AQ30" s="2505">
        <f t="shared" si="23"/>
        <v>56.691540672727271</v>
      </c>
      <c r="AR30" s="2488"/>
      <c r="AS30" s="2616"/>
      <c r="AT30" s="2616"/>
      <c r="AU30" s="2616"/>
      <c r="AV30" s="2616"/>
      <c r="AW30" s="2616"/>
      <c r="AX30" s="2616"/>
      <c r="AY30" s="2616"/>
      <c r="AZ30" s="2616"/>
      <c r="BA30" s="2616"/>
      <c r="BB30" s="2616"/>
      <c r="BC30" s="2616"/>
      <c r="BD30" s="2616"/>
      <c r="BE30" s="2505">
        <f t="shared" si="24"/>
        <v>0</v>
      </c>
      <c r="BG30" s="2561" cm="1">
        <f t="array" aca="1" ref="BG30" ca="1">INDIRECT("'※ 재무_세부시트'!"&amp;BG$1&amp;$AD30, TRUE)</f>
        <v>5.0341109999999993</v>
      </c>
      <c r="BH30" s="2561" cm="1">
        <f t="array" aca="1" ref="BH30" ca="1">INDIRECT("'※ 재무_세부시트'!"&amp;BH$1&amp;$AD30, TRUE)</f>
        <v>56.691540672727271</v>
      </c>
      <c r="BI30" s="2561" cm="1">
        <f t="array" aca="1" ref="BI30" ca="1">INDIRECT("'※ 재무_세부시트'!"&amp;BI$1&amp;$AD30, TRUE)</f>
        <v>4.9184787272727268</v>
      </c>
      <c r="BJ30" s="2561" cm="1">
        <f t="array" aca="1" ref="BJ30" ca="1">INDIRECT("'※ 재무_세부시트'!"&amp;BJ$1&amp;$AD30, TRUE)</f>
        <v>4.5738333636363633</v>
      </c>
      <c r="BK30" s="2561" cm="1">
        <f t="array" aca="1" ref="BK30" ca="1">INDIRECT("'※ 재무_세부시트'!"&amp;BK$1&amp;$AD30, TRUE)</f>
        <v>4.6044433636363626</v>
      </c>
      <c r="BL30" s="2490"/>
      <c r="BM30" s="2491"/>
      <c r="BN30" s="2472"/>
      <c r="BO30" s="2472"/>
      <c r="BP30" s="2472"/>
      <c r="BQ30" s="2472"/>
      <c r="BR30" s="2472"/>
      <c r="BS30" s="2472"/>
    </row>
    <row r="31" spans="1:71" ht="19.5" customHeight="1" x14ac:dyDescent="0.55000000000000004">
      <c r="A31" s="2492"/>
      <c r="B31" s="2427"/>
      <c r="C31" s="2599"/>
      <c r="D31" s="2576" t="s">
        <v>88</v>
      </c>
      <c r="E31" s="2427"/>
      <c r="F31" s="2547" cm="1">
        <f t="array" aca="1" ref="F31" ca="1">INDIRECT("'※ 재무_세부시트'!"&amp;F$1&amp;$AD31, TRUE)</f>
        <v>25.285030527272731</v>
      </c>
      <c r="G31" s="2547" cm="1">
        <f t="array" aca="1" ref="G31" ca="1">INDIRECT("'※ 재무_세부시트'!"&amp;G$1&amp;$AD31, TRUE)</f>
        <v>26.890152272727274</v>
      </c>
      <c r="H31" s="2548" cm="1">
        <f t="array" aca="1" ref="H31" ca="1">INDIRECT("'※ 재무_세부시트'!"&amp;H$1&amp;$AD31, TRUE)</f>
        <v>1.9646244545454543</v>
      </c>
      <c r="I31" s="2549" cm="1">
        <f t="array" aca="1" ref="I31" ca="1">INDIRECT("'※ 재무_세부시트'!"&amp;I$1&amp;$AD31, TRUE)</f>
        <v>2.1139592727272727</v>
      </c>
      <c r="J31" s="2549" cm="1">
        <f t="array" aca="1" ref="J31" ca="1">INDIRECT("'※ 재무_세부시트'!"&amp;J$1&amp;$AD31, TRUE)</f>
        <v>2.0006825454545454</v>
      </c>
      <c r="K31" s="2549" cm="1">
        <f t="array" aca="1" ref="K31" ca="1">INDIRECT("'※ 재무_세부시트'!"&amp;K$1&amp;$AD31, TRUE)</f>
        <v>1.9445589999999997</v>
      </c>
      <c r="L31" s="2549" cm="1">
        <f t="array" aca="1" ref="L31" ca="1">INDIRECT("'※ 재무_세부시트'!"&amp;L$1&amp;$AD31, TRUE)</f>
        <v>1.9207853636363634</v>
      </c>
      <c r="M31" s="2549" cm="1">
        <f t="array" aca="1" ref="M31" ca="1">INDIRECT("'※ 재무_세부시트'!"&amp;M$1&amp;$AD31, TRUE)</f>
        <v>1.9006985454545453</v>
      </c>
      <c r="N31" s="2549" cm="1">
        <f t="array" aca="1" ref="N31" ca="1">INDIRECT("'※ 재무_세부시트'!"&amp;N$1&amp;$AD31, TRUE)</f>
        <v>2.1088226363636364</v>
      </c>
      <c r="O31" s="2549" cm="1">
        <f t="array" aca="1" ref="O31" ca="1">INDIRECT("'※ 재무_세부시트'!"&amp;O$1&amp;$AD31, TRUE)</f>
        <v>1.8780528181818181</v>
      </c>
      <c r="P31" s="2549" cm="1">
        <f t="array" aca="1" ref="P31" ca="1">INDIRECT("'※ 재무_세부시트'!"&amp;P$1&amp;$AD31, TRUE)</f>
        <v>1.8569470909090906</v>
      </c>
      <c r="Q31" s="2549" cm="1">
        <f t="array" aca="1" ref="Q31" ca="1">INDIRECT("'※ 재무_세부시트'!"&amp;Q$1&amp;$AD31, TRUE)</f>
        <v>1.8569470909090906</v>
      </c>
      <c r="R31" s="2549" cm="1">
        <f t="array" aca="1" ref="R31" ca="1">INDIRECT("'※ 재무_세부시트'!"&amp;R$1&amp;$AD31, TRUE)</f>
        <v>1.7957804545454543</v>
      </c>
      <c r="S31" s="2549" cm="1">
        <f t="array" aca="1" ref="S31" ca="1">INDIRECT("'※ 재무_세부시트'!"&amp;S$1&amp;$AD31, TRUE)</f>
        <v>1.7909318181818181</v>
      </c>
      <c r="T31" s="2600"/>
      <c r="U31" s="2600"/>
      <c r="V31" s="2601"/>
      <c r="W31" s="2559" cm="1">
        <f t="array" aca="1" ref="W31" ca="1">INDIRECT("'※ 재무_세부시트'!"&amp;W$1&amp;$AD31, TRUE)</f>
        <v>-4.848636363636194E-3</v>
      </c>
      <c r="X31" s="2555" cm="1">
        <f t="array" aca="1" ref="X31" ca="1">INDIRECT("'※ 재무_세부시트'!"&amp;X$1&amp;$AD31, TRUE)</f>
        <v>-0.41620181818181812</v>
      </c>
      <c r="Y31" s="2555" cm="1">
        <f t="array" aca="1" ref="Y31" ca="1">INDIRECT("'※ 재무_세부시트'!"&amp;Y$1&amp;$AD31, TRUE)</f>
        <v>0</v>
      </c>
      <c r="Z31" s="2554" cm="1">
        <f t="array" aca="1" ref="Z31" ca="1">INDIRECT("'※ 재무_세부시트'!"&amp;Z$1&amp;$AD31, TRUE)</f>
        <v>23.132791090909091</v>
      </c>
      <c r="AA31" s="2602"/>
      <c r="AB31" s="2603"/>
      <c r="AC31" s="2560" cm="1">
        <f t="array" aca="1" ref="AC31" ca="1">INDIRECT("'※ 재무_세부시트'!"&amp;AC$1&amp;$AD31, TRUE)</f>
        <v>-3.7573611818181831</v>
      </c>
      <c r="AD31" s="2441">
        <v>30</v>
      </c>
      <c r="AE31" s="2616">
        <v>1.9871370909090909</v>
      </c>
      <c r="AF31" s="2616">
        <v>2.1905009999999998</v>
      </c>
      <c r="AG31" s="2616">
        <v>1.6563014363636364</v>
      </c>
      <c r="AH31" s="2616">
        <v>2.3826345454545454</v>
      </c>
      <c r="AI31" s="2616">
        <v>2.0444982727272727</v>
      </c>
      <c r="AJ31" s="2616">
        <v>2.0659987272727274</v>
      </c>
      <c r="AK31" s="2616">
        <v>2.0694203636363633</v>
      </c>
      <c r="AL31" s="2616">
        <v>2.2355180909090908</v>
      </c>
      <c r="AM31" s="2622">
        <v>2.1392998181818181</v>
      </c>
      <c r="AN31" s="2616">
        <v>2.1141679090909089</v>
      </c>
      <c r="AO31" s="2616">
        <v>2.1989009090909089</v>
      </c>
      <c r="AP31" s="2616">
        <v>2.2006523636363635</v>
      </c>
      <c r="AQ31" s="2505">
        <f t="shared" si="23"/>
        <v>25.285030527272731</v>
      </c>
      <c r="AR31" s="2488"/>
      <c r="AS31" s="2616"/>
      <c r="AT31" s="2616"/>
      <c r="AU31" s="2616"/>
      <c r="AV31" s="2616"/>
      <c r="AW31" s="2616"/>
      <c r="AX31" s="2616"/>
      <c r="AY31" s="2616"/>
      <c r="AZ31" s="2616"/>
      <c r="BA31" s="2616"/>
      <c r="BB31" s="2616"/>
      <c r="BC31" s="2616"/>
      <c r="BD31" s="2616"/>
      <c r="BE31" s="2505">
        <f t="shared" si="24"/>
        <v>0</v>
      </c>
      <c r="BG31" s="2561" cm="1">
        <f t="array" aca="1" ref="BG31" ca="1">INDIRECT("'※ 재무_세부시트'!"&amp;BG$1&amp;$AD31, TRUE)</f>
        <v>1.9871370909090909</v>
      </c>
      <c r="BH31" s="2561" cm="1">
        <f t="array" aca="1" ref="BH31" ca="1">INDIRECT("'※ 재무_세부시트'!"&amp;BH$1&amp;$AD31, TRUE)</f>
        <v>25.285030527272731</v>
      </c>
      <c r="BI31" s="2561" cm="1">
        <f t="array" aca="1" ref="BI31" ca="1">INDIRECT("'※ 재무_세부시트'!"&amp;BI$1&amp;$AD31, TRUE)</f>
        <v>2.0694203636363633</v>
      </c>
      <c r="BJ31" s="2561" cm="1">
        <f t="array" aca="1" ref="BJ31" ca="1">INDIRECT("'※ 재무_세부시트'!"&amp;BJ$1&amp;$AD31, TRUE)</f>
        <v>2.1981428181818181</v>
      </c>
      <c r="BK31" s="2561" cm="1">
        <f t="array" aca="1" ref="BK31" ca="1">INDIRECT("'※ 재무_세부시트'!"&amp;BK$1&amp;$AD31, TRUE)</f>
        <v>2.1392998181818181</v>
      </c>
      <c r="BL31" s="2490"/>
      <c r="BM31" s="2491"/>
      <c r="BN31" s="2472"/>
      <c r="BO31" s="2472"/>
      <c r="BP31" s="2472"/>
      <c r="BQ31" s="2472"/>
      <c r="BR31" s="2472"/>
      <c r="BS31" s="2472"/>
    </row>
    <row r="32" spans="1:71" ht="19.5" customHeight="1" x14ac:dyDescent="0.55000000000000004">
      <c r="A32" s="2492"/>
      <c r="B32" s="2427"/>
      <c r="C32" s="2599"/>
      <c r="D32" s="2576" t="s">
        <v>105</v>
      </c>
      <c r="E32" s="2427" t="s">
        <v>870</v>
      </c>
      <c r="F32" s="2547" cm="1">
        <f t="array" aca="1" ref="F32" ca="1">INDIRECT("'※ 재무_세부시트'!"&amp;F$1&amp;$AD32, TRUE)</f>
        <v>8.215683681818188</v>
      </c>
      <c r="G32" s="2547" cm="1">
        <f t="array" aca="1" ref="G32" ca="1">INDIRECT("'※ 재무_세부시트'!"&amp;G$1&amp;$AD32, TRUE)</f>
        <v>0.75146972727272665</v>
      </c>
      <c r="H32" s="2548" cm="1">
        <f t="array" aca="1" ref="H32" ca="1">INDIRECT("'※ 재무_세부시트'!"&amp;H$1&amp;$AD32, TRUE)</f>
        <v>8.8376410000000002E-2</v>
      </c>
      <c r="I32" s="2549" cm="1">
        <f t="array" aca="1" ref="I32" ca="1">INDIRECT("'※ 재무_세부시트'!"&amp;I$1&amp;$AD32, TRUE)</f>
        <v>7.7518899999999835E-2</v>
      </c>
      <c r="J32" s="2549" cm="1">
        <f t="array" aca="1" ref="J32" ca="1">INDIRECT("'※ 재무_세부시트'!"&amp;J$1&amp;$AD32, TRUE)</f>
        <v>9.3720581818182769E-2</v>
      </c>
      <c r="K32" s="2549" cm="1">
        <f t="array" aca="1" ref="K32" ca="1">INDIRECT("'※ 재무_세부시트'!"&amp;K$1&amp;$AD32, TRUE)</f>
        <v>8.9024718181818452E-2</v>
      </c>
      <c r="L32" s="2549" cm="1">
        <f t="array" aca="1" ref="L32" ca="1">INDIRECT("'※ 재무_세부시트'!"&amp;L$1&amp;$AD32, TRUE)</f>
        <v>9.5507827272727441E-2</v>
      </c>
      <c r="M32" s="2549" cm="1">
        <f t="array" aca="1" ref="M32" ca="1">INDIRECT("'※ 재무_세부시트'!"&amp;M$1&amp;$AD32, TRUE)</f>
        <v>9.9980718181818862E-2</v>
      </c>
      <c r="N32" s="2549" cm="1">
        <f t="array" aca="1" ref="N32" ca="1">INDIRECT("'※ 재무_세부시트'!"&amp;N$1&amp;$AD32, TRUE)</f>
        <v>0.1480857636363635</v>
      </c>
      <c r="O32" s="2549" cm="1">
        <f t="array" aca="1" ref="O32" ca="1">INDIRECT("'※ 재무_세부시트'!"&amp;O$1&amp;$AD32, TRUE)</f>
        <v>0.12233779090909058</v>
      </c>
      <c r="P32" s="2549" cm="1">
        <f t="array" aca="1" ref="P32" ca="1">INDIRECT("'※ 재무_세부시트'!"&amp;P$1&amp;$AD32, TRUE)</f>
        <v>0.13025593636363708</v>
      </c>
      <c r="Q32" s="2549" cm="1">
        <f t="array" aca="1" ref="Q32" ca="1">INDIRECT("'※ 재무_세부시트'!"&amp;Q$1&amp;$AD32, TRUE)</f>
        <v>0.13025593636363708</v>
      </c>
      <c r="R32" s="2549" cm="1">
        <f t="array" aca="1" ref="R32" ca="1">INDIRECT("'※ 재무_세부시트'!"&amp;R$1&amp;$AD32, TRUE)</f>
        <v>0.14468844545454607</v>
      </c>
      <c r="S32" s="2549" cm="1">
        <f t="array" aca="1" ref="S32" ca="1">INDIRECT("'※ 재무_세부시트'!"&amp;S$1&amp;$AD32, TRUE)</f>
        <v>0.15245972727272794</v>
      </c>
      <c r="T32" s="2600"/>
      <c r="U32" s="2600"/>
      <c r="V32" s="2601"/>
      <c r="W32" s="2559" cm="1">
        <f t="array" aca="1" ref="W32" ca="1">INDIRECT("'※ 재무_세부시트'!"&amp;W$1&amp;$AD32, TRUE)</f>
        <v>7.7712818181818744E-3</v>
      </c>
      <c r="X32" s="2555" cm="1">
        <f t="array" aca="1" ref="X32" ca="1">INDIRECT("'※ 재무_세부시트'!"&amp;X$1&amp;$AD32, TRUE)</f>
        <v>5.9511727272728132E-2</v>
      </c>
      <c r="Y32" s="2555" cm="1">
        <f t="array" aca="1" ref="Y32" ca="1">INDIRECT("'※ 재무_세부시트'!"&amp;Y$1&amp;$AD32, TRUE)</f>
        <v>0</v>
      </c>
      <c r="Z32" s="2554" cm="1">
        <f t="array" aca="1" ref="Z32" ca="1">INDIRECT("'※ 재무_세부시트'!"&amp;Z$1&amp;$AD32, TRUE)</f>
        <v>1.3722127554545496</v>
      </c>
      <c r="AA32" s="2602"/>
      <c r="AB32" s="2603"/>
      <c r="AC32" s="2560" cm="1">
        <f t="array" aca="1" ref="AC32" ca="1">INDIRECT("'※ 재무_세부시트'!"&amp;AC$1&amp;$AD32, TRUE)</f>
        <v>0.62074302818182292</v>
      </c>
      <c r="AD32" s="2441">
        <v>31</v>
      </c>
      <c r="AE32" s="2616">
        <v>0.87586089008264478</v>
      </c>
      <c r="AF32" s="2616">
        <v>7.8961966942149908E-2</v>
      </c>
      <c r="AG32" s="2616">
        <v>1.3527922214876045</v>
      </c>
      <c r="AH32" s="2616">
        <v>0.32144222975206582</v>
      </c>
      <c r="AI32" s="2616">
        <v>0.6524388016528927</v>
      </c>
      <c r="AJ32" s="2616">
        <v>0.63586999834710745</v>
      </c>
      <c r="AK32" s="2616">
        <v>0.82892013553719091</v>
      </c>
      <c r="AL32" s="2616">
        <v>0.5588534495867773</v>
      </c>
      <c r="AM32" s="2622">
        <v>0.61588037107438143</v>
      </c>
      <c r="AN32" s="2616">
        <v>0.74195955041322303</v>
      </c>
      <c r="AO32" s="2616">
        <v>0.66719981818181906</v>
      </c>
      <c r="AP32" s="2616">
        <v>0.88550424876033118</v>
      </c>
      <c r="AQ32" s="2505">
        <f t="shared" si="23"/>
        <v>8.215683681818188</v>
      </c>
      <c r="AR32" s="2488"/>
      <c r="AS32" s="2616"/>
      <c r="AT32" s="2616"/>
      <c r="AU32" s="2616"/>
      <c r="AV32" s="2616"/>
      <c r="AW32" s="2616"/>
      <c r="AX32" s="2616"/>
      <c r="AY32" s="2616"/>
      <c r="AZ32" s="2616"/>
      <c r="BA32" s="2616"/>
      <c r="BB32" s="2616"/>
      <c r="BC32" s="2616"/>
      <c r="BD32" s="2616"/>
      <c r="BE32" s="2505">
        <f t="shared" si="24"/>
        <v>0</v>
      </c>
      <c r="BG32" s="2561" cm="1">
        <f t="array" aca="1" ref="BG32" ca="1">INDIRECT("'※ 재무_세부시트'!"&amp;BG$1&amp;$AD32, TRUE)</f>
        <v>0.87586089008264478</v>
      </c>
      <c r="BH32" s="2561" cm="1">
        <f t="array" aca="1" ref="BH32" ca="1">INDIRECT("'※ 재무_세부시트'!"&amp;BH$1&amp;$AD32, TRUE)</f>
        <v>8.215683681818188</v>
      </c>
      <c r="BI32" s="2561" cm="1">
        <f t="array" aca="1" ref="BI32" ca="1">INDIRECT("'※ 재무_세부시트'!"&amp;BI$1&amp;$AD32, TRUE)</f>
        <v>0.82892013553719091</v>
      </c>
      <c r="BJ32" s="2561" cm="1">
        <f t="array" aca="1" ref="BJ32" ca="1">INDIRECT("'※ 재무_세부시트'!"&amp;BJ$1&amp;$AD32, TRUE)</f>
        <v>4.079730909090884E-2</v>
      </c>
      <c r="BK32" s="2561" cm="1">
        <f t="array" aca="1" ref="BK32" ca="1">INDIRECT("'※ 재무_세부시트'!"&amp;BK$1&amp;$AD32, TRUE)</f>
        <v>0.61588037107438143</v>
      </c>
      <c r="BL32" s="2490"/>
      <c r="BM32" s="2491"/>
      <c r="BN32" s="2472"/>
      <c r="BO32" s="2472"/>
      <c r="BP32" s="2472"/>
      <c r="BQ32" s="2472"/>
      <c r="BR32" s="2472"/>
      <c r="BS32" s="2472"/>
    </row>
    <row r="33" spans="1:71" ht="19.5" customHeight="1" x14ac:dyDescent="0.55000000000000004">
      <c r="A33" s="2492"/>
      <c r="B33" s="2427"/>
      <c r="C33" s="2599"/>
      <c r="D33" s="2576" t="s">
        <v>109</v>
      </c>
      <c r="E33" s="2427" t="s">
        <v>871</v>
      </c>
      <c r="F33" s="2547" cm="1">
        <f t="array" aca="1" ref="F33" ca="1">INDIRECT("'※ 재무_세부시트'!"&amp;F$1&amp;$AD33, TRUE)</f>
        <v>8.3447990700000005</v>
      </c>
      <c r="G33" s="2547" cm="1">
        <f t="array" aca="1" ref="G33" ca="1">INDIRECT("'※ 재무_세부시트'!"&amp;G$1&amp;$AD33, TRUE)</f>
        <v>7.9449864300000002</v>
      </c>
      <c r="H33" s="2548" cm="1">
        <f t="array" aca="1" ref="H33" ca="1">INDIRECT("'※ 재무_세부시트'!"&amp;H$1&amp;$AD33, TRUE)</f>
        <v>0.58253186999999995</v>
      </c>
      <c r="I33" s="2549" cm="1">
        <f t="array" aca="1" ref="I33" ca="1">INDIRECT("'※ 재무_세부시트'!"&amp;I$1&amp;$AD33, TRUE)</f>
        <v>0.66603878000000005</v>
      </c>
      <c r="J33" s="2549" cm="1">
        <f t="array" aca="1" ref="J33" ca="1">INDIRECT("'※ 재무_세부시트'!"&amp;J$1&amp;$AD33, TRUE)</f>
        <v>0.63645967999999997</v>
      </c>
      <c r="K33" s="2549" cm="1">
        <f t="array" aca="1" ref="K33" ca="1">INDIRECT("'※ 재무_세부시트'!"&amp;K$1&amp;$AD33, TRUE)</f>
        <v>0.59906740999999997</v>
      </c>
      <c r="L33" s="2549" cm="1">
        <f t="array" aca="1" ref="L33" ca="1">INDIRECT("'※ 재무_세부시트'!"&amp;L$1&amp;$AD33, TRUE)</f>
        <v>0.69777632999999994</v>
      </c>
      <c r="M33" s="2549" cm="1">
        <f t="array" aca="1" ref="M33" ca="1">INDIRECT("'※ 재무_세부시트'!"&amp;M$1&amp;$AD33, TRUE)</f>
        <v>0.75951674000000002</v>
      </c>
      <c r="N33" s="2549" cm="1">
        <f t="array" aca="1" ref="N33" ca="1">INDIRECT("'※ 재무_세부시트'!"&amp;N$1&amp;$AD33, TRUE)</f>
        <v>0.68965745000000001</v>
      </c>
      <c r="O33" s="2549" cm="1">
        <f t="array" aca="1" ref="O33" ca="1">INDIRECT("'※ 재무_세부시트'!"&amp;O$1&amp;$AD33, TRUE)</f>
        <v>0.71409785000000003</v>
      </c>
      <c r="P33" s="2549" cm="1">
        <f t="array" aca="1" ref="P33" ca="1">INDIRECT("'※ 재무_세부시트'!"&amp;P$1&amp;$AD33, TRUE)</f>
        <v>1.3731127999999999</v>
      </c>
      <c r="Q33" s="2549" cm="1">
        <f t="array" aca="1" ref="Q33" ca="1">INDIRECT("'※ 재무_세부시트'!"&amp;Q$1&amp;$AD33, TRUE)</f>
        <v>0.67433715000000005</v>
      </c>
      <c r="R33" s="2549" cm="1">
        <f t="array" aca="1" ref="R33" ca="1">INDIRECT("'※ 재무_세부시트'!"&amp;R$1&amp;$AD33, TRUE)</f>
        <v>0.88575873999999999</v>
      </c>
      <c r="S33" s="2549" cm="1">
        <f t="array" aca="1" ref="S33" ca="1">INDIRECT("'※ 재무_세부시트'!"&amp;S$1&amp;$AD33, TRUE)</f>
        <v>0.90341731000000003</v>
      </c>
      <c r="T33" s="2600"/>
      <c r="U33" s="2600"/>
      <c r="V33" s="2601"/>
      <c r="W33" s="2559" cm="1">
        <f t="array" aca="1" ref="W33" ca="1">INDIRECT("'※ 재무_세부시트'!"&amp;W$1&amp;$AD33, TRUE)</f>
        <v>1.765857000000004E-2</v>
      </c>
      <c r="X33" s="2555" cm="1">
        <f t="array" aca="1" ref="X33" ca="1">INDIRECT("'※ 재무_세부시트'!"&amp;X$1&amp;$AD33, TRUE)</f>
        <v>0.28919146000000007</v>
      </c>
      <c r="Y33" s="2555" cm="1">
        <f t="array" aca="1" ref="Y33" ca="1">INDIRECT("'※ 재무_세부시트'!"&amp;Y$1&amp;$AD33, TRUE)</f>
        <v>0</v>
      </c>
      <c r="Z33" s="2554" cm="1">
        <f t="array" aca="1" ref="Z33" ca="1">INDIRECT("'※ 재무_세부시트'!"&amp;Z$1&amp;$AD33, TRUE)</f>
        <v>9.1817721099999989</v>
      </c>
      <c r="AA33" s="2602"/>
      <c r="AB33" s="2603"/>
      <c r="AC33" s="2560" cm="1">
        <f t="array" aca="1" ref="AC33" ca="1">INDIRECT("'※ 재무_세부시트'!"&amp;AC$1&amp;$AD33, TRUE)</f>
        <v>1.2367856799999988</v>
      </c>
      <c r="AD33" s="2441">
        <v>32</v>
      </c>
      <c r="AE33" s="2504">
        <v>0.69246335999999997</v>
      </c>
      <c r="AF33" s="2504">
        <v>0.73521293999999993</v>
      </c>
      <c r="AG33" s="2504">
        <v>0.74165734999999999</v>
      </c>
      <c r="AH33" s="2504">
        <v>0.64946560000000009</v>
      </c>
      <c r="AI33" s="2504">
        <v>0.68373459999999997</v>
      </c>
      <c r="AJ33" s="2504">
        <v>0.70764137000000005</v>
      </c>
      <c r="AK33" s="2504">
        <v>0.7130357100000001</v>
      </c>
      <c r="AL33" s="2504">
        <v>0.75867724999999997</v>
      </c>
      <c r="AM33" s="2623">
        <v>0.63747105999999998</v>
      </c>
      <c r="AN33" s="2504">
        <v>0.71637870000000003</v>
      </c>
      <c r="AO33" s="2504">
        <v>0.68336764000000005</v>
      </c>
      <c r="AP33" s="2504">
        <v>0.62569349000000007</v>
      </c>
      <c r="AQ33" s="2505">
        <f t="shared" si="23"/>
        <v>8.3447990700000005</v>
      </c>
      <c r="AR33" s="2488"/>
      <c r="AS33" s="2504">
        <v>0.75867724999999997</v>
      </c>
      <c r="AT33" s="2504">
        <v>0.75867724999999997</v>
      </c>
      <c r="AU33" s="2504">
        <v>0.75867724999999997</v>
      </c>
      <c r="AV33" s="2504">
        <v>0.75867724999999997</v>
      </c>
      <c r="AW33" s="2504">
        <v>0.75867724999999997</v>
      </c>
      <c r="AX33" s="2504">
        <v>0.75867724999999997</v>
      </c>
      <c r="AY33" s="2504">
        <v>0.75867724999999997</v>
      </c>
      <c r="AZ33" s="2504">
        <v>0.75867724999999997</v>
      </c>
      <c r="BA33" s="2504">
        <v>0.75867724999999997</v>
      </c>
      <c r="BB33" s="2504">
        <v>0.75867724999999997</v>
      </c>
      <c r="BC33" s="2504">
        <v>0.75867724999999997</v>
      </c>
      <c r="BD33" s="2504">
        <v>0.75867724999999997</v>
      </c>
      <c r="BE33" s="2505">
        <f t="shared" si="24"/>
        <v>9.1041270000000001</v>
      </c>
      <c r="BG33" s="2561" cm="1">
        <f t="array" aca="1" ref="BG33" ca="1">INDIRECT("'※ 재무_세부시트'!"&amp;BG$1&amp;$AD33, TRUE)</f>
        <v>0.69246335999999997</v>
      </c>
      <c r="BH33" s="2561" cm="1">
        <f t="array" aca="1" ref="BH33" ca="1">INDIRECT("'※ 재무_세부시트'!"&amp;BH$1&amp;$AD33, TRUE)</f>
        <v>8.3447990700000005</v>
      </c>
      <c r="BI33" s="2561" cm="1">
        <f t="array" aca="1" ref="BI33" ca="1">INDIRECT("'※ 재무_세부시트'!"&amp;BI$1&amp;$AD33, TRUE)</f>
        <v>0.7130357100000001</v>
      </c>
      <c r="BJ33" s="2561" cm="1">
        <f t="array" aca="1" ref="BJ33" ca="1">INDIRECT("'※ 재무_세부시트'!"&amp;BJ$1&amp;$AD33, TRUE)</f>
        <v>0.64455618000000003</v>
      </c>
      <c r="BK33" s="2561" cm="1">
        <f t="array" aca="1" ref="BK33" ca="1">INDIRECT("'※ 재무_세부시트'!"&amp;BK$1&amp;$AD33, TRUE)</f>
        <v>0.63747105999999998</v>
      </c>
      <c r="BL33" s="2490"/>
      <c r="BM33" s="2491"/>
      <c r="BN33" s="2562"/>
      <c r="BO33" s="2562">
        <f ca="1">I80/(I13+I51)</f>
        <v>0.1752838061685234</v>
      </c>
      <c r="BP33" s="2562">
        <f ca="1">J80/(J13+J51)</f>
        <v>0.10039511382272422</v>
      </c>
      <c r="BQ33" s="2562">
        <f ca="1">K80/(K13+K51)</f>
        <v>0.11980745891771775</v>
      </c>
      <c r="BR33" s="2472"/>
      <c r="BS33" s="2472"/>
    </row>
    <row r="34" spans="1:71" ht="19.5" customHeight="1" x14ac:dyDescent="0.55000000000000004">
      <c r="A34" s="2492"/>
      <c r="B34" s="2427"/>
      <c r="C34" s="2578"/>
      <c r="D34" s="2624" t="s">
        <v>110</v>
      </c>
      <c r="E34" s="2625" t="s">
        <v>796</v>
      </c>
      <c r="F34" s="2626" cm="1">
        <f t="array" aca="1" ref="F34" ca="1">INDIRECT("'※ 재무_세부시트'!"&amp;F$1&amp;$AD34, TRUE)</f>
        <v>86.563303980000001</v>
      </c>
      <c r="G34" s="2626" cm="1">
        <f t="array" aca="1" ref="G34" ca="1">INDIRECT("'※ 재무_세부시트'!"&amp;G$1&amp;$AD34, TRUE)</f>
        <v>89.823184019999999</v>
      </c>
      <c r="H34" s="2627" cm="1">
        <f t="array" aca="1" ref="H34" ca="1">INDIRECT("'※ 재무_세부시트'!"&amp;H$1&amp;$AD34, TRUE)</f>
        <v>7.9371260499999998</v>
      </c>
      <c r="I34" s="2628" cm="1">
        <f t="array" aca="1" ref="I34" ca="1">INDIRECT("'※ 재무_세부시트'!"&amp;I$1&amp;$AD34, TRUE)</f>
        <v>7.97160958</v>
      </c>
      <c r="J34" s="2628" cm="1">
        <f t="array" aca="1" ref="J34" ca="1">INDIRECT("'※ 재무_세부시트'!"&amp;J$1&amp;$AD34, TRUE)</f>
        <v>7.4216384199999998</v>
      </c>
      <c r="K34" s="2628" cm="1">
        <f t="array" aca="1" ref="K34" ca="1">INDIRECT("'※ 재무_세부시트'!"&amp;K$1&amp;$AD34, TRUE)</f>
        <v>7.6414246700000001</v>
      </c>
      <c r="L34" s="2628" cm="1">
        <f t="array" aca="1" ref="L34" ca="1">INDIRECT("'※ 재무_세부시트'!"&amp;L$1&amp;$AD34, TRUE)</f>
        <v>7.6228569999999998</v>
      </c>
      <c r="M34" s="2628" cm="1">
        <f t="array" aca="1" ref="M34" ca="1">INDIRECT("'※ 재무_세부시트'!"&amp;M$1&amp;$AD34, TRUE)</f>
        <v>7.7721819999999999</v>
      </c>
      <c r="N34" s="2628" cm="1">
        <f t="array" aca="1" ref="N34" ca="1">INDIRECT("'※ 재무_세부시트'!"&amp;N$1&amp;$AD34, TRUE)</f>
        <v>7.4912716799999997</v>
      </c>
      <c r="O34" s="2628" cm="1">
        <f t="array" aca="1" ref="O34" ca="1">INDIRECT("'※ 재무_세부시트'!"&amp;O$1&amp;$AD34, TRUE)</f>
        <v>6.6766701099999999</v>
      </c>
      <c r="P34" s="2628" cm="1">
        <f t="array" aca="1" ref="P34" ca="1">INDIRECT("'※ 재무_세부시트'!"&amp;P$1&amp;$AD34, TRUE)</f>
        <v>6.9272734199999997</v>
      </c>
      <c r="Q34" s="2628" cm="1">
        <f t="array" aca="1" ref="Q34" ca="1">INDIRECT("'※ 재무_세부시트'!"&amp;Q$1&amp;$AD34, TRUE)</f>
        <v>0.22333058</v>
      </c>
      <c r="R34" s="2628" cm="1">
        <f t="array" aca="1" ref="R34" ca="1">INDIRECT("'※ 재무_세부시트'!"&amp;R$1&amp;$AD34, TRUE)</f>
        <v>6.8727279599999997</v>
      </c>
      <c r="S34" s="2628" cm="1">
        <f t="array" aca="1" ref="S34" ca="1">INDIRECT("'※ 재무_세부시트'!"&amp;S$1&amp;$AD34, TRUE)</f>
        <v>6.8454552299999998</v>
      </c>
      <c r="T34" s="2629"/>
      <c r="U34" s="2629"/>
      <c r="V34" s="2630"/>
      <c r="W34" s="2631" cm="1">
        <f t="array" aca="1" ref="W34" ca="1">INDIRECT("'※ 재무_세부시트'!"&amp;W$1&amp;$AD34, TRUE)</f>
        <v>-2.7272729999999967E-2</v>
      </c>
      <c r="X34" s="2632" cm="1">
        <f t="array" aca="1" ref="X34" ca="1">INDIRECT("'※ 재무_세부시트'!"&amp;X$1&amp;$AD34, TRUE)</f>
        <v>-1.09167082</v>
      </c>
      <c r="Y34" s="2632" cm="1">
        <f t="array" aca="1" ref="Y34" ca="1">INDIRECT("'※ 재무_세부시트'!"&amp;Y$1&amp;$AD34, TRUE)</f>
        <v>0</v>
      </c>
      <c r="Z34" s="2633" cm="1">
        <f t="array" aca="1" ref="Z34" ca="1">INDIRECT("'※ 재무_세부시트'!"&amp;Z$1&amp;$AD34, TRUE)</f>
        <v>81.403566699999999</v>
      </c>
      <c r="AA34" s="2634"/>
      <c r="AB34" s="2635"/>
      <c r="AC34" s="2636" cm="1">
        <f t="array" aca="1" ref="AC34" ca="1">INDIRECT("'※ 재무_세부시트'!"&amp;AC$1&amp;$AD34, TRUE)</f>
        <v>-8.4196173200000004</v>
      </c>
      <c r="AD34" s="2441">
        <v>33</v>
      </c>
      <c r="AE34" s="2607">
        <v>7.5021497999999998</v>
      </c>
      <c r="AF34" s="2607">
        <v>7.3366039799999996</v>
      </c>
      <c r="AG34" s="2607">
        <v>7.4152542300000004</v>
      </c>
      <c r="AH34" s="2607">
        <v>7.1958822699999994</v>
      </c>
      <c r="AI34" s="2607">
        <v>7.4571492900000003</v>
      </c>
      <c r="AJ34" s="2607">
        <v>7.4571492900000003</v>
      </c>
      <c r="AK34" s="2607">
        <v>7.0949483899999999</v>
      </c>
      <c r="AL34" s="2607">
        <v>7.0707395699999998</v>
      </c>
      <c r="AM34" s="2637">
        <v>6.9190742800000002</v>
      </c>
      <c r="AN34" s="2607">
        <v>7.3750379199999996</v>
      </c>
      <c r="AO34" s="2607">
        <v>6.7795677999999997</v>
      </c>
      <c r="AP34" s="2607">
        <v>6.9597471599999992</v>
      </c>
      <c r="AQ34" s="2608">
        <f t="shared" si="23"/>
        <v>86.563303980000001</v>
      </c>
      <c r="AR34" s="2609"/>
      <c r="AS34" s="2607">
        <v>7.0306050000000004</v>
      </c>
      <c r="AT34" s="2607">
        <v>7.0857470000000013</v>
      </c>
      <c r="AU34" s="2607">
        <v>7.1133180000000005</v>
      </c>
      <c r="AV34" s="2607">
        <v>7.1408889999999996</v>
      </c>
      <c r="AW34" s="2607">
        <v>7.1960310000000005</v>
      </c>
      <c r="AX34" s="2607">
        <v>7.2511730000000014</v>
      </c>
      <c r="AY34" s="2607">
        <v>7.3063149999999997</v>
      </c>
      <c r="AZ34" s="2607">
        <v>7.3614570000000015</v>
      </c>
      <c r="BA34" s="2607">
        <v>7.4165989999999997</v>
      </c>
      <c r="BB34" s="2607">
        <v>7.5268830000000015</v>
      </c>
      <c r="BC34" s="2607">
        <v>7.5820249999999998</v>
      </c>
      <c r="BD34" s="2607">
        <v>7.6647380000000007</v>
      </c>
      <c r="BE34" s="2608">
        <f t="shared" si="24"/>
        <v>87.675780000000003</v>
      </c>
      <c r="BG34" s="2561" cm="1">
        <f t="array" aca="1" ref="BG34" ca="1">INDIRECT("'※ 재무_세부시트'!"&amp;BG$1&amp;$AD34, TRUE)</f>
        <v>7.5021497999999998</v>
      </c>
      <c r="BH34" s="2561" cm="1">
        <f t="array" aca="1" ref="BH34" ca="1">INDIRECT("'※ 재무_세부시트'!"&amp;BH$1&amp;$AD34, TRUE)</f>
        <v>86.563303980000001</v>
      </c>
      <c r="BI34" s="2561" cm="1">
        <f t="array" aca="1" ref="BI34" ca="1">INDIRECT("'※ 재무_세부시트'!"&amp;BI$1&amp;$AD34, TRUE)</f>
        <v>7.0949483899999999</v>
      </c>
      <c r="BJ34" s="2561" cm="1">
        <f t="array" aca="1" ref="BJ34" ca="1">INDIRECT("'※ 재무_세부시트'!"&amp;BJ$1&amp;$AD34, TRUE)</f>
        <v>7.3146807799999998</v>
      </c>
      <c r="BK34" s="2561" cm="1">
        <f t="array" aca="1" ref="BK34" ca="1">INDIRECT("'※ 재무_세부시트'!"&amp;BK$1&amp;$AD34, TRUE)</f>
        <v>6.9190742800000002</v>
      </c>
      <c r="BL34" s="2490"/>
      <c r="BM34" s="2490"/>
      <c r="BO34" s="2638"/>
      <c r="BP34" s="2638"/>
      <c r="BQ34" s="2638"/>
      <c r="BR34" s="2638"/>
    </row>
    <row r="35" spans="1:71" ht="19.5" customHeight="1" x14ac:dyDescent="0.55000000000000004">
      <c r="A35" s="2492"/>
      <c r="B35" s="2427"/>
      <c r="C35" s="2582" t="s">
        <v>763</v>
      </c>
      <c r="D35" s="2576" t="s">
        <v>19</v>
      </c>
      <c r="E35" s="2639" t="s">
        <v>1122</v>
      </c>
      <c r="F35" s="2547" cm="1">
        <f t="array" aca="1" ref="F35" ca="1">INDIRECT("'※ 재무_세부시트'!"&amp;F$1&amp;$AD35, TRUE)</f>
        <v>318.78142162253761</v>
      </c>
      <c r="G35" s="2547" cm="1">
        <f t="array" aca="1" ref="G35" ca="1">INDIRECT("'※ 재무_세부시트'!"&amp;G$1&amp;$AD35, TRUE)</f>
        <v>322.02977518822013</v>
      </c>
      <c r="H35" s="2548" cm="1">
        <f t="array" aca="1" ref="H35" ca="1">INDIRECT("'※ 재무_세부시트'!"&amp;H$1&amp;$AD35, TRUE)</f>
        <v>24.447654166317502</v>
      </c>
      <c r="I35" s="2549" cm="1">
        <f t="array" aca="1" ref="I35" ca="1">INDIRECT("'※ 재무_세부시트'!"&amp;I$1&amp;$AD35, TRUE)</f>
        <v>25.343578776805501</v>
      </c>
      <c r="J35" s="2549" cm="1">
        <f t="array" aca="1" ref="J35" ca="1">INDIRECT("'※ 재무_세부시트'!"&amp;J$1&amp;$AD35, TRUE)</f>
        <v>25.657675074807802</v>
      </c>
      <c r="K35" s="2549" cm="1">
        <f t="array" aca="1" ref="K35" ca="1">INDIRECT("'※ 재무_세부시트'!"&amp;K$1&amp;$AD35, TRUE)</f>
        <v>24.383281744525071</v>
      </c>
      <c r="L35" s="2549" cm="1">
        <f t="array" aca="1" ref="L35" ca="1">INDIRECT("'※ 재무_세부시트'!"&amp;L$1&amp;$AD35, TRUE)</f>
        <v>24.233099849002187</v>
      </c>
      <c r="M35" s="2549" cm="1">
        <f t="array" aca="1" ref="M35" ca="1">INDIRECT("'※ 재무_세부시트'!"&amp;M$1&amp;$AD35, TRUE)</f>
        <v>24.855322338433893</v>
      </c>
      <c r="N35" s="2549" cm="1">
        <f t="array" aca="1" ref="N35" ca="1">INDIRECT("'※ 재무_세부시트'!"&amp;N$1&amp;$AD35, TRUE)</f>
        <v>26.207974570805973</v>
      </c>
      <c r="O35" s="2549" cm="1">
        <f t="array" aca="1" ref="O35" ca="1">INDIRECT("'※ 재무_세부시트'!"&amp;O$1&amp;$AD35, TRUE)</f>
        <v>24.532887888018397</v>
      </c>
      <c r="P35" s="2549" cm="1">
        <f t="array" aca="1" ref="P35" ca="1">INDIRECT("'※ 재무_세부시트'!"&amp;P$1&amp;$AD35, TRUE)</f>
        <v>24.6919041594325</v>
      </c>
      <c r="Q35" s="2549" cm="1">
        <f t="array" aca="1" ref="Q35" ca="1">INDIRECT("'※ 재무_세부시트'!"&amp;Q$1&amp;$AD35, TRUE)</f>
        <v>24.472204628218499</v>
      </c>
      <c r="R35" s="2549" cm="1">
        <f t="array" aca="1" ref="R35" ca="1">INDIRECT("'※ 재무_세부시트'!"&amp;R$1&amp;$AD35, TRUE)</f>
        <v>24.593802922222</v>
      </c>
      <c r="S35" s="2549" cm="1">
        <f t="array" aca="1" ref="S35" ca="1">INDIRECT("'※ 재무_세부시트'!"&amp;S$1&amp;$AD35, TRUE)</f>
        <v>24.545370561558901</v>
      </c>
      <c r="T35" s="2600"/>
      <c r="U35" s="2600"/>
      <c r="V35" s="2601"/>
      <c r="W35" s="2559" cm="1">
        <f t="array" aca="1" ref="W35" ca="1">INDIRECT("'※ 재무_세부시트'!"&amp;W$1&amp;$AD35, TRUE)</f>
        <v>-4.8432360663099416E-2</v>
      </c>
      <c r="X35" s="2555" cm="1">
        <f t="array" aca="1" ref="X35" ca="1">INDIRECT("'※ 재무_세부시트'!"&amp;X$1&amp;$AD35, TRUE)</f>
        <v>-2.0635830787417611</v>
      </c>
      <c r="Y35" s="2555" cm="1">
        <f t="array" aca="1" ref="Y35" ca="1">INDIRECT("'※ 재무_세부시트'!"&amp;Y$1&amp;$AD35, TRUE)</f>
        <v>0</v>
      </c>
      <c r="Z35" s="2554" cm="1">
        <f t="array" aca="1" ref="Z35" ca="1">INDIRECT("'※ 재무_세부시트'!"&amp;Z$1&amp;$AD35, TRUE)</f>
        <v>297.96475668014824</v>
      </c>
      <c r="AA35" s="2602"/>
      <c r="AB35" s="2603"/>
      <c r="AC35" s="2560" cm="1">
        <f t="array" aca="1" ref="AC35" ca="1">INDIRECT("'※ 재무_세부시트'!"&amp;AC$1&amp;$AD35, TRUE)</f>
        <v>-32.010004938071916</v>
      </c>
      <c r="AD35" s="2441">
        <v>34</v>
      </c>
      <c r="AE35" s="2504">
        <f>AE110</f>
        <v>23.465023738822197</v>
      </c>
      <c r="AF35" s="2504">
        <f t="shared" ref="AF35:AP35" si="25">AF110</f>
        <v>24.833183093472702</v>
      </c>
      <c r="AG35" s="2504">
        <f t="shared" si="25"/>
        <v>25.754234423613301</v>
      </c>
      <c r="AH35" s="2504">
        <f t="shared" si="25"/>
        <v>25.226628505092101</v>
      </c>
      <c r="AI35" s="2504">
        <f t="shared" si="25"/>
        <v>25.718614093600003</v>
      </c>
      <c r="AJ35" s="2504">
        <f t="shared" si="25"/>
        <v>24.9535889653854</v>
      </c>
      <c r="AK35" s="2504">
        <f t="shared" si="25"/>
        <v>26.1647394225113</v>
      </c>
      <c r="AL35" s="2504">
        <f t="shared" si="25"/>
        <v>26.688881658241424</v>
      </c>
      <c r="AM35" s="2504">
        <f t="shared" si="25"/>
        <v>26.486991977000798</v>
      </c>
      <c r="AN35" s="2504">
        <f t="shared" si="25"/>
        <v>27.279525743142301</v>
      </c>
      <c r="AO35" s="2504">
        <f t="shared" si="25"/>
        <v>27.114231849413301</v>
      </c>
      <c r="AP35" s="2504">
        <f t="shared" si="25"/>
        <v>27.3766725722428</v>
      </c>
      <c r="AQ35" s="2505"/>
      <c r="AR35" s="2488"/>
      <c r="AS35" s="2504"/>
      <c r="AT35" s="2504"/>
      <c r="AU35" s="2504"/>
      <c r="AV35" s="2504"/>
      <c r="AW35" s="2504"/>
      <c r="AX35" s="2504"/>
      <c r="AY35" s="2504"/>
      <c r="AZ35" s="2504"/>
      <c r="BA35" s="2504"/>
      <c r="BB35" s="2504"/>
      <c r="BC35" s="2504"/>
      <c r="BD35" s="2504"/>
      <c r="BE35" s="2505"/>
      <c r="BG35" s="2561" cm="1">
        <f t="array" aca="1" ref="BG35" ca="1">INDIRECT("'※ 재무_세부시트'!"&amp;BG$1&amp;$AD35, TRUE)</f>
        <v>24.157487098822198</v>
      </c>
      <c r="BH35" s="2561" cm="1">
        <f t="array" aca="1" ref="BH35" ca="1">INDIRECT("'※ 재무_세부시트'!"&amp;BH$1&amp;$AD35, TRUE)</f>
        <v>318.78142162253761</v>
      </c>
      <c r="BI35" s="2561" cm="1">
        <f t="array" aca="1" ref="BI35" ca="1">INDIRECT("'※ 재무_세부시트'!"&amp;BI$1&amp;$AD35, TRUE)</f>
        <v>26.877775132511299</v>
      </c>
      <c r="BJ35" s="2561" cm="1">
        <f t="array" aca="1" ref="BJ35" ca="1">INDIRECT("'※ 재무_세부시트'!"&amp;BJ$1&amp;$AD35, TRUE)</f>
        <v>27.729110769279732</v>
      </c>
      <c r="BK35" s="2561" cm="1">
        <f t="array" aca="1" ref="BK35" ca="1">INDIRECT("'※ 재무_세부시트'!"&amp;BK$1&amp;$AD35, TRUE)</f>
        <v>27.124463037000798</v>
      </c>
      <c r="BL35" s="2490"/>
      <c r="BM35" s="2490"/>
      <c r="BO35" s="2638"/>
      <c r="BP35" s="2638"/>
      <c r="BQ35" s="2638"/>
      <c r="BR35" s="2638"/>
    </row>
    <row r="36" spans="1:71" ht="19.5" customHeight="1" x14ac:dyDescent="0.55000000000000004">
      <c r="A36" s="2492"/>
      <c r="B36" s="2427"/>
      <c r="C36" s="2599"/>
      <c r="D36" s="2576" t="s">
        <v>20</v>
      </c>
      <c r="E36" s="2427"/>
      <c r="F36" s="2547" cm="1">
        <f t="array" aca="1" ref="F36" ca="1">INDIRECT("'※ 재무_세부시트'!"&amp;F$1&amp;$AD36, TRUE)</f>
        <v>170.37647784746241</v>
      </c>
      <c r="G36" s="2547" cm="1">
        <f t="array" aca="1" ref="G36" ca="1">INDIRECT("'※ 재무_세부시트'!"&amp;G$1&amp;$AD36, TRUE)</f>
        <v>135.42186996870788</v>
      </c>
      <c r="H36" s="2548" cm="1">
        <f t="array" aca="1" ref="H36" ca="1">INDIRECT("'※ 재무_세부시트'!"&amp;H$1&amp;$AD36, TRUE)</f>
        <v>9.0666553336824993</v>
      </c>
      <c r="I36" s="2549" cm="1">
        <f t="array" aca="1" ref="I36" ca="1">INDIRECT("'※ 재무_세부시트'!"&amp;I$1&amp;$AD36, TRUE)</f>
        <v>9.0830929431945204</v>
      </c>
      <c r="J36" s="2549" cm="1">
        <f t="array" aca="1" ref="J36" ca="1">INDIRECT("'※ 재무_세부시트'!"&amp;J$1&amp;$AD36, TRUE)</f>
        <v>8.5529125751921757</v>
      </c>
      <c r="K36" s="2549" cm="1">
        <f t="array" aca="1" ref="K36" ca="1">INDIRECT("'※ 재무_세부시트'!"&amp;K$1&amp;$AD36, TRUE)</f>
        <v>8.0079655054749317</v>
      </c>
      <c r="L36" s="2549" cm="1">
        <f t="array" aca="1" ref="L36" ca="1">INDIRECT("'※ 재무_세부시트'!"&amp;L$1&amp;$AD36, TRUE)</f>
        <v>7.6013216409978055</v>
      </c>
      <c r="M36" s="2549" cm="1">
        <f t="array" aca="1" ref="M36" ca="1">INDIRECT("'※ 재무_세부시트'!"&amp;M$1&amp;$AD36, TRUE)</f>
        <v>11.278029041566105</v>
      </c>
      <c r="N36" s="2549" cm="1">
        <f t="array" aca="1" ref="N36" ca="1">INDIRECT("'※ 재무_세부시트'!"&amp;N$1&amp;$AD36, TRUE)</f>
        <v>9.4702209891940257</v>
      </c>
      <c r="O36" s="2549" cm="1">
        <f t="array" aca="1" ref="O36" ca="1">INDIRECT("'※ 재무_세부시트'!"&amp;O$1&amp;$AD36, TRUE)</f>
        <v>9.1587074919815805</v>
      </c>
      <c r="P36" s="2549" cm="1">
        <f t="array" aca="1" ref="P36" ca="1">INDIRECT("'※ 재무_세부시트'!"&amp;P$1&amp;$AD36, TRUE)</f>
        <v>9.0471217205674606</v>
      </c>
      <c r="Q36" s="2549" cm="1">
        <f t="array" aca="1" ref="Q36" ca="1">INDIRECT("'※ 재무_세부시트'!"&amp;Q$1&amp;$AD36, TRUE)</f>
        <v>8.9171924917815204</v>
      </c>
      <c r="R36" s="2549" cm="1">
        <f t="array" aca="1" ref="R36" ca="1">INDIRECT("'※ 재무_세부시트'!"&amp;R$1&amp;$AD36, TRUE)</f>
        <v>8.8098991677780099</v>
      </c>
      <c r="S36" s="2549" cm="1">
        <f t="array" aca="1" ref="S36" ca="1">INDIRECT("'※ 재무_세부시트'!"&amp;S$1&amp;$AD36, TRUE)</f>
        <v>8.7081341384411317</v>
      </c>
      <c r="T36" s="2600"/>
      <c r="U36" s="2600"/>
      <c r="V36" s="2601"/>
      <c r="W36" s="2559" cm="1">
        <f t="array" aca="1" ref="W36" ca="1">INDIRECT("'※ 재무_세부시트'!"&amp;W$1&amp;$AD36, TRUE)</f>
        <v>-0.10176502933687814</v>
      </c>
      <c r="X36" s="2555" cm="1">
        <f t="array" aca="1" ref="X36" ca="1">INDIRECT("'※ 재무_세부시트'!"&amp;X$1&amp;$AD36, TRUE)</f>
        <v>-0.91754262125821029</v>
      </c>
      <c r="Y36" s="2555" cm="1">
        <f t="array" aca="1" ref="Y36" ca="1">INDIRECT("'※ 재무_세부시트'!"&amp;Y$1&amp;$AD36, TRUE)</f>
        <v>0</v>
      </c>
      <c r="Z36" s="2554" cm="1">
        <f t="array" aca="1" ref="Z36" ca="1">INDIRECT("'※ 재무_세부시트'!"&amp;Z$1&amp;$AD36, TRUE)</f>
        <v>107.70125303985176</v>
      </c>
      <c r="AA36" s="2602"/>
      <c r="AB36" s="2603"/>
      <c r="AC36" s="2560" cm="1">
        <f t="array" aca="1" ref="AC36" ca="1">INDIRECT("'※ 재무_세부시트'!"&amp;AC$1&amp;$AD36, TRUE)</f>
        <v>-27.720616928856117</v>
      </c>
      <c r="AD36" s="2441">
        <v>35</v>
      </c>
      <c r="AE36" s="2504">
        <f>AE128</f>
        <v>14.614718331177802</v>
      </c>
      <c r="AF36" s="2504">
        <f t="shared" ref="AF36:AP36" si="26">AF128</f>
        <v>14.209055806527299</v>
      </c>
      <c r="AG36" s="2504">
        <f t="shared" si="26"/>
        <v>14.780465866386699</v>
      </c>
      <c r="AH36" s="2504">
        <f t="shared" si="26"/>
        <v>14.649513024907899</v>
      </c>
      <c r="AI36" s="2504">
        <f t="shared" si="26"/>
        <v>14.581835706400001</v>
      </c>
      <c r="AJ36" s="2504">
        <f t="shared" si="26"/>
        <v>14.243939044614601</v>
      </c>
      <c r="AK36" s="2504">
        <f t="shared" si="26"/>
        <v>14.415164137488699</v>
      </c>
      <c r="AL36" s="2504">
        <f t="shared" si="26"/>
        <v>14.217451471758601</v>
      </c>
      <c r="AM36" s="2504">
        <f t="shared" si="26"/>
        <v>13.834609112999201</v>
      </c>
      <c r="AN36" s="2504">
        <f t="shared" si="26"/>
        <v>13.867733926857703</v>
      </c>
      <c r="AO36" s="2504">
        <f t="shared" si="26"/>
        <v>13.5456691405867</v>
      </c>
      <c r="AP36" s="2504">
        <f t="shared" si="26"/>
        <v>13.4163222777572</v>
      </c>
      <c r="AQ36" s="2505"/>
      <c r="AR36" s="2488"/>
      <c r="AS36" s="2504"/>
      <c r="AT36" s="2504"/>
      <c r="AU36" s="2504"/>
      <c r="AV36" s="2504"/>
      <c r="AW36" s="2504"/>
      <c r="AX36" s="2504"/>
      <c r="AY36" s="2504"/>
      <c r="AZ36" s="2504"/>
      <c r="BA36" s="2504"/>
      <c r="BB36" s="2504"/>
      <c r="BC36" s="2504"/>
      <c r="BD36" s="2504"/>
      <c r="BE36" s="2505"/>
      <c r="BG36" s="2561" cm="1">
        <f t="array" aca="1" ref="BG36" ca="1">INDIRECT("'※ 재무_세부시트'!"&amp;BG$1&amp;$AD36, TRUE)</f>
        <v>14.614718331177802</v>
      </c>
      <c r="BH36" s="2561" cm="1">
        <f t="array" aca="1" ref="BH36" ca="1">INDIRECT("'※ 재무_세부시트'!"&amp;BH$1&amp;$AD36, TRUE)</f>
        <v>170.37647784746241</v>
      </c>
      <c r="BI36" s="2561" cm="1">
        <f t="array" aca="1" ref="BI36" ca="1">INDIRECT("'※ 재무_세부시트'!"&amp;BI$1&amp;$AD36, TRUE)</f>
        <v>14.415164137488699</v>
      </c>
      <c r="BJ36" s="2561" cm="1">
        <f t="array" aca="1" ref="BJ36" ca="1">INDIRECT("'※ 재무_세부시트'!"&amp;BJ$1&amp;$AD36, TRUE)</f>
        <v>11.27059863287119</v>
      </c>
      <c r="BK36" s="2561" cm="1">
        <f t="array" aca="1" ref="BK36" ca="1">INDIRECT("'※ 재무_세부시트'!"&amp;BK$1&amp;$AD36, TRUE)</f>
        <v>13.834609112999201</v>
      </c>
      <c r="BL36" s="2490"/>
      <c r="BM36" s="2490"/>
    </row>
    <row r="37" spans="1:71" ht="19.5" customHeight="1" x14ac:dyDescent="0.55000000000000004">
      <c r="A37" s="2492"/>
      <c r="B37" s="2427"/>
      <c r="C37" s="2599"/>
      <c r="D37" s="2576" t="s">
        <v>948</v>
      </c>
      <c r="E37" s="2427"/>
      <c r="F37" s="2547" cm="1">
        <f t="array" aca="1" ref="F37" ca="1">INDIRECT("'※ 재무_세부시트'!"&amp;F$1&amp;$AD37, TRUE)</f>
        <v>70.076979480000006</v>
      </c>
      <c r="G37" s="2547" cm="1">
        <f t="array" aca="1" ref="G37" ca="1">INDIRECT("'※ 재무_세부시트'!"&amp;G$1&amp;$AD37, TRUE)</f>
        <v>68.735845239999989</v>
      </c>
      <c r="H37" s="2548" cm="1">
        <f t="array" aca="1" ref="H37" ca="1">INDIRECT("'※ 재무_세부시트'!"&amp;H$1&amp;$AD37, TRUE)</f>
        <v>5.2481265800000001</v>
      </c>
      <c r="I37" s="2549" cm="1">
        <f t="array" aca="1" ref="I37" ca="1">INDIRECT("'※ 재무_세부시트'!"&amp;I$1&amp;$AD37, TRUE)</f>
        <v>5.3671953700000001</v>
      </c>
      <c r="J37" s="2549" cm="1">
        <f t="array" aca="1" ref="J37" ca="1">INDIRECT("'※ 재무_세부시트'!"&amp;J$1&amp;$AD37, TRUE)</f>
        <v>5.1954725700000006</v>
      </c>
      <c r="K37" s="2549" cm="1">
        <f t="array" aca="1" ref="K37" ca="1">INDIRECT("'※ 재무_세부시트'!"&amp;K$1&amp;$AD37, TRUE)</f>
        <v>5.0662480399999996</v>
      </c>
      <c r="L37" s="2549" cm="1">
        <f t="array" aca="1" ref="L37" ca="1">INDIRECT("'※ 재무_세부시트'!"&amp;L$1&amp;$AD37, TRUE)</f>
        <v>4.9718197100000001</v>
      </c>
      <c r="M37" s="2549" cm="1">
        <f t="array" aca="1" ref="M37" ca="1">INDIRECT("'※ 재무_세부시트'!"&amp;M$1&amp;$AD37, TRUE)</f>
        <v>5.0249524000000001</v>
      </c>
      <c r="N37" s="2549" cm="1">
        <f t="array" aca="1" ref="N37" ca="1">INDIRECT("'※ 재무_세부시트'!"&amp;N$1&amp;$AD37, TRUE)</f>
        <v>5.0402239</v>
      </c>
      <c r="O37" s="2549" cm="1">
        <f t="array" aca="1" ref="O37" ca="1">INDIRECT("'※ 재무_세부시트'!"&amp;O$1&amp;$AD37, TRUE)</f>
        <v>5.0574361099999994</v>
      </c>
      <c r="P37" s="2549" cm="1">
        <f t="array" aca="1" ref="P37" ca="1">INDIRECT("'※ 재무_세부시트'!"&amp;P$1&amp;$AD37, TRUE)</f>
        <v>4.9543201099999994</v>
      </c>
      <c r="Q37" s="2549" cm="1">
        <f t="array" aca="1" ref="Q37" ca="1">INDIRECT("'※ 재무_세부시트'!"&amp;Q$1&amp;$AD37, TRUE)</f>
        <v>4.8782752499999997</v>
      </c>
      <c r="R37" s="2549" cm="1">
        <f t="array" aca="1" ref="R37" ca="1">INDIRECT("'※ 재무_세부시트'!"&amp;R$1&amp;$AD37, TRUE)</f>
        <v>4.68329182</v>
      </c>
      <c r="S37" s="2549" cm="1">
        <f t="array" aca="1" ref="S37" ca="1">INDIRECT("'※ 재무_세부시트'!"&amp;S$1&amp;$AD37, TRUE)</f>
        <v>4.6386204600000003</v>
      </c>
      <c r="T37" s="2600"/>
      <c r="U37" s="2600"/>
      <c r="V37" s="2601"/>
      <c r="W37" s="2559" cm="1">
        <f t="array" aca="1" ref="W37" ca="1">INDIRECT("'※ 재무_세부시트'!"&amp;W$1&amp;$AD37, TRUE)</f>
        <v>-4.4671359999999716E-2</v>
      </c>
      <c r="X37" s="2555" cm="1">
        <f t="array" aca="1" ref="X37" ca="1">INDIRECT("'※ 재무_세부시트'!"&amp;X$1&amp;$AD37, TRUE)</f>
        <v>-0.8585567300000001</v>
      </c>
      <c r="Y37" s="2555" cm="1">
        <f t="array" aca="1" ref="Y37" ca="1">INDIRECT("'※ 재무_세부시트'!"&amp;Y$1&amp;$AD37, TRUE)</f>
        <v>0</v>
      </c>
      <c r="Z37" s="2554" cm="1">
        <f t="array" aca="1" ref="Z37" ca="1">INDIRECT("'※ 재무_세부시트'!"&amp;Z$1&amp;$AD37, TRUE)</f>
        <v>60.125982319999991</v>
      </c>
      <c r="AA37" s="2602"/>
      <c r="AB37" s="2603"/>
      <c r="AC37" s="2560" cm="1">
        <f t="array" aca="1" ref="AC37" ca="1">INDIRECT("'※ 재무_세부시트'!"&amp;AC$1&amp;$AD37, TRUE)</f>
        <v>-8.6098629199999976</v>
      </c>
      <c r="AD37" s="2441">
        <v>36</v>
      </c>
      <c r="AE37" s="2504">
        <f>AE137</f>
        <v>5.7071177100000003</v>
      </c>
      <c r="AF37" s="2504">
        <f t="shared" ref="AF37:AP37" si="27">AF137</f>
        <v>5.7489088400000004</v>
      </c>
      <c r="AG37" s="2504">
        <f t="shared" si="27"/>
        <v>5.8226918300000001</v>
      </c>
      <c r="AH37" s="2504">
        <f t="shared" si="27"/>
        <v>5.7612517900000002</v>
      </c>
      <c r="AI37" s="2504">
        <f t="shared" si="27"/>
        <v>5.7821658400000002</v>
      </c>
      <c r="AJ37" s="2504">
        <f t="shared" si="27"/>
        <v>5.5630937300000003</v>
      </c>
      <c r="AK37" s="2504">
        <f t="shared" si="27"/>
        <v>5.88801738</v>
      </c>
      <c r="AL37" s="2504">
        <f t="shared" si="27"/>
        <v>5.9146264300000011</v>
      </c>
      <c r="AM37" s="2504">
        <f t="shared" si="27"/>
        <v>5.8894420300000005</v>
      </c>
      <c r="AN37" s="2504">
        <f t="shared" si="27"/>
        <v>5.9852158600000003</v>
      </c>
      <c r="AO37" s="2504">
        <f t="shared" si="27"/>
        <v>5.9909112700000007</v>
      </c>
      <c r="AP37" s="2504">
        <f t="shared" si="27"/>
        <v>6.0235367699999998</v>
      </c>
      <c r="AQ37" s="2505"/>
      <c r="AR37" s="2488"/>
      <c r="AS37" s="2504"/>
      <c r="AT37" s="2504"/>
      <c r="AU37" s="2504"/>
      <c r="AV37" s="2504"/>
      <c r="AW37" s="2504"/>
      <c r="AX37" s="2504"/>
      <c r="AY37" s="2504"/>
      <c r="AZ37" s="2504"/>
      <c r="BA37" s="2504"/>
      <c r="BB37" s="2504"/>
      <c r="BC37" s="2504"/>
      <c r="BD37" s="2504"/>
      <c r="BE37" s="2505"/>
      <c r="BG37" s="2561" cm="1">
        <f t="array" aca="1" ref="BG37" ca="1">INDIRECT("'※ 재무_세부시트'!"&amp;BG$1&amp;$AD37, TRUE)</f>
        <v>5.7071177100000003</v>
      </c>
      <c r="BH37" s="2561" cm="1">
        <f t="array" aca="1" ref="BH37" ca="1">INDIRECT("'※ 재무_세부시트'!"&amp;BH$1&amp;$AD37, TRUE)</f>
        <v>70.076979480000006</v>
      </c>
      <c r="BI37" s="2561" cm="1">
        <f t="array" aca="1" ref="BI37" ca="1">INDIRECT("'※ 재무_세부시트'!"&amp;BI$1&amp;$AD37, TRUE)</f>
        <v>5.88801738</v>
      </c>
      <c r="BJ37" s="2561" cm="1">
        <f t="array" aca="1" ref="BJ37" ca="1">INDIRECT("'※ 재무_세부시트'!"&amp;BJ$1&amp;$AD37, TRUE)</f>
        <v>5.7274192199999998</v>
      </c>
      <c r="BK37" s="2561" cm="1">
        <f t="array" aca="1" ref="BK37" ca="1">INDIRECT("'※ 재무_세부시트'!"&amp;BK$1&amp;$AD37, TRUE)</f>
        <v>5.8894420300000005</v>
      </c>
      <c r="BL37" s="2490"/>
      <c r="BM37" s="2490"/>
    </row>
    <row r="38" spans="1:71" ht="18.55" customHeight="1" x14ac:dyDescent="0.55000000000000004">
      <c r="A38" s="2492"/>
      <c r="B38" s="2427"/>
      <c r="C38" s="2599"/>
      <c r="D38" s="2576" t="s">
        <v>67</v>
      </c>
      <c r="E38" s="2427" t="s">
        <v>1123</v>
      </c>
      <c r="F38" s="2547" cm="1">
        <f t="array" aca="1" ref="F38" ca="1">INDIRECT("'※ 재무_세부시트'!"&amp;F$1&amp;$AD38, TRUE)</f>
        <v>148.83518524999997</v>
      </c>
      <c r="G38" s="2547" cm="1">
        <f t="array" aca="1" ref="G38" ca="1">INDIRECT("'※ 재무_세부시트'!"&amp;G$1&amp;$AD38, TRUE)</f>
        <v>159.13578192307196</v>
      </c>
      <c r="H38" s="2548" cm="1">
        <f t="array" aca="1" ref="H38" ca="1">INDIRECT("'※ 재무_세부시트'!"&amp;H$1&amp;$AD38, TRUE)</f>
        <v>11.163948079999994</v>
      </c>
      <c r="I38" s="2549" cm="1">
        <f t="array" aca="1" ref="I38" ca="1">INDIRECT("'※ 재무_세부시트'!"&amp;I$1&amp;$AD38, TRUE)</f>
        <v>13.176390499999979</v>
      </c>
      <c r="J38" s="2549" cm="1">
        <f t="array" aca="1" ref="J38" ca="1">INDIRECT("'※ 재무_세부시트'!"&amp;J$1&amp;$AD38, TRUE)</f>
        <v>9.8586543300000216</v>
      </c>
      <c r="K38" s="2549" cm="1">
        <f t="array" aca="1" ref="K38" ca="1">INDIRECT("'※ 재무_세부시트'!"&amp;K$1&amp;$AD38, TRUE)</f>
        <v>19.145844659999995</v>
      </c>
      <c r="L38" s="2549" cm="1">
        <f t="array" aca="1" ref="L38" ca="1">INDIRECT("'※ 재무_세부시트'!"&amp;L$1&amp;$AD38, TRUE)</f>
        <v>9.4178593500000094</v>
      </c>
      <c r="M38" s="2549" cm="1">
        <f t="array" aca="1" ref="M38" ca="1">INDIRECT("'※ 재무_세부시트'!"&amp;M$1&amp;$AD38, TRUE)</f>
        <v>18.102218190000006</v>
      </c>
      <c r="N38" s="2549" cm="1">
        <f t="array" aca="1" ref="N38" ca="1">INDIRECT("'※ 재무_세부시트'!"&amp;N$1&amp;$AD38, TRUE)</f>
        <v>12.558158839999997</v>
      </c>
      <c r="O38" s="2549" cm="1">
        <f t="array" aca="1" ref="O38" ca="1">INDIRECT("'※ 재무_세부시트'!"&amp;O$1&amp;$AD38, TRUE)</f>
        <v>11.544174350000022</v>
      </c>
      <c r="P38" s="2549" cm="1">
        <f t="array" aca="1" ref="P38" ca="1">INDIRECT("'※ 재무_세부시트'!"&amp;P$1&amp;$AD38, TRUE)</f>
        <v>13.847875070000038</v>
      </c>
      <c r="Q38" s="2549" cm="1">
        <f t="array" aca="1" ref="Q38" ca="1">INDIRECT("'※ 재무_세부시트'!"&amp;Q$1&amp;$AD38, TRUE)</f>
        <v>5.7532793099999839</v>
      </c>
      <c r="R38" s="2549" cm="1">
        <f t="array" aca="1" ref="R38" ca="1">INDIRECT("'※ 재무_세부시트'!"&amp;R$1&amp;$AD38, TRUE)</f>
        <v>12.167113369999988</v>
      </c>
      <c r="S38" s="2549" cm="1">
        <f t="array" aca="1" ref="S38" ca="1">INDIRECT("'※ 재무_세부시트'!"&amp;S$1&amp;$AD38, TRUE)</f>
        <v>13.115039449999971</v>
      </c>
      <c r="T38" s="2600"/>
      <c r="U38" s="2600"/>
      <c r="V38" s="2601"/>
      <c r="W38" s="2559" cm="1">
        <f t="array" aca="1" ref="W38" ca="1">INDIRECT("'※ 재무_세부시트'!"&amp;W$1&amp;$AD38, TRUE)</f>
        <v>0.94792607999998246</v>
      </c>
      <c r="X38" s="2555" cm="1">
        <f t="array" aca="1" ref="X38" ca="1">INDIRECT("'※ 재무_세부시트'!"&amp;X$1&amp;$AD38, TRUE)</f>
        <v>-12.243741840000025</v>
      </c>
      <c r="Y38" s="2555" cm="1">
        <f t="array" aca="1" ref="Y38" ca="1">INDIRECT("'※ 재무_세부시트'!"&amp;Y$1&amp;$AD38, TRUE)</f>
        <v>0</v>
      </c>
      <c r="Z38" s="2554" cm="1">
        <f t="array" aca="1" ref="Z38" ca="1">INDIRECT("'※ 재무_세부시트'!"&amp;Z$1&amp;$AD38, TRUE)</f>
        <v>149.85055550000001</v>
      </c>
      <c r="AA38" s="2602"/>
      <c r="AB38" s="2603"/>
      <c r="AC38" s="2560" cm="1">
        <f t="array" aca="1" ref="AC38" ca="1">INDIRECT("'※ 재무_세부시트'!"&amp;AC$1&amp;$AD38, TRUE)</f>
        <v>-1.3402399930719469</v>
      </c>
      <c r="AD38" s="2441">
        <v>37</v>
      </c>
      <c r="AE38" s="2504">
        <f>AE22-AE35-AE36-AE37</f>
        <v>23.248171970000001</v>
      </c>
      <c r="AF38" s="2504">
        <f t="shared" ref="AF38:AP38" si="28">AF22-AF35-AF36-AF37</f>
        <v>6.0722279200000013</v>
      </c>
      <c r="AG38" s="2504">
        <f t="shared" si="28"/>
        <v>13.358644360000032</v>
      </c>
      <c r="AH38" s="2504">
        <f t="shared" si="28"/>
        <v>9.9302275099999875</v>
      </c>
      <c r="AI38" s="2504">
        <f t="shared" si="28"/>
        <v>12.633443259999961</v>
      </c>
      <c r="AJ38" s="2504">
        <f t="shared" si="28"/>
        <v>13.15405771000003</v>
      </c>
      <c r="AK38" s="2504">
        <f t="shared" si="28"/>
        <v>14.087254160000011</v>
      </c>
      <c r="AL38" s="2504">
        <f t="shared" si="28"/>
        <v>11.802230859999973</v>
      </c>
      <c r="AM38" s="2504">
        <f t="shared" si="28"/>
        <v>7.5399230800000003</v>
      </c>
      <c r="AN38" s="2504">
        <f t="shared" si="28"/>
        <v>13.349010780000032</v>
      </c>
      <c r="AO38" s="2504">
        <f t="shared" si="28"/>
        <v>9.3138783099999998</v>
      </c>
      <c r="AP38" s="2504">
        <f t="shared" si="28"/>
        <v>14.346115329999943</v>
      </c>
      <c r="AQ38" s="2505"/>
      <c r="AR38" s="2488"/>
      <c r="AS38" s="2504"/>
      <c r="AT38" s="2504"/>
      <c r="AU38" s="2504"/>
      <c r="AV38" s="2504"/>
      <c r="AW38" s="2504"/>
      <c r="AX38" s="2504"/>
      <c r="AY38" s="2504"/>
      <c r="AZ38" s="2504"/>
      <c r="BA38" s="2504"/>
      <c r="BB38" s="2504"/>
      <c r="BC38" s="2504"/>
      <c r="BD38" s="2504"/>
      <c r="BE38" s="2505"/>
      <c r="BG38" s="2561" cm="1">
        <f t="array" aca="1" ref="BG38" ca="1">INDIRECT("'※ 재무_세부시트'!"&amp;BG$1&amp;$AD38, TRUE)</f>
        <v>23.248171970000001</v>
      </c>
      <c r="BH38" s="2561" cm="1">
        <f t="array" aca="1" ref="BH38" ca="1">INDIRECT("'※ 재무_세부시트'!"&amp;BH$1&amp;$AD38, TRUE)</f>
        <v>148.83518524999997</v>
      </c>
      <c r="BI38" s="2561" cm="1">
        <f t="array" aca="1" ref="BI38" ca="1">INDIRECT("'※ 재무_세부시트'!"&amp;BI$1&amp;$AD38, TRUE)</f>
        <v>14.087254160000011</v>
      </c>
      <c r="BJ38" s="2561" cm="1">
        <f t="array" aca="1" ref="BJ38" ca="1">INDIRECT("'※ 재무_세부시트'!"&amp;BJ$1&amp;$AD38, TRUE)</f>
        <v>10.400818357849078</v>
      </c>
      <c r="BK38" s="2561" cm="1">
        <f t="array" aca="1" ref="BK38" ca="1">INDIRECT("'※ 재무_세부시트'!"&amp;BK$1&amp;$AD38, TRUE)</f>
        <v>7.5399230800000003</v>
      </c>
      <c r="BL38" s="2490"/>
      <c r="BM38" s="2490"/>
    </row>
    <row r="39" spans="1:71" ht="25" customHeight="1" x14ac:dyDescent="0.55000000000000004">
      <c r="A39" s="2492"/>
      <c r="B39" s="2427"/>
      <c r="C39" s="2611" t="s">
        <v>7</v>
      </c>
      <c r="D39" s="2640"/>
      <c r="E39" s="2564"/>
      <c r="F39" s="2565" cm="1">
        <f t="array" aca="1" ref="F39" ca="1">INDIRECT("'※ 재무_세부시트'!"&amp;F$1&amp;$AD39, TRUE)</f>
        <v>432.14429624000002</v>
      </c>
      <c r="G39" s="2565" cm="1">
        <f t="array" aca="1" ref="G39" ca="1">INDIRECT("'※ 재무_세부시트'!"&amp;G$1&amp;$AD39, TRUE)</f>
        <v>505.65747005000003</v>
      </c>
      <c r="H39" s="2566" cm="1">
        <f t="array" aca="1" ref="H39" ca="1">INDIRECT("'※ 재무_세부시트'!"&amp;H$1&amp;$AD39, TRUE)</f>
        <v>32.779204499999999</v>
      </c>
      <c r="I39" s="2567" cm="1">
        <f t="array" aca="1" ref="I39" ca="1">INDIRECT("'※ 재무_세부시트'!"&amp;I$1&amp;$AD39, TRUE)</f>
        <v>38.211540289999995</v>
      </c>
      <c r="J39" s="2567" cm="1">
        <f t="array" aca="1" ref="J39" ca="1">INDIRECT("'※ 재무_세부시트'!"&amp;J$1&amp;$AD39, TRUE)</f>
        <v>39.763803379999999</v>
      </c>
      <c r="K39" s="2567" cm="1">
        <f t="array" aca="1" ref="K39" ca="1">INDIRECT("'※ 재무_세부시트'!"&amp;K$1&amp;$AD39, TRUE)</f>
        <v>39.829534260000003</v>
      </c>
      <c r="L39" s="2567" cm="1">
        <f t="array" aca="1" ref="L39" ca="1">INDIRECT("'※ 재무_세부시트'!"&amp;L$1&amp;$AD39, TRUE)</f>
        <v>40.952530789999997</v>
      </c>
      <c r="M39" s="2567" cm="1">
        <f t="array" aca="1" ref="M39" ca="1">INDIRECT("'※ 재무_세부시트'!"&amp;M$1&amp;$AD39, TRUE)</f>
        <v>41.618137779999998</v>
      </c>
      <c r="N39" s="2567" cm="1">
        <f t="array" aca="1" ref="N39" ca="1">INDIRECT("'※ 재무_세부시트'!"&amp;N$1&amp;$AD39, TRUE)</f>
        <v>36.675877210000003</v>
      </c>
      <c r="O39" s="2567" cm="1">
        <f t="array" aca="1" ref="O39" ca="1">INDIRECT("'※ 재무_세부시트'!"&amp;O$1&amp;$AD39, TRUE)</f>
        <v>37.317680150000001</v>
      </c>
      <c r="P39" s="2567" cm="1">
        <f t="array" aca="1" ref="P39" ca="1">INDIRECT("'※ 재무_세부시트'!"&amp;P$1&amp;$AD39, TRUE)</f>
        <v>37.761063</v>
      </c>
      <c r="Q39" s="2567" cm="1">
        <f t="array" aca="1" ref="Q39" ca="1">INDIRECT("'※ 재무_세부시트'!"&amp;Q$1&amp;$AD39, TRUE)</f>
        <v>37.895173910000004</v>
      </c>
      <c r="R39" s="2567" cm="1">
        <f t="array" aca="1" ref="R39" ca="1">INDIRECT("'※ 재무_세부시트'!"&amp;R$1&amp;$AD39, TRUE)</f>
        <v>36.734066470000002</v>
      </c>
      <c r="S39" s="2567" cm="1">
        <f t="array" aca="1" ref="S39" ca="1">INDIRECT("'※ 재무_세부시트'!"&amp;S$1&amp;$AD39, TRUE)</f>
        <v>46.981223130000004</v>
      </c>
      <c r="T39" s="2568" cm="1">
        <f t="array" aca="1" ref="T39" ca="1">INDIRECT("'※ 재무_세부시트'!"&amp;T$1&amp;$AD39, TRUE)</f>
        <v>3390.8033333333328</v>
      </c>
      <c r="U39" s="2568" cm="1">
        <f t="array" aca="1" ref="U39" ca="1">INDIRECT("'※ 재무_세부시트'!"&amp;U$1&amp;$AD39, TRUE)</f>
        <v>-3422.6911102033328</v>
      </c>
      <c r="V39" s="2569" cm="1">
        <f t="array" aca="1" ref="V39" ca="1">INDIRECT("'※ 재무_세부시트'!"&amp;V$1&amp;$AD39, TRUE)</f>
        <v>1.354053599777962E-2</v>
      </c>
      <c r="W39" s="2570" cm="1">
        <f t="array" aca="1" ref="W39" ca="1">INDIRECT("'※ 재무_세부시트'!"&amp;W$1&amp;$AD39, TRUE)</f>
        <v>10.247156660000002</v>
      </c>
      <c r="X39" s="2571" cm="1">
        <f t="array" aca="1" ref="X39" ca="1">INDIRECT("'※ 재무_세부시트'!"&amp;X$1&amp;$AD39, TRUE)</f>
        <v>6.7046624600000087</v>
      </c>
      <c r="Y39" s="2571" cm="1">
        <f t="array" aca="1" ref="Y39" ca="1">INDIRECT("'※ 재무_세부시트'!"&amp;Y$1&amp;$AD39, TRUE)</f>
        <v>0</v>
      </c>
      <c r="Z39" s="2572" cm="1">
        <f t="array" aca="1" ref="Z39" ca="1">INDIRECT("'※ 재무_세부시트'!"&amp;Z$1&amp;$AD39, TRUE)</f>
        <v>466.51983486999995</v>
      </c>
      <c r="AA39" s="2571" cm="1">
        <f t="array" aca="1" ref="AA39" ca="1">INDIRECT("'※ 재무_세부시트'!"&amp;AA$1&amp;$AD39, TRUE)</f>
        <v>-6384.4566837966668</v>
      </c>
      <c r="AB39" s="2573" cm="1">
        <f t="array" aca="1" ref="AB39" ca="1">INDIRECT("'※ 재무_세부시트'!"&amp;AB$1&amp;$AD39, TRUE)</f>
        <v>6.8095377877720978E-2</v>
      </c>
      <c r="AC39" s="2574" cm="1">
        <f t="array" aca="1" ref="AC39" ca="1">INDIRECT("'※ 재무_세부시트'!"&amp;AC$1&amp;$AD39, TRUE)</f>
        <v>-39.137635180000075</v>
      </c>
      <c r="AD39" s="2441">
        <v>38</v>
      </c>
      <c r="AE39" s="2577">
        <f>(4121.280242/100)-AE53</f>
        <v>40.917431279999995</v>
      </c>
      <c r="AF39" s="2577">
        <f>(3333.387753/100)-AF53</f>
        <v>33.238089260000002</v>
      </c>
      <c r="AG39" s="2577">
        <f>(4045.418139/100)-AG53</f>
        <v>40.40507289</v>
      </c>
      <c r="AH39" s="2577">
        <f>(3318.803182/100)-AH53</f>
        <v>33.188031819999999</v>
      </c>
      <c r="AI39" s="2577">
        <f>(3265.812945/100)-AI53</f>
        <v>32.643947700000005</v>
      </c>
      <c r="AJ39" s="2577">
        <f>(4011.255579/100)-AJ53</f>
        <v>39.878724640000002</v>
      </c>
      <c r="AK39" s="2577">
        <f>(3525.368812/100)-AK53</f>
        <v>35.223917120000003</v>
      </c>
      <c r="AL39" s="2577">
        <f>(3412.604221/100)-AL53</f>
        <v>33.868751660000001</v>
      </c>
      <c r="AM39" s="2577">
        <f>(4319.320147/100)-AM53</f>
        <v>43.083046970000005</v>
      </c>
      <c r="AN39" s="2577">
        <f>(3387.433582/100)-AN53</f>
        <v>33.805491320000002</v>
      </c>
      <c r="AO39" s="2577">
        <f>(3348.615816/100)-AO53</f>
        <v>33.451499660000003</v>
      </c>
      <c r="AP39" s="2577">
        <f>(3471.768056/100)-AP53</f>
        <v>32.44029192</v>
      </c>
      <c r="AQ39" s="2505">
        <f t="shared" ref="AQ39:AQ54" si="29">SUM(AE39:AP39)</f>
        <v>432.14429624000002</v>
      </c>
      <c r="AR39" s="2488"/>
      <c r="AS39" s="2577">
        <f>(3644.13527339002/100)-AS53</f>
        <v>35.123499999999979</v>
      </c>
      <c r="AT39" s="2577">
        <f>(3661.00340237424/100)-AT53</f>
        <v>34.963000000000051</v>
      </c>
      <c r="AU39" s="2577">
        <f>(3990.43240237424/100)-AU53</f>
        <v>38.257290000000054</v>
      </c>
      <c r="AV39" s="2577">
        <f>(3712.15340237423/100)-AV53</f>
        <v>35.474499999999949</v>
      </c>
      <c r="AW39" s="2577">
        <f>(3700.78340237423/100)-AW53</f>
        <v>35.360799999999948</v>
      </c>
      <c r="AX39" s="2577">
        <f>(4034.89240237424/100)-AX53</f>
        <v>38.701890000000049</v>
      </c>
      <c r="AY39" s="2577">
        <f>(4008.95340237423/100)-AY53</f>
        <v>38.442499999999946</v>
      </c>
      <c r="AZ39" s="2577">
        <f>(3742.90340237423/100)-AZ53</f>
        <v>35.781999999999954</v>
      </c>
      <c r="BA39" s="2577">
        <f>(4072.33240237424/100)-BA53</f>
        <v>39.07629000000005</v>
      </c>
      <c r="BB39" s="2577">
        <f>(3794.05340237423/100)-BB53</f>
        <v>36.293499999999945</v>
      </c>
      <c r="BC39" s="2577">
        <f>(3778.00340237424/100)-BC53</f>
        <v>36.133000000000052</v>
      </c>
      <c r="BD39" s="2577">
        <f>(4357.43240237424/100)-BD53</f>
        <v>41.927290000000049</v>
      </c>
      <c r="BE39" s="2505">
        <f>SUM(AS39:BD39)</f>
        <v>445.53555999999998</v>
      </c>
      <c r="BG39" s="2561" cm="1">
        <f t="array" aca="1" ref="BG39" ca="1">INDIRECT("'※ 재무_세부시트'!"&amp;BG$1&amp;$AD39, TRUE)</f>
        <v>40.917431279999995</v>
      </c>
      <c r="BH39" s="2561" cm="1">
        <f t="array" aca="1" ref="BH39" ca="1">INDIRECT("'※ 재무_세부시트'!"&amp;BH$1&amp;$AD39, TRUE)</f>
        <v>432.14429624000002</v>
      </c>
      <c r="BI39" s="2561" cm="1">
        <f t="array" aca="1" ref="BI39" ca="1">INDIRECT("'※ 재무_세부시트'!"&amp;BI$1&amp;$AD39, TRUE)</f>
        <v>35.223917120000003</v>
      </c>
      <c r="BJ39" s="2561" cm="1">
        <f t="array" aca="1" ref="BJ39" ca="1">INDIRECT("'※ 재무_세부시트'!"&amp;BJ$1&amp;$AD39, TRUE)</f>
        <v>41.637191219999998</v>
      </c>
      <c r="BK39" s="2561" cm="1">
        <f t="array" aca="1" ref="BK39" ca="1">INDIRECT("'※ 재무_세부시트'!"&amp;BK$1&amp;$AD39, TRUE)</f>
        <v>43.083046970000005</v>
      </c>
      <c r="BL39" s="2490"/>
      <c r="BM39" s="2490"/>
    </row>
    <row r="40" spans="1:71" ht="19.5" customHeight="1" outlineLevel="1" x14ac:dyDescent="0.55000000000000004">
      <c r="A40" s="2492"/>
      <c r="B40" s="2427"/>
      <c r="C40" s="2599" t="s">
        <v>764</v>
      </c>
      <c r="D40" s="2576" t="s">
        <v>111</v>
      </c>
      <c r="E40" s="2427" t="s">
        <v>864</v>
      </c>
      <c r="F40" s="2547" cm="1">
        <f t="array" aca="1" ref="F40" ca="1">INDIRECT("'※ 재무_세부시트'!"&amp;F$1&amp;$AD40, TRUE)</f>
        <v>316.79999999999995</v>
      </c>
      <c r="G40" s="2547" cm="1">
        <f t="array" aca="1" ref="G40" ca="1">INDIRECT("'※ 재무_세부시트'!"&amp;G$1&amp;$AD40, TRUE)</f>
        <v>288.75688226</v>
      </c>
      <c r="H40" s="2548" cm="1">
        <f t="array" aca="1" ref="H40" ca="1">INDIRECT("'※ 재무_세부시트'!"&amp;H$1&amp;$AD40, TRUE)</f>
        <v>26.927904990000002</v>
      </c>
      <c r="I40" s="2549" cm="1">
        <f t="array" aca="1" ref="I40" ca="1">INDIRECT("'※ 재무_세부시트'!"&amp;I$1&amp;$AD40, TRUE)</f>
        <v>27.037246369999998</v>
      </c>
      <c r="J40" s="2549" cm="1">
        <f t="array" aca="1" ref="J40" ca="1">INDIRECT("'※ 재무_세부시트'!"&amp;J$1&amp;$AD40, TRUE)</f>
        <v>26.95</v>
      </c>
      <c r="K40" s="2549" cm="1">
        <f t="array" aca="1" ref="K40" ca="1">INDIRECT("'※ 재무_세부시트'!"&amp;K$1&amp;$AD40, TRUE)</f>
        <v>25</v>
      </c>
      <c r="L40" s="2549" cm="1">
        <f t="array" aca="1" ref="L40" ca="1">INDIRECT("'※ 재무_세부시트'!"&amp;L$1&amp;$AD40, TRUE)</f>
        <v>25</v>
      </c>
      <c r="M40" s="2549" cm="1">
        <f t="array" aca="1" ref="M40" ca="1">INDIRECT("'※ 재무_세부시트'!"&amp;M$1&amp;$AD40, TRUE)</f>
        <v>25</v>
      </c>
      <c r="N40" s="2549" cm="1">
        <f t="array" aca="1" ref="N40" ca="1">INDIRECT("'※ 재무_세부시트'!"&amp;N$1&amp;$AD40, TRUE)</f>
        <v>25</v>
      </c>
      <c r="O40" s="2549" cm="1">
        <f t="array" aca="1" ref="O40" ca="1">INDIRECT("'※ 재무_세부시트'!"&amp;O$1&amp;$AD40, TRUE)</f>
        <v>25</v>
      </c>
      <c r="P40" s="2549" cm="1">
        <f t="array" aca="1" ref="P40" ca="1">INDIRECT("'※ 재무_세부시트'!"&amp;P$1&amp;$AD40, TRUE)</f>
        <v>25</v>
      </c>
      <c r="Q40" s="2549" cm="1">
        <f t="array" aca="1" ref="Q40" ca="1">INDIRECT("'※ 재무_세부시트'!"&amp;Q$1&amp;$AD40, TRUE)</f>
        <v>25</v>
      </c>
      <c r="R40" s="2549" cm="1">
        <f t="array" aca="1" ref="R40" ca="1">INDIRECT("'※ 재무_세부시트'!"&amp;R$1&amp;$AD40, TRUE)</f>
        <v>25</v>
      </c>
      <c r="S40" s="2549" cm="1">
        <f t="array" aca="1" ref="S40" ca="1">INDIRECT("'※ 재무_세부시트'!"&amp;S$1&amp;$AD40, TRUE)</f>
        <v>35.258319999999998</v>
      </c>
      <c r="T40" s="2550" cm="1">
        <f t="array" aca="1" ref="T40" ca="1">INDIRECT("'※ 재무_세부시트'!"&amp;T$1&amp;$AD40, TRUE)</f>
        <v>0</v>
      </c>
      <c r="U40" s="2550" cm="1">
        <f t="array" aca="1" ref="U40" ca="1">INDIRECT("'※ 재무_세부시트'!"&amp;U$1&amp;$AD40, TRUE)</f>
        <v>35.258319999999998</v>
      </c>
      <c r="V40" s="2551" cm="1">
        <f t="array" aca="1" ref="V40" ca="1">INDIRECT("'※ 재무_세부시트'!"&amp;V$1&amp;$AD40, TRUE)</f>
        <v>0</v>
      </c>
      <c r="W40" s="2559" cm="1">
        <f t="array" aca="1" ref="W40" ca="1">INDIRECT("'※ 재무_세부시트'!"&amp;W$1&amp;$AD40, TRUE)</f>
        <v>10.258319999999998</v>
      </c>
      <c r="X40" s="2555" cm="1">
        <f t="array" aca="1" ref="X40" ca="1">INDIRECT("'※ 재무_세부시트'!"&amp;X$1&amp;$AD40, TRUE)</f>
        <v>21.232949639999998</v>
      </c>
      <c r="Y40" s="2555" cm="1">
        <f t="array" aca="1" ref="Y40" ca="1">INDIRECT("'※ 재무_세부시트'!"&amp;Y$1&amp;$AD40, TRUE)</f>
        <v>0</v>
      </c>
      <c r="Z40" s="2554" cm="1">
        <f t="array" aca="1" ref="Z40" ca="1">INDIRECT("'※ 재무_세부시트'!"&amp;Z$1&amp;$AD40, TRUE)</f>
        <v>316.17347136000001</v>
      </c>
      <c r="AA40" s="2555" cm="1">
        <f t="array" aca="1" ref="AA40" ca="1">INDIRECT("'※ 재무_세부시트'!"&amp;AA$1&amp;$AD40, TRUE)</f>
        <v>316.17347136000001</v>
      </c>
      <c r="AB40" s="2556" cm="1">
        <f t="array" aca="1" ref="AB40" ca="1">INDIRECT("'※ 재무_세부시트'!"&amp;AB$1&amp;$AD40, TRUE)</f>
        <v>0</v>
      </c>
      <c r="AC40" s="2560" cm="1">
        <f t="array" aca="1" ref="AC40" ca="1">INDIRECT("'※ 재무_세부시트'!"&amp;AC$1&amp;$AD40, TRUE)</f>
        <v>27.41658910000001</v>
      </c>
      <c r="AD40" s="2441">
        <v>39</v>
      </c>
      <c r="AE40" s="2504">
        <v>26.4</v>
      </c>
      <c r="AF40" s="2504">
        <v>26.4</v>
      </c>
      <c r="AG40" s="2504">
        <v>26.4</v>
      </c>
      <c r="AH40" s="2504">
        <v>26.4</v>
      </c>
      <c r="AI40" s="2504">
        <v>26.4</v>
      </c>
      <c r="AJ40" s="2504">
        <v>26.4</v>
      </c>
      <c r="AK40" s="2504">
        <v>26.4</v>
      </c>
      <c r="AL40" s="2504">
        <v>26.4</v>
      </c>
      <c r="AM40" s="2504">
        <v>26.4</v>
      </c>
      <c r="AN40" s="2504">
        <v>26.4</v>
      </c>
      <c r="AO40" s="2504">
        <v>26.4</v>
      </c>
      <c r="AP40" s="2504">
        <v>26.4</v>
      </c>
      <c r="AQ40" s="2505">
        <f t="shared" si="29"/>
        <v>316.79999999999995</v>
      </c>
      <c r="AR40" s="2488"/>
      <c r="AS40" s="2504">
        <v>26.4</v>
      </c>
      <c r="AT40" s="2504">
        <v>26.4</v>
      </c>
      <c r="AU40" s="2504">
        <v>26.4</v>
      </c>
      <c r="AV40" s="2504">
        <v>26.4</v>
      </c>
      <c r="AW40" s="2504">
        <v>26.4</v>
      </c>
      <c r="AX40" s="2504">
        <v>26.4</v>
      </c>
      <c r="AY40" s="2504">
        <v>26.4</v>
      </c>
      <c r="AZ40" s="2504">
        <v>26.4</v>
      </c>
      <c r="BA40" s="2504">
        <v>26.4</v>
      </c>
      <c r="BB40" s="2504">
        <v>26.4</v>
      </c>
      <c r="BC40" s="2504">
        <v>26.4</v>
      </c>
      <c r="BD40" s="2504">
        <v>26.4</v>
      </c>
      <c r="BE40" s="2505">
        <f>SUM(AS40:BD40)</f>
        <v>316.79999999999995</v>
      </c>
      <c r="BG40" s="2561" cm="1">
        <f t="array" aca="1" ref="BG40" ca="1">INDIRECT("'※ 재무_세부시트'!"&amp;BG$1&amp;$AD40, TRUE)</f>
        <v>26.4</v>
      </c>
      <c r="BH40" s="2561" cm="1">
        <f t="array" aca="1" ref="BH40" ca="1">INDIRECT("'※ 재무_세부시트'!"&amp;BH$1&amp;$AD40, TRUE)</f>
        <v>316.79999999999995</v>
      </c>
      <c r="BI40" s="2561" cm="1">
        <f t="array" aca="1" ref="BI40" ca="1">INDIRECT("'※ 재무_세부시트'!"&amp;BI$1&amp;$AD40, TRUE)</f>
        <v>26.4</v>
      </c>
      <c r="BJ40" s="2561" cm="1">
        <f t="array" aca="1" ref="BJ40" ca="1">INDIRECT("'※ 재무_세부시트'!"&amp;BJ$1&amp;$AD40, TRUE)</f>
        <v>27.231036419999999</v>
      </c>
      <c r="BK40" s="2561" cm="1">
        <f t="array" aca="1" ref="BK40" ca="1">INDIRECT("'※ 재무_세부시트'!"&amp;BK$1&amp;$AD40, TRUE)</f>
        <v>26.4</v>
      </c>
      <c r="BL40" s="2490"/>
      <c r="BM40" s="2490"/>
    </row>
    <row r="41" spans="1:71" ht="19.5" customHeight="1" outlineLevel="1" x14ac:dyDescent="0.55000000000000004">
      <c r="A41" s="2492"/>
      <c r="B41" s="2427"/>
      <c r="C41" s="2599"/>
      <c r="D41" s="2576" t="s">
        <v>113</v>
      </c>
      <c r="E41" s="2427" t="s">
        <v>865</v>
      </c>
      <c r="F41" s="2547" cm="1">
        <f t="array" aca="1" ref="F41" ca="1">INDIRECT("'※ 재무_세부시트'!"&amp;F$1&amp;$AD41, TRUE)</f>
        <v>25.352599999999999</v>
      </c>
      <c r="G41" s="2547" cm="1">
        <f t="array" aca="1" ref="G41" ca="1">INDIRECT("'※ 재무_세부시트'!"&amp;G$1&amp;$AD41, TRUE)</f>
        <v>18.499330000000004</v>
      </c>
      <c r="H41" s="2548" cm="1">
        <f t="array" aca="1" ref="H41" ca="1">INDIRECT("'※ 재무_세부시트'!"&amp;H$1&amp;$AD41, TRUE)</f>
        <v>1.35002</v>
      </c>
      <c r="I41" s="2549" cm="1">
        <f t="array" aca="1" ref="I41" ca="1">INDIRECT("'※ 재무_세부시트'!"&amp;I$1&amp;$AD41, TRUE)</f>
        <v>1.3266800000000001</v>
      </c>
      <c r="J41" s="2549" cm="1">
        <f t="array" aca="1" ref="J41" ca="1">INDIRECT("'※ 재무_세부시트'!"&amp;J$1&amp;$AD41, TRUE)</f>
        <v>1.35615</v>
      </c>
      <c r="K41" s="2549" cm="1">
        <f t="array" aca="1" ref="K41" ca="1">INDIRECT("'※ 재무_세부시트'!"&amp;K$1&amp;$AD41, TRUE)</f>
        <v>1.26417</v>
      </c>
      <c r="L41" s="2549" cm="1">
        <f t="array" aca="1" ref="L41" ca="1">INDIRECT("'※ 재무_세부시트'!"&amp;L$1&amp;$AD41, TRUE)</f>
        <v>1.27146</v>
      </c>
      <c r="M41" s="2549" cm="1">
        <f t="array" aca="1" ref="M41" ca="1">INDIRECT("'※ 재무_세부시트'!"&amp;M$1&amp;$AD41, TRUE)</f>
        <v>1.11978</v>
      </c>
      <c r="N41" s="2549" cm="1">
        <f t="array" aca="1" ref="N41" ca="1">INDIRECT("'※ 재무_세부시트'!"&amp;N$1&amp;$AD41, TRUE)</f>
        <v>1.1329100000000001</v>
      </c>
      <c r="O41" s="2549" cm="1">
        <f t="array" aca="1" ref="O41" ca="1">INDIRECT("'※ 재무_세부시트'!"&amp;O$1&amp;$AD41, TRUE)</f>
        <v>1.0345200000000001</v>
      </c>
      <c r="P41" s="2549" cm="1">
        <f t="array" aca="1" ref="P41" ca="1">INDIRECT("'※ 재무_세부시트'!"&amp;P$1&amp;$AD41, TRUE)</f>
        <v>1.0655600000000001</v>
      </c>
      <c r="Q41" s="2549" cm="1">
        <f t="array" aca="1" ref="Q41" ca="1">INDIRECT("'※ 재무_세부시트'!"&amp;Q$1&amp;$AD41, TRUE)</f>
        <v>0.95565</v>
      </c>
      <c r="R41" s="2549" cm="1">
        <f t="array" aca="1" ref="R41" ca="1">INDIRECT("'※ 재무_세부시트'!"&amp;R$1&amp;$AD41, TRUE)</f>
        <v>0.95984999999999998</v>
      </c>
      <c r="S41" s="2549" cm="1">
        <f t="array" aca="1" ref="S41" ca="1">INDIRECT("'※ 재무_세부시트'!"&amp;S$1&amp;$AD41, TRUE)</f>
        <v>0.77314000000000005</v>
      </c>
      <c r="T41" s="2550" cm="1">
        <f t="array" aca="1" ref="T41" ca="1">INDIRECT("'※ 재무_세부시트'!"&amp;T$1&amp;$AD41, TRUE)</f>
        <v>0</v>
      </c>
      <c r="U41" s="2550" cm="1">
        <f t="array" aca="1" ref="U41" ca="1">INDIRECT("'※ 재무_세부시트'!"&amp;U$1&amp;$AD41, TRUE)</f>
        <v>0.77314000000000005</v>
      </c>
      <c r="V41" s="2551" cm="1">
        <f t="array" aca="1" ref="V41" ca="1">INDIRECT("'※ 재무_세부시트'!"&amp;V$1&amp;$AD41, TRUE)</f>
        <v>0</v>
      </c>
      <c r="W41" s="2559" cm="1">
        <f t="array" aca="1" ref="W41" ca="1">INDIRECT("'※ 재무_세부시트'!"&amp;W$1&amp;$AD41, TRUE)</f>
        <v>-0.18670999999999993</v>
      </c>
      <c r="X41" s="2555" cm="1">
        <f t="array" aca="1" ref="X41" ca="1">INDIRECT("'※ 재무_세부시트'!"&amp;X$1&amp;$AD41, TRUE)</f>
        <v>-0.5934799999999999</v>
      </c>
      <c r="Y41" s="2555" cm="1">
        <f t="array" aca="1" ref="Y41" ca="1">INDIRECT("'※ 재무_세부시트'!"&amp;Y$1&amp;$AD41, TRUE)</f>
        <v>0</v>
      </c>
      <c r="Z41" s="2554" cm="1">
        <f t="array" aca="1" ref="Z41" ca="1">INDIRECT("'※ 재무_세부시트'!"&amp;Z$1&amp;$AD41, TRUE)</f>
        <v>13.60989</v>
      </c>
      <c r="AA41" s="2555" cm="1">
        <f t="array" aca="1" ref="AA41" ca="1">INDIRECT("'※ 재무_세부시트'!"&amp;AA$1&amp;$AD41, TRUE)</f>
        <v>13.60989</v>
      </c>
      <c r="AB41" s="2556" cm="1">
        <f t="array" aca="1" ref="AB41" ca="1">INDIRECT("'※ 재무_세부시트'!"&amp;AB$1&amp;$AD41, TRUE)</f>
        <v>0</v>
      </c>
      <c r="AC41" s="2560" cm="1">
        <f t="array" aca="1" ref="AC41" ca="1">INDIRECT("'※ 재무_세부시트'!"&amp;AC$1&amp;$AD41, TRUE)</f>
        <v>-4.889440000000004</v>
      </c>
      <c r="AD41" s="2441">
        <v>40</v>
      </c>
      <c r="AE41" s="2504">
        <v>2.2633199999999998</v>
      </c>
      <c r="AF41" s="2504">
        <v>2.2260300000000002</v>
      </c>
      <c r="AG41" s="2504">
        <v>2.2425200000000003</v>
      </c>
      <c r="AH41" s="2504">
        <v>2.27033</v>
      </c>
      <c r="AI41" s="2504">
        <v>2.1792199999999999</v>
      </c>
      <c r="AJ41" s="2504">
        <v>2.10995</v>
      </c>
      <c r="AK41" s="2504">
        <v>2.0794200000000003</v>
      </c>
      <c r="AL41" s="2504">
        <v>2.0732300000000001</v>
      </c>
      <c r="AM41" s="2504">
        <v>1.98326</v>
      </c>
      <c r="AN41" s="2504">
        <v>1.9454</v>
      </c>
      <c r="AO41" s="2504">
        <v>1.98583</v>
      </c>
      <c r="AP41" s="2504">
        <v>1.9940899999999999</v>
      </c>
      <c r="AQ41" s="2505">
        <f t="shared" si="29"/>
        <v>25.352599999999999</v>
      </c>
      <c r="AR41" s="2488"/>
      <c r="AS41" s="2504">
        <v>1.65</v>
      </c>
      <c r="AT41" s="2504">
        <v>1.65</v>
      </c>
      <c r="AU41" s="2504">
        <v>1.65</v>
      </c>
      <c r="AV41" s="2504">
        <v>1.65</v>
      </c>
      <c r="AW41" s="2504">
        <v>1.65</v>
      </c>
      <c r="AX41" s="2504">
        <v>1.65</v>
      </c>
      <c r="AY41" s="2504">
        <v>1.65</v>
      </c>
      <c r="AZ41" s="2504">
        <v>1.65</v>
      </c>
      <c r="BA41" s="2504">
        <v>1.65</v>
      </c>
      <c r="BB41" s="2504">
        <v>1.65</v>
      </c>
      <c r="BC41" s="2504">
        <v>1.65</v>
      </c>
      <c r="BD41" s="2504">
        <v>1.65</v>
      </c>
      <c r="BE41" s="2505">
        <f>SUM(AS41:BD41)</f>
        <v>19.799999999999997</v>
      </c>
      <c r="BG41" s="2561" cm="1">
        <f t="array" aca="1" ref="BG41" ca="1">INDIRECT("'※ 재무_세부시트'!"&amp;BG$1&amp;$AD41, TRUE)</f>
        <v>2.2633199999999998</v>
      </c>
      <c r="BH41" s="2561" cm="1">
        <f t="array" aca="1" ref="BH41" ca="1">INDIRECT("'※ 재무_세부시트'!"&amp;BH$1&amp;$AD41, TRUE)</f>
        <v>25.352599999999999</v>
      </c>
      <c r="BI41" s="2561" cm="1">
        <f t="array" aca="1" ref="BI41" ca="1">INDIRECT("'※ 재무_세부시트'!"&amp;BI$1&amp;$AD41, TRUE)</f>
        <v>2.0794200000000003</v>
      </c>
      <c r="BJ41" s="2561" cm="1">
        <f t="array" aca="1" ref="BJ41" ca="1">INDIRECT("'※ 재무_세부시트'!"&amp;BJ$1&amp;$AD41, TRUE)</f>
        <v>1.43418</v>
      </c>
      <c r="BK41" s="2561" cm="1">
        <f t="array" aca="1" ref="BK41" ca="1">INDIRECT("'※ 재무_세부시트'!"&amp;BK$1&amp;$AD41, TRUE)</f>
        <v>1.98326</v>
      </c>
      <c r="BL41" s="2490"/>
      <c r="BM41" s="2490"/>
    </row>
    <row r="42" spans="1:71" ht="19.5" customHeight="1" outlineLevel="1" x14ac:dyDescent="0.55000000000000004">
      <c r="A42" s="2492"/>
      <c r="B42" s="2427"/>
      <c r="C42" s="2641"/>
      <c r="D42" s="2642" t="s">
        <v>1164</v>
      </c>
      <c r="E42" s="2493" t="s">
        <v>866</v>
      </c>
      <c r="F42" s="2494" cm="1">
        <f t="array" aca="1" ref="F42" ca="1">INDIRECT("'※ 재무_세부시트'!"&amp;F$1&amp;$AD42, TRUE)</f>
        <v>20.924299999999999</v>
      </c>
      <c r="G42" s="2494" cm="1">
        <f t="array" aca="1" ref="G42" ca="1">INDIRECT("'※ 재무_세부시트'!"&amp;G$1&amp;$AD42, TRUE)</f>
        <v>103.88199999999999</v>
      </c>
      <c r="H42" s="2495" cm="1">
        <f t="array" aca="1" ref="H42" ca="1">INDIRECT("'※ 재무_세부시트'!"&amp;H$1&amp;$AD42, TRUE)</f>
        <v>1.7813861</v>
      </c>
      <c r="I42" s="2496" cm="1">
        <f t="array" aca="1" ref="I42" ca="1">INDIRECT("'※ 재무_세부시트'!"&amp;I$1&amp;$AD42, TRUE)</f>
        <v>6.4918800000000001</v>
      </c>
      <c r="J42" s="2496" cm="1">
        <f t="array" aca="1" ref="J42" ca="1">INDIRECT("'※ 재무_세부시트'!"&amp;J$1&amp;$AD42, TRUE)</f>
        <v>6.49594</v>
      </c>
      <c r="K42" s="2496" cm="1">
        <f t="array" aca="1" ref="K42" ca="1">INDIRECT("'※ 재무_세부시트'!"&amp;K$1&amp;$AD42, TRUE)</f>
        <v>6.9941842000000003</v>
      </c>
      <c r="L42" s="2496" cm="1">
        <f t="array" aca="1" ref="L42" ca="1">INDIRECT("'※ 재무_세부시트'!"&amp;L$1&amp;$AD42, TRUE)</f>
        <v>6.8979999999999997</v>
      </c>
      <c r="M42" s="2496" cm="1">
        <f t="array" aca="1" ref="M42" ca="1">INDIRECT("'※ 재무_세부시트'!"&amp;M$1&amp;$AD42, TRUE)</f>
        <v>6.8990200000000002</v>
      </c>
      <c r="N42" s="2496" cm="1">
        <f t="array" aca="1" ref="N42" ca="1">INDIRECT("'※ 재무_세부시트'!"&amp;N$1&amp;$AD42, TRUE)</f>
        <v>6.89</v>
      </c>
      <c r="O42" s="2496" cm="1">
        <f t="array" aca="1" ref="O42" ca="1">INDIRECT("'※ 재무_세부시트'!"&amp;O$1&amp;$AD42, TRUE)</f>
        <v>6.8982999999999999</v>
      </c>
      <c r="P42" s="2496" cm="1">
        <f t="array" aca="1" ref="P42" ca="1">INDIRECT("'※ 재무_세부시트'!"&amp;P$1&amp;$AD42, TRUE)</f>
        <v>6.8982999999999999</v>
      </c>
      <c r="Q42" s="2496" cm="1">
        <f t="array" aca="1" ref="Q42" ca="1">INDIRECT("'※ 재무_세부시트'!"&amp;Q$1&amp;$AD42, TRUE)</f>
        <v>7.0006000000000004</v>
      </c>
      <c r="R42" s="2496" cm="1">
        <f t="array" aca="1" ref="R42" ca="1">INDIRECT("'※ 재무_세부시트'!"&amp;R$1&amp;$AD42, TRUE)</f>
        <v>6.9066400000000003</v>
      </c>
      <c r="S42" s="2496" cm="1">
        <f t="array" aca="1" ref="S42" ca="1">INDIRECT("'※ 재무_세부시트'!"&amp;S$1&amp;$AD42, TRUE)</f>
        <v>6.8982999999999999</v>
      </c>
      <c r="T42" s="2497" cm="1">
        <f t="array" aca="1" ref="T42" ca="1">INDIRECT("'※ 재무_세부시트'!"&amp;T$1&amp;$AD42, TRUE)</f>
        <v>0</v>
      </c>
      <c r="U42" s="2497" cm="1">
        <f t="array" aca="1" ref="U42" ca="1">INDIRECT("'※ 재무_세부시트'!"&amp;U$1&amp;$AD42, TRUE)</f>
        <v>6.8982999999999999</v>
      </c>
      <c r="V42" s="2498" cm="1">
        <f t="array" aca="1" ref="V42" ca="1">INDIRECT("'※ 재무_세부시트'!"&amp;V$1&amp;$AD42, TRUE)</f>
        <v>0</v>
      </c>
      <c r="W42" s="2499" cm="1">
        <f t="array" aca="1" ref="W42" ca="1">INDIRECT("'※ 재무_세부시트'!"&amp;W$1&amp;$AD42, TRUE)</f>
        <v>-8.3400000000004582E-3</v>
      </c>
      <c r="X42" s="2500" cm="1">
        <f t="array" aca="1" ref="X42" ca="1">INDIRECT("'※ 재무_세부시트'!"&amp;X$1&amp;$AD42, TRUE)</f>
        <v>-5.1017000000000001</v>
      </c>
      <c r="Y42" s="2500" cm="1">
        <f t="array" aca="1" ref="Y42" ca="1">INDIRECT("'※ 재무_세부시트'!"&amp;Y$1&amp;$AD42, TRUE)</f>
        <v>0</v>
      </c>
      <c r="Z42" s="2501" cm="1">
        <f t="array" aca="1" ref="Z42" ca="1">INDIRECT("'※ 재무_세부시트'!"&amp;Z$1&amp;$AD42, TRUE)</f>
        <v>77.052550300000007</v>
      </c>
      <c r="AA42" s="2500" cm="1">
        <f t="array" aca="1" ref="AA42" ca="1">INDIRECT("'※ 재무_세부시트'!"&amp;AA$1&amp;$AD42, TRUE)</f>
        <v>77.052550300000007</v>
      </c>
      <c r="AB42" s="2502" cm="1">
        <f t="array" aca="1" ref="AB42" ca="1">INDIRECT("'※ 재무_세부시트'!"&amp;AB$1&amp;$AD42, TRUE)</f>
        <v>0</v>
      </c>
      <c r="AC42" s="2503" cm="1">
        <f t="array" aca="1" ref="AC42" ca="1">INDIRECT("'※ 재무_세부시트'!"&amp;AC$1&amp;$AD42, TRUE)</f>
        <v>-26.829449699999984</v>
      </c>
      <c r="AD42" s="2441">
        <v>41</v>
      </c>
      <c r="AE42" s="2504">
        <v>6.8422000000000001</v>
      </c>
      <c r="AF42" s="2504">
        <v>0</v>
      </c>
      <c r="AG42" s="2504">
        <v>0</v>
      </c>
      <c r="AH42" s="2504">
        <v>3.9887000000000001</v>
      </c>
      <c r="AI42" s="2504">
        <v>0</v>
      </c>
      <c r="AJ42" s="2504">
        <v>0</v>
      </c>
      <c r="AK42" s="2504">
        <v>5.1328999999999994</v>
      </c>
      <c r="AL42" s="2504">
        <v>0</v>
      </c>
      <c r="AM42" s="2504">
        <v>0</v>
      </c>
      <c r="AN42" s="2504">
        <v>4.9604999999999997</v>
      </c>
      <c r="AO42" s="2504">
        <v>0</v>
      </c>
      <c r="AP42" s="2504">
        <v>0</v>
      </c>
      <c r="AQ42" s="2505">
        <f t="shared" si="29"/>
        <v>20.924299999999999</v>
      </c>
      <c r="AR42" s="2488"/>
      <c r="AS42" s="2504">
        <v>3.38</v>
      </c>
      <c r="AT42" s="2504">
        <v>3.38</v>
      </c>
      <c r="AU42" s="2504">
        <v>5.88</v>
      </c>
      <c r="AV42" s="2504">
        <v>3.38</v>
      </c>
      <c r="AW42" s="2504">
        <v>3.38</v>
      </c>
      <c r="AX42" s="2504">
        <v>5.88</v>
      </c>
      <c r="AY42" s="2504">
        <v>3.38</v>
      </c>
      <c r="AZ42" s="2504">
        <v>3.38</v>
      </c>
      <c r="BA42" s="2504">
        <v>5.88</v>
      </c>
      <c r="BB42" s="2504">
        <v>3.38</v>
      </c>
      <c r="BC42" s="2504">
        <v>3.38</v>
      </c>
      <c r="BD42" s="2504">
        <v>5.88</v>
      </c>
      <c r="BE42" s="2505">
        <f>SUM(AS42:BD42)</f>
        <v>50.560000000000009</v>
      </c>
      <c r="BG42" s="2509" cm="1">
        <f t="array" aca="1" ref="BG42" ca="1">INDIRECT("'※ 재무_세부시트'!"&amp;BG$1&amp;$AD42, TRUE)</f>
        <v>6.8422000000000001</v>
      </c>
      <c r="BH42" s="2509" cm="1">
        <f t="array" aca="1" ref="BH42" ca="1">INDIRECT("'※ 재무_세부시트'!"&amp;BH$1&amp;$AD42, TRUE)</f>
        <v>20.924299999999999</v>
      </c>
      <c r="BI42" s="2509" cm="1">
        <f t="array" aca="1" ref="BI42" ca="1">INDIRECT("'※ 재무_세부시트'!"&amp;BI$1&amp;$AD42, TRUE)</f>
        <v>5.1328999999999994</v>
      </c>
      <c r="BJ42" s="2509" cm="1">
        <f t="array" aca="1" ref="BJ42" ca="1">INDIRECT("'※ 재무_세부시트'!"&amp;BJ$1&amp;$AD42, TRUE)</f>
        <v>3</v>
      </c>
      <c r="BK42" s="2509" cm="1">
        <f t="array" aca="1" ref="BK42" ca="1">INDIRECT("'※ 재무_세부시트'!"&amp;BK$1&amp;$AD42, TRUE)</f>
        <v>0</v>
      </c>
      <c r="BL42" s="2490"/>
      <c r="BM42" s="2490"/>
    </row>
    <row r="43" spans="1:71" ht="19.5" customHeight="1" outlineLevel="1" x14ac:dyDescent="0.55000000000000004">
      <c r="A43" s="2492"/>
      <c r="B43" s="2427"/>
      <c r="C43" s="2641"/>
      <c r="D43" s="2576" t="s">
        <v>955</v>
      </c>
      <c r="E43" s="2643" t="s">
        <v>798</v>
      </c>
      <c r="F43" s="2644" cm="1">
        <f t="array" aca="1" ref="F43" ca="1">INDIRECT("'※ 재무_세부시트'!"&amp;F$1&amp;$AD43, TRUE)</f>
        <v>11.772116999999998</v>
      </c>
      <c r="G43" s="2644" cm="1">
        <f t="array" aca="1" ref="G43" ca="1">INDIRECT("'※ 재무_세부시트'!"&amp;G$1&amp;$AD43, TRUE)</f>
        <v>19.345231200000001</v>
      </c>
      <c r="H43" s="2548" cm="1">
        <f t="array" aca="1" ref="H43" ca="1">INDIRECT("'※ 재무_세부시트'!"&amp;H$1&amp;$AD43, TRUE)</f>
        <v>1.7700148</v>
      </c>
      <c r="I43" s="2549" cm="1">
        <f t="array" aca="1" ref="I43" ca="1">INDIRECT("'※ 재무_세부시트'!"&amp;I$1&amp;$AD43, TRUE)</f>
        <v>1.7853178999999999</v>
      </c>
      <c r="J43" s="2549" cm="1">
        <f t="array" aca="1" ref="J43" ca="1">INDIRECT("'※ 재무_세부시트'!"&amp;J$1&amp;$AD43, TRUE)</f>
        <v>1.8493655</v>
      </c>
      <c r="K43" s="2549" cm="1">
        <f t="array" aca="1" ref="K43" ca="1">INDIRECT("'※ 재무_세부시트'!"&amp;K$1&amp;$AD43, TRUE)</f>
        <v>1.9933751</v>
      </c>
      <c r="L43" s="2549" cm="1">
        <f t="array" aca="1" ref="L43" ca="1">INDIRECT("'※ 재무_세부시트'!"&amp;L$1&amp;$AD43, TRUE)</f>
        <v>3.1633886000000002</v>
      </c>
      <c r="M43" s="2549" cm="1">
        <f t="array" aca="1" ref="M43" ca="1">INDIRECT("'※ 재무_세부시트'!"&amp;M$1&amp;$AD43, TRUE)</f>
        <v>2.9196507999999999</v>
      </c>
      <c r="N43" s="2549" cm="1">
        <f t="array" aca="1" ref="N43" ca="1">INDIRECT("'※ 재무_세부시트'!"&amp;N$1&amp;$AD43, TRUE)</f>
        <v>1.7446758</v>
      </c>
      <c r="O43" s="2549" cm="1">
        <f t="array" aca="1" ref="O43" ca="1">INDIRECT("'※ 재무_세부시트'!"&amp;O$1&amp;$AD43, TRUE)</f>
        <v>3.0228695000000001</v>
      </c>
      <c r="P43" s="2549" cm="1">
        <f t="array" aca="1" ref="P43" ca="1">INDIRECT("'※ 재무_세부시트'!"&amp;P$1&amp;$AD43, TRUE)</f>
        <v>2.0392779999999999</v>
      </c>
      <c r="Q43" s="2549" cm="1">
        <f t="array" aca="1" ref="Q43" ca="1">INDIRECT("'※ 재무_세부시트'!"&amp;Q$1&amp;$AD43, TRUE)</f>
        <v>2.2039651</v>
      </c>
      <c r="R43" s="2549" cm="1">
        <f t="array" aca="1" ref="R43" ca="1">INDIRECT("'※ 재무_세부시트'!"&amp;R$1&amp;$AD43, TRUE)</f>
        <v>1.9829121000000001</v>
      </c>
      <c r="S43" s="2549" cm="1">
        <f t="array" aca="1" ref="S43" ca="1">INDIRECT("'※ 재무_세부시트'!"&amp;S$1&amp;$AD43, TRUE)</f>
        <v>1.9966793</v>
      </c>
      <c r="T43" s="2550" cm="1">
        <f t="array" aca="1" ref="T43" ca="1">INDIRECT("'※ 재무_세부시트'!"&amp;T$1&amp;$AD43, TRUE)</f>
        <v>0</v>
      </c>
      <c r="U43" s="2550" cm="1">
        <f t="array" aca="1" ref="U43" ca="1">INDIRECT("'※ 재무_세부시트'!"&amp;U$1&amp;$AD43, TRUE)</f>
        <v>1.9966793</v>
      </c>
      <c r="V43" s="2551" cm="1">
        <f t="array" aca="1" ref="V43" ca="1">INDIRECT("'※ 재무_세부시트'!"&amp;V$1&amp;$AD43, TRUE)</f>
        <v>0</v>
      </c>
      <c r="W43" s="2559" cm="1">
        <f t="array" aca="1" ref="W43" ca="1">INDIRECT("'※ 재무_세부시트'!"&amp;W$1&amp;$AD43, TRUE)</f>
        <v>1.3767199999999979E-2</v>
      </c>
      <c r="X43" s="2555" cm="1">
        <f t="array" aca="1" ref="X43" ca="1">INDIRECT("'※ 재무_세부시트'!"&amp;X$1&amp;$AD43, TRUE)</f>
        <v>0.1150796999999999</v>
      </c>
      <c r="Y43" s="2555" cm="1">
        <f t="array" aca="1" ref="Y43" ca="1">INDIRECT("'※ 재무_세부시트'!"&amp;Y$1&amp;$AD43, TRUE)</f>
        <v>0</v>
      </c>
      <c r="Z43" s="2554" cm="1">
        <f t="array" aca="1" ref="Z43" ca="1">INDIRECT("'※ 재무_세부시트'!"&amp;Z$1&amp;$AD43, TRUE)</f>
        <v>26.4714925</v>
      </c>
      <c r="AA43" s="2555" cm="1">
        <f t="array" aca="1" ref="AA43" ca="1">INDIRECT("'※ 재무_세부시트'!"&amp;AA$1&amp;$AD43, TRUE)</f>
        <v>26.4714925</v>
      </c>
      <c r="AB43" s="2556" cm="1">
        <f t="array" aca="1" ref="AB43" ca="1">INDIRECT("'※ 재무_세부시트'!"&amp;AB$1&amp;$AD43, TRUE)</f>
        <v>0</v>
      </c>
      <c r="AC43" s="2560" cm="1">
        <f t="array" aca="1" ref="AC43" ca="1">INDIRECT("'※ 재무_세부시트'!"&amp;AC$1&amp;$AD43, TRUE)</f>
        <v>7.1262612999999995</v>
      </c>
      <c r="AD43" s="2441">
        <v>42</v>
      </c>
      <c r="AE43" s="2504">
        <v>0.5604365</v>
      </c>
      <c r="AF43" s="2504">
        <v>0.85484000000000004</v>
      </c>
      <c r="AG43" s="2504">
        <v>0.93778499999999998</v>
      </c>
      <c r="AH43" s="2504">
        <v>0.74354649999999989</v>
      </c>
      <c r="AI43" s="2504">
        <v>0.9319345</v>
      </c>
      <c r="AJ43" s="2504">
        <v>1.0283450000000001</v>
      </c>
      <c r="AK43" s="2504">
        <v>1.1859855000000001</v>
      </c>
      <c r="AL43" s="2504">
        <v>1.263655</v>
      </c>
      <c r="AM43" s="2504">
        <v>1.0388907000000001</v>
      </c>
      <c r="AN43" s="2504">
        <v>0.94389260000000008</v>
      </c>
      <c r="AO43" s="2504">
        <v>1.0354207</v>
      </c>
      <c r="AP43" s="2504">
        <v>1.247385</v>
      </c>
      <c r="AQ43" s="2505">
        <f t="shared" si="29"/>
        <v>11.772116999999998</v>
      </c>
      <c r="AR43" s="2488"/>
      <c r="AS43" s="2504">
        <v>0.85</v>
      </c>
      <c r="AT43" s="2504">
        <v>0.85</v>
      </c>
      <c r="AU43" s="2504">
        <v>0.85</v>
      </c>
      <c r="AV43" s="2504">
        <v>0.85</v>
      </c>
      <c r="AW43" s="2504">
        <v>0.85</v>
      </c>
      <c r="AX43" s="2504">
        <v>0.85</v>
      </c>
      <c r="AY43" s="2504">
        <v>0.85</v>
      </c>
      <c r="AZ43" s="2504">
        <v>0.85</v>
      </c>
      <c r="BA43" s="2504">
        <v>0.85</v>
      </c>
      <c r="BB43" s="2504">
        <v>0.85</v>
      </c>
      <c r="BC43" s="2504">
        <v>0.85</v>
      </c>
      <c r="BD43" s="2504">
        <v>0.85</v>
      </c>
      <c r="BE43" s="2505"/>
      <c r="BG43" s="2509" cm="1">
        <f t="array" aca="1" ref="BG43" ca="1">INDIRECT("'※ 재무_세부시트'!"&amp;BG$1&amp;$AD43, TRUE)</f>
        <v>0.5604365</v>
      </c>
      <c r="BH43" s="2509" cm="1">
        <f t="array" aca="1" ref="BH43" ca="1">INDIRECT("'※ 재무_세부시트'!"&amp;BH$1&amp;$AD43, TRUE)</f>
        <v>11.772116999999998</v>
      </c>
      <c r="BI43" s="2509" cm="1">
        <f t="array" aca="1" ref="BI43" ca="1">INDIRECT("'※ 재무_세부시트'!"&amp;BI$1&amp;$AD43, TRUE)</f>
        <v>1.1859855000000001</v>
      </c>
      <c r="BJ43" s="2509" cm="1">
        <f t="array" aca="1" ref="BJ43" ca="1">INDIRECT("'※ 재무_세부시트'!"&amp;BJ$1&amp;$AD43, TRUE)</f>
        <v>1.5104562000000001</v>
      </c>
      <c r="BK43" s="2509" cm="1">
        <f t="array" aca="1" ref="BK43" ca="1">INDIRECT("'※ 재무_세부시트'!"&amp;BK$1&amp;$AD43, TRUE)</f>
        <v>1.0388907000000001</v>
      </c>
      <c r="BL43" s="2490"/>
      <c r="BM43" s="2490"/>
    </row>
    <row r="44" spans="1:71" ht="19.5" customHeight="1" outlineLevel="1" x14ac:dyDescent="0.55000000000000004">
      <c r="A44" s="2492"/>
      <c r="B44" s="2427"/>
      <c r="C44" s="2641"/>
      <c r="D44" s="2576" t="s">
        <v>756</v>
      </c>
      <c r="E44" s="2643" t="s">
        <v>800</v>
      </c>
      <c r="F44" s="2644" cm="1">
        <f t="array" aca="1" ref="F44" ca="1">INDIRECT("'※ 재무_세부시트'!"&amp;F$1&amp;$AD44, TRUE)</f>
        <v>3.8159000000000005</v>
      </c>
      <c r="G44" s="2644" cm="1">
        <f t="array" aca="1" ref="G44" ca="1">INDIRECT("'※ 재무_세부시트'!"&amp;G$1&amp;$AD44, TRUE)</f>
        <v>4.7859500000000006</v>
      </c>
      <c r="H44" s="2548" cm="1">
        <f t="array" aca="1" ref="H44" ca="1">INDIRECT("'※ 재무_세부시트'!"&amp;H$1&amp;$AD44, TRUE)</f>
        <v>0.33110000000000001</v>
      </c>
      <c r="I44" s="2549" cm="1">
        <f t="array" aca="1" ref="I44" ca="1">INDIRECT("'※ 재무_세부시트'!"&amp;I$1&amp;$AD44, TRUE)</f>
        <v>0.33139999999999997</v>
      </c>
      <c r="J44" s="2549" cm="1">
        <f t="array" aca="1" ref="J44" ca="1">INDIRECT("'※ 재무_세부시트'!"&amp;J$1&amp;$AD44, TRUE)</f>
        <v>0.42475833000000002</v>
      </c>
      <c r="K44" s="2549" cm="1">
        <f t="array" aca="1" ref="K44" ca="1">INDIRECT("'※ 재무_세부시트'!"&amp;K$1&amp;$AD44, TRUE)</f>
        <v>0.42475833000000002</v>
      </c>
      <c r="L44" s="2549" cm="1">
        <f t="array" aca="1" ref="L44" ca="1">INDIRECT("'※ 재무_세부시트'!"&amp;L$1&amp;$AD44, TRUE)</f>
        <v>0.42475833000000002</v>
      </c>
      <c r="M44" s="2549" cm="1">
        <f t="array" aca="1" ref="M44" ca="1">INDIRECT("'※ 재무_세부시트'!"&amp;M$1&amp;$AD44, TRUE)</f>
        <v>0.42475833000000002</v>
      </c>
      <c r="N44" s="2549" cm="1">
        <f t="array" aca="1" ref="N44" ca="1">INDIRECT("'※ 재무_세부시트'!"&amp;N$1&amp;$AD44, TRUE)</f>
        <v>0.46783332999999999</v>
      </c>
      <c r="O44" s="2549" cm="1">
        <f t="array" aca="1" ref="O44" ca="1">INDIRECT("'※ 재무_세부시트'!"&amp;O$1&amp;$AD44, TRUE)</f>
        <v>0.30433333000000001</v>
      </c>
      <c r="P44" s="2549" cm="1">
        <f t="array" aca="1" ref="P44" ca="1">INDIRECT("'※ 재무_세부시트'!"&amp;P$1&amp;$AD44, TRUE)</f>
        <v>0.63133333000000003</v>
      </c>
      <c r="Q44" s="2549" cm="1">
        <f t="array" aca="1" ref="Q44" ca="1">INDIRECT("'※ 재무_세부시트'!"&amp;Q$1&amp;$AD44, TRUE)</f>
        <v>0.46783332999999999</v>
      </c>
      <c r="R44" s="2549" cm="1">
        <f t="array" aca="1" ref="R44" ca="1">INDIRECT("'※ 재무_세부시트'!"&amp;R$1&amp;$AD44, TRUE)</f>
        <v>0.46783332999999999</v>
      </c>
      <c r="S44" s="2549" cm="1">
        <f t="array" aca="1" ref="S44" ca="1">INDIRECT("'※ 재무_세부시트'!"&amp;S$1&amp;$AD44, TRUE)</f>
        <v>0.46783332999999999</v>
      </c>
      <c r="T44" s="2550" cm="1">
        <f t="array" aca="1" ref="T44" ca="1">INDIRECT("'※ 재무_세부시트'!"&amp;T$1&amp;$AD44, TRUE)</f>
        <v>0</v>
      </c>
      <c r="U44" s="2550" cm="1">
        <f t="array" aca="1" ref="U44" ca="1">INDIRECT("'※ 재무_세부시트'!"&amp;U$1&amp;$AD44, TRUE)</f>
        <v>0.46783332999999999</v>
      </c>
      <c r="V44" s="2551" cm="1">
        <f t="array" aca="1" ref="V44" ca="1">INDIRECT("'※ 재무_세부시트'!"&amp;V$1&amp;$AD44, TRUE)</f>
        <v>0</v>
      </c>
      <c r="W44" s="2559" cm="1">
        <f t="array" aca="1" ref="W44" ca="1">INDIRECT("'※ 재무_세부시트'!"&amp;W$1&amp;$AD44, TRUE)</f>
        <v>0</v>
      </c>
      <c r="X44" s="2555" cm="1">
        <f t="array" aca="1" ref="X44" ca="1">INDIRECT("'※ 재무_세부시트'!"&amp;X$1&amp;$AD44, TRUE)</f>
        <v>-0.50771666999999998</v>
      </c>
      <c r="Y44" s="2555" cm="1">
        <f t="array" aca="1" ref="Y44" ca="1">INDIRECT("'※ 재무_세부시트'!"&amp;Y$1&amp;$AD44, TRUE)</f>
        <v>0</v>
      </c>
      <c r="Z44" s="2554" cm="1">
        <f t="array" aca="1" ref="Z44" ca="1">INDIRECT("'※ 재무_세부시트'!"&amp;Z$1&amp;$AD44, TRUE)</f>
        <v>5.1685333000000009</v>
      </c>
      <c r="AA44" s="2555" cm="1">
        <f t="array" aca="1" ref="AA44" ca="1">INDIRECT("'※ 재무_세부시트'!"&amp;AA$1&amp;$AD44, TRUE)</f>
        <v>5.1685333000000009</v>
      </c>
      <c r="AB44" s="2556" cm="1">
        <f t="array" aca="1" ref="AB44" ca="1">INDIRECT("'※ 재무_세부시트'!"&amp;AB$1&amp;$AD44, TRUE)</f>
        <v>0</v>
      </c>
      <c r="AC44" s="2560" cm="1">
        <f t="array" aca="1" ref="AC44" ca="1">INDIRECT("'※ 재무_세부시트'!"&amp;AC$1&amp;$AD44, TRUE)</f>
        <v>0.38258330000000029</v>
      </c>
      <c r="AD44" s="2441">
        <v>43</v>
      </c>
      <c r="AE44" s="2504">
        <v>0.35760000000000003</v>
      </c>
      <c r="AF44" s="2504">
        <v>0.35850000000000004</v>
      </c>
      <c r="AG44" s="2504">
        <v>0.32750000000000001</v>
      </c>
      <c r="AH44" s="2504">
        <v>0.32750000000000001</v>
      </c>
      <c r="AI44" s="2504">
        <v>0.32750000000000001</v>
      </c>
      <c r="AJ44" s="2504">
        <v>0.32750000000000001</v>
      </c>
      <c r="AK44" s="2504">
        <v>0.17519999999999999</v>
      </c>
      <c r="AL44" s="2504">
        <v>0.47980000000000006</v>
      </c>
      <c r="AM44" s="2504">
        <v>0.32750000000000001</v>
      </c>
      <c r="AN44" s="2504">
        <v>0.32750000000000001</v>
      </c>
      <c r="AO44" s="2504">
        <v>0.32750000000000001</v>
      </c>
      <c r="AP44" s="2504">
        <v>0.15229999999999999</v>
      </c>
      <c r="AQ44" s="2505">
        <f t="shared" si="29"/>
        <v>3.8159000000000005</v>
      </c>
      <c r="AR44" s="2488"/>
      <c r="AS44" s="2504">
        <v>0.36</v>
      </c>
      <c r="AT44" s="2504">
        <v>0.36</v>
      </c>
      <c r="AU44" s="2504">
        <v>0.36</v>
      </c>
      <c r="AV44" s="2504">
        <v>0.36</v>
      </c>
      <c r="AW44" s="2504">
        <v>0.36</v>
      </c>
      <c r="AX44" s="2504">
        <v>0.36</v>
      </c>
      <c r="AY44" s="2504">
        <v>0.36</v>
      </c>
      <c r="AZ44" s="2504">
        <v>0.36</v>
      </c>
      <c r="BA44" s="2504">
        <v>0.36</v>
      </c>
      <c r="BB44" s="2504">
        <v>0.36</v>
      </c>
      <c r="BC44" s="2504">
        <v>0.36</v>
      </c>
      <c r="BD44" s="2504">
        <v>0.36</v>
      </c>
      <c r="BE44" s="2505"/>
      <c r="BG44" s="2509" cm="1">
        <f t="array" aca="1" ref="BG44" ca="1">INDIRECT("'※ 재무_세부시트'!"&amp;BG$1&amp;$AD44, TRUE)</f>
        <v>0.35760000000000003</v>
      </c>
      <c r="BH44" s="2509" cm="1">
        <f t="array" aca="1" ref="BH44" ca="1">INDIRECT("'※ 재무_세부시트'!"&amp;BH$1&amp;$AD44, TRUE)</f>
        <v>3.8159000000000005</v>
      </c>
      <c r="BI44" s="2509" cm="1">
        <f t="array" aca="1" ref="BI44" ca="1">INDIRECT("'※ 재무_세부시트'!"&amp;BI$1&amp;$AD44, TRUE)</f>
        <v>0.17519999999999999</v>
      </c>
      <c r="BJ44" s="2509" cm="1">
        <f t="array" aca="1" ref="BJ44" ca="1">INDIRECT("'※ 재무_세부시트'!"&amp;BJ$1&amp;$AD44, TRUE)</f>
        <v>0.33110000000000001</v>
      </c>
      <c r="BK44" s="2509" cm="1">
        <f t="array" aca="1" ref="BK44" ca="1">INDIRECT("'※ 재무_세부시트'!"&amp;BK$1&amp;$AD44, TRUE)</f>
        <v>0.32750000000000001</v>
      </c>
      <c r="BL44" s="2490"/>
      <c r="BM44" s="2490"/>
    </row>
    <row r="45" spans="1:71" ht="19.5" customHeight="1" outlineLevel="1" x14ac:dyDescent="0.55000000000000004">
      <c r="A45" s="2492"/>
      <c r="B45" s="2645"/>
      <c r="C45" s="2646"/>
      <c r="D45" s="2647" t="s">
        <v>120</v>
      </c>
      <c r="E45" s="2648" t="s">
        <v>1118</v>
      </c>
      <c r="F45" s="2494" cm="1">
        <f t="array" aca="1" ref="F45" ca="1">INDIRECT("'※ 재무_세부시트'!"&amp;F$1&amp;$AD45, TRUE)</f>
        <v>53.479379240000029</v>
      </c>
      <c r="G45" s="2494" cm="1">
        <f t="array" aca="1" ref="G45" ca="1">INDIRECT("'※ 재무_세부시트'!"&amp;G$1&amp;$AD45, TRUE)</f>
        <v>70.388076589999969</v>
      </c>
      <c r="H45" s="2495" cm="1">
        <f t="array" aca="1" ref="H45" ca="1">INDIRECT("'※ 재무_세부시트'!"&amp;H$1&amp;$AD45, TRUE)</f>
        <v>0.61877860999999745</v>
      </c>
      <c r="I45" s="2496" cm="1">
        <f t="array" aca="1" ref="I45" ca="1">INDIRECT("'※ 재무_세부시트'!"&amp;I$1&amp;$AD45, TRUE)</f>
        <v>1.2390160199999971</v>
      </c>
      <c r="J45" s="2496" cm="1">
        <f t="array" aca="1" ref="J45" ca="1">INDIRECT("'※ 재무_세부시트'!"&amp;J$1&amp;$AD45, TRUE)</f>
        <v>2.6875895499999998</v>
      </c>
      <c r="K45" s="2496" cm="1">
        <f t="array" aca="1" ref="K45" ca="1">INDIRECT("'※ 재무_세부시트'!"&amp;K$1&amp;$AD45, TRUE)</f>
        <v>4.1530466300000022</v>
      </c>
      <c r="L45" s="2496" cm="1">
        <f t="array" aca="1" ref="L45" ca="1">INDIRECT("'※ 재무_세부시트'!"&amp;L$1&amp;$AD45, TRUE)</f>
        <v>4.1949238599999976</v>
      </c>
      <c r="M45" s="2496" cm="1">
        <f t="array" aca="1" ref="M45" ca="1">INDIRECT("'※ 재무_세부시트'!"&amp;M$1&amp;$AD45, TRUE)</f>
        <v>5.2549286499999974</v>
      </c>
      <c r="N45" s="2496" cm="1">
        <f t="array" aca="1" ref="N45" ca="1">INDIRECT("'※ 재무_세부시트'!"&amp;N$1&amp;$AD45, TRUE)</f>
        <v>1.4404580800000026</v>
      </c>
      <c r="O45" s="2496" cm="1">
        <f t="array" aca="1" ref="O45" ca="1">INDIRECT("'※ 재무_세부시트'!"&amp;O$1&amp;$AD45, TRUE)</f>
        <v>1.0576573200000006</v>
      </c>
      <c r="P45" s="2496" cm="1">
        <f t="array" aca="1" ref="P45" ca="1">INDIRECT("'※ 재무_세부시트'!"&amp;P$1&amp;$AD45, TRUE)</f>
        <v>2.1265916700000007</v>
      </c>
      <c r="Q45" s="2496" cm="1">
        <f t="array" aca="1" ref="Q45" ca="1">INDIRECT("'※ 재무_세부시트'!"&amp;Q$1&amp;$AD45, TRUE)</f>
        <v>2.2671254800000034</v>
      </c>
      <c r="R45" s="2496" cm="1">
        <f t="array" aca="1" ref="R45" ca="1">INDIRECT("'※ 재무_세부시트'!"&amp;R$1&amp;$AD45, TRUE)</f>
        <v>1.4168310400000022</v>
      </c>
      <c r="S45" s="2496" cm="1">
        <f t="array" aca="1" ref="S45" ca="1">INDIRECT("'※ 재무_세부시트'!"&amp;S$1&amp;$AD45, TRUE)</f>
        <v>1.5869505000000061</v>
      </c>
      <c r="T45" s="2497" cm="1">
        <f t="array" aca="1" ref="T45" ca="1">INDIRECT("'※ 재무_세부시트'!"&amp;T$1&amp;$AD45, TRUE)</f>
        <v>0</v>
      </c>
      <c r="U45" s="2497" cm="1">
        <f t="array" aca="1" ref="U45" ca="1">INDIRECT("'※ 재무_세부시트'!"&amp;U$1&amp;$AD45, TRUE)</f>
        <v>1.5869505000000061</v>
      </c>
      <c r="V45" s="2498" cm="1">
        <f t="array" aca="1" ref="V45" ca="1">INDIRECT("'※ 재무_세부시트'!"&amp;V$1&amp;$AD45, TRUE)</f>
        <v>0</v>
      </c>
      <c r="W45" s="2499" cm="1">
        <f t="array" aca="1" ref="W45" ca="1">INDIRECT("'※ 재무_세부시트'!"&amp;W$1&amp;$AD45, TRUE)</f>
        <v>0.170119460000004</v>
      </c>
      <c r="X45" s="2500" cm="1">
        <f t="array" aca="1" ref="X45" ca="1">INDIRECT("'※ 재무_세부시트'!"&amp;X$1&amp;$AD45, TRUE)</f>
        <v>-8.4404702099999884</v>
      </c>
      <c r="Y45" s="2500" cm="1">
        <f t="array" aca="1" ref="Y45" ca="1">INDIRECT("'※ 재무_세부시트'!"&amp;Y$1&amp;$AD45, TRUE)</f>
        <v>0</v>
      </c>
      <c r="Z45" s="2501" cm="1">
        <f t="array" aca="1" ref="Z45" ca="1">INDIRECT("'※ 재무_세부시트'!"&amp;Z$1&amp;$AD45, TRUE)</f>
        <v>28.043897410000007</v>
      </c>
      <c r="AA45" s="2500" cm="1">
        <f t="array" aca="1" ref="AA45" ca="1">INDIRECT("'※ 재무_세부시트'!"&amp;AA$1&amp;$AD45, TRUE)</f>
        <v>28.043897410000007</v>
      </c>
      <c r="AB45" s="2502" cm="1">
        <f t="array" aca="1" ref="AB45" ca="1">INDIRECT("'※ 재무_세부시트'!"&amp;AB$1&amp;$AD45, TRUE)</f>
        <v>0</v>
      </c>
      <c r="AC45" s="2503" cm="1">
        <f t="array" aca="1" ref="AC45" ca="1">INDIRECT("'※ 재무_세부시트'!"&amp;AC$1&amp;$AD45, TRUE)</f>
        <v>-42.344179179999962</v>
      </c>
      <c r="AD45" s="2441">
        <v>44</v>
      </c>
      <c r="AE45" s="2649">
        <f>AE39-SUM(AE40:AE44)</f>
        <v>4.4938747799999987</v>
      </c>
      <c r="AF45" s="2649">
        <f t="shared" ref="AF45:AP45" si="30">AF39-SUM(AF40:AF44)</f>
        <v>3.3987192600000036</v>
      </c>
      <c r="AG45" s="2649">
        <f t="shared" si="30"/>
        <v>10.49726789</v>
      </c>
      <c r="AH45" s="2649">
        <f t="shared" si="30"/>
        <v>-0.54204468000000361</v>
      </c>
      <c r="AI45" s="2649">
        <f t="shared" si="30"/>
        <v>2.8052932000000048</v>
      </c>
      <c r="AJ45" s="2649">
        <f t="shared" si="30"/>
        <v>10.012929639999999</v>
      </c>
      <c r="AK45" s="2649">
        <f t="shared" si="30"/>
        <v>0.25041162000000838</v>
      </c>
      <c r="AL45" s="2649">
        <f t="shared" si="30"/>
        <v>3.6520666600000027</v>
      </c>
      <c r="AM45" s="2649">
        <f t="shared" si="30"/>
        <v>13.333396270000005</v>
      </c>
      <c r="AN45" s="2649">
        <f t="shared" si="30"/>
        <v>-0.77180127999999115</v>
      </c>
      <c r="AO45" s="2649">
        <f t="shared" si="30"/>
        <v>3.7027489600000045</v>
      </c>
      <c r="AP45" s="2649">
        <f t="shared" si="30"/>
        <v>2.6465169199999998</v>
      </c>
      <c r="AQ45" s="2649">
        <f t="shared" si="29"/>
        <v>53.479379240000029</v>
      </c>
      <c r="AR45" s="2488"/>
      <c r="AS45" s="2649">
        <f t="shared" ref="AS45:BD45" si="31">AS39-SUM(AS40:AS42)</f>
        <v>3.6934999999999825</v>
      </c>
      <c r="AT45" s="2649">
        <f t="shared" si="31"/>
        <v>3.5330000000000545</v>
      </c>
      <c r="AU45" s="2649">
        <f t="shared" si="31"/>
        <v>4.3272900000000547</v>
      </c>
      <c r="AV45" s="2649">
        <f t="shared" si="31"/>
        <v>4.0444999999999531</v>
      </c>
      <c r="AW45" s="2649">
        <f t="shared" si="31"/>
        <v>3.9307999999999517</v>
      </c>
      <c r="AX45" s="2649">
        <f t="shared" si="31"/>
        <v>4.7718900000000488</v>
      </c>
      <c r="AY45" s="2649">
        <f t="shared" si="31"/>
        <v>7.0124999999999496</v>
      </c>
      <c r="AZ45" s="2649">
        <f t="shared" si="31"/>
        <v>4.3519999999999577</v>
      </c>
      <c r="BA45" s="2649">
        <f t="shared" si="31"/>
        <v>5.1462900000000502</v>
      </c>
      <c r="BB45" s="2649">
        <f t="shared" si="31"/>
        <v>4.8634999999999486</v>
      </c>
      <c r="BC45" s="2649">
        <f t="shared" si="31"/>
        <v>4.7030000000000562</v>
      </c>
      <c r="BD45" s="2649">
        <f t="shared" si="31"/>
        <v>7.9972900000000493</v>
      </c>
      <c r="BE45" s="2649">
        <f t="shared" ref="BE45:BE54" si="32">SUM(AS45:BD45)</f>
        <v>58.375560000000064</v>
      </c>
      <c r="BG45" s="2509" cm="1">
        <f t="array" aca="1" ref="BG45" ca="1">INDIRECT("'※ 재무_세부시트'!"&amp;BG$1&amp;$AD45, TRUE)</f>
        <v>4.4938747799999987</v>
      </c>
      <c r="BH45" s="2509" cm="1">
        <f t="array" aca="1" ref="BH45" ca="1">INDIRECT("'※ 재무_세부시트'!"&amp;BH$1&amp;$AD45, TRUE)</f>
        <v>53.479379240000029</v>
      </c>
      <c r="BI45" s="2509" cm="1">
        <f t="array" aca="1" ref="BI45" ca="1">INDIRECT("'※ 재무_세부시트'!"&amp;BI$1&amp;$AD45, TRUE)</f>
        <v>0.25041162000000838</v>
      </c>
      <c r="BJ45" s="2509" cm="1">
        <f t="array" aca="1" ref="BJ45" ca="1">INDIRECT("'※ 재무_세부시트'!"&amp;BJ$1&amp;$AD45, TRUE)</f>
        <v>8.1304186000000005</v>
      </c>
      <c r="BK45" s="2509" cm="1">
        <f t="array" aca="1" ref="BK45" ca="1">INDIRECT("'※ 재무_세부시트'!"&amp;BK$1&amp;$AD45, TRUE)</f>
        <v>13.333396270000005</v>
      </c>
      <c r="BL45" s="2490"/>
      <c r="BM45" s="2490"/>
    </row>
    <row r="46" spans="1:71" ht="25" customHeight="1" x14ac:dyDescent="0.55000000000000004">
      <c r="A46" s="2492"/>
      <c r="B46" s="2650" t="s">
        <v>733</v>
      </c>
      <c r="C46" s="2650"/>
      <c r="D46" s="2651"/>
      <c r="E46" s="2651"/>
      <c r="F46" s="2530" cm="1">
        <f t="array" aca="1" ref="F46" ca="1">INDIRECT("'※ 재무_세부시트'!"&amp;F$1&amp;$AD46, TRUE)</f>
        <v>267.35344277000002</v>
      </c>
      <c r="G46" s="2530" cm="1">
        <f t="array" aca="1" ref="G46" ca="1">INDIRECT("'※ 재무_세부시트'!"&amp;G$1&amp;$AD46, TRUE)</f>
        <v>399.57221808000003</v>
      </c>
      <c r="H46" s="2531" cm="1">
        <f t="array" aca="1" ref="H46" ca="1">INDIRECT("'※ 재무_세부시트'!"&amp;H$1&amp;$AD46, TRUE)</f>
        <v>27.073064489999997</v>
      </c>
      <c r="I46" s="2532" cm="1">
        <f t="array" aca="1" ref="I46" ca="1">INDIRECT("'※ 재무_세부시트'!"&amp;I$1&amp;$AD46, TRUE)</f>
        <v>66.257026330000002</v>
      </c>
      <c r="J46" s="2532" cm="1">
        <f t="array" aca="1" ref="J46" ca="1">INDIRECT("'※ 재무_세부시트'!"&amp;J$1&amp;$AD46, TRUE)</f>
        <v>48.406044970000004</v>
      </c>
      <c r="K46" s="2532" cm="1">
        <f t="array" aca="1" ref="K46" ca="1">INDIRECT("'※ 재무_세부시트'!"&amp;K$1&amp;$AD46, TRUE)</f>
        <v>36.010909999999996</v>
      </c>
      <c r="L46" s="2532" cm="1">
        <f t="array" aca="1" ref="L46" ca="1">INDIRECT("'※ 재무_세부시트'!"&amp;L$1&amp;$AD46, TRUE)</f>
        <v>42.548448689999994</v>
      </c>
      <c r="M46" s="2532" cm="1">
        <f t="array" aca="1" ref="M46" ca="1">INDIRECT("'※ 재무_세부시트'!"&amp;M$1&amp;$AD46, TRUE)</f>
        <v>47.556311380000004</v>
      </c>
      <c r="N46" s="2532" cm="1">
        <f t="array" aca="1" ref="N46" ca="1">INDIRECT("'※ 재무_세부시트'!"&amp;N$1&amp;$AD46, TRUE)</f>
        <v>56.698631220000003</v>
      </c>
      <c r="O46" s="2532" cm="1">
        <f t="array" aca="1" ref="O46" ca="1">INDIRECT("'※ 재무_세부시트'!"&amp;O$1&amp;$AD46, TRUE)</f>
        <v>58.199155399999995</v>
      </c>
      <c r="P46" s="2532" cm="1">
        <f t="array" aca="1" ref="P46" ca="1">INDIRECT("'※ 재무_세부시트'!"&amp;P$1&amp;$AD46, TRUE)</f>
        <v>57.037023900000001</v>
      </c>
      <c r="Q46" s="2532" cm="1">
        <f t="array" aca="1" ref="Q46" ca="1">INDIRECT("'※ 재무_세부시트'!"&amp;Q$1&amp;$AD46, TRUE)</f>
        <v>46.116051409999997</v>
      </c>
      <c r="R46" s="2532" cm="1">
        <f t="array" aca="1" ref="R46" ca="1">INDIRECT("'※ 재무_세부시트'!"&amp;R$1&amp;$AD46, TRUE)</f>
        <v>54.328418509999999</v>
      </c>
      <c r="S46" s="2532" cm="1">
        <f t="array" aca="1" ref="S46" ca="1">INDIRECT("'※ 재무_세부시트'!"&amp;S$1&amp;$AD46, TRUE)</f>
        <v>16.35315396</v>
      </c>
      <c r="T46" s="2533" cm="1">
        <f t="array" aca="1" ref="T46" ca="1">INDIRECT("'※ 재무_세부시트'!"&amp;T$1&amp;$AD46, TRUE)</f>
        <v>4930.7900424489471</v>
      </c>
      <c r="U46" s="2533" cm="1">
        <f t="array" aca="1" ref="U46" ca="1">INDIRECT("'※ 재무_세부시트'!"&amp;U$1&amp;$AD46, TRUE)</f>
        <v>-4914.4368884889473</v>
      </c>
      <c r="V46" s="2652" cm="1">
        <f t="array" aca="1" ref="V46" ca="1">INDIRECT("'※ 재무_세부시트'!"&amp;V$1&amp;$AD46, TRUE)</f>
        <v>3.3165382868093028E-3</v>
      </c>
      <c r="W46" s="2535" cm="1">
        <f t="array" aca="1" ref="W46" ca="1">INDIRECT("'※ 재무_세부시트'!"&amp;W$1&amp;$AD46, TRUE)</f>
        <v>-37.975264549999999</v>
      </c>
      <c r="X46" s="2536" cm="1">
        <f t="array" aca="1" ref="X46" ca="1">INDIRECT("'※ 재무_세부시트'!"&amp;X$1&amp;$AD46, TRUE)</f>
        <v>-11.47676388</v>
      </c>
      <c r="Y46" s="2536" cm="1">
        <f t="array" aca="1" ref="Y46" ca="1">INDIRECT("'※ 재무_세부시트'!"&amp;Y$1&amp;$AD46, TRUE)</f>
        <v>0</v>
      </c>
      <c r="Z46" s="2538" cm="1">
        <f t="array" aca="1" ref="Z46" ca="1">INDIRECT("'※ 재무_세부시트'!"&amp;Z$1&amp;$AD46, TRUE)</f>
        <v>556.58424025999989</v>
      </c>
      <c r="AA46" s="2536" cm="1">
        <f t="array" aca="1" ref="AA46" ca="1">INDIRECT("'※ 재무_세부시트'!"&amp;AA$1&amp;$AD46, TRUE)</f>
        <v>-6200.2817380039778</v>
      </c>
      <c r="AB46" s="2539" cm="1">
        <f t="array" aca="1" ref="AB46" ca="1">INDIRECT("'※ 재무_세부시트'!"&amp;AB$1&amp;$AD46, TRUE)</f>
        <v>8.2373136014605622E-2</v>
      </c>
      <c r="AC46" s="2540" cm="1">
        <f t="array" aca="1" ref="AC46" ca="1">INDIRECT("'※ 재무_세부시트'!"&amp;AC$1&amp;$AD46, TRUE)</f>
        <v>157.01202217999986</v>
      </c>
      <c r="AD46" s="2441">
        <v>45</v>
      </c>
      <c r="AE46" s="2505">
        <f t="shared" ref="AE46:AP46" si="33">AE51+AE54</f>
        <v>18.928360340000001</v>
      </c>
      <c r="AF46" s="2505">
        <f t="shared" si="33"/>
        <v>20.335121540000003</v>
      </c>
      <c r="AG46" s="2505">
        <f t="shared" si="33"/>
        <v>6.3679558799999993</v>
      </c>
      <c r="AH46" s="2505">
        <f t="shared" si="33"/>
        <v>24.460072720000003</v>
      </c>
      <c r="AI46" s="2505">
        <f t="shared" si="33"/>
        <v>44.869621799999997</v>
      </c>
      <c r="AJ46" s="2505">
        <f t="shared" si="33"/>
        <v>8.6601766800000011</v>
      </c>
      <c r="AK46" s="2505">
        <f t="shared" si="33"/>
        <v>6.3792729900000005</v>
      </c>
      <c r="AL46" s="2505">
        <f t="shared" si="33"/>
        <v>23.082350550000005</v>
      </c>
      <c r="AM46" s="2505">
        <f t="shared" si="33"/>
        <v>35.430343689999994</v>
      </c>
      <c r="AN46" s="2505">
        <f t="shared" si="33"/>
        <v>29.941806799999995</v>
      </c>
      <c r="AO46" s="2505">
        <f t="shared" si="33"/>
        <v>10.209993839999999</v>
      </c>
      <c r="AP46" s="2505">
        <f t="shared" si="33"/>
        <v>38.688365940000004</v>
      </c>
      <c r="AQ46" s="2507">
        <f t="shared" si="29"/>
        <v>267.35344277000002</v>
      </c>
      <c r="AR46" s="2488"/>
      <c r="AS46" s="2505">
        <f t="shared" ref="AS46:BD46" si="34">AS51+AS54</f>
        <v>24.828815666693213</v>
      </c>
      <c r="AT46" s="2505">
        <f t="shared" si="34"/>
        <v>19.289787498831497</v>
      </c>
      <c r="AU46" s="2505">
        <f t="shared" si="34"/>
        <v>22.815407947590764</v>
      </c>
      <c r="AV46" s="2505">
        <f t="shared" si="34"/>
        <v>19.289787498831497</v>
      </c>
      <c r="AW46" s="2505">
        <f t="shared" si="34"/>
        <v>99.395966980032867</v>
      </c>
      <c r="AX46" s="2505">
        <f t="shared" si="34"/>
        <v>26.400955320558129</v>
      </c>
      <c r="AY46" s="2505">
        <f t="shared" si="34"/>
        <v>45.579383765613862</v>
      </c>
      <c r="AZ46" s="2505">
        <f t="shared" si="34"/>
        <v>24.90852968050649</v>
      </c>
      <c r="BA46" s="2505">
        <f t="shared" si="34"/>
        <v>19.289787498831497</v>
      </c>
      <c r="BB46" s="2505">
        <f t="shared" si="34"/>
        <v>19.289787498831497</v>
      </c>
      <c r="BC46" s="2505">
        <f t="shared" si="34"/>
        <v>20.286054838638897</v>
      </c>
      <c r="BD46" s="2505">
        <f t="shared" si="34"/>
        <v>63.96177584385449</v>
      </c>
      <c r="BE46" s="2507">
        <f t="shared" si="32"/>
        <v>405.3360400388147</v>
      </c>
      <c r="BG46" s="2653" cm="1">
        <f t="array" aca="1" ref="BG46" ca="1">INDIRECT("'※ 재무_세부시트'!"&amp;BG$1&amp;$AD46, TRUE)</f>
        <v>18.928360340000001</v>
      </c>
      <c r="BH46" s="2653" cm="1">
        <f t="array" aca="1" ref="BH46" ca="1">INDIRECT("'※ 재무_세부시트'!"&amp;BH$1&amp;$AD46, TRUE)</f>
        <v>267.35344277000002</v>
      </c>
      <c r="BI46" s="2653" cm="1">
        <f t="array" aca="1" ref="BI46" ca="1">INDIRECT("'※ 재무_세부시트'!"&amp;BI$1&amp;$AD46, TRUE)</f>
        <v>6.3792729900000005</v>
      </c>
      <c r="BJ46" s="2653" cm="1">
        <f t="array" aca="1" ref="BJ46" ca="1">INDIRECT("'※ 재무_세부시트'!"&amp;BJ$1&amp;$AD46, TRUE)</f>
        <v>8.2465206299999991</v>
      </c>
      <c r="BK46" s="2653" cm="1">
        <f t="array" aca="1" ref="BK46" ca="1">INDIRECT("'※ 재무_세부시트'!"&amp;BK$1&amp;$AD46, TRUE)</f>
        <v>35.430343689999994</v>
      </c>
      <c r="BL46" s="2490"/>
      <c r="BM46" s="2490"/>
    </row>
    <row r="47" spans="1:71" ht="19.5" customHeight="1" x14ac:dyDescent="0.55000000000000004">
      <c r="A47" s="2492"/>
      <c r="B47" s="2645"/>
      <c r="C47" s="2648" t="s">
        <v>106</v>
      </c>
      <c r="D47" s="2648"/>
      <c r="E47" s="2648"/>
      <c r="F47" s="2494" cm="1">
        <f t="array" aca="1" ref="F47" ca="1">INDIRECT("'※ 재무_세부시트'!"&amp;F$1&amp;$AD47, TRUE)</f>
        <v>167.48370114000002</v>
      </c>
      <c r="G47" s="2494" cm="1">
        <f t="array" aca="1" ref="G47" ca="1">INDIRECT("'※ 재무_세부시트'!"&amp;G$1&amp;$AD47, TRUE)</f>
        <v>178.2446813</v>
      </c>
      <c r="H47" s="2495" cm="1">
        <f t="array" aca="1" ref="H47" ca="1">INDIRECT("'※ 재무_세부시트'!"&amp;H$1&amp;$AD47, TRUE)</f>
        <v>6.2247795200000002</v>
      </c>
      <c r="I47" s="2496" cm="1">
        <f t="array" aca="1" ref="I47" ca="1">INDIRECT("'※ 재무_세부시트'!"&amp;I$1&amp;$AD47, TRUE)</f>
        <v>41.723454240000002</v>
      </c>
      <c r="J47" s="2496" cm="1">
        <f t="array" aca="1" ref="J47" ca="1">INDIRECT("'※ 재무_세부시트'!"&amp;J$1&amp;$AD47, TRUE)</f>
        <v>33.803715529999998</v>
      </c>
      <c r="K47" s="2496" cm="1">
        <f t="array" aca="1" ref="K47" ca="1">INDIRECT("'※ 재무_세부시트'!"&amp;K$1&amp;$AD47, TRUE)</f>
        <v>17.317671820000001</v>
      </c>
      <c r="L47" s="2496" cm="1">
        <f t="array" aca="1" ref="L47" ca="1">INDIRECT("'※ 재무_세부시트'!"&amp;L$1&amp;$AD47, TRUE)</f>
        <v>33.886691740000003</v>
      </c>
      <c r="M47" s="2496" cm="1">
        <f t="array" aca="1" ref="M47" ca="1">INDIRECT("'※ 재무_세부시트'!"&amp;M$1&amp;$AD47, TRUE)</f>
        <v>36.226487110000001</v>
      </c>
      <c r="N47" s="2496" cm="1">
        <f t="array" aca="1" ref="N47" ca="1">INDIRECT("'※ 재무_세부시트'!"&amp;N$1&amp;$AD47, TRUE)</f>
        <v>38.549267039999997</v>
      </c>
      <c r="O47" s="2496" cm="1">
        <f t="array" aca="1" ref="O47" ca="1">INDIRECT("'※ 재무_세부시트'!"&amp;O$1&amp;$AD47, TRUE)</f>
        <v>44.359253440000003</v>
      </c>
      <c r="P47" s="2496" cm="1">
        <f t="array" aca="1" ref="P47" ca="1">INDIRECT("'※ 재무_세부시트'!"&amp;P$1&amp;$AD47, TRUE)</f>
        <v>38.491672719999997</v>
      </c>
      <c r="Q47" s="2496" cm="1">
        <f t="array" aca="1" ref="Q47" ca="1">INDIRECT("'※ 재무_세부시트'!"&amp;Q$1&amp;$AD47, TRUE)</f>
        <v>32.401693850000001</v>
      </c>
      <c r="R47" s="2496" cm="1">
        <f t="array" aca="1" ref="R47" ca="1">INDIRECT("'※ 재무_세부시트'!"&amp;R$1&amp;$AD47, TRUE)</f>
        <v>38.025056239999998</v>
      </c>
      <c r="S47" s="2496" cm="1">
        <f t="array" aca="1" ref="S47" ca="1">INDIRECT("'※ 재무_세부시트'!"&amp;S$1&amp;$AD47, TRUE)</f>
        <v>8.4948652300000003</v>
      </c>
      <c r="T47" s="2497" cm="1">
        <f t="array" aca="1" ref="T47" ca="1">INDIRECT("'※ 재무_세부시트'!"&amp;T$1&amp;$AD47, TRUE)</f>
        <v>1850.766709115614</v>
      </c>
      <c r="U47" s="2497" cm="1">
        <f t="array" aca="1" ref="U47" ca="1">INDIRECT("'※ 재무_세부시트'!"&amp;U$1&amp;$AD47, TRUE)</f>
        <v>-1842.2718438856141</v>
      </c>
      <c r="V47" s="2498" cm="1">
        <f t="array" aca="1" ref="V47" ca="1">INDIRECT("'※ 재무_세부시트'!"&amp;V$1&amp;$AD47, TRUE)</f>
        <v>4.5899168102387462E-3</v>
      </c>
      <c r="W47" s="2499" cm="1">
        <f t="array" aca="1" ref="W47" ca="1">INDIRECT("'※ 재무_세부시트'!"&amp;W$1&amp;$AD47, TRUE)</f>
        <v>-29.530191009999996</v>
      </c>
      <c r="X47" s="2500" cm="1">
        <f t="array" aca="1" ref="X47" ca="1">INDIRECT("'※ 재무_세부시트'!"&amp;X$1&amp;$AD47, TRUE)</f>
        <v>2.0206906900000003</v>
      </c>
      <c r="Y47" s="2500" cm="1">
        <f t="array" aca="1" ref="Y47" ca="1">INDIRECT("'※ 재무_세부시트'!"&amp;Y$1&amp;$AD47, TRUE)</f>
        <v>0</v>
      </c>
      <c r="Z47" s="2501" cm="1">
        <f t="array" aca="1" ref="Z47" ca="1">INDIRECT("'※ 재무_세부시트'!"&amp;Z$1&amp;$AD47, TRUE)</f>
        <v>369.50460848000006</v>
      </c>
      <c r="AA47" s="2500" cm="1">
        <f t="array" aca="1" ref="AA47" ca="1">INDIRECT("'※ 재무_세부시트'!"&amp;AA$1&amp;$AD47, TRUE)</f>
        <v>-233.69470311731078</v>
      </c>
      <c r="AB47" s="2502" cm="1">
        <f t="array" aca="1" ref="AB47" ca="1">INDIRECT("'※ 재무_세부시트'!"&amp;AB$1&amp;$AD47, TRUE)</f>
        <v>0.61257465215191964</v>
      </c>
      <c r="AC47" s="2503" cm="1">
        <f t="array" aca="1" ref="AC47" ca="1">INDIRECT("'※ 재무_세부시트'!"&amp;AC$1&amp;$AD47, TRUE)</f>
        <v>191.25992718000006</v>
      </c>
      <c r="AD47" s="2441">
        <v>46</v>
      </c>
      <c r="AE47" s="2504">
        <v>17.558160740000002</v>
      </c>
      <c r="AF47" s="2504">
        <v>18.645582400000002</v>
      </c>
      <c r="AG47" s="2504">
        <v>4.5061599999999995</v>
      </c>
      <c r="AH47" s="2504">
        <v>22.357863399999999</v>
      </c>
      <c r="AI47" s="2504">
        <v>37.613899599999996</v>
      </c>
      <c r="AJ47" s="2504">
        <v>0</v>
      </c>
      <c r="AK47" s="2504">
        <v>0</v>
      </c>
      <c r="AL47" s="2504">
        <v>0</v>
      </c>
      <c r="AM47" s="2504">
        <v>27.401271999999999</v>
      </c>
      <c r="AN47" s="2504">
        <v>8.6376131999999988</v>
      </c>
      <c r="AO47" s="2504">
        <v>0</v>
      </c>
      <c r="AP47" s="2504">
        <v>30.763149800000001</v>
      </c>
      <c r="AQ47" s="2505">
        <f t="shared" si="29"/>
        <v>167.48370114000002</v>
      </c>
      <c r="AR47" s="2488"/>
      <c r="AS47" s="2504">
        <v>5.8682094577038502</v>
      </c>
      <c r="AT47" s="2504">
        <v>0</v>
      </c>
      <c r="AU47" s="2504">
        <v>3.5256204487592675</v>
      </c>
      <c r="AV47" s="2504">
        <v>0</v>
      </c>
      <c r="AW47" s="2504">
        <v>80.106179481201366</v>
      </c>
      <c r="AX47" s="2504">
        <v>7.1111678217266352</v>
      </c>
      <c r="AY47" s="2504">
        <v>26.289596266782361</v>
      </c>
      <c r="AZ47" s="2504">
        <v>5.6187421816749916</v>
      </c>
      <c r="BA47" s="2504">
        <v>0</v>
      </c>
      <c r="BB47" s="2504">
        <v>0</v>
      </c>
      <c r="BC47" s="2504">
        <v>0.99626733980740456</v>
      </c>
      <c r="BD47" s="2504">
        <v>44.671988345022989</v>
      </c>
      <c r="BE47" s="2505">
        <f t="shared" si="32"/>
        <v>174.18777134267887</v>
      </c>
      <c r="BG47" s="2509" cm="1">
        <f t="array" aca="1" ref="BG47" ca="1">INDIRECT("'※ 재무_세부시트'!"&amp;BG$1&amp;$AD47, TRUE)</f>
        <v>17.558160740000002</v>
      </c>
      <c r="BH47" s="2509" cm="1">
        <f t="array" aca="1" ref="BH47" ca="1">INDIRECT("'※ 재무_세부시트'!"&amp;BH$1&amp;$AD47, TRUE)</f>
        <v>167.48370114000002</v>
      </c>
      <c r="BI47" s="2509" cm="1">
        <f t="array" aca="1" ref="BI47" ca="1">INDIRECT("'※ 재무_세부시트'!"&amp;BI$1&amp;$AD47, TRUE)</f>
        <v>0</v>
      </c>
      <c r="BJ47" s="2509" cm="1">
        <f t="array" aca="1" ref="BJ47" ca="1">INDIRECT("'※ 재무_세부시트'!"&amp;BJ$1&amp;$AD47, TRUE)</f>
        <v>3.1105545399999999</v>
      </c>
      <c r="BK47" s="2509" cm="1">
        <f t="array" aca="1" ref="BK47" ca="1">INDIRECT("'※ 재무_세부시트'!"&amp;BK$1&amp;$AD47, TRUE)</f>
        <v>27.401271999999999</v>
      </c>
      <c r="BL47" s="2490"/>
      <c r="BM47" s="2490"/>
    </row>
    <row r="48" spans="1:71" ht="19.5" customHeight="1" x14ac:dyDescent="0.55000000000000004">
      <c r="A48" s="2492"/>
      <c r="B48" s="2645"/>
      <c r="C48" s="2648" t="s">
        <v>107</v>
      </c>
      <c r="D48" s="2648"/>
      <c r="E48" s="2648"/>
      <c r="F48" s="2494" cm="1">
        <f t="array" aca="1" ref="F48" ca="1">INDIRECT("'※ 재무_세부시트'!"&amp;F$1&amp;$AD48, TRUE)</f>
        <v>72.819939079999997</v>
      </c>
      <c r="G48" s="2494" cm="1">
        <f t="array" aca="1" ref="G48" ca="1">INDIRECT("'※ 재무_세부시트'!"&amp;G$1&amp;$AD48, TRUE)</f>
        <v>142.21025155000001</v>
      </c>
      <c r="H48" s="2495" cm="1">
        <f t="array" aca="1" ref="H48" ca="1">INDIRECT("'※ 재무_세부시트'!"&amp;H$1&amp;$AD48, TRUE)</f>
        <v>5.1468545299999997</v>
      </c>
      <c r="I48" s="2496" cm="1">
        <f t="array" aca="1" ref="I48" ca="1">INDIRECT("'※ 재무_세부시트'!"&amp;I$1&amp;$AD48, TRUE)</f>
        <v>7.8131886499999998</v>
      </c>
      <c r="J48" s="2496" cm="1">
        <f t="array" aca="1" ref="J48" ca="1">INDIRECT("'※ 재무_세부시트'!"&amp;J$1&amp;$AD48, TRUE)</f>
        <v>4.2391668100000004</v>
      </c>
      <c r="K48" s="2496" cm="1">
        <f t="array" aca="1" ref="K48" ca="1">INDIRECT("'※ 재무_세부시트'!"&amp;K$1&amp;$AD48, TRUE)</f>
        <v>9.1465706600000001</v>
      </c>
      <c r="L48" s="2496" cm="1">
        <f t="array" aca="1" ref="L48" ca="1">INDIRECT("'※ 재무_세부시트'!"&amp;L$1&amp;$AD48, TRUE)</f>
        <v>2.31143455</v>
      </c>
      <c r="M48" s="2496" cm="1">
        <f t="array" aca="1" ref="M48" ca="1">INDIRECT("'※ 재무_세부시트'!"&amp;M$1&amp;$AD48, TRUE)</f>
        <v>5.93451182</v>
      </c>
      <c r="N48" s="2496" cm="1">
        <f t="array" aca="1" ref="N48" ca="1">INDIRECT("'※ 재무_세부시트'!"&amp;N$1&amp;$AD48, TRUE)</f>
        <v>12.66002535</v>
      </c>
      <c r="O48" s="2496" cm="1">
        <f t="array" aca="1" ref="O48" ca="1">INDIRECT("'※ 재무_세부시트'!"&amp;O$1&amp;$AD48, TRUE)</f>
        <v>11.85544908</v>
      </c>
      <c r="P48" s="2496" cm="1">
        <f t="array" aca="1" ref="P48" ca="1">INDIRECT("'※ 재무_세부시트'!"&amp;P$1&amp;$AD48, TRUE)</f>
        <v>13.403727269999999</v>
      </c>
      <c r="Q48" s="2496" cm="1">
        <f t="array" aca="1" ref="Q48" ca="1">INDIRECT("'※ 재무_세부시트'!"&amp;Q$1&amp;$AD48, TRUE)</f>
        <v>8.2778563599999995</v>
      </c>
      <c r="R48" s="2496" cm="1">
        <f t="array" aca="1" ref="R48" ca="1">INDIRECT("'※ 재무_세부시트'!"&amp;R$1&amp;$AD48, TRUE)</f>
        <v>13.30973724</v>
      </c>
      <c r="S48" s="2496" cm="1">
        <f t="array" aca="1" ref="S48" ca="1">INDIRECT("'※ 재무_세부시트'!"&amp;S$1&amp;$AD48, TRUE)</f>
        <v>5.8643154400000004</v>
      </c>
      <c r="T48" s="2497" cm="1">
        <f t="array" aca="1" ref="T48" ca="1">INDIRECT("'※ 재무_세부시트'!"&amp;T$1&amp;$AD48, TRUE)</f>
        <v>2000</v>
      </c>
      <c r="U48" s="2497" cm="1">
        <f t="array" aca="1" ref="U48" ca="1">INDIRECT("'※ 재무_세부시트'!"&amp;U$1&amp;$AD48, TRUE)</f>
        <v>-1994.1356845600001</v>
      </c>
      <c r="V48" s="2498" cm="1">
        <f t="array" aca="1" ref="V48" ca="1">INDIRECT("'※ 재무_세부시트'!"&amp;V$1&amp;$AD48, TRUE)</f>
        <v>2.9321577200000001E-3</v>
      </c>
      <c r="W48" s="2499" cm="1">
        <f t="array" aca="1" ref="W48" ca="1">INDIRECT("'※ 재무_세부시트'!"&amp;W$1&amp;$AD48, TRUE)</f>
        <v>-7.4454218000000001</v>
      </c>
      <c r="X48" s="2500" cm="1">
        <f t="array" aca="1" ref="X48" ca="1">INDIRECT("'※ 재무_세부시트'!"&amp;X$1&amp;$AD48, TRUE)</f>
        <v>3.5571518000000002</v>
      </c>
      <c r="Y48" s="2500" cm="1">
        <f t="array" aca="1" ref="Y48" ca="1">INDIRECT("'※ 재무_세부시트'!"&amp;Y$1&amp;$AD48, TRUE)</f>
        <v>0</v>
      </c>
      <c r="Z48" s="2501" cm="1">
        <f t="array" aca="1" ref="Z48" ca="1">INDIRECT("'※ 재무_세부시트'!"&amp;Z$1&amp;$AD48, TRUE)</f>
        <v>99.962837759999999</v>
      </c>
      <c r="AA48" s="2500" cm="1">
        <f t="array" aca="1" ref="AA48" ca="1">INDIRECT("'※ 재무_세부시트'!"&amp;AA$1&amp;$AD48, TRUE)</f>
        <v>-3900.0371622399998</v>
      </c>
      <c r="AB48" s="2502" cm="1">
        <f t="array" aca="1" ref="AB48" ca="1">INDIRECT("'※ 재무_세부시트'!"&amp;AB$1&amp;$AD48, TRUE)</f>
        <v>2.4990709440000002E-2</v>
      </c>
      <c r="AC48" s="2503" cm="1">
        <f t="array" aca="1" ref="AC48" ca="1">INDIRECT("'※ 재무_세부시트'!"&amp;AC$1&amp;$AD48, TRUE)</f>
        <v>-42.24741379000001</v>
      </c>
      <c r="AD48" s="2441">
        <v>47</v>
      </c>
      <c r="AE48" s="2504">
        <v>0.31406331999999998</v>
      </c>
      <c r="AF48" s="2504">
        <v>8.7426999999999991E-2</v>
      </c>
      <c r="AG48" s="2504">
        <v>7.0408499999999999E-2</v>
      </c>
      <c r="AH48" s="2504">
        <v>1.762E-2</v>
      </c>
      <c r="AI48" s="2504">
        <v>4.4458969999999995</v>
      </c>
      <c r="AJ48" s="2504">
        <v>4.7673085999999998</v>
      </c>
      <c r="AK48" s="2504">
        <v>3.9633629999999997</v>
      </c>
      <c r="AL48" s="2504">
        <v>18.96047798</v>
      </c>
      <c r="AM48" s="2504">
        <v>5.2997445000000001</v>
      </c>
      <c r="AN48" s="2504">
        <v>19.070398999999998</v>
      </c>
      <c r="AO48" s="2504">
        <v>8.6262544999999999</v>
      </c>
      <c r="AP48" s="2504">
        <v>7.1969756800000004</v>
      </c>
      <c r="AQ48" s="2505">
        <f t="shared" si="29"/>
        <v>72.819939079999997</v>
      </c>
      <c r="AR48" s="2488"/>
      <c r="AS48" s="2504">
        <v>13.354887043097634</v>
      </c>
      <c r="AT48" s="2504">
        <v>13.354887043097634</v>
      </c>
      <c r="AU48" s="2504">
        <v>13.354887043097634</v>
      </c>
      <c r="AV48" s="2504">
        <v>13.354887043097634</v>
      </c>
      <c r="AW48" s="2504">
        <v>13.354887043097634</v>
      </c>
      <c r="AX48" s="2504">
        <v>13.354887043097634</v>
      </c>
      <c r="AY48" s="2504">
        <v>13.354887043097634</v>
      </c>
      <c r="AZ48" s="2504">
        <v>13.354887043097634</v>
      </c>
      <c r="BA48" s="2504">
        <v>13.354887043097634</v>
      </c>
      <c r="BB48" s="2504">
        <v>13.354887043097634</v>
      </c>
      <c r="BC48" s="2504">
        <v>13.354887043097634</v>
      </c>
      <c r="BD48" s="2504">
        <v>13.354887043097634</v>
      </c>
      <c r="BE48" s="2505">
        <f t="shared" si="32"/>
        <v>160.2586445171716</v>
      </c>
      <c r="BG48" s="2509" cm="1">
        <f t="array" aca="1" ref="BG48" ca="1">INDIRECT("'※ 재무_세부시트'!"&amp;BG$1&amp;$AD48, TRUE)</f>
        <v>0.31406331999999998</v>
      </c>
      <c r="BH48" s="2509" cm="1">
        <f t="array" aca="1" ref="BH48" ca="1">INDIRECT("'※ 재무_세부시트'!"&amp;BH$1&amp;$AD48, TRUE)</f>
        <v>72.819939079999997</v>
      </c>
      <c r="BI48" s="2509" cm="1">
        <f t="array" aca="1" ref="BI48" ca="1">INDIRECT("'※ 재무_세부시트'!"&amp;BI$1&amp;$AD48, TRUE)</f>
        <v>3.9633629999999997</v>
      </c>
      <c r="BJ48" s="2509" cm="1">
        <f t="array" aca="1" ref="BJ48" ca="1">INDIRECT("'※ 재무_세부시트'!"&amp;BJ$1&amp;$AD48, TRUE)</f>
        <v>3.9140000000000001</v>
      </c>
      <c r="BK48" s="2509" cm="1">
        <f t="array" aca="1" ref="BK48" ca="1">INDIRECT("'※ 재무_세부시트'!"&amp;BK$1&amp;$AD48, TRUE)</f>
        <v>5.2997445000000001</v>
      </c>
      <c r="BL48" s="2490"/>
      <c r="BM48" s="2490"/>
    </row>
    <row r="49" spans="1:65" ht="19.5" customHeight="1" x14ac:dyDescent="0.55000000000000004">
      <c r="A49" s="2654"/>
      <c r="B49" s="2645"/>
      <c r="C49" s="2648" t="s">
        <v>108</v>
      </c>
      <c r="D49" s="2648"/>
      <c r="E49" s="2648"/>
      <c r="F49" s="2494" cm="1">
        <f t="array" aca="1" ref="F49" ca="1">INDIRECT("'※ 재무_세부시트'!"&amp;F$1&amp;$AD49, TRUE)</f>
        <v>18.744021550000003</v>
      </c>
      <c r="G49" s="2494" cm="1">
        <f t="array" aca="1" ref="G49" ca="1">INDIRECT("'※ 재무_세부시트'!"&amp;G$1&amp;$AD49, TRUE)</f>
        <v>75.143249139999995</v>
      </c>
      <c r="H49" s="2495" cm="1">
        <f t="array" aca="1" ref="H49" ca="1">INDIRECT("'※ 재무_세부시트'!"&amp;H$1&amp;$AD49, TRUE)</f>
        <v>15.04792136</v>
      </c>
      <c r="I49" s="2496" cm="1">
        <f t="array" aca="1" ref="I49" ca="1">INDIRECT("'※ 재무_세부시트'!"&amp;I$1&amp;$AD49, TRUE)</f>
        <v>15.968165239999999</v>
      </c>
      <c r="J49" s="2496" cm="1">
        <f t="array" aca="1" ref="J49" ca="1">INDIRECT("'※ 재무_세부시트'!"&amp;J$1&amp;$AD49, TRUE)</f>
        <v>9.4010444500000006</v>
      </c>
      <c r="K49" s="2496" cm="1">
        <f t="array" aca="1" ref="K49" ca="1">INDIRECT("'※ 재무_세부시트'!"&amp;K$1&amp;$AD49, TRUE)</f>
        <v>6.3480070599999996</v>
      </c>
      <c r="L49" s="2496" cm="1">
        <f t="array" aca="1" ref="L49" ca="1">INDIRECT("'※ 재무_세부시트'!"&amp;L$1&amp;$AD49, TRUE)</f>
        <v>5.4892405799999997</v>
      </c>
      <c r="M49" s="2496" cm="1">
        <f t="array" aca="1" ref="M49" ca="1">INDIRECT("'※ 재무_세부시트'!"&amp;M$1&amp;$AD49, TRUE)</f>
        <v>4.7302215399999996</v>
      </c>
      <c r="N49" s="2496" cm="1">
        <f t="array" aca="1" ref="N49" ca="1">INDIRECT("'※ 재무_세부시트'!"&amp;N$1&amp;$AD49, TRUE)</f>
        <v>3.7068985400000001</v>
      </c>
      <c r="O49" s="2496" cm="1">
        <f t="array" aca="1" ref="O49" ca="1">INDIRECT("'※ 재무_세부시트'!"&amp;O$1&amp;$AD49, TRUE)</f>
        <v>0.78530741999999998</v>
      </c>
      <c r="P49" s="2496" cm="1">
        <f t="array" aca="1" ref="P49" ca="1">INDIRECT("'※ 재무_세부시트'!"&amp;P$1&amp;$AD49, TRUE)</f>
        <v>2.3982148200000002</v>
      </c>
      <c r="Q49" s="2496" cm="1">
        <f t="array" aca="1" ref="Q49" ca="1">INDIRECT("'※ 재무_세부시트'!"&amp;Q$1&amp;$AD49, TRUE)</f>
        <v>1.7681286899999999</v>
      </c>
      <c r="R49" s="2496" cm="1">
        <f t="array" aca="1" ref="R49" ca="1">INDIRECT("'※ 재무_세부시트'!"&amp;R$1&amp;$AD49, TRUE)</f>
        <v>0.50962746000000003</v>
      </c>
      <c r="S49" s="2496" cm="1">
        <f t="array" aca="1" ref="S49" ca="1">INDIRECT("'※ 재무_세부시트'!"&amp;S$1&amp;$AD49, TRUE)</f>
        <v>0.35757329999999998</v>
      </c>
      <c r="T49" s="2497" cm="1">
        <f t="array" aca="1" ref="T49" ca="1">INDIRECT("'※ 재무_세부시트'!"&amp;T$1&amp;$AD49, TRUE)</f>
        <v>334.83333333333326</v>
      </c>
      <c r="U49" s="2497" cm="1">
        <f t="array" aca="1" ref="U49" ca="1">INDIRECT("'※ 재무_세부시트'!"&amp;U$1&amp;$AD49, TRUE)</f>
        <v>-334.47576003333324</v>
      </c>
      <c r="V49" s="2498" cm="1">
        <f t="array" aca="1" ref="V49" ca="1">INDIRECT("'※ 재무_세부시트'!"&amp;V$1&amp;$AD49, TRUE)</f>
        <v>1.0679142857142859E-3</v>
      </c>
      <c r="W49" s="2499" cm="1">
        <f t="array" aca="1" ref="W49" ca="1">INDIRECT("'※ 재무_세부시트'!"&amp;W$1&amp;$AD49, TRUE)</f>
        <v>-0.15205416000000005</v>
      </c>
      <c r="X49" s="2500" cm="1">
        <f t="array" aca="1" ref="X49" ca="1">INDIRECT("'※ 재무_세부시트'!"&amp;X$1&amp;$AD49, TRUE)</f>
        <v>-18.392806360000002</v>
      </c>
      <c r="Y49" s="2500" cm="1">
        <f t="array" aca="1" ref="Y49" ca="1">INDIRECT("'※ 재무_세부시트'!"&amp;Y$1&amp;$AD49, TRUE)</f>
        <v>0</v>
      </c>
      <c r="Z49" s="2501" cm="1">
        <f t="array" aca="1" ref="Z49" ca="1">INDIRECT("'※ 재무_세부시트'!"&amp;Z$1&amp;$AD49, TRUE)</f>
        <v>66.510350460000012</v>
      </c>
      <c r="AA49" s="2500" cm="1">
        <f t="array" aca="1" ref="AA49" ca="1">INDIRECT("'※ 재무_세부시트'!"&amp;AA$1&amp;$AD49, TRUE)</f>
        <v>-603.15631620666659</v>
      </c>
      <c r="AB49" s="2502" cm="1">
        <f t="array" aca="1" ref="AB49" ca="1">INDIRECT("'※ 재무_세부시트'!"&amp;AB$1&amp;$AD49, TRUE)</f>
        <v>9.9318592025883543E-2</v>
      </c>
      <c r="AC49" s="2503" cm="1">
        <f t="array" aca="1" ref="AC49" ca="1">INDIRECT("'※ 재무_세부시트'!"&amp;AC$1&amp;$AD49, TRUE)</f>
        <v>-8.6328986799999825</v>
      </c>
      <c r="AD49" s="2441">
        <v>48</v>
      </c>
      <c r="AE49" s="2504">
        <v>0.20109090999999998</v>
      </c>
      <c r="AF49" s="2504">
        <v>1.10161018</v>
      </c>
      <c r="AG49" s="2504">
        <v>1.31764773</v>
      </c>
      <c r="AH49" s="2504">
        <v>1.64691371</v>
      </c>
      <c r="AI49" s="2504">
        <v>2.02553764</v>
      </c>
      <c r="AJ49" s="2504">
        <v>3.0005778600000004</v>
      </c>
      <c r="AK49" s="2504">
        <v>1.65249552</v>
      </c>
      <c r="AL49" s="2504">
        <v>3.2620175599999999</v>
      </c>
      <c r="AM49" s="2504">
        <v>2.2386986499999999</v>
      </c>
      <c r="AN49" s="2504">
        <v>1.1238791000000001</v>
      </c>
      <c r="AO49" s="2504">
        <v>0.81183922999999991</v>
      </c>
      <c r="AP49" s="2504">
        <v>0.36171345999999999</v>
      </c>
      <c r="AQ49" s="2505">
        <f t="shared" si="29"/>
        <v>18.744021550000003</v>
      </c>
      <c r="AR49" s="2488"/>
      <c r="AS49" s="2504">
        <v>5.6057191658917294</v>
      </c>
      <c r="AT49" s="2504">
        <v>5.6057191658917294</v>
      </c>
      <c r="AU49" s="2504">
        <v>5.6057191658917294</v>
      </c>
      <c r="AV49" s="2504">
        <v>5.6057191658917294</v>
      </c>
      <c r="AW49" s="2504">
        <v>5.6057191658917294</v>
      </c>
      <c r="AX49" s="2504">
        <v>5.6057191658917294</v>
      </c>
      <c r="AY49" s="2504">
        <v>5.6057191658917294</v>
      </c>
      <c r="AZ49" s="2504">
        <v>5.6057191658917294</v>
      </c>
      <c r="BA49" s="2504">
        <v>5.6057191658917294</v>
      </c>
      <c r="BB49" s="2504">
        <v>5.6057191658917294</v>
      </c>
      <c r="BC49" s="2504">
        <v>5.6057191658917294</v>
      </c>
      <c r="BD49" s="2504">
        <v>5.6057191658917294</v>
      </c>
      <c r="BE49" s="2505">
        <f t="shared" si="32"/>
        <v>67.268629990700745</v>
      </c>
      <c r="BG49" s="2509" cm="1">
        <f t="array" aca="1" ref="BG49" ca="1">INDIRECT("'※ 재무_세부시트'!"&amp;BG$1&amp;$AD49, TRUE)</f>
        <v>0.20109090999999998</v>
      </c>
      <c r="BH49" s="2509" cm="1">
        <f t="array" aca="1" ref="BH49" ca="1">INDIRECT("'※ 재무_세부시트'!"&amp;BH$1&amp;$AD49, TRUE)</f>
        <v>18.744021550000003</v>
      </c>
      <c r="BI49" s="2509" cm="1">
        <f t="array" aca="1" ref="BI49" ca="1">INDIRECT("'※ 재무_세부시트'!"&amp;BI$1&amp;$AD49, TRUE)</f>
        <v>1.65249552</v>
      </c>
      <c r="BJ49" s="2509" cm="1">
        <f t="array" aca="1" ref="BJ49" ca="1">INDIRECT("'※ 재무_세부시트'!"&amp;BJ$1&amp;$AD49, TRUE)</f>
        <v>0.85896609000000002</v>
      </c>
      <c r="BK49" s="2509" cm="1">
        <f t="array" aca="1" ref="BK49" ca="1">INDIRECT("'※ 재무_세부시트'!"&amp;BK$1&amp;$AD49, TRUE)</f>
        <v>2.2386986499999999</v>
      </c>
      <c r="BL49" s="2490"/>
      <c r="BM49" s="2490"/>
    </row>
    <row r="50" spans="1:65" ht="19.5" customHeight="1" x14ac:dyDescent="0.55000000000000004">
      <c r="A50" s="2654"/>
      <c r="B50" s="2645"/>
      <c r="C50" s="2648" t="s">
        <v>1124</v>
      </c>
      <c r="D50" s="2648"/>
      <c r="E50" s="2648"/>
      <c r="F50" s="2494" cm="1">
        <f t="array" aca="1" ref="F50" ca="1">INDIRECT("'※ 재무_세부시트'!"&amp;F$1&amp;$AD50, TRUE)</f>
        <v>8.3057810000000014</v>
      </c>
      <c r="G50" s="2494" cm="1">
        <f t="array" aca="1" ref="G50" ca="1">INDIRECT("'※ 재무_세부시트'!"&amp;G$1&amp;$AD50, TRUE)</f>
        <v>3.9740360899999998</v>
      </c>
      <c r="H50" s="2495" cm="1">
        <f t="array" aca="1" ref="H50" ca="1">INDIRECT("'※ 재무_세부시트'!"&amp;H$1&amp;$AD50, TRUE)</f>
        <v>0.65350907999999563</v>
      </c>
      <c r="I50" s="2496" cm="1">
        <f t="array" aca="1" ref="I50" ca="1">INDIRECT("'※ 재무_세부시트'!"&amp;I$1&amp;$AD50, TRUE)</f>
        <v>0.75221819999999973</v>
      </c>
      <c r="J50" s="2496" cm="1">
        <f t="array" aca="1" ref="J50" ca="1">INDIRECT("'※ 재무_세부시트'!"&amp;J$1&amp;$AD50, TRUE)</f>
        <v>0.96211818000000449</v>
      </c>
      <c r="K50" s="2496" cm="1">
        <f t="array" aca="1" ref="K50" ca="1">INDIRECT("'※ 재무_세부시트'!"&amp;K$1&amp;$AD50, TRUE)</f>
        <v>3.1986604599999948</v>
      </c>
      <c r="L50" s="2496" cm="1">
        <f t="array" aca="1" ref="L50" ca="1">INDIRECT("'※ 재무_세부시트'!"&amp;L$1&amp;$AD50, TRUE)</f>
        <v>0.861081819999991</v>
      </c>
      <c r="M50" s="2496" cm="1">
        <f t="array" aca="1" ref="M50" ca="1">INDIRECT("'※ 재무_세부시트'!"&amp;M$1&amp;$AD50, TRUE)</f>
        <v>0.66509091000000353</v>
      </c>
      <c r="N50" s="2496" cm="1">
        <f t="array" aca="1" ref="N50" ca="1">INDIRECT("'※ 재무_세부시트'!"&amp;N$1&amp;$AD50, TRUE)</f>
        <v>1.7824402900000065</v>
      </c>
      <c r="O50" s="2496" cm="1">
        <f t="array" aca="1" ref="O50" ca="1">INDIRECT("'※ 재무_세부시트'!"&amp;O$1&amp;$AD50, TRUE)</f>
        <v>1.199145459999992</v>
      </c>
      <c r="P50" s="2496" cm="1">
        <f t="array" aca="1" ref="P50" ca="1">INDIRECT("'※ 재무_세부시트'!"&amp;P$1&amp;$AD50, TRUE)</f>
        <v>2.743409090000005</v>
      </c>
      <c r="Q50" s="2496" cm="1">
        <f t="array" aca="1" ref="Q50" ca="1">INDIRECT("'※ 재무_세부시트'!"&amp;Q$1&amp;$AD50, TRUE)</f>
        <v>3.6683725099999966</v>
      </c>
      <c r="R50" s="2496" cm="1">
        <f t="array" aca="1" ref="R50" ca="1">INDIRECT("'※ 재무_세부시트'!"&amp;R$1&amp;$AD50, TRUE)</f>
        <v>2.4839975700000005</v>
      </c>
      <c r="S50" s="2496" cm="1">
        <f t="array" aca="1" ref="S50" ca="1">INDIRECT("'※ 재무_세부시트'!"&amp;S$1&amp;$AD50, TRUE)</f>
        <v>1.6363999899999997</v>
      </c>
      <c r="T50" s="2497" cm="1">
        <f t="array" aca="1" ref="T50" ca="1">INDIRECT("'※ 재무_세부시트'!"&amp;T$1&amp;$AD50, TRUE)</f>
        <v>745.18999999999994</v>
      </c>
      <c r="U50" s="2497" cm="1">
        <f t="array" aca="1" ref="U50" ca="1">INDIRECT("'※ 재무_세부시트'!"&amp;U$1&amp;$AD50, TRUE)</f>
        <v>-743.55360000999997</v>
      </c>
      <c r="V50" s="2498" cm="1">
        <f t="array" aca="1" ref="V50" ca="1">INDIRECT("'※ 재무_세부시트'!"&amp;V$1&amp;$AD50, TRUE)</f>
        <v>2.1959500127484263E-3</v>
      </c>
      <c r="W50" s="2499" cm="1">
        <f t="array" aca="1" ref="W50" ca="1">INDIRECT("'※ 재무_세부시트'!"&amp;W$1&amp;$AD50, TRUE)</f>
        <v>-0.84759758000000085</v>
      </c>
      <c r="X50" s="2500" cm="1">
        <f t="array" aca="1" ref="X50" ca="1">INDIRECT("'※ 재무_세부시트'!"&amp;X$1&amp;$AD50, TRUE)</f>
        <v>1.3381999899999997</v>
      </c>
      <c r="Y50" s="2500" cm="1">
        <f t="array" aca="1" ref="Y50" ca="1">INDIRECT("'※ 재무_세부시트'!"&amp;Y$1&amp;$AD50, TRUE)</f>
        <v>0</v>
      </c>
      <c r="Z50" s="2501" cm="1">
        <f t="array" aca="1" ref="Z50" ca="1">INDIRECT("'※ 재무_세부시트'!"&amp;Z$1&amp;$AD50, TRUE)</f>
        <v>20.606443559999992</v>
      </c>
      <c r="AA50" s="2500" cm="1">
        <f t="array" aca="1" ref="AA50" ca="1">INDIRECT("'※ 재무_세부시트'!"&amp;AA$1&amp;$AD50, TRUE)</f>
        <v>-1463.3935564400001</v>
      </c>
      <c r="AB50" s="2502" cm="1">
        <f t="array" aca="1" ref="AB50" ca="1">INDIRECT("'※ 재무_세부시트'!"&amp;AB$1&amp;$AD50, TRUE)</f>
        <v>1.3885743638814011E-2</v>
      </c>
      <c r="AC50" s="2503" cm="1">
        <f t="array" aca="1" ref="AC50" ca="1">INDIRECT("'※ 재무_세부시트'!"&amp;AC$1&amp;$AD50, TRUE)</f>
        <v>16.632407469999993</v>
      </c>
      <c r="AD50" s="2441">
        <v>49</v>
      </c>
      <c r="AE50" s="2504">
        <v>0.85504537000000003</v>
      </c>
      <c r="AF50" s="2504">
        <v>0.50050196000000002</v>
      </c>
      <c r="AG50" s="2504">
        <v>0.47373964999999996</v>
      </c>
      <c r="AH50" s="2504">
        <v>0.43767560999999999</v>
      </c>
      <c r="AI50" s="2504">
        <v>0.78428756000000011</v>
      </c>
      <c r="AJ50" s="2504">
        <v>0.89229022000000002</v>
      </c>
      <c r="AK50" s="2504">
        <v>0.76341447000000007</v>
      </c>
      <c r="AL50" s="2504">
        <v>0.85985500999999998</v>
      </c>
      <c r="AM50" s="2504">
        <v>0.49062854</v>
      </c>
      <c r="AN50" s="2504">
        <v>1.1099155000000001</v>
      </c>
      <c r="AO50" s="2504">
        <v>0.77190011000000003</v>
      </c>
      <c r="AP50" s="2504">
        <v>0.36652700000000005</v>
      </c>
      <c r="AQ50" s="2505">
        <f t="shared" si="29"/>
        <v>8.3057810000000014</v>
      </c>
      <c r="AR50" s="2488"/>
      <c r="AS50" s="2504">
        <v>0</v>
      </c>
      <c r="AT50" s="2504">
        <v>0.32918128984213424</v>
      </c>
      <c r="AU50" s="2504">
        <v>0.32918128984213424</v>
      </c>
      <c r="AV50" s="2504">
        <v>0.32918128984213424</v>
      </c>
      <c r="AW50" s="2504">
        <v>0.32918128984213424</v>
      </c>
      <c r="AX50" s="2504">
        <v>0.32918128984213424</v>
      </c>
      <c r="AY50" s="2504">
        <v>0.32918128984213424</v>
      </c>
      <c r="AZ50" s="2504">
        <v>0.32918128984213424</v>
      </c>
      <c r="BA50" s="2504">
        <v>0.32918128984213424</v>
      </c>
      <c r="BB50" s="2504">
        <v>0.32918128984213424</v>
      </c>
      <c r="BC50" s="2504">
        <v>0.32918128984213424</v>
      </c>
      <c r="BD50" s="2504">
        <v>0.32918128984213424</v>
      </c>
      <c r="BE50" s="2505">
        <f t="shared" si="32"/>
        <v>3.6209941882634773</v>
      </c>
      <c r="BG50" s="2509" cm="1">
        <f t="array" aca="1" ref="BG50" ca="1">INDIRECT("'※ 재무_세부시트'!"&amp;BG$1&amp;$AD50, TRUE)</f>
        <v>0.85504537000000003</v>
      </c>
      <c r="BH50" s="2509" cm="1">
        <f t="array" aca="1" ref="BH50" ca="1">INDIRECT("'※ 재무_세부시트'!"&amp;BH$1&amp;$AD50, TRUE)</f>
        <v>8.3057810000000014</v>
      </c>
      <c r="BI50" s="2509" cm="1">
        <f t="array" aca="1" ref="BI50" ca="1">INDIRECT("'※ 재무_세부시트'!"&amp;BI$1&amp;$AD50, TRUE)</f>
        <v>0.76341447000000007</v>
      </c>
      <c r="BJ50" s="2509" cm="1">
        <f t="array" aca="1" ref="BJ50" ca="1">INDIRECT("'※ 재무_세부시트'!"&amp;BJ$1&amp;$AD50, TRUE)</f>
        <v>0.36299999999999999</v>
      </c>
      <c r="BK50" s="2509" cm="1">
        <f t="array" aca="1" ref="BK50" ca="1">INDIRECT("'※ 재무_세부시트'!"&amp;BK$1&amp;$AD50, TRUE)</f>
        <v>0.49062854</v>
      </c>
      <c r="BL50" s="2490"/>
      <c r="BM50" s="2490"/>
    </row>
    <row r="51" spans="1:65" ht="19.5" customHeight="1" x14ac:dyDescent="0.55000000000000004">
      <c r="A51" s="2654"/>
      <c r="B51" s="2645"/>
      <c r="C51" s="2655" t="s">
        <v>622</v>
      </c>
      <c r="D51" s="2655"/>
      <c r="E51" s="2655"/>
      <c r="F51" s="2656" cm="1">
        <f t="array" aca="1" ref="F51" ca="1">INDIRECT("'※ 재무_세부시트'!"&amp;F$1&amp;$AD51, TRUE)</f>
        <v>3.4663884999999999</v>
      </c>
      <c r="G51" s="2656" cm="1">
        <f t="array" aca="1" ref="G51" ca="1">INDIRECT("'※ 재무_세부시트'!"&amp;G$1&amp;$AD51, TRUE)</f>
        <v>50.457873970000001</v>
      </c>
      <c r="H51" s="2657" cm="1">
        <f t="array" aca="1" ref="H51" ca="1">INDIRECT("'※ 재무_세부시트'!"&amp;H$1&amp;$AD51, TRUE)</f>
        <v>4.66591544</v>
      </c>
      <c r="I51" s="2658" cm="1">
        <f t="array" aca="1" ref="I51" ca="1">INDIRECT("'※ 재무_세부시트'!"&amp;I$1&amp;$AD51, TRUE)</f>
        <v>8.2890091699999999</v>
      </c>
      <c r="J51" s="2658" cm="1">
        <f t="array" aca="1" ref="J51" ca="1">INDIRECT("'※ 재무_세부시트'!"&amp;J$1&amp;$AD51, TRUE)</f>
        <v>1.44309244</v>
      </c>
      <c r="K51" s="2658" cm="1">
        <f t="array" aca="1" ref="K51" ca="1">INDIRECT("'※ 재무_세부시트'!"&amp;K$1&amp;$AD51, TRUE)</f>
        <v>5.6274242399999999</v>
      </c>
      <c r="L51" s="2658" cm="1">
        <f t="array" aca="1" ref="L51" ca="1">INDIRECT("'※ 재무_세부시트'!"&amp;L$1&amp;$AD51, TRUE)</f>
        <v>1.8754223999999999</v>
      </c>
      <c r="M51" s="2658" cm="1">
        <f t="array" aca="1" ref="M51" ca="1">INDIRECT("'※ 재무_세부시트'!"&amp;M$1&amp;$AD51, TRUE)</f>
        <v>2.8103056400000002</v>
      </c>
      <c r="N51" s="2658" cm="1">
        <f t="array" aca="1" ref="N51" ca="1">INDIRECT("'※ 재무_세부시트'!"&amp;N$1&amp;$AD51, TRUE)</f>
        <v>4.7626143499999998</v>
      </c>
      <c r="O51" s="2658" cm="1">
        <f t="array" aca="1" ref="O51" ca="1">INDIRECT("'※ 재무_세부시트'!"&amp;O$1&amp;$AD51, TRUE)</f>
        <v>1.7675392199999997</v>
      </c>
      <c r="P51" s="2658" cm="1">
        <f t="array" aca="1" ref="P51" ca="1">INDIRECT("'※ 재무_세부시트'!"&amp;P$1&amp;$AD51, TRUE)</f>
        <v>4.7616375399999997</v>
      </c>
      <c r="Q51" s="2658" cm="1">
        <f t="array" aca="1" ref="Q51" ca="1">INDIRECT("'※ 재무_세부시트'!"&amp;Q$1&amp;$AD51, TRUE)</f>
        <v>5.3761293700000001</v>
      </c>
      <c r="R51" s="2658" cm="1">
        <f t="array" aca="1" ref="R51" ca="1">INDIRECT("'※ 재무_세부시트'!"&amp;R$1&amp;$AD51, TRUE)</f>
        <v>2.43938655</v>
      </c>
      <c r="S51" s="2658" cm="1">
        <f t="array" aca="1" ref="S51" ca="1">INDIRECT("'※ 재무_세부시트'!"&amp;S$1&amp;$AD51, TRUE)</f>
        <v>2.6073823799999998</v>
      </c>
      <c r="T51" s="2659" cm="1">
        <f t="array" aca="1" ref="T51" ca="1">INDIRECT("'※ 재무_세부시트'!"&amp;T$1&amp;$AD51, TRUE)</f>
        <v>472.0384950248756</v>
      </c>
      <c r="U51" s="2659" cm="1">
        <f t="array" aca="1" ref="U51" ca="1">INDIRECT("'※ 재무_세부시트'!"&amp;U$1&amp;$AD51, TRUE)</f>
        <v>-469.43111264487561</v>
      </c>
      <c r="V51" s="2660" cm="1">
        <f t="array" aca="1" ref="V51" ca="1">INDIRECT("'※ 재무_세부시트'!"&amp;V$1&amp;$AD51, TRUE)</f>
        <v>5.5236647169265192E-3</v>
      </c>
      <c r="W51" s="2661" cm="1">
        <f t="array" aca="1" ref="W51" ca="1">INDIRECT("'※ 재무_세부시트'!"&amp;W$1&amp;$AD51, TRUE)</f>
        <v>0.16799582999999974</v>
      </c>
      <c r="X51" s="2662" cm="1">
        <f t="array" aca="1" ref="X51" ca="1">INDIRECT("'※ 재무_세부시트'!"&amp;X$1&amp;$AD51, TRUE)</f>
        <v>-3.1701899200000003</v>
      </c>
      <c r="Y51" s="2662" cm="1">
        <f t="array" aca="1" ref="Y51" ca="1">INDIRECT("'※ 재무_세부시트'!"&amp;Y$1&amp;$AD51, TRUE)</f>
        <v>0</v>
      </c>
      <c r="Z51" s="2663" cm="1">
        <f t="array" aca="1" ref="Z51" ca="1">INDIRECT("'※ 재무_세부시트'!"&amp;Z$1&amp;$AD51, TRUE)</f>
        <v>46.425858740000002</v>
      </c>
      <c r="AA51" s="2662" cm="1">
        <f t="array" aca="1" ref="AA51" ca="1">INDIRECT("'※ 재무_세부시트'!"&amp;AA$1&amp;$AD51, TRUE)</f>
        <v>-891.65113130975124</v>
      </c>
      <c r="AB51" s="2664" cm="1">
        <f t="array" aca="1" ref="AB51" ca="1">INDIRECT("'※ 재무_세부시트'!"&amp;AB$1&amp;$AD51, TRUE)</f>
        <v>4.9490456788133984E-2</v>
      </c>
      <c r="AC51" s="2665" cm="1">
        <f t="array" aca="1" ref="AC51" ca="1">INDIRECT("'※ 재무_세부시트'!"&amp;AC$1&amp;$AD51, TRUE)</f>
        <v>-4.032015229999999</v>
      </c>
      <c r="AD51" s="2441">
        <v>50</v>
      </c>
      <c r="AE51" s="2505">
        <f t="shared" ref="AE51:AP51" si="35">AE52+AE53</f>
        <v>0.29537113999999998</v>
      </c>
      <c r="AF51" s="2505">
        <f t="shared" si="35"/>
        <v>9.5788270000000009E-2</v>
      </c>
      <c r="AG51" s="2505">
        <f t="shared" si="35"/>
        <v>4.9108499999999999E-2</v>
      </c>
      <c r="AH51" s="2505">
        <f t="shared" si="35"/>
        <v>0</v>
      </c>
      <c r="AI51" s="2505">
        <f t="shared" si="35"/>
        <v>1.418175E-2</v>
      </c>
      <c r="AJ51" s="2505">
        <f t="shared" si="35"/>
        <v>0.23383114999999999</v>
      </c>
      <c r="AK51" s="2505">
        <f t="shared" si="35"/>
        <v>2.9771000000000002E-2</v>
      </c>
      <c r="AL51" s="2505">
        <f t="shared" si="35"/>
        <v>0.25729055000000001</v>
      </c>
      <c r="AM51" s="2505">
        <f t="shared" si="35"/>
        <v>0.11015449999999999</v>
      </c>
      <c r="AN51" s="2505">
        <f t="shared" si="35"/>
        <v>6.8844500000000003E-2</v>
      </c>
      <c r="AO51" s="2505">
        <f t="shared" si="35"/>
        <v>3.4658500000000002E-2</v>
      </c>
      <c r="AP51" s="2505">
        <f t="shared" si="35"/>
        <v>2.2773886399999999</v>
      </c>
      <c r="AQ51" s="2505">
        <f t="shared" si="29"/>
        <v>3.4663884999999999</v>
      </c>
      <c r="AR51" s="2488"/>
      <c r="AS51" s="2505">
        <f t="shared" ref="AS51:BD51" si="36">AS52+AS53</f>
        <v>1.3178527339002164</v>
      </c>
      <c r="AT51" s="2505">
        <f t="shared" si="36"/>
        <v>1.6470340237423506</v>
      </c>
      <c r="AU51" s="2505">
        <f t="shared" si="36"/>
        <v>1.6470340237423506</v>
      </c>
      <c r="AV51" s="2505">
        <f t="shared" si="36"/>
        <v>1.6470340237423506</v>
      </c>
      <c r="AW51" s="2505">
        <f t="shared" si="36"/>
        <v>1.6470340237423506</v>
      </c>
      <c r="AX51" s="2505">
        <f t="shared" si="36"/>
        <v>1.6470340237423506</v>
      </c>
      <c r="AY51" s="2505">
        <f t="shared" si="36"/>
        <v>1.6470340237423506</v>
      </c>
      <c r="AZ51" s="2505">
        <f t="shared" si="36"/>
        <v>1.6470340237423506</v>
      </c>
      <c r="BA51" s="2505">
        <f t="shared" si="36"/>
        <v>1.6470340237423506</v>
      </c>
      <c r="BB51" s="2505">
        <f t="shared" si="36"/>
        <v>1.6470340237423506</v>
      </c>
      <c r="BC51" s="2505">
        <f t="shared" si="36"/>
        <v>1.6470340237423506</v>
      </c>
      <c r="BD51" s="2505">
        <f t="shared" si="36"/>
        <v>1.6470340237423506</v>
      </c>
      <c r="BE51" s="2505">
        <f t="shared" si="32"/>
        <v>19.435226995066071</v>
      </c>
      <c r="BG51" s="2543" cm="1">
        <f t="array" aca="1" ref="BG51" ca="1">INDIRECT("'※ 재무_세부시트'!"&amp;BG$1&amp;$AD51, TRUE)</f>
        <v>0.29537113999999998</v>
      </c>
      <c r="BH51" s="2543" cm="1">
        <f t="array" aca="1" ref="BH51" ca="1">INDIRECT("'※ 재무_세부시트'!"&amp;BH$1&amp;$AD51, TRUE)</f>
        <v>3.4663884999999999</v>
      </c>
      <c r="BI51" s="2543" cm="1">
        <f t="array" aca="1" ref="BI51" ca="1">INDIRECT("'※ 재무_세부시트'!"&amp;BI$1&amp;$AD51, TRUE)</f>
        <v>2.9771000000000002E-2</v>
      </c>
      <c r="BJ51" s="2543" cm="1">
        <f t="array" aca="1" ref="BJ51" ca="1">INDIRECT("'※ 재무_세부시트'!"&amp;BJ$1&amp;$AD51, TRUE)</f>
        <v>1.2499824099999999</v>
      </c>
      <c r="BK51" s="2543" cm="1">
        <f t="array" aca="1" ref="BK51" ca="1">INDIRECT("'※ 재무_세부시트'!"&amp;BK$1&amp;$AD51, TRUE)</f>
        <v>0.11015449999999999</v>
      </c>
      <c r="BL51" s="2490"/>
      <c r="BM51" s="2490"/>
    </row>
    <row r="52" spans="1:65" ht="19.5" customHeight="1" x14ac:dyDescent="0.55000000000000004">
      <c r="A52" s="2654"/>
      <c r="B52" s="2645"/>
      <c r="C52" s="2655"/>
      <c r="D52" s="2655" t="s">
        <v>6</v>
      </c>
      <c r="E52" s="2655"/>
      <c r="F52" s="2656" cm="1">
        <f t="array" aca="1" ref="F52" ca="1">INDIRECT("'※ 재무_세부시트'!"&amp;F$1&amp;$AD52, TRUE)</f>
        <v>0</v>
      </c>
      <c r="G52" s="2656" cm="1">
        <f t="array" aca="1" ref="G52" ca="1">INDIRECT("'※ 재무_세부시트'!"&amp;G$1&amp;$AD52, TRUE)</f>
        <v>41.92275944</v>
      </c>
      <c r="H52" s="2657" cm="1">
        <f t="array" aca="1" ref="H52" ca="1">INDIRECT("'※ 재무_세부시트'!"&amp;H$1&amp;$AD52, TRUE)</f>
        <v>4.0313889400000003</v>
      </c>
      <c r="I52" s="2658" cm="1">
        <f t="array" aca="1" ref="I52" ca="1">INDIRECT("'※ 재무_세부시트'!"&amp;I$1&amp;$AD52, TRUE)</f>
        <v>7.79633368</v>
      </c>
      <c r="J52" s="2658" cm="1">
        <f t="array" aca="1" ref="J52" ca="1">INDIRECT("'※ 재무_세부시트'!"&amp;J$1&amp;$AD52, TRUE)</f>
        <v>0.87665234999999997</v>
      </c>
      <c r="K52" s="2658" cm="1">
        <f t="array" aca="1" ref="K52" ca="1">INDIRECT("'※ 재무_세부시트'!"&amp;K$1&amp;$AD52, TRUE)</f>
        <v>2.3474600900000002</v>
      </c>
      <c r="L52" s="2658" cm="1">
        <f t="array" aca="1" ref="L52" ca="1">INDIRECT("'※ 재무_세부시트'!"&amp;L$1&amp;$AD52, TRUE)</f>
        <v>1.3750335499999999</v>
      </c>
      <c r="M52" s="2658" cm="1">
        <f t="array" aca="1" ref="M52" ca="1">INDIRECT("'※ 재무_세부시트'!"&amp;M$1&amp;$AD52, TRUE)</f>
        <v>2.3617353200000002</v>
      </c>
      <c r="N52" s="2658" cm="1">
        <f t="array" aca="1" ref="N52" ca="1">INDIRECT("'※ 재무_세부시트'!"&amp;N$1&amp;$AD52, TRUE)</f>
        <v>2.56027936</v>
      </c>
      <c r="O52" s="2658" cm="1">
        <f t="array" aca="1" ref="O52" ca="1">INDIRECT("'※ 재무_세부시트'!"&amp;O$1&amp;$AD52, TRUE)</f>
        <v>0.85627911999999995</v>
      </c>
      <c r="P52" s="2658" cm="1">
        <f t="array" aca="1" ref="P52" ca="1">INDIRECT("'※ 재무_세부시트'!"&amp;P$1&amp;$AD52, TRUE)</f>
        <v>3.70956909</v>
      </c>
      <c r="Q52" s="2658" cm="1">
        <f t="array" aca="1" ref="Q52" ca="1">INDIRECT("'※ 재무_세부시트'!"&amp;Q$1&amp;$AD52, TRUE)</f>
        <v>3.9348022199999999</v>
      </c>
      <c r="R52" s="2658" cm="1">
        <f t="array" aca="1" ref="R52" ca="1">INDIRECT("'※ 재무_세부시트'!"&amp;R$1&amp;$AD52, TRUE)</f>
        <v>1.5669422799999999</v>
      </c>
      <c r="S52" s="2658" cm="1">
        <f t="array" aca="1" ref="S52" ca="1">INDIRECT("'※ 재무_세부시트'!"&amp;S$1&amp;$AD52, TRUE)</f>
        <v>1.72930268</v>
      </c>
      <c r="T52" s="2659" cm="1">
        <f t="array" aca="1" ref="T52" ca="1">INDIRECT("'※ 재무_세부시트'!"&amp;T$1&amp;$AD52, TRUE)</f>
        <v>472.0384950248756</v>
      </c>
      <c r="U52" s="2659" cm="1">
        <f t="array" aca="1" ref="U52" ca="1">INDIRECT("'※ 재무_세부시트'!"&amp;U$1&amp;$AD52, TRUE)</f>
        <v>-470.30919234487561</v>
      </c>
      <c r="V52" s="2660" t="str" cm="1">
        <f t="array" aca="1" ref="V52" ca="1">INDIRECT("'※ 재무_세부시트'!"&amp;V$1&amp;$AD52, TRUE)</f>
        <v>-</v>
      </c>
      <c r="W52" s="2661" cm="1">
        <f t="array" aca="1" ref="W52" ca="1">INDIRECT("'※ 재무_세부시트'!"&amp;W$1&amp;$AD52, TRUE)</f>
        <v>0.16236040000000007</v>
      </c>
      <c r="X52" s="2662" cm="1">
        <f t="array" aca="1" ref="X52" ca="1">INDIRECT("'※ 재무_세부시트'!"&amp;X$1&amp;$AD52, TRUE)</f>
        <v>-3.5580808299999998</v>
      </c>
      <c r="Y52" s="2662" cm="1">
        <f t="array" aca="1" ref="Y52" ca="1">INDIRECT("'※ 재무_세부시트'!"&amp;Y$1&amp;$AD52, TRUE)</f>
        <v>0</v>
      </c>
      <c r="Z52" s="2663" cm="1">
        <f t="array" aca="1" ref="Z52" ca="1">INDIRECT("'※ 재무_세부시트'!"&amp;Z$1&amp;$AD52, TRUE)</f>
        <v>33.145778679999992</v>
      </c>
      <c r="AA52" s="2662" cm="1">
        <f t="array" aca="1" ref="AA52" ca="1">INDIRECT("'※ 재무_세부시트'!"&amp;AA$1&amp;$AD52, TRUE)</f>
        <v>-904.93121136975117</v>
      </c>
      <c r="AB52" s="2664" t="str" cm="1">
        <f t="array" aca="1" ref="AB52" ca="1">INDIRECT("'※ 재무_세부시트'!"&amp;AB$1&amp;$AD52, TRUE)</f>
        <v>-</v>
      </c>
      <c r="AC52" s="2665" cm="1">
        <f t="array" aca="1" ref="AC52" ca="1">INDIRECT("'※ 재무_세부시트'!"&amp;AC$1&amp;$AD52, TRUE)</f>
        <v>-8.7769807600000078</v>
      </c>
      <c r="AD52" s="2441">
        <v>51</v>
      </c>
      <c r="AE52" s="2504">
        <v>0</v>
      </c>
      <c r="AF52" s="2504">
        <v>0</v>
      </c>
      <c r="AG52" s="2504">
        <v>0</v>
      </c>
      <c r="AH52" s="2504">
        <v>0</v>
      </c>
      <c r="AI52" s="2504">
        <v>0</v>
      </c>
      <c r="AJ52" s="2504">
        <v>0</v>
      </c>
      <c r="AK52" s="2504">
        <v>0</v>
      </c>
      <c r="AL52" s="2504">
        <v>0</v>
      </c>
      <c r="AM52" s="2504">
        <v>0</v>
      </c>
      <c r="AN52" s="2504">
        <v>0</v>
      </c>
      <c r="AO52" s="2504">
        <v>0</v>
      </c>
      <c r="AP52" s="2504">
        <v>0</v>
      </c>
      <c r="AQ52" s="2505">
        <f t="shared" si="29"/>
        <v>0</v>
      </c>
      <c r="AR52" s="2488"/>
      <c r="AS52" s="2504">
        <v>0</v>
      </c>
      <c r="AT52" s="2504">
        <v>0</v>
      </c>
      <c r="AU52" s="2504">
        <v>0</v>
      </c>
      <c r="AV52" s="2504">
        <v>0</v>
      </c>
      <c r="AW52" s="2504">
        <v>0</v>
      </c>
      <c r="AX52" s="2504">
        <v>0</v>
      </c>
      <c r="AY52" s="2504">
        <v>0</v>
      </c>
      <c r="AZ52" s="2504">
        <v>0</v>
      </c>
      <c r="BA52" s="2504">
        <v>0</v>
      </c>
      <c r="BB52" s="2504">
        <v>0</v>
      </c>
      <c r="BC52" s="2504">
        <v>0</v>
      </c>
      <c r="BD52" s="2504">
        <v>0</v>
      </c>
      <c r="BE52" s="2505">
        <f t="shared" si="32"/>
        <v>0</v>
      </c>
      <c r="BG52" s="2543" cm="1">
        <f t="array" aca="1" ref="BG52" ca="1">INDIRECT("'※ 재무_세부시트'!"&amp;BG$1&amp;$AD52, TRUE)</f>
        <v>0</v>
      </c>
      <c r="BH52" s="2543" cm="1">
        <f t="array" aca="1" ref="BH52" ca="1">INDIRECT("'※ 재무_세부시트'!"&amp;BH$1&amp;$AD52, TRUE)</f>
        <v>0</v>
      </c>
      <c r="BI52" s="2543" cm="1">
        <f t="array" aca="1" ref="BI52" ca="1">INDIRECT("'※ 재무_세부시트'!"&amp;BI$1&amp;$AD52, TRUE)</f>
        <v>0</v>
      </c>
      <c r="BJ52" s="2543" cm="1">
        <f t="array" aca="1" ref="BJ52" ca="1">INDIRECT("'※ 재무_세부시트'!"&amp;BJ$1&amp;$AD52, TRUE)</f>
        <v>0.81197385999999994</v>
      </c>
      <c r="BK52" s="2543" cm="1">
        <f t="array" aca="1" ref="BK52" ca="1">INDIRECT("'※ 재무_세부시트'!"&amp;BK$1&amp;$AD52, TRUE)</f>
        <v>0</v>
      </c>
      <c r="BL52" s="2490"/>
      <c r="BM52" s="2490"/>
    </row>
    <row r="53" spans="1:65" ht="19.5" customHeight="1" x14ac:dyDescent="0.55000000000000004">
      <c r="A53" s="2654"/>
      <c r="B53" s="2645"/>
      <c r="C53" s="2655"/>
      <c r="D53" s="2655" t="s">
        <v>7</v>
      </c>
      <c r="E53" s="2655"/>
      <c r="F53" s="2656" cm="1">
        <f t="array" aca="1" ref="F53" ca="1">INDIRECT("'※ 재무_세부시트'!"&amp;F$1&amp;$AD53, TRUE)</f>
        <v>3.4663884999999999</v>
      </c>
      <c r="G53" s="2656" cm="1">
        <f t="array" aca="1" ref="G53" ca="1">INDIRECT("'※ 재무_세부시트'!"&amp;G$1&amp;$AD53, TRUE)</f>
        <v>8.5351145299999978</v>
      </c>
      <c r="H53" s="2657" cm="1">
        <f t="array" aca="1" ref="H53" ca="1">INDIRECT("'※ 재무_세부시트'!"&amp;H$1&amp;$AD53, TRUE)</f>
        <v>0.63452649999999999</v>
      </c>
      <c r="I53" s="2658" cm="1">
        <f t="array" aca="1" ref="I53" ca="1">INDIRECT("'※ 재무_세부시트'!"&amp;I$1&amp;$AD53, TRUE)</f>
        <v>0.49267549000000005</v>
      </c>
      <c r="J53" s="2658" cm="1">
        <f t="array" aca="1" ref="J53" ca="1">INDIRECT("'※ 재무_세부시트'!"&amp;J$1&amp;$AD53, TRUE)</f>
        <v>0.56644008999999995</v>
      </c>
      <c r="K53" s="2658" cm="1">
        <f t="array" aca="1" ref="K53" ca="1">INDIRECT("'※ 재무_세부시트'!"&amp;K$1&amp;$AD53, TRUE)</f>
        <v>3.2799641500000001</v>
      </c>
      <c r="L53" s="2658" cm="1">
        <f t="array" aca="1" ref="L53" ca="1">INDIRECT("'※ 재무_세부시트'!"&amp;L$1&amp;$AD53, TRUE)</f>
        <v>0.50038885</v>
      </c>
      <c r="M53" s="2658" cm="1">
        <f t="array" aca="1" ref="M53" ca="1">INDIRECT("'※ 재무_세부시트'!"&amp;M$1&amp;$AD53, TRUE)</f>
        <v>0.44857031999999997</v>
      </c>
      <c r="N53" s="2658" cm="1">
        <f t="array" aca="1" ref="N53" ca="1">INDIRECT("'※ 재무_세부시트'!"&amp;N$1&amp;$AD53, TRUE)</f>
        <v>2.2023349899999998</v>
      </c>
      <c r="O53" s="2658" cm="1">
        <f t="array" aca="1" ref="O53" ca="1">INDIRECT("'※ 재무_세부시트'!"&amp;O$1&amp;$AD53, TRUE)</f>
        <v>0.91126009999999991</v>
      </c>
      <c r="P53" s="2658" cm="1">
        <f t="array" aca="1" ref="P53" ca="1">INDIRECT("'※ 재무_세부시트'!"&amp;P$1&amp;$AD53, TRUE)</f>
        <v>1.0520684499999999</v>
      </c>
      <c r="Q53" s="2658" cm="1">
        <f t="array" aca="1" ref="Q53" ca="1">INDIRECT("'※ 재무_세부시트'!"&amp;Q$1&amp;$AD53, TRUE)</f>
        <v>1.44132715</v>
      </c>
      <c r="R53" s="2658" cm="1">
        <f t="array" aca="1" ref="R53" ca="1">INDIRECT("'※ 재무_세부시트'!"&amp;R$1&amp;$AD53, TRUE)</f>
        <v>0.87244427000000002</v>
      </c>
      <c r="S53" s="2658" cm="1">
        <f t="array" aca="1" ref="S53" ca="1">INDIRECT("'※ 재무_세부시트'!"&amp;S$1&amp;$AD53, TRUE)</f>
        <v>0.87807970000000002</v>
      </c>
      <c r="T53" s="2659" cm="1">
        <f t="array" aca="1" ref="T53" ca="1">INDIRECT("'※ 재무_세부시트'!"&amp;T$1&amp;$AD53, TRUE)</f>
        <v>0</v>
      </c>
      <c r="U53" s="2659" cm="1">
        <f t="array" aca="1" ref="U53" ca="1">INDIRECT("'※ 재무_세부시트'!"&amp;U$1&amp;$AD53, TRUE)</f>
        <v>0.87807970000000002</v>
      </c>
      <c r="V53" s="2660" cm="1">
        <f t="array" aca="1" ref="V53" ca="1">INDIRECT("'※ 재무_세부시트'!"&amp;V$1&amp;$AD53, TRUE)</f>
        <v>0</v>
      </c>
      <c r="W53" s="2661" cm="1">
        <f t="array" aca="1" ref="W53" ca="1">INDIRECT("'※ 재무_세부시트'!"&amp;W$1&amp;$AD53, TRUE)</f>
        <v>5.6354299999999968E-3</v>
      </c>
      <c r="X53" s="2662" cm="1">
        <f t="array" aca="1" ref="X53" ca="1">INDIRECT("'※ 재무_세부시트'!"&amp;X$1&amp;$AD53, TRUE)</f>
        <v>0.38789090999999998</v>
      </c>
      <c r="Y53" s="2662" cm="1">
        <f t="array" aca="1" ref="Y53" ca="1">INDIRECT("'※ 재무_세부시트'!"&amp;Y$1&amp;$AD53, TRUE)</f>
        <v>0</v>
      </c>
      <c r="Z53" s="2663" cm="1">
        <f t="array" aca="1" ref="Z53" ca="1">INDIRECT("'※ 재무_세부시트'!"&amp;Z$1&amp;$AD53, TRUE)</f>
        <v>13.280080060000001</v>
      </c>
      <c r="AA53" s="2662" cm="1">
        <f t="array" aca="1" ref="AA53" ca="1">INDIRECT("'※ 재무_세부시트'!"&amp;AA$1&amp;$AD53, TRUE)</f>
        <v>13.280080060000001</v>
      </c>
      <c r="AB53" s="2664" cm="1">
        <f t="array" aca="1" ref="AB53" ca="1">INDIRECT("'※ 재무_세부시트'!"&amp;AB$1&amp;$AD53, TRUE)</f>
        <v>0</v>
      </c>
      <c r="AC53" s="2665" cm="1">
        <f t="array" aca="1" ref="AC53" ca="1">INDIRECT("'※ 재무_세부시트'!"&amp;AC$1&amp;$AD53, TRUE)</f>
        <v>4.7449655300000035</v>
      </c>
      <c r="AD53" s="2441">
        <v>52</v>
      </c>
      <c r="AE53" s="2504">
        <v>0.29537113999999998</v>
      </c>
      <c r="AF53" s="2504">
        <v>9.5788270000000009E-2</v>
      </c>
      <c r="AG53" s="2504">
        <v>4.9108499999999999E-2</v>
      </c>
      <c r="AH53" s="2504">
        <v>0</v>
      </c>
      <c r="AI53" s="2504">
        <v>1.418175E-2</v>
      </c>
      <c r="AJ53" s="2504">
        <v>0.23383114999999999</v>
      </c>
      <c r="AK53" s="2504">
        <v>2.9771000000000002E-2</v>
      </c>
      <c r="AL53" s="2504">
        <v>0.25729055000000001</v>
      </c>
      <c r="AM53" s="2504">
        <v>0.11015449999999999</v>
      </c>
      <c r="AN53" s="2504">
        <v>6.8844500000000003E-2</v>
      </c>
      <c r="AO53" s="2504">
        <v>3.4658500000000002E-2</v>
      </c>
      <c r="AP53" s="2504">
        <v>2.2773886399999999</v>
      </c>
      <c r="AQ53" s="2505">
        <f t="shared" si="29"/>
        <v>3.4663884999999999</v>
      </c>
      <c r="AR53" s="2488"/>
      <c r="AS53" s="2504">
        <v>1.3178527339002164</v>
      </c>
      <c r="AT53" s="2504">
        <v>1.6470340237423506</v>
      </c>
      <c r="AU53" s="2504">
        <v>1.6470340237423506</v>
      </c>
      <c r="AV53" s="2504">
        <v>1.6470340237423506</v>
      </c>
      <c r="AW53" s="2504">
        <v>1.6470340237423506</v>
      </c>
      <c r="AX53" s="2504">
        <v>1.6470340237423506</v>
      </c>
      <c r="AY53" s="2504">
        <v>1.6470340237423506</v>
      </c>
      <c r="AZ53" s="2504">
        <v>1.6470340237423506</v>
      </c>
      <c r="BA53" s="2504">
        <v>1.6470340237423506</v>
      </c>
      <c r="BB53" s="2504">
        <v>1.6470340237423506</v>
      </c>
      <c r="BC53" s="2504">
        <v>1.6470340237423506</v>
      </c>
      <c r="BD53" s="2504">
        <v>1.6470340237423506</v>
      </c>
      <c r="BE53" s="2505">
        <f t="shared" si="32"/>
        <v>19.435226995066071</v>
      </c>
      <c r="BG53" s="2543" cm="1">
        <f t="array" aca="1" ref="BG53" ca="1">INDIRECT("'※ 재무_세부시트'!"&amp;BG$1&amp;$AD53, TRUE)</f>
        <v>0.29537113999999998</v>
      </c>
      <c r="BH53" s="2543" cm="1">
        <f t="array" aca="1" ref="BH53" ca="1">INDIRECT("'※ 재무_세부시트'!"&amp;BH$1&amp;$AD53, TRUE)</f>
        <v>3.4663884999999999</v>
      </c>
      <c r="BI53" s="2543" cm="1">
        <f t="array" aca="1" ref="BI53" ca="1">INDIRECT("'※ 재무_세부시트'!"&amp;BI$1&amp;$AD53, TRUE)</f>
        <v>2.9771000000000002E-2</v>
      </c>
      <c r="BJ53" s="2543" cm="1">
        <f t="array" aca="1" ref="BJ53" ca="1">INDIRECT("'※ 재무_세부시트'!"&amp;BJ$1&amp;$AD53, TRUE)</f>
        <v>0.43800855</v>
      </c>
      <c r="BK53" s="2543" cm="1">
        <f t="array" aca="1" ref="BK53" ca="1">INDIRECT("'※ 재무_세부시트'!"&amp;BK$1&amp;$AD53, TRUE)</f>
        <v>0.11015449999999999</v>
      </c>
      <c r="BL53" s="2490"/>
      <c r="BM53" s="2490"/>
    </row>
    <row r="54" spans="1:65" ht="19.5" customHeight="1" thickBot="1" x14ac:dyDescent="0.6">
      <c r="A54" s="2666"/>
      <c r="B54" s="2667"/>
      <c r="C54" s="2668" t="s">
        <v>623</v>
      </c>
      <c r="D54" s="2668"/>
      <c r="E54" s="2668"/>
      <c r="F54" s="2669" cm="1">
        <f t="array" aca="1" ref="F54" ca="1">INDIRECT("'※ 재무_세부시트'!"&amp;F$1&amp;$AD54, TRUE)</f>
        <v>263.88705427000002</v>
      </c>
      <c r="G54" s="2669" cm="1">
        <f t="array" aca="1" ref="G54" ca="1">INDIRECT("'※ 재무_세부시트'!"&amp;G$1&amp;$AD54, TRUE)</f>
        <v>349.11434410999999</v>
      </c>
      <c r="H54" s="2670" cm="1">
        <f t="array" aca="1" ref="H54" ca="1">INDIRECT("'※ 재무_세부시트'!"&amp;H$1&amp;$AD54, TRUE)</f>
        <v>22.407149049999997</v>
      </c>
      <c r="I54" s="2671" cm="1">
        <f t="array" aca="1" ref="I54" ca="1">INDIRECT("'※ 재무_세부시트'!"&amp;I$1&amp;$AD54, TRUE)</f>
        <v>57.968017160000002</v>
      </c>
      <c r="J54" s="2671" cm="1">
        <f t="array" aca="1" ref="J54" ca="1">INDIRECT("'※ 재무_세부시트'!"&amp;J$1&amp;$AD54, TRUE)</f>
        <v>46.962952530000003</v>
      </c>
      <c r="K54" s="2671" cm="1">
        <f t="array" aca="1" ref="K54" ca="1">INDIRECT("'※ 재무_세부시트'!"&amp;K$1&amp;$AD54, TRUE)</f>
        <v>30.383485759999999</v>
      </c>
      <c r="L54" s="2671" cm="1">
        <f t="array" aca="1" ref="L54" ca="1">INDIRECT("'※ 재무_세부시트'!"&amp;L$1&amp;$AD54, TRUE)</f>
        <v>40.673026289999996</v>
      </c>
      <c r="M54" s="2671" cm="1">
        <f t="array" aca="1" ref="M54" ca="1">INDIRECT("'※ 재무_세부시트'!"&amp;M$1&amp;$AD54, TRUE)</f>
        <v>44.746005740000001</v>
      </c>
      <c r="N54" s="2671" cm="1">
        <f t="array" aca="1" ref="N54" ca="1">INDIRECT("'※ 재무_세부시트'!"&amp;N$1&amp;$AD54, TRUE)</f>
        <v>51.936016870000003</v>
      </c>
      <c r="O54" s="2671" cm="1">
        <f t="array" aca="1" ref="O54" ca="1">INDIRECT("'※ 재무_세부시트'!"&amp;O$1&amp;$AD54, TRUE)</f>
        <v>56.431616179999999</v>
      </c>
      <c r="P54" s="2671" cm="1">
        <f t="array" aca="1" ref="P54" ca="1">INDIRECT("'※ 재무_세부시트'!"&amp;P$1&amp;$AD54, TRUE)</f>
        <v>52.275386359999999</v>
      </c>
      <c r="Q54" s="2671" cm="1">
        <f t="array" aca="1" ref="Q54" ca="1">INDIRECT("'※ 재무_세부시트'!"&amp;Q$1&amp;$AD54, TRUE)</f>
        <v>40.739922040000003</v>
      </c>
      <c r="R54" s="2671" cm="1">
        <f t="array" aca="1" ref="R54" ca="1">INDIRECT("'※ 재무_세부시트'!"&amp;R$1&amp;$AD54, TRUE)</f>
        <v>51.889031959999997</v>
      </c>
      <c r="S54" s="2671" cm="1">
        <f t="array" aca="1" ref="S54" ca="1">INDIRECT("'※ 재무_세부시트'!"&amp;S$1&amp;$AD54, TRUE)</f>
        <v>13.74577158</v>
      </c>
      <c r="T54" s="2672" cm="1">
        <f t="array" aca="1" ref="T54" ca="1">INDIRECT("'※ 재무_세부시트'!"&amp;T$1&amp;$AD54, TRUE)</f>
        <v>4458.7515474240718</v>
      </c>
      <c r="U54" s="2672" cm="1">
        <f t="array" aca="1" ref="U54" ca="1">INDIRECT("'※ 재무_세부시트'!"&amp;U$1&amp;$AD54, TRUE)</f>
        <v>-4445.0057758440716</v>
      </c>
      <c r="V54" s="2673" cm="1">
        <f t="array" aca="1" ref="V54" ca="1">INDIRECT("'※ 재무_세부시트'!"&amp;V$1&amp;$AD54, TRUE)</f>
        <v>3.0828745297416861E-3</v>
      </c>
      <c r="W54" s="2674" cm="1">
        <f t="array" aca="1" ref="W54" ca="1">INDIRECT("'※ 재무_세부시트'!"&amp;W$1&amp;$AD54, TRUE)</f>
        <v>-38.143260380000001</v>
      </c>
      <c r="X54" s="2675" cm="1">
        <f t="array" aca="1" ref="X54" ca="1">INDIRECT("'※ 재무_세부시트'!"&amp;X$1&amp;$AD54, TRUE)</f>
        <v>-8.3065739600000015</v>
      </c>
      <c r="Y54" s="2675" cm="1">
        <f t="array" aca="1" ref="Y54" ca="1">INDIRECT("'※ 재무_세부시트'!"&amp;Y$1&amp;$AD54, TRUE)</f>
        <v>0</v>
      </c>
      <c r="Z54" s="2676" cm="1">
        <f t="array" aca="1" ref="Z54" ca="1">INDIRECT("'※ 재무_세부시트'!"&amp;Z$1&amp;$AD54, TRUE)</f>
        <v>510.15838152000003</v>
      </c>
      <c r="AA54" s="2675" cm="1">
        <f t="array" aca="1" ref="AA54" ca="1">INDIRECT("'※ 재무_세부시트'!"&amp;AA$1&amp;$AD54, TRUE)</f>
        <v>-5308.6306066942261</v>
      </c>
      <c r="AB54" s="2677" cm="1">
        <f t="array" aca="1" ref="AB54" ca="1">INDIRECT("'※ 재무_세부시트'!"&amp;AB$1&amp;$AD54, TRUE)</f>
        <v>8.7674322363864673E-2</v>
      </c>
      <c r="AC54" s="2678" cm="1">
        <f t="array" aca="1" ref="AC54" ca="1">INDIRECT("'※ 재무_세부시트'!"&amp;AC$1&amp;$AD54, TRUE)</f>
        <v>161.04403741000004</v>
      </c>
      <c r="AD54" s="2441">
        <v>53</v>
      </c>
      <c r="AE54" s="2679">
        <v>18.632989200000001</v>
      </c>
      <c r="AF54" s="2679">
        <v>20.239333270000003</v>
      </c>
      <c r="AG54" s="2679">
        <v>6.3188473799999993</v>
      </c>
      <c r="AH54" s="2679">
        <v>24.460072720000003</v>
      </c>
      <c r="AI54" s="2679">
        <v>44.855440049999999</v>
      </c>
      <c r="AJ54" s="2679">
        <v>8.4263455300000007</v>
      </c>
      <c r="AK54" s="2679">
        <v>6.3495019900000003</v>
      </c>
      <c r="AL54" s="2679">
        <v>22.825060000000004</v>
      </c>
      <c r="AM54" s="2679">
        <v>35.320189189999994</v>
      </c>
      <c r="AN54" s="2679">
        <v>29.872962299999994</v>
      </c>
      <c r="AO54" s="2679">
        <v>10.175335339999998</v>
      </c>
      <c r="AP54" s="2679">
        <v>36.410977300000006</v>
      </c>
      <c r="AQ54" s="2680">
        <f t="shared" si="29"/>
        <v>263.88705427000002</v>
      </c>
      <c r="AR54" s="2488"/>
      <c r="AS54" s="2679">
        <v>23.510962932792996</v>
      </c>
      <c r="AT54" s="2679">
        <v>17.642753475089147</v>
      </c>
      <c r="AU54" s="2679">
        <v>21.168373923848414</v>
      </c>
      <c r="AV54" s="2679">
        <v>17.642753475089147</v>
      </c>
      <c r="AW54" s="2679">
        <v>97.748932956290517</v>
      </c>
      <c r="AX54" s="2679">
        <v>24.753921296815779</v>
      </c>
      <c r="AY54" s="2679">
        <v>43.932349741871512</v>
      </c>
      <c r="AZ54" s="2679">
        <v>23.26149565676414</v>
      </c>
      <c r="BA54" s="2679">
        <v>17.642753475089147</v>
      </c>
      <c r="BB54" s="2679">
        <v>17.642753475089147</v>
      </c>
      <c r="BC54" s="2679">
        <v>18.639020814896547</v>
      </c>
      <c r="BD54" s="2679">
        <v>62.31474182011214</v>
      </c>
      <c r="BE54" s="2680">
        <f t="shared" si="32"/>
        <v>385.9008130437486</v>
      </c>
      <c r="BG54" s="2681" cm="1">
        <f t="array" aca="1" ref="BG54" ca="1">INDIRECT("'※ 재무_세부시트'!"&amp;BG$1&amp;$AD54, TRUE)</f>
        <v>18.632989200000001</v>
      </c>
      <c r="BH54" s="2681" cm="1">
        <f t="array" aca="1" ref="BH54" ca="1">INDIRECT("'※ 재무_세부시트'!"&amp;BH$1&amp;$AD54, TRUE)</f>
        <v>263.88705427000002</v>
      </c>
      <c r="BI54" s="2681" cm="1">
        <f t="array" aca="1" ref="BI54" ca="1">INDIRECT("'※ 재무_세부시트'!"&amp;BI$1&amp;$AD54, TRUE)</f>
        <v>6.3495019900000003</v>
      </c>
      <c r="BJ54" s="2681" cm="1">
        <f t="array" aca="1" ref="BJ54" ca="1">INDIRECT("'※ 재무_세부시트'!"&amp;BJ$1&amp;$AD54, TRUE)</f>
        <v>6.9965382199999997</v>
      </c>
      <c r="BK54" s="2681" cm="1">
        <f t="array" aca="1" ref="BK54" ca="1">INDIRECT("'※ 재무_세부시트'!"&amp;BK$1&amp;$AD54, TRUE)</f>
        <v>35.320189189999994</v>
      </c>
      <c r="BL54" s="2490"/>
      <c r="BM54" s="2490"/>
    </row>
    <row r="55" spans="1:65" ht="3.55" customHeight="1" thickTop="1" thickBot="1" x14ac:dyDescent="0.6">
      <c r="B55" s="2682"/>
      <c r="C55" s="2682"/>
      <c r="D55" s="2682"/>
      <c r="E55" s="2682"/>
      <c r="F55" s="2683"/>
      <c r="G55" s="2683"/>
      <c r="H55" s="2684"/>
      <c r="I55" s="2685"/>
      <c r="J55" s="2685"/>
      <c r="K55" s="2685"/>
      <c r="L55" s="2685"/>
      <c r="M55" s="2685"/>
      <c r="N55" s="2685"/>
      <c r="O55" s="2685"/>
      <c r="P55" s="2685"/>
      <c r="Q55" s="2685"/>
      <c r="R55" s="2685"/>
      <c r="S55" s="2685"/>
      <c r="T55" s="2686"/>
      <c r="U55" s="2686"/>
      <c r="V55" s="2687"/>
      <c r="W55" s="2688"/>
      <c r="X55" s="2689"/>
      <c r="Y55" s="2506"/>
      <c r="Z55" s="2690"/>
      <c r="AA55" s="2509"/>
      <c r="AB55" s="2691"/>
      <c r="AC55" s="2509"/>
      <c r="AE55" s="2505"/>
      <c r="AF55" s="2505"/>
      <c r="AG55" s="2505"/>
      <c r="AH55" s="2505"/>
      <c r="AI55" s="2505"/>
      <c r="AJ55" s="2505"/>
      <c r="AK55" s="2505"/>
      <c r="AL55" s="2505"/>
      <c r="AM55" s="2505"/>
      <c r="AN55" s="2505"/>
      <c r="AO55" s="2505"/>
      <c r="AP55" s="2505"/>
      <c r="AQ55" s="2505"/>
      <c r="AR55" s="2488"/>
      <c r="AS55" s="2505"/>
      <c r="AT55" s="2505"/>
      <c r="AU55" s="2505"/>
      <c r="AV55" s="2505"/>
      <c r="AW55" s="2505"/>
      <c r="AX55" s="2505"/>
      <c r="AY55" s="2505"/>
      <c r="AZ55" s="2505"/>
      <c r="BA55" s="2505"/>
      <c r="BB55" s="2505"/>
      <c r="BC55" s="2505"/>
      <c r="BD55" s="2505"/>
      <c r="BE55" s="2505"/>
      <c r="BG55" s="2506" t="e" cm="1">
        <f t="array" aca="1" ref="BG55" ca="1">INDIRECT("'※ 재무_세부시트'!"&amp;BG$1&amp;$AD55, TRUE)</f>
        <v>#REF!</v>
      </c>
      <c r="BH55" s="2506" t="e" cm="1">
        <f t="array" aca="1" ref="BH55" ca="1">INDIRECT("'※ 재무_세부시트'!"&amp;BH$1&amp;$AD55, TRUE)</f>
        <v>#REF!</v>
      </c>
      <c r="BI55" s="2506" t="e" cm="1">
        <f t="array" aca="1" ref="BI55" ca="1">INDIRECT("'※ 재무_세부시트'!"&amp;BI$1&amp;$AD55, TRUE)</f>
        <v>#REF!</v>
      </c>
      <c r="BJ55" s="2506" t="e" cm="1">
        <f t="array" aca="1" ref="BJ55" ca="1">INDIRECT("'※ 재무_세부시트'!"&amp;BJ$1&amp;$AD55, TRUE)</f>
        <v>#REF!</v>
      </c>
      <c r="BK55" s="2506" t="e" cm="1">
        <f t="array" aca="1" ref="BK55" ca="1">INDIRECT("'※ 재무_세부시트'!"&amp;BK$1&amp;$AD55, TRUE)</f>
        <v>#REF!</v>
      </c>
      <c r="BL55" s="2490"/>
      <c r="BM55" s="2490"/>
    </row>
    <row r="56" spans="1:65" ht="33" customHeight="1" thickTop="1" x14ac:dyDescent="0.55000000000000004">
      <c r="A56" s="2692" t="s">
        <v>741</v>
      </c>
      <c r="B56" s="2693"/>
      <c r="C56" s="2694"/>
      <c r="D56" s="2694"/>
      <c r="E56" s="2694"/>
      <c r="F56" s="2695" cm="1">
        <f t="array" aca="1" ref="F56" ca="1">INDIRECT("'※ 재무_세부시트'!"&amp;F$1&amp;$AD56, TRUE)</f>
        <v>2166.8313173000001</v>
      </c>
      <c r="G56" s="2695" cm="1">
        <f t="array" aca="1" ref="G56" ca="1">INDIRECT("'※ 재무_세부시트'!"&amp;G$1&amp;$AD56, TRUE)</f>
        <v>2102.6964989600001</v>
      </c>
      <c r="H56" s="2696" cm="1">
        <f t="array" aca="1" ref="H56" ca="1">INDIRECT("'※ 재무_세부시트'!"&amp;H$1&amp;$AD56, TRUE)</f>
        <v>175.85235663999998</v>
      </c>
      <c r="I56" s="2697" cm="1">
        <f t="array" aca="1" ref="I56" ca="1">INDIRECT("'※ 재무_세부시트'!"&amp;I$1&amp;$AD56, TRUE)</f>
        <v>166.07553453000003</v>
      </c>
      <c r="J56" s="2697" cm="1">
        <f t="array" aca="1" ref="J56" ca="1">INDIRECT("'※ 재무_세부시트'!"&amp;J$1&amp;$AD56, TRUE)</f>
        <v>163.88899436</v>
      </c>
      <c r="K56" s="2697" cm="1">
        <f t="array" aca="1" ref="K56" ca="1">INDIRECT("'※ 재무_세부시트'!"&amp;K$1&amp;$AD56, TRUE)</f>
        <v>168.19889910000003</v>
      </c>
      <c r="L56" s="2697" cm="1">
        <f t="array" aca="1" ref="L56" ca="1">INDIRECT("'※ 재무_세부시트'!"&amp;L$1&amp;$AD56, TRUE)</f>
        <v>175.42495650999999</v>
      </c>
      <c r="M56" s="2697" cm="1">
        <f t="array" aca="1" ref="M56" ca="1">INDIRECT("'※ 재무_세부시트'!"&amp;M$1&amp;$AD56, TRUE)</f>
        <v>195.14809958000001</v>
      </c>
      <c r="N56" s="2697" cm="1">
        <f t="array" aca="1" ref="N56" ca="1">INDIRECT("'※ 재무_세부시트'!"&amp;N$1&amp;$AD56, TRUE)</f>
        <v>206.72965192000004</v>
      </c>
      <c r="O56" s="2697" cm="1">
        <f t="array" aca="1" ref="O56" ca="1">INDIRECT("'※ 재무_세부시트'!"&amp;O$1&amp;$AD56, TRUE)</f>
        <v>176.43204990000001</v>
      </c>
      <c r="P56" s="2697" cm="1">
        <f t="array" aca="1" ref="P56" ca="1">INDIRECT("'※ 재무_세부시트'!"&amp;P$1&amp;$AD56, TRUE)</f>
        <v>244.04308403000002</v>
      </c>
      <c r="Q56" s="2697" cm="1">
        <f t="array" aca="1" ref="Q56" ca="1">INDIRECT("'※ 재무_세부시트'!"&amp;Q$1&amp;$AD56, TRUE)</f>
        <v>194.00156555000001</v>
      </c>
      <c r="R56" s="2697" cm="1">
        <f t="array" aca="1" ref="R56" ca="1">INDIRECT("'※ 재무_세부시트'!"&amp;R$1&amp;$AD56, TRUE)</f>
        <v>218.00398693</v>
      </c>
      <c r="S56" s="2697" cm="1">
        <f t="array" aca="1" ref="S56" ca="1">INDIRECT("'※ 재무_세부시트'!"&amp;S$1&amp;$AD56, TRUE)</f>
        <v>274.63898396000002</v>
      </c>
      <c r="T56" s="2698" cm="1">
        <f t="array" aca="1" ref="T56" ca="1">INDIRECT("'※ 재무_세부시트'!"&amp;T$1&amp;$AD56, TRUE)</f>
        <v>0</v>
      </c>
      <c r="U56" s="2698" cm="1">
        <f t="array" aca="1" ref="U56" ca="1">INDIRECT("'※ 재무_세부시트'!"&amp;U$1&amp;$AD56, TRUE)</f>
        <v>274.63898396000002</v>
      </c>
      <c r="V56" s="2699" cm="1">
        <f t="array" aca="1" ref="V56" ca="1">INDIRECT("'※ 재무_세부시트'!"&amp;V$1&amp;$AD56, TRUE)</f>
        <v>0</v>
      </c>
      <c r="W56" s="2700" cm="1">
        <f t="array" aca="1" ref="W56" ca="1">INDIRECT("'※ 재무_세부시트'!"&amp;W$1&amp;$AD56, TRUE)</f>
        <v>56.634997030000022</v>
      </c>
      <c r="X56" s="2701" cm="1">
        <f t="array" aca="1" ref="X56" ca="1">INDIRECT("'※ 재무_세부시트'!"&amp;X$1&amp;$AD56, TRUE)</f>
        <v>74.748448500000023</v>
      </c>
      <c r="Y56" s="2701" cm="1">
        <f t="array" aca="1" ref="Y56" ca="1">INDIRECT("'※ 재무_세부시트'!"&amp;Y$1&amp;$AD56, TRUE)</f>
        <v>0</v>
      </c>
      <c r="Z56" s="2702" cm="1">
        <f t="array" aca="1" ref="Z56" ca="1">INDIRECT("'※ 재무_세부시트'!"&amp;Z$1&amp;$AD56, TRUE)</f>
        <v>2358.4381630100002</v>
      </c>
      <c r="AA56" s="2701" cm="1">
        <f t="array" aca="1" ref="AA56" ca="1">INDIRECT("'※ 재무_세부시트'!"&amp;AA$1&amp;$AD56, TRUE)</f>
        <v>2358.4381630100002</v>
      </c>
      <c r="AB56" s="2703" cm="1">
        <f t="array" aca="1" ref="AB56" ca="1">INDIRECT("'※ 재무_세부시트'!"&amp;AB$1&amp;$AD56, TRUE)</f>
        <v>0</v>
      </c>
      <c r="AC56" s="2704" cm="1">
        <f t="array" aca="1" ref="AC56" ca="1">INDIRECT("'※ 재무_세부시트'!"&amp;AC$1&amp;$AD56, TRUE)</f>
        <v>255.74166405000005</v>
      </c>
      <c r="AD56" s="2441">
        <v>55</v>
      </c>
      <c r="AE56" s="2505">
        <f>AE57+AE63+AE67+AE70+AE71</f>
        <v>139.14345133999998</v>
      </c>
      <c r="AF56" s="2505">
        <f t="shared" ref="AF56:AP56" si="37">AF57+AF63+AF67+AF70+AF71</f>
        <v>160.65396770999999</v>
      </c>
      <c r="AG56" s="2505">
        <f t="shared" si="37"/>
        <v>161.30594378000001</v>
      </c>
      <c r="AH56" s="2505">
        <f t="shared" si="37"/>
        <v>161.14568654999999</v>
      </c>
      <c r="AI56" s="2505">
        <f t="shared" si="37"/>
        <v>156.22467650000002</v>
      </c>
      <c r="AJ56" s="2505">
        <f t="shared" si="37"/>
        <v>192.36782733999996</v>
      </c>
      <c r="AK56" s="2505">
        <f t="shared" si="37"/>
        <v>173.88290607000002</v>
      </c>
      <c r="AL56" s="2505">
        <f t="shared" si="37"/>
        <v>174.10716943999998</v>
      </c>
      <c r="AM56" s="2505">
        <f t="shared" si="37"/>
        <v>202.84506839999997</v>
      </c>
      <c r="AN56" s="2505">
        <f t="shared" si="37"/>
        <v>224.68714940999996</v>
      </c>
      <c r="AO56" s="2505">
        <f t="shared" si="37"/>
        <v>201.79039946</v>
      </c>
      <c r="AP56" s="2505">
        <f t="shared" si="37"/>
        <v>218.67707130000002</v>
      </c>
      <c r="AQ56" s="2507">
        <f>SUM(AE56:AP56)</f>
        <v>2166.8313173000001</v>
      </c>
      <c r="AR56" s="2488"/>
      <c r="AS56" s="2505">
        <f t="shared" ref="AS56:BD56" si="38">AS57+AS63+AS67+AS70+AS71</f>
        <v>182.56136010982732</v>
      </c>
      <c r="AT56" s="2505">
        <f t="shared" si="38"/>
        <v>189.89820407305152</v>
      </c>
      <c r="AU56" s="2505">
        <f t="shared" si="38"/>
        <v>181.6262031284121</v>
      </c>
      <c r="AV56" s="2505">
        <f t="shared" si="38"/>
        <v>191.98584978077068</v>
      </c>
      <c r="AW56" s="2505">
        <f t="shared" si="38"/>
        <v>181.27928599901833</v>
      </c>
      <c r="AX56" s="2505">
        <f t="shared" si="38"/>
        <v>201.13721036783161</v>
      </c>
      <c r="AY56" s="2505">
        <f t="shared" si="38"/>
        <v>191.55241385242152</v>
      </c>
      <c r="AZ56" s="2505">
        <f t="shared" si="38"/>
        <v>189.22836473017105</v>
      </c>
      <c r="BA56" s="2505">
        <f t="shared" si="38"/>
        <v>199.14633289154054</v>
      </c>
      <c r="BB56" s="2505">
        <f t="shared" si="38"/>
        <v>247.34218938918278</v>
      </c>
      <c r="BC56" s="2505">
        <f t="shared" si="38"/>
        <v>227.86650821326367</v>
      </c>
      <c r="BD56" s="2505">
        <f t="shared" si="38"/>
        <v>219.74251656522921</v>
      </c>
      <c r="BE56" s="2507">
        <f>SUM(AS56:BD56)</f>
        <v>2403.3664391007205</v>
      </c>
      <c r="BG56" s="2606" cm="1">
        <f t="array" aca="1" ref="BG56" ca="1">INDIRECT("'※ 재무_세부시트'!"&amp;BG$1&amp;$AD56, TRUE)</f>
        <v>139.14345133999998</v>
      </c>
      <c r="BH56" s="2606" cm="1">
        <f t="array" aca="1" ref="BH56" ca="1">INDIRECT("'※ 재무_세부시트'!"&amp;BH$1&amp;$AD56, TRUE)</f>
        <v>2166.8313173000001</v>
      </c>
      <c r="BI56" s="2606" cm="1">
        <f t="array" aca="1" ref="BI56" ca="1">INDIRECT("'※ 재무_세부시트'!"&amp;BI$1&amp;$AD56, TRUE)</f>
        <v>173.88290607000002</v>
      </c>
      <c r="BJ56" s="2606" cm="1">
        <f t="array" aca="1" ref="BJ56" ca="1">INDIRECT("'※ 재무_세부시트'!"&amp;BJ$1&amp;$AD56, TRUE)</f>
        <v>156.91262104999998</v>
      </c>
      <c r="BK56" s="2606" cm="1">
        <f t="array" aca="1" ref="BK56" ca="1">INDIRECT("'※ 재무_세부시트'!"&amp;BK$1&amp;$AD56, TRUE)</f>
        <v>202.84506839999997</v>
      </c>
      <c r="BL56" s="2490"/>
      <c r="BM56" s="2490"/>
    </row>
    <row r="57" spans="1:65" ht="30.55" customHeight="1" x14ac:dyDescent="0.55000000000000004">
      <c r="A57" s="2705"/>
      <c r="B57" s="2706"/>
      <c r="C57" s="2706" t="s">
        <v>13</v>
      </c>
      <c r="D57" s="2645"/>
      <c r="E57" s="2645"/>
      <c r="F57" s="2547" cm="1">
        <f t="array" aca="1" ref="F57" ca="1">INDIRECT("'※ 재무_세부시트'!"&amp;F$1&amp;$AD57, TRUE)</f>
        <v>1210.4067734800001</v>
      </c>
      <c r="G57" s="2547" cm="1">
        <f t="array" aca="1" ref="G57" ca="1">INDIRECT("'※ 재무_세부시트'!"&amp;G$1&amp;$AD57, TRUE)</f>
        <v>1270.9808190599999</v>
      </c>
      <c r="H57" s="2548" cm="1">
        <f t="array" aca="1" ref="H57" ca="1">INDIRECT("'※ 재무_세부시트'!"&amp;H$1&amp;$AD57, TRUE)</f>
        <v>103.71189967999999</v>
      </c>
      <c r="I57" s="2549" cm="1">
        <f t="array" aca="1" ref="I57" ca="1">INDIRECT("'※ 재무_세부시트'!"&amp;I$1&amp;$AD57, TRUE)</f>
        <v>101.80097018000001</v>
      </c>
      <c r="J57" s="2549" cm="1">
        <f t="array" aca="1" ref="J57" ca="1">INDIRECT("'※ 재무_세부시트'!"&amp;J$1&amp;$AD57, TRUE)</f>
        <v>114.7627521</v>
      </c>
      <c r="K57" s="2549" cm="1">
        <f t="array" aca="1" ref="K57" ca="1">INDIRECT("'※ 재무_세부시트'!"&amp;K$1&amp;$AD57, TRUE)</f>
        <v>109.92785092</v>
      </c>
      <c r="L57" s="2549" cm="1">
        <f t="array" aca="1" ref="L57" ca="1">INDIRECT("'※ 재무_세부시트'!"&amp;L$1&amp;$AD57, TRUE)</f>
        <v>108.15639520000001</v>
      </c>
      <c r="M57" s="2549" cm="1">
        <f t="array" aca="1" ref="M57" ca="1">INDIRECT("'※ 재무_세부시트'!"&amp;M$1&amp;$AD57, TRUE)</f>
        <v>122.74480253000002</v>
      </c>
      <c r="N57" s="2549" cm="1">
        <f t="array" aca="1" ref="N57" ca="1">INDIRECT("'※ 재무_세부시트'!"&amp;N$1&amp;$AD57, TRUE)</f>
        <v>112.10600040000001</v>
      </c>
      <c r="O57" s="2549" cm="1">
        <f t="array" aca="1" ref="O57" ca="1">INDIRECT("'※ 재무_세부시트'!"&amp;O$1&amp;$AD57, TRUE)</f>
        <v>115.64040539000001</v>
      </c>
      <c r="P57" s="2549" cm="1">
        <f t="array" aca="1" ref="P57" ca="1">INDIRECT("'※ 재무_세부시트'!"&amp;P$1&amp;$AD57, TRUE)</f>
        <v>143.65985110000003</v>
      </c>
      <c r="Q57" s="2549" cm="1">
        <f t="array" aca="1" ref="Q57" ca="1">INDIRECT("'※ 재무_세부시트'!"&amp;Q$1&amp;$AD57, TRUE)</f>
        <v>125.28809217000003</v>
      </c>
      <c r="R57" s="2549" cm="1">
        <f t="array" aca="1" ref="R57" ca="1">INDIRECT("'※ 재무_세부시트'!"&amp;R$1&amp;$AD57, TRUE)</f>
        <v>106.47823278</v>
      </c>
      <c r="S57" s="2549" cm="1">
        <f t="array" aca="1" ref="S57" ca="1">INDIRECT("'※ 재무_세부시트'!"&amp;S$1&amp;$AD57, TRUE)</f>
        <v>143.56679887000001</v>
      </c>
      <c r="T57" s="2550" cm="1">
        <f t="array" aca="1" ref="T57" ca="1">INDIRECT("'※ 재무_세부시트'!"&amp;T$1&amp;$AD57, TRUE)</f>
        <v>0</v>
      </c>
      <c r="U57" s="2550" cm="1">
        <f t="array" aca="1" ref="U57" ca="1">INDIRECT("'※ 재무_세부시트'!"&amp;U$1&amp;$AD57, TRUE)</f>
        <v>143.56679887000001</v>
      </c>
      <c r="V57" s="2551" cm="1">
        <f t="array" aca="1" ref="V57" ca="1">INDIRECT("'※ 재무_세부시트'!"&amp;V$1&amp;$AD57, TRUE)</f>
        <v>0</v>
      </c>
      <c r="W57" s="2559" cm="1">
        <f t="array" aca="1" ref="W57" ca="1">INDIRECT("'※ 재무_세부시트'!"&amp;W$1&amp;$AD57, TRUE)</f>
        <v>37.088566090000015</v>
      </c>
      <c r="X57" s="2555" cm="1">
        <f t="array" aca="1" ref="X57" ca="1">INDIRECT("'※ 재무_세부시트'!"&amp;X$1&amp;$AD57, TRUE)</f>
        <v>16.496499540000016</v>
      </c>
      <c r="Y57" s="2555" cm="1">
        <f t="array" aca="1" ref="Y57" ca="1">INDIRECT("'※ 재무_세부시트'!"&amp;Y$1&amp;$AD57, TRUE)</f>
        <v>0</v>
      </c>
      <c r="Z57" s="2554" cm="1">
        <f t="array" aca="1" ref="Z57" ca="1">INDIRECT("'※ 재무_세부시트'!"&amp;Z$1&amp;$AD57, TRUE)</f>
        <v>1407.8440513200001</v>
      </c>
      <c r="AA57" s="2555" cm="1">
        <f t="array" aca="1" ref="AA57" ca="1">INDIRECT("'※ 재무_세부시트'!"&amp;AA$1&amp;$AD57, TRUE)</f>
        <v>1407.8440513200001</v>
      </c>
      <c r="AB57" s="2707" cm="1">
        <f t="array" aca="1" ref="AB57" ca="1">INDIRECT("'※ 재무_세부시트'!"&amp;AB$1&amp;$AD57, TRUE)</f>
        <v>0</v>
      </c>
      <c r="AC57" s="2708" cm="1">
        <f t="array" aca="1" ref="AC57" ca="1">INDIRECT("'※ 재무_세부시트'!"&amp;AC$1&amp;$AD57, TRUE)</f>
        <v>136.86323226000013</v>
      </c>
      <c r="AD57" s="2441">
        <v>56</v>
      </c>
      <c r="AE57" s="2504">
        <v>95.091647929999993</v>
      </c>
      <c r="AF57" s="2504">
        <v>94.743658670000002</v>
      </c>
      <c r="AG57" s="2504">
        <v>99.149542420000003</v>
      </c>
      <c r="AH57" s="2504">
        <v>103.62954842000001</v>
      </c>
      <c r="AI57" s="2504">
        <v>97.837381730000004</v>
      </c>
      <c r="AJ57" s="2504">
        <v>95.417562529999998</v>
      </c>
      <c r="AK57" s="2504">
        <v>98.554298110000005</v>
      </c>
      <c r="AL57" s="2504">
        <v>94.656709390000003</v>
      </c>
      <c r="AM57" s="2504">
        <v>103.30857765999997</v>
      </c>
      <c r="AN57" s="2504">
        <v>94.797285789999989</v>
      </c>
      <c r="AO57" s="2504">
        <v>133.65885574000001</v>
      </c>
      <c r="AP57" s="2504">
        <v>99.561705090000018</v>
      </c>
      <c r="AQ57" s="2505">
        <f>SUM(AE57:AP57)</f>
        <v>1210.4067734800001</v>
      </c>
      <c r="AR57" s="2488"/>
      <c r="AS57" s="2504">
        <v>99.661665502692045</v>
      </c>
      <c r="AT57" s="2504">
        <v>106.43701723118829</v>
      </c>
      <c r="AU57" s="2504">
        <v>107.71781676192542</v>
      </c>
      <c r="AV57" s="2504">
        <v>110.74617025107597</v>
      </c>
      <c r="AW57" s="2504">
        <v>103.7308950847393</v>
      </c>
      <c r="AX57" s="2504">
        <v>104.8500300229272</v>
      </c>
      <c r="AY57" s="2504">
        <v>109.03791933146327</v>
      </c>
      <c r="AZ57" s="2504">
        <v>106.6956751067313</v>
      </c>
      <c r="BA57" s="2504">
        <v>106.75770016513459</v>
      </c>
      <c r="BB57" s="2504">
        <v>107.34222419802308</v>
      </c>
      <c r="BC57" s="2504">
        <v>145.62585538162872</v>
      </c>
      <c r="BD57" s="2504">
        <v>104.79991135192215</v>
      </c>
      <c r="BE57" s="2505">
        <f>SUM(AS57:BD57)</f>
        <v>1313.4028803894514</v>
      </c>
      <c r="BG57" s="2509" cm="1">
        <f t="array" aca="1" ref="BG57" ca="1">INDIRECT("'※ 재무_세부시트'!"&amp;BG$1&amp;$AD57, TRUE)</f>
        <v>95.091647929999993</v>
      </c>
      <c r="BH57" s="2509" cm="1">
        <f t="array" aca="1" ref="BH57" ca="1">INDIRECT("'※ 재무_세부시트'!"&amp;BH$1&amp;$AD57, TRUE)</f>
        <v>1210.4067734800001</v>
      </c>
      <c r="BI57" s="2509" cm="1">
        <f t="array" aca="1" ref="BI57" ca="1">INDIRECT("'※ 재무_세부시트'!"&amp;BI$1&amp;$AD57, TRUE)</f>
        <v>98.554298110000005</v>
      </c>
      <c r="BJ57" s="2509" cm="1">
        <f t="array" aca="1" ref="BJ57" ca="1">INDIRECT("'※ 재무_세부시트'!"&amp;BJ$1&amp;$AD57, TRUE)</f>
        <v>107.07639431</v>
      </c>
      <c r="BK57" s="2509" cm="1">
        <f t="array" aca="1" ref="BK57" ca="1">INDIRECT("'※ 재무_세부시트'!"&amp;BK$1&amp;$AD57, TRUE)</f>
        <v>103.30857765999997</v>
      </c>
      <c r="BL57" s="2490"/>
      <c r="BM57" s="2490"/>
    </row>
    <row r="58" spans="1:65" ht="20.05" customHeight="1" x14ac:dyDescent="0.55000000000000004">
      <c r="A58" s="2705"/>
      <c r="B58" s="2645"/>
      <c r="C58" s="2709"/>
      <c r="D58" s="2709" t="s">
        <v>749</v>
      </c>
      <c r="E58" s="2709"/>
      <c r="F58" s="2644" cm="1">
        <f t="array" aca="1" ref="F58" ca="1">INDIRECT("'※ 재무_세부시트'!"&amp;F$1&amp;$AD58, TRUE)</f>
        <v>846.89523918999987</v>
      </c>
      <c r="G58" s="2644" cm="1">
        <f t="array" aca="1" ref="G58" ca="1">INDIRECT("'※ 재무_세부시트'!"&amp;G$1&amp;$AD58, TRUE)</f>
        <v>879.35067669999989</v>
      </c>
      <c r="H58" s="2710" cm="1">
        <f t="array" aca="1" ref="H58" ca="1">INDIRECT("'※ 재무_세부시트'!"&amp;H$1&amp;$AD58, TRUE)</f>
        <v>73.920033839999988</v>
      </c>
      <c r="I58" s="2711" cm="1">
        <f t="array" aca="1" ref="I58" ca="1">INDIRECT("'※ 재무_세부시트'!"&amp;I$1&amp;$AD58, TRUE)</f>
        <v>75.645476740000007</v>
      </c>
      <c r="J58" s="2711" cm="1">
        <f t="array" aca="1" ref="J58" ca="1">INDIRECT("'※ 재무_세부시트'!"&amp;J$1&amp;$AD58, TRUE)</f>
        <v>79.300362370000002</v>
      </c>
      <c r="K58" s="2711" cm="1">
        <f t="array" aca="1" ref="K58" ca="1">INDIRECT("'※ 재무_세부시트'!"&amp;K$1&amp;$AD58, TRUE)</f>
        <v>76.339119740000001</v>
      </c>
      <c r="L58" s="2711" cm="1">
        <f t="array" aca="1" ref="L58" ca="1">INDIRECT("'※ 재무_세부시트'!"&amp;L$1&amp;$AD58, TRUE)</f>
        <v>75.272432440000003</v>
      </c>
      <c r="M58" s="2711" cm="1">
        <f t="array" aca="1" ref="M58" ca="1">INDIRECT("'※ 재무_세부시트'!"&amp;M$1&amp;$AD58, TRUE)</f>
        <v>74.957407240000009</v>
      </c>
      <c r="N58" s="2711" cm="1">
        <f t="array" aca="1" ref="N58" ca="1">INDIRECT("'※ 재무_세부시트'!"&amp;N$1&amp;$AD58, TRUE)</f>
        <v>74.639421940000005</v>
      </c>
      <c r="O58" s="2711" cm="1">
        <f t="array" aca="1" ref="O58" ca="1">INDIRECT("'※ 재무_세부시트'!"&amp;O$1&amp;$AD58, TRUE)</f>
        <v>74.248527940000002</v>
      </c>
      <c r="P58" s="2711" cm="1">
        <f t="array" aca="1" ref="P58" ca="1">INDIRECT("'※ 재무_세부시트'!"&amp;P$1&amp;$AD58, TRUE)</f>
        <v>103.21339904</v>
      </c>
      <c r="Q58" s="2711" cm="1">
        <f t="array" aca="1" ref="Q58" ca="1">INDIRECT("'※ 재무_세부시트'!"&amp;Q$1&amp;$AD58, TRUE)</f>
        <v>91.738943140000018</v>
      </c>
      <c r="R58" s="2711" cm="1">
        <f t="array" aca="1" ref="R58" ca="1">INDIRECT("'※ 재무_세부시트'!"&amp;R$1&amp;$AD58, TRUE)</f>
        <v>75.114585140000003</v>
      </c>
      <c r="S58" s="2711" cm="1">
        <f t="array" aca="1" ref="S58" ca="1">INDIRECT("'※ 재무_세부시트'!"&amp;S$1&amp;$AD58, TRUE)</f>
        <v>84.059313860000003</v>
      </c>
      <c r="T58" s="2550" cm="1">
        <f t="array" aca="1" ref="T58" ca="1">INDIRECT("'※ 재무_세부시트'!"&amp;T$1&amp;$AD58, TRUE)</f>
        <v>0</v>
      </c>
      <c r="U58" s="2550" cm="1">
        <f t="array" aca="1" ref="U58" ca="1">INDIRECT("'※ 재무_세부시트'!"&amp;U$1&amp;$AD58, TRUE)</f>
        <v>84.059313860000003</v>
      </c>
      <c r="V58" s="2551" cm="1">
        <f t="array" aca="1" ref="V58" ca="1">INDIRECT("'※ 재무_세부시트'!"&amp;V$1&amp;$AD58, TRUE)</f>
        <v>0</v>
      </c>
      <c r="W58" s="2559" cm="1">
        <f t="array" aca="1" ref="W58" ca="1">INDIRECT("'※ 재무_세부시트'!"&amp;W$1&amp;$AD58, TRUE)</f>
        <v>8.9447287200000005</v>
      </c>
      <c r="X58" s="2555" cm="1">
        <f t="array" aca="1" ref="X58" ca="1">INDIRECT("'※ 재무_세부시트'!"&amp;X$1&amp;$AD58, TRUE)</f>
        <v>6.3850480200000135</v>
      </c>
      <c r="Y58" s="2555" cm="1">
        <f t="array" aca="1" ref="Y58" ca="1">INDIRECT("'※ 재무_세부시트'!"&amp;Y$1&amp;$AD58, TRUE)</f>
        <v>0</v>
      </c>
      <c r="Z58" s="2554" cm="1">
        <f t="array" aca="1" ref="Z58" ca="1">INDIRECT("'※ 재무_세부시트'!"&amp;Z$1&amp;$AD58, TRUE)</f>
        <v>958.44902343000012</v>
      </c>
      <c r="AA58" s="2555" cm="1">
        <f t="array" aca="1" ref="AA58" ca="1">INDIRECT("'※ 재무_세부시트'!"&amp;AA$1&amp;$AD58, TRUE)</f>
        <v>958.44902343000012</v>
      </c>
      <c r="AB58" s="2707" cm="1">
        <f t="array" aca="1" ref="AB58" ca="1">INDIRECT("'※ 재무_세부시트'!"&amp;AB$1&amp;$AD58, TRUE)</f>
        <v>0</v>
      </c>
      <c r="AC58" s="2708" cm="1">
        <f t="array" aca="1" ref="AC58" ca="1">INDIRECT("'※ 재무_세부시트'!"&amp;AC$1&amp;$AD58, TRUE)</f>
        <v>79.09834673000023</v>
      </c>
      <c r="AD58" s="2441">
        <v>57</v>
      </c>
      <c r="AE58" s="2504">
        <v>66.803488520000002</v>
      </c>
      <c r="AF58" s="2504">
        <v>67.303398230000013</v>
      </c>
      <c r="AG58" s="2504">
        <v>64.436620429999991</v>
      </c>
      <c r="AH58" s="2504">
        <v>69.036023909999997</v>
      </c>
      <c r="AI58" s="2504">
        <v>67.265941499999997</v>
      </c>
      <c r="AJ58" s="2504">
        <v>66.963160599999995</v>
      </c>
      <c r="AK58" s="2504">
        <v>69.217029939999989</v>
      </c>
      <c r="AL58" s="2504">
        <v>66.971230299999988</v>
      </c>
      <c r="AM58" s="2504">
        <v>66.352938899999984</v>
      </c>
      <c r="AN58" s="2504">
        <v>66.343586999999985</v>
      </c>
      <c r="AO58" s="2504">
        <v>102.4968551</v>
      </c>
      <c r="AP58" s="2504">
        <v>73.704964760000024</v>
      </c>
      <c r="AQ58" s="2505">
        <f t="shared" ref="AQ58:AQ78" si="39">SUM(AE58:AP58)</f>
        <v>846.89523918999987</v>
      </c>
      <c r="AR58" s="2488"/>
      <c r="AS58" s="2504">
        <v>70.037032769114674</v>
      </c>
      <c r="AT58" s="2504">
        <v>71.286376410440894</v>
      </c>
      <c r="AU58" s="2504">
        <v>68.823393811269057</v>
      </c>
      <c r="AV58" s="2504">
        <v>74.130806101976489</v>
      </c>
      <c r="AW58" s="2504">
        <v>72.467077922837134</v>
      </c>
      <c r="AX58" s="2504">
        <v>73.150592387076372</v>
      </c>
      <c r="AY58" s="2504">
        <v>76.038856489579331</v>
      </c>
      <c r="AZ58" s="2504">
        <v>74.013992813578625</v>
      </c>
      <c r="BA58" s="2504">
        <v>73.734699624667613</v>
      </c>
      <c r="BB58" s="2504">
        <v>74.333212410034676</v>
      </c>
      <c r="BC58" s="2504">
        <v>111.95248156228132</v>
      </c>
      <c r="BD58" s="2504">
        <v>84.012387640403958</v>
      </c>
      <c r="BE58" s="2505">
        <f t="shared" ref="BE58:BE78" si="40">SUM(AS58:BD58)</f>
        <v>923.98090994326014</v>
      </c>
      <c r="BG58" s="2509" cm="1">
        <f t="array" aca="1" ref="BG58" ca="1">INDIRECT("'※ 재무_세부시트'!"&amp;BG$1&amp;$AD58, TRUE)</f>
        <v>66.803488520000002</v>
      </c>
      <c r="BH58" s="2509" cm="1">
        <f t="array" aca="1" ref="BH58" ca="1">INDIRECT("'※ 재무_세부시트'!"&amp;BH$1&amp;$AD58, TRUE)</f>
        <v>846.89523918999987</v>
      </c>
      <c r="BI58" s="2509" cm="1">
        <f t="array" aca="1" ref="BI58" ca="1">INDIRECT("'※ 재무_세부시트'!"&amp;BI$1&amp;$AD58, TRUE)</f>
        <v>69.217029939999989</v>
      </c>
      <c r="BJ58" s="2509" cm="1">
        <f t="array" aca="1" ref="BJ58" ca="1">INDIRECT("'※ 재무_세부시트'!"&amp;BJ$1&amp;$AD58, TRUE)</f>
        <v>75.960434679999992</v>
      </c>
      <c r="BK58" s="2509" cm="1">
        <f t="array" aca="1" ref="BK58" ca="1">INDIRECT("'※ 재무_세부시트'!"&amp;BK$1&amp;$AD58, TRUE)</f>
        <v>66.352938899999984</v>
      </c>
      <c r="BL58" s="2490"/>
      <c r="BM58" s="2490"/>
    </row>
    <row r="59" spans="1:65" ht="20.05" customHeight="1" x14ac:dyDescent="0.55000000000000004">
      <c r="A59" s="2705"/>
      <c r="B59" s="2645"/>
      <c r="C59" s="2709"/>
      <c r="D59" s="2709" t="s">
        <v>755</v>
      </c>
      <c r="E59" s="2709"/>
      <c r="F59" s="2644" cm="1">
        <f t="array" aca="1" ref="F59" ca="1">INDIRECT("'※ 재무_세부시트'!"&amp;F$1&amp;$AD59, TRUE)</f>
        <v>8.0635910600000003</v>
      </c>
      <c r="G59" s="2644" cm="1">
        <f t="array" aca="1" ref="G59" ca="1">INDIRECT("'※ 재무_세부시트'!"&amp;G$1&amp;$AD59, TRUE)</f>
        <v>7.07798631</v>
      </c>
      <c r="H59" s="2710" cm="1">
        <f t="array" aca="1" ref="H59" ca="1">INDIRECT("'※ 재무_세부시트'!"&amp;H$1&amp;$AD59, TRUE)</f>
        <v>1.15603053</v>
      </c>
      <c r="I59" s="2711" cm="1">
        <f t="array" aca="1" ref="I59" ca="1">INDIRECT("'※ 재무_세부시트'!"&amp;I$1&amp;$AD59, TRUE)</f>
        <v>0.11543053</v>
      </c>
      <c r="J59" s="2711" cm="1">
        <f t="array" aca="1" ref="J59" ca="1">INDIRECT("'※ 재무_세부시트'!"&amp;J$1&amp;$AD59, TRUE)</f>
        <v>9.7430530000000001E-2</v>
      </c>
      <c r="K59" s="2711" cm="1">
        <f t="array" aca="1" ref="K59" ca="1">INDIRECT("'※ 재무_세부시트'!"&amp;K$1&amp;$AD59, TRUE)</f>
        <v>0.30543052999999998</v>
      </c>
      <c r="L59" s="2711" cm="1">
        <f t="array" aca="1" ref="L59" ca="1">INDIRECT("'※ 재무_세부시트'!"&amp;L$1&amp;$AD59, TRUE)</f>
        <v>8.6430530000000005E-2</v>
      </c>
      <c r="M59" s="2711" cm="1">
        <f t="array" aca="1" ref="M59" ca="1">INDIRECT("'※ 재무_세부시트'!"&amp;M$1&amp;$AD59, TRUE)</f>
        <v>0.21243053000000001</v>
      </c>
      <c r="N59" s="2711" cm="1">
        <f t="array" aca="1" ref="N59" ca="1">INDIRECT("'※ 재무_세부시트'!"&amp;N$1&amp;$AD59, TRUE)</f>
        <v>0.10143053</v>
      </c>
      <c r="O59" s="2711" cm="1">
        <f t="array" aca="1" ref="O59" ca="1">INDIRECT("'※ 재무_세부시트'!"&amp;O$1&amp;$AD59, TRUE)</f>
        <v>8.5430530000000005E-2</v>
      </c>
      <c r="P59" s="2711" cm="1">
        <f t="array" aca="1" ref="P59" ca="1">INDIRECT("'※ 재무_세부시트'!"&amp;P$1&amp;$AD59, TRUE)</f>
        <v>0.42693052999999997</v>
      </c>
      <c r="Q59" s="2711" cm="1">
        <f t="array" aca="1" ref="Q59" ca="1">INDIRECT("'※ 재무_세부시트'!"&amp;Q$1&amp;$AD59, TRUE)</f>
        <v>0.17043053</v>
      </c>
      <c r="R59" s="2711" cm="1">
        <f t="array" aca="1" ref="R59" ca="1">INDIRECT("'※ 재무_세부시트'!"&amp;R$1&amp;$AD59, TRUE)</f>
        <v>0.27643053000000001</v>
      </c>
      <c r="S59" s="2711" cm="1">
        <f t="array" aca="1" ref="S59" ca="1">INDIRECT("'※ 재무_세부시트'!"&amp;S$1&amp;$AD59, TRUE)</f>
        <v>3.9605762800000002</v>
      </c>
      <c r="T59" s="2550" cm="1">
        <f t="array" aca="1" ref="T59" ca="1">INDIRECT("'※ 재무_세부시트'!"&amp;T$1&amp;$AD59, TRUE)</f>
        <v>0</v>
      </c>
      <c r="U59" s="2550" cm="1">
        <f t="array" aca="1" ref="U59" ca="1">INDIRECT("'※ 재무_세부시트'!"&amp;U$1&amp;$AD59, TRUE)</f>
        <v>3.9605762800000002</v>
      </c>
      <c r="V59" s="2551" cm="1">
        <f t="array" aca="1" ref="V59" ca="1">INDIRECT("'※ 재무_세부시트'!"&amp;V$1&amp;$AD59, TRUE)</f>
        <v>0</v>
      </c>
      <c r="W59" s="2559" cm="1">
        <f t="array" aca="1" ref="W59" ca="1">INDIRECT("'※ 재무_세부시트'!"&amp;W$1&amp;$AD59, TRUE)</f>
        <v>3.6841457500000003</v>
      </c>
      <c r="X59" s="2555" cm="1">
        <f t="array" aca="1" ref="X59" ca="1">INDIRECT("'※ 재무_세부시트'!"&amp;X$1&amp;$AD59, TRUE)</f>
        <v>2.5419488600000002</v>
      </c>
      <c r="Y59" s="2555" cm="1">
        <f t="array" aca="1" ref="Y59" ca="1">INDIRECT("'※ 재무_세부시트'!"&amp;Y$1&amp;$AD59, TRUE)</f>
        <v>0</v>
      </c>
      <c r="Z59" s="2554" cm="1">
        <f t="array" aca="1" ref="Z59" ca="1">INDIRECT("'※ 재무_세부시트'!"&amp;Z$1&amp;$AD59, TRUE)</f>
        <v>6.9944121099999998</v>
      </c>
      <c r="AA59" s="2555" cm="1">
        <f t="array" aca="1" ref="AA59" ca="1">INDIRECT("'※ 재무_세부시트'!"&amp;AA$1&amp;$AD59, TRUE)</f>
        <v>6.9944121099999998</v>
      </c>
      <c r="AB59" s="2707" cm="1">
        <f t="array" aca="1" ref="AB59" ca="1">INDIRECT("'※ 재무_세부시트'!"&amp;AB$1&amp;$AD59, TRUE)</f>
        <v>0</v>
      </c>
      <c r="AC59" s="2708" cm="1">
        <f t="array" aca="1" ref="AC59" ca="1">INDIRECT("'※ 재무_세부시트'!"&amp;AC$1&amp;$AD59, TRUE)</f>
        <v>-8.3574200000000154E-2</v>
      </c>
      <c r="AD59" s="2441">
        <v>58</v>
      </c>
      <c r="AE59" s="2504">
        <v>9.0370430000000002E-2</v>
      </c>
      <c r="AF59" s="2504">
        <v>1.3526564300000001</v>
      </c>
      <c r="AG59" s="2504">
        <v>0.11977043</v>
      </c>
      <c r="AH59" s="2504">
        <v>1.3193751900000001</v>
      </c>
      <c r="AI59" s="2504">
        <v>0.10357043</v>
      </c>
      <c r="AJ59" s="2504">
        <v>0.10597042999999999</v>
      </c>
      <c r="AK59" s="2504">
        <v>0.10477043</v>
      </c>
      <c r="AL59" s="2504">
        <v>0.82647042999999998</v>
      </c>
      <c r="AM59" s="2504">
        <v>0.10597042999999999</v>
      </c>
      <c r="AN59" s="2504">
        <v>1.5557009199999998</v>
      </c>
      <c r="AO59" s="2504">
        <v>0.18464723999999999</v>
      </c>
      <c r="AP59" s="2504">
        <v>2.1943182700000001</v>
      </c>
      <c r="AQ59" s="2505">
        <f t="shared" si="39"/>
        <v>8.0635910600000003</v>
      </c>
      <c r="AR59" s="2488"/>
      <c r="AS59" s="2504">
        <v>9.1274134300000004E-2</v>
      </c>
      <c r="AT59" s="2504">
        <v>1.3661829943000001</v>
      </c>
      <c r="AU59" s="2504">
        <v>0.12096813430000002</v>
      </c>
      <c r="AV59" s="2504">
        <v>1.3325689419</v>
      </c>
      <c r="AW59" s="2504">
        <v>0.1046061343</v>
      </c>
      <c r="AX59" s="2504">
        <v>0.10703013429999998</v>
      </c>
      <c r="AY59" s="2504">
        <v>0.10581813430000001</v>
      </c>
      <c r="AZ59" s="2504">
        <v>0.83473513430000001</v>
      </c>
      <c r="BA59" s="2504">
        <v>0.10703013429999998</v>
      </c>
      <c r="BB59" s="2504">
        <v>1.5712579291999997</v>
      </c>
      <c r="BC59" s="2504">
        <v>0.18649371240000001</v>
      </c>
      <c r="BD59" s="2504">
        <v>2.2162614527</v>
      </c>
      <c r="BE59" s="2505">
        <f t="shared" si="40"/>
        <v>8.1442269706000001</v>
      </c>
      <c r="BG59" s="2509" cm="1">
        <f t="array" aca="1" ref="BG59" ca="1">INDIRECT("'※ 재무_세부시트'!"&amp;BG$1&amp;$AD59, TRUE)</f>
        <v>9.0370430000000002E-2</v>
      </c>
      <c r="BH59" s="2509" cm="1">
        <f t="array" aca="1" ref="BH59" ca="1">INDIRECT("'※ 재무_세부시트'!"&amp;BH$1&amp;$AD59, TRUE)</f>
        <v>8.0635910600000003</v>
      </c>
      <c r="BI59" s="2509" cm="1">
        <f t="array" aca="1" ref="BI59" ca="1">INDIRECT("'※ 재무_세부시트'!"&amp;BI$1&amp;$AD59, TRUE)</f>
        <v>0.10477043</v>
      </c>
      <c r="BJ59" s="2509" cm="1">
        <f t="array" aca="1" ref="BJ59" ca="1">INDIRECT("'※ 재무_세부시트'!"&amp;BJ$1&amp;$AD59, TRUE)</f>
        <v>0.16240023000000001</v>
      </c>
      <c r="BK59" s="2509" cm="1">
        <f t="array" aca="1" ref="BK59" ca="1">INDIRECT("'※ 재무_세부시트'!"&amp;BK$1&amp;$AD59, TRUE)</f>
        <v>0.10597042999999999</v>
      </c>
      <c r="BL59" s="2490"/>
      <c r="BM59" s="2490"/>
    </row>
    <row r="60" spans="1:65" ht="20.05" customHeight="1" x14ac:dyDescent="0.55000000000000004">
      <c r="A60" s="2705"/>
      <c r="B60" s="2645"/>
      <c r="C60" s="2709"/>
      <c r="D60" s="2709" t="s">
        <v>758</v>
      </c>
      <c r="E60" s="2709"/>
      <c r="F60" s="2644" cm="1">
        <f t="array" aca="1" ref="F60" ca="1">INDIRECT("'※ 재무_세부시트'!"&amp;F$1&amp;$AD60, TRUE)</f>
        <v>72.199387459999997</v>
      </c>
      <c r="G60" s="2644" cm="1">
        <f t="array" aca="1" ref="G60" ca="1">INDIRECT("'※ 재무_세부시트'!"&amp;G$1&amp;$AD60, TRUE)</f>
        <v>83.647090190000014</v>
      </c>
      <c r="H60" s="2710" cm="1">
        <f t="array" aca="1" ref="H60" ca="1">INDIRECT("'※ 재무_세부시트'!"&amp;H$1&amp;$AD60, TRUE)</f>
        <v>7.43627707</v>
      </c>
      <c r="I60" s="2711" cm="1">
        <f t="array" aca="1" ref="I60" ca="1">INDIRECT("'※ 재무_세부시트'!"&amp;I$1&amp;$AD60, TRUE)</f>
        <v>7.43627707</v>
      </c>
      <c r="J60" s="2711" cm="1">
        <f t="array" aca="1" ref="J60" ca="1">INDIRECT("'※ 재무_세부시트'!"&amp;J$1&amp;$AD60, TRUE)</f>
        <v>7.43627707</v>
      </c>
      <c r="K60" s="2711" cm="1">
        <f t="array" aca="1" ref="K60" ca="1">INDIRECT("'※ 재무_세부시트'!"&amp;K$1&amp;$AD60, TRUE)</f>
        <v>7.43627707</v>
      </c>
      <c r="L60" s="2711" cm="1">
        <f t="array" aca="1" ref="L60" ca="1">INDIRECT("'※ 재무_세부시트'!"&amp;L$1&amp;$AD60, TRUE)</f>
        <v>7.43627707</v>
      </c>
      <c r="M60" s="2711" cm="1">
        <f t="array" aca="1" ref="M60" ca="1">INDIRECT("'※ 재무_세부시트'!"&amp;M$1&amp;$AD60, TRUE)</f>
        <v>7.43627707</v>
      </c>
      <c r="N60" s="2711" cm="1">
        <f t="array" aca="1" ref="N60" ca="1">INDIRECT("'※ 재무_세부시트'!"&amp;N$1&amp;$AD60, TRUE)</f>
        <v>7.43627707</v>
      </c>
      <c r="O60" s="2711" cm="1">
        <f t="array" aca="1" ref="O60" ca="1">INDIRECT("'※ 재무_세부시트'!"&amp;O$1&amp;$AD60, TRUE)</f>
        <v>7.43627707</v>
      </c>
      <c r="P60" s="2711" cm="1">
        <f t="array" aca="1" ref="P60" ca="1">INDIRECT("'※ 재무_세부시트'!"&amp;P$1&amp;$AD60, TRUE)</f>
        <v>7.43627707</v>
      </c>
      <c r="Q60" s="2711" cm="1">
        <f t="array" aca="1" ref="Q60" ca="1">INDIRECT("'※ 재무_세부시트'!"&amp;Q$1&amp;$AD60, TRUE)</f>
        <v>7.43627707</v>
      </c>
      <c r="R60" s="2711" cm="1">
        <f t="array" aca="1" ref="R60" ca="1">INDIRECT("'※ 재무_세부시트'!"&amp;R$1&amp;$AD60, TRUE)</f>
        <v>7.43627707</v>
      </c>
      <c r="S60" s="2711" cm="1">
        <f t="array" aca="1" ref="S60" ca="1">INDIRECT("'※ 재무_세부시트'!"&amp;S$1&amp;$AD60, TRUE)</f>
        <v>20.84093601</v>
      </c>
      <c r="T60" s="2550" cm="1">
        <f t="array" aca="1" ref="T60" ca="1">INDIRECT("'※ 재무_세부시트'!"&amp;T$1&amp;$AD60, TRUE)</f>
        <v>0</v>
      </c>
      <c r="U60" s="2550" cm="1">
        <f t="array" aca="1" ref="U60" ca="1">INDIRECT("'※ 재무_세부시트'!"&amp;U$1&amp;$AD60, TRUE)</f>
        <v>20.84093601</v>
      </c>
      <c r="V60" s="2551" cm="1">
        <f t="array" aca="1" ref="V60" ca="1">INDIRECT("'※ 재무_세부시트'!"&amp;V$1&amp;$AD60, TRUE)</f>
        <v>0</v>
      </c>
      <c r="W60" s="2559" cm="1">
        <f t="array" aca="1" ref="W60" ca="1">INDIRECT("'※ 재무_세부시트'!"&amp;W$1&amp;$AD60, TRUE)</f>
        <v>13.404658940000001</v>
      </c>
      <c r="X60" s="2555" cm="1">
        <f t="array" aca="1" ref="X60" ca="1">INDIRECT("'※ 재무_세부시트'!"&amp;X$1&amp;$AD60, TRUE)</f>
        <v>8.3173729099999996</v>
      </c>
      <c r="Y60" s="2555" cm="1">
        <f t="array" aca="1" ref="Y60" ca="1">INDIRECT("'※ 재무_세부시트'!"&amp;Y$1&amp;$AD60, TRUE)</f>
        <v>0</v>
      </c>
      <c r="Z60" s="2554" cm="1">
        <f t="array" aca="1" ref="Z60" ca="1">INDIRECT("'※ 재무_세부시트'!"&amp;Z$1&amp;$AD60, TRUE)</f>
        <v>102.63998378000002</v>
      </c>
      <c r="AA60" s="2555" cm="1">
        <f t="array" aca="1" ref="AA60" ca="1">INDIRECT("'※ 재무_세부시트'!"&amp;AA$1&amp;$AD60, TRUE)</f>
        <v>102.63998378000002</v>
      </c>
      <c r="AB60" s="2707" cm="1">
        <f t="array" aca="1" ref="AB60" ca="1">INDIRECT("'※ 재무_세부시트'!"&amp;AB$1&amp;$AD60, TRUE)</f>
        <v>0</v>
      </c>
      <c r="AC60" s="2708" cm="1">
        <f t="array" aca="1" ref="AC60" ca="1">INDIRECT("'※ 재무_세부시트'!"&amp;AC$1&amp;$AD60, TRUE)</f>
        <v>18.992893590000008</v>
      </c>
      <c r="AD60" s="2441">
        <v>59</v>
      </c>
      <c r="AE60" s="2504">
        <v>6.6826682400000008</v>
      </c>
      <c r="AF60" s="2504">
        <v>6.6826682400000008</v>
      </c>
      <c r="AG60" s="2504">
        <v>6.6826682400000008</v>
      </c>
      <c r="AH60" s="2504">
        <v>6.6826682400000008</v>
      </c>
      <c r="AI60" s="2504">
        <v>6.6826682400000008</v>
      </c>
      <c r="AJ60" s="2504">
        <v>6.6826682400000008</v>
      </c>
      <c r="AK60" s="2504">
        <v>6.6826682400000008</v>
      </c>
      <c r="AL60" s="2504">
        <v>6.6826682400000008</v>
      </c>
      <c r="AM60" s="2504">
        <v>6.6826682400000008</v>
      </c>
      <c r="AN60" s="2504">
        <v>6.6826682400000008</v>
      </c>
      <c r="AO60" s="2504">
        <v>6.6826682400000008</v>
      </c>
      <c r="AP60" s="2504">
        <v>-1.30996318</v>
      </c>
      <c r="AQ60" s="2505">
        <f t="shared" si="39"/>
        <v>72.199387459999997</v>
      </c>
      <c r="AR60" s="2488"/>
      <c r="AS60" s="2504">
        <v>6.8497349459999999</v>
      </c>
      <c r="AT60" s="2504">
        <v>6.8497349459999999</v>
      </c>
      <c r="AU60" s="2504">
        <v>6.8497349459999999</v>
      </c>
      <c r="AV60" s="2504">
        <v>6.8497349459999999</v>
      </c>
      <c r="AW60" s="2504">
        <v>6.8497349459999999</v>
      </c>
      <c r="AX60" s="2504">
        <v>6.8497349459999999</v>
      </c>
      <c r="AY60" s="2504">
        <v>6.8497349459999999</v>
      </c>
      <c r="AZ60" s="2504">
        <v>6.8497349459999999</v>
      </c>
      <c r="BA60" s="2504">
        <v>6.8497349459999999</v>
      </c>
      <c r="BB60" s="2504">
        <v>6.8497349459999999</v>
      </c>
      <c r="BC60" s="2504">
        <v>6.8497349459999999</v>
      </c>
      <c r="BD60" s="2504">
        <v>-1.10996318</v>
      </c>
      <c r="BE60" s="2505">
        <f t="shared" si="40"/>
        <v>74.237121225999999</v>
      </c>
      <c r="BG60" s="2509" cm="1">
        <f t="array" aca="1" ref="BG60" ca="1">INDIRECT("'※ 재무_세부시트'!"&amp;BG$1&amp;$AD60, TRUE)</f>
        <v>6.6826682400000008</v>
      </c>
      <c r="BH60" s="2509" cm="1">
        <f t="array" aca="1" ref="BH60" ca="1">INDIRECT("'※ 재무_세부시트'!"&amp;BH$1&amp;$AD60, TRUE)</f>
        <v>72.199387459999997</v>
      </c>
      <c r="BI60" s="2509" cm="1">
        <f t="array" aca="1" ref="BI60" ca="1">INDIRECT("'※ 재무_세부시트'!"&amp;BI$1&amp;$AD60, TRUE)</f>
        <v>6.6826682400000008</v>
      </c>
      <c r="BJ60" s="2509" cm="1">
        <f t="array" aca="1" ref="BJ60" ca="1">INDIRECT("'※ 재무_세부시트'!"&amp;BJ$1&amp;$AD60, TRUE)</f>
        <v>6.4657751899999996</v>
      </c>
      <c r="BK60" s="2509" cm="1">
        <f t="array" aca="1" ref="BK60" ca="1">INDIRECT("'※ 재무_세부시트'!"&amp;BK$1&amp;$AD60, TRUE)</f>
        <v>6.6826682400000008</v>
      </c>
      <c r="BL60" s="2490"/>
      <c r="BM60" s="2490"/>
    </row>
    <row r="61" spans="1:65" ht="20.05" customHeight="1" x14ac:dyDescent="0.55000000000000004">
      <c r="A61" s="2705"/>
      <c r="B61" s="2427"/>
      <c r="C61" s="2712"/>
      <c r="D61" s="2712" t="s">
        <v>728</v>
      </c>
      <c r="E61" s="2712"/>
      <c r="F61" s="2713" cm="1">
        <f t="array" aca="1" ref="F61" ca="1">INDIRECT("'※ 재무_세부시트'!"&amp;F$1&amp;$AD61, TRUE)</f>
        <v>283.24855576999994</v>
      </c>
      <c r="G61" s="2713" cm="1">
        <f t="array" aca="1" ref="G61" ca="1">INDIRECT("'※ 재무_세부시트'!"&amp;G$1&amp;$AD61, TRUE)</f>
        <v>301.03897223000001</v>
      </c>
      <c r="H61" s="2714" cm="1">
        <f t="array" aca="1" ref="H61" ca="1">INDIRECT("'※ 재무_세부시트'!"&amp;H$1&amp;$AD61, TRUE)</f>
        <v>21.199558240000002</v>
      </c>
      <c r="I61" s="2715" cm="1">
        <f t="array" aca="1" ref="I61" ca="1">INDIRECT("'※ 재무_세부시트'!"&amp;I$1&amp;$AD61, TRUE)</f>
        <v>18.60378584</v>
      </c>
      <c r="J61" s="2715" cm="1">
        <f t="array" aca="1" ref="J61" ca="1">INDIRECT("'※ 재무_세부시트'!"&amp;J$1&amp;$AD61, TRUE)</f>
        <v>27.928682129999999</v>
      </c>
      <c r="K61" s="2715" cm="1">
        <f t="array" aca="1" ref="K61" ca="1">INDIRECT("'※ 재무_세부시트'!"&amp;K$1&amp;$AD61, TRUE)</f>
        <v>25.847023579999998</v>
      </c>
      <c r="L61" s="2715" cm="1">
        <f t="array" aca="1" ref="L61" ca="1">INDIRECT("'※ 재무_세부시트'!"&amp;L$1&amp;$AD61, TRUE)</f>
        <v>25.361255159999999</v>
      </c>
      <c r="M61" s="2715" cm="1">
        <f t="array" aca="1" ref="M61" ca="1">INDIRECT("'※ 재무_세부시트'!"&amp;M$1&amp;$AD61, TRUE)</f>
        <v>40.138687689999998</v>
      </c>
      <c r="N61" s="2715" cm="1">
        <f t="array" aca="1" ref="N61" ca="1">INDIRECT("'※ 재무_세부시트'!"&amp;N$1&amp;$AD61, TRUE)</f>
        <v>29.92887086</v>
      </c>
      <c r="O61" s="2715" cm="1">
        <f t="array" aca="1" ref="O61" ca="1">INDIRECT("'※ 재무_세부시트'!"&amp;O$1&amp;$AD61, TRUE)</f>
        <v>33.870169850000003</v>
      </c>
      <c r="P61" s="2715" cm="1">
        <f t="array" aca="1" ref="P61" ca="1">INDIRECT("'※ 재무_세부시트'!"&amp;P$1&amp;$AD61, TRUE)</f>
        <v>32.583244460000003</v>
      </c>
      <c r="Q61" s="2715" cm="1">
        <f t="array" aca="1" ref="Q61" ca="1">INDIRECT("'※ 재무_세부시트'!"&amp;Q$1&amp;$AD61, TRUE)</f>
        <v>25.942441429999999</v>
      </c>
      <c r="R61" s="2715" cm="1">
        <f t="array" aca="1" ref="R61" ca="1">INDIRECT("'※ 재무_세부시트'!"&amp;R$1&amp;$AD61, TRUE)</f>
        <v>23.650940039999998</v>
      </c>
      <c r="S61" s="2715" cm="1">
        <f t="array" aca="1" ref="S61" ca="1">INDIRECT("'※ 재무_세부시트'!"&amp;S$1&amp;$AD61, TRUE)</f>
        <v>34.705972719999998</v>
      </c>
      <c r="T61" s="2716" cm="1">
        <f t="array" aca="1" ref="T61" ca="1">INDIRECT("'※ 재무_세부시트'!"&amp;T$1&amp;$AD61, TRUE)</f>
        <v>0</v>
      </c>
      <c r="U61" s="2716" cm="1">
        <f t="array" aca="1" ref="U61" ca="1">INDIRECT("'※ 재무_세부시트'!"&amp;U$1&amp;$AD61, TRUE)</f>
        <v>34.705972719999998</v>
      </c>
      <c r="V61" s="2717" cm="1">
        <f t="array" aca="1" ref="V61" ca="1">INDIRECT("'※ 재무_세부시트'!"&amp;V$1&amp;$AD61, TRUE)</f>
        <v>0</v>
      </c>
      <c r="W61" s="2718" cm="1">
        <f t="array" aca="1" ref="W61" ca="1">INDIRECT("'※ 재무_세부시트'!"&amp;W$1&amp;$AD61, TRUE)</f>
        <v>11.05503268</v>
      </c>
      <c r="X61" s="2719" cm="1">
        <f t="array" aca="1" ref="X61" ca="1">INDIRECT("'※ 재무_세부시트'!"&amp;X$1&amp;$AD61, TRUE)</f>
        <v>-0.74787024999999829</v>
      </c>
      <c r="Y61" s="2719" cm="1">
        <f t="array" aca="1" ref="Y61" ca="1">INDIRECT("'※ 재무_세부시트'!"&amp;Y$1&amp;$AD61, TRUE)</f>
        <v>0</v>
      </c>
      <c r="Z61" s="2720" cm="1">
        <f t="array" aca="1" ref="Z61" ca="1">INDIRECT("'※ 재무_세부시트'!"&amp;Z$1&amp;$AD61, TRUE)</f>
        <v>339.76063199999999</v>
      </c>
      <c r="AA61" s="2719" cm="1">
        <f t="array" aca="1" ref="AA61" ca="1">INDIRECT("'※ 재무_세부시트'!"&amp;AA$1&amp;$AD61, TRUE)</f>
        <v>339.76063199999999</v>
      </c>
      <c r="AB61" s="2721" cm="1">
        <f t="array" aca="1" ref="AB61" ca="1">INDIRECT("'※ 재무_세부시트'!"&amp;AB$1&amp;$AD61, TRUE)</f>
        <v>0</v>
      </c>
      <c r="AC61" s="2722" cm="1">
        <f t="array" aca="1" ref="AC61" ca="1">INDIRECT("'※ 재무_세부시트'!"&amp;AC$1&amp;$AD61, TRUE)</f>
        <v>38.721659769999974</v>
      </c>
      <c r="AD61" s="2441">
        <v>60</v>
      </c>
      <c r="AE61" s="2504">
        <v>21.51512074</v>
      </c>
      <c r="AF61" s="2504">
        <v>19.404935769999998</v>
      </c>
      <c r="AG61" s="2504">
        <v>27.910483319999997</v>
      </c>
      <c r="AH61" s="2504">
        <v>26.591481079999998</v>
      </c>
      <c r="AI61" s="2504">
        <v>23.785201560000001</v>
      </c>
      <c r="AJ61" s="2504">
        <v>21.665763259999999</v>
      </c>
      <c r="AK61" s="2504">
        <v>22.549829500000001</v>
      </c>
      <c r="AL61" s="2504">
        <v>20.176340419999999</v>
      </c>
      <c r="AM61" s="2504">
        <v>30.167000090000002</v>
      </c>
      <c r="AN61" s="2504">
        <v>20.215329629999999</v>
      </c>
      <c r="AO61" s="2504">
        <v>24.29468516</v>
      </c>
      <c r="AP61" s="2504">
        <v>24.972385239999998</v>
      </c>
      <c r="AQ61" s="2505">
        <f t="shared" si="39"/>
        <v>283.24855576999994</v>
      </c>
      <c r="AR61" s="2488"/>
      <c r="AS61" s="2504">
        <v>22.683623653277369</v>
      </c>
      <c r="AT61" s="2504">
        <v>26.934722880447399</v>
      </c>
      <c r="AU61" s="2504">
        <v>31.923719870356361</v>
      </c>
      <c r="AV61" s="2504">
        <v>28.43306026119949</v>
      </c>
      <c r="AW61" s="2504">
        <v>24.309476081602167</v>
      </c>
      <c r="AX61" s="2504">
        <v>24.742672555550826</v>
      </c>
      <c r="AY61" s="2504">
        <v>26.043509761583937</v>
      </c>
      <c r="AZ61" s="2504">
        <v>24.997212212852691</v>
      </c>
      <c r="BA61" s="2504">
        <v>26.066235460166972</v>
      </c>
      <c r="BB61" s="2504">
        <v>24.588018912788385</v>
      </c>
      <c r="BC61" s="2504">
        <v>26.637145160947384</v>
      </c>
      <c r="BD61" s="2504">
        <v>19.681225438818188</v>
      </c>
      <c r="BE61" s="2505">
        <f t="shared" si="40"/>
        <v>307.04062224959114</v>
      </c>
      <c r="BG61" s="2509" cm="1">
        <f t="array" aca="1" ref="BG61" ca="1">INDIRECT("'※ 재무_세부시트'!"&amp;BG$1&amp;$AD61, TRUE)</f>
        <v>21.51512074</v>
      </c>
      <c r="BH61" s="2509" cm="1">
        <f t="array" aca="1" ref="BH61" ca="1">INDIRECT("'※ 재무_세부시트'!"&amp;BH$1&amp;$AD61, TRUE)</f>
        <v>283.24855576999994</v>
      </c>
      <c r="BI61" s="2509" cm="1">
        <f t="array" aca="1" ref="BI61" ca="1">INDIRECT("'※ 재무_세부시트'!"&amp;BI$1&amp;$AD61, TRUE)</f>
        <v>22.549829500000001</v>
      </c>
      <c r="BJ61" s="2509" cm="1">
        <f t="array" aca="1" ref="BJ61" ca="1">INDIRECT("'※ 재무_세부시트'!"&amp;BJ$1&amp;$AD61, TRUE)</f>
        <v>24.487784210000001</v>
      </c>
      <c r="BK61" s="2509" cm="1">
        <f t="array" aca="1" ref="BK61" ca="1">INDIRECT("'※ 재무_세부시트'!"&amp;BK$1&amp;$AD61, TRUE)</f>
        <v>30.167000090000002</v>
      </c>
      <c r="BL61" s="2490"/>
      <c r="BM61" s="2490"/>
    </row>
    <row r="62" spans="1:65" ht="18.55" hidden="1" customHeight="1" outlineLevel="1" x14ac:dyDescent="0.55000000000000004">
      <c r="A62" s="2705"/>
      <c r="B62" s="2645"/>
      <c r="C62" s="2723"/>
      <c r="D62" s="2724" t="s">
        <v>890</v>
      </c>
      <c r="E62" s="2723"/>
      <c r="F62" s="2725" cm="1">
        <f t="array" aca="1" ref="F62" ca="1">INDIRECT("'※ 재무_세부시트'!"&amp;F$1&amp;$AD62, TRUE)</f>
        <v>144.79622616999998</v>
      </c>
      <c r="G62" s="2725" cm="1">
        <f t="array" aca="1" ref="G62" ca="1">INDIRECT("'※ 재무_세부시트'!"&amp;G$1&amp;$AD62, TRUE)</f>
        <v>150.29354772000002</v>
      </c>
      <c r="H62" s="2726" cm="1">
        <f t="array" aca="1" ref="H62" ca="1">INDIRECT("'※ 재무_세부시트'!"&amp;H$1&amp;$AD62, TRUE)</f>
        <v>9.649958250000001</v>
      </c>
      <c r="I62" s="2727" cm="1">
        <f t="array" aca="1" ref="I62" ca="1">INDIRECT("'※ 재무_세부시트'!"&amp;I$1&amp;$AD62, TRUE)</f>
        <v>6.3796055699999998</v>
      </c>
      <c r="J62" s="2727" cm="1">
        <f t="array" aca="1" ref="J62" ca="1">INDIRECT("'※ 재무_세부시트'!"&amp;J$1&amp;$AD62, TRUE)</f>
        <v>15.6411905</v>
      </c>
      <c r="K62" s="2727" cm="1">
        <f t="array" aca="1" ref="K62" ca="1">INDIRECT("'※ 재무_세부시트'!"&amp;K$1&amp;$AD62, TRUE)</f>
        <v>12.396531400000001</v>
      </c>
      <c r="L62" s="2727" cm="1">
        <f t="array" aca="1" ref="L62" ca="1">INDIRECT("'※ 재무_세부시트'!"&amp;L$1&amp;$AD62, TRUE)</f>
        <v>13.046445010000001</v>
      </c>
      <c r="M62" s="2727" cm="1">
        <f t="array" aca="1" ref="M62" ca="1">INDIRECT("'※ 재무_세부시트'!"&amp;M$1&amp;$AD62, TRUE)</f>
        <v>16.806991669999999</v>
      </c>
      <c r="N62" s="2727" cm="1">
        <f t="array" aca="1" ref="N62" ca="1">INDIRECT("'※ 재무_세부시트'!"&amp;N$1&amp;$AD62, TRUE)</f>
        <v>18.78525994</v>
      </c>
      <c r="O62" s="2727" cm="1">
        <f t="array" aca="1" ref="O62" ca="1">INDIRECT("'※ 재무_세부시트'!"&amp;O$1&amp;$AD62, TRUE)</f>
        <v>21.300872160000001</v>
      </c>
      <c r="P62" s="2727" cm="1">
        <f t="array" aca="1" ref="P62" ca="1">INDIRECT("'※ 재무_세부시트'!"&amp;P$1&amp;$AD62, TRUE)</f>
        <v>14.669675110000002</v>
      </c>
      <c r="Q62" s="2727" cm="1">
        <f t="array" aca="1" ref="Q62" ca="1">INDIRECT("'※ 재무_세부시트'!"&amp;Q$1&amp;$AD62, TRUE)</f>
        <v>15.115384939999998</v>
      </c>
      <c r="R62" s="2727" cm="1">
        <f t="array" aca="1" ref="R62" ca="1">INDIRECT("'※ 재무_세부시트'!"&amp;R$1&amp;$AD62, TRUE)</f>
        <v>12.452340399999999</v>
      </c>
      <c r="S62" s="2727" cm="1">
        <f t="array" aca="1" ref="S62" ca="1">INDIRECT("'※ 재무_세부시트'!"&amp;S$1&amp;$AD62, TRUE)</f>
        <v>9.8883229999999998</v>
      </c>
      <c r="T62" s="2728" cm="1">
        <f t="array" aca="1" ref="T62" ca="1">INDIRECT("'※ 재무_세부시트'!"&amp;T$1&amp;$AD62, TRUE)</f>
        <v>0</v>
      </c>
      <c r="U62" s="2728" cm="1">
        <f t="array" aca="1" ref="U62" ca="1">INDIRECT("'※ 재무_세부시트'!"&amp;U$1&amp;$AD62, TRUE)</f>
        <v>9.8883229999999998</v>
      </c>
      <c r="V62" s="2729" cm="1">
        <f t="array" aca="1" ref="V62" ca="1">INDIRECT("'※ 재무_세부시트'!"&amp;V$1&amp;$AD62, TRUE)</f>
        <v>0</v>
      </c>
      <c r="W62" s="2730" cm="1">
        <f t="array" aca="1" ref="W62" ca="1">INDIRECT("'※ 재무_세부시트'!"&amp;W$1&amp;$AD62, TRUE)</f>
        <v>-2.5640173999999991</v>
      </c>
      <c r="X62" s="2731" cm="1">
        <f t="array" aca="1" ref="X62" ca="1">INDIRECT("'※ 재무_세부시트'!"&amp;X$1&amp;$AD62, TRUE)</f>
        <v>-0.65747048999999969</v>
      </c>
      <c r="Y62" s="2731" cm="1">
        <f t="array" aca="1" ref="Y62" ca="1">INDIRECT("'※ 재무_세부시트'!"&amp;Y$1&amp;$AD62, TRUE)</f>
        <v>0</v>
      </c>
      <c r="Z62" s="2732" cm="1">
        <f t="array" aca="1" ref="Z62" ca="1">INDIRECT("'※ 재무_세부시트'!"&amp;Z$1&amp;$AD62, TRUE)</f>
        <v>166.13257794999998</v>
      </c>
      <c r="AA62" s="2731" cm="1">
        <f t="array" aca="1" ref="AA62" ca="1">INDIRECT("'※ 재무_세부시트'!"&amp;AA$1&amp;$AD62, TRUE)</f>
        <v>166.13257794999998</v>
      </c>
      <c r="AB62" s="2733" cm="1">
        <f t="array" aca="1" ref="AB62" ca="1">INDIRECT("'※ 재무_세부시트'!"&amp;AB$1&amp;$AD62, TRUE)</f>
        <v>0</v>
      </c>
      <c r="AC62" s="2734" cm="1">
        <f t="array" aca="1" ref="AC62" ca="1">INDIRECT("'※ 재무_세부시트'!"&amp;AC$1&amp;$AD62, TRUE)</f>
        <v>15.839030229999963</v>
      </c>
      <c r="AD62" s="2441">
        <v>61</v>
      </c>
      <c r="AE62" s="2504">
        <v>12.937913019999998</v>
      </c>
      <c r="AF62" s="2504">
        <v>10.866855149999999</v>
      </c>
      <c r="AG62" s="2504">
        <v>18.280156350000002</v>
      </c>
      <c r="AH62" s="2504">
        <v>14.663401110000001</v>
      </c>
      <c r="AI62" s="2504">
        <v>10.721816200000001</v>
      </c>
      <c r="AJ62" s="2504">
        <v>11.557472699999998</v>
      </c>
      <c r="AK62" s="2504">
        <v>11.23043884</v>
      </c>
      <c r="AL62" s="2504">
        <v>8.3603743300000009</v>
      </c>
      <c r="AM62" s="2504">
        <v>16.22810716</v>
      </c>
      <c r="AN62" s="2504">
        <v>10.13763537</v>
      </c>
      <c r="AO62" s="2504">
        <v>13.544251859999999</v>
      </c>
      <c r="AP62" s="2504">
        <v>6.2678040799999994</v>
      </c>
      <c r="AQ62" s="2505">
        <f t="shared" si="39"/>
        <v>144.79622616999998</v>
      </c>
      <c r="AR62" s="2488"/>
      <c r="AS62" s="2504">
        <v>12.276212656778982</v>
      </c>
      <c r="AT62" s="2504">
        <v>16.462959288692051</v>
      </c>
      <c r="AU62" s="2504">
        <v>21.407308547783209</v>
      </c>
      <c r="AV62" s="2504">
        <v>17.87200120780852</v>
      </c>
      <c r="AW62" s="2504">
        <v>13.674087286402774</v>
      </c>
      <c r="AX62" s="2504">
        <v>14.06787403147314</v>
      </c>
      <c r="AY62" s="2504">
        <v>15.299370068973557</v>
      </c>
      <c r="AZ62" s="2504">
        <v>14.143822765503755</v>
      </c>
      <c r="BA62" s="2504">
        <v>15.148493417561076</v>
      </c>
      <c r="BB62" s="2504">
        <v>13.566514546047243</v>
      </c>
      <c r="BC62" s="2504">
        <v>15.551288198949285</v>
      </c>
      <c r="BD62" s="2504">
        <v>8.5113110171239832</v>
      </c>
      <c r="BE62" s="2505">
        <f t="shared" si="40"/>
        <v>177.98124303309757</v>
      </c>
      <c r="BG62" s="2509" cm="1">
        <f t="array" aca="1" ref="BG62" ca="1">INDIRECT("'※ 재무_세부시트'!"&amp;BG$1&amp;$AD62, TRUE)</f>
        <v>12.937913019999998</v>
      </c>
      <c r="BH62" s="2509" cm="1">
        <f t="array" aca="1" ref="BH62" ca="1">INDIRECT("'※ 재무_세부시트'!"&amp;BH$1&amp;$AD62, TRUE)</f>
        <v>144.79622616999998</v>
      </c>
      <c r="BI62" s="2509" cm="1">
        <f t="array" aca="1" ref="BI62" ca="1">INDIRECT("'※ 재무_세부시트'!"&amp;BI$1&amp;$AD62, TRUE)</f>
        <v>11.23043884</v>
      </c>
      <c r="BJ62" s="2509" cm="1">
        <f t="array" aca="1" ref="BJ62" ca="1">INDIRECT("'※ 재무_세부시트'!"&amp;BJ$1&amp;$AD62, TRUE)</f>
        <v>12.936837990000001</v>
      </c>
      <c r="BK62" s="2509" cm="1">
        <f t="array" aca="1" ref="BK62" ca="1">INDIRECT("'※ 재무_세부시트'!"&amp;BK$1&amp;$AD62, TRUE)</f>
        <v>16.22810716</v>
      </c>
      <c r="BL62" s="2490"/>
      <c r="BM62" s="2490"/>
    </row>
    <row r="63" spans="1:65" ht="30.55" customHeight="1" collapsed="1" x14ac:dyDescent="0.55000000000000004">
      <c r="A63" s="2705"/>
      <c r="B63" s="2706"/>
      <c r="C63" s="2706" t="s">
        <v>43</v>
      </c>
      <c r="D63" s="2645"/>
      <c r="E63" s="2645"/>
      <c r="F63" s="2547" cm="1">
        <f t="array" aca="1" ref="F63" ca="1">INDIRECT("'※ 재무_세부시트'!"&amp;F$1&amp;$AD63, TRUE)</f>
        <v>521.96060611999997</v>
      </c>
      <c r="G63" s="2547" cm="1">
        <f t="array" aca="1" ref="G63" ca="1">INDIRECT("'※ 재무_세부시트'!"&amp;G$1&amp;$AD63, TRUE)</f>
        <v>345.42212627999999</v>
      </c>
      <c r="H63" s="2548" cm="1">
        <f t="array" aca="1" ref="H63" ca="1">INDIRECT("'※ 재무_세부시트'!"&amp;H$1&amp;$AD63, TRUE)</f>
        <v>34.65354232</v>
      </c>
      <c r="I63" s="2549" cm="1">
        <f t="array" aca="1" ref="I63" ca="1">INDIRECT("'※ 재무_세부시트'!"&amp;I$1&amp;$AD63, TRUE)</f>
        <v>23.6792208</v>
      </c>
      <c r="J63" s="2549" cm="1">
        <f t="array" aca="1" ref="J63" ca="1">INDIRECT("'※ 재무_세부시트'!"&amp;J$1&amp;$AD63, TRUE)</f>
        <v>16.00066417</v>
      </c>
      <c r="K63" s="2549" cm="1">
        <f t="array" aca="1" ref="K63" ca="1">INDIRECT("'※ 재무_세부시트'!"&amp;K$1&amp;$AD63, TRUE)</f>
        <v>19.542286000000004</v>
      </c>
      <c r="L63" s="2549" cm="1">
        <f t="array" aca="1" ref="L63" ca="1">INDIRECT("'※ 재무_세부시트'!"&amp;L$1&amp;$AD63, TRUE)</f>
        <v>28.596062249999999</v>
      </c>
      <c r="M63" s="2549" cm="1">
        <f t="array" aca="1" ref="M63" ca="1">INDIRECT("'※ 재무_세부시트'!"&amp;M$1&amp;$AD63, TRUE)</f>
        <v>34.749232159999998</v>
      </c>
      <c r="N63" s="2549" cm="1">
        <f t="array" aca="1" ref="N63" ca="1">INDIRECT("'※ 재무_세부시트'!"&amp;N$1&amp;$AD63, TRUE)</f>
        <v>48.320244670000001</v>
      </c>
      <c r="O63" s="2549" cm="1">
        <f t="array" aca="1" ref="O63" ca="1">INDIRECT("'※ 재무_세부시트'!"&amp;O$1&amp;$AD63, TRUE)</f>
        <v>21.570287239999999</v>
      </c>
      <c r="P63" s="2549" cm="1">
        <f t="array" aca="1" ref="P63" ca="1">INDIRECT("'※ 재무_세부시트'!"&amp;P$1&amp;$AD63, TRUE)</f>
        <v>53.34040968</v>
      </c>
      <c r="Q63" s="2549" cm="1">
        <f t="array" aca="1" ref="Q63" ca="1">INDIRECT("'※ 재무_세부시트'!"&amp;Q$1&amp;$AD63, TRUE)</f>
        <v>31.012518199999999</v>
      </c>
      <c r="R63" s="2549" cm="1">
        <f t="array" aca="1" ref="R63" ca="1">INDIRECT("'※ 재무_세부시트'!"&amp;R$1&amp;$AD63, TRUE)</f>
        <v>65.852758309999999</v>
      </c>
      <c r="S63" s="2549" cm="1">
        <f t="array" aca="1" ref="S63" ca="1">INDIRECT("'※ 재무_세부시트'!"&amp;S$1&amp;$AD63, TRUE)</f>
        <v>71.012071270000007</v>
      </c>
      <c r="T63" s="2550" cm="1">
        <f t="array" aca="1" ref="T63" ca="1">INDIRECT("'※ 재무_세부시트'!"&amp;T$1&amp;$AD63, TRUE)</f>
        <v>0</v>
      </c>
      <c r="U63" s="2550" cm="1">
        <f t="array" aca="1" ref="U63" ca="1">INDIRECT("'※ 재무_세부시트'!"&amp;U$1&amp;$AD63, TRUE)</f>
        <v>71.012071270000007</v>
      </c>
      <c r="V63" s="2551" cm="1">
        <f t="array" aca="1" ref="V63" ca="1">INDIRECT("'※ 재무_세부시트'!"&amp;V$1&amp;$AD63, TRUE)</f>
        <v>0</v>
      </c>
      <c r="W63" s="2559" cm="1">
        <f t="array" aca="1" ref="W63" ca="1">INDIRECT("'※ 재무_세부시트'!"&amp;W$1&amp;$AD63, TRUE)</f>
        <v>5.1593129600000083</v>
      </c>
      <c r="X63" s="2555" cm="1">
        <f t="array" aca="1" ref="X63" ca="1">INDIRECT("'※ 재무_세부시트'!"&amp;X$1&amp;$AD63, TRUE)</f>
        <v>46.895809190000008</v>
      </c>
      <c r="Y63" s="2555" cm="1">
        <f t="array" aca="1" ref="Y63" ca="1">INDIRECT("'※ 재무_세부시트'!"&amp;Y$1&amp;$AD63, TRUE)</f>
        <v>0</v>
      </c>
      <c r="Z63" s="2554" cm="1">
        <f t="array" aca="1" ref="Z63" ca="1">INDIRECT("'※ 재무_세부시트'!"&amp;Z$1&amp;$AD63, TRUE)</f>
        <v>448.32929707000005</v>
      </c>
      <c r="AA63" s="2555" cm="1">
        <f t="array" aca="1" ref="AA63" ca="1">INDIRECT("'※ 재무_세부시트'!"&amp;AA$1&amp;$AD63, TRUE)</f>
        <v>448.32929707000005</v>
      </c>
      <c r="AB63" s="2707" cm="1">
        <f t="array" aca="1" ref="AB63" ca="1">INDIRECT("'※ 재무_세부시트'!"&amp;AB$1&amp;$AD63, TRUE)</f>
        <v>0</v>
      </c>
      <c r="AC63" s="2708" cm="1">
        <f t="array" aca="1" ref="AC63" ca="1">INDIRECT("'※ 재무_세부시트'!"&amp;AC$1&amp;$AD63, TRUE)</f>
        <v>102.90717079000007</v>
      </c>
      <c r="AD63" s="2441">
        <v>62</v>
      </c>
      <c r="AE63" s="2504">
        <v>10.679466099999999</v>
      </c>
      <c r="AF63" s="2504">
        <v>31.841216350000003</v>
      </c>
      <c r="AG63" s="2504">
        <v>29.512413190000004</v>
      </c>
      <c r="AH63" s="2504">
        <v>23.364959259999999</v>
      </c>
      <c r="AI63" s="2504">
        <v>26.602806840000003</v>
      </c>
      <c r="AJ63" s="2504">
        <v>62.799807749999992</v>
      </c>
      <c r="AK63" s="2504">
        <v>39.640826050000001</v>
      </c>
      <c r="AL63" s="2504">
        <v>37.467097250000002</v>
      </c>
      <c r="AM63" s="2504">
        <v>68.50553330000001</v>
      </c>
      <c r="AN63" s="2504">
        <v>87.523076189999998</v>
      </c>
      <c r="AO63" s="2504">
        <v>27.47532867</v>
      </c>
      <c r="AP63" s="2504">
        <v>76.548075170000004</v>
      </c>
      <c r="AQ63" s="2505">
        <f t="shared" si="39"/>
        <v>521.96060611999997</v>
      </c>
      <c r="AR63" s="2488"/>
      <c r="AS63" s="2504">
        <v>44.845592633373499</v>
      </c>
      <c r="AT63" s="2504">
        <v>45.551979516475896</v>
      </c>
      <c r="AU63" s="2504">
        <v>39.511819444961048</v>
      </c>
      <c r="AV63" s="2504">
        <v>42.550561302594531</v>
      </c>
      <c r="AW63" s="2504">
        <v>41.639203381309443</v>
      </c>
      <c r="AX63" s="2504">
        <v>60.328501854203935</v>
      </c>
      <c r="AY63" s="2504">
        <v>43.128985480767554</v>
      </c>
      <c r="AZ63" s="2504">
        <v>39.917157484789414</v>
      </c>
      <c r="BA63" s="2504">
        <v>57.203094629011872</v>
      </c>
      <c r="BB63" s="2504">
        <v>92.961051539434663</v>
      </c>
      <c r="BC63" s="2504">
        <v>39.523068554621155</v>
      </c>
      <c r="BD63" s="2504">
        <v>70.774049729737285</v>
      </c>
      <c r="BE63" s="2505">
        <f t="shared" si="40"/>
        <v>617.93506555128022</v>
      </c>
      <c r="BG63" s="2509" cm="1">
        <f t="array" aca="1" ref="BG63" ca="1">INDIRECT("'※ 재무_세부시트'!"&amp;BG$1&amp;$AD63, TRUE)</f>
        <v>10.679466099999999</v>
      </c>
      <c r="BH63" s="2509" cm="1">
        <f t="array" aca="1" ref="BH63" ca="1">INDIRECT("'※ 재무_세부시트'!"&amp;BH$1&amp;$AD63, TRUE)</f>
        <v>521.96060611999997</v>
      </c>
      <c r="BI63" s="2509" cm="1">
        <f t="array" aca="1" ref="BI63" ca="1">INDIRECT("'※ 재무_세부시트'!"&amp;BI$1&amp;$AD63, TRUE)</f>
        <v>39.640826050000001</v>
      </c>
      <c r="BJ63" s="2509" cm="1">
        <f t="array" aca="1" ref="BJ63" ca="1">INDIRECT("'※ 재무_세부시트'!"&amp;BJ$1&amp;$AD63, TRUE)</f>
        <v>15.48449055</v>
      </c>
      <c r="BK63" s="2509" cm="1">
        <f t="array" aca="1" ref="BK63" ca="1">INDIRECT("'※ 재무_세부시트'!"&amp;BK$1&amp;$AD63, TRUE)</f>
        <v>68.50553330000001</v>
      </c>
      <c r="BL63" s="2490"/>
      <c r="BM63" s="2490"/>
    </row>
    <row r="64" spans="1:65" ht="20.05" customHeight="1" x14ac:dyDescent="0.55000000000000004">
      <c r="A64" s="2705"/>
      <c r="B64" s="2645"/>
      <c r="C64" s="2645"/>
      <c r="D64" s="2709" t="s">
        <v>34</v>
      </c>
      <c r="E64" s="2645"/>
      <c r="F64" s="2547" cm="1">
        <f t="array" aca="1" ref="F64" ca="1">INDIRECT("'※ 재무_세부시트'!"&amp;F$1&amp;$AD64, TRUE)</f>
        <v>323.05885360000002</v>
      </c>
      <c r="G64" s="2547" cm="1">
        <f t="array" aca="1" ref="G64" ca="1">INDIRECT("'※ 재무_세부시트'!"&amp;G$1&amp;$AD64, TRUE)</f>
        <v>167.45850038999998</v>
      </c>
      <c r="H64" s="2548" cm="1">
        <f t="array" aca="1" ref="H64" ca="1">INDIRECT("'※ 재무_세부시트'!"&amp;H$1&amp;$AD64, TRUE)</f>
        <v>6.0935522999999998</v>
      </c>
      <c r="I64" s="2549" cm="1">
        <f t="array" aca="1" ref="I64" ca="1">INDIRECT("'※ 재무_세부시트'!"&amp;I$1&amp;$AD64, TRUE)</f>
        <v>10.304066260000001</v>
      </c>
      <c r="J64" s="2549" cm="1">
        <f t="array" aca="1" ref="J64" ca="1">INDIRECT("'※ 재무_세부시트'!"&amp;J$1&amp;$AD64, TRUE)</f>
        <v>9.0780226299999995</v>
      </c>
      <c r="K64" s="2549" cm="1">
        <f t="array" aca="1" ref="K64" ca="1">INDIRECT("'※ 재무_세부시트'!"&amp;K$1&amp;$AD64, TRUE)</f>
        <v>7.6568158200000003</v>
      </c>
      <c r="L64" s="2549" cm="1">
        <f t="array" aca="1" ref="L64" ca="1">INDIRECT("'※ 재무_세부시트'!"&amp;L$1&amp;$AD64, TRUE)</f>
        <v>15.846035990000001</v>
      </c>
      <c r="M64" s="2549" cm="1">
        <f t="array" aca="1" ref="M64" ca="1">INDIRECT("'※ 재무_세부시트'!"&amp;M$1&amp;$AD64, TRUE)</f>
        <v>15.87893341</v>
      </c>
      <c r="N64" s="2549" cm="1">
        <f t="array" aca="1" ref="N64" ca="1">INDIRECT("'※ 재무_세부시트'!"&amp;N$1&amp;$AD64, TRUE)</f>
        <v>7.4660656100000002</v>
      </c>
      <c r="O64" s="2549" cm="1">
        <f t="array" aca="1" ref="O64" ca="1">INDIRECT("'※ 재무_세부시트'!"&amp;O$1&amp;$AD64, TRUE)</f>
        <v>5.35270869</v>
      </c>
      <c r="P64" s="2549" cm="1">
        <f t="array" aca="1" ref="P64" ca="1">INDIRECT("'※ 재무_세부시트'!"&amp;P$1&amp;$AD64, TRUE)</f>
        <v>17.431917030000001</v>
      </c>
      <c r="Q64" s="2549" cm="1">
        <f t="array" aca="1" ref="Q64" ca="1">INDIRECT("'※ 재무_세부시트'!"&amp;Q$1&amp;$AD64, TRUE)</f>
        <v>3.9416184300000001</v>
      </c>
      <c r="R64" s="2549" cm="1">
        <f t="array" aca="1" ref="R64" ca="1">INDIRECT("'※ 재무_세부시트'!"&amp;R$1&amp;$AD64, TRUE)</f>
        <v>37.784167940000003</v>
      </c>
      <c r="S64" s="2549" cm="1">
        <f t="array" aca="1" ref="S64" ca="1">INDIRECT("'※ 재무_세부시트'!"&amp;S$1&amp;$AD64, TRUE)</f>
        <v>17.444953040000001</v>
      </c>
      <c r="T64" s="2550" cm="1">
        <f t="array" aca="1" ref="T64" ca="1">INDIRECT("'※ 재무_세부시트'!"&amp;T$1&amp;$AD64, TRUE)</f>
        <v>0</v>
      </c>
      <c r="U64" s="2550" cm="1">
        <f t="array" aca="1" ref="U64" ca="1">INDIRECT("'※ 재무_세부시트'!"&amp;U$1&amp;$AD64, TRUE)</f>
        <v>17.444953040000001</v>
      </c>
      <c r="V64" s="2551" cm="1">
        <f t="array" aca="1" ref="V64" ca="1">INDIRECT("'※ 재무_세부시트'!"&amp;V$1&amp;$AD64, TRUE)</f>
        <v>0</v>
      </c>
      <c r="W64" s="2559" cm="1">
        <f t="array" aca="1" ref="W64" ca="1">INDIRECT("'※ 재무_세부시트'!"&amp;W$1&amp;$AD64, TRUE)</f>
        <v>-20.339214900000002</v>
      </c>
      <c r="X64" s="2555" cm="1">
        <f t="array" aca="1" ref="X64" ca="1">INDIRECT("'※ 재무_세부시트'!"&amp;X$1&amp;$AD64, TRUE)</f>
        <v>3.5955409100000022</v>
      </c>
      <c r="Y64" s="2555" cm="1">
        <f t="array" aca="1" ref="Y64" ca="1">INDIRECT("'※ 재무_세부시트'!"&amp;Y$1&amp;$AD64, TRUE)</f>
        <v>0</v>
      </c>
      <c r="Z64" s="2554" cm="1">
        <f t="array" aca="1" ref="Z64" ca="1">INDIRECT("'※ 재무_세부시트'!"&amp;Z$1&amp;$AD64, TRUE)</f>
        <v>154.27885715000002</v>
      </c>
      <c r="AA64" s="2555" cm="1">
        <f t="array" aca="1" ref="AA64" ca="1">INDIRECT("'※ 재무_세부시트'!"&amp;AA$1&amp;$AD64, TRUE)</f>
        <v>154.27885715000002</v>
      </c>
      <c r="AB64" s="2707" cm="1">
        <f t="array" aca="1" ref="AB64" ca="1">INDIRECT("'※ 재무_세부시트'!"&amp;AB$1&amp;$AD64, TRUE)</f>
        <v>0</v>
      </c>
      <c r="AC64" s="2708" cm="1">
        <f t="array" aca="1" ref="AC64" ca="1">INDIRECT("'※ 재무_세부시트'!"&amp;AC$1&amp;$AD64, TRUE)</f>
        <v>-13.179643239999962</v>
      </c>
      <c r="AD64" s="2441">
        <v>63</v>
      </c>
      <c r="AE64" s="2504">
        <v>6.8452378600000001</v>
      </c>
      <c r="AF64" s="2504">
        <v>25.215925640000002</v>
      </c>
      <c r="AG64" s="2504">
        <v>23.329441510000002</v>
      </c>
      <c r="AH64" s="2504">
        <v>18.473232400000001</v>
      </c>
      <c r="AI64" s="2504">
        <v>21.261549580000001</v>
      </c>
      <c r="AJ64" s="2504">
        <v>36.51020389</v>
      </c>
      <c r="AK64" s="2504">
        <v>31.865210059999999</v>
      </c>
      <c r="AL64" s="2504">
        <v>28.146493569999997</v>
      </c>
      <c r="AM64" s="2504">
        <v>48.284568380000003</v>
      </c>
      <c r="AN64" s="2504">
        <v>36.55426791</v>
      </c>
      <c r="AO64" s="2504">
        <v>27.2309652</v>
      </c>
      <c r="AP64" s="2504">
        <v>19.341757600000001</v>
      </c>
      <c r="AQ64" s="2505">
        <f t="shared" si="39"/>
        <v>323.05885360000002</v>
      </c>
      <c r="AR64" s="2488"/>
      <c r="AS64" s="2504">
        <v>33.820580751423847</v>
      </c>
      <c r="AT64" s="2504">
        <v>34.8916716926731</v>
      </c>
      <c r="AU64" s="2504">
        <v>29.902954010904139</v>
      </c>
      <c r="AV64" s="2504">
        <v>32.971642312030212</v>
      </c>
      <c r="AW64" s="2504">
        <v>31.600146538937853</v>
      </c>
      <c r="AX64" s="2504">
        <v>30.997905338752549</v>
      </c>
      <c r="AY64" s="2504">
        <v>31.088020360311493</v>
      </c>
      <c r="AZ64" s="2504">
        <v>29.592682093968396</v>
      </c>
      <c r="BA64" s="2504">
        <v>32.271375832834956</v>
      </c>
      <c r="BB64" s="2504">
        <v>36.497582280351168</v>
      </c>
      <c r="BC64" s="2504">
        <v>30.28863924098399</v>
      </c>
      <c r="BD64" s="2504">
        <v>28.674910237470822</v>
      </c>
      <c r="BE64" s="2505">
        <f t="shared" si="40"/>
        <v>382.5981106906425</v>
      </c>
      <c r="BG64" s="2509" cm="1">
        <f t="array" aca="1" ref="BG64" ca="1">INDIRECT("'※ 재무_세부시트'!"&amp;BG$1&amp;$AD64, TRUE)</f>
        <v>6.8452378600000001</v>
      </c>
      <c r="BH64" s="2509" cm="1">
        <f t="array" aca="1" ref="BH64" ca="1">INDIRECT("'※ 재무_세부시트'!"&amp;BH$1&amp;$AD64, TRUE)</f>
        <v>323.05885360000002</v>
      </c>
      <c r="BI64" s="2509" cm="1">
        <f t="array" aca="1" ref="BI64" ca="1">INDIRECT("'※ 재무_세부시트'!"&amp;BI$1&amp;$AD64, TRUE)</f>
        <v>31.865210059999999</v>
      </c>
      <c r="BJ64" s="2509" cm="1">
        <f t="array" aca="1" ref="BJ64" ca="1">INDIRECT("'※ 재무_세부시트'!"&amp;BJ$1&amp;$AD64, TRUE)</f>
        <v>6.8554461900000003</v>
      </c>
      <c r="BK64" s="2509" cm="1">
        <f t="array" aca="1" ref="BK64" ca="1">INDIRECT("'※ 재무_세부시트'!"&amp;BK$1&amp;$AD64, TRUE)</f>
        <v>48.284568380000003</v>
      </c>
      <c r="BL64" s="2490"/>
      <c r="BM64" s="2490"/>
    </row>
    <row r="65" spans="1:65" ht="20.05" customHeight="1" x14ac:dyDescent="0.55000000000000004">
      <c r="A65" s="2705"/>
      <c r="B65" s="2645"/>
      <c r="C65" s="2645"/>
      <c r="D65" s="2709" t="s">
        <v>759</v>
      </c>
      <c r="E65" s="2645"/>
      <c r="F65" s="2547" cm="1">
        <f t="array" aca="1" ref="F65" ca="1">INDIRECT("'※ 재무_세부시트'!"&amp;F$1&amp;$AD65, TRUE)</f>
        <v>197.65910890000001</v>
      </c>
      <c r="G65" s="2547" cm="1">
        <f t="array" aca="1" ref="G65" ca="1">INDIRECT("'※ 재무_세부시트'!"&amp;G$1&amp;$AD65, TRUE)</f>
        <v>175.47417407999998</v>
      </c>
      <c r="H65" s="2548" cm="1">
        <f t="array" aca="1" ref="H65" ca="1">INDIRECT("'※ 재무_세부시트'!"&amp;H$1&amp;$AD65, TRUE)</f>
        <v>28.278400019999999</v>
      </c>
      <c r="I65" s="2549" cm="1">
        <f t="array" aca="1" ref="I65" ca="1">INDIRECT("'※ 재무_세부시트'!"&amp;I$1&amp;$AD65, TRUE)</f>
        <v>12.97501727</v>
      </c>
      <c r="J65" s="2549" cm="1">
        <f t="array" aca="1" ref="J65" ca="1">INDIRECT("'※ 재무_세부시트'!"&amp;J$1&amp;$AD65, TRUE)</f>
        <v>6.7345115399999997</v>
      </c>
      <c r="K65" s="2549" cm="1">
        <f t="array" aca="1" ref="K65" ca="1">INDIRECT("'※ 재무_세부시트'!"&amp;K$1&amp;$AD65, TRUE)</f>
        <v>11.502810180000001</v>
      </c>
      <c r="L65" s="2549" cm="1">
        <f t="array" aca="1" ref="L65" ca="1">INDIRECT("'※ 재무_세부시트'!"&amp;L$1&amp;$AD65, TRUE)</f>
        <v>12.47760626</v>
      </c>
      <c r="M65" s="2549" cm="1">
        <f t="array" aca="1" ref="M65" ca="1">INDIRECT("'※ 재무_세부시트'!"&amp;M$1&amp;$AD65, TRUE)</f>
        <v>18.479928749999999</v>
      </c>
      <c r="N65" s="2549" cm="1">
        <f t="array" aca="1" ref="N65" ca="1">INDIRECT("'※ 재무_세부시트'!"&amp;N$1&amp;$AD65, TRUE)</f>
        <v>39.69380906</v>
      </c>
      <c r="O65" s="2549" cm="1">
        <f t="array" aca="1" ref="O65" ca="1">INDIRECT("'※ 재무_세부시트'!"&amp;O$1&amp;$AD65, TRUE)</f>
        <v>15.493478550000001</v>
      </c>
      <c r="P65" s="2549" cm="1">
        <f t="array" aca="1" ref="P65" ca="1">INDIRECT("'※ 재무_세부시트'!"&amp;P$1&amp;$AD65, TRUE)</f>
        <v>35.067862570000003</v>
      </c>
      <c r="Q65" s="2549" cm="1">
        <f t="array" aca="1" ref="Q65" ca="1">INDIRECT("'※ 재무_세부시트'!"&amp;Q$1&amp;$AD65, TRUE)</f>
        <v>26.72762977</v>
      </c>
      <c r="R65" s="2549" cm="1">
        <f t="array" aca="1" ref="R65" ca="1">INDIRECT("'※ 재무_세부시트'!"&amp;R$1&amp;$AD65, TRUE)</f>
        <v>27.82298037</v>
      </c>
      <c r="S65" s="2549" cm="1">
        <f t="array" aca="1" ref="S65" ca="1">INDIRECT("'※ 재무_세부시트'!"&amp;S$1&amp;$AD65, TRUE)</f>
        <v>52.578218229999997</v>
      </c>
      <c r="T65" s="2550" cm="1">
        <f t="array" aca="1" ref="T65" ca="1">INDIRECT("'※ 재무_세부시트'!"&amp;T$1&amp;$AD65, TRUE)</f>
        <v>0</v>
      </c>
      <c r="U65" s="2550" cm="1">
        <f t="array" aca="1" ref="U65" ca="1">INDIRECT("'※ 재무_세부시트'!"&amp;U$1&amp;$AD65, TRUE)</f>
        <v>52.578218229999997</v>
      </c>
      <c r="V65" s="2551" cm="1">
        <f t="array" aca="1" ref="V65" ca="1">INDIRECT("'※ 재무_세부시트'!"&amp;V$1&amp;$AD65, TRUE)</f>
        <v>0</v>
      </c>
      <c r="W65" s="2559" cm="1">
        <f t="array" aca="1" ref="W65" ca="1">INDIRECT("'※ 재무_세부시트'!"&amp;W$1&amp;$AD65, TRUE)</f>
        <v>24.755237859999998</v>
      </c>
      <c r="X65" s="2555" cm="1">
        <f t="array" aca="1" ref="X65" ca="1">INDIRECT("'※ 재무_세부시트'!"&amp;X$1&amp;$AD65, TRUE)</f>
        <v>42.639863739999996</v>
      </c>
      <c r="Y65" s="2555" cm="1">
        <f t="array" aca="1" ref="Y65" ca="1">INDIRECT("'※ 재무_세부시트'!"&amp;Y$1&amp;$AD65, TRUE)</f>
        <v>0</v>
      </c>
      <c r="Z65" s="2554" cm="1">
        <f t="array" aca="1" ref="Z65" ca="1">INDIRECT("'※ 재무_세부시트'!"&amp;Z$1&amp;$AD65, TRUE)</f>
        <v>287.83225256999998</v>
      </c>
      <c r="AA65" s="2555" cm="1">
        <f t="array" aca="1" ref="AA65" ca="1">INDIRECT("'※ 재무_세부시트'!"&amp;AA$1&amp;$AD65, TRUE)</f>
        <v>287.83225256999998</v>
      </c>
      <c r="AB65" s="2707" cm="1">
        <f t="array" aca="1" ref="AB65" ca="1">INDIRECT("'※ 재무_세부시트'!"&amp;AB$1&amp;$AD65, TRUE)</f>
        <v>0</v>
      </c>
      <c r="AC65" s="2708" cm="1">
        <f t="array" aca="1" ref="AC65" ca="1">INDIRECT("'※ 재무_세부시트'!"&amp;AC$1&amp;$AD65, TRUE)</f>
        <v>112.35807849</v>
      </c>
      <c r="AD65" s="2441">
        <v>64</v>
      </c>
      <c r="AE65" s="2504">
        <v>3.8342282399999998</v>
      </c>
      <c r="AF65" s="2504">
        <v>6.6252907100000016</v>
      </c>
      <c r="AG65" s="2504">
        <v>6.154880770000001</v>
      </c>
      <c r="AH65" s="2504">
        <v>4.8817268600000006</v>
      </c>
      <c r="AI65" s="2504">
        <v>5.3314390800000009</v>
      </c>
      <c r="AJ65" s="2504">
        <v>26.281240220000001</v>
      </c>
      <c r="AK65" s="2504">
        <v>7.45416145</v>
      </c>
      <c r="AL65" s="2504">
        <v>9.0224236800000011</v>
      </c>
      <c r="AM65" s="2504">
        <v>20.21623765</v>
      </c>
      <c r="AN65" s="2504">
        <v>50.53463919</v>
      </c>
      <c r="AO65" s="2504">
        <v>0.23881802000000008</v>
      </c>
      <c r="AP65" s="2504">
        <v>57.084023029999997</v>
      </c>
      <c r="AQ65" s="2505">
        <f t="shared" si="39"/>
        <v>197.65910890000001</v>
      </c>
      <c r="AR65" s="2488"/>
      <c r="AS65" s="2504">
        <v>10.495932769663236</v>
      </c>
      <c r="AT65" s="2504">
        <v>10.131228711516385</v>
      </c>
      <c r="AU65" s="2504">
        <v>9.0516954117704955</v>
      </c>
      <c r="AV65" s="2504">
        <v>9.0398398782779168</v>
      </c>
      <c r="AW65" s="2504">
        <v>9.5001595500851792</v>
      </c>
      <c r="AX65" s="2504">
        <v>28.793153763164984</v>
      </c>
      <c r="AY65" s="2504">
        <v>11.190431468169642</v>
      </c>
      <c r="AZ65" s="2504">
        <v>9.4972162785346086</v>
      </c>
      <c r="BA65" s="2504">
        <v>24.397912413890502</v>
      </c>
      <c r="BB65" s="2504">
        <v>55.500221056797074</v>
      </c>
      <c r="BC65" s="2504">
        <v>8.6998047513507544</v>
      </c>
      <c r="BD65" s="2504">
        <v>41.44776583998005</v>
      </c>
      <c r="BE65" s="2505">
        <f t="shared" si="40"/>
        <v>227.74536189320082</v>
      </c>
      <c r="BG65" s="2509" cm="1">
        <f t="array" aca="1" ref="BG65" ca="1">INDIRECT("'※ 재무_세부시트'!"&amp;BG$1&amp;$AD65, TRUE)</f>
        <v>3.8342282399999998</v>
      </c>
      <c r="BH65" s="2509" cm="1">
        <f t="array" aca="1" ref="BH65" ca="1">INDIRECT("'※ 재무_세부시트'!"&amp;BH$1&amp;$AD65, TRUE)</f>
        <v>197.65910890000001</v>
      </c>
      <c r="BI65" s="2509" cm="1">
        <f t="array" aca="1" ref="BI65" ca="1">INDIRECT("'※ 재무_세부시트'!"&amp;BI$1&amp;$AD65, TRUE)</f>
        <v>7.45416145</v>
      </c>
      <c r="BJ65" s="2509" cm="1">
        <f t="array" aca="1" ref="BJ65" ca="1">INDIRECT("'※ 재무_세부시트'!"&amp;BJ$1&amp;$AD65, TRUE)</f>
        <v>8.5998170900000002</v>
      </c>
      <c r="BK65" s="2509" cm="1">
        <f t="array" aca="1" ref="BK65" ca="1">INDIRECT("'※ 재무_세부시트'!"&amp;BK$1&amp;$AD65, TRUE)</f>
        <v>20.21623765</v>
      </c>
      <c r="BL65" s="2490"/>
      <c r="BM65" s="2490"/>
    </row>
    <row r="66" spans="1:65" ht="20.05" customHeight="1" x14ac:dyDescent="0.55000000000000004">
      <c r="A66" s="2705"/>
      <c r="B66" s="2645"/>
      <c r="C66" s="2735"/>
      <c r="D66" s="2723" t="s">
        <v>750</v>
      </c>
      <c r="E66" s="2735"/>
      <c r="F66" s="2736" cm="1">
        <f t="array" aca="1" ref="F66" ca="1">INDIRECT("'※ 재무_세부시트'!"&amp;F$1&amp;$AD66, TRUE)</f>
        <v>1.2426436199999999</v>
      </c>
      <c r="G66" s="2736" cm="1">
        <f t="array" aca="1" ref="G66" ca="1">INDIRECT("'※ 재무_세부시트'!"&amp;G$1&amp;$AD66, TRUE)</f>
        <v>2.4894518099999998</v>
      </c>
      <c r="H66" s="2737" cm="1">
        <f t="array" aca="1" ref="H66" ca="1">INDIRECT("'※ 재무_세부시트'!"&amp;H$1&amp;$AD66, TRUE)</f>
        <v>0.28159000000000001</v>
      </c>
      <c r="I66" s="2738" cm="1">
        <f t="array" aca="1" ref="I66" ca="1">INDIRECT("'※ 재무_세부시트'!"&amp;I$1&amp;$AD66, TRUE)</f>
        <v>0.40013726999999999</v>
      </c>
      <c r="J66" s="2738" cm="1">
        <f t="array" aca="1" ref="J66" ca="1">INDIRECT("'※ 재무_세부시트'!"&amp;J$1&amp;$AD66, TRUE)</f>
        <v>0.18812999999999999</v>
      </c>
      <c r="K66" s="2738" cm="1">
        <f t="array" aca="1" ref="K66" ca="1">INDIRECT("'※ 재무_세부시트'!"&amp;K$1&amp;$AD66, TRUE)</f>
        <v>0.38266</v>
      </c>
      <c r="L66" s="2738" cm="1">
        <f t="array" aca="1" ref="L66" ca="1">INDIRECT("'※ 재무_세부시트'!"&amp;L$1&amp;$AD66, TRUE)</f>
        <v>0.27242</v>
      </c>
      <c r="M66" s="2738" cm="1">
        <f t="array" aca="1" ref="M66" ca="1">INDIRECT("'※ 재무_세부시트'!"&amp;M$1&amp;$AD66, TRUE)</f>
        <v>0.39036999999999999</v>
      </c>
      <c r="N66" s="2738" cm="1">
        <f t="array" aca="1" ref="N66" ca="1">INDIRECT("'※ 재무_세부시트'!"&amp;N$1&amp;$AD66, TRUE)</f>
        <v>1.1603699999999999</v>
      </c>
      <c r="O66" s="2738" cm="1">
        <f t="array" aca="1" ref="O66" ca="1">INDIRECT("'※ 재무_세부시트'!"&amp;O$1&amp;$AD66, TRUE)</f>
        <v>0.72409999999999997</v>
      </c>
      <c r="P66" s="2738" cm="1">
        <f t="array" aca="1" ref="P66" ca="1">INDIRECT("'※ 재무_세부시트'!"&amp;P$1&amp;$AD66, TRUE)</f>
        <v>0.84063007999999995</v>
      </c>
      <c r="Q66" s="2738" cm="1">
        <f t="array" aca="1" ref="Q66" ca="1">INDIRECT("'※ 재무_세부시트'!"&amp;Q$1&amp;$AD66, TRUE)</f>
        <v>0.34327000000000002</v>
      </c>
      <c r="R66" s="2738" cm="1">
        <f t="array" aca="1" ref="R66" ca="1">INDIRECT("'※ 재무_세부시트'!"&amp;R$1&amp;$AD66, TRUE)</f>
        <v>0.24560999999999999</v>
      </c>
      <c r="S66" s="2738" cm="1">
        <f t="array" aca="1" ref="S66" ca="1">INDIRECT("'※ 재무_세부시트'!"&amp;S$1&amp;$AD66, TRUE)</f>
        <v>0.9889</v>
      </c>
      <c r="T66" s="2739" cm="1">
        <f t="array" aca="1" ref="T66" ca="1">INDIRECT("'※ 재무_세부시트'!"&amp;T$1&amp;$AD66, TRUE)</f>
        <v>0</v>
      </c>
      <c r="U66" s="2739" cm="1">
        <f t="array" aca="1" ref="U66" ca="1">INDIRECT("'※ 재무_세부시트'!"&amp;U$1&amp;$AD66, TRUE)</f>
        <v>0.9889</v>
      </c>
      <c r="V66" s="2740" cm="1">
        <f t="array" aca="1" ref="V66" ca="1">INDIRECT("'※ 재무_세부시트'!"&amp;V$1&amp;$AD66, TRUE)</f>
        <v>0</v>
      </c>
      <c r="W66" s="2741" cm="1">
        <f t="array" aca="1" ref="W66" ca="1">INDIRECT("'※ 재무_세부시트'!"&amp;W$1&amp;$AD66, TRUE)</f>
        <v>0.74329000000000001</v>
      </c>
      <c r="X66" s="2742" cm="1">
        <f t="array" aca="1" ref="X66" ca="1">INDIRECT("'※ 재무_세부시트'!"&amp;X$1&amp;$AD66, TRUE)</f>
        <v>0.66040454000000004</v>
      </c>
      <c r="Y66" s="2742" cm="1">
        <f t="array" aca="1" ref="Y66" ca="1">INDIRECT("'※ 재무_세부시트'!"&amp;Y$1&amp;$AD66, TRUE)</f>
        <v>0</v>
      </c>
      <c r="Z66" s="2743" cm="1">
        <f t="array" aca="1" ref="Z66" ca="1">INDIRECT("'※ 재무_세부시트'!"&amp;Z$1&amp;$AD66, TRUE)</f>
        <v>6.2181873500000009</v>
      </c>
      <c r="AA66" s="2742" cm="1">
        <f t="array" aca="1" ref="AA66" ca="1">INDIRECT("'※ 재무_세부시트'!"&amp;AA$1&amp;$AD66, TRUE)</f>
        <v>6.2181873500000009</v>
      </c>
      <c r="AB66" s="2744" cm="1">
        <f t="array" aca="1" ref="AB66" ca="1">INDIRECT("'※ 재무_세부시트'!"&amp;AB$1&amp;$AD66, TRUE)</f>
        <v>0</v>
      </c>
      <c r="AC66" s="2745" cm="1">
        <f t="array" aca="1" ref="AC66" ca="1">INDIRECT("'※ 재무_세부시트'!"&amp;AC$1&amp;$AD66, TRUE)</f>
        <v>3.7287355400000011</v>
      </c>
      <c r="AD66" s="2441">
        <v>65</v>
      </c>
      <c r="AE66" s="2504">
        <v>0</v>
      </c>
      <c r="AF66" s="2504">
        <v>0</v>
      </c>
      <c r="AG66" s="2504">
        <v>2.809091E-2</v>
      </c>
      <c r="AH66" s="2504">
        <v>0.01</v>
      </c>
      <c r="AI66" s="2504">
        <v>9.8181799999999993E-3</v>
      </c>
      <c r="AJ66" s="2504">
        <v>8.3636400000000003E-3</v>
      </c>
      <c r="AK66" s="2504">
        <v>0.32145454000000001</v>
      </c>
      <c r="AL66" s="2504">
        <v>0.29818</v>
      </c>
      <c r="AM66" s="2504">
        <v>4.7272700000000004E-3</v>
      </c>
      <c r="AN66" s="2504">
        <v>0.43416908999999998</v>
      </c>
      <c r="AO66" s="2504">
        <v>5.5454499999999995E-3</v>
      </c>
      <c r="AP66" s="2504">
        <v>0.12229454000000001</v>
      </c>
      <c r="AQ66" s="2505">
        <f t="shared" si="39"/>
        <v>1.2426436199999999</v>
      </c>
      <c r="AR66" s="2488"/>
      <c r="AS66" s="2504">
        <v>0.52907911228641036</v>
      </c>
      <c r="AT66" s="2504">
        <v>0.52907911228641036</v>
      </c>
      <c r="AU66" s="2504">
        <v>0.55717002228641044</v>
      </c>
      <c r="AV66" s="2504">
        <v>0.53907911228641037</v>
      </c>
      <c r="AW66" s="2504">
        <v>0.53889729228641037</v>
      </c>
      <c r="AX66" s="2504">
        <v>0.53744275228641047</v>
      </c>
      <c r="AY66" s="2504">
        <v>0.85053365228641042</v>
      </c>
      <c r="AZ66" s="2504">
        <v>0.82725911228641036</v>
      </c>
      <c r="BA66" s="2504">
        <v>0.53380638228641042</v>
      </c>
      <c r="BB66" s="2504">
        <v>0.96324820228641039</v>
      </c>
      <c r="BC66" s="2504">
        <v>0.53462456228641042</v>
      </c>
      <c r="BD66" s="2504">
        <v>0.65137365228641042</v>
      </c>
      <c r="BE66" s="2505">
        <f t="shared" si="40"/>
        <v>7.5915929674369247</v>
      </c>
      <c r="BG66" s="2509" cm="1">
        <f t="array" aca="1" ref="BG66" ca="1">INDIRECT("'※ 재무_세부시트'!"&amp;BG$1&amp;$AD66, TRUE)</f>
        <v>0</v>
      </c>
      <c r="BH66" s="2509" cm="1">
        <f t="array" aca="1" ref="BH66" ca="1">INDIRECT("'※ 재무_세부시트'!"&amp;BH$1&amp;$AD66, TRUE)</f>
        <v>1.2426436199999999</v>
      </c>
      <c r="BI66" s="2509" cm="1">
        <f t="array" aca="1" ref="BI66" ca="1">INDIRECT("'※ 재무_세부시트'!"&amp;BI$1&amp;$AD66, TRUE)</f>
        <v>0.32145454000000001</v>
      </c>
      <c r="BJ66" s="2509" cm="1">
        <f t="array" aca="1" ref="BJ66" ca="1">INDIRECT("'※ 재무_세부시트'!"&amp;BJ$1&amp;$AD66, TRUE)</f>
        <v>2.922727E-2</v>
      </c>
      <c r="BK66" s="2509" cm="1">
        <f t="array" aca="1" ref="BK66" ca="1">INDIRECT("'※ 재무_세부시트'!"&amp;BK$1&amp;$AD66, TRUE)</f>
        <v>4.7272700000000004E-3</v>
      </c>
      <c r="BL66" s="2490"/>
      <c r="BM66" s="2490"/>
    </row>
    <row r="67" spans="1:65" ht="30.55" customHeight="1" x14ac:dyDescent="0.55000000000000004">
      <c r="A67" s="2705"/>
      <c r="B67" s="2706"/>
      <c r="C67" s="2746" t="s">
        <v>14</v>
      </c>
      <c r="D67" s="2645"/>
      <c r="E67" s="2645"/>
      <c r="F67" s="2547" cm="1">
        <f t="array" aca="1" ref="F67" ca="1">INDIRECT("'※ 재무_세부시트'!"&amp;F$1&amp;$AD67, TRUE)</f>
        <v>64.229032079999996</v>
      </c>
      <c r="G67" s="2547" cm="1">
        <f t="array" aca="1" ref="G67" ca="1">INDIRECT("'※ 재무_세부시트'!"&amp;G$1&amp;$AD67, TRUE)</f>
        <v>60.903768059999997</v>
      </c>
      <c r="H67" s="2548" cm="1">
        <f t="array" aca="1" ref="H67" ca="1">INDIRECT("'※ 재무_세부시트'!"&amp;H$1&amp;$AD67, TRUE)</f>
        <v>9.71511879</v>
      </c>
      <c r="I67" s="2549" cm="1">
        <f t="array" aca="1" ref="I67" ca="1">INDIRECT("'※ 재무_세부시트'!"&amp;I$1&amp;$AD67, TRUE)</f>
        <v>9.63802512</v>
      </c>
      <c r="J67" s="2549" cm="1">
        <f t="array" aca="1" ref="J67" ca="1">INDIRECT("'※ 재무_세부시트'!"&amp;J$1&amp;$AD67, TRUE)</f>
        <v>-5.9214587400000003</v>
      </c>
      <c r="K67" s="2549" cm="1">
        <f t="array" aca="1" ref="K67" ca="1">INDIRECT("'※ 재무_세부시트'!"&amp;K$1&amp;$AD67, TRUE)</f>
        <v>9.2180413699999999</v>
      </c>
      <c r="L67" s="2549" cm="1">
        <f t="array" aca="1" ref="L67" ca="1">INDIRECT("'※ 재무_세부시트'!"&amp;L$1&amp;$AD67, TRUE)</f>
        <v>9.1481607699999987</v>
      </c>
      <c r="M67" s="2549" cm="1">
        <f t="array" aca="1" ref="M67" ca="1">INDIRECT("'※ 재무_세부시트'!"&amp;M$1&amp;$AD67, TRUE)</f>
        <v>-6.5223598799999998</v>
      </c>
      <c r="N67" s="2549" cm="1">
        <f t="array" aca="1" ref="N67" ca="1">INDIRECT("'※ 재무_세부시트'!"&amp;N$1&amp;$AD67, TRUE)</f>
        <v>9.5283527200000009</v>
      </c>
      <c r="O67" s="2549" cm="1">
        <f t="array" aca="1" ref="O67" ca="1">INDIRECT("'※ 재무_세부시트'!"&amp;O$1&amp;$AD67, TRUE)</f>
        <v>9.9940479199999999</v>
      </c>
      <c r="P67" s="2549" cm="1">
        <f t="array" aca="1" ref="P67" ca="1">INDIRECT("'※ 재무_세부시트'!"&amp;P$1&amp;$AD67, TRUE)</f>
        <v>-5.9343351299999991</v>
      </c>
      <c r="Q67" s="2549" cm="1">
        <f t="array" aca="1" ref="Q67" ca="1">INDIRECT("'※ 재무_세부시트'!"&amp;Q$1&amp;$AD67, TRUE)</f>
        <v>9.7382467500000001</v>
      </c>
      <c r="R67" s="2549" cm="1">
        <f t="array" aca="1" ref="R67" ca="1">INDIRECT("'※ 재무_세부시트'!"&amp;R$1&amp;$AD67, TRUE)</f>
        <v>10.48295433</v>
      </c>
      <c r="S67" s="2549" cm="1">
        <f t="array" aca="1" ref="S67" ca="1">INDIRECT("'※ 재무_세부시트'!"&amp;S$1&amp;$AD67, TRUE)</f>
        <v>-5.9332800799999994</v>
      </c>
      <c r="T67" s="2550" cm="1">
        <f t="array" aca="1" ref="T67" ca="1">INDIRECT("'※ 재무_세부시트'!"&amp;T$1&amp;$AD67, TRUE)</f>
        <v>0</v>
      </c>
      <c r="U67" s="2550" cm="1">
        <f t="array" aca="1" ref="U67" ca="1">INDIRECT("'※ 재무_세부시트'!"&amp;U$1&amp;$AD67, TRUE)</f>
        <v>-5.9332800799999994</v>
      </c>
      <c r="V67" s="2551" cm="1">
        <f t="array" aca="1" ref="V67" ca="1">INDIRECT("'※ 재무_세부시트'!"&amp;V$1&amp;$AD67, TRUE)</f>
        <v>0</v>
      </c>
      <c r="W67" s="2559" cm="1">
        <f t="array" aca="1" ref="W67" ca="1">INDIRECT("'※ 재무_세부시트'!"&amp;W$1&amp;$AD67, TRUE)</f>
        <v>-16.416234410000001</v>
      </c>
      <c r="X67" s="2555" cm="1">
        <f t="array" aca="1" ref="X67" ca="1">INDIRECT("'※ 재무_세부시트'!"&amp;X$1&amp;$AD67, TRUE)</f>
        <v>0.72965012000000051</v>
      </c>
      <c r="Y67" s="2555" cm="1">
        <f t="array" aca="1" ref="Y67" ca="1">INDIRECT("'※ 재무_세부시트'!"&amp;Y$1&amp;$AD67, TRUE)</f>
        <v>0</v>
      </c>
      <c r="Z67" s="2554" cm="1">
        <f t="array" aca="1" ref="Z67" ca="1">INDIRECT("'※ 재무_세부시트'!"&amp;Z$1&amp;$AD67, TRUE)</f>
        <v>53.151513940000001</v>
      </c>
      <c r="AA67" s="2555" cm="1">
        <f t="array" aca="1" ref="AA67" ca="1">INDIRECT("'※ 재무_세부시트'!"&amp;AA$1&amp;$AD67, TRUE)</f>
        <v>53.151513940000001</v>
      </c>
      <c r="AB67" s="2707" cm="1">
        <f t="array" aca="1" ref="AB67" ca="1">INDIRECT("'※ 재무_세부시트'!"&amp;AB$1&amp;$AD67, TRUE)</f>
        <v>0</v>
      </c>
      <c r="AC67" s="2708" cm="1">
        <f t="array" aca="1" ref="AC67" ca="1">INDIRECT("'※ 재무_세부시트'!"&amp;AC$1&amp;$AD67, TRUE)</f>
        <v>-7.7522541199999964</v>
      </c>
      <c r="AD67" s="2441">
        <v>66</v>
      </c>
      <c r="AE67" s="2504">
        <v>10.924286359999998</v>
      </c>
      <c r="AF67" s="2504">
        <v>11.020490260000001</v>
      </c>
      <c r="AG67" s="2504">
        <v>-5.8046399899999992</v>
      </c>
      <c r="AH67" s="2504">
        <v>10.219750550000001</v>
      </c>
      <c r="AI67" s="2504">
        <v>10.169356760000001</v>
      </c>
      <c r="AJ67" s="2504">
        <v>-4.0439471899999999</v>
      </c>
      <c r="AK67" s="2504">
        <v>10.29573205</v>
      </c>
      <c r="AL67" s="2504">
        <v>11.114837939999999</v>
      </c>
      <c r="AM67" s="2504">
        <v>-5.2930238700000007</v>
      </c>
      <c r="AN67" s="2504">
        <v>10.29650983</v>
      </c>
      <c r="AO67" s="2504">
        <v>10.591514500000001</v>
      </c>
      <c r="AP67" s="2504">
        <v>-5.2618351199999998</v>
      </c>
      <c r="AQ67" s="2505">
        <f t="shared" si="39"/>
        <v>64.229032079999996</v>
      </c>
      <c r="AR67" s="2488"/>
      <c r="AS67" s="2504">
        <v>10.825222211046741</v>
      </c>
      <c r="AT67" s="2504">
        <v>11.104187926493028</v>
      </c>
      <c r="AU67" s="2504">
        <v>-4.4604033414050903</v>
      </c>
      <c r="AV67" s="2504">
        <v>10.523237058046659</v>
      </c>
      <c r="AW67" s="2504">
        <v>10.471815079218249</v>
      </c>
      <c r="AX67" s="2504">
        <v>-4.6733705787906468</v>
      </c>
      <c r="AY67" s="2504">
        <v>10.537055305885517</v>
      </c>
      <c r="AZ67" s="2504">
        <v>11.074340302785453</v>
      </c>
      <c r="BA67" s="2504">
        <v>-4.6158140183818945</v>
      </c>
      <c r="BB67" s="2504">
        <v>10.677064159669523</v>
      </c>
      <c r="BC67" s="2504">
        <v>10.430581767960962</v>
      </c>
      <c r="BD67" s="2504">
        <v>-4.5283277962977335</v>
      </c>
      <c r="BE67" s="2505">
        <f t="shared" si="40"/>
        <v>67.365588076230765</v>
      </c>
      <c r="BG67" s="2509" cm="1">
        <f t="array" aca="1" ref="BG67" ca="1">INDIRECT("'※ 재무_세부시트'!"&amp;BG$1&amp;$AD67, TRUE)</f>
        <v>10.924286359999998</v>
      </c>
      <c r="BH67" s="2509" cm="1">
        <f t="array" aca="1" ref="BH67" ca="1">INDIRECT("'※ 재무_세부시트'!"&amp;BH$1&amp;$AD67, TRUE)</f>
        <v>64.229032079999996</v>
      </c>
      <c r="BI67" s="2509" cm="1">
        <f t="array" aca="1" ref="BI67" ca="1">INDIRECT("'※ 재무_세부시트'!"&amp;BI$1&amp;$AD67, TRUE)</f>
        <v>10.29573205</v>
      </c>
      <c r="BJ67" s="2509" cm="1">
        <f t="array" aca="1" ref="BJ67" ca="1">INDIRECT("'※ 재무_세부시트'!"&amp;BJ$1&amp;$AD67, TRUE)</f>
        <v>-4.7555993000000001</v>
      </c>
      <c r="BK67" s="2509" cm="1">
        <f t="array" aca="1" ref="BK67" ca="1">INDIRECT("'※ 재무_세부시트'!"&amp;BK$1&amp;$AD67, TRUE)</f>
        <v>-5.2930238700000007</v>
      </c>
      <c r="BL67" s="2490"/>
      <c r="BM67" s="2490"/>
    </row>
    <row r="68" spans="1:65" ht="20.05" customHeight="1" x14ac:dyDescent="0.55000000000000004">
      <c r="A68" s="2705"/>
      <c r="B68" s="2706"/>
      <c r="C68" s="2706"/>
      <c r="D68" s="2645" t="s">
        <v>751</v>
      </c>
      <c r="E68" s="2645"/>
      <c r="F68" s="2547" cm="1">
        <f t="array" aca="1" ref="F68" ca="1">INDIRECT("'※ 재무_세부시트'!"&amp;F$1&amp;$AD68, TRUE)</f>
        <v>55.423485850000006</v>
      </c>
      <c r="G68" s="2547" cm="1">
        <f t="array" aca="1" ref="G68" ca="1">INDIRECT("'※ 재무_세부시트'!"&amp;G$1&amp;$AD68, TRUE)</f>
        <v>51.909477700000011</v>
      </c>
      <c r="H68" s="2548" cm="1">
        <f t="array" aca="1" ref="H68" ca="1">INDIRECT("'※ 재무_세부시트'!"&amp;H$1&amp;$AD68, TRUE)</f>
        <v>8.8945883099999996</v>
      </c>
      <c r="I68" s="2549" cm="1">
        <f t="array" aca="1" ref="I68" ca="1">INDIRECT("'※ 재무_세부시트'!"&amp;I$1&amp;$AD68, TRUE)</f>
        <v>8.7579190600000008</v>
      </c>
      <c r="J68" s="2549" cm="1">
        <f t="array" aca="1" ref="J68" ca="1">INDIRECT("'※ 재무_세부시트'!"&amp;J$1&amp;$AD68, TRUE)</f>
        <v>-6.7442278800000004</v>
      </c>
      <c r="K68" s="2549" cm="1">
        <f t="array" aca="1" ref="K68" ca="1">INDIRECT("'※ 재무_세부시트'!"&amp;K$1&amp;$AD68, TRUE)</f>
        <v>8.6368534399999994</v>
      </c>
      <c r="L68" s="2549" cm="1">
        <f t="array" aca="1" ref="L68" ca="1">INDIRECT("'※ 재무_세부시트'!"&amp;L$1&amp;$AD68, TRUE)</f>
        <v>8.6179002199999992</v>
      </c>
      <c r="M68" s="2549" cm="1">
        <f t="array" aca="1" ref="M68" ca="1">INDIRECT("'※ 재무_세부시트'!"&amp;M$1&amp;$AD68, TRUE)</f>
        <v>-7.0925130699999999</v>
      </c>
      <c r="N68" s="2549" cm="1">
        <f t="array" aca="1" ref="N68" ca="1">INDIRECT("'※ 재무_세부시트'!"&amp;N$1&amp;$AD68, TRUE)</f>
        <v>8.8066315300000007</v>
      </c>
      <c r="O68" s="2549" cm="1">
        <f t="array" aca="1" ref="O68" ca="1">INDIRECT("'※ 재무_세부시트'!"&amp;O$1&amp;$AD68, TRUE)</f>
        <v>9.1612363099999996</v>
      </c>
      <c r="P68" s="2549" cm="1">
        <f t="array" aca="1" ref="P68" ca="1">INDIRECT("'※ 재무_세부시트'!"&amp;P$1&amp;$AD68, TRUE)</f>
        <v>-6.7188190499999996</v>
      </c>
      <c r="Q68" s="2549" cm="1">
        <f t="array" aca="1" ref="Q68" ca="1">INDIRECT("'※ 재무_세부시트'!"&amp;Q$1&amp;$AD68, TRUE)</f>
        <v>9.1146556000000007</v>
      </c>
      <c r="R68" s="2549" cm="1">
        <f t="array" aca="1" ref="R68" ca="1">INDIRECT("'※ 재무_세부시트'!"&amp;R$1&amp;$AD68, TRUE)</f>
        <v>9.9594284999999996</v>
      </c>
      <c r="S68" s="2549" cm="1">
        <f t="array" aca="1" ref="S68" ca="1">INDIRECT("'※ 재무_세부시트'!"&amp;S$1&amp;$AD68, TRUE)</f>
        <v>-6.5082547799999997</v>
      </c>
      <c r="T68" s="2550" cm="1">
        <f t="array" aca="1" ref="T68" ca="1">INDIRECT("'※ 재무_세부시트'!"&amp;T$1&amp;$AD68, TRUE)</f>
        <v>0</v>
      </c>
      <c r="U68" s="2550" cm="1">
        <f t="array" aca="1" ref="U68" ca="1">INDIRECT("'※ 재무_세부시트'!"&amp;U$1&amp;$AD68, TRUE)</f>
        <v>-6.5082547799999997</v>
      </c>
      <c r="V68" s="2551" cm="1">
        <f t="array" aca="1" ref="V68" ca="1">INDIRECT("'※ 재무_세부시트'!"&amp;V$1&amp;$AD68, TRUE)</f>
        <v>0</v>
      </c>
      <c r="W68" s="2559" cm="1">
        <f t="array" aca="1" ref="W68" ca="1">INDIRECT("'※ 재무_세부시트'!"&amp;W$1&amp;$AD68, TRUE)</f>
        <v>-16.467683279999999</v>
      </c>
      <c r="X68" s="2555" cm="1">
        <f t="array" aca="1" ref="X68" ca="1">INDIRECT("'※ 재무_세부시트'!"&amp;X$1&amp;$AD68, TRUE)</f>
        <v>0.87788805000000014</v>
      </c>
      <c r="Y68" s="2555" cm="1">
        <f t="array" aca="1" ref="Y68" ca="1">INDIRECT("'※ 재무_세부시트'!"&amp;Y$1&amp;$AD68, TRUE)</f>
        <v>0</v>
      </c>
      <c r="Z68" s="2554" cm="1">
        <f t="array" aca="1" ref="Z68" ca="1">INDIRECT("'※ 재무_세부시트'!"&amp;Z$1&amp;$AD68, TRUE)</f>
        <v>44.885398190000004</v>
      </c>
      <c r="AA68" s="2555" cm="1">
        <f t="array" aca="1" ref="AA68" ca="1">INDIRECT("'※ 재무_세부시트'!"&amp;AA$1&amp;$AD68, TRUE)</f>
        <v>44.885398190000004</v>
      </c>
      <c r="AB68" s="2707" cm="1">
        <f t="array" aca="1" ref="AB68" ca="1">INDIRECT("'※ 재무_세부시트'!"&amp;AB$1&amp;$AD68, TRUE)</f>
        <v>0</v>
      </c>
      <c r="AC68" s="2708" cm="1">
        <f t="array" aca="1" ref="AC68" ca="1">INDIRECT("'※ 재무_세부시트'!"&amp;AC$1&amp;$AD68, TRUE)</f>
        <v>-7.0240795100000071</v>
      </c>
      <c r="AD68" s="2441">
        <v>67</v>
      </c>
      <c r="AE68" s="2504">
        <v>10.067227239999999</v>
      </c>
      <c r="AF68" s="2504">
        <v>10.079497290000001</v>
      </c>
      <c r="AG68" s="2504">
        <v>-6.597503989999999</v>
      </c>
      <c r="AH68" s="2504">
        <v>9.6163084000000012</v>
      </c>
      <c r="AI68" s="2504">
        <v>9.6299869299999994</v>
      </c>
      <c r="AJ68" s="2504">
        <v>-4.6677410699999999</v>
      </c>
      <c r="AK68" s="2504">
        <v>9.56110054</v>
      </c>
      <c r="AL68" s="2504">
        <v>10.153815</v>
      </c>
      <c r="AM68" s="2504">
        <v>-6.1497043800000002</v>
      </c>
      <c r="AN68" s="2504">
        <v>9.6736028600000008</v>
      </c>
      <c r="AO68" s="2504">
        <v>10.018113420000001</v>
      </c>
      <c r="AP68" s="2504">
        <v>-5.9612163899999997</v>
      </c>
      <c r="AQ68" s="2505">
        <f t="shared" si="39"/>
        <v>55.423485850000006</v>
      </c>
      <c r="AR68" s="2488"/>
      <c r="AS68" s="2504">
        <v>10.045069894200001</v>
      </c>
      <c r="AT68" s="2504">
        <v>10.2618371331</v>
      </c>
      <c r="AU68" s="2504">
        <v>-5.2310865594135247</v>
      </c>
      <c r="AV68" s="2504">
        <v>9.8104156546999999</v>
      </c>
      <c r="AW68" s="2504">
        <v>9.7704587719999996</v>
      </c>
      <c r="AX68" s="2504">
        <v>-5.3965704073135248</v>
      </c>
      <c r="AY68" s="2504">
        <v>9.8211529721000019</v>
      </c>
      <c r="AZ68" s="2504">
        <v>10.238644365600001</v>
      </c>
      <c r="BA68" s="2504">
        <v>-5.351846715513525</v>
      </c>
      <c r="BB68" s="2504">
        <v>9.9299453109999991</v>
      </c>
      <c r="BC68" s="2504">
        <v>9.7384188812999994</v>
      </c>
      <c r="BD68" s="2504">
        <v>-5.2838665095135253</v>
      </c>
      <c r="BE68" s="2505">
        <f t="shared" si="40"/>
        <v>58.352572792245901</v>
      </c>
      <c r="BG68" s="2509" cm="1">
        <f t="array" aca="1" ref="BG68" ca="1">INDIRECT("'※ 재무_세부시트'!"&amp;BG$1&amp;$AD68, TRUE)</f>
        <v>10.067227239999999</v>
      </c>
      <c r="BH68" s="2509" cm="1">
        <f t="array" aca="1" ref="BH68" ca="1">INDIRECT("'※ 재무_세부시트'!"&amp;BH$1&amp;$AD68, TRUE)</f>
        <v>55.423485850000006</v>
      </c>
      <c r="BI68" s="2509" cm="1">
        <f t="array" aca="1" ref="BI68" ca="1">INDIRECT("'※ 재무_세부시트'!"&amp;BI$1&amp;$AD68, TRUE)</f>
        <v>9.56110054</v>
      </c>
      <c r="BJ68" s="2509" cm="1">
        <f t="array" aca="1" ref="BJ68" ca="1">INDIRECT("'※ 재무_세부시트'!"&amp;BJ$1&amp;$AD68, TRUE)</f>
        <v>-5.3636931800000003</v>
      </c>
      <c r="BK68" s="2509" cm="1">
        <f t="array" aca="1" ref="BK68" ca="1">INDIRECT("'※ 재무_세부시트'!"&amp;BK$1&amp;$AD68, TRUE)</f>
        <v>-6.1497043800000002</v>
      </c>
      <c r="BL68" s="2490"/>
      <c r="BM68" s="2490"/>
    </row>
    <row r="69" spans="1:65" ht="20.05" customHeight="1" x14ac:dyDescent="0.55000000000000004">
      <c r="A69" s="2705"/>
      <c r="B69" s="2645"/>
      <c r="C69" s="2645"/>
      <c r="D69" s="2709" t="s">
        <v>752</v>
      </c>
      <c r="E69" s="2645"/>
      <c r="F69" s="2547" cm="1">
        <f t="array" aca="1" ref="F69" ca="1">INDIRECT("'※ 재무_세부시트'!"&amp;F$1&amp;$AD69, TRUE)</f>
        <v>8.8055462300000009</v>
      </c>
      <c r="G69" s="2547" cm="1">
        <f t="array" aca="1" ref="G69" ca="1">INDIRECT("'※ 재무_세부시트'!"&amp;G$1&amp;$AD69, TRUE)</f>
        <v>8.9942903600000026</v>
      </c>
      <c r="H69" s="2548" cm="1">
        <f t="array" aca="1" ref="H69" ca="1">INDIRECT("'※ 재무_세부시트'!"&amp;H$1&amp;$AD69, TRUE)</f>
        <v>0.82053047999999995</v>
      </c>
      <c r="I69" s="2549" cm="1">
        <f t="array" aca="1" ref="I69" ca="1">INDIRECT("'※ 재무_세부시트'!"&amp;I$1&amp;$AD69, TRUE)</f>
        <v>0.88010606000000002</v>
      </c>
      <c r="J69" s="2549" cm="1">
        <f t="array" aca="1" ref="J69" ca="1">INDIRECT("'※ 재무_세부시트'!"&amp;J$1&amp;$AD69, TRUE)</f>
        <v>0.82276914000000001</v>
      </c>
      <c r="K69" s="2549" cm="1">
        <f t="array" aca="1" ref="K69" ca="1">INDIRECT("'※ 재무_세부시트'!"&amp;K$1&amp;$AD69, TRUE)</f>
        <v>0.58118793000000002</v>
      </c>
      <c r="L69" s="2549" cm="1">
        <f t="array" aca="1" ref="L69" ca="1">INDIRECT("'※ 재무_세부시트'!"&amp;L$1&amp;$AD69, TRUE)</f>
        <v>0.53026055000000005</v>
      </c>
      <c r="M69" s="2549" cm="1">
        <f t="array" aca="1" ref="M69" ca="1">INDIRECT("'※ 재무_세부시트'!"&amp;M$1&amp;$AD69, TRUE)</f>
        <v>0.57015318999999998</v>
      </c>
      <c r="N69" s="2549" cm="1">
        <f t="array" aca="1" ref="N69" ca="1">INDIRECT("'※ 재무_세부시트'!"&amp;N$1&amp;$AD69, TRUE)</f>
        <v>0.72172119000000001</v>
      </c>
      <c r="O69" s="2549" cm="1">
        <f t="array" aca="1" ref="O69" ca="1">INDIRECT("'※ 재무_세부시트'!"&amp;O$1&amp;$AD69, TRUE)</f>
        <v>0.83281161000000004</v>
      </c>
      <c r="P69" s="2549" cm="1">
        <f t="array" aca="1" ref="P69" ca="1">INDIRECT("'※ 재무_세부시트'!"&amp;P$1&amp;$AD69, TRUE)</f>
        <v>0.78448392</v>
      </c>
      <c r="Q69" s="2549" cm="1">
        <f t="array" aca="1" ref="Q69" ca="1">INDIRECT("'※ 재무_세부시트'!"&amp;Q$1&amp;$AD69, TRUE)</f>
        <v>0.62359114999999998</v>
      </c>
      <c r="R69" s="2549" cm="1">
        <f t="array" aca="1" ref="R69" ca="1">INDIRECT("'※ 재무_세부시트'!"&amp;R$1&amp;$AD69, TRUE)</f>
        <v>0.52352582999999997</v>
      </c>
      <c r="S69" s="2549" cm="1">
        <f t="array" aca="1" ref="S69" ca="1">INDIRECT("'※ 재무_세부시트'!"&amp;S$1&amp;$AD69, TRUE)</f>
        <v>0.57497469999999995</v>
      </c>
      <c r="T69" s="2550" cm="1">
        <f t="array" aca="1" ref="T69" ca="1">INDIRECT("'※ 재무_세부시트'!"&amp;T$1&amp;$AD69, TRUE)</f>
        <v>0</v>
      </c>
      <c r="U69" s="2550" cm="1">
        <f t="array" aca="1" ref="U69" ca="1">INDIRECT("'※ 재무_세부시트'!"&amp;U$1&amp;$AD69, TRUE)</f>
        <v>0.57497469999999995</v>
      </c>
      <c r="V69" s="2551" cm="1">
        <f t="array" aca="1" ref="V69" ca="1">INDIRECT("'※ 재무_세부시트'!"&amp;V$1&amp;$AD69, TRUE)</f>
        <v>0</v>
      </c>
      <c r="W69" s="2559" cm="1">
        <f t="array" aca="1" ref="W69" ca="1">INDIRECT("'※ 재무_세부시트'!"&amp;W$1&amp;$AD69, TRUE)</f>
        <v>5.144886999999998E-2</v>
      </c>
      <c r="X69" s="2555" cm="1">
        <f t="array" aca="1" ref="X69" ca="1">INDIRECT("'※ 재무_세부시트'!"&amp;X$1&amp;$AD69, TRUE)</f>
        <v>-0.14823793000000007</v>
      </c>
      <c r="Y69" s="2555" cm="1">
        <f t="array" aca="1" ref="Y69" ca="1">INDIRECT("'※ 재무_세부시트'!"&amp;Y$1&amp;$AD69, TRUE)</f>
        <v>0</v>
      </c>
      <c r="Z69" s="2554" cm="1">
        <f t="array" aca="1" ref="Z69" ca="1">INDIRECT("'※ 재무_세부시트'!"&amp;Z$1&amp;$AD69, TRUE)</f>
        <v>8.2661157500000009</v>
      </c>
      <c r="AA69" s="2555" cm="1">
        <f t="array" aca="1" ref="AA69" ca="1">INDIRECT("'※ 재무_세부시트'!"&amp;AA$1&amp;$AD69, TRUE)</f>
        <v>8.2661157500000009</v>
      </c>
      <c r="AB69" s="2707" cm="1">
        <f t="array" aca="1" ref="AB69" ca="1">INDIRECT("'※ 재무_세부시트'!"&amp;AB$1&amp;$AD69, TRUE)</f>
        <v>0</v>
      </c>
      <c r="AC69" s="2708" cm="1">
        <f t="array" aca="1" ref="AC69" ca="1">INDIRECT("'※ 재무_세부시트'!"&amp;AC$1&amp;$AD69, TRUE)</f>
        <v>-0.72817461000000172</v>
      </c>
      <c r="AD69" s="2441">
        <v>68</v>
      </c>
      <c r="AE69" s="2504">
        <v>0.85705911999999995</v>
      </c>
      <c r="AF69" s="2504">
        <v>0.94099297000000004</v>
      </c>
      <c r="AG69" s="2504">
        <v>0.79286400000000001</v>
      </c>
      <c r="AH69" s="2504">
        <v>0.60344215000000001</v>
      </c>
      <c r="AI69" s="2504">
        <v>0.53936982999999994</v>
      </c>
      <c r="AJ69" s="2504">
        <v>0.62379388000000002</v>
      </c>
      <c r="AK69" s="2504">
        <v>0.73463150999999993</v>
      </c>
      <c r="AL69" s="2504">
        <v>0.96102293999999999</v>
      </c>
      <c r="AM69" s="2504">
        <v>0.85668051000000001</v>
      </c>
      <c r="AN69" s="2504">
        <v>0.62290697000000006</v>
      </c>
      <c r="AO69" s="2504">
        <v>0.57340108000000001</v>
      </c>
      <c r="AP69" s="2504">
        <v>0.69938126999999994</v>
      </c>
      <c r="AQ69" s="2505">
        <f t="shared" si="39"/>
        <v>8.8055462300000009</v>
      </c>
      <c r="AR69" s="2488"/>
      <c r="AS69" s="2504">
        <v>0.78015231684674091</v>
      </c>
      <c r="AT69" s="2504">
        <v>0.84235079339302699</v>
      </c>
      <c r="AU69" s="2504">
        <v>0.77068321800843431</v>
      </c>
      <c r="AV69" s="2504">
        <v>0.71282140334665978</v>
      </c>
      <c r="AW69" s="2504">
        <v>0.70135630721824926</v>
      </c>
      <c r="AX69" s="2504">
        <v>0.7231998285228779</v>
      </c>
      <c r="AY69" s="2504">
        <v>0.71590233378551649</v>
      </c>
      <c r="AZ69" s="2504">
        <v>0.83569593718545354</v>
      </c>
      <c r="BA69" s="2504">
        <v>0.73603269713162989</v>
      </c>
      <c r="BB69" s="2504">
        <v>0.74711884866952472</v>
      </c>
      <c r="BC69" s="2504">
        <v>0.6921628866609626</v>
      </c>
      <c r="BD69" s="2504">
        <v>0.75553871321579147</v>
      </c>
      <c r="BE69" s="2505">
        <f t="shared" si="40"/>
        <v>9.013015283984867</v>
      </c>
      <c r="BG69" s="2509" cm="1">
        <f t="array" aca="1" ref="BG69" ca="1">INDIRECT("'※ 재무_세부시트'!"&amp;BG$1&amp;$AD69, TRUE)</f>
        <v>0.85705911999999995</v>
      </c>
      <c r="BH69" s="2509" cm="1">
        <f t="array" aca="1" ref="BH69" ca="1">INDIRECT("'※ 재무_세부시트'!"&amp;BH$1&amp;$AD69, TRUE)</f>
        <v>8.8055462300000009</v>
      </c>
      <c r="BI69" s="2509" cm="1">
        <f t="array" aca="1" ref="BI69" ca="1">INDIRECT("'※ 재무_세부시트'!"&amp;BI$1&amp;$AD69, TRUE)</f>
        <v>0.73463150999999993</v>
      </c>
      <c r="BJ69" s="2509" cm="1">
        <f t="array" aca="1" ref="BJ69" ca="1">INDIRECT("'※ 재무_세부시트'!"&amp;BJ$1&amp;$AD69, TRUE)</f>
        <v>0.60809387999999998</v>
      </c>
      <c r="BK69" s="2509" cm="1">
        <f t="array" aca="1" ref="BK69" ca="1">INDIRECT("'※ 재무_세부시트'!"&amp;BK$1&amp;$AD69, TRUE)</f>
        <v>0.85668051000000001</v>
      </c>
      <c r="BL69" s="2490"/>
      <c r="BM69" s="2490"/>
    </row>
    <row r="70" spans="1:65" ht="30.55" customHeight="1" x14ac:dyDescent="0.55000000000000004">
      <c r="A70" s="2705"/>
      <c r="B70" s="2706"/>
      <c r="C70" s="2746" t="s">
        <v>15</v>
      </c>
      <c r="D70" s="2747"/>
      <c r="E70" s="2747"/>
      <c r="F70" s="2748" cm="1">
        <f t="array" aca="1" ref="F70" ca="1">INDIRECT("'※ 재무_세부시트'!"&amp;F$1&amp;$AD70, TRUE)</f>
        <v>64.368373640000002</v>
      </c>
      <c r="G70" s="2748" cm="1">
        <f t="array" aca="1" ref="G70" ca="1">INDIRECT("'※ 재무_세부시트'!"&amp;G$1&amp;$AD70, TRUE)</f>
        <v>63.659271740000008</v>
      </c>
      <c r="H70" s="2749" cm="1">
        <f t="array" aca="1" ref="H70" ca="1">INDIRECT("'※ 재무_세부시트'!"&amp;H$1&amp;$AD70, TRUE)</f>
        <v>0.65426589999999996</v>
      </c>
      <c r="I70" s="2750" cm="1">
        <f t="array" aca="1" ref="I70" ca="1">INDIRECT("'※ 재무_세부시트'!"&amp;I$1&amp;$AD70, TRUE)</f>
        <v>0.65426589999999996</v>
      </c>
      <c r="J70" s="2750" cm="1">
        <f t="array" aca="1" ref="J70" ca="1">INDIRECT("'※ 재무_세부시트'!"&amp;J$1&amp;$AD70, TRUE)</f>
        <v>14.606176850000001</v>
      </c>
      <c r="K70" s="2750" cm="1">
        <f t="array" aca="1" ref="K70" ca="1">INDIRECT("'※ 재무_세부시트'!"&amp;K$1&amp;$AD70, TRUE)</f>
        <v>0.64824418000000006</v>
      </c>
      <c r="L70" s="2750" cm="1">
        <f t="array" aca="1" ref="L70" ca="1">INDIRECT("'※ 재무_세부시트'!"&amp;L$1&amp;$AD70, TRUE)</f>
        <v>0.64533783</v>
      </c>
      <c r="M70" s="2750" cm="1">
        <f t="array" aca="1" ref="M70" ca="1">INDIRECT("'※ 재무_세부시트'!"&amp;M$1&amp;$AD70, TRUE)</f>
        <v>14.50026212</v>
      </c>
      <c r="N70" s="2750" cm="1">
        <f t="array" aca="1" ref="N70" ca="1">INDIRECT("'※ 재무_세부시트'!"&amp;N$1&amp;$AD70, TRUE)</f>
        <v>0.64204667000000004</v>
      </c>
      <c r="O70" s="2750" cm="1">
        <f t="array" aca="1" ref="O70" ca="1">INDIRECT("'※ 재무_세부시트'!"&amp;O$1&amp;$AD70, TRUE)</f>
        <v>0.64204667000000004</v>
      </c>
      <c r="P70" s="2750" cm="1">
        <f t="array" aca="1" ref="P70" ca="1">INDIRECT("'※ 재무_세부시트'!"&amp;P$1&amp;$AD70, TRUE)</f>
        <v>14.771109919999999</v>
      </c>
      <c r="Q70" s="2750" cm="1">
        <f t="array" aca="1" ref="Q70" ca="1">INDIRECT("'※ 재무_세부시트'!"&amp;Q$1&amp;$AD70, TRUE)</f>
        <v>0.63622778999999996</v>
      </c>
      <c r="R70" s="2750" cm="1">
        <f t="array" aca="1" ref="R70" ca="1">INDIRECT("'※ 재무_세부시트'!"&amp;R$1&amp;$AD70, TRUE)</f>
        <v>0.63622778999999996</v>
      </c>
      <c r="S70" s="2750" cm="1">
        <f t="array" aca="1" ref="S70" ca="1">INDIRECT("'※ 재무_세부시트'!"&amp;S$1&amp;$AD70, TRUE)</f>
        <v>14.84540185</v>
      </c>
      <c r="T70" s="2751" cm="1">
        <f t="array" aca="1" ref="T70" ca="1">INDIRECT("'※ 재무_세부시트'!"&amp;T$1&amp;$AD70, TRUE)</f>
        <v>0</v>
      </c>
      <c r="U70" s="2751" cm="1">
        <f t="array" aca="1" ref="U70" ca="1">INDIRECT("'※ 재무_세부시트'!"&amp;U$1&amp;$AD70, TRUE)</f>
        <v>14.84540185</v>
      </c>
      <c r="V70" s="2752" cm="1">
        <f t="array" aca="1" ref="V70" ca="1">INDIRECT("'※ 재무_세부시트'!"&amp;V$1&amp;$AD70, TRUE)</f>
        <v>0</v>
      </c>
      <c r="W70" s="2753" cm="1">
        <f t="array" aca="1" ref="W70" ca="1">INDIRECT("'※ 재무_세부시트'!"&amp;W$1&amp;$AD70, TRUE)</f>
        <v>14.20917406</v>
      </c>
      <c r="X70" s="2754" cm="1">
        <f t="array" aca="1" ref="X70" ca="1">INDIRECT("'※ 재무_세부시트'!"&amp;X$1&amp;$AD70, TRUE)</f>
        <v>0.2625480299999996</v>
      </c>
      <c r="Y70" s="2754" cm="1">
        <f t="array" aca="1" ref="Y70" ca="1">INDIRECT("'※ 재무_세부시트'!"&amp;Y$1&amp;$AD70, TRUE)</f>
        <v>0</v>
      </c>
      <c r="Z70" s="2755" cm="1">
        <f t="array" aca="1" ref="Z70" ca="1">INDIRECT("'※ 재무_세부시트'!"&amp;Z$1&amp;$AD70, TRUE)</f>
        <v>63.881613469999998</v>
      </c>
      <c r="AA70" s="2754" cm="1">
        <f t="array" aca="1" ref="AA70" ca="1">INDIRECT("'※ 재무_세부시트'!"&amp;AA$1&amp;$AD70, TRUE)</f>
        <v>63.881613469999998</v>
      </c>
      <c r="AB70" s="2756" cm="1">
        <f t="array" aca="1" ref="AB70" ca="1">INDIRECT("'※ 재무_세부시트'!"&amp;AB$1&amp;$AD70, TRUE)</f>
        <v>0</v>
      </c>
      <c r="AC70" s="2757" cm="1">
        <f t="array" aca="1" ref="AC70" ca="1">INDIRECT("'※ 재무_세부시트'!"&amp;AC$1&amp;$AD70, TRUE)</f>
        <v>0.22234172999998947</v>
      </c>
      <c r="AD70" s="2441">
        <v>69</v>
      </c>
      <c r="AE70" s="2504">
        <v>0.74262206999999991</v>
      </c>
      <c r="AF70" s="2504">
        <v>0.7744553999999999</v>
      </c>
      <c r="AG70" s="2504">
        <v>14.416923960000002</v>
      </c>
      <c r="AH70" s="2504">
        <v>0.78998683000000003</v>
      </c>
      <c r="AI70" s="2504">
        <v>0.79131074000000001</v>
      </c>
      <c r="AJ70" s="2504">
        <v>14.503235609999999</v>
      </c>
      <c r="AK70" s="2504">
        <v>0.90104266999999993</v>
      </c>
      <c r="AL70" s="2504">
        <v>0.88435212000000007</v>
      </c>
      <c r="AM70" s="2504">
        <v>14.650685309999998</v>
      </c>
      <c r="AN70" s="2504">
        <v>0.89288020000000001</v>
      </c>
      <c r="AO70" s="2504">
        <v>0.86426654999999997</v>
      </c>
      <c r="AP70" s="2504">
        <v>14.156612180000002</v>
      </c>
      <c r="AQ70" s="2505">
        <f t="shared" si="39"/>
        <v>64.368373640000002</v>
      </c>
      <c r="AR70" s="2488"/>
      <c r="AS70" s="2504">
        <v>1.1865334715899591</v>
      </c>
      <c r="AT70" s="2504">
        <v>1.2477660788282925</v>
      </c>
      <c r="AU70" s="2504">
        <v>14.519892411089961</v>
      </c>
      <c r="AV70" s="2504">
        <v>1.2638146614494996</v>
      </c>
      <c r="AW70" s="2504">
        <v>1.2609634139197616</v>
      </c>
      <c r="AX70" s="2504">
        <v>14.814437797756623</v>
      </c>
      <c r="AY70" s="2504">
        <v>1.4498417629763074</v>
      </c>
      <c r="AZ70" s="2504">
        <v>1.4719041197951708</v>
      </c>
      <c r="BA70" s="2504">
        <v>15.039494807756626</v>
      </c>
      <c r="BB70" s="2504">
        <v>1.4909404103731456</v>
      </c>
      <c r="BC70" s="2504">
        <v>1.5545804203326441</v>
      </c>
      <c r="BD70" s="2504">
        <v>14.571597097756623</v>
      </c>
      <c r="BE70" s="2505">
        <f t="shared" si="40"/>
        <v>69.871766453624616</v>
      </c>
      <c r="BG70" s="2509" cm="1">
        <f t="array" aca="1" ref="BG70" ca="1">INDIRECT("'※ 재무_세부시트'!"&amp;BG$1&amp;$AD70, TRUE)</f>
        <v>0.74262206999999991</v>
      </c>
      <c r="BH70" s="2509" cm="1">
        <f t="array" aca="1" ref="BH70" ca="1">INDIRECT("'※ 재무_세부시트'!"&amp;BH$1&amp;$AD70, TRUE)</f>
        <v>64.368373640000002</v>
      </c>
      <c r="BI70" s="2509" cm="1">
        <f t="array" aca="1" ref="BI70" ca="1">INDIRECT("'※ 재무_세부시트'!"&amp;BI$1&amp;$AD70, TRUE)</f>
        <v>0.90104266999999993</v>
      </c>
      <c r="BJ70" s="2509" cm="1">
        <f t="array" aca="1" ref="BJ70" ca="1">INDIRECT("'※ 재무_세부시트'!"&amp;BJ$1&amp;$AD70, TRUE)</f>
        <v>14.313231510000001</v>
      </c>
      <c r="BK70" s="2509" cm="1">
        <f t="array" aca="1" ref="BK70" ca="1">INDIRECT("'※ 재무_세부시트'!"&amp;BK$1&amp;$AD70, TRUE)</f>
        <v>14.650685309999998</v>
      </c>
      <c r="BL70" s="2490"/>
      <c r="BM70" s="2490"/>
    </row>
    <row r="71" spans="1:65" ht="30.55" customHeight="1" x14ac:dyDescent="0.55000000000000004">
      <c r="A71" s="2705"/>
      <c r="B71" s="2706"/>
      <c r="C71" s="2746" t="s">
        <v>16</v>
      </c>
      <c r="D71" s="2747"/>
      <c r="E71" s="2747"/>
      <c r="F71" s="2748" cm="1">
        <f t="array" aca="1" ref="F71" ca="1">INDIRECT("'※ 재무_세부시트'!"&amp;F$1&amp;$AD71, TRUE)</f>
        <v>305.86653197999993</v>
      </c>
      <c r="G71" s="2748" cm="1">
        <f t="array" aca="1" ref="G71" ca="1">INDIRECT("'※ 재무_세부시트'!"&amp;G$1&amp;$AD71, TRUE)</f>
        <v>361.73051381999994</v>
      </c>
      <c r="H71" s="2749" cm="1">
        <f t="array" aca="1" ref="H71" ca="1">INDIRECT("'※ 재무_세부시트'!"&amp;H$1&amp;$AD71, TRUE)</f>
        <v>27.117529949999994</v>
      </c>
      <c r="I71" s="2750" cm="1">
        <f t="array" aca="1" ref="I71" ca="1">INDIRECT("'※ 재무_세부시트'!"&amp;I$1&amp;$AD71, TRUE)</f>
        <v>30.303052530000002</v>
      </c>
      <c r="J71" s="2750" cm="1">
        <f t="array" aca="1" ref="J71" ca="1">INDIRECT("'※ 재무_세부시트'!"&amp;J$1&amp;$AD71, TRUE)</f>
        <v>24.440859979999999</v>
      </c>
      <c r="K71" s="2750" cm="1">
        <f t="array" aca="1" ref="K71" ca="1">INDIRECT("'※ 재무_세부시트'!"&amp;K$1&amp;$AD71, TRUE)</f>
        <v>28.862476630000003</v>
      </c>
      <c r="L71" s="2750" cm="1">
        <f t="array" aca="1" ref="L71" ca="1">INDIRECT("'※ 재무_세부시트'!"&amp;L$1&amp;$AD71, TRUE)</f>
        <v>28.879000459999997</v>
      </c>
      <c r="M71" s="2750" cm="1">
        <f t="array" aca="1" ref="M71" ca="1">INDIRECT("'※ 재무_세부시트'!"&amp;M$1&amp;$AD71, TRUE)</f>
        <v>29.676162650000002</v>
      </c>
      <c r="N71" s="2750" cm="1">
        <f t="array" aca="1" ref="N71" ca="1">INDIRECT("'※ 재무_세부시트'!"&amp;N$1&amp;$AD71, TRUE)</f>
        <v>36.133007460000002</v>
      </c>
      <c r="O71" s="2750" cm="1">
        <f t="array" aca="1" ref="O71" ca="1">INDIRECT("'※ 재무_세부시트'!"&amp;O$1&amp;$AD71, TRUE)</f>
        <v>28.58526268</v>
      </c>
      <c r="P71" s="2750" cm="1">
        <f t="array" aca="1" ref="P71" ca="1">INDIRECT("'※ 재무_세부시트'!"&amp;P$1&amp;$AD71, TRUE)</f>
        <v>38.206048460000005</v>
      </c>
      <c r="Q71" s="2750" cm="1">
        <f t="array" aca="1" ref="Q71" ca="1">INDIRECT("'※ 재무_세부시트'!"&amp;Q$1&amp;$AD71, TRUE)</f>
        <v>27.32648064</v>
      </c>
      <c r="R71" s="2750" cm="1">
        <f t="array" aca="1" ref="R71" ca="1">INDIRECT("'※ 재무_세부시트'!"&amp;R$1&amp;$AD71, TRUE)</f>
        <v>34.553813720000001</v>
      </c>
      <c r="S71" s="2750" cm="1">
        <f t="array" aca="1" ref="S71" ca="1">INDIRECT("'※ 재무_세부시트'!"&amp;S$1&amp;$AD71, TRUE)</f>
        <v>51.147992049999999</v>
      </c>
      <c r="T71" s="2751" cm="1">
        <f t="array" aca="1" ref="T71" ca="1">INDIRECT("'※ 재무_세부시트'!"&amp;T$1&amp;$AD71, TRUE)</f>
        <v>0</v>
      </c>
      <c r="U71" s="2751" cm="1">
        <f t="array" aca="1" ref="U71" ca="1">INDIRECT("'※ 재무_세부시트'!"&amp;U$1&amp;$AD71, TRUE)</f>
        <v>51.147992049999999</v>
      </c>
      <c r="V71" s="2752" cm="1">
        <f t="array" aca="1" ref="V71" ca="1">INDIRECT("'※ 재무_세부시트'!"&amp;V$1&amp;$AD71, TRUE)</f>
        <v>0</v>
      </c>
      <c r="W71" s="2753" cm="1">
        <f t="array" aca="1" ref="W71" ca="1">INDIRECT("'※ 재무_세부시트'!"&amp;W$1&amp;$AD71, TRUE)</f>
        <v>16.594178329999998</v>
      </c>
      <c r="X71" s="2754" cm="1">
        <f t="array" aca="1" ref="X71" ca="1">INDIRECT("'※ 재무_세부시트'!"&amp;X$1&amp;$AD71, TRUE)</f>
        <v>10.363941619999999</v>
      </c>
      <c r="Y71" s="2754" cm="1">
        <f t="array" aca="1" ref="Y71" ca="1">INDIRECT("'※ 재무_세부시트'!"&amp;Y$1&amp;$AD71, TRUE)</f>
        <v>0</v>
      </c>
      <c r="Z71" s="2755" cm="1">
        <f t="array" aca="1" ref="Z71" ca="1">INDIRECT("'※ 재무_세부시트'!"&amp;Z$1&amp;$AD71, TRUE)</f>
        <v>385.23168721000002</v>
      </c>
      <c r="AA71" s="2754" cm="1">
        <f t="array" aca="1" ref="AA71" ca="1">INDIRECT("'※ 재무_세부시트'!"&amp;AA$1&amp;$AD71, TRUE)</f>
        <v>385.23168721000002</v>
      </c>
      <c r="AB71" s="2756" cm="1">
        <f t="array" aca="1" ref="AB71" ca="1">INDIRECT("'※ 재무_세부시트'!"&amp;AB$1&amp;$AD71, TRUE)</f>
        <v>0</v>
      </c>
      <c r="AC71" s="2757" cm="1">
        <f t="array" aca="1" ref="AC71" ca="1">INDIRECT("'※ 재무_세부시트'!"&amp;AC$1&amp;$AD71, TRUE)</f>
        <v>23.501173390000076</v>
      </c>
      <c r="AD71" s="2441">
        <v>70</v>
      </c>
      <c r="AE71" s="2504">
        <v>21.705428880000003</v>
      </c>
      <c r="AF71" s="2504">
        <v>22.274147029999998</v>
      </c>
      <c r="AG71" s="2504">
        <v>24.0317042</v>
      </c>
      <c r="AH71" s="2504">
        <v>23.141441489999998</v>
      </c>
      <c r="AI71" s="2504">
        <v>20.823820430000001</v>
      </c>
      <c r="AJ71" s="2504">
        <v>23.691168639999997</v>
      </c>
      <c r="AK71" s="2504">
        <v>24.491007190000005</v>
      </c>
      <c r="AL71" s="2504">
        <v>29.984172739999998</v>
      </c>
      <c r="AM71" s="2504">
        <v>21.673296000000001</v>
      </c>
      <c r="AN71" s="2504">
        <v>31.177397399999997</v>
      </c>
      <c r="AO71" s="2504">
        <v>29.200434000000001</v>
      </c>
      <c r="AP71" s="2504">
        <v>33.672513979999984</v>
      </c>
      <c r="AQ71" s="2505">
        <f t="shared" si="39"/>
        <v>305.86653197999993</v>
      </c>
      <c r="AR71" s="2488"/>
      <c r="AS71" s="2504">
        <v>26.042346291125071</v>
      </c>
      <c r="AT71" s="2504">
        <v>25.557253320065957</v>
      </c>
      <c r="AU71" s="2504">
        <v>24.33707785184076</v>
      </c>
      <c r="AV71" s="2504">
        <v>26.902066507604054</v>
      </c>
      <c r="AW71" s="2504">
        <v>24.176409039831555</v>
      </c>
      <c r="AX71" s="2504">
        <v>25.817611271734478</v>
      </c>
      <c r="AY71" s="2504">
        <v>27.39861197132884</v>
      </c>
      <c r="AZ71" s="2504">
        <v>30.06928771606972</v>
      </c>
      <c r="BA71" s="2504">
        <v>24.761857308019334</v>
      </c>
      <c r="BB71" s="2504">
        <v>34.870909081682356</v>
      </c>
      <c r="BC71" s="2504">
        <v>30.732422088720163</v>
      </c>
      <c r="BD71" s="2504">
        <v>34.125286182110884</v>
      </c>
      <c r="BE71" s="2505">
        <f t="shared" si="40"/>
        <v>334.79113863013316</v>
      </c>
      <c r="BG71" s="2509" cm="1">
        <f t="array" aca="1" ref="BG71" ca="1">INDIRECT("'※ 재무_세부시트'!"&amp;BG$1&amp;$AD71, TRUE)</f>
        <v>21.705428880000003</v>
      </c>
      <c r="BH71" s="2509" cm="1">
        <f t="array" aca="1" ref="BH71" ca="1">INDIRECT("'※ 재무_세부시트'!"&amp;BH$1&amp;$AD71, TRUE)</f>
        <v>305.86653197999993</v>
      </c>
      <c r="BI71" s="2509" cm="1">
        <f t="array" aca="1" ref="BI71" ca="1">INDIRECT("'※ 재무_세부시트'!"&amp;BI$1&amp;$AD71, TRUE)</f>
        <v>24.491007190000005</v>
      </c>
      <c r="BJ71" s="2509" cm="1">
        <f t="array" aca="1" ref="BJ71" ca="1">INDIRECT("'※ 재무_세부시트'!"&amp;BJ$1&amp;$AD71, TRUE)</f>
        <v>24.794103979999996</v>
      </c>
      <c r="BK71" s="2509" cm="1">
        <f t="array" aca="1" ref="BK71" ca="1">INDIRECT("'※ 재무_세부시트'!"&amp;BK$1&amp;$AD71, TRUE)</f>
        <v>21.673296000000001</v>
      </c>
      <c r="BL71" s="2490"/>
      <c r="BM71" s="2490"/>
    </row>
    <row r="72" spans="1:65" ht="20.05" customHeight="1" x14ac:dyDescent="0.55000000000000004">
      <c r="A72" s="2705"/>
      <c r="B72" s="2645"/>
      <c r="C72" s="2645"/>
      <c r="D72" s="2645" t="s">
        <v>123</v>
      </c>
      <c r="E72" s="2645" t="s">
        <v>1128</v>
      </c>
      <c r="F72" s="2547" cm="1">
        <f t="array" aca="1" ref="F72" ca="1">INDIRECT("'※ 재무_세부시트'!"&amp;F$1&amp;$AD72, TRUE)</f>
        <v>139.34498740999999</v>
      </c>
      <c r="G72" s="2547" cm="1">
        <f t="array" aca="1" ref="G72" ca="1">INDIRECT("'※ 재무_세부시트'!"&amp;G$1&amp;$AD72, TRUE)</f>
        <v>187.99847083999998</v>
      </c>
      <c r="H72" s="2548" cm="1">
        <f t="array" aca="1" ref="H72" ca="1">INDIRECT("'※ 재무_세부시트'!"&amp;H$1&amp;$AD72, TRUE)</f>
        <v>14.25933495</v>
      </c>
      <c r="I72" s="2549" cm="1">
        <f t="array" aca="1" ref="I72" ca="1">INDIRECT("'※ 재무_세부시트'!"&amp;I$1&amp;$AD72, TRUE)</f>
        <v>16.11374223</v>
      </c>
      <c r="J72" s="2549" cm="1">
        <f t="array" aca="1" ref="J72" ca="1">INDIRECT("'※ 재무_세부시트'!"&amp;J$1&amp;$AD72, TRUE)</f>
        <v>13.015234319999999</v>
      </c>
      <c r="K72" s="2549" cm="1">
        <f t="array" aca="1" ref="K72" ca="1">INDIRECT("'※ 재무_세부시트'!"&amp;K$1&amp;$AD72, TRUE)</f>
        <v>16.231489060000001</v>
      </c>
      <c r="L72" s="2549" cm="1">
        <f t="array" aca="1" ref="L72" ca="1">INDIRECT("'※ 재무_세부시트'!"&amp;L$1&amp;$AD72, TRUE)</f>
        <v>15.242258639999999</v>
      </c>
      <c r="M72" s="2549" cm="1">
        <f t="array" aca="1" ref="M72" ca="1">INDIRECT("'※ 재무_세부시트'!"&amp;M$1&amp;$AD72, TRUE)</f>
        <v>16.64012511</v>
      </c>
      <c r="N72" s="2549" cm="1">
        <f t="array" aca="1" ref="N72" ca="1">INDIRECT("'※ 재무_세부시트'!"&amp;N$1&amp;$AD72, TRUE)</f>
        <v>18.045363380000001</v>
      </c>
      <c r="O72" s="2549" cm="1">
        <f t="array" aca="1" ref="O72" ca="1">INDIRECT("'※ 재무_세부시트'!"&amp;O$1&amp;$AD72, TRUE)</f>
        <v>15.730022440000001</v>
      </c>
      <c r="P72" s="2549" cm="1">
        <f t="array" aca="1" ref="P72" ca="1">INDIRECT("'※ 재무_세부시트'!"&amp;P$1&amp;$AD72, TRUE)</f>
        <v>21.1699837</v>
      </c>
      <c r="Q72" s="2549" cm="1">
        <f t="array" aca="1" ref="Q72" ca="1">INDIRECT("'※ 재무_세부시트'!"&amp;Q$1&amp;$AD72, TRUE)</f>
        <v>13.592907370000001</v>
      </c>
      <c r="R72" s="2549" cm="1">
        <f t="array" aca="1" ref="R72" ca="1">INDIRECT("'※ 재무_세부시트'!"&amp;R$1&amp;$AD72, TRUE)</f>
        <v>19.962045929999999</v>
      </c>
      <c r="S72" s="2549" cm="1">
        <f t="array" aca="1" ref="S72" ca="1">INDIRECT("'※ 재무_세부시트'!"&amp;S$1&amp;$AD72, TRUE)</f>
        <v>29.77658379</v>
      </c>
      <c r="T72" s="2550" cm="1">
        <f t="array" aca="1" ref="T72" ca="1">INDIRECT("'※ 재무_세부시트'!"&amp;T$1&amp;$AD72, TRUE)</f>
        <v>0</v>
      </c>
      <c r="U72" s="2550" cm="1">
        <f t="array" aca="1" ref="U72" ca="1">INDIRECT("'※ 재무_세부시트'!"&amp;U$1&amp;$AD72, TRUE)</f>
        <v>29.77658379</v>
      </c>
      <c r="V72" s="2551" cm="1">
        <f t="array" aca="1" ref="V72" ca="1">INDIRECT("'※ 재무_세부시트'!"&amp;V$1&amp;$AD72, TRUE)</f>
        <v>0</v>
      </c>
      <c r="W72" s="2559" cm="1">
        <f t="array" aca="1" ref="W72" ca="1">INDIRECT("'※ 재무_세부시트'!"&amp;W$1&amp;$AD72, TRUE)</f>
        <v>9.8145378600000015</v>
      </c>
      <c r="X72" s="2555" cm="1">
        <f t="array" aca="1" ref="X72" ca="1">INDIRECT("'※ 재무_세부시트'!"&amp;X$1&amp;$AD72, TRUE)</f>
        <v>8.3020774700000004</v>
      </c>
      <c r="Y72" s="2555" cm="1">
        <f t="array" aca="1" ref="Y72" ca="1">INDIRECT("'※ 재무_세부시트'!"&amp;Y$1&amp;$AD72, TRUE)</f>
        <v>0</v>
      </c>
      <c r="Z72" s="2554" cm="1">
        <f t="array" aca="1" ref="Z72" ca="1">INDIRECT("'※ 재무_세부시트'!"&amp;Z$1&amp;$AD72, TRUE)</f>
        <v>209.77909091999999</v>
      </c>
      <c r="AA72" s="2555" cm="1">
        <f t="array" aca="1" ref="AA72" ca="1">INDIRECT("'※ 재무_세부시트'!"&amp;AA$1&amp;$AD72, TRUE)</f>
        <v>209.77909091999999</v>
      </c>
      <c r="AB72" s="2707" cm="1">
        <f t="array" aca="1" ref="AB72" ca="1">INDIRECT("'※ 재무_세부시트'!"&amp;AB$1&amp;$AD72, TRUE)</f>
        <v>0</v>
      </c>
      <c r="AC72" s="2708" cm="1">
        <f t="array" aca="1" ref="AC72" ca="1">INDIRECT("'※ 재무_세부시트'!"&amp;AC$1&amp;$AD72, TRUE)</f>
        <v>21.780620080000006</v>
      </c>
      <c r="AD72" s="2441">
        <v>71</v>
      </c>
      <c r="AE72" s="2504">
        <v>8.8479042600000017</v>
      </c>
      <c r="AF72" s="2504">
        <v>9.3419312100000003</v>
      </c>
      <c r="AG72" s="2504">
        <v>10.98023382</v>
      </c>
      <c r="AH72" s="2504">
        <v>10.43699181</v>
      </c>
      <c r="AI72" s="2504">
        <v>9.4584486299999995</v>
      </c>
      <c r="AJ72" s="2504">
        <v>11.983378419999999</v>
      </c>
      <c r="AK72" s="2504">
        <v>10.262751290000001</v>
      </c>
      <c r="AL72" s="2504">
        <v>11.067936339999999</v>
      </c>
      <c r="AM72" s="2504">
        <v>10.375607309999999</v>
      </c>
      <c r="AN72" s="2504">
        <v>16.877777229999996</v>
      </c>
      <c r="AO72" s="2504">
        <v>16.06811424</v>
      </c>
      <c r="AP72" s="2504">
        <v>13.643912849999998</v>
      </c>
      <c r="AQ72" s="2505">
        <f t="shared" si="39"/>
        <v>139.34498740999999</v>
      </c>
      <c r="AR72" s="2488"/>
      <c r="AS72" s="2504">
        <v>10.061084818126126</v>
      </c>
      <c r="AT72" s="2504">
        <v>10.268858745426128</v>
      </c>
      <c r="AU72" s="2504">
        <v>10.329733587526125</v>
      </c>
      <c r="AV72" s="2504">
        <v>12.048745224726126</v>
      </c>
      <c r="AW72" s="2504">
        <v>10.365431027526126</v>
      </c>
      <c r="AX72" s="2504">
        <v>11.842770252426126</v>
      </c>
      <c r="AY72" s="2504">
        <v>10.218648966026128</v>
      </c>
      <c r="AZ72" s="2504">
        <v>10.649640294426126</v>
      </c>
      <c r="BA72" s="2504">
        <v>10.815181180026125</v>
      </c>
      <c r="BB72" s="2504">
        <v>17.020796912626125</v>
      </c>
      <c r="BC72" s="2504">
        <v>16.411988063726128</v>
      </c>
      <c r="BD72" s="2504">
        <v>13.353480816226124</v>
      </c>
      <c r="BE72" s="2505">
        <f t="shared" si="40"/>
        <v>143.3863598888135</v>
      </c>
      <c r="BG72" s="2509" cm="1">
        <f t="array" aca="1" ref="BG72" ca="1">INDIRECT("'※ 재무_세부시트'!"&amp;BG$1&amp;$AD72, TRUE)</f>
        <v>8.8479042600000017</v>
      </c>
      <c r="BH72" s="2509" cm="1">
        <f t="array" aca="1" ref="BH72" ca="1">INDIRECT("'※ 재무_세부시트'!"&amp;BH$1&amp;$AD72, TRUE)</f>
        <v>139.34498740999999</v>
      </c>
      <c r="BI72" s="2509" cm="1">
        <f t="array" aca="1" ref="BI72" ca="1">INDIRECT("'※ 재무_세부시트'!"&amp;BI$1&amp;$AD72, TRUE)</f>
        <v>10.262751290000001</v>
      </c>
      <c r="BJ72" s="2509" cm="1">
        <f t="array" aca="1" ref="BJ72" ca="1">INDIRECT("'※ 재무_세부시트'!"&amp;BJ$1&amp;$AD72, TRUE)</f>
        <v>10.86711341</v>
      </c>
      <c r="BK72" s="2509" cm="1">
        <f t="array" aca="1" ref="BK72" ca="1">INDIRECT("'※ 재무_세부시트'!"&amp;BK$1&amp;$AD72, TRUE)</f>
        <v>10.375607309999999</v>
      </c>
      <c r="BL72" s="2490"/>
      <c r="BM72" s="2490"/>
    </row>
    <row r="73" spans="1:65" ht="20.05" customHeight="1" x14ac:dyDescent="0.55000000000000004">
      <c r="A73" s="2705"/>
      <c r="B73" s="2645"/>
      <c r="C73" s="2645"/>
      <c r="D73" s="2645" t="s">
        <v>125</v>
      </c>
      <c r="E73" s="2645"/>
      <c r="F73" s="2547" cm="1">
        <f t="array" aca="1" ref="F73" ca="1">INDIRECT("'※ 재무_세부시트'!"&amp;F$1&amp;$AD73, TRUE)</f>
        <v>69.92164154000001</v>
      </c>
      <c r="G73" s="2547" cm="1">
        <f t="array" aca="1" ref="G73" ca="1">INDIRECT("'※ 재무_세부시트'!"&amp;G$1&amp;$AD73, TRUE)</f>
        <v>59.29848921</v>
      </c>
      <c r="H73" s="2548" cm="1">
        <f t="array" aca="1" ref="H73" ca="1">INDIRECT("'※ 재무_세부시트'!"&amp;H$1&amp;$AD73, TRUE)</f>
        <v>4.3623994100000001</v>
      </c>
      <c r="I73" s="2549" cm="1">
        <f t="array" aca="1" ref="I73" ca="1">INDIRECT("'※ 재무_세부시트'!"&amp;I$1&amp;$AD73, TRUE)</f>
        <v>4.3079148600000003</v>
      </c>
      <c r="J73" s="2549" cm="1">
        <f t="array" aca="1" ref="J73" ca="1">INDIRECT("'※ 재무_세부시트'!"&amp;J$1&amp;$AD73, TRUE)</f>
        <v>4.2781094</v>
      </c>
      <c r="K73" s="2549" cm="1">
        <f t="array" aca="1" ref="K73" ca="1">INDIRECT("'※ 재무_세부시트'!"&amp;K$1&amp;$AD73, TRUE)</f>
        <v>4.9214912999999996</v>
      </c>
      <c r="L73" s="2549" cm="1">
        <f t="array" aca="1" ref="L73" ca="1">INDIRECT("'※ 재무_세부시트'!"&amp;L$1&amp;$AD73, TRUE)</f>
        <v>4.2729929899999997</v>
      </c>
      <c r="M73" s="2549" cm="1">
        <f t="array" aca="1" ref="M73" ca="1">INDIRECT("'※ 재무_세부시트'!"&amp;M$1&amp;$AD73, TRUE)</f>
        <v>4.7569622699999998</v>
      </c>
      <c r="N73" s="2549" cm="1">
        <f t="array" aca="1" ref="N73" ca="1">INDIRECT("'※ 재무_세부시트'!"&amp;N$1&amp;$AD73, TRUE)</f>
        <v>6.0612594299999998</v>
      </c>
      <c r="O73" s="2549" cm="1">
        <f t="array" aca="1" ref="O73" ca="1">INDIRECT("'※ 재무_세부시트'!"&amp;O$1&amp;$AD73, TRUE)</f>
        <v>4.2144966100000003</v>
      </c>
      <c r="P73" s="2549" cm="1">
        <f t="array" aca="1" ref="P73" ca="1">INDIRECT("'※ 재무_세부시트'!"&amp;P$1&amp;$AD73, TRUE)</f>
        <v>5.6789280700000004</v>
      </c>
      <c r="Q73" s="2549" cm="1">
        <f t="array" aca="1" ref="Q73" ca="1">INDIRECT("'※ 재무_세부시트'!"&amp;Q$1&amp;$AD73, TRUE)</f>
        <v>4.3927412800000001</v>
      </c>
      <c r="R73" s="2549" cm="1">
        <f t="array" aca="1" ref="R73" ca="1">INDIRECT("'※ 재무_세부시트'!"&amp;R$1&amp;$AD73, TRUE)</f>
        <v>4.8066261600000004</v>
      </c>
      <c r="S73" s="2549" cm="1">
        <f t="array" aca="1" ref="S73" ca="1">INDIRECT("'※ 재무_세부시트'!"&amp;S$1&amp;$AD73, TRUE)</f>
        <v>10.477525780000001</v>
      </c>
      <c r="T73" s="2550" cm="1">
        <f t="array" aca="1" ref="T73" ca="1">INDIRECT("'※ 재무_세부시트'!"&amp;T$1&amp;$AD73, TRUE)</f>
        <v>0</v>
      </c>
      <c r="U73" s="2550" cm="1">
        <f t="array" aca="1" ref="U73" ca="1">INDIRECT("'※ 재무_세부시트'!"&amp;U$1&amp;$AD73, TRUE)</f>
        <v>10.477525780000001</v>
      </c>
      <c r="V73" s="2551" cm="1">
        <f t="array" aca="1" ref="V73" ca="1">INDIRECT("'※ 재무_세부시트'!"&amp;V$1&amp;$AD73, TRUE)</f>
        <v>0</v>
      </c>
      <c r="W73" s="2559" cm="1">
        <f t="array" aca="1" ref="W73" ca="1">INDIRECT("'※ 재무_세부시트'!"&amp;W$1&amp;$AD73, TRUE)</f>
        <v>5.6708996200000001</v>
      </c>
      <c r="X73" s="2555" cm="1">
        <f t="array" aca="1" ref="X73" ca="1">INDIRECT("'※ 재무_세부시트'!"&amp;X$1&amp;$AD73, TRUE)</f>
        <v>0.50100910000000098</v>
      </c>
      <c r="Y73" s="2555" cm="1">
        <f t="array" aca="1" ref="Y73" ca="1">INDIRECT("'※ 재무_세부시트'!"&amp;Y$1&amp;$AD73, TRUE)</f>
        <v>0</v>
      </c>
      <c r="Z73" s="2554" cm="1">
        <f t="array" aca="1" ref="Z73" ca="1">INDIRECT("'※ 재무_세부시트'!"&amp;Z$1&amp;$AD73, TRUE)</f>
        <v>62.531447559999997</v>
      </c>
      <c r="AA73" s="2555" cm="1">
        <f t="array" aca="1" ref="AA73" ca="1">INDIRECT("'※ 재무_세부시트'!"&amp;AA$1&amp;$AD73, TRUE)</f>
        <v>62.531447559999997</v>
      </c>
      <c r="AB73" s="2707" cm="1">
        <f t="array" aca="1" ref="AB73" ca="1">INDIRECT("'※ 재무_세부시트'!"&amp;AB$1&amp;$AD73, TRUE)</f>
        <v>0</v>
      </c>
      <c r="AC73" s="2708" cm="1">
        <f t="array" aca="1" ref="AC73" ca="1">INDIRECT("'※ 재무_세부시트'!"&amp;AC$1&amp;$AD73, TRUE)</f>
        <v>3.232958349999997</v>
      </c>
      <c r="AD73" s="2441">
        <v>72</v>
      </c>
      <c r="AE73" s="2504">
        <v>4.7874433999999999</v>
      </c>
      <c r="AF73" s="2504">
        <v>4.7190378499999994</v>
      </c>
      <c r="AG73" s="2504">
        <v>5.1492114000000004</v>
      </c>
      <c r="AH73" s="2504">
        <v>5.5242318799999994</v>
      </c>
      <c r="AI73" s="2504">
        <v>4.6397591999999994</v>
      </c>
      <c r="AJ73" s="2504">
        <v>4.8933604000000006</v>
      </c>
      <c r="AK73" s="2504">
        <v>5.455420039999999</v>
      </c>
      <c r="AL73" s="2504">
        <v>9.8074200200000003</v>
      </c>
      <c r="AM73" s="2504">
        <v>4.3297332400000004</v>
      </c>
      <c r="AN73" s="2504">
        <v>5.1007288100000006</v>
      </c>
      <c r="AO73" s="2504">
        <v>5.1294129399999999</v>
      </c>
      <c r="AP73" s="2504">
        <v>10.385882359999998</v>
      </c>
      <c r="AQ73" s="2505">
        <f t="shared" si="39"/>
        <v>69.92164154000001</v>
      </c>
      <c r="AR73" s="2488"/>
      <c r="AS73" s="2504">
        <v>5.9188641623006921</v>
      </c>
      <c r="AT73" s="2504">
        <v>5.6279001760961869</v>
      </c>
      <c r="AU73" s="2504">
        <v>5.3843141931167802</v>
      </c>
      <c r="AV73" s="2504">
        <v>6.0623488925596032</v>
      </c>
      <c r="AW73" s="2504">
        <v>4.9648684411153541</v>
      </c>
      <c r="AX73" s="2504">
        <v>5.1624680084254546</v>
      </c>
      <c r="AY73" s="2504">
        <v>6.8114534532624456</v>
      </c>
      <c r="AZ73" s="2504">
        <v>9.917301932609865</v>
      </c>
      <c r="BA73" s="2504">
        <v>4.6778344748078133</v>
      </c>
      <c r="BB73" s="2504">
        <v>6.837896736337731</v>
      </c>
      <c r="BC73" s="2504">
        <v>5.4348814997724082</v>
      </c>
      <c r="BD73" s="2504">
        <v>11.762506238830886</v>
      </c>
      <c r="BE73" s="2505">
        <f t="shared" si="40"/>
        <v>78.562638209235217</v>
      </c>
      <c r="BG73" s="2509" cm="1">
        <f t="array" aca="1" ref="BG73" ca="1">INDIRECT("'※ 재무_세부시트'!"&amp;BG$1&amp;$AD73, TRUE)</f>
        <v>4.7874433999999999</v>
      </c>
      <c r="BH73" s="2509" cm="1">
        <f t="array" aca="1" ref="BH73" ca="1">INDIRECT("'※ 재무_세부시트'!"&amp;BH$1&amp;$AD73, TRUE)</f>
        <v>69.92164154000001</v>
      </c>
      <c r="BI73" s="2509" cm="1">
        <f t="array" aca="1" ref="BI73" ca="1">INDIRECT("'※ 재무_세부시트'!"&amp;BI$1&amp;$AD73, TRUE)</f>
        <v>5.455420039999999</v>
      </c>
      <c r="BJ73" s="2509" cm="1">
        <f t="array" aca="1" ref="BJ73" ca="1">INDIRECT("'※ 재무_세부시트'!"&amp;BJ$1&amp;$AD73, TRUE)</f>
        <v>4.9188130999999995</v>
      </c>
      <c r="BK73" s="2509" cm="1">
        <f t="array" aca="1" ref="BK73" ca="1">INDIRECT("'※ 재무_세부시트'!"&amp;BK$1&amp;$AD73, TRUE)</f>
        <v>4.3297332400000004</v>
      </c>
      <c r="BL73" s="2490"/>
      <c r="BM73" s="2490"/>
    </row>
    <row r="74" spans="1:65" ht="20.05" customHeight="1" x14ac:dyDescent="0.55000000000000004">
      <c r="A74" s="2705"/>
      <c r="B74" s="2645"/>
      <c r="C74" s="2645"/>
      <c r="D74" s="2645" t="s">
        <v>124</v>
      </c>
      <c r="E74" s="2645"/>
      <c r="F74" s="2547" cm="1">
        <f t="array" aca="1" ref="F74" ca="1">INDIRECT("'※ 재무_세부시트'!"&amp;F$1&amp;$AD74, TRUE)</f>
        <v>43.479426940000003</v>
      </c>
      <c r="G74" s="2547" cm="1">
        <f t="array" aca="1" ref="G74" ca="1">INDIRECT("'※ 재무_세부시트'!"&amp;G$1&amp;$AD74, TRUE)</f>
        <v>44.526043090000009</v>
      </c>
      <c r="H74" s="2548" cm="1">
        <f t="array" aca="1" ref="H74" ca="1">INDIRECT("'※ 재무_세부시트'!"&amp;H$1&amp;$AD74, TRUE)</f>
        <v>2.9436073299999999</v>
      </c>
      <c r="I74" s="2549" cm="1">
        <f t="array" aca="1" ref="I74" ca="1">INDIRECT("'※ 재무_세부시트'!"&amp;I$1&amp;$AD74, TRUE)</f>
        <v>5.7717226699999999</v>
      </c>
      <c r="J74" s="2549" cm="1">
        <f t="array" aca="1" ref="J74" ca="1">INDIRECT("'※ 재무_세부시트'!"&amp;J$1&amp;$AD74, TRUE)</f>
        <v>2.4286420400000002</v>
      </c>
      <c r="K74" s="2549" cm="1">
        <f t="array" aca="1" ref="K74" ca="1">INDIRECT("'※ 재무_세부시트'!"&amp;K$1&amp;$AD74, TRUE)</f>
        <v>3.2458543999999998</v>
      </c>
      <c r="L74" s="2549" cm="1">
        <f t="array" aca="1" ref="L74" ca="1">INDIRECT("'※ 재무_세부시트'!"&amp;L$1&amp;$AD74, TRUE)</f>
        <v>3.9261589699999999</v>
      </c>
      <c r="M74" s="2549" cm="1">
        <f t="array" aca="1" ref="M74" ca="1">INDIRECT("'※ 재무_세부시트'!"&amp;M$1&amp;$AD74, TRUE)</f>
        <v>3.2319973900000001</v>
      </c>
      <c r="N74" s="2549" cm="1">
        <f t="array" aca="1" ref="N74" ca="1">INDIRECT("'※ 재무_세부시트'!"&amp;N$1&amp;$AD74, TRUE)</f>
        <v>4.96446071</v>
      </c>
      <c r="O74" s="2549" cm="1">
        <f t="array" aca="1" ref="O74" ca="1">INDIRECT("'※ 재무_세부시트'!"&amp;O$1&amp;$AD74, TRUE)</f>
        <v>3.9632875200000002</v>
      </c>
      <c r="P74" s="2549" cm="1">
        <f t="array" aca="1" ref="P74" ca="1">INDIRECT("'※ 재무_세부시트'!"&amp;P$1&amp;$AD74, TRUE)</f>
        <v>5.2455371499999996</v>
      </c>
      <c r="Q74" s="2549" cm="1">
        <f t="array" aca="1" ref="Q74" ca="1">INDIRECT("'※ 재무_세부시트'!"&amp;Q$1&amp;$AD74, TRUE)</f>
        <v>3.9047527099999999</v>
      </c>
      <c r="R74" s="2549" cm="1">
        <f t="array" aca="1" ref="R74" ca="1">INDIRECT("'※ 재무_세부시트'!"&amp;R$1&amp;$AD74, TRUE)</f>
        <v>3.6354603600000002</v>
      </c>
      <c r="S74" s="2549" cm="1">
        <f t="array" aca="1" ref="S74" ca="1">INDIRECT("'※ 재무_세부시트'!"&amp;S$1&amp;$AD74, TRUE)</f>
        <v>4.0509594</v>
      </c>
      <c r="T74" s="2550" cm="1">
        <f t="array" aca="1" ref="T74" ca="1">INDIRECT("'※ 재무_세부시트'!"&amp;T$1&amp;$AD74, TRUE)</f>
        <v>0</v>
      </c>
      <c r="U74" s="2550" cm="1">
        <f t="array" aca="1" ref="U74" ca="1">INDIRECT("'※ 재무_세부시트'!"&amp;U$1&amp;$AD74, TRUE)</f>
        <v>4.0509594</v>
      </c>
      <c r="V74" s="2551" cm="1">
        <f t="array" aca="1" ref="V74" ca="1">INDIRECT("'※ 재무_세부시트'!"&amp;V$1&amp;$AD74, TRUE)</f>
        <v>0</v>
      </c>
      <c r="W74" s="2559" cm="1">
        <f t="array" aca="1" ref="W74" ca="1">INDIRECT("'※ 재무_세부시트'!"&amp;W$1&amp;$AD74, TRUE)</f>
        <v>0.41549903999999982</v>
      </c>
      <c r="X74" s="2555" cm="1">
        <f t="array" aca="1" ref="X74" ca="1">INDIRECT("'※ 재무_세부시트'!"&amp;X$1&amp;$AD74, TRUE)</f>
        <v>0.80131406000000016</v>
      </c>
      <c r="Y74" s="2555" cm="1">
        <f t="array" aca="1" ref="Y74" ca="1">INDIRECT("'※ 재무_세부시트'!"&amp;Y$1&amp;$AD74, TRUE)</f>
        <v>0</v>
      </c>
      <c r="Z74" s="2554" cm="1">
        <f t="array" aca="1" ref="Z74" ca="1">INDIRECT("'※ 재무_세부시트'!"&amp;Z$1&amp;$AD74, TRUE)</f>
        <v>47.312440649999999</v>
      </c>
      <c r="AA74" s="2555" cm="1">
        <f t="array" aca="1" ref="AA74" ca="1">INDIRECT("'※ 재무_세부시트'!"&amp;AA$1&amp;$AD74, TRUE)</f>
        <v>47.312440649999999</v>
      </c>
      <c r="AB74" s="2707" cm="1">
        <f t="array" aca="1" ref="AB74" ca="1">INDIRECT("'※ 재무_세부시트'!"&amp;AB$1&amp;$AD74, TRUE)</f>
        <v>0</v>
      </c>
      <c r="AC74" s="2708" cm="1">
        <f t="array" aca="1" ref="AC74" ca="1">INDIRECT("'※ 재무_세부시트'!"&amp;AC$1&amp;$AD74, TRUE)</f>
        <v>2.7863975599999904</v>
      </c>
      <c r="AD74" s="2441">
        <v>73</v>
      </c>
      <c r="AE74" s="2504">
        <v>3.7744305700000003</v>
      </c>
      <c r="AF74" s="2504">
        <v>4.5356723499999996</v>
      </c>
      <c r="AG74" s="2504">
        <v>3.67664262</v>
      </c>
      <c r="AH74" s="2504">
        <v>3.51404943</v>
      </c>
      <c r="AI74" s="2504">
        <v>3.2922386699999997</v>
      </c>
      <c r="AJ74" s="2504">
        <v>3.2212681600000002</v>
      </c>
      <c r="AK74" s="2504">
        <v>3.2527263499999997</v>
      </c>
      <c r="AL74" s="2504">
        <v>4.4197614700000001</v>
      </c>
      <c r="AM74" s="2504">
        <v>1.70974944</v>
      </c>
      <c r="AN74" s="2504">
        <v>5.1977551700000006</v>
      </c>
      <c r="AO74" s="2504">
        <v>3.34941852</v>
      </c>
      <c r="AP74" s="2504">
        <v>3.5357141899999998</v>
      </c>
      <c r="AQ74" s="2505">
        <f t="shared" si="39"/>
        <v>43.479426940000003</v>
      </c>
      <c r="AR74" s="2488"/>
      <c r="AS74" s="2504">
        <v>5.5438491267154362</v>
      </c>
      <c r="AT74" s="2504">
        <v>5.2311105634404838</v>
      </c>
      <c r="AU74" s="2504">
        <v>4.4986421388910314</v>
      </c>
      <c r="AV74" s="2504">
        <v>4.5425315508078565</v>
      </c>
      <c r="AW74" s="2504">
        <v>4.6039668440444785</v>
      </c>
      <c r="AX74" s="2504">
        <v>4.5656830319039008</v>
      </c>
      <c r="AY74" s="2504">
        <v>6.0788638576835323</v>
      </c>
      <c r="AZ74" s="2504">
        <v>4.2853377812401314</v>
      </c>
      <c r="BA74" s="2504">
        <v>4.2195237222714388</v>
      </c>
      <c r="BB74" s="2504">
        <v>6.4644892368508069</v>
      </c>
      <c r="BC74" s="2504">
        <v>4.6027238462335838</v>
      </c>
      <c r="BD74" s="2504">
        <v>3.7158774030287822</v>
      </c>
      <c r="BE74" s="2505">
        <f t="shared" si="40"/>
        <v>58.352599103111473</v>
      </c>
      <c r="BG74" s="2509" cm="1">
        <f t="array" aca="1" ref="BG74" ca="1">INDIRECT("'※ 재무_세부시트'!"&amp;BG$1&amp;$AD74, TRUE)</f>
        <v>3.7744305700000003</v>
      </c>
      <c r="BH74" s="2509" cm="1">
        <f t="array" aca="1" ref="BH74" ca="1">INDIRECT("'※ 재무_세부시트'!"&amp;BH$1&amp;$AD74, TRUE)</f>
        <v>43.479426940000003</v>
      </c>
      <c r="BI74" s="2509" cm="1">
        <f t="array" aca="1" ref="BI74" ca="1">INDIRECT("'※ 재무_세부시트'!"&amp;BI$1&amp;$AD74, TRUE)</f>
        <v>3.2527263499999997</v>
      </c>
      <c r="BJ74" s="2509" cm="1">
        <f t="array" aca="1" ref="BJ74" ca="1">INDIRECT("'※ 재무_세부시트'!"&amp;BJ$1&amp;$AD74, TRUE)</f>
        <v>2.99564275</v>
      </c>
      <c r="BK74" s="2509" cm="1">
        <f t="array" aca="1" ref="BK74" ca="1">INDIRECT("'※ 재무_세부시트'!"&amp;BK$1&amp;$AD74, TRUE)</f>
        <v>1.70974944</v>
      </c>
      <c r="BL74" s="2490"/>
      <c r="BM74" s="2490"/>
    </row>
    <row r="75" spans="1:65" ht="20.05" customHeight="1" x14ac:dyDescent="0.55000000000000004">
      <c r="A75" s="2705"/>
      <c r="B75" s="2645"/>
      <c r="C75" s="2645"/>
      <c r="D75" s="2645" t="s">
        <v>606</v>
      </c>
      <c r="E75" s="2645"/>
      <c r="F75" s="2547" cm="1">
        <f t="array" aca="1" ref="F75" ca="1">INDIRECT("'※ 재무_세부시트'!"&amp;F$1&amp;$AD75, TRUE)</f>
        <v>8.3996375500000013</v>
      </c>
      <c r="G75" s="2547" cm="1">
        <f t="array" aca="1" ref="G75" ca="1">INDIRECT("'※ 재무_세부시트'!"&amp;G$1&amp;$AD75, TRUE)</f>
        <v>9.4293550199999991</v>
      </c>
      <c r="H75" s="2548" cm="1">
        <f t="array" aca="1" ref="H75" ca="1">INDIRECT("'※ 재무_세부시트'!"&amp;H$1&amp;$AD75, TRUE)</f>
        <v>0.30978331000000003</v>
      </c>
      <c r="I75" s="2549" cm="1">
        <f t="array" aca="1" ref="I75" ca="1">INDIRECT("'※ 재무_세부시트'!"&amp;I$1&amp;$AD75, TRUE)</f>
        <v>0.14051783000000001</v>
      </c>
      <c r="J75" s="2549" cm="1">
        <f t="array" aca="1" ref="J75" ca="1">INDIRECT("'※ 재무_세부시트'!"&amp;J$1&amp;$AD75, TRUE)</f>
        <v>0.23843495000000001</v>
      </c>
      <c r="K75" s="2549" cm="1">
        <f t="array" aca="1" ref="K75" ca="1">INDIRECT("'※ 재무_세부시트'!"&amp;K$1&amp;$AD75, TRUE)</f>
        <v>0.27213748999999998</v>
      </c>
      <c r="L75" s="2549" cm="1">
        <f t="array" aca="1" ref="L75" ca="1">INDIRECT("'※ 재무_세부시트'!"&amp;L$1&amp;$AD75, TRUE)</f>
        <v>0.83954355999999997</v>
      </c>
      <c r="M75" s="2549" cm="1">
        <f t="array" aca="1" ref="M75" ca="1">INDIRECT("'※ 재무_세부시트'!"&amp;M$1&amp;$AD75, TRUE)</f>
        <v>0.28030896</v>
      </c>
      <c r="N75" s="2549" cm="1">
        <f t="array" aca="1" ref="N75" ca="1">INDIRECT("'※ 재무_세부시트'!"&amp;N$1&amp;$AD75, TRUE)</f>
        <v>1.87003268</v>
      </c>
      <c r="O75" s="2549" cm="1">
        <f t="array" aca="1" ref="O75" ca="1">INDIRECT("'※ 재무_세부시트'!"&amp;O$1&amp;$AD75, TRUE)</f>
        <v>0.32552112</v>
      </c>
      <c r="P75" s="2549" cm="1">
        <f t="array" aca="1" ref="P75" ca="1">INDIRECT("'※ 재무_세부시트'!"&amp;P$1&amp;$AD75, TRUE)</f>
        <v>0.28345768999999998</v>
      </c>
      <c r="Q75" s="2549" cm="1">
        <f t="array" aca="1" ref="Q75" ca="1">INDIRECT("'※ 재무_세부시트'!"&amp;Q$1&amp;$AD75, TRUE)</f>
        <v>0.91638863000000004</v>
      </c>
      <c r="R75" s="2549" cm="1">
        <f t="array" aca="1" ref="R75" ca="1">INDIRECT("'※ 재무_세부시트'!"&amp;R$1&amp;$AD75, TRUE)</f>
        <v>1.4335829499999999</v>
      </c>
      <c r="S75" s="2549" cm="1">
        <f t="array" aca="1" ref="S75" ca="1">INDIRECT("'※ 재무_세부시트'!"&amp;S$1&amp;$AD75, TRUE)</f>
        <v>1.7233251599999999</v>
      </c>
      <c r="T75" s="2550" cm="1">
        <f t="array" aca="1" ref="T75" ca="1">INDIRECT("'※ 재무_세부시트'!"&amp;T$1&amp;$AD75, TRUE)</f>
        <v>0</v>
      </c>
      <c r="U75" s="2550" cm="1">
        <f t="array" aca="1" ref="U75" ca="1">INDIRECT("'※ 재무_세부시트'!"&amp;U$1&amp;$AD75, TRUE)</f>
        <v>1.7233251599999999</v>
      </c>
      <c r="V75" s="2551" cm="1">
        <f t="array" aca="1" ref="V75" ca="1">INDIRECT("'※ 재무_세부시트'!"&amp;V$1&amp;$AD75, TRUE)</f>
        <v>0</v>
      </c>
      <c r="W75" s="2559" cm="1">
        <f t="array" aca="1" ref="W75" ca="1">INDIRECT("'※ 재무_세부시트'!"&amp;W$1&amp;$AD75, TRUE)</f>
        <v>0.28974221</v>
      </c>
      <c r="X75" s="2555" cm="1">
        <f t="array" aca="1" ref="X75" ca="1">INDIRECT("'※ 재무_세부시트'!"&amp;X$1&amp;$AD75, TRUE)</f>
        <v>0.96233699999999989</v>
      </c>
      <c r="Y75" s="2555" cm="1">
        <f t="array" aca="1" ref="Y75" ca="1">INDIRECT("'※ 재무_세부시트'!"&amp;Y$1&amp;$AD75, TRUE)</f>
        <v>0</v>
      </c>
      <c r="Z75" s="2554" cm="1">
        <f t="array" aca="1" ref="Z75" ca="1">INDIRECT("'※ 재무_세부시트'!"&amp;Z$1&amp;$AD75, TRUE)</f>
        <v>8.633034330000001</v>
      </c>
      <c r="AA75" s="2555" cm="1">
        <f t="array" aca="1" ref="AA75" ca="1">INDIRECT("'※ 재무_세부시트'!"&amp;AA$1&amp;$AD75, TRUE)</f>
        <v>8.633034330000001</v>
      </c>
      <c r="AB75" s="2707" cm="1">
        <f t="array" aca="1" ref="AB75" ca="1">INDIRECT("'※ 재무_세부시트'!"&amp;AB$1&amp;$AD75, TRUE)</f>
        <v>0</v>
      </c>
      <c r="AC75" s="2708" cm="1">
        <f t="array" aca="1" ref="AC75" ca="1">INDIRECT("'※ 재무_세부시트'!"&amp;AC$1&amp;$AD75, TRUE)</f>
        <v>-0.79632068999999817</v>
      </c>
      <c r="AD75" s="2441">
        <v>74</v>
      </c>
      <c r="AE75" s="2504">
        <v>0.37074312999999998</v>
      </c>
      <c r="AF75" s="2504">
        <v>0.19139544</v>
      </c>
      <c r="AG75" s="2614">
        <v>0.72206608000000005</v>
      </c>
      <c r="AH75" s="2614">
        <v>0.23643315000000001</v>
      </c>
      <c r="AI75" s="2504">
        <v>0.16831767</v>
      </c>
      <c r="AJ75" s="2504">
        <v>0.50467614999999999</v>
      </c>
      <c r="AK75" s="2504">
        <v>1.5878094999999999</v>
      </c>
      <c r="AL75" s="2504">
        <v>0.29247973999999999</v>
      </c>
      <c r="AM75" s="2504">
        <v>1.45254551</v>
      </c>
      <c r="AN75" s="2504">
        <v>0.46368648999999995</v>
      </c>
      <c r="AO75" s="2504">
        <v>1.30380841</v>
      </c>
      <c r="AP75" s="2504">
        <v>1.10567628</v>
      </c>
      <c r="AQ75" s="2505">
        <f t="shared" si="39"/>
        <v>8.3996375500000013</v>
      </c>
      <c r="AR75" s="2488"/>
      <c r="AS75" s="2504">
        <v>0.69539076990415094</v>
      </c>
      <c r="AT75" s="2504">
        <v>0.69969060977557751</v>
      </c>
      <c r="AU75" s="2504">
        <v>0.70267383201195477</v>
      </c>
      <c r="AV75" s="2504">
        <v>0.70565705424833214</v>
      </c>
      <c r="AW75" s="2504">
        <v>0.71062353596028971</v>
      </c>
      <c r="AX75" s="2504">
        <v>0.71325677123038833</v>
      </c>
      <c r="AY75" s="2504">
        <v>0.71788993202208029</v>
      </c>
      <c r="AZ75" s="2504">
        <v>0.72518966017589748</v>
      </c>
      <c r="BA75" s="2504">
        <v>0.72948950004732394</v>
      </c>
      <c r="BB75" s="2504">
        <v>0.73642257518884902</v>
      </c>
      <c r="BC75" s="2504">
        <v>0.74072241506027536</v>
      </c>
      <c r="BD75" s="2504">
        <v>0.74633887256675124</v>
      </c>
      <c r="BE75" s="2505">
        <f t="shared" si="40"/>
        <v>8.6233455281918694</v>
      </c>
      <c r="BG75" s="2509" cm="1">
        <f t="array" aca="1" ref="BG75" ca="1">INDIRECT("'※ 재무_세부시트'!"&amp;BG$1&amp;$AD75, TRUE)</f>
        <v>0.37074312999999998</v>
      </c>
      <c r="BH75" s="2509" cm="1">
        <f t="array" aca="1" ref="BH75" ca="1">INDIRECT("'※ 재무_세부시트'!"&amp;BH$1&amp;$AD75, TRUE)</f>
        <v>8.3996375500000013</v>
      </c>
      <c r="BI75" s="2509" cm="1">
        <f t="array" aca="1" ref="BI75" ca="1">INDIRECT("'※ 재무_세부시트'!"&amp;BI$1&amp;$AD75, TRUE)</f>
        <v>1.5878094999999999</v>
      </c>
      <c r="BJ75" s="2509" cm="1">
        <f t="array" aca="1" ref="BJ75" ca="1">INDIRECT("'※ 재무_세부시트'!"&amp;BJ$1&amp;$AD75, TRUE)</f>
        <v>1.7132511700000002</v>
      </c>
      <c r="BK75" s="2509" cm="1">
        <f t="array" aca="1" ref="BK75" ca="1">INDIRECT("'※ 재무_세부시트'!"&amp;BK$1&amp;$AD75, TRUE)</f>
        <v>1.45254551</v>
      </c>
      <c r="BL75" s="2490"/>
      <c r="BM75" s="2490"/>
    </row>
    <row r="76" spans="1:65" ht="20.05" customHeight="1" x14ac:dyDescent="0.55000000000000004">
      <c r="A76" s="2705"/>
      <c r="B76" s="2645"/>
      <c r="C76" s="2645"/>
      <c r="D76" s="2645" t="s">
        <v>126</v>
      </c>
      <c r="E76" s="2645"/>
      <c r="F76" s="2547" cm="1">
        <f t="array" aca="1" ref="F76" ca="1">INDIRECT("'※ 재무_세부시트'!"&amp;F$1&amp;$AD76, TRUE)</f>
        <v>8.2472214199999989</v>
      </c>
      <c r="G76" s="2547" cm="1">
        <f t="array" aca="1" ref="G76" ca="1">INDIRECT("'※ 재무_세부시트'!"&amp;G$1&amp;$AD76, TRUE)</f>
        <v>8.9415149099999987</v>
      </c>
      <c r="H76" s="2548" cm="1">
        <f t="array" aca="1" ref="H76" ca="1">INDIRECT("'※ 재무_세부시트'!"&amp;H$1&amp;$AD76, TRUE)</f>
        <v>0.7497358300000001</v>
      </c>
      <c r="I76" s="2549" cm="1">
        <f t="array" aca="1" ref="I76" ca="1">INDIRECT("'※ 재무_세부시트'!"&amp;I$1&amp;$AD76, TRUE)</f>
        <v>0.76536135000000005</v>
      </c>
      <c r="J76" s="2549" cm="1">
        <f t="array" aca="1" ref="J76" ca="1">INDIRECT("'※ 재무_세부시트'!"&amp;J$1&amp;$AD76, TRUE)</f>
        <v>0.73643846000000002</v>
      </c>
      <c r="K76" s="2549" cm="1">
        <f t="array" aca="1" ref="K76" ca="1">INDIRECT("'※ 재무_세부시트'!"&amp;K$1&amp;$AD76, TRUE)</f>
        <v>0.73597349000000001</v>
      </c>
      <c r="L76" s="2549" cm="1">
        <f t="array" aca="1" ref="L76" ca="1">INDIRECT("'※ 재무_세부시트'!"&amp;L$1&amp;$AD76, TRUE)</f>
        <v>0.74715328999999997</v>
      </c>
      <c r="M76" s="2549" cm="1">
        <f t="array" aca="1" ref="M76" ca="1">INDIRECT("'※ 재무_세부시트'!"&amp;M$1&amp;$AD76, TRUE)</f>
        <v>0.78955467999999995</v>
      </c>
      <c r="N76" s="2549" cm="1">
        <f t="array" aca="1" ref="N76" ca="1">INDIRECT("'※ 재무_세부시트'!"&amp;N$1&amp;$AD76, TRUE)</f>
        <v>0.84122896999999996</v>
      </c>
      <c r="O76" s="2549" cm="1">
        <f t="array" aca="1" ref="O76" ca="1">INDIRECT("'※ 재무_세부시트'!"&amp;O$1&amp;$AD76, TRUE)</f>
        <v>0.82841229000000005</v>
      </c>
      <c r="P76" s="2549" cm="1">
        <f t="array" aca="1" ref="P76" ca="1">INDIRECT("'※ 재무_세부시트'!"&amp;P$1&amp;$AD76, TRUE)</f>
        <v>0.79126618999999998</v>
      </c>
      <c r="Q76" s="2549" cm="1">
        <f t="array" aca="1" ref="Q76" ca="1">INDIRECT("'※ 재무_세부시트'!"&amp;Q$1&amp;$AD76, TRUE)</f>
        <v>0.80618352000000004</v>
      </c>
      <c r="R76" s="2549" cm="1">
        <f t="array" aca="1" ref="R76" ca="1">INDIRECT("'※ 재무_세부시트'!"&amp;R$1&amp;$AD76, TRUE)</f>
        <v>0.79709525999999997</v>
      </c>
      <c r="S76" s="2549" cm="1">
        <f t="array" aca="1" ref="S76" ca="1">INDIRECT("'※ 재무_세부시트'!"&amp;S$1&amp;$AD76, TRUE)</f>
        <v>0.86447074999999995</v>
      </c>
      <c r="T76" s="2550" cm="1">
        <f t="array" aca="1" ref="T76" ca="1">INDIRECT("'※ 재무_세부시트'!"&amp;T$1&amp;$AD76, TRUE)</f>
        <v>0</v>
      </c>
      <c r="U76" s="2550" cm="1">
        <f t="array" aca="1" ref="U76" ca="1">INDIRECT("'※ 재무_세부시트'!"&amp;U$1&amp;$AD76, TRUE)</f>
        <v>0.86447074999999995</v>
      </c>
      <c r="V76" s="2551" cm="1">
        <f t="array" aca="1" ref="V76" ca="1">INDIRECT("'※ 재무_세부시트'!"&amp;V$1&amp;$AD76, TRUE)</f>
        <v>0</v>
      </c>
      <c r="W76" s="2559" cm="1">
        <f t="array" aca="1" ref="W76" ca="1">INDIRECT("'※ 재무_세부시트'!"&amp;W$1&amp;$AD76, TRUE)</f>
        <v>6.7375489999999982E-2</v>
      </c>
      <c r="X76" s="2555" cm="1">
        <f t="array" aca="1" ref="X76" ca="1">INDIRECT("'※ 재무_세부시트'!"&amp;X$1&amp;$AD76, TRUE)</f>
        <v>0.14505810999999991</v>
      </c>
      <c r="Y76" s="2555" cm="1">
        <f t="array" aca="1" ref="Y76" ca="1">INDIRECT("'※ 재무_세부시트'!"&amp;Y$1&amp;$AD76, TRUE)</f>
        <v>0</v>
      </c>
      <c r="Z76" s="2554" cm="1">
        <f t="array" aca="1" ref="Z76" ca="1">INDIRECT("'※ 재무_세부시트'!"&amp;Z$1&amp;$AD76, TRUE)</f>
        <v>9.4528740800000026</v>
      </c>
      <c r="AA76" s="2555" cm="1">
        <f t="array" aca="1" ref="AA76" ca="1">INDIRECT("'※ 재무_세부시트'!"&amp;AA$1&amp;$AD76, TRUE)</f>
        <v>9.4528740800000026</v>
      </c>
      <c r="AB76" s="2707" cm="1">
        <f t="array" aca="1" ref="AB76" ca="1">INDIRECT("'※ 재무_세부시트'!"&amp;AB$1&amp;$AD76, TRUE)</f>
        <v>0</v>
      </c>
      <c r="AC76" s="2708" cm="1">
        <f t="array" aca="1" ref="AC76" ca="1">INDIRECT("'※ 재무_세부시트'!"&amp;AC$1&amp;$AD76, TRUE)</f>
        <v>0.51135917000000397</v>
      </c>
      <c r="AD76" s="2441">
        <v>75</v>
      </c>
      <c r="AE76" s="2504">
        <v>0.7280886700000001</v>
      </c>
      <c r="AF76" s="2504">
        <v>0.69870352000000002</v>
      </c>
      <c r="AG76" s="2504">
        <v>0.70535837999999995</v>
      </c>
      <c r="AH76" s="2504">
        <v>0.67027694999999998</v>
      </c>
      <c r="AI76" s="2504">
        <v>0.68592184</v>
      </c>
      <c r="AJ76" s="2504">
        <v>0.66882166999999992</v>
      </c>
      <c r="AK76" s="2504">
        <v>0.67242610999999997</v>
      </c>
      <c r="AL76" s="2504">
        <v>0.72176147000000002</v>
      </c>
      <c r="AM76" s="2504">
        <v>0.6901228399999999</v>
      </c>
      <c r="AN76" s="2504">
        <v>0.67524860000000009</v>
      </c>
      <c r="AO76" s="2504">
        <v>0.67115391999999996</v>
      </c>
      <c r="AP76" s="2504">
        <v>0.65933744999999999</v>
      </c>
      <c r="AQ76" s="2505">
        <f t="shared" si="39"/>
        <v>8.2472214199999989</v>
      </c>
      <c r="AR76" s="2488"/>
      <c r="AS76" s="2504">
        <v>0.68037210862061381</v>
      </c>
      <c r="AT76" s="2504">
        <v>0.68457908295312719</v>
      </c>
      <c r="AU76" s="2504">
        <v>0.68749787522258399</v>
      </c>
      <c r="AV76" s="2504">
        <v>0.690416667492041</v>
      </c>
      <c r="AW76" s="2504">
        <v>0.69527588590711442</v>
      </c>
      <c r="AX76" s="2504">
        <v>0.69785225003322737</v>
      </c>
      <c r="AY76" s="2504">
        <v>0.70238534640702066</v>
      </c>
      <c r="AZ76" s="2504">
        <v>0.7095274191110551</v>
      </c>
      <c r="BA76" s="2504">
        <v>0.71373439344356837</v>
      </c>
      <c r="BB76" s="2504">
        <v>0.72051773190219448</v>
      </c>
      <c r="BC76" s="2504">
        <v>0.72472470623470775</v>
      </c>
      <c r="BD76" s="2504">
        <v>0.73021986263027761</v>
      </c>
      <c r="BE76" s="2505">
        <f t="shared" si="40"/>
        <v>8.437103329957532</v>
      </c>
      <c r="BG76" s="2509" cm="1">
        <f t="array" aca="1" ref="BG76" ca="1">INDIRECT("'※ 재무_세부시트'!"&amp;BG$1&amp;$AD76, TRUE)</f>
        <v>0.7280886700000001</v>
      </c>
      <c r="BH76" s="2509" cm="1">
        <f t="array" aca="1" ref="BH76" ca="1">INDIRECT("'※ 재무_세부시트'!"&amp;BH$1&amp;$AD76, TRUE)</f>
        <v>8.2472214199999989</v>
      </c>
      <c r="BI76" s="2509" cm="1">
        <f t="array" aca="1" ref="BI76" ca="1">INDIRECT("'※ 재무_세부시트'!"&amp;BI$1&amp;$AD76, TRUE)</f>
        <v>0.67242610999999997</v>
      </c>
      <c r="BJ76" s="2509" cm="1">
        <f t="array" aca="1" ref="BJ76" ca="1">INDIRECT("'※ 재무_세부시트'!"&amp;BJ$1&amp;$AD76, TRUE)</f>
        <v>0.64901308999999996</v>
      </c>
      <c r="BK76" s="2509" cm="1">
        <f t="array" aca="1" ref="BK76" ca="1">INDIRECT("'※ 재무_세부시트'!"&amp;BK$1&amp;$AD76, TRUE)</f>
        <v>0.6901228399999999</v>
      </c>
      <c r="BL76" s="2490"/>
      <c r="BM76" s="2490"/>
    </row>
    <row r="77" spans="1:65" ht="20.05" customHeight="1" x14ac:dyDescent="0.55000000000000004">
      <c r="A77" s="2705"/>
      <c r="B77" s="2645"/>
      <c r="C77" s="2645"/>
      <c r="D77" s="2645" t="s">
        <v>607</v>
      </c>
      <c r="E77" s="2645"/>
      <c r="F77" s="2547" cm="1">
        <f t="array" aca="1" ref="F77" ca="1">INDIRECT("'※ 재무_세부시트'!"&amp;F$1&amp;$AD77, TRUE)</f>
        <v>10.804895979999998</v>
      </c>
      <c r="G77" s="2547" cm="1">
        <f t="array" aca="1" ref="G77" ca="1">INDIRECT("'※ 재무_세부시트'!"&amp;G$1&amp;$AD77, TRUE)</f>
        <v>11.647759969999999</v>
      </c>
      <c r="H77" s="2548" cm="1">
        <f t="array" aca="1" ref="H77" ca="1">INDIRECT("'※ 재무_세부시트'!"&amp;H$1&amp;$AD77, TRUE)</f>
        <v>1.05416647</v>
      </c>
      <c r="I77" s="2549" cm="1">
        <f t="array" aca="1" ref="I77" ca="1">INDIRECT("'※ 재무_세부시트'!"&amp;I$1&amp;$AD77, TRUE)</f>
        <v>1.1232548</v>
      </c>
      <c r="J77" s="2549" cm="1">
        <f t="array" aca="1" ref="J77" ca="1">INDIRECT("'※ 재무_세부시트'!"&amp;J$1&amp;$AD77, TRUE)</f>
        <v>1.08055524</v>
      </c>
      <c r="K77" s="2549" cm="1">
        <f t="array" aca="1" ref="K77" ca="1">INDIRECT("'※ 재무_세부시트'!"&amp;K$1&amp;$AD77, TRUE)</f>
        <v>1.0190339500000001</v>
      </c>
      <c r="L77" s="2549" cm="1">
        <f t="array" aca="1" ref="L77" ca="1">INDIRECT("'※ 재무_세부시트'!"&amp;L$1&amp;$AD77, TRUE)</f>
        <v>1.0140566900000001</v>
      </c>
      <c r="M77" s="2549" cm="1">
        <f t="array" aca="1" ref="M77" ca="1">INDIRECT("'※ 재무_세부시트'!"&amp;M$1&amp;$AD77, TRUE)</f>
        <v>0.99325540999999995</v>
      </c>
      <c r="N77" s="2549" cm="1">
        <f t="array" aca="1" ref="N77" ca="1">INDIRECT("'※ 재무_세부시트'!"&amp;N$1&amp;$AD77, TRUE)</f>
        <v>1.11099657</v>
      </c>
      <c r="O77" s="2549" cm="1">
        <f t="array" aca="1" ref="O77" ca="1">INDIRECT("'※ 재무_세부시트'!"&amp;O$1&amp;$AD77, TRUE)</f>
        <v>1.0648883</v>
      </c>
      <c r="P77" s="2549" cm="1">
        <f t="array" aca="1" ref="P77" ca="1">INDIRECT("'※ 재무_세부시트'!"&amp;P$1&amp;$AD77, TRUE)</f>
        <v>1.1206714499999999</v>
      </c>
      <c r="Q77" s="2549" cm="1">
        <f t="array" aca="1" ref="Q77" ca="1">INDIRECT("'※ 재무_세부시트'!"&amp;Q$1&amp;$AD77, TRUE)</f>
        <v>0.99567846999999998</v>
      </c>
      <c r="R77" s="2549" cm="1">
        <f t="array" aca="1" ref="R77" ca="1">INDIRECT("'※ 재무_세부시트'!"&amp;R$1&amp;$AD77, TRUE)</f>
        <v>1.1094134</v>
      </c>
      <c r="S77" s="2549" cm="1">
        <f t="array" aca="1" ref="S77" ca="1">INDIRECT("'※ 재무_세부시트'!"&amp;S$1&amp;$AD77, TRUE)</f>
        <v>1.1916607299999999</v>
      </c>
      <c r="T77" s="2550" cm="1">
        <f t="array" aca="1" ref="T77" ca="1">INDIRECT("'※ 재무_세부시트'!"&amp;T$1&amp;$AD77, TRUE)</f>
        <v>0</v>
      </c>
      <c r="U77" s="2550" cm="1">
        <f t="array" aca="1" ref="U77" ca="1">INDIRECT("'※ 재무_세부시트'!"&amp;U$1&amp;$AD77, TRUE)</f>
        <v>1.1916607299999999</v>
      </c>
      <c r="V77" s="2551" cm="1">
        <f t="array" aca="1" ref="V77" ca="1">INDIRECT("'※ 재무_세부시트'!"&amp;V$1&amp;$AD77, TRUE)</f>
        <v>0</v>
      </c>
      <c r="W77" s="2559" cm="1">
        <f t="array" aca="1" ref="W77" ca="1">INDIRECT("'※ 재무_세부시트'!"&amp;W$1&amp;$AD77, TRUE)</f>
        <v>8.2247329999999952E-2</v>
      </c>
      <c r="X77" s="2555" cm="1">
        <f t="array" aca="1" ref="X77" ca="1">INDIRECT("'※ 재무_세부시트'!"&amp;X$1&amp;$AD77, TRUE)</f>
        <v>0.10674410000000001</v>
      </c>
      <c r="Y77" s="2555" cm="1">
        <f t="array" aca="1" ref="Y77" ca="1">INDIRECT("'※ 재무_세부시트'!"&amp;Y$1&amp;$AD77, TRUE)</f>
        <v>0</v>
      </c>
      <c r="Z77" s="2554" cm="1">
        <f t="array" aca="1" ref="Z77" ca="1">INDIRECT("'※ 재무_세부시트'!"&amp;Z$1&amp;$AD77, TRUE)</f>
        <v>12.87763148</v>
      </c>
      <c r="AA77" s="2555" cm="1">
        <f t="array" aca="1" ref="AA77" ca="1">INDIRECT("'※ 재무_세부시트'!"&amp;AA$1&amp;$AD77, TRUE)</f>
        <v>12.87763148</v>
      </c>
      <c r="AB77" s="2707" cm="1">
        <f t="array" aca="1" ref="AB77" ca="1">INDIRECT("'※ 재무_세부시트'!"&amp;AB$1&amp;$AD77, TRUE)</f>
        <v>0</v>
      </c>
      <c r="AC77" s="2708" cm="1">
        <f t="array" aca="1" ref="AC77" ca="1">INDIRECT("'※ 재무_세부시트'!"&amp;AC$1&amp;$AD77, TRUE)</f>
        <v>1.2298715100000006</v>
      </c>
      <c r="AD77" s="2441">
        <v>76</v>
      </c>
      <c r="AE77" s="2504">
        <v>0.90245945000000005</v>
      </c>
      <c r="AF77" s="2504">
        <v>0.87151295000000006</v>
      </c>
      <c r="AG77" s="2504">
        <v>0.96471896999999995</v>
      </c>
      <c r="AH77" s="2504">
        <v>0.84275239999999996</v>
      </c>
      <c r="AI77" s="2504">
        <v>0.84903395999999998</v>
      </c>
      <c r="AJ77" s="2504">
        <v>0.86525572999999989</v>
      </c>
      <c r="AK77" s="2504">
        <v>0.91178783999999991</v>
      </c>
      <c r="AL77" s="2504">
        <v>0.95754008000000002</v>
      </c>
      <c r="AM77" s="2504">
        <v>0.89888686000000007</v>
      </c>
      <c r="AN77" s="2504">
        <v>0.88429378000000003</v>
      </c>
      <c r="AO77" s="2504">
        <v>0.88864018</v>
      </c>
      <c r="AP77" s="2504">
        <v>0.96801378000000005</v>
      </c>
      <c r="AQ77" s="2505">
        <f t="shared" si="39"/>
        <v>10.804895979999998</v>
      </c>
      <c r="AR77" s="2488"/>
      <c r="AS77" s="2504">
        <v>0.8915884428104861</v>
      </c>
      <c r="AT77" s="2504">
        <v>0.8971014402519506</v>
      </c>
      <c r="AU77" s="2504">
        <v>0.90092634932955573</v>
      </c>
      <c r="AV77" s="2504">
        <v>0.90475125840716109</v>
      </c>
      <c r="AW77" s="2504">
        <v>0.91111898413412373</v>
      </c>
      <c r="AX77" s="2504">
        <v>0.91449516086184246</v>
      </c>
      <c r="AY77" s="2504">
        <v>0.92043552244605609</v>
      </c>
      <c r="AZ77" s="2504">
        <v>0.92979479717226321</v>
      </c>
      <c r="BA77" s="2504">
        <v>0.93530779461372771</v>
      </c>
      <c r="BB77" s="2504">
        <v>0.94419696878291093</v>
      </c>
      <c r="BC77" s="2504">
        <v>0.9497099662243752</v>
      </c>
      <c r="BD77" s="2504">
        <v>0.95691105202969906</v>
      </c>
      <c r="BE77" s="2505">
        <f t="shared" si="40"/>
        <v>11.056337737064153</v>
      </c>
      <c r="BG77" s="2509" cm="1">
        <f t="array" aca="1" ref="BG77" ca="1">INDIRECT("'※ 재무_세부시트'!"&amp;BG$1&amp;$AD77, TRUE)</f>
        <v>0.90245945000000005</v>
      </c>
      <c r="BH77" s="2509" cm="1">
        <f t="array" aca="1" ref="BH77" ca="1">INDIRECT("'※ 재무_세부시트'!"&amp;BH$1&amp;$AD77, TRUE)</f>
        <v>10.804895979999998</v>
      </c>
      <c r="BI77" s="2509" cm="1">
        <f t="array" aca="1" ref="BI77" ca="1">INDIRECT("'※ 재무_세부시트'!"&amp;BI$1&amp;$AD77, TRUE)</f>
        <v>0.91178783999999991</v>
      </c>
      <c r="BJ77" s="2509" cm="1">
        <f t="array" aca="1" ref="BJ77" ca="1">INDIRECT("'※ 재무_세부시트'!"&amp;BJ$1&amp;$AD77, TRUE)</f>
        <v>0.96327995999999994</v>
      </c>
      <c r="BK77" s="2509" cm="1">
        <f t="array" aca="1" ref="BK77" ca="1">INDIRECT("'※ 재무_세부시트'!"&amp;BK$1&amp;$AD77, TRUE)</f>
        <v>0.89888686000000007</v>
      </c>
      <c r="BL77" s="2490"/>
      <c r="BM77" s="2490"/>
    </row>
    <row r="78" spans="1:65" ht="20.05" customHeight="1" thickBot="1" x14ac:dyDescent="0.6">
      <c r="A78" s="2758"/>
      <c r="B78" s="2759"/>
      <c r="C78" s="2759"/>
      <c r="D78" s="2759" t="s">
        <v>626</v>
      </c>
      <c r="E78" s="2759" t="s">
        <v>1127</v>
      </c>
      <c r="F78" s="2760" cm="1">
        <f t="array" aca="1" ref="F78" ca="1">INDIRECT("'※ 재무_세부시트'!"&amp;F$1&amp;$AD78, TRUE)</f>
        <v>25.668721139999988</v>
      </c>
      <c r="G78" s="2760" cm="1">
        <f t="array" aca="1" ref="G78" ca="1">INDIRECT("'※ 재무_세부시트'!"&amp;G$1&amp;$AD78, TRUE)</f>
        <v>39.888880779999987</v>
      </c>
      <c r="H78" s="2761" cm="1">
        <f t="array" aca="1" ref="H78" ca="1">INDIRECT("'※ 재무_세부시트'!"&amp;H$1&amp;$AD78, TRUE)</f>
        <v>3.4385026499999949</v>
      </c>
      <c r="I78" s="2762" cm="1">
        <f t="array" aca="1" ref="I78" ca="1">INDIRECT("'※ 재무_세부시트'!"&amp;I$1&amp;$AD78, TRUE)</f>
        <v>2.0805387900000021</v>
      </c>
      <c r="J78" s="2762" cm="1">
        <f t="array" aca="1" ref="J78" ca="1">INDIRECT("'※ 재무_세부시트'!"&amp;J$1&amp;$AD78, TRUE)</f>
        <v>2.6634455699999995</v>
      </c>
      <c r="K78" s="2762" cm="1">
        <f t="array" aca="1" ref="K78" ca="1">INDIRECT("'※ 재무_세부시트'!"&amp;K$1&amp;$AD78, TRUE)</f>
        <v>2.4364969400000032</v>
      </c>
      <c r="L78" s="2762" cm="1">
        <f t="array" aca="1" ref="L78" ca="1">INDIRECT("'※ 재무_세부시트'!"&amp;L$1&amp;$AD78, TRUE)</f>
        <v>2.8368363199999989</v>
      </c>
      <c r="M78" s="2762" cm="1">
        <f t="array" aca="1" ref="M78" ca="1">INDIRECT("'※ 재무_세부시트'!"&amp;M$1&amp;$AD78, TRUE)</f>
        <v>2.9839588300000033</v>
      </c>
      <c r="N78" s="2762" cm="1">
        <f t="array" aca="1" ref="N78" ca="1">INDIRECT("'※ 재무_세부시트'!"&amp;N$1&amp;$AD78, TRUE)</f>
        <v>3.2396657200000005</v>
      </c>
      <c r="O78" s="2762" cm="1">
        <f t="array" aca="1" ref="O78" ca="1">INDIRECT("'※ 재무_세부시트'!"&amp;O$1&amp;$AD78, TRUE)</f>
        <v>2.4586343999999993</v>
      </c>
      <c r="P78" s="2762" cm="1">
        <f t="array" aca="1" ref="P78" ca="1">INDIRECT("'※ 재무_세부시트'!"&amp;P$1&amp;$AD78, TRUE)</f>
        <v>3.9162042100000054</v>
      </c>
      <c r="Q78" s="2762" cm="1">
        <f t="array" aca="1" ref="Q78" ca="1">INDIRECT("'※ 재무_세부시트'!"&amp;Q$1&amp;$AD78, TRUE)</f>
        <v>2.7178286599999972</v>
      </c>
      <c r="R78" s="2762" cm="1">
        <f t="array" aca="1" ref="R78" ca="1">INDIRECT("'※ 재무_세부시트'!"&amp;R$1&amp;$AD78, TRUE)</f>
        <v>2.8095896600000021</v>
      </c>
      <c r="S78" s="2762" cm="1">
        <f t="array" aca="1" ref="S78" ca="1">INDIRECT("'※ 재무_세부시트'!"&amp;S$1&amp;$AD78, TRUE)</f>
        <v>3.0634664399999991</v>
      </c>
      <c r="T78" s="2763" cm="1">
        <f t="array" aca="1" ref="T78" ca="1">INDIRECT("'※ 재무_세부시트'!"&amp;T$1&amp;$AD78, TRUE)</f>
        <v>0</v>
      </c>
      <c r="U78" s="2763" cm="1">
        <f t="array" aca="1" ref="U78" ca="1">INDIRECT("'※ 재무_세부시트'!"&amp;U$1&amp;$AD78, TRUE)</f>
        <v>3.0634664399999991</v>
      </c>
      <c r="V78" s="2764" cm="1">
        <f t="array" aca="1" ref="V78" ca="1">INDIRECT("'※ 재무_세부시트'!"&amp;V$1&amp;$AD78, TRUE)</f>
        <v>0</v>
      </c>
      <c r="W78" s="2765" cm="1">
        <f t="array" aca="1" ref="W78" ca="1">INDIRECT("'※ 재무_세부시트'!"&amp;W$1&amp;$AD78, TRUE)</f>
        <v>0.25387677999999703</v>
      </c>
      <c r="X78" s="2766" cm="1">
        <f t="array" aca="1" ref="X78" ca="1">INDIRECT("'※ 재무_세부시트'!"&amp;X$1&amp;$AD78, TRUE)</f>
        <v>-0.45459822000000072</v>
      </c>
      <c r="Y78" s="2766" cm="1">
        <f t="array" aca="1" ref="Y78" ca="1">INDIRECT("'※ 재무_세부시트'!"&amp;Y$1&amp;$AD78, TRUE)</f>
        <v>0</v>
      </c>
      <c r="Z78" s="2767" cm="1">
        <f t="array" aca="1" ref="Z78" ca="1">INDIRECT("'※ 재무_세부시트'!"&amp;Z$1&amp;$AD78, TRUE)</f>
        <v>34.645168190000007</v>
      </c>
      <c r="AA78" s="2766" cm="1">
        <f t="array" aca="1" ref="AA78" ca="1">INDIRECT("'※ 재무_세부시트'!"&amp;AA$1&amp;$AD78, TRUE)</f>
        <v>34.645168190000007</v>
      </c>
      <c r="AB78" s="2768" cm="1">
        <f t="array" aca="1" ref="AB78" ca="1">INDIRECT("'※ 재무_세부시트'!"&amp;AB$1&amp;$AD78, TRUE)</f>
        <v>0</v>
      </c>
      <c r="AC78" s="2769" cm="1">
        <f t="array" aca="1" ref="AC78" ca="1">INDIRECT("'※ 재무_세부시트'!"&amp;AC$1&amp;$AD78, TRUE)</f>
        <v>-5.2437125899999799</v>
      </c>
      <c r="AD78" s="2441">
        <v>77</v>
      </c>
      <c r="AE78" s="2505">
        <f t="shared" ref="AE78:AP78" si="41">AE71-SUM(AE72:AE77)</f>
        <v>2.2943594000000012</v>
      </c>
      <c r="AF78" s="2505">
        <f t="shared" si="41"/>
        <v>1.9158937099999989</v>
      </c>
      <c r="AG78" s="2505">
        <f t="shared" si="41"/>
        <v>1.8334729299999992</v>
      </c>
      <c r="AH78" s="2505">
        <f t="shared" si="41"/>
        <v>1.9167058699999977</v>
      </c>
      <c r="AI78" s="2505">
        <f t="shared" si="41"/>
        <v>1.7301004600000027</v>
      </c>
      <c r="AJ78" s="2505">
        <f t="shared" si="41"/>
        <v>1.5544081099999936</v>
      </c>
      <c r="AK78" s="2505">
        <f t="shared" si="41"/>
        <v>2.3480860600000071</v>
      </c>
      <c r="AL78" s="2505">
        <f t="shared" si="41"/>
        <v>2.7172736199999967</v>
      </c>
      <c r="AM78" s="2505">
        <f t="shared" si="41"/>
        <v>2.2166508</v>
      </c>
      <c r="AN78" s="2505">
        <f t="shared" si="41"/>
        <v>1.9779073199999999</v>
      </c>
      <c r="AO78" s="2505">
        <f t="shared" si="41"/>
        <v>1.7898857900000031</v>
      </c>
      <c r="AP78" s="2505">
        <f t="shared" si="41"/>
        <v>3.373977069999988</v>
      </c>
      <c r="AQ78" s="2505">
        <f t="shared" si="39"/>
        <v>25.668721139999988</v>
      </c>
      <c r="AR78" s="2488"/>
      <c r="AS78" s="2505">
        <f t="shared" ref="AS78:BD78" si="42">AS71-SUM(AS72:AS77)</f>
        <v>2.2511968626475642</v>
      </c>
      <c r="AT78" s="2505">
        <f t="shared" si="42"/>
        <v>2.1480127021225037</v>
      </c>
      <c r="AU78" s="2505">
        <f t="shared" si="42"/>
        <v>1.8332898757427323</v>
      </c>
      <c r="AV78" s="2505">
        <f t="shared" si="42"/>
        <v>1.9476158593629336</v>
      </c>
      <c r="AW78" s="2505">
        <f t="shared" si="42"/>
        <v>1.9251243211440645</v>
      </c>
      <c r="AX78" s="2505">
        <f t="shared" si="42"/>
        <v>1.9210857968535358</v>
      </c>
      <c r="AY78" s="2505">
        <f t="shared" si="42"/>
        <v>1.948934893481578</v>
      </c>
      <c r="AZ78" s="2505">
        <f t="shared" si="42"/>
        <v>2.8524958313343838</v>
      </c>
      <c r="BA78" s="2505">
        <f t="shared" si="42"/>
        <v>2.670786242809335</v>
      </c>
      <c r="BB78" s="2505">
        <f t="shared" si="42"/>
        <v>2.1465889199937394</v>
      </c>
      <c r="BC78" s="2505">
        <f t="shared" si="42"/>
        <v>1.8676715914686852</v>
      </c>
      <c r="BD78" s="2505">
        <f t="shared" si="42"/>
        <v>2.8599519367983604</v>
      </c>
      <c r="BE78" s="2505">
        <f t="shared" si="40"/>
        <v>26.372754833759416</v>
      </c>
      <c r="BG78" s="2509" cm="1">
        <f t="array" aca="1" ref="BG78" ca="1">INDIRECT("'※ 재무_세부시트'!"&amp;BG$1&amp;$AD78, TRUE)</f>
        <v>2.2943594000000012</v>
      </c>
      <c r="BH78" s="2509" cm="1">
        <f t="array" aca="1" ref="BH78" ca="1">INDIRECT("'※ 재무_세부시트'!"&amp;BH$1&amp;$AD78, TRUE)</f>
        <v>25.668721139999988</v>
      </c>
      <c r="BI78" s="2509" cm="1">
        <f t="array" aca="1" ref="BI78" ca="1">INDIRECT("'※ 재무_세부시트'!"&amp;BI$1&amp;$AD78, TRUE)</f>
        <v>2.3480860600000071</v>
      </c>
      <c r="BJ78" s="2509" cm="1">
        <f t="array" aca="1" ref="BJ78" ca="1">INDIRECT("'※ 재무_세부시트'!"&amp;BJ$1&amp;$AD78, TRUE)</f>
        <v>2.6869904999999958</v>
      </c>
      <c r="BK78" s="2509" cm="1">
        <f t="array" aca="1" ref="BK78" ca="1">INDIRECT("'※ 재무_세부시트'!"&amp;BK$1&amp;$AD78, TRUE)</f>
        <v>2.2166508</v>
      </c>
      <c r="BL78" s="2490"/>
      <c r="BM78" s="2490"/>
    </row>
    <row r="79" spans="1:65" ht="3.55" customHeight="1" thickTop="1" thickBot="1" x14ac:dyDescent="0.6">
      <c r="B79" s="2682"/>
      <c r="C79" s="2682"/>
      <c r="D79" s="2682"/>
      <c r="E79" s="2682"/>
      <c r="F79" s="2683"/>
      <c r="G79" s="2683"/>
      <c r="H79" s="2684"/>
      <c r="I79" s="2685"/>
      <c r="J79" s="2685"/>
      <c r="K79" s="2685"/>
      <c r="L79" s="2685"/>
      <c r="M79" s="2685"/>
      <c r="N79" s="2685"/>
      <c r="O79" s="2685"/>
      <c r="P79" s="2685"/>
      <c r="Q79" s="2685"/>
      <c r="R79" s="2685"/>
      <c r="S79" s="2685"/>
      <c r="T79" s="2685"/>
      <c r="U79" s="2685"/>
      <c r="V79" s="2685"/>
      <c r="W79" s="2770"/>
      <c r="X79" s="2770"/>
      <c r="Y79" s="2770"/>
      <c r="Z79" s="2771"/>
      <c r="AA79" s="2770"/>
      <c r="AB79" s="2770"/>
      <c r="AC79" s="2770"/>
      <c r="AE79" s="2505"/>
      <c r="AF79" s="2505"/>
      <c r="AG79" s="2505"/>
      <c r="AH79" s="2505"/>
      <c r="AI79" s="2505"/>
      <c r="AJ79" s="2505"/>
      <c r="AK79" s="2505"/>
      <c r="AL79" s="2505"/>
      <c r="AM79" s="2505"/>
      <c r="AN79" s="2505"/>
      <c r="AO79" s="2505"/>
      <c r="AP79" s="2505"/>
      <c r="AQ79" s="2505"/>
      <c r="AR79" s="2488"/>
      <c r="AS79" s="2505"/>
      <c r="AT79" s="2505"/>
      <c r="AU79" s="2505"/>
      <c r="AV79" s="2505"/>
      <c r="AW79" s="2505"/>
      <c r="AX79" s="2505"/>
      <c r="AY79" s="2505"/>
      <c r="AZ79" s="2505"/>
      <c r="BA79" s="2505"/>
      <c r="BB79" s="2505"/>
      <c r="BC79" s="2505"/>
      <c r="BD79" s="2505"/>
      <c r="BE79" s="2505"/>
      <c r="BG79" s="2506" t="e" cm="1">
        <f t="array" aca="1" ref="BG79" ca="1">INDIRECT("'※ 재무_세부시트'!"&amp;BG$1&amp;$AD79, TRUE)</f>
        <v>#REF!</v>
      </c>
      <c r="BH79" s="2506" t="e" cm="1">
        <f t="array" aca="1" ref="BH79" ca="1">INDIRECT("'※ 재무_세부시트'!"&amp;BH$1&amp;$AD79, TRUE)</f>
        <v>#REF!</v>
      </c>
      <c r="BI79" s="2506" t="e" cm="1">
        <f t="array" aca="1" ref="BI79" ca="1">INDIRECT("'※ 재무_세부시트'!"&amp;BI$1&amp;$AD79, TRUE)</f>
        <v>#REF!</v>
      </c>
      <c r="BJ79" s="2506" t="e" cm="1">
        <f t="array" aca="1" ref="BJ79" ca="1">INDIRECT("'※ 재무_세부시트'!"&amp;BJ$1&amp;$AD79, TRUE)</f>
        <v>#REF!</v>
      </c>
      <c r="BK79" s="2506" t="e" cm="1">
        <f t="array" aca="1" ref="BK79" ca="1">INDIRECT("'※ 재무_세부시트'!"&amp;BK$1&amp;$AD79, TRUE)</f>
        <v>#REF!</v>
      </c>
      <c r="BL79" s="2490"/>
      <c r="BM79" s="2490"/>
    </row>
    <row r="80" spans="1:65" ht="38.799999999999997" customHeight="1" thickTop="1" thickBot="1" x14ac:dyDescent="0.6">
      <c r="A80" s="2772" t="s">
        <v>744</v>
      </c>
      <c r="B80" s="2773"/>
      <c r="C80" s="2774"/>
      <c r="D80" s="2774"/>
      <c r="E80" s="2774"/>
      <c r="F80" s="2775" cm="1">
        <f t="array" aca="1" ref="F80" ca="1">INDIRECT("'※ 재무_세부시트'!"&amp;F$1&amp;$AD80, TRUE)</f>
        <v>90.466820910000109</v>
      </c>
      <c r="G80" s="2775" cm="1">
        <f t="array" aca="1" ref="G80" ca="1">INDIRECT("'※ 재무_세부시트'!"&amp;G$1&amp;$AD80, TRUE)</f>
        <v>144.68797261000006</v>
      </c>
      <c r="H80" s="2776" cm="1">
        <f t="array" aca="1" ref="H80" ca="1">INDIRECT("'※ 재무_세부시트'!"&amp;H$1&amp;$AD80, TRUE)</f>
        <v>-3.9623293499998908</v>
      </c>
      <c r="I80" s="2777" cm="1">
        <f t="array" aca="1" ref="I80" ca="1">INDIRECT("'※ 재무_세부시트'!"&amp;I$1&amp;$AD80, TRUE)</f>
        <v>46.64225362000002</v>
      </c>
      <c r="J80" s="2777" cm="1">
        <f t="array" aca="1" ref="J80" ca="1">INDIRECT("'※ 재무_세부시트'!"&amp;J$1&amp;$AD80, TRUE)</f>
        <v>20.152693190000065</v>
      </c>
      <c r="K80" s="2777" cm="1">
        <f t="array" aca="1" ref="K80" ca="1">INDIRECT("'※ 재무_세부시트'!"&amp;K$1&amp;$AD80, TRUE)</f>
        <v>24.687534059999933</v>
      </c>
      <c r="L80" s="2777" cm="1">
        <f t="array" aca="1" ref="L80" ca="1">INDIRECT("'※ 재무_세부시트'!"&amp;L$1&amp;$AD80, TRUE)</f>
        <v>34.214966000000032</v>
      </c>
      <c r="M80" s="2777" cm="1">
        <f t="array" aca="1" ref="M80" ca="1">INDIRECT("'※ 재무_세부시트'!"&amp;M$1&amp;$AD80, TRUE)</f>
        <v>25.011958040000138</v>
      </c>
      <c r="N80" s="2777" cm="1">
        <f t="array" aca="1" ref="N80" ca="1">INDIRECT("'※ 재무_세부시트'!"&amp;N$1&amp;$AD80, TRUE)</f>
        <v>41.431333010000003</v>
      </c>
      <c r="O80" s="2777" cm="1">
        <f t="array" aca="1" ref="O80" ca="1">INDIRECT("'※ 재무_세부시트'!"&amp;O$1&amp;$AD80, TRUE)</f>
        <v>3.2229067300000054</v>
      </c>
      <c r="P80" s="2777" cm="1">
        <f t="array" aca="1" ref="P80" ca="1">INDIRECT("'※ 재무_세부시트'!"&amp;P$1&amp;$AD80, TRUE)</f>
        <v>20.448268369999965</v>
      </c>
      <c r="Q80" s="2777" cm="1">
        <f t="array" aca="1" ref="Q80" ca="1">INDIRECT("'※ 재무_세부시트'!"&amp;Q$1&amp;$AD80, TRUE)</f>
        <v>-18.306896800000004</v>
      </c>
      <c r="R80" s="2777" cm="1">
        <f t="array" aca="1" ref="R80" ca="1">INDIRECT("'※ 재무_세부시트'!"&amp;R$1&amp;$AD80, TRUE)</f>
        <v>-8.2478817399999684</v>
      </c>
      <c r="S80" s="2777" cm="1">
        <f t="array" aca="1" ref="S80" ca="1">INDIRECT("'※ 재무_세부시트'!"&amp;S$1&amp;$AD80, TRUE)</f>
        <v>-21.863471919999967</v>
      </c>
      <c r="T80" s="2778" cm="1">
        <f t="array" aca="1" ref="T80" ca="1">INDIRECT("'※ 재무_세부시트'!"&amp;T$1&amp;$AD80, TRUE)</f>
        <v>0</v>
      </c>
      <c r="U80" s="2778" cm="1">
        <f t="array" aca="1" ref="U80" ca="1">INDIRECT("'※ 재무_세부시트'!"&amp;U$1&amp;$AD80, TRUE)</f>
        <v>-21.863471919999967</v>
      </c>
      <c r="V80" s="2778" t="s">
        <v>483</v>
      </c>
      <c r="W80" s="2779" cm="1">
        <f t="array" aca="1" ref="W80" ca="1">INDIRECT("'※ 재무_세부시트'!"&amp;W$1&amp;$AD80, TRUE)</f>
        <v>-13.615590179999998</v>
      </c>
      <c r="X80" s="2780" cm="1">
        <f t="array" aca="1" ref="X80" ca="1">INDIRECT("'※ 재무_세부시트'!"&amp;X$1&amp;$AD80, TRUE)</f>
        <v>-13.309081339999967</v>
      </c>
      <c r="Y80" s="2780" cm="1">
        <f t="array" aca="1" ref="Y80" ca="1">INDIRECT("'※ 재무_세부시트'!"&amp;Y$1&amp;$AD80, TRUE)</f>
        <v>0</v>
      </c>
      <c r="Z80" s="2781" cm="1">
        <f t="array" aca="1" ref="Z80" ca="1">INDIRECT("'※ 재무_세부시트'!"&amp;Z$1&amp;$AD80, TRUE)</f>
        <v>163.43133321000033</v>
      </c>
      <c r="AA80" s="2780" cm="1">
        <f t="array" aca="1" ref="AA80" ca="1">INDIRECT("'※ 재무_세부시트'!"&amp;AA$1&amp;$AD80, TRUE)</f>
        <v>163.43133321000033</v>
      </c>
      <c r="AB80" s="2782" cm="1">
        <f t="array" aca="1" ref="AB80" ca="1">INDIRECT("'※ 재무_세부시트'!"&amp;AB$1&amp;$AD80, TRUE)</f>
        <v>0</v>
      </c>
      <c r="AC80" s="2783" cm="1">
        <f t="array" aca="1" ref="AC80" ca="1">INDIRECT("'※ 재무_세부시트'!"&amp;AC$1&amp;$AD80, TRUE)</f>
        <v>18.743360600000273</v>
      </c>
      <c r="AD80" s="2441">
        <v>79</v>
      </c>
      <c r="AE80" s="2784">
        <f t="shared" ref="AE80:AP80" si="43">AE6-AE8-AE56</f>
        <v>2.6141413100000079</v>
      </c>
      <c r="AF80" s="2784">
        <f t="shared" si="43"/>
        <v>12.37289911000002</v>
      </c>
      <c r="AG80" s="2784">
        <f t="shared" si="43"/>
        <v>11.354914839999992</v>
      </c>
      <c r="AH80" s="2784">
        <f t="shared" si="43"/>
        <v>10.363979950000044</v>
      </c>
      <c r="AI80" s="2784">
        <f t="shared" si="43"/>
        <v>16.504988499999882</v>
      </c>
      <c r="AJ80" s="2784">
        <f t="shared" si="43"/>
        <v>13.311008820000097</v>
      </c>
      <c r="AK80" s="2784">
        <f t="shared" si="43"/>
        <v>7.8640986699999758</v>
      </c>
      <c r="AL80" s="2784">
        <f t="shared" si="43"/>
        <v>34.939480540000005</v>
      </c>
      <c r="AM80" s="2784">
        <f t="shared" si="43"/>
        <v>2.1125077200000248</v>
      </c>
      <c r="AN80" s="2784">
        <f t="shared" si="43"/>
        <v>23.662705450000203</v>
      </c>
      <c r="AO80" s="2784">
        <f t="shared" si="43"/>
        <v>-29.675148770000078</v>
      </c>
      <c r="AP80" s="2784">
        <f t="shared" si="43"/>
        <v>-14.958755230000065</v>
      </c>
      <c r="AQ80" s="2785">
        <f>SUM(AE80:AP80)</f>
        <v>90.466820910000109</v>
      </c>
      <c r="AR80" s="2488"/>
      <c r="AS80" s="2784">
        <f t="shared" ref="AS80:BD80" si="44">AS6-AS8-AS56</f>
        <v>12.764680746595104</v>
      </c>
      <c r="AT80" s="2784">
        <f t="shared" si="44"/>
        <v>11.356007322607383</v>
      </c>
      <c r="AU80" s="2784">
        <f t="shared" si="44"/>
        <v>11.747843620876381</v>
      </c>
      <c r="AV80" s="2784">
        <f t="shared" si="44"/>
        <v>10.822630004799322</v>
      </c>
      <c r="AW80" s="2784">
        <f t="shared" si="44"/>
        <v>21.683381729608072</v>
      </c>
      <c r="AX80" s="2784">
        <f t="shared" si="44"/>
        <v>15.863234791778126</v>
      </c>
      <c r="AY80" s="2784">
        <f t="shared" si="44"/>
        <v>23.778015573429002</v>
      </c>
      <c r="AZ80" s="2784">
        <f t="shared" si="44"/>
        <v>12.494704674516527</v>
      </c>
      <c r="BA80" s="2784">
        <f t="shared" si="44"/>
        <v>10.194960861419617</v>
      </c>
      <c r="BB80" s="2784">
        <f t="shared" si="44"/>
        <v>17.878347447750656</v>
      </c>
      <c r="BC80" s="2784">
        <f t="shared" si="44"/>
        <v>-3.4733587535292827</v>
      </c>
      <c r="BD80" s="2784">
        <f t="shared" si="44"/>
        <v>5.1364446346705677</v>
      </c>
      <c r="BE80" s="2785">
        <f>SUM(AS80:BD80)</f>
        <v>150.24689265452147</v>
      </c>
      <c r="BG80" s="2786" cm="1">
        <f t="array" aca="1" ref="BG80" ca="1">INDIRECT("'※ 재무_세부시트'!"&amp;BG$1&amp;$AD80, TRUE)</f>
        <v>2.6141413100000079</v>
      </c>
      <c r="BH80" s="2786" cm="1">
        <f t="array" aca="1" ref="BH80" ca="1">INDIRECT("'※ 재무_세부시트'!"&amp;BH$1&amp;$AD80, TRUE)</f>
        <v>90.466820910000109</v>
      </c>
      <c r="BI80" s="2786" cm="1">
        <f t="array" aca="1" ref="BI80" ca="1">INDIRECT("'※ 재무_세부시트'!"&amp;BI$1&amp;$AD80, TRUE)</f>
        <v>7.8640986699999758</v>
      </c>
      <c r="BJ80" s="2786" cm="1">
        <f t="array" aca="1" ref="BJ80" ca="1">INDIRECT("'※ 재무_세부시트'!"&amp;BJ$1&amp;$AD80, TRUE)</f>
        <v>0.99110638000001927</v>
      </c>
      <c r="BK80" s="2786" cm="1">
        <f t="array" aca="1" ref="BK80" ca="1">INDIRECT("'※ 재무_세부시트'!"&amp;BK$1&amp;$AD80, TRUE)</f>
        <v>2.1125077200000248</v>
      </c>
      <c r="BL80" s="2490"/>
      <c r="BM80" s="2490"/>
    </row>
    <row r="81" spans="1:65" ht="26.25" customHeight="1" x14ac:dyDescent="0.55000000000000004">
      <c r="A81" s="2787"/>
      <c r="B81" s="2788" t="s">
        <v>745</v>
      </c>
      <c r="C81" s="2648"/>
      <c r="D81" s="2648"/>
      <c r="E81" s="2648"/>
      <c r="F81" s="2494" cm="1">
        <f t="array" aca="1" ref="F81" ca="1">INDIRECT("'※ 재무_세부시트'!"&amp;F$1&amp;$AD81, TRUE)</f>
        <v>64.544710421651871</v>
      </c>
      <c r="G81" s="2494" cm="1">
        <f t="array" aca="1" ref="G81" ca="1">INDIRECT("'※ 재무_세부시트'!"&amp;G$1&amp;$AD81, TRUE)</f>
        <v>23.882875223475665</v>
      </c>
      <c r="H81" s="2789" cm="1">
        <f t="array" aca="1" ref="H81" ca="1">INDIRECT("'※ 재무_세부시트'!"&amp;H$1&amp;$AD81, TRUE)</f>
        <v>-18.295066779738942</v>
      </c>
      <c r="I81" s="2790" cm="1">
        <f t="array" aca="1" ref="I81" ca="1">INDIRECT("'※ 재무_세부시트'!"&amp;I$1&amp;$AD81, TRUE)</f>
        <v>34.361785092111376</v>
      </c>
      <c r="J81" s="2790" cm="1">
        <f t="array" aca="1" ref="J81" ca="1">INDIRECT("'※ 재무_세부시트'!"&amp;J$1&amp;$AD81, TRUE)</f>
        <v>11.391866476265804</v>
      </c>
      <c r="K81" s="2790" cm="1">
        <f t="array" aca="1" ref="K81" ca="1">INDIRECT("'※ 재무_세부시트'!"&amp;K$1&amp;$AD81, TRUE)</f>
        <v>16.529726748202631</v>
      </c>
      <c r="L81" s="2790" cm="1">
        <f t="array" aca="1" ref="L81" ca="1">INDIRECT("'※ 재무_세부시트'!"&amp;L$1&amp;$AD81, TRUE)</f>
        <v>36.827465569778163</v>
      </c>
      <c r="M81" s="2790" cm="1">
        <f t="array" aca="1" ref="M81" ca="1">INDIRECT("'※ 재무_세부시트'!"&amp;M$1&amp;$AD81, TRUE)</f>
        <v>-2.2899241677573894</v>
      </c>
      <c r="N81" s="2790" cm="1">
        <f t="array" aca="1" ref="N81" ca="1">INDIRECT("'※ 재무_세부시트'!"&amp;N$1&amp;$AD81, TRUE)</f>
        <v>29.869226999718901</v>
      </c>
      <c r="O81" s="2790" cm="1">
        <f t="array" aca="1" ref="O81" ca="1">INDIRECT("'※ 재무_세부시트'!"&amp;O$1&amp;$AD81, TRUE)</f>
        <v>3.1552801625569344</v>
      </c>
      <c r="P81" s="2790" cm="1">
        <f t="array" aca="1" ref="P81" ca="1">INDIRECT("'※ 재무_세부시트'!"&amp;P$1&amp;$AD81, TRUE)</f>
        <v>-1.3464367102259809</v>
      </c>
      <c r="Q81" s="2790" cm="1">
        <f t="array" aca="1" ref="Q81" ca="1">INDIRECT("'※ 재무_세부시트'!"&amp;Q$1&amp;$AD81, TRUE)</f>
        <v>-27.243653360345576</v>
      </c>
      <c r="R81" s="2790" cm="1">
        <f t="array" aca="1" ref="R81" ca="1">INDIRECT("'※ 재무_세부시트'!"&amp;R$1&amp;$AD81, TRUE)</f>
        <v>-15.846262022655498</v>
      </c>
      <c r="S81" s="2790" cm="1">
        <f t="array" aca="1" ref="S81" ca="1">INDIRECT("'※ 재무_세부시트'!"&amp;S$1&amp;$AD81, TRUE)</f>
        <v>-17.587660156621677</v>
      </c>
      <c r="T81" s="2791"/>
      <c r="U81" s="2791"/>
      <c r="V81" s="2792"/>
      <c r="W81" s="2499" cm="1">
        <f t="array" aca="1" ref="W81" ca="1">INDIRECT("'※ 재무_세부시트'!"&amp;W$1&amp;$AD81, TRUE)</f>
        <v>-1.7413981339661788</v>
      </c>
      <c r="X81" s="2500" cm="1">
        <f t="array" aca="1" ref="X81" ca="1">INDIRECT("'※ 재무_세부시트'!"&amp;X$1&amp;$AD81, TRUE)</f>
        <v>-9.5527196846148019</v>
      </c>
      <c r="Y81" s="2500" cm="1">
        <f t="array" aca="1" ref="Y81" ca="1">INDIRECT("'※ 재무_세부시트'!"&amp;Y$1&amp;$AD81, TRUE)</f>
        <v>0</v>
      </c>
      <c r="Z81" s="2501" cm="1">
        <f t="array" aca="1" ref="Z81" ca="1">INDIRECT("'※ 재무_세부시트'!"&amp;Z$1&amp;$AD81, TRUE)</f>
        <v>49.526347851288747</v>
      </c>
      <c r="AA81" s="2793"/>
      <c r="AB81" s="2794"/>
      <c r="AC81" s="2795" cm="1">
        <f t="array" aca="1" ref="AC81" ca="1">INDIRECT("'※ 재무_세부시트'!"&amp;AC$1&amp;$AD81, TRUE)</f>
        <v>25.643472627813082</v>
      </c>
      <c r="AD81" s="2441">
        <v>80</v>
      </c>
      <c r="AE81" s="2505">
        <f>AE109</f>
        <v>-2.4865971917097873</v>
      </c>
      <c r="AF81" s="2505">
        <f t="shared" ref="AF81:AP81" si="45">AF109</f>
        <v>16.863873545639645</v>
      </c>
      <c r="AG81" s="2505">
        <f t="shared" si="45"/>
        <v>8.7412195895893756</v>
      </c>
      <c r="AH81" s="2505">
        <f t="shared" si="45"/>
        <v>3.6377682302271532</v>
      </c>
      <c r="AI81" s="2505">
        <f t="shared" si="45"/>
        <v>15.464196511231293</v>
      </c>
      <c r="AJ81" s="2505">
        <f t="shared" si="45"/>
        <v>13.677927319858384</v>
      </c>
      <c r="AK81" s="2505">
        <f t="shared" si="45"/>
        <v>-4.1613884664527188</v>
      </c>
      <c r="AL81" s="2505">
        <f t="shared" si="45"/>
        <v>46.003314943790471</v>
      </c>
      <c r="AM81" s="2505">
        <f t="shared" si="45"/>
        <v>-14.532940217525116</v>
      </c>
      <c r="AN81" s="2505">
        <f t="shared" si="45"/>
        <v>19.530456867603625</v>
      </c>
      <c r="AO81" s="2505">
        <f t="shared" si="45"/>
        <v>-31.362217322552333</v>
      </c>
      <c r="AP81" s="2505">
        <f t="shared" si="45"/>
        <v>-6.8309033880481174</v>
      </c>
      <c r="AQ81" s="2505">
        <f>SUM(AE81:AP81)</f>
        <v>64.544710421651871</v>
      </c>
      <c r="AR81" s="2488"/>
      <c r="AS81" s="2488"/>
      <c r="AT81" s="2488"/>
      <c r="AU81" s="2488"/>
      <c r="AV81" s="2488"/>
      <c r="AW81" s="2488"/>
      <c r="AX81" s="2488"/>
      <c r="AY81" s="2488"/>
      <c r="AZ81" s="2488"/>
      <c r="BA81" s="2488"/>
      <c r="BB81" s="2488"/>
      <c r="BC81" s="2488"/>
      <c r="BD81" s="2488"/>
      <c r="BE81" s="2488"/>
      <c r="BG81" s="2509" cm="1">
        <f t="array" aca="1" ref="BG81" ca="1">INDIRECT("'※ 재무_세부시트'!"&amp;BG$1&amp;$AD81, TRUE)</f>
        <v>-2.4865971917097873</v>
      </c>
      <c r="BH81" s="2509" cm="1">
        <f t="array" aca="1" ref="BH81" ca="1">INDIRECT("'※ 재무_세부시트'!"&amp;BH$1&amp;$AD81, TRUE)</f>
        <v>64.544710421651871</v>
      </c>
      <c r="BI81" s="2509" cm="1">
        <f t="array" aca="1" ref="BI81" ca="1">INDIRECT("'※ 재무_세부시트'!"&amp;BI$1&amp;$AD81, TRUE)</f>
        <v>-4.1613884664527188</v>
      </c>
      <c r="BJ81" s="2509" cm="1">
        <f t="array" aca="1" ref="BJ81" ca="1">INDIRECT("'※ 재무_세부시트'!"&amp;BJ$1&amp;$AD81, TRUE)</f>
        <v>-5.3074165408016754</v>
      </c>
      <c r="BK81" s="2509" cm="1">
        <f t="array" aca="1" ref="BK81" ca="1">INDIRECT("'※ 재무_세부시트'!"&amp;BK$1&amp;$AD81, TRUE)</f>
        <v>-14.532940217525116</v>
      </c>
      <c r="BL81" s="2490"/>
      <c r="BM81" s="2490"/>
    </row>
    <row r="82" spans="1:65" ht="26.25" customHeight="1" x14ac:dyDescent="0.55000000000000004">
      <c r="A82" s="2787"/>
      <c r="B82" s="2788" t="s">
        <v>746</v>
      </c>
      <c r="C82" s="2648"/>
      <c r="D82" s="2648"/>
      <c r="E82" s="2648"/>
      <c r="F82" s="2494" cm="1">
        <f t="array" aca="1" ref="F82" ca="1">INDIRECT("'※ 재무_세부시트'!"&amp;F$1&amp;$AD82, TRUE)</f>
        <v>13.472948943627117</v>
      </c>
      <c r="G82" s="2494" cm="1">
        <f t="array" aca="1" ref="G82" ca="1">INDIRECT("'※ 재무_세부시트'!"&amp;G$1&amp;$AD82, TRUE)</f>
        <v>48.936893880621646</v>
      </c>
      <c r="H82" s="2789" cm="1">
        <f t="array" aca="1" ref="H82" ca="1">INDIRECT("'※ 재무_세부시트'!"&amp;H$1&amp;$AD82, TRUE)</f>
        <v>10.400605556515302</v>
      </c>
      <c r="I82" s="2790" cm="1">
        <f t="array" aca="1" ref="I82" ca="1">INDIRECT("'※ 재무_세부시트'!"&amp;I$1&amp;$AD82, TRUE)</f>
        <v>-1.283953336120522</v>
      </c>
      <c r="J82" s="2790" cm="1">
        <f t="array" aca="1" ref="J82" ca="1">INDIRECT("'※ 재무_세부시트'!"&amp;J$1&amp;$AD82, TRUE)</f>
        <v>5.7066022764471258</v>
      </c>
      <c r="K82" s="2790" cm="1">
        <f t="array" aca="1" ref="K82" ca="1">INDIRECT("'※ 재무_세부시트'!"&amp;K$1&amp;$AD82, TRUE)</f>
        <v>5.5789361155570818</v>
      </c>
      <c r="L82" s="2790" cm="1">
        <f t="array" aca="1" ref="L82" ca="1">INDIRECT("'※ 재무_세부시트'!"&amp;L$1&amp;$AD82, TRUE)</f>
        <v>3.9745495617708571E-2</v>
      </c>
      <c r="M82" s="2790" cm="1">
        <f t="array" aca="1" ref="M82" ca="1">INDIRECT("'※ 재무_세부시트'!"&amp;M$1&amp;$AD82, TRUE)</f>
        <v>11.11780571335116</v>
      </c>
      <c r="N82" s="2790" cm="1">
        <f t="array" aca="1" ref="N82" ca="1">INDIRECT("'※ 재무_세부시트'!"&amp;N$1&amp;$AD82, TRUE)</f>
        <v>3.9280228807531898</v>
      </c>
      <c r="O82" s="2790" cm="1">
        <f t="array" aca="1" ref="O82" ca="1">INDIRECT("'※ 재무_세부시트'!"&amp;O$1&amp;$AD82, TRUE)</f>
        <v>-5.4545131547366612</v>
      </c>
      <c r="P82" s="2790" cm="1">
        <f t="array" aca="1" ref="P82" ca="1">INDIRECT("'※ 재무_세부시트'!"&amp;P$1&amp;$AD82, TRUE)</f>
        <v>6.0505012123430273</v>
      </c>
      <c r="Q82" s="2790" cm="1">
        <f t="array" aca="1" ref="Q82" ca="1">INDIRECT("'※ 재무_세부시트'!"&amp;Q$1&amp;$AD82, TRUE)</f>
        <v>-5.2185853730272767</v>
      </c>
      <c r="R82" s="2790" cm="1">
        <f t="array" aca="1" ref="R82" ca="1">INDIRECT("'※ 재무_세부시트'!"&amp;R$1&amp;$AD82, TRUE)</f>
        <v>-5.3573387273088589</v>
      </c>
      <c r="S82" s="2790" cm="1">
        <f t="array" aca="1" ref="S82" ca="1">INDIRECT("'※ 재무_세부시트'!"&amp;S$1&amp;$AD82, TRUE)</f>
        <v>3.6545042139473374</v>
      </c>
      <c r="T82" s="2791"/>
      <c r="U82" s="2791"/>
      <c r="V82" s="2792"/>
      <c r="W82" s="2499" cm="1">
        <f t="array" aca="1" ref="W82" ca="1">INDIRECT("'※ 재무_세부시트'!"&amp;W$1&amp;$AD82, TRUE)</f>
        <v>9.0118429412561962</v>
      </c>
      <c r="X82" s="2500" cm="1">
        <f t="array" aca="1" ref="X82" ca="1">INDIRECT("'※ 재무_세부시트'!"&amp;X$1&amp;$AD82, TRUE)</f>
        <v>1.7145784128836978</v>
      </c>
      <c r="Y82" s="2500" cm="1">
        <f t="array" aca="1" ref="Y82" ca="1">INDIRECT("'※ 재무_세부시트'!"&amp;Y$1&amp;$AD82, TRUE)</f>
        <v>0</v>
      </c>
      <c r="Z82" s="2501" cm="1">
        <f t="array" aca="1" ref="Z82" ca="1">INDIRECT("'※ 재무_세부시트'!"&amp;Z$1&amp;$AD82, TRUE)</f>
        <v>29.16233287333861</v>
      </c>
      <c r="AA82" s="2793"/>
      <c r="AB82" s="2794"/>
      <c r="AC82" s="2795" cm="1">
        <f t="array" aca="1" ref="AC82" ca="1">INDIRECT("'※ 재무_세부시트'!"&amp;AC$1&amp;$AD82, TRUE)</f>
        <v>-19.774561007283037</v>
      </c>
      <c r="AD82" s="2441">
        <v>81</v>
      </c>
      <c r="AE82" s="2505">
        <f>AE127</f>
        <v>3.3495094888475547</v>
      </c>
      <c r="AF82" s="2505">
        <f t="shared" ref="AF82:AP82" si="46">AF127</f>
        <v>-3.5328889770966114</v>
      </c>
      <c r="AG82" s="2505">
        <f t="shared" si="46"/>
        <v>-1.5637827930574897</v>
      </c>
      <c r="AH82" s="2505">
        <f t="shared" si="46"/>
        <v>6.0888672722938182</v>
      </c>
      <c r="AI82" s="2505">
        <f t="shared" si="46"/>
        <v>2.1924339017970436</v>
      </c>
      <c r="AJ82" s="2505">
        <f t="shared" si="46"/>
        <v>-2.5313822574605904</v>
      </c>
      <c r="AK82" s="2505">
        <f t="shared" si="46"/>
        <v>10.055429561359166</v>
      </c>
      <c r="AL82" s="2505">
        <f t="shared" si="46"/>
        <v>-9.7221004933971642</v>
      </c>
      <c r="AM82" s="2505">
        <f t="shared" si="46"/>
        <v>12.886122195423118</v>
      </c>
      <c r="AN82" s="2505">
        <f t="shared" si="46"/>
        <v>0.4408754823698704</v>
      </c>
      <c r="AO82" s="2505">
        <f t="shared" si="46"/>
        <v>1.2201085615672582</v>
      </c>
      <c r="AP82" s="2505">
        <f t="shared" si="46"/>
        <v>-5.4102429990188554</v>
      </c>
      <c r="AQ82" s="2505">
        <f>SUM(AE82:AP82)</f>
        <v>13.472948943627117</v>
      </c>
      <c r="AR82" s="2488"/>
      <c r="AS82" s="2488"/>
      <c r="AT82" s="2488"/>
      <c r="AU82" s="2488"/>
      <c r="AV82" s="2488"/>
      <c r="AW82" s="2488"/>
      <c r="AX82" s="2488"/>
      <c r="AY82" s="2488"/>
      <c r="AZ82" s="2488"/>
      <c r="BA82" s="2488"/>
      <c r="BB82" s="2488"/>
      <c r="BC82" s="2488"/>
      <c r="BD82" s="2488"/>
      <c r="BE82" s="2488"/>
      <c r="BG82" s="2509" cm="1">
        <f t="array" aca="1" ref="BG82" ca="1">INDIRECT("'※ 재무_세부시트'!"&amp;BG$1&amp;$AD82, TRUE)</f>
        <v>3.3495094888475547</v>
      </c>
      <c r="BH82" s="2509" cm="1">
        <f t="array" aca="1" ref="BH82" ca="1">INDIRECT("'※ 재무_세부시트'!"&amp;BH$1&amp;$AD82, TRUE)</f>
        <v>13.472948943627117</v>
      </c>
      <c r="BI82" s="2509" cm="1">
        <f t="array" aca="1" ref="BI82" ca="1">INDIRECT("'※ 재무_세부시트'!"&amp;BI$1&amp;$AD82, TRUE)</f>
        <v>10.055429561359166</v>
      </c>
      <c r="BJ82" s="2509" cm="1">
        <f t="array" aca="1" ref="BJ82" ca="1">INDIRECT("'※ 재무_세부시트'!"&amp;BJ$1&amp;$AD82, TRUE)</f>
        <v>-6.0562523448652481</v>
      </c>
      <c r="BK82" s="2509" cm="1">
        <f t="array" aca="1" ref="BK82" ca="1">INDIRECT("'※ 재무_세부시트'!"&amp;BK$1&amp;$AD82, TRUE)</f>
        <v>12.886122195423118</v>
      </c>
      <c r="BL82" s="2490"/>
      <c r="BM82" s="2490"/>
    </row>
    <row r="83" spans="1:65" ht="26.25" customHeight="1" x14ac:dyDescent="0.55000000000000004">
      <c r="A83" s="2787"/>
      <c r="B83" s="2788" t="s">
        <v>946</v>
      </c>
      <c r="C83" s="2648"/>
      <c r="D83" s="2648"/>
      <c r="E83" s="2648"/>
      <c r="F83" s="2494" cm="1">
        <f t="array" aca="1" ref="F83" ca="1">INDIRECT("'※ 재무_세부시트'!"&amp;F$1&amp;$AD83, TRUE)</f>
        <v>11.982974152891501</v>
      </c>
      <c r="G83" s="2494" cm="1">
        <f t="array" aca="1" ref="G83" ca="1">INDIRECT("'※ 재무_세부시트'!"&amp;G$1&amp;$AD83, TRUE)</f>
        <v>29.829428884476378</v>
      </c>
      <c r="H83" s="2789" cm="1">
        <f t="array" aca="1" ref="H83" ca="1">INDIRECT("'※ 재무_세부시트'!"&amp;H$1&amp;$AD83, TRUE)</f>
        <v>5.1919827007767143</v>
      </c>
      <c r="I83" s="2790" cm="1">
        <f t="array" aca="1" ref="I83" ca="1">INDIRECT("'※ 재무_세부시트'!"&amp;I$1&amp;$AD83, TRUE)</f>
        <v>-1.3236918023909765</v>
      </c>
      <c r="J83" s="2790" cm="1">
        <f t="array" aca="1" ref="J83" ca="1">INDIRECT("'※ 재무_세부시트'!"&amp;J$1&amp;$AD83, TRUE)</f>
        <v>1.5846611752871356</v>
      </c>
      <c r="K83" s="2790" cm="1">
        <f t="array" aca="1" ref="K83" ca="1">INDIRECT("'※ 재무_세부시트'!"&amp;K$1&amp;$AD83, TRUE)</f>
        <v>1.8888801238403676</v>
      </c>
      <c r="L83" s="2790" cm="1">
        <f t="array" aca="1" ref="L83" ca="1">INDIRECT("'※ 재무_세부시트'!"&amp;L$1&amp;$AD83, TRUE)</f>
        <v>0.22504437500412822</v>
      </c>
      <c r="M83" s="2790" cm="1">
        <f t="array" aca="1" ref="M83" ca="1">INDIRECT("'※ 재무_세부시트'!"&amp;M$1&amp;$AD83, TRUE)</f>
        <v>6.220161420406189</v>
      </c>
      <c r="N83" s="2790" cm="1">
        <f t="array" aca="1" ref="N83" ca="1">INDIRECT("'※ 재무_세부시트'!"&amp;N$1&amp;$AD83, TRUE)</f>
        <v>4.4982364027279189</v>
      </c>
      <c r="O83" s="2790" cm="1">
        <f t="array" aca="1" ref="O83" ca="1">INDIRECT("'※ 재무_세부시트'!"&amp;O$1&amp;$AD83, TRUE)</f>
        <v>4.8514697981797523</v>
      </c>
      <c r="P83" s="2790" cm="1">
        <f t="array" aca="1" ref="P83" ca="1">INDIRECT("'※ 재무_세부시트'!"&amp;P$1&amp;$AD83, TRUE)</f>
        <v>8.3841179802830119</v>
      </c>
      <c r="Q83" s="2790" cm="1">
        <f t="array" aca="1" ref="Q83" ca="1">INDIRECT("'※ 재무_세부시트'!"&amp;Q$1&amp;$AD83, TRUE)</f>
        <v>15.911146059727248</v>
      </c>
      <c r="R83" s="2790" cm="1">
        <f t="array" aca="1" ref="R83" ca="1">INDIRECT("'※ 재무_세부시트'!"&amp;R$1&amp;$AD83, TRUE)</f>
        <v>5.5496322559588549</v>
      </c>
      <c r="S83" s="2790" cm="1">
        <f t="array" aca="1" ref="S83" ca="1">INDIRECT("'※ 재무_세부시트'!"&amp;S$1&amp;$AD83, TRUE)</f>
        <v>14.545816018263951</v>
      </c>
      <c r="T83" s="2791"/>
      <c r="U83" s="2791"/>
      <c r="V83" s="2792"/>
      <c r="W83" s="2499" cm="1">
        <f t="array" aca="1" ref="W83" ca="1">INDIRECT("'※ 재무_세부시트'!"&amp;W$1&amp;$AD83, TRUE)</f>
        <v>8.9961837623050958</v>
      </c>
      <c r="X83" s="2500" cm="1">
        <f t="array" aca="1" ref="X83" ca="1">INDIRECT("'※ 재무_세부시트'!"&amp;X$1&amp;$AD83, TRUE)</f>
        <v>12.248374375337885</v>
      </c>
      <c r="Y83" s="2500" cm="1">
        <f t="array" aca="1" ref="Y83" ca="1">INDIRECT("'※ 재무_세부시트'!"&amp;Y$1&amp;$AD83, TRUE)</f>
        <v>0</v>
      </c>
      <c r="Z83" s="2501" cm="1">
        <f t="array" aca="1" ref="Z83" ca="1">INDIRECT("'※ 재무_세부시트'!"&amp;Z$1&amp;$AD83, TRUE)</f>
        <v>67.52745650806429</v>
      </c>
      <c r="AA83" s="2793"/>
      <c r="AB83" s="2794"/>
      <c r="AC83" s="2795" cm="1">
        <f t="array" aca="1" ref="AC83" ca="1">INDIRECT("'※ 재무_세부시트'!"&amp;AC$1&amp;$AD83, TRUE)</f>
        <v>37.698027623587912</v>
      </c>
      <c r="AD83" s="2441">
        <v>82</v>
      </c>
      <c r="AE83" s="2505">
        <f>AE145</f>
        <v>0.78469619264848978</v>
      </c>
      <c r="AF83" s="2505">
        <f t="shared" ref="AF83:AP83" si="47">AF145</f>
        <v>-1.2221504791790054</v>
      </c>
      <c r="AG83" s="2505">
        <f t="shared" si="47"/>
        <v>3.4039179675585376</v>
      </c>
      <c r="AH83" s="2505">
        <f t="shared" si="47"/>
        <v>0.27353711151211169</v>
      </c>
      <c r="AI83" s="2505">
        <f t="shared" si="47"/>
        <v>5.5556863281973401E-2</v>
      </c>
      <c r="AJ83" s="2505">
        <f t="shared" si="47"/>
        <v>2.6270555680646881</v>
      </c>
      <c r="AK83" s="2505">
        <f t="shared" si="47"/>
        <v>1.2862984462317604</v>
      </c>
      <c r="AL83" s="2505">
        <f t="shared" si="47"/>
        <v>5.7314307837990075E-2</v>
      </c>
      <c r="AM83" s="2505">
        <f t="shared" si="47"/>
        <v>3.9924241319515579</v>
      </c>
      <c r="AN83" s="2505">
        <f t="shared" si="47"/>
        <v>1.5131723841591156</v>
      </c>
      <c r="AO83" s="2505">
        <f t="shared" si="47"/>
        <v>0.89556682460469972</v>
      </c>
      <c r="AP83" s="2505">
        <f t="shared" si="47"/>
        <v>-1.6844151657804178</v>
      </c>
      <c r="AQ83" s="2505">
        <f>SUM(AE83:AP83)</f>
        <v>11.982974152891501</v>
      </c>
      <c r="AR83" s="2488"/>
      <c r="AS83" s="2488"/>
      <c r="AT83" s="2488"/>
      <c r="AU83" s="2488"/>
      <c r="AV83" s="2488"/>
      <c r="AW83" s="2488"/>
      <c r="AX83" s="2488"/>
      <c r="AY83" s="2488"/>
      <c r="AZ83" s="2488"/>
      <c r="BA83" s="2488"/>
      <c r="BB83" s="2488"/>
      <c r="BC83" s="2488"/>
      <c r="BD83" s="2488"/>
      <c r="BE83" s="2488"/>
      <c r="BG83" s="2509" cm="1">
        <f t="array" aca="1" ref="BG83" ca="1">INDIRECT("'※ 재무_세부시트'!"&amp;BG$1&amp;$AD83, TRUE)</f>
        <v>0.78469619264848978</v>
      </c>
      <c r="BH83" s="2509" cm="1">
        <f t="array" aca="1" ref="BH83" ca="1">INDIRECT("'※ 재무_세부시트'!"&amp;BH$1&amp;$AD83, TRUE)</f>
        <v>11.982974152891501</v>
      </c>
      <c r="BI83" s="2509" cm="1">
        <f t="array" aca="1" ref="BI83" ca="1">INDIRECT("'※ 재무_세부시트'!"&amp;BI$1&amp;$AD83, TRUE)</f>
        <v>1.2862984462317604</v>
      </c>
      <c r="BJ83" s="2509" cm="1">
        <f t="array" aca="1" ref="BJ83" ca="1">INDIRECT("'※ 재무_세부시트'!"&amp;BJ$1&amp;$AD83, TRUE)</f>
        <v>1.8080794399743307</v>
      </c>
      <c r="BK83" s="2509" cm="1">
        <f t="array" aca="1" ref="BK83" ca="1">INDIRECT("'※ 재무_세부시트'!"&amp;BK$1&amp;$AD83, TRUE)</f>
        <v>3.9924241319515579</v>
      </c>
      <c r="BL83" s="2490"/>
      <c r="BM83" s="2490"/>
    </row>
    <row r="84" spans="1:65" ht="26.25" customHeight="1" x14ac:dyDescent="0.55000000000000004">
      <c r="A84" s="2787"/>
      <c r="B84" s="2796" t="s">
        <v>1125</v>
      </c>
      <c r="C84" s="2639"/>
      <c r="D84" s="2639"/>
      <c r="E84" s="2639"/>
      <c r="F84" s="2797" cm="1">
        <f t="array" aca="1" ref="F84" ca="1">INDIRECT("'※ 재무_세부시트'!"&amp;F$1&amp;$AD84, TRUE)</f>
        <v>0</v>
      </c>
      <c r="G84" s="2797" cm="1">
        <f t="array" aca="1" ref="G84" ca="1">INDIRECT("'※ 재무_세부시트'!"&amp;G$1&amp;$AD84, TRUE)</f>
        <v>0</v>
      </c>
      <c r="H84" s="2495" cm="1">
        <f t="array" aca="1" ref="H84" ca="1">INDIRECT("'※ 재무_세부시트'!"&amp;H$1&amp;$AD84, TRUE)</f>
        <v>-4.1804479461800605</v>
      </c>
      <c r="I84" s="2496" cm="1">
        <f t="array" aca="1" ref="I84" ca="1">INDIRECT("'※ 재무_세부시트'!"&amp;I$1&amp;$AD84, TRUE)</f>
        <v>-1.6603434504098429</v>
      </c>
      <c r="J84" s="2496" cm="1">
        <f t="array" aca="1" ref="J84" ca="1">INDIRECT("'※ 재무_세부시트'!"&amp;J$1&amp;$AD84, TRUE)</f>
        <v>-3.0069197009757249</v>
      </c>
      <c r="K84" s="2496" cm="1">
        <f t="array" aca="1" ref="K84" ca="1">INDIRECT("'※ 재무_세부시트'!"&amp;K$1&amp;$AD84, TRUE)</f>
        <v>-5.7874243047900924</v>
      </c>
      <c r="L84" s="2496" cm="1">
        <f t="array" aca="1" ref="L84" ca="1">INDIRECT("'※ 재무_세부시트'!"&amp;L$1&amp;$AD84, TRUE)</f>
        <v>-5.7833196762178662</v>
      </c>
      <c r="M84" s="2496" cm="1">
        <f t="array" aca="1" ref="M84" ca="1">INDIRECT("'※ 재무_세부시트'!"&amp;M$1&amp;$AD84, TRUE)</f>
        <v>-2.630973999323007</v>
      </c>
      <c r="N84" s="2496" cm="1">
        <f t="array" aca="1" ref="N84" ca="1">INDIRECT("'※ 재무_세부시트'!"&amp;N$1&amp;$AD84, TRUE)</f>
        <v>-1.5871862364982727</v>
      </c>
      <c r="O84" s="2496" cm="1">
        <f t="array" aca="1" ref="O84" ca="1">INDIRECT("'※ 재무_세부시트'!"&amp;O$1&amp;$AD84, TRUE)</f>
        <v>-4.4666765965718067</v>
      </c>
      <c r="P84" s="2496" cm="1">
        <f t="array" aca="1" ref="P84" ca="1">INDIRECT("'※ 재무_세부시트'!"&amp;P$1&amp;$AD84, TRUE)</f>
        <v>-0.21888727900188387</v>
      </c>
      <c r="Q84" s="2496" cm="1">
        <f t="array" aca="1" ref="Q84" ca="1">INDIRECT("'※ 재무_세부시트'!"&amp;Q$1&amp;$AD84, TRUE)</f>
        <v>-7.8679388933566372</v>
      </c>
      <c r="R84" s="2496" cm="1">
        <f t="array" aca="1" ref="R84" ca="1">INDIRECT("'※ 재무_세부시트'!"&amp;R$1&amp;$AD84, TRUE)</f>
        <v>-4.1149204803617163</v>
      </c>
      <c r="S84" s="2496" cm="1">
        <f t="array" aca="1" ref="S84" ca="1">INDIRECT("'※ 재무_세부시트'!"&amp;S$1&amp;$AD84, TRUE)</f>
        <v>-6.7900874340056001</v>
      </c>
      <c r="T84" s="2798"/>
      <c r="U84" s="2798"/>
      <c r="V84" s="2799"/>
      <c r="W84" s="2800" cm="1">
        <f t="array" aca="1" ref="W84" ca="1">INDIRECT("'※ 재무_세부시트'!"&amp;W$1&amp;$AD84, TRUE)</f>
        <v>-2.6751669536438838</v>
      </c>
      <c r="X84" s="2801" cm="1">
        <f t="array" aca="1" ref="X84" ca="1">INDIRECT("'※ 재무_세부시트'!"&amp;X$1&amp;$AD84, TRUE)</f>
        <v>-6.7900874340056001</v>
      </c>
      <c r="Y84" s="2801" cm="1">
        <f t="array" aca="1" ref="Y84" ca="1">INDIRECT("'※ 재무_세부시트'!"&amp;Y$1&amp;$AD84, TRUE)</f>
        <v>0</v>
      </c>
      <c r="Z84" s="2802" cm="1">
        <f t="array" aca="1" ref="Z84" ca="1">INDIRECT("'※ 재무_세부시트'!"&amp;Z$1&amp;$AD84, TRUE)</f>
        <v>-48.095125997692513</v>
      </c>
      <c r="AA84" s="2803"/>
      <c r="AB84" s="2804"/>
      <c r="AC84" s="2805" cm="1">
        <f t="array" aca="1" ref="AC84" ca="1">INDIRECT("'※ 재무_세부시트'!"&amp;AC$1&amp;$AD84, TRUE)</f>
        <v>-48.095125997692513</v>
      </c>
      <c r="AD84" s="2441">
        <v>83</v>
      </c>
      <c r="AE84" s="2505">
        <v>-0.50042886045422619</v>
      </c>
      <c r="AF84" s="2505">
        <v>0.58803197543168828</v>
      </c>
      <c r="AG84" s="2505">
        <v>1.3153894269747688</v>
      </c>
      <c r="AH84" s="2505">
        <v>-0.71945750697486655</v>
      </c>
      <c r="AI84" s="2505">
        <v>-1.4943840542118461</v>
      </c>
      <c r="AJ84" s="2505">
        <v>-0.43501724965075772</v>
      </c>
      <c r="AK84" s="2505">
        <v>-0.78456115328872678</v>
      </c>
      <c r="AL84" s="2505">
        <v>-0.79430585931079045</v>
      </c>
      <c r="AM84" s="2505">
        <v>-0.65548754025695311</v>
      </c>
      <c r="AN84" s="2505">
        <v>-0.60096163781774825</v>
      </c>
      <c r="AO84" s="2505">
        <v>-0.58683821476182252</v>
      </c>
      <c r="AP84" s="2505">
        <v>-5.2587883574405341</v>
      </c>
      <c r="AQ84" s="2505">
        <v>-9.9268090317618132</v>
      </c>
      <c r="AR84" s="2488"/>
      <c r="AS84" s="2488"/>
      <c r="AT84" s="2488"/>
      <c r="AU84" s="2488"/>
      <c r="AV84" s="2488"/>
      <c r="AW84" s="2488"/>
      <c r="AX84" s="2488"/>
      <c r="AY84" s="2488"/>
      <c r="AZ84" s="2488"/>
      <c r="BA84" s="2488"/>
      <c r="BB84" s="2488"/>
      <c r="BC84" s="2488"/>
      <c r="BD84" s="2488"/>
      <c r="BE84" s="2488"/>
      <c r="BG84" s="2509" cm="1">
        <f t="array" aca="1" ref="BG84" ca="1">INDIRECT("'※ 재무_세부시트'!"&amp;BG$1&amp;$AD84, TRUE)</f>
        <v>0</v>
      </c>
      <c r="BH84" s="2509" cm="1">
        <f t="array" aca="1" ref="BH84" ca="1">INDIRECT("'※ 재무_세부시트'!"&amp;BH$1&amp;$AD84, TRUE)</f>
        <v>0</v>
      </c>
      <c r="BI84" s="2509" cm="1">
        <f t="array" aca="1" ref="BI84" ca="1">INDIRECT("'※ 재무_세부시트'!"&amp;BI$1&amp;$AD84, TRUE)</f>
        <v>0</v>
      </c>
      <c r="BJ84" s="2509" cm="1">
        <f t="array" aca="1" ref="BJ84" ca="1">INDIRECT("'※ 재무_세부시트'!"&amp;BJ$1&amp;$AD84, TRUE)</f>
        <v>0</v>
      </c>
      <c r="BK84" s="2509" cm="1">
        <f t="array" aca="1" ref="BK84" ca="1">INDIRECT("'※ 재무_세부시트'!"&amp;BK$1&amp;$AD84, TRUE)</f>
        <v>0</v>
      </c>
      <c r="BL84" s="2490"/>
      <c r="BM84" s="2490"/>
    </row>
    <row r="85" spans="1:65" ht="26.25" customHeight="1" x14ac:dyDescent="0.55000000000000004">
      <c r="A85" s="2787"/>
      <c r="B85" s="2796" t="s">
        <v>747</v>
      </c>
      <c r="C85" s="2639"/>
      <c r="D85" s="2639"/>
      <c r="E85" s="2639"/>
      <c r="F85" s="2797" cm="1">
        <f t="array" aca="1" ref="F85" ca="1">INDIRECT("'※ 재무_세부시트'!"&amp;F$1&amp;$AD85, TRUE)</f>
        <v>-9.9268090317618132</v>
      </c>
      <c r="G85" s="2797" cm="1">
        <f t="array" aca="1" ref="G85" ca="1">INDIRECT("'※ 재무_세부시트'!"&amp;G$1&amp;$AD85, TRUE)</f>
        <v>13.572572217999074</v>
      </c>
      <c r="H85" s="2495" cm="1">
        <f t="array" aca="1" ref="H85" ca="1">INDIRECT("'※ 재무_세부시트'!"&amp;H$1&amp;$AD85, TRUE)</f>
        <v>0.17031230864935623</v>
      </c>
      <c r="I85" s="2496" cm="1">
        <f t="array" aca="1" ref="I85" ca="1">INDIRECT("'※ 재무_세부시트'!"&amp;I$1&amp;$AD85, TRUE)</f>
        <v>2.1858619987025723</v>
      </c>
      <c r="J85" s="2496" cm="1">
        <f t="array" aca="1" ref="J85" ca="1">INDIRECT("'※ 재무_세부시트'!"&amp;J$1&amp;$AD85, TRUE)</f>
        <v>3.2127060216328083</v>
      </c>
      <c r="K85" s="2496" cm="1">
        <f t="array" aca="1" ref="K85" ca="1">INDIRECT("'※ 재무_세부시트'!"&amp;K$1&amp;$AD85, TRUE)</f>
        <v>0.54020239189571506</v>
      </c>
      <c r="L85" s="2496" cm="1">
        <f t="array" aca="1" ref="L85" ca="1">INDIRECT("'※ 재무_세부시트'!"&amp;L$1&amp;$AD85, TRUE)</f>
        <v>1.2282309662586708</v>
      </c>
      <c r="M85" s="2496" cm="1">
        <f t="array" aca="1" ref="M85" ca="1">INDIRECT("'※ 재무_세부시트'!"&amp;M$1&amp;$AD85, TRUE)</f>
        <v>4.4776777662769449</v>
      </c>
      <c r="N85" s="2496" cm="1">
        <f t="array" aca="1" ref="N85" ca="1">INDIRECT("'※ 재무_세부시트'!"&amp;N$1&amp;$AD85, TRUE)</f>
        <v>0.22733990294782747</v>
      </c>
      <c r="O85" s="2496" cm="1">
        <f t="array" aca="1" ref="O85" ca="1">INDIRECT("'※ 재무_세부시트'!"&amp;O$1&amp;$AD85, TRUE)</f>
        <v>3.4383009917662521E-2</v>
      </c>
      <c r="P85" s="2496" cm="1">
        <f t="array" aca="1" ref="P85" ca="1">INDIRECT("'※ 재무_세부시트'!"&amp;P$1&amp;$AD85, TRUE)</f>
        <v>0.13101967881001841</v>
      </c>
      <c r="Q85" s="2496" cm="1">
        <f t="array" aca="1" ref="Q85" ca="1">INDIRECT("'※ 재무_세부시트'!"&amp;Q$1&amp;$AD85, TRUE)</f>
        <v>-0.23589660257647982</v>
      </c>
      <c r="R85" s="2496" cm="1">
        <f t="array" aca="1" ref="R85" ca="1">INDIRECT("'※ 재무_세부시트'!"&amp;R$1&amp;$AD85, TRUE)</f>
        <v>-0.12994873757416625</v>
      </c>
      <c r="S85" s="2496" cm="1">
        <f t="array" aca="1" ref="S85" ca="1">INDIRECT("'※ 재무_세부시트'!"&amp;S$1&amp;$AD85, TRUE)</f>
        <v>-7.1086104565269412</v>
      </c>
      <c r="T85" s="2798"/>
      <c r="U85" s="2798"/>
      <c r="V85" s="2799"/>
      <c r="W85" s="2800" cm="1">
        <f t="array" aca="1" ref="W85" ca="1">INDIRECT("'※ 재무_세부시트'!"&amp;W$1&amp;$AD85, TRUE)</f>
        <v>-6.9786617189527753</v>
      </c>
      <c r="X85" s="2801" cm="1">
        <f t="array" aca="1" ref="X85" ca="1">INDIRECT("'※ 재무_세부시트'!"&amp;X$1&amp;$AD85, TRUE)</f>
        <v>-1.996138988632878</v>
      </c>
      <c r="Y85" s="2801" cm="1">
        <f t="array" aca="1" ref="Y85" ca="1">INDIRECT("'※ 재무_세부시트'!"&amp;Y$1&amp;$AD85, TRUE)</f>
        <v>0</v>
      </c>
      <c r="Z85" s="2802" cm="1">
        <f t="array" aca="1" ref="Z85" ca="1">INDIRECT("'※ 재무_세부시트'!"&amp;Z$1&amp;$AD85, TRUE)</f>
        <v>4.7332782484139884</v>
      </c>
      <c r="AA85" s="2803"/>
      <c r="AB85" s="2804"/>
      <c r="AC85" s="2805" cm="1">
        <f t="array" aca="1" ref="AC85" ca="1">INDIRECT("'※ 재무_세부시트'!"&amp;AC$1&amp;$AD85, TRUE)</f>
        <v>-8.8392939695850856</v>
      </c>
      <c r="AD85" s="2441">
        <v>84</v>
      </c>
      <c r="AE85" s="2505"/>
      <c r="AF85" s="2505"/>
      <c r="AG85" s="2505"/>
      <c r="AH85" s="2505"/>
      <c r="AI85" s="2505"/>
      <c r="AJ85" s="2505"/>
      <c r="AK85" s="2505"/>
      <c r="AL85" s="2505"/>
      <c r="AM85" s="2505"/>
      <c r="AN85" s="2505"/>
      <c r="AO85" s="2505"/>
      <c r="AP85" s="2505"/>
      <c r="AQ85" s="2505"/>
      <c r="AR85" s="2488"/>
      <c r="AS85" s="2488"/>
      <c r="AT85" s="2488"/>
      <c r="AU85" s="2488"/>
      <c r="AV85" s="2488"/>
      <c r="AW85" s="2488"/>
      <c r="AX85" s="2488"/>
      <c r="AY85" s="2488"/>
      <c r="AZ85" s="2488"/>
      <c r="BA85" s="2488"/>
      <c r="BB85" s="2488"/>
      <c r="BC85" s="2488"/>
      <c r="BD85" s="2488"/>
      <c r="BE85" s="2488"/>
      <c r="BG85" s="2509"/>
      <c r="BH85" s="2509"/>
      <c r="BI85" s="2509"/>
      <c r="BJ85" s="2509"/>
      <c r="BK85" s="2509"/>
      <c r="BL85" s="2490"/>
      <c r="BM85" s="2490"/>
    </row>
    <row r="86" spans="1:65" ht="22" hidden="1" customHeight="1" outlineLevel="1" x14ac:dyDescent="0.55000000000000004">
      <c r="A86" s="2787"/>
      <c r="B86" s="2806" t="s">
        <v>721</v>
      </c>
      <c r="C86" s="2648"/>
      <c r="D86" s="2648"/>
      <c r="E86" s="2648"/>
      <c r="F86" s="2494" cm="1">
        <f t="array" aca="1" ref="F86" ca="1">INDIRECT("'※ 재무_세부시트'!"&amp;F$1&amp;$AD86, TRUE)</f>
        <v>2.0866623442878569</v>
      </c>
      <c r="G86" s="2494" cm="1">
        <f t="array" aca="1" ref="G86" ca="1">INDIRECT("'※ 재무_세부시트'!"&amp;G$1&amp;$AD86, TRUE)</f>
        <v>0</v>
      </c>
      <c r="H86" s="2807"/>
      <c r="I86" s="2808"/>
      <c r="J86" s="2808"/>
      <c r="K86" s="2808"/>
      <c r="L86" s="2808"/>
      <c r="M86" s="2808"/>
      <c r="N86" s="2808"/>
      <c r="O86" s="2808"/>
      <c r="P86" s="2808"/>
      <c r="Q86" s="2808"/>
      <c r="R86" s="2808"/>
      <c r="S86" s="2808"/>
      <c r="T86" s="2809"/>
      <c r="U86" s="2809"/>
      <c r="V86" s="2808"/>
      <c r="W86" s="2810"/>
      <c r="X86" s="2811"/>
      <c r="Y86" s="2811"/>
      <c r="Z86" s="2812"/>
      <c r="AA86" s="2813"/>
      <c r="AB86" s="2814"/>
      <c r="AC86" s="2815"/>
      <c r="AD86" s="2441">
        <v>85</v>
      </c>
      <c r="AE86" s="2816"/>
      <c r="AF86" s="2816"/>
      <c r="AG86" s="2816"/>
      <c r="AH86" s="2816"/>
      <c r="AI86" s="2816"/>
      <c r="AJ86" s="2816"/>
      <c r="AK86" s="2816"/>
      <c r="AL86" s="2816"/>
      <c r="AM86" s="2816"/>
      <c r="AN86" s="2816"/>
      <c r="AO86" s="2816"/>
      <c r="AP86" s="2816"/>
      <c r="AQ86" s="2816"/>
      <c r="AR86" s="2488"/>
      <c r="AS86" s="2488"/>
      <c r="AT86" s="2488"/>
      <c r="AU86" s="2488"/>
      <c r="AV86" s="2488"/>
      <c r="AW86" s="2488"/>
      <c r="AX86" s="2488"/>
      <c r="AY86" s="2488"/>
      <c r="AZ86" s="2488"/>
      <c r="BA86" s="2488"/>
      <c r="BB86" s="2488"/>
      <c r="BC86" s="2488"/>
      <c r="BD86" s="2488"/>
      <c r="BE86" s="2488"/>
      <c r="BG86" s="2817" cm="1">
        <f t="array" aca="1" ref="BG86" ca="1">INDIRECT("'※ 재무_세부시트'!"&amp;BG$1&amp;$AD86, TRUE)</f>
        <v>-0.50042886045422619</v>
      </c>
      <c r="BH86" s="2817" cm="1">
        <f t="array" aca="1" ref="BH86" ca="1">INDIRECT("'※ 재무_세부시트'!"&amp;BH$1&amp;$AD86, TRUE)</f>
        <v>2.0866623442878569</v>
      </c>
      <c r="BI86" s="2817" cm="1">
        <f t="array" aca="1" ref="BI86" ca="1">INDIRECT("'※ 재무_세부시트'!"&amp;BI$1&amp;$AD86, TRUE)</f>
        <v>0.77781078052469932</v>
      </c>
      <c r="BJ86" s="2817" cm="1">
        <f t="array" aca="1" ref="BJ86" ca="1">INDIRECT("'※ 재무_세부시트'!"&amp;BJ$1&amp;$AD86, TRUE)</f>
        <v>0.3347995449565131</v>
      </c>
      <c r="BK86" s="2817" cm="1">
        <f t="array" aca="1" ref="BK86" ca="1">INDIRECT("'※ 재무_세부시트'!"&amp;BK$1&amp;$AD86, TRUE)</f>
        <v>0.80333566487353081</v>
      </c>
      <c r="BL86" s="2490"/>
      <c r="BM86" s="2490"/>
    </row>
    <row r="87" spans="1:65" ht="22" hidden="1" customHeight="1" outlineLevel="1" x14ac:dyDescent="0.55000000000000004">
      <c r="A87" s="2787"/>
      <c r="B87" s="2806" t="s">
        <v>722</v>
      </c>
      <c r="C87" s="2648"/>
      <c r="D87" s="2648"/>
      <c r="E87" s="2648"/>
      <c r="F87" s="2494" cm="1">
        <f t="array" aca="1" ref="F87" ca="1">INDIRECT("'※ 재무_세부시트'!"&amp;F$1&amp;$AD87, TRUE)</f>
        <v>-12.013471376049672</v>
      </c>
      <c r="G87" s="2494" cm="1">
        <f t="array" aca="1" ref="G87" ca="1">INDIRECT("'※ 재무_세부시트'!"&amp;G$1&amp;$AD87, TRUE)</f>
        <v>0</v>
      </c>
      <c r="H87" s="2807"/>
      <c r="I87" s="2808"/>
      <c r="J87" s="2808"/>
      <c r="K87" s="2808"/>
      <c r="L87" s="2808"/>
      <c r="M87" s="2808"/>
      <c r="N87" s="2808"/>
      <c r="O87" s="2808"/>
      <c r="P87" s="2808"/>
      <c r="Q87" s="2808"/>
      <c r="R87" s="2808"/>
      <c r="S87" s="2808"/>
      <c r="T87" s="2809"/>
      <c r="U87" s="2809"/>
      <c r="V87" s="2808"/>
      <c r="W87" s="2810"/>
      <c r="X87" s="2811"/>
      <c r="Y87" s="2811"/>
      <c r="Z87" s="2812"/>
      <c r="AA87" s="2813"/>
      <c r="AB87" s="2814"/>
      <c r="AC87" s="2815"/>
      <c r="AD87" s="2441">
        <v>86</v>
      </c>
      <c r="AE87" s="2816"/>
      <c r="AF87" s="2816"/>
      <c r="AG87" s="2816"/>
      <c r="AH87" s="2816"/>
      <c r="AI87" s="2816"/>
      <c r="AJ87" s="2816"/>
      <c r="AK87" s="2816"/>
      <c r="AL87" s="2816"/>
      <c r="AM87" s="2816"/>
      <c r="AN87" s="2816"/>
      <c r="AO87" s="2816"/>
      <c r="AP87" s="2816"/>
      <c r="AQ87" s="2816"/>
      <c r="AR87" s="2488"/>
      <c r="AS87" s="2488"/>
      <c r="AT87" s="2488"/>
      <c r="AU87" s="2488"/>
      <c r="AV87" s="2488"/>
      <c r="AW87" s="2488"/>
      <c r="AX87" s="2488"/>
      <c r="AY87" s="2488"/>
      <c r="AZ87" s="2488"/>
      <c r="BA87" s="2488"/>
      <c r="BB87" s="2488"/>
      <c r="BC87" s="2488"/>
      <c r="BD87" s="2488"/>
      <c r="BE87" s="2488"/>
      <c r="BG87" s="2817" cm="1">
        <f t="array" aca="1" ref="BG87" ca="1">INDIRECT("'※ 재무_세부시트'!"&amp;BG$1&amp;$AD87, TRUE)</f>
        <v>0</v>
      </c>
      <c r="BH87" s="2817" cm="1">
        <f t="array" aca="1" ref="BH87" ca="1">INDIRECT("'※ 재무_세부시트'!"&amp;BH$1&amp;$AD87, TRUE)</f>
        <v>-12.013471376049672</v>
      </c>
      <c r="BI87" s="2817" cm="1">
        <f t="array" aca="1" ref="BI87" ca="1">INDIRECT("'※ 재무_세부시트'!"&amp;BI$1&amp;$AD87, TRUE)</f>
        <v>-1.5623719338134261</v>
      </c>
      <c r="BJ87" s="2817" cm="1">
        <f t="array" aca="1" ref="BJ87" ca="1">INDIRECT("'※ 재무_세부시트'!"&amp;BJ$1&amp;$AD87, TRUE)</f>
        <v>9.4841626469337577</v>
      </c>
      <c r="BK87" s="2817" cm="1">
        <f t="array" aca="1" ref="BK87" ca="1">INDIRECT("'※ 재무_세부시트'!"&amp;BK$1&amp;$AD87, TRUE)</f>
        <v>-1.4588232051304839</v>
      </c>
      <c r="BL87" s="2490"/>
      <c r="BM87" s="2490"/>
    </row>
    <row r="88" spans="1:65" ht="26.25" customHeight="1" collapsed="1" x14ac:dyDescent="0.55000000000000004">
      <c r="A88" s="2787"/>
      <c r="B88" s="2788" t="s">
        <v>748</v>
      </c>
      <c r="C88" s="2648"/>
      <c r="D88" s="2648"/>
      <c r="E88" s="2648"/>
      <c r="F88" s="2494" cm="1">
        <f t="array" aca="1" ref="F88" ca="1">INDIRECT("'※ 재무_세부시트'!"&amp;F$1&amp;$AD88, TRUE)</f>
        <v>12.532192765276811</v>
      </c>
      <c r="G88" s="2494" cm="1">
        <f t="array" aca="1" ref="G88" ca="1">INDIRECT("'※ 재무_세부시트'!"&amp;G$1&amp;$AD88, TRUE)</f>
        <v>13.397751925568759</v>
      </c>
      <c r="H88" s="2789" cm="1">
        <f t="array" aca="1" ref="H88" ca="1">INDIRECT("'※ 재무_세부시트'!"&amp;H$1&amp;$AD88, TRUE)</f>
        <v>1.6118927032395238</v>
      </c>
      <c r="I88" s="2790" cm="1">
        <f t="array" aca="1" ref="I88" ca="1">INDIRECT("'※ 재무_세부시트'!"&amp;I$1&amp;$AD88, TRUE)</f>
        <v>0.5261538715072388</v>
      </c>
      <c r="J88" s="2790" cm="1">
        <f t="array" aca="1" ref="J88" ca="1">INDIRECT("'※ 재무_세부시트'!"&amp;J$1&amp;$AD88, TRUE)</f>
        <v>1.2262211033429191</v>
      </c>
      <c r="K88" s="2790" cm="1">
        <f t="array" aca="1" ref="K88" ca="1">INDIRECT("'※ 재무_세부시트'!"&amp;K$1&amp;$AD88, TRUE)</f>
        <v>1.3594007996943811</v>
      </c>
      <c r="L88" s="2790" cm="1">
        <f t="array" aca="1" ref="L88" ca="1">INDIRECT("'※ 재무_세부시트'!"&amp;L$1&amp;$AD88, TRUE)</f>
        <v>0.42258055115919502</v>
      </c>
      <c r="M88" s="2790" cm="1">
        <f t="array" aca="1" ref="M88" ca="1">INDIRECT("'※ 재무_세부시트'!"&amp;M$1&amp;$AD88, TRUE)</f>
        <v>2.1567024360460638</v>
      </c>
      <c r="N88" s="2790" cm="1">
        <f t="array" aca="1" ref="N88" ca="1">INDIRECT("'※ 재무_세부시트'!"&amp;N$1&amp;$AD88, TRUE)</f>
        <v>1.0085094761504396</v>
      </c>
      <c r="O88" s="2790" cm="1">
        <f t="array" aca="1" ref="O88" ca="1">INDIRECT("'※ 재무_세부시트'!"&amp;O$1&amp;$AD88, TRUE)</f>
        <v>0.83478359465414176</v>
      </c>
      <c r="P88" s="2790" cm="1">
        <f t="array" aca="1" ref="P88" ca="1">INDIRECT("'※ 재무_세부시트'!"&amp;P$1&amp;$AD88, TRUE)</f>
        <v>1.1988977633918594</v>
      </c>
      <c r="Q88" s="2790" cm="1">
        <f t="array" aca="1" ref="Q88" ca="1">INDIRECT("'※ 재무_세부시트'!"&amp;Q$1&amp;$AD88, TRUE)</f>
        <v>1.0872892994405989</v>
      </c>
      <c r="R88" s="2790" cm="1">
        <f t="array" aca="1" ref="R88" ca="1">INDIRECT("'※ 재무_세부시트'!"&amp;R$1&amp;$AD88, TRUE)</f>
        <v>0.60688189594154918</v>
      </c>
      <c r="S88" s="2790" cm="1">
        <f t="array" aca="1" ref="S88" ca="1">INDIRECT("'※ 재무_세부시트'!"&amp;S$1&amp;$AD88, TRUE)</f>
        <v>-1.9792891675698805</v>
      </c>
      <c r="T88" s="2791"/>
      <c r="U88" s="2791"/>
      <c r="V88" s="2792"/>
      <c r="W88" s="2499" cm="1">
        <f t="array" aca="1" ref="W88" ca="1">INDIRECT("'※ 재무_세부시트'!"&amp;W$1&amp;$AD88, TRUE)</f>
        <v>-2.5861710635114297</v>
      </c>
      <c r="X88" s="2500" cm="1">
        <f t="array" aca="1" ref="X88" ca="1">INDIRECT("'※ 재무_세부시트'!"&amp;X$1&amp;$AD88, TRUE)</f>
        <v>-1.7432898225878855</v>
      </c>
      <c r="Y88" s="2500" cm="1">
        <f t="array" aca="1" ref="Y88" ca="1">INDIRECT("'※ 재무_세부시트'!"&amp;Y$1&amp;$AD88, TRUE)</f>
        <v>0</v>
      </c>
      <c r="Z88" s="2501" cm="1">
        <f t="array" aca="1" ref="Z88" ca="1">INDIRECT("'※ 재무_세부시트'!"&amp;Z$1&amp;$AD88, TRUE)</f>
        <v>10.060024326998031</v>
      </c>
      <c r="AA88" s="2793"/>
      <c r="AB88" s="2794"/>
      <c r="AC88" s="2795" cm="1">
        <f t="array" aca="1" ref="AC88" ca="1">INDIRECT("'※ 재무_세부시트'!"&amp;AC$1&amp;$AD88, TRUE)</f>
        <v>-3.3377275985707282</v>
      </c>
      <c r="AD88" s="2441">
        <v>87</v>
      </c>
      <c r="AE88" s="2623">
        <v>1.131775321767112</v>
      </c>
      <c r="AF88" s="2623">
        <v>1.5438599529754946</v>
      </c>
      <c r="AG88" s="2623">
        <v>1.4668979212037627</v>
      </c>
      <c r="AH88" s="2623">
        <v>1.1981206573494987</v>
      </c>
      <c r="AI88" s="2623">
        <v>0.59368979965377044</v>
      </c>
      <c r="AJ88" s="2623">
        <v>2.2973029413592743</v>
      </c>
      <c r="AK88" s="2623">
        <v>2.2632802822855753</v>
      </c>
      <c r="AL88" s="2623">
        <v>1.1796389266551519</v>
      </c>
      <c r="AM88" s="2623">
        <v>2.3341195602551794</v>
      </c>
      <c r="AN88" s="2504">
        <v>1.9997475415676111</v>
      </c>
      <c r="AO88" s="2504">
        <v>1.6143223338175325</v>
      </c>
      <c r="AP88" s="2504">
        <v>-3.0039001293252969</v>
      </c>
      <c r="AQ88" s="2505">
        <f>SUM(AE88:AP88)</f>
        <v>14.618855109564665</v>
      </c>
      <c r="AR88" s="2488"/>
      <c r="AS88" s="2488"/>
      <c r="AT88" s="2488"/>
      <c r="AU88" s="2488"/>
      <c r="AV88" s="2488"/>
      <c r="AW88" s="2488"/>
      <c r="AX88" s="2488"/>
      <c r="AY88" s="2488"/>
      <c r="AZ88" s="2488"/>
      <c r="BA88" s="2488"/>
      <c r="BB88" s="2488"/>
      <c r="BC88" s="2488"/>
      <c r="BD88" s="2488"/>
      <c r="BE88" s="2488"/>
      <c r="BG88" s="2509" cm="1">
        <f t="array" aca="1" ref="BG88" ca="1">INDIRECT("'※ 재무_세부시트'!"&amp;BG$1&amp;$AD88, TRUE)</f>
        <v>1.6322041822213382</v>
      </c>
      <c r="BH88" s="2509" cm="1">
        <f t="array" aca="1" ref="BH88" ca="1">INDIRECT("'※ 재무_세부시트'!"&amp;BH$1&amp;$AD88, TRUE)</f>
        <v>12.532192765276811</v>
      </c>
      <c r="BI88" s="2509" cm="1">
        <f t="array" aca="1" ref="BI88" ca="1">INDIRECT("'※ 재무_세부시트'!"&amp;BI$1&amp;$AD88, TRUE)</f>
        <v>1.4854695017608759</v>
      </c>
      <c r="BJ88" s="2509" cm="1">
        <f t="array" aca="1" ref="BJ88" ca="1">INDIRECT("'※ 재무_세부시트'!"&amp;BJ$1&amp;$AD88, TRUE)</f>
        <v>1.2287172923511807</v>
      </c>
      <c r="BK88" s="2509" cm="1">
        <f t="array" aca="1" ref="BK88" ca="1">INDIRECT("'※ 재무_세부시트'!"&amp;BK$1&amp;$AD88, TRUE)</f>
        <v>1.5307838953816486</v>
      </c>
      <c r="BL88" s="2490"/>
      <c r="BM88" s="2490"/>
    </row>
    <row r="89" spans="1:65" ht="26.25" customHeight="1" x14ac:dyDescent="0.55000000000000004">
      <c r="A89" s="2787"/>
      <c r="B89" s="2788" t="s">
        <v>909</v>
      </c>
      <c r="C89" s="2648"/>
      <c r="D89" s="2648"/>
      <c r="E89" s="2648"/>
      <c r="F89" s="2494" cm="1">
        <f t="array" aca="1" ref="F89" ca="1">INDIRECT("'※ 재무_세부시트'!"&amp;F$1&amp;$AD89, TRUE)</f>
        <v>10.149980139999998</v>
      </c>
      <c r="G89" s="2494" cm="1">
        <f t="array" aca="1" ref="G89" ca="1">INDIRECT("'※ 재무_세부시트'!"&amp;G$1&amp;$AD89, TRUE)</f>
        <v>14.947914025611931</v>
      </c>
      <c r="H89" s="2789" cm="1">
        <f t="array" aca="1" ref="H89" ca="1">INDIRECT("'※ 재무_세부시트'!"&amp;H$1&amp;$AD89, TRUE)</f>
        <v>1.119029695138108</v>
      </c>
      <c r="I89" s="2790" cm="1">
        <f t="array" aca="1" ref="I89" ca="1">INDIRECT("'※ 재무_세부시트'!"&amp;I$1&amp;$AD89, TRUE)</f>
        <v>13.8387153766</v>
      </c>
      <c r="J89" s="2790" cm="1">
        <f t="array" aca="1" ref="J89" ca="1">INDIRECT("'※ 재무_세부시트'!"&amp;J$1&amp;$AD89, TRUE)</f>
        <v>3.9969178000000015E-2</v>
      </c>
      <c r="K89" s="2790" cm="1">
        <f t="array" aca="1" ref="K89" ca="1">INDIRECT("'※ 재무_세부시트'!"&amp;K$1&amp;$AD89, TRUE)</f>
        <v>4.5778121855999947</v>
      </c>
      <c r="L89" s="2790" cm="1">
        <f t="array" aca="1" ref="L89" ca="1">INDIRECT("'※ 재무_세부시트'!"&amp;L$1&amp;$AD89, TRUE)</f>
        <v>1.254927810400007</v>
      </c>
      <c r="M89" s="2790" cm="1">
        <f t="array" aca="1" ref="M89" ca="1">INDIRECT("'※ 재무_세부시트'!"&amp;M$1&amp;$AD89, TRUE)</f>
        <v>5.9605088709999992</v>
      </c>
      <c r="N89" s="2790" cm="1">
        <f t="array" aca="1" ref="N89" ca="1">INDIRECT("'※ 재무_세부시트'!"&amp;N$1&amp;$AD89, TRUE)</f>
        <v>3.4871835841999994</v>
      </c>
      <c r="O89" s="2790" cm="1">
        <f t="array" aca="1" ref="O89" ca="1">INDIRECT("'※ 재무_세부시트'!"&amp;O$1&amp;$AD89, TRUE)</f>
        <v>4.2681799159999922</v>
      </c>
      <c r="P89" s="2790" cm="1">
        <f t="array" aca="1" ref="P89" ca="1">INDIRECT("'※ 재무_세부시트'!"&amp;P$1&amp;$AD89, TRUE)</f>
        <v>6.249055724399998</v>
      </c>
      <c r="Q89" s="2790" cm="1">
        <f t="array" aca="1" ref="Q89" ca="1">INDIRECT("'※ 재무_세부시트'!"&amp;Q$1&amp;$AD89, TRUE)</f>
        <v>5.2607420701381411</v>
      </c>
      <c r="R89" s="2790" cm="1">
        <f t="array" aca="1" ref="R89" ca="1">INDIRECT("'※ 재무_세부시트'!"&amp;R$1&amp;$AD89, TRUE)</f>
        <v>11.044074075999875</v>
      </c>
      <c r="S89" s="2790" cm="1">
        <f t="array" aca="1" ref="S89" ca="1">INDIRECT("'※ 재무_세부시트'!"&amp;S$1&amp;$AD89, TRUE)</f>
        <v>-6.5981449374871826</v>
      </c>
      <c r="T89" s="2791"/>
      <c r="U89" s="2791"/>
      <c r="V89" s="2792"/>
      <c r="W89" s="2499" cm="1">
        <f t="array" aca="1" ref="W89" ca="1">INDIRECT("'※ 재무_세부시트'!"&amp;W$1&amp;$AD89, TRUE)</f>
        <v>-17.642219013487058</v>
      </c>
      <c r="X89" s="2500" cm="1">
        <f t="array" aca="1" ref="X89" ca="1">INDIRECT("'※ 재무_세부시트'!"&amp;X$1&amp;$AD89, TRUE)</f>
        <v>-7.1897981983804335</v>
      </c>
      <c r="Y89" s="2500" cm="1">
        <f t="array" aca="1" ref="Y89" ca="1">INDIRECT("'※ 재무_세부시트'!"&amp;Y$1&amp;$AD89, TRUE)</f>
        <v>0</v>
      </c>
      <c r="Z89" s="2501" cm="1">
        <f t="array" aca="1" ref="Z89" ca="1">INDIRECT("'※ 재무_세부시트'!"&amp;Z$1&amp;$AD89, TRUE)</f>
        <v>50.502053549988929</v>
      </c>
      <c r="AA89" s="2793"/>
      <c r="AB89" s="2794"/>
      <c r="AC89" s="2795" cm="1">
        <f t="array" aca="1" ref="AC89" ca="1">INDIRECT("'※ 재무_세부시트'!"&amp;AC$1&amp;$AD89, TRUE)</f>
        <v>35.554139524377</v>
      </c>
      <c r="AD89" s="2441">
        <v>88</v>
      </c>
      <c r="AE89" s="2504">
        <v>0</v>
      </c>
      <c r="AF89" s="2504">
        <v>0</v>
      </c>
      <c r="AG89" s="2504">
        <v>0.54</v>
      </c>
      <c r="AH89" s="2504">
        <v>-0.51873956037293623</v>
      </c>
      <c r="AI89" s="2504">
        <v>-1.2547113458098427</v>
      </c>
      <c r="AJ89" s="2504">
        <v>-1.3226743048124769</v>
      </c>
      <c r="AK89" s="2504">
        <v>-1.5623719338134263</v>
      </c>
      <c r="AL89" s="2504">
        <v>-1.2183621169260725</v>
      </c>
      <c r="AM89" s="2504">
        <v>-1.4588232051304839</v>
      </c>
      <c r="AN89" s="2504">
        <v>-1.3293162926203907</v>
      </c>
      <c r="AO89" s="2504">
        <v>-1.4191171944786103</v>
      </c>
      <c r="AP89" s="2504">
        <v>-2.4693554220854321</v>
      </c>
      <c r="AQ89" s="2505">
        <f>SUM(AE89:AP89)</f>
        <v>-12.013471376049672</v>
      </c>
      <c r="AR89" s="2488"/>
      <c r="AS89" s="2488"/>
      <c r="AT89" s="2488"/>
      <c r="AU89" s="2488"/>
      <c r="AV89" s="2488"/>
      <c r="AW89" s="2488"/>
      <c r="AX89" s="2488"/>
      <c r="AY89" s="2488"/>
      <c r="AZ89" s="2488"/>
      <c r="BA89" s="2488"/>
      <c r="BB89" s="2488"/>
      <c r="BC89" s="2488"/>
      <c r="BD89" s="2488"/>
      <c r="BE89" s="2488"/>
      <c r="BG89" s="2509" cm="1">
        <f t="array" aca="1" ref="BG89" ca="1">INDIRECT("'※ 재무_세부시트'!"&amp;BG$1&amp;$AD89, TRUE)</f>
        <v>-7.8743999999977624E-3</v>
      </c>
      <c r="BH89" s="2509" cm="1">
        <f t="array" aca="1" ref="BH89" ca="1">INDIRECT("'※ 재무_세부시트'!"&amp;BH$1&amp;$AD89, TRUE)</f>
        <v>10.149980139999998</v>
      </c>
      <c r="BI89" s="2509" cm="1">
        <f t="array" aca="1" ref="BI89" ca="1">INDIRECT("'※ 재무_세부시트'!"&amp;BI$1&amp;$AD89, TRUE)</f>
        <v>-2.022151000000065E-2</v>
      </c>
      <c r="BJ89" s="2509" cm="1">
        <f t="array" aca="1" ref="BJ89" ca="1">INDIRECT("'※ 재무_세부시트'!"&amp;BJ$1&amp;$AD89, TRUE)</f>
        <v>-0.5009836585488644</v>
      </c>
      <c r="BK89" s="2509" cm="1">
        <f t="array" aca="1" ref="BK89" ca="1">INDIRECT("'※ 재무_세부시트'!"&amp;BK$1&amp;$AD89, TRUE)</f>
        <v>1.704087069999993</v>
      </c>
      <c r="BL89" s="2490"/>
      <c r="BM89" s="2490"/>
    </row>
    <row r="90" spans="1:65" ht="26.25" customHeight="1" thickBot="1" x14ac:dyDescent="0.6">
      <c r="A90" s="2818"/>
      <c r="B90" s="2819" t="s">
        <v>761</v>
      </c>
      <c r="C90" s="2820"/>
      <c r="D90" s="2820"/>
      <c r="E90" s="2820" t="s">
        <v>760</v>
      </c>
      <c r="F90" s="2821" cm="1">
        <f t="array" aca="1" ref="F90" ca="1">INDIRECT("'※ 재무_세부시트'!"&amp;F$1&amp;$AD90, TRUE)</f>
        <v>-12.289176481685383</v>
      </c>
      <c r="G90" s="2821" cm="1">
        <f t="array" aca="1" ref="G90" ca="1">INDIRECT("'※ 재무_세부시트'!"&amp;G$1&amp;$AD90, TRUE)</f>
        <v>0.12053645224659532</v>
      </c>
      <c r="H90" s="2822" cm="1">
        <f t="array" aca="1" ref="H90" ca="1">INDIRECT("'※ 재무_세부시트'!"&amp;H$1&amp;$AD90, TRUE)</f>
        <v>1.9362411600106988E-2</v>
      </c>
      <c r="I90" s="2823" cm="1">
        <f t="array" aca="1" ref="I90" ca="1">INDIRECT("'※ 재무_세부시트'!"&amp;I$1&amp;$AD90, TRUE)</f>
        <v>-2.2741299998250142E-3</v>
      </c>
      <c r="J90" s="2823" cm="1">
        <f t="array" aca="1" ref="J90" ca="1">INDIRECT("'※ 재무_세부시트'!"&amp;J$1&amp;$AD90, TRUE)</f>
        <v>-2.4133400000030392E-3</v>
      </c>
      <c r="K90" s="2823" cm="1">
        <f t="array" aca="1" ref="K90" ca="1">INDIRECT("'※ 재무_세부시트'!"&amp;K$1&amp;$AD90, TRUE)</f>
        <v>-1.4477308241112041E-13</v>
      </c>
      <c r="L90" s="2823" cm="1">
        <f t="array" aca="1" ref="L90" ca="1">INDIRECT("'※ 재무_세부시트'!"&amp;L$1&amp;$AD90, TRUE)</f>
        <v>2.9090800002684603E-4</v>
      </c>
      <c r="M90" s="2823" cm="1">
        <f t="array" aca="1" ref="M90" ca="1">INDIRECT("'※ 재무_세부시트'!"&amp;M$1&amp;$AD90, TRUE)</f>
        <v>1.794120407794253E-13</v>
      </c>
      <c r="N90" s="2823" cm="1">
        <f t="array" aca="1" ref="N90" ca="1">INDIRECT("'※ 재무_세부시트'!"&amp;N$1&amp;$AD90, TRUE)</f>
        <v>0</v>
      </c>
      <c r="O90" s="2823" cm="1">
        <f t="array" aca="1" ref="O90" ca="1">INDIRECT("'※ 재무_세부시트'!"&amp;O$1&amp;$AD90, TRUE)</f>
        <v>-9.7699626167013776E-15</v>
      </c>
      <c r="P90" s="2823" cm="1">
        <f t="array" aca="1" ref="P90" ca="1">INDIRECT("'※ 재무_세부시트'!"&amp;P$1&amp;$AD90, TRUE)</f>
        <v>-8.5709217501062085E-14</v>
      </c>
      <c r="Q90" s="2823" cm="1">
        <f t="array" aca="1" ref="Q90" ca="1">INDIRECT("'※ 재무_세부시트'!"&amp;Q$1&amp;$AD90, TRUE)</f>
        <v>-2.1316282072803006E-14</v>
      </c>
      <c r="R90" s="2823" cm="1">
        <f t="array" aca="1" ref="R90" ca="1">INDIRECT("'※ 재무_세부시트'!"&amp;R$1&amp;$AD90, TRUE)</f>
        <v>-7.9936057773011271E-15</v>
      </c>
      <c r="S90" s="2823" cm="1">
        <f t="array" aca="1" ref="S90" ca="1">INDIRECT("'※ 재무_세부시트'!"&amp;S$1&amp;$AD90, TRUE)</f>
        <v>2.9309887850104133E-14</v>
      </c>
      <c r="T90" s="2824"/>
      <c r="U90" s="2824"/>
      <c r="V90" s="2825"/>
      <c r="W90" s="2826" cm="1">
        <f t="array" aca="1" ref="W90" ca="1">INDIRECT("'※ 재무_세부시트'!"&amp;W$1&amp;$AD90, TRUE)</f>
        <v>3.730349362740526E-14</v>
      </c>
      <c r="X90" s="2827" cm="1">
        <f t="array" aca="1" ref="X90" ca="1">INDIRECT("'※ 재무_세부시트'!"&amp;X$1&amp;$AD90, TRUE)</f>
        <v>5.1403326040144748E-14</v>
      </c>
      <c r="Y90" s="2827" cm="1">
        <f t="array" aca="1" ref="Y90" ca="1">INDIRECT("'※ 재무_세부시트'!"&amp;Y$1&amp;$AD90, TRUE)</f>
        <v>0</v>
      </c>
      <c r="Z90" s="2828" cm="1">
        <f t="array" aca="1" ref="Z90" ca="1">INDIRECT("'※ 재무_세부시트'!"&amp;Z$1&amp;$AD90, TRUE)</f>
        <v>1.496584960024494E-2</v>
      </c>
      <c r="AA90" s="2829"/>
      <c r="AB90" s="2830"/>
      <c r="AC90" s="2831" cm="1">
        <f t="array" aca="1" ref="AC90" ca="1">INDIRECT("'※ 재무_세부시트'!"&amp;AC$1&amp;$AD90, TRUE)</f>
        <v>-0.10557060264635038</v>
      </c>
      <c r="AD90" s="2441">
        <v>89</v>
      </c>
      <c r="AE90" s="2832">
        <v>-7.8743999999977624E-3</v>
      </c>
      <c r="AF90" s="2832">
        <v>0.67440203000000321</v>
      </c>
      <c r="AG90" s="2832">
        <v>0.30067865999999982</v>
      </c>
      <c r="AH90" s="2832">
        <v>0.92769116000000307</v>
      </c>
      <c r="AI90" s="2832">
        <v>2.2985116099999976</v>
      </c>
      <c r="AJ90" s="2832">
        <v>-0.61010630999999871</v>
      </c>
      <c r="AK90" s="2832">
        <v>-2.022151000000065E-2</v>
      </c>
      <c r="AL90" s="2832">
        <v>1.5198015000000005</v>
      </c>
      <c r="AM90" s="2832">
        <v>1.704087069999993</v>
      </c>
      <c r="AN90" s="2832">
        <v>3.2864707599999949</v>
      </c>
      <c r="AO90" s="2832">
        <v>-3.6726141500000007</v>
      </c>
      <c r="AP90" s="2832">
        <v>3.7491537200000038</v>
      </c>
      <c r="AQ90" s="2833">
        <f>SUM(AE90:AP90)</f>
        <v>10.149980139999998</v>
      </c>
      <c r="AR90" s="2488"/>
      <c r="AS90" s="2488"/>
      <c r="AT90" s="2488"/>
      <c r="AU90" s="2488"/>
      <c r="AV90" s="2488"/>
      <c r="AW90" s="2488"/>
      <c r="AX90" s="2488"/>
      <c r="AY90" s="2488"/>
      <c r="AZ90" s="2488"/>
      <c r="BA90" s="2488"/>
      <c r="BB90" s="2488"/>
      <c r="BC90" s="2488"/>
      <c r="BD90" s="2488"/>
      <c r="BE90" s="2488"/>
      <c r="BG90" s="2834" cm="1">
        <f t="array" aca="1" ref="BG90" ca="1">INDIRECT("'※ 재무_세부시트'!"&amp;BG$1&amp;$AD90, TRUE)</f>
        <v>-0.15736810155336389</v>
      </c>
      <c r="BH90" s="2834" cm="1">
        <f t="array" aca="1" ref="BH90" ca="1">INDIRECT("'※ 재무_세부시트'!"&amp;BH$1&amp;$AD90, TRUE)</f>
        <v>-12.289176481685383</v>
      </c>
      <c r="BI90" s="2834" cm="1">
        <f t="array" aca="1" ref="BI90" ca="1">INDIRECT("'※ 재무_세부시트'!"&amp;BI$1&amp;$AD90, TRUE)</f>
        <v>3.0722903896203135E-3</v>
      </c>
      <c r="BJ90" s="2834" cm="1">
        <f t="array" aca="1" ref="BJ90" ca="1">INDIRECT("'※ 재무_세부시트'!"&amp;BJ$1&amp;$AD90, TRUE)</f>
        <v>2.4757973449140991E-14</v>
      </c>
      <c r="BK90" s="2834" cm="1">
        <f t="array" aca="1" ref="BK90" ca="1">INDIRECT("'※ 재무_세부시트'!"&amp;BK$1&amp;$AD90, TRUE)</f>
        <v>-2.8124818149742232</v>
      </c>
      <c r="BL90" s="2490"/>
      <c r="BM90" s="2490"/>
    </row>
    <row r="91" spans="1:65" ht="3.55" customHeight="1" thickTop="1" thickBot="1" x14ac:dyDescent="0.6">
      <c r="B91" s="2682"/>
      <c r="C91" s="2682"/>
      <c r="D91" s="2682"/>
      <c r="E91" s="2682"/>
      <c r="F91" s="2683"/>
      <c r="G91" s="2683"/>
      <c r="H91" s="2789"/>
      <c r="I91" s="2790"/>
      <c r="J91" s="2790"/>
      <c r="K91" s="2790"/>
      <c r="L91" s="2790"/>
      <c r="M91" s="2790"/>
      <c r="N91" s="2790"/>
      <c r="O91" s="2790"/>
      <c r="P91" s="2790"/>
      <c r="Q91" s="2790"/>
      <c r="R91" s="2790"/>
      <c r="S91" s="2790"/>
      <c r="T91" s="2686"/>
      <c r="U91" s="2686"/>
      <c r="V91" s="2687"/>
      <c r="W91" s="2499"/>
      <c r="X91" s="2500"/>
      <c r="Y91" s="2835"/>
      <c r="Z91" s="2501"/>
      <c r="AA91" s="2836"/>
      <c r="AB91" s="2837"/>
      <c r="AC91" s="2836"/>
      <c r="AE91" s="2505"/>
      <c r="AF91" s="2505"/>
      <c r="AG91" s="2505"/>
      <c r="AH91" s="2505"/>
      <c r="AI91" s="2505"/>
      <c r="AJ91" s="2505"/>
      <c r="AK91" s="2505"/>
      <c r="AL91" s="2505"/>
      <c r="AM91" s="2505"/>
      <c r="AN91" s="2505"/>
      <c r="AO91" s="2505"/>
      <c r="AP91" s="2505"/>
      <c r="AQ91" s="2505"/>
      <c r="AR91" s="2488"/>
      <c r="AS91" s="2488"/>
      <c r="AT91" s="2488"/>
      <c r="AU91" s="2488"/>
      <c r="AV91" s="2488"/>
      <c r="AW91" s="2488"/>
      <c r="AX91" s="2488"/>
      <c r="AY91" s="2488"/>
      <c r="AZ91" s="2488"/>
      <c r="BA91" s="2488"/>
      <c r="BB91" s="2488"/>
      <c r="BC91" s="2488"/>
      <c r="BD91" s="2488"/>
      <c r="BE91" s="2488"/>
      <c r="BG91" s="2509" t="e" cm="1">
        <f t="array" aca="1" ref="BG91" ca="1">INDIRECT("'※ 재무_세부시트'!"&amp;BG$1&amp;$AD91, TRUE)</f>
        <v>#REF!</v>
      </c>
      <c r="BH91" s="2509" t="e" cm="1">
        <f t="array" aca="1" ref="BH91" ca="1">INDIRECT("'※ 재무_세부시트'!"&amp;BH$1&amp;$AD91, TRUE)</f>
        <v>#REF!</v>
      </c>
      <c r="BI91" s="2509" t="e" cm="1">
        <f t="array" aca="1" ref="BI91" ca="1">INDIRECT("'※ 재무_세부시트'!"&amp;BI$1&amp;$AD91, TRUE)</f>
        <v>#REF!</v>
      </c>
      <c r="BJ91" s="2509" t="e" cm="1">
        <f t="array" aca="1" ref="BJ91" ca="1">INDIRECT("'※ 재무_세부시트'!"&amp;BJ$1&amp;$AD91, TRUE)</f>
        <v>#REF!</v>
      </c>
      <c r="BK91" s="2509" t="e" cm="1">
        <f t="array" aca="1" ref="BK91" ca="1">INDIRECT("'※ 재무_세부시트'!"&amp;BK$1&amp;$AD91, TRUE)</f>
        <v>#REF!</v>
      </c>
      <c r="BL91" s="2490"/>
      <c r="BM91" s="2490"/>
    </row>
    <row r="92" spans="1:65" ht="17.25" customHeight="1" thickTop="1" x14ac:dyDescent="0.55000000000000004">
      <c r="A92" s="2838"/>
      <c r="B92" s="2839" t="s">
        <v>19</v>
      </c>
      <c r="C92" s="2839" t="s">
        <v>627</v>
      </c>
      <c r="D92" s="2840"/>
      <c r="E92" s="2841"/>
      <c r="F92" s="2842" cm="1">
        <f t="array" aca="1" ref="F92" ca="1">INDIRECT("'※ 재무_세부시트'!"&amp;F$1&amp;$AD92, TRUE)</f>
        <v>543.05924927833053</v>
      </c>
      <c r="G92" s="2842" cm="1">
        <f t="array" aca="1" ref="G92" ca="1">INDIRECT("'※ 재무_세부시트'!"&amp;G$1&amp;$AD92, TRUE)</f>
        <v>515.7801650105971</v>
      </c>
      <c r="H92" s="2843" cm="1">
        <f t="array" aca="1" ref="H92" ca="1">INDIRECT("'※ 재무_세부시트'!"&amp;H$1&amp;$AD92, TRUE)</f>
        <v>24.067238944545437</v>
      </c>
      <c r="I92" s="2844" cm="1">
        <f t="array" aca="1" ref="I92" ca="1">INDIRECT("'※ 재무_세부시트'!"&amp;I$1&amp;$AD92, TRUE)</f>
        <v>68.053799269391433</v>
      </c>
      <c r="J92" s="2844" cm="1">
        <f t="array" aca="1" ref="J92" ca="1">INDIRECT("'※ 재무_세부시트'!"&amp;J$1&amp;$AD92, TRUE)</f>
        <v>42.949809115396675</v>
      </c>
      <c r="K92" s="2844" cm="1">
        <f t="array" aca="1" ref="K92" ca="1">INDIRECT("'※ 재무_세부시트'!"&amp;K$1&amp;$AD92, TRUE)</f>
        <v>50.045992181200191</v>
      </c>
      <c r="L92" s="2844" cm="1">
        <f t="array" aca="1" ref="L92" ca="1">INDIRECT("'※ 재무_세부시트'!"&amp;L$1&amp;$AD92, TRUE)</f>
        <v>69.60673328530072</v>
      </c>
      <c r="M92" s="2844" cm="1">
        <f t="array" aca="1" ref="M92" ca="1">INDIRECT("'※ 재무_세부시트'!"&amp;M$1&amp;$AD92, TRUE)</f>
        <v>35.762452230000008</v>
      </c>
      <c r="N92" s="2844" cm="1">
        <f t="array" aca="1" ref="N92" ca="1">INDIRECT("'※ 재무_세부시트'!"&amp;N$1&amp;$AD92, TRUE)</f>
        <v>60.673675657387378</v>
      </c>
      <c r="O92" s="2844" cm="1">
        <f t="array" aca="1" ref="O92" ca="1">INDIRECT("'※ 재무_세부시트'!"&amp;O$1&amp;$AD92, TRUE)</f>
        <v>43.391242504016716</v>
      </c>
      <c r="P92" s="2844" cm="1">
        <f t="array" aca="1" ref="P92" ca="1">INDIRECT("'※ 재무_세부시트'!"&amp;P$1&amp;$AD92, TRUE)</f>
        <v>44.822185365034755</v>
      </c>
      <c r="Q92" s="2844" cm="1">
        <f t="array" aca="1" ref="Q92" ca="1">INDIRECT("'※ 재무_세부시트'!"&amp;Q$1&amp;$AD92, TRUE)</f>
        <v>43.88236302324227</v>
      </c>
      <c r="R92" s="2844" cm="1">
        <f t="array" aca="1" ref="R92" ca="1">INDIRECT("'※ 재무_세부시트'!"&amp;R$1&amp;$AD92, TRUE)</f>
        <v>32.112729876430791</v>
      </c>
      <c r="S92" s="2844" cm="1">
        <f t="array" aca="1" ref="S92" ca="1">INDIRECT("'※ 재무_세부시트'!"&amp;S$1&amp;$AD92, TRUE)</f>
        <v>35.349547646615179</v>
      </c>
      <c r="T92" s="2845"/>
      <c r="U92" s="2845"/>
      <c r="V92" s="2846"/>
      <c r="W92" s="2847" cm="1">
        <f t="array" aca="1" ref="W92" ca="1">INDIRECT("'※ 재무_세부시트'!"&amp;W$1&amp;$AD92, TRUE)</f>
        <v>3.2368177701843877</v>
      </c>
      <c r="X92" s="2848" cm="1">
        <f t="array" aca="1" ref="X92" ca="1">INDIRECT("'※ 재무_세부시트'!"&amp;X$1&amp;$AD92, TRUE)</f>
        <v>4.1436387767060978</v>
      </c>
      <c r="Y92" s="2848" cm="1">
        <f t="array" aca="1" ref="Y92" ca="1">INDIRECT("'※ 재무_세부시트'!"&amp;Y$1&amp;$AD92, TRUE)</f>
        <v>0</v>
      </c>
      <c r="Z92" s="2849" cm="1">
        <f t="array" aca="1" ref="Z92" ca="1">INDIRECT("'※ 재무_세부시트'!"&amp;Z$1&amp;$AD92, TRUE)</f>
        <v>550.71776909856158</v>
      </c>
      <c r="AA92" s="2850"/>
      <c r="AB92" s="2851"/>
      <c r="AC92" s="2852" cm="1">
        <f t="array" aca="1" ref="AC92" ca="1">INDIRECT("'※ 재무_세부시트'!"&amp;AC$1&amp;$AD92, TRUE)</f>
        <v>34.937604087964473</v>
      </c>
      <c r="AD92" s="2441">
        <v>91</v>
      </c>
      <c r="AE92" s="2853">
        <f t="shared" ref="AE92:AP92" si="48">AE93-AE94</f>
        <v>35.996788391636358</v>
      </c>
      <c r="AF92" s="2853">
        <f t="shared" si="48"/>
        <v>50.369666987272709</v>
      </c>
      <c r="AG92" s="2853">
        <f t="shared" si="48"/>
        <v>49.413630111239669</v>
      </c>
      <c r="AH92" s="2853">
        <f t="shared" si="48"/>
        <v>48.200246860000007</v>
      </c>
      <c r="AI92" s="2853">
        <f t="shared" si="48"/>
        <v>49.260026492727285</v>
      </c>
      <c r="AJ92" s="2853">
        <f t="shared" si="48"/>
        <v>49.793822091818186</v>
      </c>
      <c r="AK92" s="2853">
        <f t="shared" si="48"/>
        <v>41.980611717272723</v>
      </c>
      <c r="AL92" s="2853">
        <f t="shared" si="48"/>
        <v>68.768329327272696</v>
      </c>
      <c r="AM92" s="2853">
        <f t="shared" si="48"/>
        <v>26.686068297272726</v>
      </c>
      <c r="AN92" s="2853">
        <f t="shared" si="48"/>
        <v>54.909769006363646</v>
      </c>
      <c r="AO92" s="2853">
        <f t="shared" si="48"/>
        <v>37.993234735454543</v>
      </c>
      <c r="AP92" s="2853">
        <f t="shared" si="48"/>
        <v>29.687055260000001</v>
      </c>
      <c r="AQ92" s="2853">
        <f t="shared" ref="AQ92:AQ110" si="49">SUM(AE92:AP92)</f>
        <v>543.05924927833053</v>
      </c>
      <c r="AR92" s="2488"/>
      <c r="AS92" s="2488"/>
      <c r="AT92" s="2488"/>
      <c r="AU92" s="2488"/>
      <c r="AV92" s="2488"/>
      <c r="AW92" s="2488"/>
      <c r="AX92" s="2488"/>
      <c r="AY92" s="2488"/>
      <c r="AZ92" s="2488"/>
      <c r="BA92" s="2488"/>
      <c r="BB92" s="2488"/>
      <c r="BC92" s="2488"/>
      <c r="BD92" s="2488"/>
      <c r="BE92" s="2488"/>
      <c r="BG92" s="2854" cm="1">
        <f t="array" aca="1" ref="BG92" ca="1">INDIRECT("'※ 재무_세부시트'!"&amp;BG$1&amp;$AD92, TRUE)</f>
        <v>35.996788391636358</v>
      </c>
      <c r="BH92" s="2854" cm="1">
        <f t="array" aca="1" ref="BH92" ca="1">INDIRECT("'※ 재무_세부시트'!"&amp;BH$1&amp;$AD92, TRUE)</f>
        <v>543.05924927833053</v>
      </c>
      <c r="BI92" s="2854" cm="1">
        <f t="array" aca="1" ref="BI92" ca="1">INDIRECT("'※ 재무_세부시트'!"&amp;BI$1&amp;$AD92, TRUE)</f>
        <v>41.980611717272723</v>
      </c>
      <c r="BJ92" s="2854" cm="1">
        <f t="array" aca="1" ref="BJ92" ca="1">INDIRECT("'※ 재무_세부시트'!"&amp;BJ$1&amp;$AD92, TRUE)</f>
        <v>35.963378769175996</v>
      </c>
      <c r="BK92" s="2854" cm="1">
        <f t="array" aca="1" ref="BK92" ca="1">INDIRECT("'※ 재무_세부시트'!"&amp;BK$1&amp;$AD92, TRUE)</f>
        <v>26.686068297272726</v>
      </c>
      <c r="BL92" s="2490"/>
      <c r="BM92" s="2490"/>
    </row>
    <row r="93" spans="1:65" ht="17.25" customHeight="1" x14ac:dyDescent="0.55000000000000004">
      <c r="A93" s="2855"/>
      <c r="B93" s="2856"/>
      <c r="C93" s="2493"/>
      <c r="D93" s="2857" t="s">
        <v>6</v>
      </c>
      <c r="E93" s="2858"/>
      <c r="F93" s="2859" cm="1">
        <f t="array" aca="1" ref="F93" ca="1">INDIRECT("'※ 재무_세부시트'!"&amp;F$1&amp;$AD93, TRUE)</f>
        <v>983.66137408636359</v>
      </c>
      <c r="G93" s="2859" cm="1">
        <f t="array" aca="1" ref="G93" ca="1">INDIRECT("'※ 재무_세부시트'!"&amp;G$1&amp;$AD93, TRUE)</f>
        <v>1062.1937112071842</v>
      </c>
      <c r="H93" s="2860" cm="1">
        <f t="array" aca="1" ref="H93" ca="1">INDIRECT("'※ 재무_세부시트'!"&amp;H$1&amp;$AD93, TRUE)</f>
        <v>49.550632411397075</v>
      </c>
      <c r="I93" s="2861" cm="1">
        <f t="array" aca="1" ref="I93" ca="1">INDIRECT("'※ 재무_세부시트'!"&amp;I$1&amp;$AD93, TRUE)</f>
        <v>143.21312067</v>
      </c>
      <c r="J93" s="2861" cm="1">
        <f t="array" aca="1" ref="J93" ca="1">INDIRECT("'※ 재무_세부시트'!"&amp;J$1&amp;$AD93, TRUE)</f>
        <v>82.077539061742797</v>
      </c>
      <c r="K93" s="2861" cm="1">
        <f t="array" aca="1" ref="K93" ca="1">INDIRECT("'※ 재무_세부시트'!"&amp;K$1&amp;$AD93, TRUE)</f>
        <v>93.319227909999995</v>
      </c>
      <c r="L93" s="2861" cm="1">
        <f t="array" aca="1" ref="L93" ca="1">INDIRECT("'※ 재무_세부시트'!"&amp;L$1&amp;$AD93, TRUE)</f>
        <v>120.71903759999999</v>
      </c>
      <c r="M93" s="2861" cm="1">
        <f t="array" aca="1" ref="M93" ca="1">INDIRECT("'※ 재무_세부시트'!"&amp;M$1&amp;$AD93, TRUE)</f>
        <v>87.744517000000002</v>
      </c>
      <c r="N93" s="2861" cm="1">
        <f t="array" aca="1" ref="N93" ca="1">INDIRECT("'※ 재무_세부시트'!"&amp;N$1&amp;$AD93, TRUE)</f>
        <v>164.43939725000001</v>
      </c>
      <c r="O93" s="2861" cm="1">
        <f t="array" aca="1" ref="O93" ca="1">INDIRECT("'※ 재무_세부시트'!"&amp;O$1&amp;$AD93, TRUE)</f>
        <v>93.738236850000007</v>
      </c>
      <c r="P93" s="2861" cm="1">
        <f t="array" aca="1" ref="P93" ca="1">INDIRECT("'※ 재무_세부시트'!"&amp;P$1&amp;$AD93, TRUE)</f>
        <v>110.14978865</v>
      </c>
      <c r="Q93" s="2861" cm="1">
        <f t="array" aca="1" ref="Q93" ca="1">INDIRECT("'※ 재무_세부시트'!"&amp;Q$1&amp;$AD93, TRUE)</f>
        <v>79.773004220000004</v>
      </c>
      <c r="R93" s="2861" cm="1">
        <f t="array" aca="1" ref="R93" ca="1">INDIRECT("'※ 재무_세부시트'!"&amp;R$1&amp;$AD93, TRUE)</f>
        <v>66.225831493298131</v>
      </c>
      <c r="S93" s="2861" cm="1">
        <f t="array" aca="1" ref="S93" ca="1">INDIRECT("'※ 재무_세부시트'!"&amp;S$1&amp;$AD93, TRUE)</f>
        <v>63.352057251273536</v>
      </c>
      <c r="T93" s="2791"/>
      <c r="U93" s="2791"/>
      <c r="V93" s="2862"/>
      <c r="W93" s="2863" cm="1">
        <f t="array" aca="1" ref="W93" ca="1">INDIRECT("'※ 재무_세부시트'!"&amp;W$1&amp;$AD93, TRUE)</f>
        <v>-2.8737742420245951</v>
      </c>
      <c r="X93" s="2864" cm="1">
        <f t="array" aca="1" ref="X93" ca="1">INDIRECT("'※ 재무_세부시트'!"&amp;X$1&amp;$AD93, TRUE)</f>
        <v>-1.361309245032956</v>
      </c>
      <c r="Y93" s="2864" cm="1">
        <f t="array" aca="1" ref="Y93" ca="1">INDIRECT("'※ 재무_세부시트'!"&amp;Y$1&amp;$AD93, TRUE)</f>
        <v>0</v>
      </c>
      <c r="Z93" s="2865" cm="1">
        <f t="array" aca="1" ref="Z93" ca="1">INDIRECT("'※ 재무_세부시트'!"&amp;Z$1&amp;$AD93, TRUE)</f>
        <v>1154.3023903677113</v>
      </c>
      <c r="AA93" s="2866"/>
      <c r="AB93" s="2794"/>
      <c r="AC93" s="2867" cm="1">
        <f t="array" aca="1" ref="AC93" ca="1">INDIRECT("'※ 재무_세부시트'!"&amp;AC$1&amp;$AD93, TRUE)</f>
        <v>92.108679160527117</v>
      </c>
      <c r="AD93" s="2441">
        <v>92</v>
      </c>
      <c r="AE93" s="2504">
        <v>65.196454645454537</v>
      </c>
      <c r="AF93" s="2504">
        <v>101.14363206363635</v>
      </c>
      <c r="AG93" s="2504">
        <v>83.760335400000002</v>
      </c>
      <c r="AH93" s="2504">
        <v>86.435154800000007</v>
      </c>
      <c r="AI93" s="2504">
        <v>88.062806490909097</v>
      </c>
      <c r="AJ93" s="2504">
        <v>86.666751163636363</v>
      </c>
      <c r="AK93" s="2504">
        <v>68.686928145454544</v>
      </c>
      <c r="AL93" s="2504">
        <v>136.58719861818179</v>
      </c>
      <c r="AM93" s="2504">
        <v>53.766597872727267</v>
      </c>
      <c r="AN93" s="2504">
        <v>99.132962363636366</v>
      </c>
      <c r="AO93" s="2504">
        <v>63.846133331818173</v>
      </c>
      <c r="AP93" s="2504">
        <v>50.37641919090909</v>
      </c>
      <c r="AQ93" s="2505">
        <f t="shared" si="49"/>
        <v>983.66137408636359</v>
      </c>
      <c r="AR93" s="2488"/>
      <c r="AS93" s="2488"/>
      <c r="AT93" s="2488"/>
      <c r="AU93" s="2488"/>
      <c r="AV93" s="2488"/>
      <c r="AW93" s="2488"/>
      <c r="AX93" s="2488"/>
      <c r="AY93" s="2488"/>
      <c r="AZ93" s="2488"/>
      <c r="BA93" s="2488"/>
      <c r="BB93" s="2488"/>
      <c r="BC93" s="2488"/>
      <c r="BD93" s="2488"/>
      <c r="BE93" s="2488"/>
      <c r="BG93" s="2868" cm="1">
        <f t="array" aca="1" ref="BG93" ca="1">INDIRECT("'※ 재무_세부시트'!"&amp;BG$1&amp;$AD93, TRUE)</f>
        <v>65.196454645454537</v>
      </c>
      <c r="BH93" s="2868" cm="1">
        <f t="array" aca="1" ref="BH93" ca="1">INDIRECT("'※ 재무_세부시트'!"&amp;BH$1&amp;$AD93, TRUE)</f>
        <v>983.66137408636359</v>
      </c>
      <c r="BI93" s="2868" cm="1">
        <f t="array" aca="1" ref="BI93" ca="1">INDIRECT("'※ 재무_세부시트'!"&amp;BI$1&amp;$AD93, TRUE)</f>
        <v>68.686928145454544</v>
      </c>
      <c r="BJ93" s="2868" cm="1">
        <f t="array" aca="1" ref="BJ93" ca="1">INDIRECT("'※ 재무_세부시트'!"&amp;BJ$1&amp;$AD93, TRUE)</f>
        <v>74.807018300410789</v>
      </c>
      <c r="BK93" s="2868" cm="1">
        <f t="array" aca="1" ref="BK93" ca="1">INDIRECT("'※ 재무_세부시트'!"&amp;BK$1&amp;$AD93, TRUE)</f>
        <v>53.766597872727267</v>
      </c>
      <c r="BL93" s="2490"/>
      <c r="BM93" s="2490"/>
    </row>
    <row r="94" spans="1:65" ht="17.25" customHeight="1" x14ac:dyDescent="0.55000000000000004">
      <c r="A94" s="2855"/>
      <c r="B94" s="2856"/>
      <c r="C94" s="2493"/>
      <c r="D94" s="2493" t="s">
        <v>23</v>
      </c>
      <c r="E94" s="2648"/>
      <c r="F94" s="2494" cm="1">
        <f t="array" aca="1" ref="F94" ca="1">INDIRECT("'※ 재무_세부시트'!"&amp;F$1&amp;$AD94, TRUE)</f>
        <v>440.60212480803301</v>
      </c>
      <c r="G94" s="2494" cm="1">
        <f t="array" aca="1" ref="G94" ca="1">INDIRECT("'※ 재무_세부시트'!"&amp;G$1&amp;$AD94, TRUE)</f>
        <v>546.41354619658705</v>
      </c>
      <c r="H94" s="2789" cm="1">
        <f t="array" aca="1" ref="H94" ca="1">INDIRECT("'※ 재무_세부시트'!"&amp;H$1&amp;$AD94, TRUE)</f>
        <v>25.483393466851638</v>
      </c>
      <c r="I94" s="2790" cm="1">
        <f t="array" aca="1" ref="I94" ca="1">INDIRECT("'※ 재무_세부시트'!"&amp;I$1&amp;$AD94, TRUE)</f>
        <v>75.159321400608562</v>
      </c>
      <c r="J94" s="2790" cm="1">
        <f t="array" aca="1" ref="J94" ca="1">INDIRECT("'※ 재무_세부시트'!"&amp;J$1&amp;$AD94, TRUE)</f>
        <v>39.127729946346122</v>
      </c>
      <c r="K94" s="2790" cm="1">
        <f t="array" aca="1" ref="K94" ca="1">INDIRECT("'※ 재무_세부시트'!"&amp;K$1&amp;$AD94, TRUE)</f>
        <v>43.273235728799804</v>
      </c>
      <c r="L94" s="2790" cm="1">
        <f t="array" aca="1" ref="L94" ca="1">INDIRECT("'※ 재무_세부시트'!"&amp;L$1&amp;$AD94, TRUE)</f>
        <v>51.112304314699266</v>
      </c>
      <c r="M94" s="2790" cm="1">
        <f t="array" aca="1" ref="M94" ca="1">INDIRECT("'※ 재무_세부시트'!"&amp;M$1&amp;$AD94, TRUE)</f>
        <v>51.982064769999994</v>
      </c>
      <c r="N94" s="2790" cm="1">
        <f t="array" aca="1" ref="N94" ca="1">INDIRECT("'※ 재무_세부시트'!"&amp;N$1&amp;$AD94, TRUE)</f>
        <v>103.76572159261264</v>
      </c>
      <c r="O94" s="2790" cm="1">
        <f t="array" aca="1" ref="O94" ca="1">INDIRECT("'※ 재무_세부시트'!"&amp;O$1&amp;$AD94, TRUE)</f>
        <v>50.34699434598329</v>
      </c>
      <c r="P94" s="2790" cm="1">
        <f t="array" aca="1" ref="P94" ca="1">INDIRECT("'※ 재무_세부시트'!"&amp;P$1&amp;$AD94, TRUE)</f>
        <v>65.327603284965249</v>
      </c>
      <c r="Q94" s="2790" cm="1">
        <f t="array" aca="1" ref="Q94" ca="1">INDIRECT("'※ 재무_세부시트'!"&amp;Q$1&amp;$AD94, TRUE)</f>
        <v>35.890641196757734</v>
      </c>
      <c r="R94" s="2790" cm="1">
        <f t="array" aca="1" ref="R94" ca="1">INDIRECT("'※ 재무_세부시트'!"&amp;R$1&amp;$AD94, TRUE)</f>
        <v>34.11310161686734</v>
      </c>
      <c r="S94" s="2790" cm="1">
        <f t="array" aca="1" ref="S94" ca="1">INDIRECT("'※ 재무_세부시트'!"&amp;S$1&amp;$AD94, TRUE)</f>
        <v>28.002509604658357</v>
      </c>
      <c r="T94" s="2791"/>
      <c r="U94" s="2791"/>
      <c r="V94" s="2869"/>
      <c r="W94" s="2499" cm="1">
        <f t="array" aca="1" ref="W94" ca="1">INDIRECT("'※ 재무_세부시트'!"&amp;W$1&amp;$AD94, TRUE)</f>
        <v>-6.1105920122089827</v>
      </c>
      <c r="X94" s="2500" cm="1">
        <f t="array" aca="1" ref="X94" ca="1">INDIRECT("'※ 재무_세부시트'!"&amp;X$1&amp;$AD94, TRUE)</f>
        <v>-5.5049480217390538</v>
      </c>
      <c r="Y94" s="2500" cm="1">
        <f t="array" aca="1" ref="Y94" ca="1">INDIRECT("'※ 재무_세부시트'!"&amp;Y$1&amp;$AD94, TRUE)</f>
        <v>0</v>
      </c>
      <c r="Z94" s="2501" cm="1">
        <f t="array" aca="1" ref="Z94" ca="1">INDIRECT("'※ 재무_세부시트'!"&amp;Z$1&amp;$AD94, TRUE)</f>
        <v>603.58462126914992</v>
      </c>
      <c r="AA94" s="2866"/>
      <c r="AB94" s="2794"/>
      <c r="AC94" s="2795" cm="1">
        <f t="array" aca="1" ref="AC94" ca="1">INDIRECT("'※ 재무_세부시트'!"&amp;AC$1&amp;$AD94, TRUE)</f>
        <v>57.171075072562871</v>
      </c>
      <c r="AD94" s="2441">
        <v>93</v>
      </c>
      <c r="AE94" s="2505">
        <f t="shared" ref="AE94:AP94" si="50">AE95+AE96+AE97+AE98</f>
        <v>29.199666253818179</v>
      </c>
      <c r="AF94" s="2505">
        <f t="shared" si="50"/>
        <v>50.773965076363638</v>
      </c>
      <c r="AG94" s="2505">
        <f t="shared" si="50"/>
        <v>34.346705288760333</v>
      </c>
      <c r="AH94" s="2505">
        <f t="shared" si="50"/>
        <v>38.234907939999999</v>
      </c>
      <c r="AI94" s="2505">
        <f t="shared" si="50"/>
        <v>38.802779998181812</v>
      </c>
      <c r="AJ94" s="2505">
        <f t="shared" si="50"/>
        <v>36.872929071818177</v>
      </c>
      <c r="AK94" s="2505">
        <f t="shared" si="50"/>
        <v>26.706316428181818</v>
      </c>
      <c r="AL94" s="2505">
        <f t="shared" si="50"/>
        <v>67.818869290909092</v>
      </c>
      <c r="AM94" s="2505">
        <f t="shared" si="50"/>
        <v>27.080529575454541</v>
      </c>
      <c r="AN94" s="2505">
        <f t="shared" si="50"/>
        <v>44.22319335727272</v>
      </c>
      <c r="AO94" s="2505">
        <f t="shared" si="50"/>
        <v>25.85289859636363</v>
      </c>
      <c r="AP94" s="2505">
        <f t="shared" si="50"/>
        <v>20.689363930909089</v>
      </c>
      <c r="AQ94" s="2505">
        <f t="shared" si="49"/>
        <v>440.60212480803301</v>
      </c>
      <c r="AR94" s="2488"/>
      <c r="AS94" s="2488"/>
      <c r="AT94" s="2488"/>
      <c r="AU94" s="2488"/>
      <c r="AV94" s="2488"/>
      <c r="AW94" s="2488"/>
      <c r="AX94" s="2488"/>
      <c r="AY94" s="2488"/>
      <c r="AZ94" s="2488"/>
      <c r="BA94" s="2488"/>
      <c r="BB94" s="2488"/>
      <c r="BC94" s="2488"/>
      <c r="BD94" s="2488"/>
      <c r="BE94" s="2488"/>
      <c r="BG94" s="2509" cm="1">
        <f t="array" aca="1" ref="BG94" ca="1">INDIRECT("'※ 재무_세부시트'!"&amp;BG$1&amp;$AD94, TRUE)</f>
        <v>29.199666253818179</v>
      </c>
      <c r="BH94" s="2509" cm="1">
        <f t="array" aca="1" ref="BH94" ca="1">INDIRECT("'※ 재무_세부시트'!"&amp;BH$1&amp;$AD94, TRUE)</f>
        <v>440.60212480803301</v>
      </c>
      <c r="BI94" s="2509" cm="1">
        <f t="array" aca="1" ref="BI94" ca="1">INDIRECT("'※ 재무_세부시트'!"&amp;BI$1&amp;$AD94, TRUE)</f>
        <v>26.706316428181818</v>
      </c>
      <c r="BJ94" s="2509" cm="1">
        <f t="array" aca="1" ref="BJ94" ca="1">INDIRECT("'※ 재무_세부시트'!"&amp;BJ$1&amp;$AD94, TRUE)</f>
        <v>38.843639531234793</v>
      </c>
      <c r="BK94" s="2509" cm="1">
        <f t="array" aca="1" ref="BK94" ca="1">INDIRECT("'※ 재무_세부시트'!"&amp;BK$1&amp;$AD94, TRUE)</f>
        <v>27.080529575454541</v>
      </c>
      <c r="BL94" s="2490"/>
      <c r="BM94" s="2490"/>
    </row>
    <row r="95" spans="1:65" ht="17.25" customHeight="1" x14ac:dyDescent="0.55000000000000004">
      <c r="A95" s="2855"/>
      <c r="B95" s="2856"/>
      <c r="C95" s="2493"/>
      <c r="D95" s="2493" t="s">
        <v>24</v>
      </c>
      <c r="E95" s="2648"/>
      <c r="F95" s="2494" cm="1">
        <f t="array" aca="1" ref="F95" ca="1">INDIRECT("'※ 재무_세부시트'!"&amp;F$1&amp;$AD95, TRUE)</f>
        <v>114.27693858413225</v>
      </c>
      <c r="G95" s="2494" cm="1">
        <f t="array" aca="1" ref="G95" ca="1">INDIRECT("'※ 재무_세부시트'!"&amp;G$1&amp;$AD95, TRUE)</f>
        <v>167.37977920581679</v>
      </c>
      <c r="H95" s="2789" cm="1">
        <f t="array" aca="1" ref="H95" ca="1">INDIRECT("'※ 재무_세부시트'!"&amp;H$1&amp;$AD95, TRUE)</f>
        <v>7.9104644652274301</v>
      </c>
      <c r="I95" s="2790" cm="1">
        <f t="array" aca="1" ref="I95" ca="1">INDIRECT("'※ 재무_세부시트'!"&amp;I$1&amp;$AD95, TRUE)</f>
        <v>17.394999900912872</v>
      </c>
      <c r="J95" s="2790" cm="1">
        <f t="array" aca="1" ref="J95" ca="1">INDIRECT("'※ 재무_세부시트'!"&amp;J$1&amp;$AD95, TRUE)</f>
        <v>12.084511063113663</v>
      </c>
      <c r="K95" s="2790" cm="1">
        <f t="array" aca="1" ref="K95" ca="1">INDIRECT("'※ 재무_세부시트'!"&amp;K$1&amp;$AD95, TRUE)</f>
        <v>15.023257278323857</v>
      </c>
      <c r="L95" s="2790" cm="1">
        <f t="array" aca="1" ref="L95" ca="1">INDIRECT("'※ 재무_세부시트'!"&amp;L$1&amp;$AD95, TRUE)</f>
        <v>22.163099175165716</v>
      </c>
      <c r="M95" s="2790" cm="1">
        <f t="array" aca="1" ref="M95" ca="1">INDIRECT("'※ 재무_세부시트'!"&amp;M$1&amp;$AD95, TRUE)</f>
        <v>16.24987459444257</v>
      </c>
      <c r="N95" s="2790" cm="1">
        <f t="array" aca="1" ref="N95" ca="1">INDIRECT("'※ 재무_세부시트'!"&amp;N$1&amp;$AD95, TRUE)</f>
        <v>29.468650897485755</v>
      </c>
      <c r="O95" s="2790" cm="1">
        <f t="array" aca="1" ref="O95" ca="1">INDIRECT("'※ 재무_세부시트'!"&amp;O$1&amp;$AD95, TRUE)</f>
        <v>12.48779545</v>
      </c>
      <c r="P95" s="2790" cm="1">
        <f t="array" aca="1" ref="P95" ca="1">INDIRECT("'※ 재무_세부시트'!"&amp;P$1&amp;$AD95, TRUE)</f>
        <v>18.268366990000001</v>
      </c>
      <c r="Q95" s="2790" cm="1">
        <f t="array" aca="1" ref="Q95" ca="1">INDIRECT("'※ 재무_세부시트'!"&amp;Q$1&amp;$AD95, TRUE)</f>
        <v>10.045943704817908</v>
      </c>
      <c r="R95" s="2790" cm="1">
        <f t="array" aca="1" ref="R95" ca="1">INDIRECT("'※ 재무_세부시트'!"&amp;R$1&amp;$AD95, TRUE)</f>
        <v>10.25515772</v>
      </c>
      <c r="S95" s="2790" cm="1">
        <f t="array" aca="1" ref="S95" ca="1">INDIRECT("'※ 재무_세부시트'!"&amp;S$1&amp;$AD95, TRUE)</f>
        <v>9.1685994097887971</v>
      </c>
      <c r="T95" s="2791"/>
      <c r="U95" s="2791"/>
      <c r="V95" s="2862"/>
      <c r="W95" s="2499" cm="1">
        <f t="array" aca="1" ref="W95" ca="1">INDIRECT("'※ 재무_세부시트'!"&amp;W$1&amp;$AD95, TRUE)</f>
        <v>-1.0865583102112026</v>
      </c>
      <c r="X95" s="2500" cm="1">
        <f t="array" aca="1" ref="X95" ca="1">INDIRECT("'※ 재무_세부시트'!"&amp;X$1&amp;$AD95, TRUE)</f>
        <v>-4.427917621488163</v>
      </c>
      <c r="Y95" s="2500" cm="1">
        <f t="array" aca="1" ref="Y95" ca="1">INDIRECT("'※ 재무_세부시트'!"&amp;Y$1&amp;$AD95, TRUE)</f>
        <v>0</v>
      </c>
      <c r="Z95" s="2501" cm="1">
        <f t="array" aca="1" ref="Z95" ca="1">INDIRECT("'※ 재무_세부시트'!"&amp;Z$1&amp;$AD95, TRUE)</f>
        <v>180.52072064927859</v>
      </c>
      <c r="AA95" s="2866"/>
      <c r="AB95" s="2794"/>
      <c r="AC95" s="2795" cm="1">
        <f t="array" aca="1" ref="AC95" ca="1">INDIRECT("'※ 재무_세부시트'!"&amp;AC$1&amp;$AD95, TRUE)</f>
        <v>13.140941443461799</v>
      </c>
      <c r="AD95" s="2441">
        <v>94</v>
      </c>
      <c r="AE95" s="2504">
        <v>7.7122887109090899</v>
      </c>
      <c r="AF95" s="2504">
        <v>11.901490410909091</v>
      </c>
      <c r="AG95" s="2504">
        <v>8.9812090768595034</v>
      </c>
      <c r="AH95" s="2504">
        <v>10.372193494545455</v>
      </c>
      <c r="AI95" s="2504">
        <v>10.504389683636363</v>
      </c>
      <c r="AJ95" s="2504">
        <v>10.180200099999999</v>
      </c>
      <c r="AK95" s="2504">
        <v>8.4619004436363632</v>
      </c>
      <c r="AL95" s="2504">
        <v>13.97991723090909</v>
      </c>
      <c r="AM95" s="2504">
        <v>7.4819694363636362</v>
      </c>
      <c r="AN95" s="2504">
        <v>9.3093778854545448</v>
      </c>
      <c r="AO95" s="2504">
        <v>8.1333061890909093</v>
      </c>
      <c r="AP95" s="2504">
        <v>7.2586959218181821</v>
      </c>
      <c r="AQ95" s="2505">
        <f t="shared" si="49"/>
        <v>114.27693858413225</v>
      </c>
      <c r="AR95" s="2488"/>
      <c r="AS95" s="2488"/>
      <c r="AT95" s="2488"/>
      <c r="AU95" s="2488"/>
      <c r="AV95" s="2488"/>
      <c r="AW95" s="2488"/>
      <c r="AX95" s="2488"/>
      <c r="AY95" s="2488"/>
      <c r="AZ95" s="2488"/>
      <c r="BA95" s="2488"/>
      <c r="BB95" s="2488"/>
      <c r="BC95" s="2488"/>
      <c r="BD95" s="2488"/>
      <c r="BE95" s="2488"/>
      <c r="BG95" s="2509" cm="1">
        <f t="array" aca="1" ref="BG95" ca="1">INDIRECT("'※ 재무_세부시트'!"&amp;BG$1&amp;$AD95, TRUE)</f>
        <v>7.7122887109090899</v>
      </c>
      <c r="BH95" s="2509" cm="1">
        <f t="array" aca="1" ref="BH95" ca="1">INDIRECT("'※ 재무_세부시트'!"&amp;BH$1&amp;$AD95, TRUE)</f>
        <v>114.27693858413225</v>
      </c>
      <c r="BI95" s="2509" cm="1">
        <f t="array" aca="1" ref="BI95" ca="1">INDIRECT("'※ 재무_세부시트'!"&amp;BI$1&amp;$AD95, TRUE)</f>
        <v>8.4619004436363632</v>
      </c>
      <c r="BJ95" s="2509" cm="1">
        <f t="array" aca="1" ref="BJ95" ca="1">INDIRECT("'※ 재무_세부시트'!"&amp;BJ$1&amp;$AD95, TRUE)</f>
        <v>13.785375310614638</v>
      </c>
      <c r="BK95" s="2509" cm="1">
        <f t="array" aca="1" ref="BK95" ca="1">INDIRECT("'※ 재무_세부시트'!"&amp;BK$1&amp;$AD95, TRUE)</f>
        <v>7.4819694363636362</v>
      </c>
      <c r="BL95" s="2490"/>
      <c r="BM95" s="2490"/>
    </row>
    <row r="96" spans="1:65" ht="17.25" customHeight="1" x14ac:dyDescent="0.55000000000000004">
      <c r="A96" s="2855"/>
      <c r="B96" s="2856"/>
      <c r="C96" s="2493"/>
      <c r="D96" s="2493" t="s">
        <v>25</v>
      </c>
      <c r="E96" s="2648"/>
      <c r="F96" s="2494" cm="1">
        <f t="array" aca="1" ref="F96" ca="1">INDIRECT("'※ 재무_세부시트'!"&amp;F$1&amp;$AD96, TRUE)</f>
        <v>17.018777798181819</v>
      </c>
      <c r="G96" s="2494" cm="1">
        <f t="array" aca="1" ref="G96" ca="1">INDIRECT("'※ 재무_세부시트'!"&amp;G$1&amp;$AD96, TRUE)</f>
        <v>15.252529047236566</v>
      </c>
      <c r="H96" s="2789" cm="1">
        <f t="array" aca="1" ref="H96" ca="1">INDIRECT("'※ 재무_세부시트'!"&amp;H$1&amp;$AD96, TRUE)</f>
        <v>0.98007273795483885</v>
      </c>
      <c r="I96" s="2790" cm="1">
        <f t="array" aca="1" ref="I96" ca="1">INDIRECT("'※ 재무_세부시트'!"&amp;I$1&amp;$AD96, TRUE)</f>
        <v>1.1496982228085242</v>
      </c>
      <c r="J96" s="2790" cm="1">
        <f t="array" aca="1" ref="J96" ca="1">INDIRECT("'※ 재무_세부시트'!"&amp;J$1&amp;$AD96, TRUE)</f>
        <v>1.0728063849721623</v>
      </c>
      <c r="K96" s="2790" cm="1">
        <f t="array" aca="1" ref="K96" ca="1">INDIRECT("'※ 재무_세부시트'!"&amp;K$1&amp;$AD96, TRUE)</f>
        <v>1.1623531950213895</v>
      </c>
      <c r="L96" s="2790" cm="1">
        <f t="array" aca="1" ref="L96" ca="1">INDIRECT("'※ 재무_세부시트'!"&amp;L$1&amp;$AD96, TRUE)</f>
        <v>1.2635918204426471</v>
      </c>
      <c r="M96" s="2790" cm="1">
        <f t="array" aca="1" ref="M96" ca="1">INDIRECT("'※ 재무_세부시트'!"&amp;M$1&amp;$AD96, TRUE)</f>
        <v>1.1441234756098986</v>
      </c>
      <c r="N96" s="2790" cm="1">
        <f t="array" aca="1" ref="N96" ca="1">INDIRECT("'※ 재무_세부시트'!"&amp;N$1&amp;$AD96, TRUE)</f>
        <v>1.7072715269450676</v>
      </c>
      <c r="O96" s="2790" cm="1">
        <f t="array" aca="1" ref="O96" ca="1">INDIRECT("'※ 재무_세부시트'!"&amp;O$1&amp;$AD96, TRUE)</f>
        <v>1.3639231478014675</v>
      </c>
      <c r="P96" s="2790" cm="1">
        <f t="array" aca="1" ref="P96" ca="1">INDIRECT("'※ 재무_세부시트'!"&amp;P$1&amp;$AD96, TRUE)</f>
        <v>1.3084622907097614</v>
      </c>
      <c r="Q96" s="2790" cm="1">
        <f t="array" aca="1" ref="Q96" ca="1">INDIRECT("'※ 재무_세부시트'!"&amp;Q$1&amp;$AD96, TRUE)</f>
        <v>0.98828134104104792</v>
      </c>
      <c r="R96" s="2790" cm="1">
        <f t="array" aca="1" ref="R96" ca="1">INDIRECT("'※ 재무_세부시트'!"&amp;R$1&amp;$AD96, TRUE)</f>
        <v>0.90658444595825705</v>
      </c>
      <c r="S96" s="2790" cm="1">
        <f t="array" aca="1" ref="S96" ca="1">INDIRECT("'※ 재무_세부시트'!"&amp;S$1&amp;$AD96, TRUE)</f>
        <v>1.21084782668774</v>
      </c>
      <c r="T96" s="2791"/>
      <c r="U96" s="2791"/>
      <c r="V96" s="2862"/>
      <c r="W96" s="2499" cm="1">
        <f t="array" aca="1" ref="W96" ca="1">INDIRECT("'※ 재무_세부시트'!"&amp;W$1&amp;$AD96, TRUE)</f>
        <v>0.304263380729483</v>
      </c>
      <c r="X96" s="2500" cm="1">
        <f t="array" aca="1" ref="X96" ca="1">INDIRECT("'※ 재무_세부시트'!"&amp;X$1&amp;$AD96, TRUE)</f>
        <v>-0.33146136206910981</v>
      </c>
      <c r="Y96" s="2500" cm="1">
        <f t="array" aca="1" ref="Y96" ca="1">INDIRECT("'※ 재무_세부시트'!"&amp;Y$1&amp;$AD96, TRUE)</f>
        <v>0</v>
      </c>
      <c r="Z96" s="2501" cm="1">
        <f t="array" aca="1" ref="Z96" ca="1">INDIRECT("'※ 재무_세부시트'!"&amp;Z$1&amp;$AD96, TRUE)</f>
        <v>14.258016415952801</v>
      </c>
      <c r="AA96" s="2866"/>
      <c r="AB96" s="2794"/>
      <c r="AC96" s="2795" cm="1">
        <f t="array" aca="1" ref="AC96" ca="1">INDIRECT("'※ 재무_세부시트'!"&amp;AC$1&amp;$AD96, TRUE)</f>
        <v>-0.9945126312837651</v>
      </c>
      <c r="AD96" s="2441">
        <v>95</v>
      </c>
      <c r="AE96" s="2504">
        <v>1.6747488727272726</v>
      </c>
      <c r="AF96" s="2504">
        <v>1.5234070554545456</v>
      </c>
      <c r="AG96" s="2504">
        <v>1.4427309090909091</v>
      </c>
      <c r="AH96" s="2504">
        <v>1.7052554263636364</v>
      </c>
      <c r="AI96" s="2504">
        <v>1.7315281272727272</v>
      </c>
      <c r="AJ96" s="2504">
        <v>1.5730385899999999</v>
      </c>
      <c r="AK96" s="2504">
        <v>1.7928756027272725</v>
      </c>
      <c r="AL96" s="2504">
        <v>1.7078381509090912</v>
      </c>
      <c r="AM96" s="2504">
        <v>1.1906911754545453</v>
      </c>
      <c r="AN96" s="2504">
        <v>1.2444138718181816</v>
      </c>
      <c r="AO96" s="2504">
        <v>1.4322500163636365</v>
      </c>
      <c r="AP96" s="2504">
        <v>0</v>
      </c>
      <c r="AQ96" s="2505">
        <f t="shared" si="49"/>
        <v>17.018777798181819</v>
      </c>
      <c r="AR96" s="2488"/>
      <c r="AS96" s="2488"/>
      <c r="AT96" s="2488"/>
      <c r="AU96" s="2488"/>
      <c r="AV96" s="2488"/>
      <c r="AW96" s="2488"/>
      <c r="AX96" s="2488"/>
      <c r="AY96" s="2488"/>
      <c r="AZ96" s="2488"/>
      <c r="BA96" s="2488"/>
      <c r="BB96" s="2488"/>
      <c r="BC96" s="2488"/>
      <c r="BD96" s="2488"/>
      <c r="BE96" s="2488"/>
      <c r="BG96" s="2509" cm="1">
        <f t="array" aca="1" ref="BG96" ca="1">INDIRECT("'※ 재무_세부시트'!"&amp;BG$1&amp;$AD96, TRUE)</f>
        <v>1.6747488727272726</v>
      </c>
      <c r="BH96" s="2509" cm="1">
        <f t="array" aca="1" ref="BH96" ca="1">INDIRECT("'※ 재무_세부시트'!"&amp;BH$1&amp;$AD96, TRUE)</f>
        <v>17.018777798181819</v>
      </c>
      <c r="BI96" s="2509" cm="1">
        <f t="array" aca="1" ref="BI96" ca="1">INDIRECT("'※ 재무_세부시트'!"&amp;BI$1&amp;$AD96, TRUE)</f>
        <v>1.7928756027272725</v>
      </c>
      <c r="BJ96" s="2509" cm="1">
        <f t="array" aca="1" ref="BJ96" ca="1">INDIRECT("'※ 재무_세부시트'!"&amp;BJ$1&amp;$AD96, TRUE)</f>
        <v>1.0751356867468416</v>
      </c>
      <c r="BK96" s="2509" cm="1">
        <f t="array" aca="1" ref="BK96" ca="1">INDIRECT("'※ 재무_세부시트'!"&amp;BK$1&amp;$AD96, TRUE)</f>
        <v>1.1906911754545453</v>
      </c>
      <c r="BL96" s="2490"/>
      <c r="BM96" s="2490"/>
    </row>
    <row r="97" spans="1:65" ht="17.25" customHeight="1" x14ac:dyDescent="0.55000000000000004">
      <c r="A97" s="2855"/>
      <c r="B97" s="2493"/>
      <c r="C97" s="2493"/>
      <c r="D97" s="2493" t="s">
        <v>26</v>
      </c>
      <c r="E97" s="2648"/>
      <c r="F97" s="2494" cm="1">
        <f t="array" aca="1" ref="F97" ca="1">INDIRECT("'※ 재무_세부시트'!"&amp;F$1&amp;$AD97, TRUE)</f>
        <v>121.3393298529091</v>
      </c>
      <c r="G97" s="2494" cm="1">
        <f t="array" aca="1" ref="G97" ca="1">INDIRECT("'※ 재무_세부시트'!"&amp;G$1&amp;$AD97, TRUE)</f>
        <v>113.53149558807908</v>
      </c>
      <c r="H97" s="2789" cm="1">
        <f t="array" aca="1" ref="H97" ca="1">INDIRECT("'※ 재무_세부시트'!"&amp;H$1&amp;$AD97, TRUE)</f>
        <v>2.2204281809386961</v>
      </c>
      <c r="I97" s="2790" cm="1">
        <f t="array" aca="1" ref="I97" ca="1">INDIRECT("'※ 재무_세부시트'!"&amp;I$1&amp;$AD97, TRUE)</f>
        <v>12.910237649614468</v>
      </c>
      <c r="J97" s="2790" cm="1">
        <f t="array" aca="1" ref="J97" ca="1">INDIRECT("'※ 재무_세부시트'!"&amp;J$1&amp;$AD97, TRUE)</f>
        <v>8.4122885573511983</v>
      </c>
      <c r="K97" s="2790" cm="1">
        <f t="array" aca="1" ref="K97" ca="1">INDIRECT("'※ 재무_세부시트'!"&amp;K$1&amp;$AD97, TRUE)</f>
        <v>9.0208929599999994</v>
      </c>
      <c r="L97" s="2790" cm="1">
        <f t="array" aca="1" ref="L97" ca="1">INDIRECT("'※ 재무_세부시트'!"&amp;L$1&amp;$AD97, TRUE)</f>
        <v>8.2571301100000003</v>
      </c>
      <c r="M97" s="2790" cm="1">
        <f t="array" aca="1" ref="M97" ca="1">INDIRECT("'※ 재무_세부시트'!"&amp;M$1&amp;$AD97, TRUE)</f>
        <v>18.533651772674812</v>
      </c>
      <c r="N97" s="2790" cm="1">
        <f t="array" aca="1" ref="N97" ca="1">INDIRECT("'※ 재무_세부시트'!"&amp;N$1&amp;$AD97, TRUE)</f>
        <v>15.30004145</v>
      </c>
      <c r="O97" s="2790" cm="1">
        <f t="array" aca="1" ref="O97" ca="1">INDIRECT("'※ 재무_세부시트'!"&amp;O$1&amp;$AD97, TRUE)</f>
        <v>10.21333343</v>
      </c>
      <c r="P97" s="2790" cm="1">
        <f t="array" aca="1" ref="P97" ca="1">INDIRECT("'※ 재무_세부시트'!"&amp;P$1&amp;$AD97, TRUE)</f>
        <v>10.524390322437281</v>
      </c>
      <c r="Q97" s="2790" cm="1">
        <f t="array" aca="1" ref="Q97" ca="1">INDIRECT("'※ 재무_세부시트'!"&amp;Q$1&amp;$AD97, TRUE)</f>
        <v>6.9623041145351294</v>
      </c>
      <c r="R97" s="2790" cm="1">
        <f t="array" aca="1" ref="R97" ca="1">INDIRECT("'※ 재무_세부시트'!"&amp;R$1&amp;$AD97, TRUE)</f>
        <v>4.7091784299999997</v>
      </c>
      <c r="S97" s="2790" cm="1">
        <f t="array" aca="1" ref="S97" ca="1">INDIRECT("'※ 재무_세부시트'!"&amp;S$1&amp;$AD97, TRUE)</f>
        <v>3.3579115499999999</v>
      </c>
      <c r="T97" s="2791"/>
      <c r="U97" s="2791"/>
      <c r="V97" s="2862"/>
      <c r="W97" s="2499" cm="1">
        <f t="array" aca="1" ref="W97" ca="1">INDIRECT("'※ 재무_세부시트'!"&amp;W$1&amp;$AD97, TRUE)</f>
        <v>-1.3512668799999998</v>
      </c>
      <c r="X97" s="2500" cm="1">
        <f t="array" aca="1" ref="X97" ca="1">INDIRECT("'※ 재무_세부시트'!"&amp;X$1&amp;$AD97, TRUE)</f>
        <v>-2.9979974199999999</v>
      </c>
      <c r="Y97" s="2500" cm="1">
        <f t="array" aca="1" ref="Y97" ca="1">INDIRECT("'※ 재무_세부시트'!"&amp;Y$1&amp;$AD97, TRUE)</f>
        <v>0</v>
      </c>
      <c r="Z97" s="2501" cm="1">
        <f t="array" aca="1" ref="Z97" ca="1">INDIRECT("'※ 재무_세부시트'!"&amp;Z$1&amp;$AD97, TRUE)</f>
        <v>110.42178852755157</v>
      </c>
      <c r="AA97" s="2866"/>
      <c r="AB97" s="2794"/>
      <c r="AC97" s="2795" cm="1">
        <f t="array" aca="1" ref="AC97" ca="1">INDIRECT("'※ 재무_세부시트'!"&amp;AC$1&amp;$AD97, TRUE)</f>
        <v>-3.1097070605275121</v>
      </c>
      <c r="AD97" s="2441">
        <v>96</v>
      </c>
      <c r="AE97" s="2504">
        <v>10.689534488363636</v>
      </c>
      <c r="AF97" s="2504">
        <v>15.642738236363636</v>
      </c>
      <c r="AG97" s="2504">
        <v>10.687649021818181</v>
      </c>
      <c r="AH97" s="2504">
        <v>8.502718546363635</v>
      </c>
      <c r="AI97" s="2504">
        <v>9.1463444599999999</v>
      </c>
      <c r="AJ97" s="2504">
        <v>8.3444189909090909</v>
      </c>
      <c r="AK97" s="2504">
        <v>5.2833142909090904</v>
      </c>
      <c r="AL97" s="2504">
        <v>16.273742727272726</v>
      </c>
      <c r="AM97" s="2504">
        <v>9.7530975090909084</v>
      </c>
      <c r="AN97" s="2504">
        <v>12.161371454545455</v>
      </c>
      <c r="AO97" s="2504">
        <v>7.1786270272727259</v>
      </c>
      <c r="AP97" s="2504">
        <v>7.6757730999999998</v>
      </c>
      <c r="AQ97" s="2505">
        <f t="shared" si="49"/>
        <v>121.3393298529091</v>
      </c>
      <c r="AR97" s="2488"/>
      <c r="AS97" s="2488"/>
      <c r="AT97" s="2488"/>
      <c r="AU97" s="2488"/>
      <c r="AV97" s="2488"/>
      <c r="AW97" s="2488"/>
      <c r="AX97" s="2488"/>
      <c r="AY97" s="2488"/>
      <c r="AZ97" s="2488"/>
      <c r="BA97" s="2488"/>
      <c r="BB97" s="2488"/>
      <c r="BC97" s="2488"/>
      <c r="BD97" s="2488"/>
      <c r="BE97" s="2488"/>
      <c r="BG97" s="2509" cm="1">
        <f t="array" aca="1" ref="BG97" ca="1">INDIRECT("'※ 재무_세부시트'!"&amp;BG$1&amp;$AD97, TRUE)</f>
        <v>10.689534488363636</v>
      </c>
      <c r="BH97" s="2509" cm="1">
        <f t="array" aca="1" ref="BH97" ca="1">INDIRECT("'※ 재무_세부시트'!"&amp;BH$1&amp;$AD97, TRUE)</f>
        <v>121.3393298529091</v>
      </c>
      <c r="BI97" s="2509" cm="1">
        <f t="array" aca="1" ref="BI97" ca="1">INDIRECT("'※ 재무_세부시트'!"&amp;BI$1&amp;$AD97, TRUE)</f>
        <v>5.2833142909090904</v>
      </c>
      <c r="BJ97" s="2509" cm="1">
        <f t="array" aca="1" ref="BJ97" ca="1">INDIRECT("'※ 재무_세부시트'!"&amp;BJ$1&amp;$AD97, TRUE)</f>
        <v>8.8778638338733149</v>
      </c>
      <c r="BK97" s="2509" cm="1">
        <f t="array" aca="1" ref="BK97" ca="1">INDIRECT("'※ 재무_세부시트'!"&amp;BK$1&amp;$AD97, TRUE)</f>
        <v>9.7530975090909084</v>
      </c>
      <c r="BL97" s="2490"/>
      <c r="BM97" s="2490"/>
    </row>
    <row r="98" spans="1:65" ht="17.25" customHeight="1" x14ac:dyDescent="0.55000000000000004">
      <c r="A98" s="2855"/>
      <c r="B98" s="2493"/>
      <c r="C98" s="2493"/>
      <c r="D98" s="2493" t="s">
        <v>27</v>
      </c>
      <c r="E98" s="2648"/>
      <c r="F98" s="2494" cm="1">
        <f t="array" aca="1" ref="F98" ca="1">INDIRECT("'※ 재무_세부시트'!"&amp;F$1&amp;$AD98, TRUE)</f>
        <v>187.96707857280992</v>
      </c>
      <c r="G98" s="2494" cm="1">
        <f t="array" aca="1" ref="G98" ca="1">INDIRECT("'※ 재무_세부시트'!"&amp;G$1&amp;$AD98, TRUE)</f>
        <v>250.24974235545449</v>
      </c>
      <c r="H98" s="2789" cm="1">
        <f t="array" aca="1" ref="H98" ca="1">INDIRECT("'※ 재무_세부시트'!"&amp;H$1&amp;$AD98, TRUE)</f>
        <v>14.37242808273067</v>
      </c>
      <c r="I98" s="2790" cm="1">
        <f t="array" aca="1" ref="I98" ca="1">INDIRECT("'※ 재무_세부시트'!"&amp;I$1&amp;$AD98, TRUE)</f>
        <v>43.7043856272727</v>
      </c>
      <c r="J98" s="2790" cm="1">
        <f t="array" aca="1" ref="J98" ca="1">INDIRECT("'※ 재무_세부시트'!"&amp;J$1&amp;$AD98, TRUE)</f>
        <v>17.558123940909095</v>
      </c>
      <c r="K98" s="2870" cm="1">
        <f t="array" aca="1" ref="K98" ca="1">INDIRECT("'※ 재무_세부시트'!"&amp;K$1&amp;$AD98, TRUE)</f>
        <v>18.066732295454553</v>
      </c>
      <c r="L98" s="2870" cm="1">
        <f t="array" aca="1" ref="L98" ca="1">INDIRECT("'※ 재무_세부시트'!"&amp;L$1&amp;$AD98, TRUE)</f>
        <v>19.428483209090906</v>
      </c>
      <c r="M98" s="2870" cm="1">
        <f t="array" aca="1" ref="M98" ca="1">INDIRECT("'※ 재무_세부시트'!"&amp;M$1&amp;$AD98, TRUE)</f>
        <v>16.05441492727272</v>
      </c>
      <c r="N98" s="2870" cm="1">
        <f t="array" aca="1" ref="N98" ca="1">INDIRECT("'※ 재무_세부시트'!"&amp;N$1&amp;$AD98, TRUE)</f>
        <v>57.289757718181818</v>
      </c>
      <c r="O98" s="2870" cm="1">
        <f t="array" aca="1" ref="O98" ca="1">INDIRECT("'※ 재무_세부시트'!"&amp;O$1&amp;$AD98, TRUE)</f>
        <v>26.281942318181823</v>
      </c>
      <c r="P98" s="2870" cm="1">
        <f t="array" aca="1" ref="P98" ca="1">INDIRECT("'※ 재무_세부시트'!"&amp;P$1&amp;$AD98, TRUE)</f>
        <v>35.226383681818199</v>
      </c>
      <c r="Q98" s="2870" cm="1">
        <f t="array" aca="1" ref="Q98" ca="1">INDIRECT("'※ 재무_세부시트'!"&amp;Q$1&amp;$AD98, TRUE)</f>
        <v>17.894112036363648</v>
      </c>
      <c r="R98" s="2870" cm="1">
        <f t="array" aca="1" ref="R98" ca="1">INDIRECT("'※ 재무_세부시트'!"&amp;R$1&amp;$AD98, TRUE)</f>
        <v>18.242181020909079</v>
      </c>
      <c r="S98" s="2870" cm="1">
        <f t="array" aca="1" ref="S98" ca="1">INDIRECT("'※ 재무_세부시트'!"&amp;S$1&amp;$AD98, TRUE)</f>
        <v>14.265150818181819</v>
      </c>
      <c r="T98" s="2791"/>
      <c r="U98" s="2791"/>
      <c r="V98" s="2862"/>
      <c r="W98" s="2499" cm="1">
        <f t="array" aca="1" ref="W98" ca="1">INDIRECT("'※ 재무_세부시트'!"&amp;W$1&amp;$AD98, TRUE)</f>
        <v>-3.9770302027272599</v>
      </c>
      <c r="X98" s="2500" cm="1">
        <f t="array" aca="1" ref="X98" ca="1">INDIRECT("'※ 재무_세부시트'!"&amp;X$1&amp;$AD98, TRUE)</f>
        <v>2.2524283818182198</v>
      </c>
      <c r="Y98" s="2500" cm="1">
        <f t="array" aca="1" ref="Y98" ca="1">INDIRECT("'※ 재무_세부시트'!"&amp;Y$1&amp;$AD98, TRUE)</f>
        <v>0</v>
      </c>
      <c r="Z98" s="2501" cm="1">
        <f t="array" aca="1" ref="Z98" ca="1">INDIRECT("'※ 재무_세부시트'!"&amp;Z$1&amp;$AD98, TRUE)</f>
        <v>298.384095676367</v>
      </c>
      <c r="AA98" s="2866"/>
      <c r="AB98" s="2794"/>
      <c r="AC98" s="2795" cm="1">
        <f t="array" aca="1" ref="AC98" ca="1">INDIRECT("'※ 재무_세부시트'!"&amp;AC$1&amp;$AD98, TRUE)</f>
        <v>48.13435332091251</v>
      </c>
      <c r="AD98" s="2441">
        <v>97</v>
      </c>
      <c r="AE98" s="2504">
        <v>9.1230941818181819</v>
      </c>
      <c r="AF98" s="2504">
        <v>21.706329373636365</v>
      </c>
      <c r="AG98" s="2504">
        <v>13.235116280991736</v>
      </c>
      <c r="AH98" s="2504">
        <v>17.654740472727269</v>
      </c>
      <c r="AI98" s="2504">
        <v>17.420517727272724</v>
      </c>
      <c r="AJ98" s="2504">
        <v>16.775271390909094</v>
      </c>
      <c r="AK98" s="2504">
        <v>11.168226090909091</v>
      </c>
      <c r="AL98" s="2504">
        <v>35.857371181818181</v>
      </c>
      <c r="AM98" s="2504">
        <v>8.6547714545454539</v>
      </c>
      <c r="AN98" s="2504">
        <v>21.508030145454541</v>
      </c>
      <c r="AO98" s="2504">
        <v>9.108715363636362</v>
      </c>
      <c r="AP98" s="2504">
        <v>5.7548949090909085</v>
      </c>
      <c r="AQ98" s="2505">
        <f t="shared" si="49"/>
        <v>187.96707857280992</v>
      </c>
      <c r="AR98" s="2488"/>
      <c r="AS98" s="2488"/>
      <c r="AT98" s="2488"/>
      <c r="AU98" s="2488"/>
      <c r="AV98" s="2488"/>
      <c r="AW98" s="2488"/>
      <c r="AX98" s="2488"/>
      <c r="AY98" s="2488"/>
      <c r="AZ98" s="2488"/>
      <c r="BA98" s="2488"/>
      <c r="BB98" s="2488"/>
      <c r="BC98" s="2488"/>
      <c r="BD98" s="2488"/>
      <c r="BE98" s="2488"/>
      <c r="BG98" s="2509" cm="1">
        <f t="array" aca="1" ref="BG98" ca="1">INDIRECT("'※ 재무_세부시트'!"&amp;BG$1&amp;$AD98, TRUE)</f>
        <v>9.1230941818181819</v>
      </c>
      <c r="BH98" s="2509" cm="1">
        <f t="array" aca="1" ref="BH98" ca="1">INDIRECT("'※ 재무_세부시트'!"&amp;BH$1&amp;$AD98, TRUE)</f>
        <v>187.96707857280992</v>
      </c>
      <c r="BI98" s="2509" cm="1">
        <f t="array" aca="1" ref="BI98" ca="1">INDIRECT("'※ 재무_세부시트'!"&amp;BI$1&amp;$AD98, TRUE)</f>
        <v>11.168226090909091</v>
      </c>
      <c r="BJ98" s="2509" cm="1">
        <f t="array" aca="1" ref="BJ98" ca="1">INDIRECT("'※ 재무_세부시트'!"&amp;BJ$1&amp;$AD98, TRUE)</f>
        <v>15.105264699999999</v>
      </c>
      <c r="BK98" s="2509" cm="1">
        <f t="array" aca="1" ref="BK98" ca="1">INDIRECT("'※ 재무_세부시트'!"&amp;BK$1&amp;$AD98, TRUE)</f>
        <v>8.6547714545454539</v>
      </c>
      <c r="BL98" s="2490"/>
      <c r="BM98" s="2490"/>
    </row>
    <row r="99" spans="1:65" ht="17.25" customHeight="1" x14ac:dyDescent="0.55000000000000004">
      <c r="A99" s="2855"/>
      <c r="B99" s="2856"/>
      <c r="C99" s="2871" t="s">
        <v>628</v>
      </c>
      <c r="D99" s="2872"/>
      <c r="E99" s="2873"/>
      <c r="F99" s="2874" cm="1">
        <f t="array" aca="1" ref="F99" ca="1">INDIRECT("'※ 재무_세부시트'!"&amp;F$1&amp;$AD99, TRUE)</f>
        <v>110.96164599357054</v>
      </c>
      <c r="G99" s="2874" cm="1">
        <f t="array" aca="1" ref="G99" ca="1">INDIRECT("'※ 재무_세부시트'!"&amp;G$1&amp;$AD99, TRUE)</f>
        <v>137.8551118649799</v>
      </c>
      <c r="H99" s="2875" cm="1">
        <f t="array" aca="1" ref="H99" ca="1">INDIRECT("'※ 재무_세부시트'!"&amp;H$1&amp;$AD99, TRUE)</f>
        <v>-17.129187105894999</v>
      </c>
      <c r="I99" s="2876" cm="1">
        <f t="array" aca="1" ref="I99" ca="1">INDIRECT("'※ 재무_세부시트'!"&amp;I$1&amp;$AD99, TRUE)</f>
        <v>37.914183089090926</v>
      </c>
      <c r="J99" s="2876" cm="1">
        <f t="array" aca="1" ref="J99" ca="1">INDIRECT("'※ 재무_세부시트'!"&amp;J$1&amp;$AD99, TRUE)</f>
        <v>6.2293168654545497</v>
      </c>
      <c r="K99" s="2877" cm="1">
        <f t="array" aca="1" ref="K99" ca="1">INDIRECT("'※ 재무_세부시트'!"&amp;K$1&amp;$AD99, TRUE)</f>
        <v>14.757009073939393</v>
      </c>
      <c r="L99" s="2877" cm="1">
        <f t="array" aca="1" ref="L99" ca="1">INDIRECT("'※ 재무_세부시트'!"&amp;L$1&amp;$AD99, TRUE)</f>
        <v>44.567644781818181</v>
      </c>
      <c r="M99" s="2877" cm="1">
        <f t="array" aca="1" ref="M99" ca="1">INDIRECT("'※ 재무_세부시트'!"&amp;M$1&amp;$AD99, TRUE)</f>
        <v>10.755273862727272</v>
      </c>
      <c r="N99" s="2877" cm="1">
        <f t="array" aca="1" ref="N99" ca="1">INDIRECT("'※ 재무_세부시트'!"&amp;N$1&amp;$AD99, TRUE)</f>
        <v>53.943692421212113</v>
      </c>
      <c r="O99" s="2877" cm="1">
        <f t="array" aca="1" ref="O99" ca="1">INDIRECT("'※ 재무_세부시트'!"&amp;O$1&amp;$AD99, TRUE)</f>
        <v>10.899252217575764</v>
      </c>
      <c r="P99" s="2877" cm="1">
        <f t="array" aca="1" ref="P99" ca="1">INDIRECT("'※ 재무_세부시트'!"&amp;P$1&amp;$AD99, TRUE)</f>
        <v>11.225282321818192</v>
      </c>
      <c r="Q99" s="2877" cm="1">
        <f t="array" aca="1" ref="Q99" ca="1">INDIRECT("'※ 재무_세부시트'!"&amp;Q$1&amp;$AD99, TRUE)</f>
        <v>-2.7924831375757506</v>
      </c>
      <c r="R99" s="2877" cm="1">
        <f t="array" aca="1" ref="R99" ca="1">INDIRECT("'※ 재무_세부시트'!"&amp;R$1&amp;$AD99, TRUE)</f>
        <v>-5.2666668942424195</v>
      </c>
      <c r="S99" s="2877" cm="1">
        <f t="array" aca="1" ref="S99" ca="1">INDIRECT("'※ 재무_세부시트'!"&amp;S$1&amp;$AD99, TRUE)</f>
        <v>-11.751462926969694</v>
      </c>
      <c r="T99" s="2791"/>
      <c r="U99" s="2791"/>
      <c r="V99" s="2862"/>
      <c r="W99" s="2878" cm="1">
        <f t="array" aca="1" ref="W99" ca="1">INDIRECT("'※ 재무_세부시트'!"&amp;W$1&amp;$AD99, TRUE)</f>
        <v>-6.4847960327272745</v>
      </c>
      <c r="X99" s="2879" cm="1">
        <f t="array" aca="1" ref="X99" ca="1">INDIRECT("'※ 재무_세부시트'!"&amp;X$1&amp;$AD99, TRUE)</f>
        <v>-3.6043746096969755</v>
      </c>
      <c r="Y99" s="2879" cm="1">
        <f t="array" aca="1" ref="Y99" ca="1">INDIRECT("'※ 재무_세부시트'!"&amp;Y$1&amp;$AD99, TRUE)</f>
        <v>0</v>
      </c>
      <c r="Z99" s="2880" cm="1">
        <f t="array" aca="1" ref="Z99" ca="1">INDIRECT("'※ 재무_세부시트'!"&amp;Z$1&amp;$AD99, TRUE)</f>
        <v>153.35185456895357</v>
      </c>
      <c r="AA99" s="2866"/>
      <c r="AB99" s="2794"/>
      <c r="AC99" s="2881" cm="1">
        <f t="array" aca="1" ref="AC99" ca="1">INDIRECT("'※ 재무_세부시트'!"&amp;AC$1&amp;$AD99, TRUE)</f>
        <v>15.496742703973666</v>
      </c>
      <c r="AD99" s="2441">
        <v>98</v>
      </c>
      <c r="AE99" s="2882">
        <f t="shared" ref="AE99:AP99" si="51">AE92+AE100-AE104</f>
        <v>1.6268884363650002</v>
      </c>
      <c r="AF99" s="2882">
        <f t="shared" si="51"/>
        <v>12.795607378456992</v>
      </c>
      <c r="AG99" s="2882">
        <f t="shared" si="51"/>
        <v>13.985665471971302</v>
      </c>
      <c r="AH99" s="2882">
        <f t="shared" si="51"/>
        <v>9.5497499388189908</v>
      </c>
      <c r="AI99" s="2882">
        <f t="shared" si="51"/>
        <v>9.205535530485669</v>
      </c>
      <c r="AJ99" s="2882">
        <f t="shared" si="51"/>
        <v>13.766094890825997</v>
      </c>
      <c r="AK99" s="2882">
        <f t="shared" si="51"/>
        <v>4.3110438132727325</v>
      </c>
      <c r="AL99" s="2882">
        <f t="shared" si="51"/>
        <v>33.39856936948491</v>
      </c>
      <c r="AM99" s="2882">
        <f t="shared" si="51"/>
        <v>-5.3243119869090876</v>
      </c>
      <c r="AN99" s="2882">
        <f t="shared" si="51"/>
        <v>19.637060123515191</v>
      </c>
      <c r="AO99" s="2882">
        <f t="shared" si="51"/>
        <v>3.4667494006161732</v>
      </c>
      <c r="AP99" s="2882">
        <f t="shared" si="51"/>
        <v>-5.4570063733333285</v>
      </c>
      <c r="AQ99" s="2882">
        <f t="shared" si="49"/>
        <v>110.96164599357054</v>
      </c>
      <c r="AR99" s="2488"/>
      <c r="AS99" s="2488"/>
      <c r="AT99" s="2488"/>
      <c r="AU99" s="2488"/>
      <c r="AV99" s="2488"/>
      <c r="AW99" s="2488"/>
      <c r="AX99" s="2488"/>
      <c r="AY99" s="2488"/>
      <c r="AZ99" s="2488"/>
      <c r="BA99" s="2488"/>
      <c r="BB99" s="2488"/>
      <c r="BC99" s="2488"/>
      <c r="BD99" s="2488"/>
      <c r="BE99" s="2488"/>
      <c r="BG99" s="2883" cm="1">
        <f t="array" aca="1" ref="BG99" ca="1">INDIRECT("'※ 재무_세부시트'!"&amp;BG$1&amp;$AD99, TRUE)</f>
        <v>1.6268884363650002</v>
      </c>
      <c r="BH99" s="2883" cm="1">
        <f t="array" aca="1" ref="BH99" ca="1">INDIRECT("'※ 재무_세부시트'!"&amp;BH$1&amp;$AD99, TRUE)</f>
        <v>110.96164599357054</v>
      </c>
      <c r="BI99" s="2883" cm="1">
        <f t="array" aca="1" ref="BI99" ca="1">INDIRECT("'※ 재무_세부시트'!"&amp;BI$1&amp;$AD99, TRUE)</f>
        <v>4.3110438132727325</v>
      </c>
      <c r="BJ99" s="2883" cm="1">
        <f t="array" aca="1" ref="BJ99" ca="1">INDIRECT("'※ 재무_세부시트'!"&amp;BJ$1&amp;$AD99, TRUE)</f>
        <v>3.9152500069696998</v>
      </c>
      <c r="BK99" s="2883" cm="1">
        <f t="array" aca="1" ref="BK99" ca="1">INDIRECT("'※ 재무_세부시트'!"&amp;BK$1&amp;$AD99, TRUE)</f>
        <v>-5.3243119869090876</v>
      </c>
      <c r="BL99" s="2490"/>
      <c r="BM99" s="2490"/>
    </row>
    <row r="100" spans="1:65" ht="17.25" customHeight="1" x14ac:dyDescent="0.55000000000000004">
      <c r="A100" s="2855"/>
      <c r="B100" s="2493"/>
      <c r="C100" s="2884"/>
      <c r="D100" s="2857" t="s">
        <v>629</v>
      </c>
      <c r="E100" s="2858"/>
      <c r="F100" s="2859" cm="1">
        <f t="array" aca="1" ref="F100" ca="1">INDIRECT("'※ 재무_세부시트'!"&amp;F$1&amp;$AD100, TRUE)</f>
        <v>136.65540521555567</v>
      </c>
      <c r="G100" s="2859" cm="1">
        <f t="array" aca="1" ref="G100" ca="1">INDIRECT("'※ 재무_세부시트'!"&amp;G$1&amp;$AD100, TRUE)</f>
        <v>129.50852825050558</v>
      </c>
      <c r="H100" s="2860" cm="1">
        <f t="array" aca="1" ref="H100" ca="1">INDIRECT("'※ 재무_세부시트'!"&amp;H$1&amp;$AD100, TRUE)</f>
        <v>8.85869018</v>
      </c>
      <c r="I100" s="2861" cm="1">
        <f t="array" aca="1" ref="I100" ca="1">INDIRECT("'※ 재무_세부시트'!"&amp;I$1&amp;$AD100, TRUE)</f>
        <v>8.8337460299999986</v>
      </c>
      <c r="J100" s="2861" cm="1">
        <f t="array" aca="1" ref="J100" ca="1">INDIRECT("'※ 재무_세부시트'!"&amp;J$1&amp;$AD100, TRUE)</f>
        <v>8.1935671999999986</v>
      </c>
      <c r="K100" s="2861" cm="1">
        <f t="array" aca="1" ref="K100" ca="1">INDIRECT("'※ 재무_세부시트'!"&amp;K$1&amp;$AD100, TRUE)</f>
        <v>8.2713145400000005</v>
      </c>
      <c r="L100" s="2861" cm="1">
        <f t="array" aca="1" ref="L100" ca="1">INDIRECT("'※ 재무_세부시트'!"&amp;L$1&amp;$AD100, TRUE)</f>
        <v>8.3684995400000002</v>
      </c>
      <c r="M100" s="2861" cm="1">
        <f t="array" aca="1" ref="M100" ca="1">INDIRECT("'※ 재무_세부시트'!"&amp;M$1&amp;$AD100, TRUE)</f>
        <v>8.4601910199999999</v>
      </c>
      <c r="N100" s="2861" cm="1">
        <f t="array" aca="1" ref="N100" ca="1">INDIRECT("'※ 재무_세부시트'!"&amp;N$1&amp;$AD100, TRUE)</f>
        <v>8.3609536500000008</v>
      </c>
      <c r="O100" s="2861" cm="1">
        <f t="array" aca="1" ref="O100" ca="1">INDIRECT("'※ 재무_세부시트'!"&amp;O$1&amp;$AD100, TRUE)</f>
        <v>7.4021241099999999</v>
      </c>
      <c r="P100" s="2861" cm="1">
        <f t="array" aca="1" ref="P100" ca="1">INDIRECT("'※ 재무_세부시트'!"&amp;P$1&amp;$AD100, TRUE)</f>
        <v>7.6795302699999999</v>
      </c>
      <c r="Q100" s="2861" cm="1">
        <f t="array" aca="1" ref="Q100" ca="1">INDIRECT("'※ 재무_세부시트'!"&amp;Q$1&amp;$AD100, TRUE)</f>
        <v>7.6651342999999992</v>
      </c>
      <c r="R100" s="2861" cm="1">
        <f t="array" aca="1" ref="R100" ca="1">INDIRECT("'※ 재무_세부시트'!"&amp;R$1&amp;$AD100, TRUE)</f>
        <v>7.7294568999999997</v>
      </c>
      <c r="S100" s="2861" cm="1">
        <f t="array" aca="1" ref="S100" ca="1">INDIRECT("'※ 재무_세부시트'!"&amp;S$1&amp;$AD100, TRUE)</f>
        <v>7.8826876699999993</v>
      </c>
      <c r="T100" s="2791"/>
      <c r="U100" s="2791"/>
      <c r="V100" s="2862"/>
      <c r="W100" s="2863" cm="1">
        <f t="array" aca="1" ref="W100" ca="1">INDIRECT("'※ 재무_세부시트'!"&amp;W$1&amp;$AD100, TRUE)</f>
        <v>0.15323076999999952</v>
      </c>
      <c r="X100" s="2864" cm="1">
        <f t="array" aca="1" ref="X100" ca="1">INDIRECT("'※ 재무_세부시트'!"&amp;X$1&amp;$AD100, TRUE)</f>
        <v>-3.3915654441381662</v>
      </c>
      <c r="Y100" s="2864" cm="1">
        <f t="array" aca="1" ref="Y100" ca="1">INDIRECT("'※ 재무_세부시트'!"&amp;Y$1&amp;$AD100, TRUE)</f>
        <v>0</v>
      </c>
      <c r="Z100" s="2865" cm="1">
        <f t="array" aca="1" ref="Z100" ca="1">INDIRECT("'※ 재무_세부시트'!"&amp;Z$1&amp;$AD100, TRUE)</f>
        <v>97.705895409999997</v>
      </c>
      <c r="AA100" s="2866"/>
      <c r="AB100" s="2794"/>
      <c r="AC100" s="2867" cm="1">
        <f t="array" aca="1" ref="AC100" ca="1">INDIRECT("'※ 재무_세부시트'!"&amp;AC$1&amp;$AD100, TRUE)</f>
        <v>-31.802632840505581</v>
      </c>
      <c r="AD100" s="2441">
        <v>99</v>
      </c>
      <c r="AE100" s="2505">
        <f t="shared" ref="AE100:AP100" si="52">AE101+AE102+AE103</f>
        <v>10.99738222</v>
      </c>
      <c r="AF100" s="2505">
        <f t="shared" si="52"/>
        <v>11.072332849999999</v>
      </c>
      <c r="AG100" s="2505">
        <f t="shared" si="52"/>
        <v>11.82284417</v>
      </c>
      <c r="AH100" s="2505">
        <f t="shared" si="52"/>
        <v>10.918451381316661</v>
      </c>
      <c r="AI100" s="2505">
        <f t="shared" si="52"/>
        <v>10.72711415</v>
      </c>
      <c r="AJ100" s="2505">
        <f t="shared" si="52"/>
        <v>13.64055049140293</v>
      </c>
      <c r="AK100" s="2505">
        <f t="shared" si="52"/>
        <v>11.633982039999999</v>
      </c>
      <c r="AL100" s="2505">
        <f t="shared" si="52"/>
        <v>10.901304058125158</v>
      </c>
      <c r="AM100" s="2505">
        <f t="shared" si="52"/>
        <v>12.416276780884331</v>
      </c>
      <c r="AN100" s="2505">
        <f t="shared" si="52"/>
        <v>11.213231534903279</v>
      </c>
      <c r="AO100" s="2505">
        <f t="shared" si="52"/>
        <v>10.29056061</v>
      </c>
      <c r="AP100" s="2505">
        <f t="shared" si="52"/>
        <v>11.021374928923349</v>
      </c>
      <c r="AQ100" s="2505">
        <f t="shared" si="49"/>
        <v>136.65540521555567</v>
      </c>
      <c r="AR100" s="2488"/>
      <c r="AS100" s="2488"/>
      <c r="AT100" s="2488"/>
      <c r="AU100" s="2488"/>
      <c r="AV100" s="2488"/>
      <c r="AW100" s="2488"/>
      <c r="AX100" s="2488"/>
      <c r="AY100" s="2488"/>
      <c r="AZ100" s="2488"/>
      <c r="BA100" s="2488"/>
      <c r="BB100" s="2488"/>
      <c r="BC100" s="2488"/>
      <c r="BD100" s="2488"/>
      <c r="BE100" s="2488"/>
      <c r="BG100" s="2868" cm="1">
        <f t="array" aca="1" ref="BG100" ca="1">INDIRECT("'※ 재무_세부시트'!"&amp;BG$1&amp;$AD100, TRUE)</f>
        <v>10.99738222</v>
      </c>
      <c r="BH100" s="2868" cm="1">
        <f t="array" aca="1" ref="BH100" ca="1">INDIRECT("'※ 재무_세부시트'!"&amp;BH$1&amp;$AD100, TRUE)</f>
        <v>136.65540521555567</v>
      </c>
      <c r="BI100" s="2868" cm="1">
        <f t="array" aca="1" ref="BI100" ca="1">INDIRECT("'※ 재무_세부시트'!"&amp;BI$1&amp;$AD100, TRUE)</f>
        <v>11.633982039999999</v>
      </c>
      <c r="BJ100" s="2868" cm="1">
        <f t="array" aca="1" ref="BJ100" ca="1">INDIRECT("'※ 재무_세부시트'!"&amp;BJ$1&amp;$AD100, TRUE)</f>
        <v>10.975245659999999</v>
      </c>
      <c r="BK100" s="2868" cm="1">
        <f t="array" aca="1" ref="BK100" ca="1">INDIRECT("'※ 재무_세부시트'!"&amp;BK$1&amp;$AD100, TRUE)</f>
        <v>12.416276780884331</v>
      </c>
      <c r="BL100" s="2490"/>
      <c r="BM100" s="2490"/>
    </row>
    <row r="101" spans="1:65" ht="17.25" customHeight="1" x14ac:dyDescent="0.55000000000000004">
      <c r="A101" s="2855"/>
      <c r="B101" s="2493"/>
      <c r="C101" s="2884"/>
      <c r="D101" s="2857" t="s">
        <v>28</v>
      </c>
      <c r="E101" s="2858"/>
      <c r="F101" s="2859" cm="1">
        <f t="array" aca="1" ref="F101" ca="1">INDIRECT("'※ 재무_세부시트'!"&amp;F$1&amp;$AD101, TRUE)</f>
        <v>7.2894895300000009</v>
      </c>
      <c r="G101" s="2859" cm="1">
        <f t="array" aca="1" ref="G101" ca="1">INDIRECT("'※ 재무_세부시트'!"&amp;G$1&amp;$AD101, TRUE)</f>
        <v>7.2129516299999992</v>
      </c>
      <c r="H101" s="2860" cm="1">
        <f t="array" aca="1" ref="H101" ca="1">INDIRECT("'※ 재무_세부시트'!"&amp;H$1&amp;$AD101, TRUE)</f>
        <v>0.55730053000000002</v>
      </c>
      <c r="I101" s="2861" cm="1">
        <f t="array" aca="1" ref="I101" ca="1">INDIRECT("'※ 재무_세부시트'!"&amp;I$1&amp;$AD101, TRUE)</f>
        <v>0.64227151000000005</v>
      </c>
      <c r="J101" s="2861" cm="1">
        <f t="array" aca="1" ref="J101" ca="1">INDIRECT("'※ 재무_세부시트'!"&amp;J$1&amp;$AD101, TRUE)</f>
        <v>0.60677861</v>
      </c>
      <c r="K101" s="2861" cm="1">
        <f t="array" aca="1" ref="K101" ca="1">INDIRECT("'※ 재무_세부시트'!"&amp;K$1&amp;$AD101, TRUE)</f>
        <v>0.57387266000000003</v>
      </c>
      <c r="L101" s="2861" cm="1">
        <f t="array" aca="1" ref="L101" ca="1">INDIRECT("'※ 재무_세부시트'!"&amp;L$1&amp;$AD101, TRUE)</f>
        <v>0.65718023999999997</v>
      </c>
      <c r="M101" s="2861" cm="1">
        <f t="array" aca="1" ref="M101" ca="1">INDIRECT("'※ 재무_세부시트'!"&amp;M$1&amp;$AD101, TRUE)</f>
        <v>0.62709696000000004</v>
      </c>
      <c r="N101" s="2861" cm="1">
        <f t="array" aca="1" ref="N101" ca="1">INDIRECT("'※ 재무_세부시트'!"&amp;N$1&amp;$AD101, TRUE)</f>
        <v>0.63667795999999999</v>
      </c>
      <c r="O101" s="2861" cm="1">
        <f t="array" aca="1" ref="O101" ca="1">INDIRECT("'※ 재무_세부시트'!"&amp;O$1&amp;$AD101, TRUE)</f>
        <v>0.63415812000000005</v>
      </c>
      <c r="P101" s="2861" cm="1">
        <f t="array" aca="1" ref="P101" ca="1">INDIRECT("'※ 재무_세부시트'!"&amp;P$1&amp;$AD101, TRUE)</f>
        <v>0.63216598000000002</v>
      </c>
      <c r="Q101" s="2861" cm="1">
        <f t="array" aca="1" ref="Q101" ca="1">INDIRECT("'※ 재무_세부시트'!"&amp;Q$1&amp;$AD101, TRUE)</f>
        <v>0.58205907999999995</v>
      </c>
      <c r="R101" s="2861" cm="1">
        <f t="array" aca="1" ref="R101" ca="1">INDIRECT("'※ 재무_세부시트'!"&amp;R$1&amp;$AD101, TRUE)</f>
        <v>0.81182807000000001</v>
      </c>
      <c r="S101" s="2861" cm="1">
        <f t="array" aca="1" ref="S101" ca="1">INDIRECT("'※ 재무_세부시트'!"&amp;S$1&amp;$AD101, TRUE)</f>
        <v>0.81033728999999999</v>
      </c>
      <c r="T101" s="2791"/>
      <c r="U101" s="2791"/>
      <c r="V101" s="2862"/>
      <c r="W101" s="2863" cm="1">
        <f t="array" aca="1" ref="W101" ca="1">INDIRECT("'※ 재무_세부시트'!"&amp;W$1&amp;$AD101, TRUE)</f>
        <v>-1.4907800000000249E-3</v>
      </c>
      <c r="X101" s="2864" cm="1">
        <f t="array" aca="1" ref="X101" ca="1">INDIRECT("'※ 재무_세부시트'!"&amp;X$1&amp;$AD101, TRUE)</f>
        <v>0.22734478999999996</v>
      </c>
      <c r="Y101" s="2864" cm="1">
        <f t="array" aca="1" ref="Y101" ca="1">INDIRECT("'※ 재무_세부시트'!"&amp;Y$1&amp;$AD101, TRUE)</f>
        <v>0</v>
      </c>
      <c r="Z101" s="2865" cm="1">
        <f t="array" aca="1" ref="Z101" ca="1">INDIRECT("'※ 재무_세부시트'!"&amp;Z$1&amp;$AD101, TRUE)</f>
        <v>7.7717270100000002</v>
      </c>
      <c r="AA101" s="2866"/>
      <c r="AB101" s="2794"/>
      <c r="AC101" s="2867" cm="1">
        <f t="array" aca="1" ref="AC101" ca="1">INDIRECT("'※ 재무_세부시트'!"&amp;AC$1&amp;$AD101, TRUE)</f>
        <v>0.55877538000000104</v>
      </c>
      <c r="AD101" s="2441">
        <v>100</v>
      </c>
      <c r="AE101" s="2504">
        <v>0.61592853999999997</v>
      </c>
      <c r="AF101" s="2504">
        <v>0.65334250000000005</v>
      </c>
      <c r="AG101" s="2504">
        <v>0.65849508000000001</v>
      </c>
      <c r="AH101" s="2504">
        <v>0.57481470000000001</v>
      </c>
      <c r="AI101" s="2504">
        <v>0.60571668000000001</v>
      </c>
      <c r="AJ101" s="2504">
        <v>0.61085343999999997</v>
      </c>
      <c r="AK101" s="2504">
        <v>0.62392007000000005</v>
      </c>
      <c r="AL101" s="2504">
        <v>0.65043680000000004</v>
      </c>
      <c r="AM101" s="2504">
        <v>0.54387786000000005</v>
      </c>
      <c r="AN101" s="2504">
        <v>0.62260415999999996</v>
      </c>
      <c r="AO101" s="2504">
        <v>0.58644728999999995</v>
      </c>
      <c r="AP101" s="2504">
        <v>0.54305241000000004</v>
      </c>
      <c r="AQ101" s="2505">
        <f t="shared" si="49"/>
        <v>7.2894895300000009</v>
      </c>
      <c r="AR101" s="2488"/>
      <c r="AS101" s="2488"/>
      <c r="AT101" s="2488"/>
      <c r="AU101" s="2488"/>
      <c r="AV101" s="2488"/>
      <c r="AW101" s="2488"/>
      <c r="AX101" s="2488"/>
      <c r="AY101" s="2488"/>
      <c r="AZ101" s="2488"/>
      <c r="BA101" s="2488"/>
      <c r="BB101" s="2488"/>
      <c r="BC101" s="2488"/>
      <c r="BD101" s="2488"/>
      <c r="BE101" s="2488"/>
      <c r="BG101" s="2868" cm="1">
        <f t="array" aca="1" ref="BG101" ca="1">INDIRECT("'※ 재무_세부시트'!"&amp;BG$1&amp;$AD101, TRUE)</f>
        <v>0.61592853999999997</v>
      </c>
      <c r="BH101" s="2868" cm="1">
        <f t="array" aca="1" ref="BH101" ca="1">INDIRECT("'※ 재무_세부시트'!"&amp;BH$1&amp;$AD101, TRUE)</f>
        <v>7.2894895300000009</v>
      </c>
      <c r="BI101" s="2868" cm="1">
        <f t="array" aca="1" ref="BI101" ca="1">INDIRECT("'※ 재무_세부시트'!"&amp;BI$1&amp;$AD101, TRUE)</f>
        <v>0.62392007000000005</v>
      </c>
      <c r="BJ101" s="2868" cm="1">
        <f t="array" aca="1" ref="BJ101" ca="1">INDIRECT("'※ 재무_세부시트'!"&amp;BJ$1&amp;$AD101, TRUE)</f>
        <v>0.57360551000000004</v>
      </c>
      <c r="BK101" s="2868" cm="1">
        <f t="array" aca="1" ref="BK101" ca="1">INDIRECT("'※ 재무_세부시트'!"&amp;BK$1&amp;$AD101, TRUE)</f>
        <v>0.54387786000000005</v>
      </c>
      <c r="BL101" s="2490"/>
      <c r="BM101" s="2490"/>
    </row>
    <row r="102" spans="1:65" ht="17.25" customHeight="1" x14ac:dyDescent="0.55000000000000004">
      <c r="A102" s="2855"/>
      <c r="B102" s="2493"/>
      <c r="C102" s="2884"/>
      <c r="D102" s="2857" t="s">
        <v>29</v>
      </c>
      <c r="E102" s="2858"/>
      <c r="F102" s="2859" cm="1">
        <f t="array" aca="1" ref="F102" ca="1">INDIRECT("'※ 재무_세부시트'!"&amp;F$1&amp;$AD102, TRUE)</f>
        <v>88.445270809999997</v>
      </c>
      <c r="G102" s="2859" cm="1">
        <f t="array" aca="1" ref="G102" ca="1">INDIRECT("'※ 재무_세부시트'!"&amp;G$1&amp;$AD102, TRUE)</f>
        <v>89.490433769999981</v>
      </c>
      <c r="H102" s="2860" cm="1">
        <f t="array" aca="1" ref="H102" ca="1">INDIRECT("'※ 재무_세부시트'!"&amp;H$1&amp;$AD102, TRUE)</f>
        <v>7.9090796699999997</v>
      </c>
      <c r="I102" s="2861" cm="1">
        <f t="array" aca="1" ref="I102" ca="1">INDIRECT("'※ 재무_세부시트'!"&amp;I$1&amp;$AD102, TRUE)</f>
        <v>7.9434227599999998</v>
      </c>
      <c r="J102" s="2861" cm="1">
        <f t="array" aca="1" ref="J102" ca="1">INDIRECT("'※ 재무_세부시트'!"&amp;J$1&amp;$AD102, TRUE)</f>
        <v>7.3950613799999996</v>
      </c>
      <c r="K102" s="2861" cm="1">
        <f t="array" aca="1" ref="K102" ca="1">INDIRECT("'※ 재무_세부시트'!"&amp;K$1&amp;$AD102, TRUE)</f>
        <v>7.6139127899999997</v>
      </c>
      <c r="L102" s="2861" cm="1">
        <f t="array" aca="1" ref="L102" ca="1">INDIRECT("'※ 재무_세부시트'!"&amp;L$1&amp;$AD102, TRUE)</f>
        <v>7.5951375199999998</v>
      </c>
      <c r="M102" s="2861" cm="1">
        <f t="array" aca="1" ref="M102" ca="1">INDIRECT("'※ 재무_세부시트'!"&amp;M$1&amp;$AD102, TRUE)</f>
        <v>7.7439195200000004</v>
      </c>
      <c r="N102" s="2861" cm="1">
        <f t="array" aca="1" ref="N102" ca="1">INDIRECT("'※ 재무_세부시트'!"&amp;N$1&amp;$AD102, TRUE)</f>
        <v>7.4637302400000003</v>
      </c>
      <c r="O102" s="2861" cm="1">
        <f t="array" aca="1" ref="O102" ca="1">INDIRECT("'※ 재무_세부시트'!"&amp;O$1&amp;$AD102, TRUE)</f>
        <v>6.6503187099999996</v>
      </c>
      <c r="P102" s="2861" cm="1">
        <f t="array" aca="1" ref="P102" ca="1">INDIRECT("'※ 재무_세부시트'!"&amp;P$1&amp;$AD102, TRUE)</f>
        <v>6.9000006899999997</v>
      </c>
      <c r="Q102" s="2861" cm="1">
        <f t="array" aca="1" ref="Q102" ca="1">INDIRECT("'※ 재무_세부시트'!"&amp;Q$1&amp;$AD102, TRUE)</f>
        <v>6.8727279599999997</v>
      </c>
      <c r="R102" s="2861" cm="1">
        <f t="array" aca="1" ref="R102" ca="1">INDIRECT("'※ 재무_세부시트'!"&amp;R$1&amp;$AD102, TRUE)</f>
        <v>6.8454552299999998</v>
      </c>
      <c r="S102" s="2861" cm="1">
        <f t="array" aca="1" ref="S102" ca="1">INDIRECT("'※ 재무_세부시트'!"&amp;S$1&amp;$AD102, TRUE)</f>
        <v>6.8181824999999998</v>
      </c>
      <c r="T102" s="2791"/>
      <c r="U102" s="2791"/>
      <c r="V102" s="2862"/>
      <c r="W102" s="2863" cm="1">
        <f t="array" aca="1" ref="W102" ca="1">INDIRECT("'※ 재무_세부시트'!"&amp;W$1&amp;$AD102, TRUE)</f>
        <v>-2.7272729999999967E-2</v>
      </c>
      <c r="X102" s="2864" cm="1">
        <f t="array" aca="1" ref="X102" ca="1">INDIRECT("'※ 재무_세부시트'!"&amp;X$1&amp;$AD102, TRUE)</f>
        <v>-1.0979087700000001</v>
      </c>
      <c r="Y102" s="2864" cm="1">
        <f t="array" aca="1" ref="Y102" ca="1">INDIRECT("'※ 재무_세부시트'!"&amp;Y$1&amp;$AD102, TRUE)</f>
        <v>0</v>
      </c>
      <c r="Z102" s="2865" cm="1">
        <f t="array" aca="1" ref="Z102" ca="1">INDIRECT("'※ 재무_세부시트'!"&amp;Z$1&amp;$AD102, TRUE)</f>
        <v>87.75094897000001</v>
      </c>
      <c r="AA102" s="2866"/>
      <c r="AB102" s="2794"/>
      <c r="AC102" s="2867" cm="1">
        <f t="array" aca="1" ref="AC102" ca="1">INDIRECT("'※ 재무_세부시트'!"&amp;AC$1&amp;$AD102, TRUE)</f>
        <v>-1.7394847999999712</v>
      </c>
      <c r="AD102" s="2441">
        <v>101</v>
      </c>
      <c r="AE102" s="2504">
        <v>7.5021497999999998</v>
      </c>
      <c r="AF102" s="2504">
        <v>7.3366039799999996</v>
      </c>
      <c r="AG102" s="2504">
        <v>7.4152542300000004</v>
      </c>
      <c r="AH102" s="2504">
        <v>7.1958822700000002</v>
      </c>
      <c r="AI102" s="2504">
        <v>7.4571492900000003</v>
      </c>
      <c r="AJ102" s="2504">
        <v>9.3941648200000003</v>
      </c>
      <c r="AK102" s="2504">
        <v>7.0949483899999999</v>
      </c>
      <c r="AL102" s="2504">
        <v>7.0707395699999998</v>
      </c>
      <c r="AM102" s="2504">
        <v>6.9120711699999999</v>
      </c>
      <c r="AN102" s="2504">
        <v>7.3750379199999996</v>
      </c>
      <c r="AO102" s="2504">
        <v>6.7795677999999997</v>
      </c>
      <c r="AP102" s="2504">
        <v>6.91170157</v>
      </c>
      <c r="AQ102" s="2505">
        <f t="shared" si="49"/>
        <v>88.445270809999997</v>
      </c>
      <c r="AR102" s="2488"/>
      <c r="AS102" s="2488"/>
      <c r="AT102" s="2488"/>
      <c r="AU102" s="2488"/>
      <c r="AV102" s="2488"/>
      <c r="AW102" s="2488"/>
      <c r="AX102" s="2488"/>
      <c r="AY102" s="2488"/>
      <c r="AZ102" s="2488"/>
      <c r="BA102" s="2488"/>
      <c r="BB102" s="2488"/>
      <c r="BC102" s="2488"/>
      <c r="BD102" s="2488"/>
      <c r="BE102" s="2488"/>
      <c r="BG102" s="2868" cm="1">
        <f t="array" aca="1" ref="BG102" ca="1">INDIRECT("'※ 재무_세부시트'!"&amp;BG$1&amp;$AD102, TRUE)</f>
        <v>7.5021497999999998</v>
      </c>
      <c r="BH102" s="2868" cm="1">
        <f t="array" aca="1" ref="BH102" ca="1">INDIRECT("'※ 재무_세부시트'!"&amp;BH$1&amp;$AD102, TRUE)</f>
        <v>88.445270809999997</v>
      </c>
      <c r="BI102" s="2868" cm="1">
        <f t="array" aca="1" ref="BI102" ca="1">INDIRECT("'※ 재무_세부시트'!"&amp;BI$1&amp;$AD102, TRUE)</f>
        <v>7.0949483899999999</v>
      </c>
      <c r="BJ102" s="2868" cm="1">
        <f t="array" aca="1" ref="BJ102" ca="1">INDIRECT("'※ 재무_세부시트'!"&amp;BJ$1&amp;$AD102, TRUE)</f>
        <v>7.2942487099999997</v>
      </c>
      <c r="BK102" s="2868" cm="1">
        <f t="array" aca="1" ref="BK102" ca="1">INDIRECT("'※ 재무_세부시트'!"&amp;BK$1&amp;$AD102, TRUE)</f>
        <v>6.9120711699999999</v>
      </c>
      <c r="BL102" s="2490"/>
      <c r="BM102" s="2490"/>
    </row>
    <row r="103" spans="1:65" ht="17.25" customHeight="1" x14ac:dyDescent="0.55000000000000004">
      <c r="A103" s="2855"/>
      <c r="B103" s="2493"/>
      <c r="C103" s="2884"/>
      <c r="D103" s="2857" t="s">
        <v>630</v>
      </c>
      <c r="E103" s="2858"/>
      <c r="F103" s="2859" cm="1">
        <f t="array" aca="1" ref="F103" ca="1">INDIRECT("'※ 재무_세부시트'!"&amp;F$1&amp;$AD103, TRUE)</f>
        <v>40.920644875555709</v>
      </c>
      <c r="G103" s="2859" cm="1">
        <f t="array" aca="1" ref="G103" ca="1">INDIRECT("'※ 재무_세부시트'!"&amp;G$1&amp;$AD103, TRUE)</f>
        <v>32.805142850505582</v>
      </c>
      <c r="H103" s="2860" cm="1">
        <f t="array" aca="1" ref="H103" ca="1">INDIRECT("'※ 재무_세부시트'!"&amp;H$1&amp;$AD103, TRUE)</f>
        <v>0.39230998</v>
      </c>
      <c r="I103" s="2861" cm="1">
        <f t="array" aca="1" ref="I103" ca="1">INDIRECT("'※ 재무_세부시트'!"&amp;I$1&amp;$AD103, TRUE)</f>
        <v>0.24805176000000001</v>
      </c>
      <c r="J103" s="2861" cm="1">
        <f t="array" aca="1" ref="J103" ca="1">INDIRECT("'※ 재무_세부시트'!"&amp;J$1&amp;$AD103, TRUE)</f>
        <v>0.19172721000000001</v>
      </c>
      <c r="K103" s="2861" cm="1">
        <f t="array" aca="1" ref="K103" ca="1">INDIRECT("'※ 재무_세부시트'!"&amp;K$1&amp;$AD103, TRUE)</f>
        <v>8.352909E-2</v>
      </c>
      <c r="L103" s="2861" cm="1">
        <f t="array" aca="1" ref="L103" ca="1">INDIRECT("'※ 재무_세부시트'!"&amp;L$1&amp;$AD103, TRUE)</f>
        <v>0.11618178</v>
      </c>
      <c r="M103" s="2861" cm="1">
        <f t="array" aca="1" ref="M103" ca="1">INDIRECT("'※ 재무_세부시트'!"&amp;M$1&amp;$AD103, TRUE)</f>
        <v>8.9174539999999997E-2</v>
      </c>
      <c r="N103" s="2861" cm="1">
        <f t="array" aca="1" ref="N103" ca="1">INDIRECT("'※ 재무_세부시트'!"&amp;N$1&amp;$AD103, TRUE)</f>
        <v>0.26054545000000001</v>
      </c>
      <c r="O103" s="2861" cm="1">
        <f t="array" aca="1" ref="O103" ca="1">INDIRECT("'※ 재무_세부시트'!"&amp;O$1&amp;$AD103, TRUE)</f>
        <v>0.11764728000000001</v>
      </c>
      <c r="P103" s="2861" cm="1">
        <f t="array" aca="1" ref="P103" ca="1">INDIRECT("'※ 재무_세부시트'!"&amp;P$1&amp;$AD103, TRUE)</f>
        <v>0.14736360000000001</v>
      </c>
      <c r="Q103" s="2861" cm="1">
        <f t="array" aca="1" ref="Q103" ca="1">INDIRECT("'※ 재무_세부시트'!"&amp;Q$1&amp;$AD103, TRUE)</f>
        <v>0.21034726000000001</v>
      </c>
      <c r="R103" s="2861" cm="1">
        <f t="array" aca="1" ref="R103" ca="1">INDIRECT("'※ 재무_세부시트'!"&amp;R$1&amp;$AD103, TRUE)</f>
        <v>7.2173600000000004E-2</v>
      </c>
      <c r="S103" s="2861" cm="1">
        <f t="array" aca="1" ref="S103" ca="1">INDIRECT("'※ 재무_세부시트'!"&amp;S$1&amp;$AD103, TRUE)</f>
        <v>0.25416788000000001</v>
      </c>
      <c r="T103" s="2791"/>
      <c r="U103" s="2791"/>
      <c r="V103" s="2862"/>
      <c r="W103" s="2863" cm="1">
        <f t="array" aca="1" ref="W103" ca="1">INDIRECT("'※ 재무_세부시트'!"&amp;W$1&amp;$AD103, TRUE)</f>
        <v>0.18199428000000001</v>
      </c>
      <c r="X103" s="2864" cm="1">
        <f t="array" aca="1" ref="X103" ca="1">INDIRECT("'※ 재무_세부시트'!"&amp;X$1&amp;$AD103, TRUE)</f>
        <v>-2.5210014641381653</v>
      </c>
      <c r="Y103" s="2864" cm="1">
        <f t="array" aca="1" ref="Y103" ca="1">INDIRECT("'※ 재무_세부시트'!"&amp;Y$1&amp;$AD103, TRUE)</f>
        <v>0</v>
      </c>
      <c r="Z103" s="2865" cm="1">
        <f t="array" aca="1" ref="Z103" ca="1">INDIRECT("'※ 재무_세부시트'!"&amp;Z$1&amp;$AD103, TRUE)</f>
        <v>2.1832194299999998</v>
      </c>
      <c r="AA103" s="2866"/>
      <c r="AB103" s="2794"/>
      <c r="AC103" s="2867" cm="1">
        <f t="array" aca="1" ref="AC103" ca="1">INDIRECT("'※ 재무_세부시트'!"&amp;AC$1&amp;$AD103, TRUE)</f>
        <v>-30.621923420505581</v>
      </c>
      <c r="AD103" s="2441">
        <v>102</v>
      </c>
      <c r="AE103" s="2504">
        <v>2.8793038800000001</v>
      </c>
      <c r="AF103" s="2504">
        <v>3.08238637</v>
      </c>
      <c r="AG103" s="2504">
        <v>3.74909486</v>
      </c>
      <c r="AH103" s="2504">
        <v>3.1477544113166602</v>
      </c>
      <c r="AI103" s="2504">
        <v>2.66424818</v>
      </c>
      <c r="AJ103" s="2504">
        <v>3.6355322314029301</v>
      </c>
      <c r="AK103" s="2504">
        <v>3.9151135799999999</v>
      </c>
      <c r="AL103" s="2504">
        <v>3.1801276881251579</v>
      </c>
      <c r="AM103" s="2504">
        <v>4.9603277508843302</v>
      </c>
      <c r="AN103" s="2504">
        <v>3.21558945490328</v>
      </c>
      <c r="AO103" s="2504">
        <v>2.9245455200000001</v>
      </c>
      <c r="AP103" s="2504">
        <v>3.5666209489233487</v>
      </c>
      <c r="AQ103" s="2505">
        <f t="shared" si="49"/>
        <v>40.920644875555709</v>
      </c>
      <c r="AR103" s="2488"/>
      <c r="AS103" s="2488"/>
      <c r="AT103" s="2488"/>
      <c r="AU103" s="2488"/>
      <c r="AV103" s="2488"/>
      <c r="AW103" s="2488"/>
      <c r="AX103" s="2488"/>
      <c r="AY103" s="2488"/>
      <c r="AZ103" s="2488"/>
      <c r="BA103" s="2488"/>
      <c r="BB103" s="2488"/>
      <c r="BC103" s="2488"/>
      <c r="BD103" s="2488"/>
      <c r="BE103" s="2488"/>
      <c r="BG103" s="2868" cm="1">
        <f t="array" aca="1" ref="BG103" ca="1">INDIRECT("'※ 재무_세부시트'!"&amp;BG$1&amp;$AD103, TRUE)</f>
        <v>2.8793038800000001</v>
      </c>
      <c r="BH103" s="2868" cm="1">
        <f t="array" aca="1" ref="BH103" ca="1">INDIRECT("'※ 재무_세부시트'!"&amp;BH$1&amp;$AD103, TRUE)</f>
        <v>40.920644875555709</v>
      </c>
      <c r="BI103" s="2868" cm="1">
        <f t="array" aca="1" ref="BI103" ca="1">INDIRECT("'※ 재무_세부시트'!"&amp;BI$1&amp;$AD103, TRUE)</f>
        <v>3.9151135799999999</v>
      </c>
      <c r="BJ103" s="2868" cm="1">
        <f t="array" aca="1" ref="BJ103" ca="1">INDIRECT("'※ 재무_세부시트'!"&amp;BJ$1&amp;$AD103, TRUE)</f>
        <v>3.1073914399999998</v>
      </c>
      <c r="BK103" s="2868" cm="1">
        <f t="array" aca="1" ref="BK103" ca="1">INDIRECT("'※ 재무_세부시트'!"&amp;BK$1&amp;$AD103, TRUE)</f>
        <v>4.9603277508843302</v>
      </c>
      <c r="BL103" s="2490"/>
      <c r="BM103" s="2490"/>
    </row>
    <row r="104" spans="1:65" ht="17.25" customHeight="1" x14ac:dyDescent="0.55000000000000004">
      <c r="A104" s="2855"/>
      <c r="B104" s="2493"/>
      <c r="C104" s="2884"/>
      <c r="D104" s="2884" t="s">
        <v>631</v>
      </c>
      <c r="E104" s="2885"/>
      <c r="F104" s="2886" cm="1">
        <f t="array" aca="1" ref="F104" ca="1">INDIRECT("'※ 재무_세부시트'!"&amp;F$1&amp;$AD104, TRUE)</f>
        <v>568.75300850031567</v>
      </c>
      <c r="G104" s="2886" cm="1">
        <f t="array" aca="1" ref="G104" ca="1">INDIRECT("'※ 재무_세부시트'!"&amp;G$1&amp;$AD104, TRUE)</f>
        <v>507.4335813961228</v>
      </c>
      <c r="H104" s="2887" cm="1">
        <f t="array" aca="1" ref="H104" ca="1">INDIRECT("'※ 재무_세부시트'!"&amp;H$1&amp;$AD104, TRUE)</f>
        <v>50.055116230440433</v>
      </c>
      <c r="I104" s="2877" cm="1">
        <f t="array" aca="1" ref="I104" ca="1">INDIRECT("'※ 재무_세부시트'!"&amp;I$1&amp;$AD104, TRUE)</f>
        <v>38.973362210300508</v>
      </c>
      <c r="J104" s="2877" cm="1">
        <f t="array" aca="1" ref="J104" ca="1">INDIRECT("'※ 재무_세부시트'!"&amp;J$1&amp;$AD104, TRUE)</f>
        <v>44.914059449942123</v>
      </c>
      <c r="K104" s="2877" cm="1">
        <f t="array" aca="1" ref="K104" ca="1">INDIRECT("'※ 재무_세부시트'!"&amp;K$1&amp;$AD104, TRUE)</f>
        <v>43.560297647260796</v>
      </c>
      <c r="L104" s="2877" cm="1">
        <f t="array" aca="1" ref="L104" ca="1">INDIRECT("'※ 재무_세부시트'!"&amp;L$1&amp;$AD104, TRUE)</f>
        <v>33.407588043482541</v>
      </c>
      <c r="M104" s="2877" cm="1">
        <f t="array" aca="1" ref="M104" ca="1">INDIRECT("'※ 재무_세부시트'!"&amp;M$1&amp;$AD104, TRUE)</f>
        <v>33.467369387272733</v>
      </c>
      <c r="N104" s="2877" cm="1">
        <f t="array" aca="1" ref="N104" ca="1">INDIRECT("'※ 재무_세부시트'!"&amp;N$1&amp;$AD104, TRUE)</f>
        <v>15.090936886175264</v>
      </c>
      <c r="O104" s="2877" cm="1">
        <f t="array" aca="1" ref="O104" ca="1">INDIRECT("'※ 재무_세부시트'!"&amp;O$1&amp;$AD104, TRUE)</f>
        <v>39.894114396440955</v>
      </c>
      <c r="P104" s="2877" cm="1">
        <f t="array" aca="1" ref="P104" ca="1">INDIRECT("'※ 재무_세부시트'!"&amp;P$1&amp;$AD104, TRUE)</f>
        <v>41.276433313216565</v>
      </c>
      <c r="Q104" s="2877" cm="1">
        <f t="array" aca="1" ref="Q104" ca="1">INDIRECT("'※ 재무_세부시트'!"&amp;Q$1&amp;$AD104, TRUE)</f>
        <v>54.339980460818019</v>
      </c>
      <c r="R104" s="2877" cm="1">
        <f t="array" aca="1" ref="R104" ca="1">INDIRECT("'※ 재무_세부시트'!"&amp;R$1&amp;$AD104, TRUE)</f>
        <v>45.108853670673213</v>
      </c>
      <c r="S104" s="2877" cm="1">
        <f t="array" aca="1" ref="S104" ca="1">INDIRECT("'※ 재무_세부시트'!"&amp;S$1&amp;$AD104, TRUE)</f>
        <v>54.983698243584868</v>
      </c>
      <c r="T104" s="2791"/>
      <c r="U104" s="2791"/>
      <c r="V104" s="2862"/>
      <c r="W104" s="2888" cm="1">
        <f t="array" aca="1" ref="W104" ca="1">INDIRECT("'※ 재무_세부시트'!"&amp;W$1&amp;$AD104, TRUE)</f>
        <v>9.8748445729116554</v>
      </c>
      <c r="X104" s="2889" cm="1">
        <f t="array" aca="1" ref="X104" ca="1">INDIRECT("'※ 재무_세부시트'!"&amp;X$1&amp;$AD104, TRUE)</f>
        <v>4.3564479422649072</v>
      </c>
      <c r="Y104" s="2889" cm="1">
        <f t="array" aca="1" ref="Y104" ca="1">INDIRECT("'※ 재무_세부시트'!"&amp;Y$1&amp;$AD104, TRUE)</f>
        <v>0</v>
      </c>
      <c r="Z104" s="2890" cm="1">
        <f t="array" aca="1" ref="Z104" ca="1">INDIRECT("'※ 재무_세부시트'!"&amp;Z$1&amp;$AD104, TRUE)</f>
        <v>495.07180993960804</v>
      </c>
      <c r="AA104" s="2866"/>
      <c r="AB104" s="2794"/>
      <c r="AC104" s="2891" cm="1">
        <f t="array" aca="1" ref="AC104" ca="1">INDIRECT("'※ 재무_세부시트'!"&amp;AC$1&amp;$AD104, TRUE)</f>
        <v>-12.361771456514759</v>
      </c>
      <c r="AD104" s="2441">
        <v>103</v>
      </c>
      <c r="AE104" s="2505">
        <f t="shared" ref="AE104:AP104" si="53">AE105+AE106+AE107+AE108</f>
        <v>45.367282175271356</v>
      </c>
      <c r="AF104" s="2505">
        <f t="shared" si="53"/>
        <v>48.646392458815711</v>
      </c>
      <c r="AG104" s="2505">
        <f t="shared" si="53"/>
        <v>47.250808809268364</v>
      </c>
      <c r="AH104" s="2505">
        <f t="shared" si="53"/>
        <v>49.568948302497674</v>
      </c>
      <c r="AI104" s="2505">
        <f t="shared" si="53"/>
        <v>50.781605112241614</v>
      </c>
      <c r="AJ104" s="2505">
        <f t="shared" si="53"/>
        <v>49.668277692395122</v>
      </c>
      <c r="AK104" s="2505">
        <f t="shared" si="53"/>
        <v>49.30354994399999</v>
      </c>
      <c r="AL104" s="2505">
        <f t="shared" si="53"/>
        <v>46.271064015912948</v>
      </c>
      <c r="AM104" s="2505">
        <f t="shared" si="53"/>
        <v>44.426657065066145</v>
      </c>
      <c r="AN104" s="2505">
        <f t="shared" si="53"/>
        <v>46.485940417751728</v>
      </c>
      <c r="AO104" s="2505">
        <f t="shared" si="53"/>
        <v>44.81704594483837</v>
      </c>
      <c r="AP104" s="2505">
        <f t="shared" si="53"/>
        <v>46.16543656225668</v>
      </c>
      <c r="AQ104" s="2505">
        <f t="shared" si="49"/>
        <v>568.75300850031567</v>
      </c>
      <c r="AR104" s="2488"/>
      <c r="AS104" s="2488"/>
      <c r="AT104" s="2488"/>
      <c r="AU104" s="2488"/>
      <c r="AV104" s="2488"/>
      <c r="AW104" s="2488"/>
      <c r="AX104" s="2488"/>
      <c r="AY104" s="2488"/>
      <c r="AZ104" s="2488"/>
      <c r="BA104" s="2488"/>
      <c r="BB104" s="2488"/>
      <c r="BC104" s="2488"/>
      <c r="BD104" s="2488"/>
      <c r="BE104" s="2488"/>
      <c r="BG104" s="2892" cm="1">
        <f t="array" aca="1" ref="BG104" ca="1">INDIRECT("'※ 재무_세부시트'!"&amp;BG$1&amp;$AD104, TRUE)</f>
        <v>45.367282175271356</v>
      </c>
      <c r="BH104" s="2892" cm="1">
        <f t="array" aca="1" ref="BH104" ca="1">INDIRECT("'※ 재무_세부시트'!"&amp;BH$1&amp;$AD104, TRUE)</f>
        <v>568.75300850031567</v>
      </c>
      <c r="BI104" s="2892" cm="1">
        <f t="array" aca="1" ref="BI104" ca="1">INDIRECT("'※ 재무_세부시트'!"&amp;BI$1&amp;$AD104, TRUE)</f>
        <v>49.30354994399999</v>
      </c>
      <c r="BJ104" s="2892" cm="1">
        <f t="array" aca="1" ref="BJ104" ca="1">INDIRECT("'※ 재무_세부시트'!"&amp;BJ$1&amp;$AD104, TRUE)</f>
        <v>43.023374422206295</v>
      </c>
      <c r="BK104" s="2892" cm="1">
        <f t="array" aca="1" ref="BK104" ca="1">INDIRECT("'※ 재무_세부시트'!"&amp;BK$1&amp;$AD104, TRUE)</f>
        <v>44.426657065066145</v>
      </c>
      <c r="BL104" s="2490"/>
      <c r="BM104" s="2490"/>
    </row>
    <row r="105" spans="1:65" ht="17.25" customHeight="1" x14ac:dyDescent="0.55000000000000004">
      <c r="A105" s="2855"/>
      <c r="B105" s="2493"/>
      <c r="C105" s="2884"/>
      <c r="D105" s="2884" t="s">
        <v>30</v>
      </c>
      <c r="E105" s="2885"/>
      <c r="F105" s="2886" cm="1">
        <f t="array" aca="1" ref="F105" ca="1">INDIRECT("'※ 재무_세부시트'!"&amp;F$1&amp;$AD105, TRUE)</f>
        <v>529.45137923666675</v>
      </c>
      <c r="G105" s="2886" cm="1">
        <f t="array" aca="1" ref="G105" ca="1">INDIRECT("'※ 재무_세부시트'!"&amp;G$1&amp;$AD105, TRUE)</f>
        <v>513.67918679333332</v>
      </c>
      <c r="H105" s="2887" cm="1">
        <f t="array" aca="1" ref="H105" ca="1">INDIRECT("'※ 재무_세부시트'!"&amp;H$1&amp;$AD105, TRUE)</f>
        <v>43.986869439999978</v>
      </c>
      <c r="I105" s="2877" cm="1">
        <f t="array" aca="1" ref="I105" ca="1">INDIRECT("'※ 재무_세부시트'!"&amp;I$1&amp;$AD105, TRUE)</f>
        <v>43.587940456666658</v>
      </c>
      <c r="J105" s="2877" cm="1">
        <f t="array" aca="1" ref="J105" ca="1">INDIRECT("'※ 재무_세부시트'!"&amp;J$1&amp;$AD105, TRUE)</f>
        <v>42.935027156666649</v>
      </c>
      <c r="K105" s="2877" cm="1">
        <f t="array" aca="1" ref="K105" ca="1">INDIRECT("'※ 재무_세부시트'!"&amp;K$1&amp;$AD105, TRUE)</f>
        <v>44.005239683333357</v>
      </c>
      <c r="L105" s="2877" cm="1">
        <f t="array" aca="1" ref="L105" ca="1">INDIRECT("'※ 재무_세부시트'!"&amp;L$1&amp;$AD105, TRUE)</f>
        <v>43.650695603333361</v>
      </c>
      <c r="M105" s="2877" cm="1">
        <f t="array" aca="1" ref="M105" ca="1">INDIRECT("'※ 재무_세부시트'!"&amp;M$1&amp;$AD105, TRUE)</f>
        <v>48.368716080000048</v>
      </c>
      <c r="N105" s="2877" cm="1">
        <f t="array" aca="1" ref="N105" ca="1">INDIRECT("'※ 재무_세부시트'!"&amp;N$1&amp;$AD105, TRUE)</f>
        <v>42.370361273333337</v>
      </c>
      <c r="O105" s="2877" cm="1">
        <f t="array" aca="1" ref="O105" ca="1">INDIRECT("'※ 재무_세부시트'!"&amp;O$1&amp;$AD105, TRUE)</f>
        <v>42.671989583333342</v>
      </c>
      <c r="P105" s="2877" cm="1">
        <f t="array" aca="1" ref="P105" ca="1">INDIRECT("'※ 재무_세부시트'!"&amp;P$1&amp;$AD105, TRUE)</f>
        <v>59.435805403333362</v>
      </c>
      <c r="Q105" s="2877" cm="1">
        <f t="array" aca="1" ref="Q105" ca="1">INDIRECT("'※ 재무_세부시트'!"&amp;Q$1&amp;$AD105, TRUE)</f>
        <v>50.189926976666648</v>
      </c>
      <c r="R105" s="2877" cm="1">
        <f t="array" aca="1" ref="R105" ca="1">INDIRECT("'※ 재무_세부시트'!"&amp;R$1&amp;$AD105, TRUE)</f>
        <v>42.794669536666675</v>
      </c>
      <c r="S105" s="2877" cm="1">
        <f t="array" aca="1" ref="S105" ca="1">INDIRECT("'※ 재무_세부시트'!"&amp;S$1&amp;$AD105, TRUE)</f>
        <v>47.062152726666639</v>
      </c>
      <c r="T105" s="2791"/>
      <c r="U105" s="2791"/>
      <c r="V105" s="2862"/>
      <c r="W105" s="2888" cm="1">
        <f t="array" aca="1" ref="W105" ca="1">INDIRECT("'※ 재무_세부시트'!"&amp;W$1&amp;$AD105, TRUE)</f>
        <v>4.2674831899999646</v>
      </c>
      <c r="X105" s="2889" cm="1">
        <f t="array" aca="1" ref="X105" ca="1">INDIRECT("'※ 재무_세부시트'!"&amp;X$1&amp;$AD105, TRUE)</f>
        <v>-4.0788396666684434E-2</v>
      </c>
      <c r="Y105" s="2889" cm="1">
        <f t="array" aca="1" ref="Y105" ca="1">INDIRECT("'※ 재무_세부시트'!"&amp;Y$1&amp;$AD105, TRUE)</f>
        <v>0</v>
      </c>
      <c r="Z105" s="2890" cm="1">
        <f t="array" aca="1" ref="Z105" ca="1">INDIRECT("'※ 재무_세부시트'!"&amp;Z$1&amp;$AD105, TRUE)</f>
        <v>551.05939392000005</v>
      </c>
      <c r="AA105" s="2866"/>
      <c r="AB105" s="2794"/>
      <c r="AC105" s="2891" cm="1">
        <f t="array" aca="1" ref="AC105" ca="1">INDIRECT("'※ 재무_세부시트'!"&amp;AC$1&amp;$AD105, TRUE)</f>
        <v>37.380207126666733</v>
      </c>
      <c r="AD105" s="2441">
        <v>104</v>
      </c>
      <c r="AE105" s="2504">
        <v>40.90277433</v>
      </c>
      <c r="AF105" s="2504">
        <v>41.660144199999998</v>
      </c>
      <c r="AG105" s="2504">
        <v>40.146139106666702</v>
      </c>
      <c r="AH105" s="2504">
        <v>42.939247389999998</v>
      </c>
      <c r="AI105" s="2504">
        <v>44.197656279999997</v>
      </c>
      <c r="AJ105" s="2504">
        <v>42.379145549999997</v>
      </c>
      <c r="AK105" s="2504">
        <v>43.500848076666699</v>
      </c>
      <c r="AL105" s="2504">
        <v>42.659244976666699</v>
      </c>
      <c r="AM105" s="2504">
        <v>43.134280603333302</v>
      </c>
      <c r="AN105" s="2504">
        <v>41.635822656666697</v>
      </c>
      <c r="AO105" s="2504">
        <v>61.863621076666696</v>
      </c>
      <c r="AP105" s="2504">
        <v>44.432454989999997</v>
      </c>
      <c r="AQ105" s="2505">
        <f t="shared" si="49"/>
        <v>529.45137923666675</v>
      </c>
      <c r="AR105" s="2488"/>
      <c r="AS105" s="2488"/>
      <c r="AT105" s="2488"/>
      <c r="AU105" s="2488"/>
      <c r="AV105" s="2488"/>
      <c r="AW105" s="2488"/>
      <c r="AX105" s="2488"/>
      <c r="AY105" s="2488"/>
      <c r="AZ105" s="2488"/>
      <c r="BA105" s="2488"/>
      <c r="BB105" s="2488"/>
      <c r="BC105" s="2488"/>
      <c r="BD105" s="2488"/>
      <c r="BE105" s="2488"/>
      <c r="BG105" s="2892" cm="1">
        <f t="array" aca="1" ref="BG105" ca="1">INDIRECT("'※ 재무_세부시트'!"&amp;BG$1&amp;$AD105, TRUE)</f>
        <v>40.90277433</v>
      </c>
      <c r="BH105" s="2892" cm="1">
        <f t="array" aca="1" ref="BH105" ca="1">INDIRECT("'※ 재무_세부시트'!"&amp;BH$1&amp;$AD105, TRUE)</f>
        <v>529.45137923666675</v>
      </c>
      <c r="BI105" s="2892" cm="1">
        <f t="array" aca="1" ref="BI105" ca="1">INDIRECT("'※ 재무_세부시트'!"&amp;BI$1&amp;$AD105, TRUE)</f>
        <v>43.500848076666699</v>
      </c>
      <c r="BJ105" s="2892" cm="1">
        <f t="array" aca="1" ref="BJ105" ca="1">INDIRECT("'※ 재무_세부시트'!"&amp;BJ$1&amp;$AD105, TRUE)</f>
        <v>43.456573456666682</v>
      </c>
      <c r="BK105" s="2892" cm="1">
        <f t="array" aca="1" ref="BK105" ca="1">INDIRECT("'※ 재무_세부시트'!"&amp;BK$1&amp;$AD105, TRUE)</f>
        <v>43.134280603333302</v>
      </c>
      <c r="BL105" s="2490"/>
      <c r="BM105" s="2490"/>
    </row>
    <row r="106" spans="1:65" ht="17.25" customHeight="1" x14ac:dyDescent="0.55000000000000004">
      <c r="A106" s="2855"/>
      <c r="B106" s="2493"/>
      <c r="C106" s="2884"/>
      <c r="D106" s="2884" t="s">
        <v>31</v>
      </c>
      <c r="E106" s="2885"/>
      <c r="F106" s="2886" cm="1">
        <f t="array" aca="1" ref="F106" ca="1">INDIRECT("'※ 재무_세부시트'!"&amp;F$1&amp;$AD106, TRUE)</f>
        <v>30.739088719999998</v>
      </c>
      <c r="G106" s="2886" cm="1">
        <f t="array" aca="1" ref="G106" ca="1">INDIRECT("'※ 재무_세부시트'!"&amp;G$1&amp;$AD106, TRUE)</f>
        <v>30.356118619999997</v>
      </c>
      <c r="H106" s="2887" cm="1">
        <f t="array" aca="1" ref="H106" ca="1">INDIRECT("'※ 재무_세부시트'!"&amp;H$1&amp;$AD106, TRUE)</f>
        <v>2.6864808</v>
      </c>
      <c r="I106" s="2877" cm="1">
        <f t="array" aca="1" ref="I106" ca="1">INDIRECT("'※ 재무_세부시트'!"&amp;I$1&amp;$AD106, TRUE)</f>
        <v>2.6961176500000001</v>
      </c>
      <c r="J106" s="2877" cm="1">
        <f t="array" aca="1" ref="J106" ca="1">INDIRECT("'※ 재무_세부시트'!"&amp;J$1&amp;$AD106, TRUE)</f>
        <v>2.5900170899999999</v>
      </c>
      <c r="K106" s="2877" cm="1">
        <f t="array" aca="1" ref="K106" ca="1">INDIRECT("'※ 재무_세부시트'!"&amp;K$1&amp;$AD106, TRUE)</f>
        <v>2.13141092</v>
      </c>
      <c r="L106" s="2877" cm="1">
        <f t="array" aca="1" ref="L106" ca="1">INDIRECT("'※ 재무_세부시트'!"&amp;L$1&amp;$AD106, TRUE)</f>
        <v>1.9397916799999999</v>
      </c>
      <c r="M106" s="2877" cm="1">
        <f t="array" aca="1" ref="M106" ca="1">INDIRECT("'※ 재무_세부시트'!"&amp;M$1&amp;$AD106, TRUE)</f>
        <v>2.0043192599999999</v>
      </c>
      <c r="N106" s="2877" cm="1">
        <f t="array" aca="1" ref="N106" ca="1">INDIRECT("'※ 재무_세부시트'!"&amp;N$1&amp;$AD106, TRUE)</f>
        <v>2.2316486900000001</v>
      </c>
      <c r="O106" s="2877" cm="1">
        <f t="array" aca="1" ref="O106" ca="1">INDIRECT("'※ 재무_세부시트'!"&amp;O$1&amp;$AD106, TRUE)</f>
        <v>2.5466134199999999</v>
      </c>
      <c r="P106" s="2877" cm="1">
        <f t="array" aca="1" ref="P106" ca="1">INDIRECT("'※ 재무_세부시트'!"&amp;P$1&amp;$AD106, TRUE)</f>
        <v>2.8245133099999999</v>
      </c>
      <c r="Q106" s="2877" cm="1">
        <f t="array" aca="1" ref="Q106" ca="1">INDIRECT("'※ 재무_세부시트'!"&amp;Q$1&amp;$AD106, TRUE)</f>
        <v>2.2491661999999999</v>
      </c>
      <c r="R106" s="2877" cm="1">
        <f t="array" aca="1" ref="R106" ca="1">INDIRECT("'※ 재무_세부시트'!"&amp;R$1&amp;$AD106, TRUE)</f>
        <v>3.0637715700000001</v>
      </c>
      <c r="S106" s="2877" cm="1">
        <f t="array" aca="1" ref="S106" ca="1">INDIRECT("'※ 재무_세부시트'!"&amp;S$1&amp;$AD106, TRUE)</f>
        <v>2.97196229</v>
      </c>
      <c r="T106" s="2791"/>
      <c r="U106" s="2791"/>
      <c r="V106" s="2862"/>
      <c r="W106" s="2888" cm="1">
        <f t="array" aca="1" ref="W106" ca="1">INDIRECT("'※ 재무_세부시트'!"&amp;W$1&amp;$AD106, TRUE)</f>
        <v>-9.1809280000000104E-2</v>
      </c>
      <c r="X106" s="2889" cm="1">
        <f t="array" aca="1" ref="X106" ca="1">INDIRECT("'※ 재무_세부시트'!"&amp;X$1&amp;$AD106, TRUE)</f>
        <v>0.65155865000000013</v>
      </c>
      <c r="Y106" s="2889" cm="1">
        <f t="array" aca="1" ref="Y106" ca="1">INDIRECT("'※ 재무_세부시트'!"&amp;Y$1&amp;$AD106, TRUE)</f>
        <v>0</v>
      </c>
      <c r="Z106" s="2890" cm="1">
        <f t="array" aca="1" ref="Z106" ca="1">INDIRECT("'※ 재무_세부시트'!"&amp;Z$1&amp;$AD106, TRUE)</f>
        <v>29.93581288</v>
      </c>
      <c r="AA106" s="2866"/>
      <c r="AB106" s="2794"/>
      <c r="AC106" s="2891" cm="1">
        <f t="array" aca="1" ref="AC106" ca="1">INDIRECT("'※ 재무_세부시트'!"&amp;AC$1&amp;$AD106, TRUE)</f>
        <v>-0.42030573999999632</v>
      </c>
      <c r="AD106" s="2441">
        <v>105</v>
      </c>
      <c r="AE106" s="2504">
        <v>2.84023695</v>
      </c>
      <c r="AF106" s="2504">
        <v>2.92613302</v>
      </c>
      <c r="AG106" s="2504">
        <v>2.5941632700000001</v>
      </c>
      <c r="AH106" s="2504">
        <v>2.2921203700000001</v>
      </c>
      <c r="AI106" s="2504">
        <v>2.2610754599999998</v>
      </c>
      <c r="AJ106" s="2504">
        <v>2.3711812399999999</v>
      </c>
      <c r="AK106" s="2504">
        <v>2.66894878</v>
      </c>
      <c r="AL106" s="2504">
        <v>2.90023973</v>
      </c>
      <c r="AM106" s="2504">
        <v>2.7894874600000001</v>
      </c>
      <c r="AN106" s="2504">
        <v>2.4253176000000001</v>
      </c>
      <c r="AO106" s="2504">
        <v>2.1813859600000001</v>
      </c>
      <c r="AP106" s="2504">
        <v>2.48879888</v>
      </c>
      <c r="AQ106" s="2505">
        <f t="shared" si="49"/>
        <v>30.739088719999998</v>
      </c>
      <c r="AR106" s="2488"/>
      <c r="AS106" s="2488"/>
      <c r="AT106" s="2488"/>
      <c r="AU106" s="2488"/>
      <c r="AV106" s="2488"/>
      <c r="AW106" s="2488"/>
      <c r="AX106" s="2488"/>
      <c r="AY106" s="2488"/>
      <c r="AZ106" s="2488"/>
      <c r="BA106" s="2488"/>
      <c r="BB106" s="2488"/>
      <c r="BC106" s="2488"/>
      <c r="BD106" s="2488"/>
      <c r="BE106" s="2488"/>
      <c r="BG106" s="2892" cm="1">
        <f t="array" aca="1" ref="BG106" ca="1">INDIRECT("'※ 재무_세부시트'!"&amp;BG$1&amp;$AD106, TRUE)</f>
        <v>2.84023695</v>
      </c>
      <c r="BH106" s="2892" cm="1">
        <f t="array" aca="1" ref="BH106" ca="1">INDIRECT("'※ 재무_세부시트'!"&amp;BH$1&amp;$AD106, TRUE)</f>
        <v>30.739088719999998</v>
      </c>
      <c r="BI106" s="2892" cm="1">
        <f t="array" aca="1" ref="BI106" ca="1">INDIRECT("'※ 재무_세부시트'!"&amp;BI$1&amp;$AD106, TRUE)</f>
        <v>2.66894878</v>
      </c>
      <c r="BJ106" s="2892" cm="1">
        <f t="array" aca="1" ref="BJ106" ca="1">INDIRECT("'※ 재무_세부시트'!"&amp;BJ$1&amp;$AD106, TRUE)</f>
        <v>2.3186557200000002</v>
      </c>
      <c r="BK106" s="2892" cm="1">
        <f t="array" aca="1" ref="BK106" ca="1">INDIRECT("'※ 재무_세부시트'!"&amp;BK$1&amp;$AD106, TRUE)</f>
        <v>2.7894874600000001</v>
      </c>
      <c r="BL106" s="2490"/>
      <c r="BM106" s="2490"/>
    </row>
    <row r="107" spans="1:65" ht="17.25" customHeight="1" x14ac:dyDescent="0.55000000000000004">
      <c r="A107" s="2855"/>
      <c r="B107" s="2493"/>
      <c r="C107" s="2884"/>
      <c r="D107" s="2884" t="s">
        <v>32</v>
      </c>
      <c r="E107" s="2885"/>
      <c r="F107" s="2886" cm="1">
        <f t="array" aca="1" ref="F107" ca="1">INDIRECT("'※ 재무_세부시트'!"&amp;F$1&amp;$AD107, TRUE)</f>
        <v>34.242567519999994</v>
      </c>
      <c r="G107" s="2886" cm="1">
        <f t="array" aca="1" ref="G107" ca="1">INDIRECT("'※ 재무_세부시트'!"&amp;G$1&amp;$AD107, TRUE)</f>
        <v>31.56401026</v>
      </c>
      <c r="H107" s="2887" cm="1">
        <f t="array" aca="1" ref="H107" ca="1">INDIRECT("'※ 재무_세부시트'!"&amp;H$1&amp;$AD107, TRUE)</f>
        <v>2.11753846</v>
      </c>
      <c r="I107" s="2877" cm="1">
        <f t="array" aca="1" ref="I107" ca="1">INDIRECT("'※ 재무_세부시트'!"&amp;I$1&amp;$AD107, TRUE)</f>
        <v>2.2002702699999999</v>
      </c>
      <c r="J107" s="2877" cm="1">
        <f t="array" aca="1" ref="J107" ca="1">INDIRECT("'※ 재무_세부시트'!"&amp;J$1&amp;$AD107, TRUE)</f>
        <v>2.7338018599999998</v>
      </c>
      <c r="K107" s="2877" cm="1">
        <f t="array" aca="1" ref="K107" ca="1">INDIRECT("'※ 재무_세부시트'!"&amp;K$1&amp;$AD107, TRUE)</f>
        <v>2.8130379300000001</v>
      </c>
      <c r="L107" s="2877" cm="1">
        <f t="array" aca="1" ref="L107" ca="1">INDIRECT("'※ 재무_세부시트'!"&amp;L$1&amp;$AD107, TRUE)</f>
        <v>2.3462351300000002</v>
      </c>
      <c r="M107" s="2877" cm="1">
        <f t="array" aca="1" ref="M107" ca="1">INDIRECT("'※ 재무_세부시트'!"&amp;M$1&amp;$AD107, TRUE)</f>
        <v>3.1699714399999999</v>
      </c>
      <c r="N107" s="2877" cm="1">
        <f t="array" aca="1" ref="N107" ca="1">INDIRECT("'※ 재무_세부시트'!"&amp;N$1&amp;$AD107, TRUE)</f>
        <v>2.6199753600000002</v>
      </c>
      <c r="O107" s="2877" cm="1">
        <f t="array" aca="1" ref="O107" ca="1">INDIRECT("'※ 재무_세부시트'!"&amp;O$1&amp;$AD107, TRUE)</f>
        <v>2.46264504</v>
      </c>
      <c r="P107" s="2877" cm="1">
        <f t="array" aca="1" ref="P107" ca="1">INDIRECT("'※ 재무_세부시트'!"&amp;P$1&amp;$AD107, TRUE)</f>
        <v>3.8521421199999999</v>
      </c>
      <c r="Q107" s="2877" cm="1">
        <f t="array" aca="1" ref="Q107" ca="1">INDIRECT("'※ 재무_세부시트'!"&amp;Q$1&amp;$AD107, TRUE)</f>
        <v>2.9170932299999999</v>
      </c>
      <c r="R107" s="2877" cm="1">
        <f t="array" aca="1" ref="R107" ca="1">INDIRECT("'※ 재무_세부시트'!"&amp;R$1&amp;$AD107, TRUE)</f>
        <v>3.0184463699999999</v>
      </c>
      <c r="S107" s="2877" cm="1">
        <f t="array" aca="1" ref="S107" ca="1">INDIRECT("'※ 재무_세부시트'!"&amp;S$1&amp;$AD107, TRUE)</f>
        <v>4.2301555899999999</v>
      </c>
      <c r="T107" s="2791"/>
      <c r="U107" s="2791"/>
      <c r="V107" s="2862"/>
      <c r="W107" s="2888" cm="1">
        <f t="array" aca="1" ref="W107" ca="1">INDIRECT("'※ 재무_세부시트'!"&amp;W$1&amp;$AD107, TRUE)</f>
        <v>1.2117092199999999</v>
      </c>
      <c r="X107" s="2889" cm="1">
        <f t="array" aca="1" ref="X107" ca="1">INDIRECT("'※ 재무_세부시트'!"&amp;X$1&amp;$AD107, TRUE)</f>
        <v>1.8690365999999998</v>
      </c>
      <c r="Y107" s="2889" cm="1">
        <f t="array" aca="1" ref="Y107" ca="1">INDIRECT("'※ 재무_세부시트'!"&amp;Y$1&amp;$AD107, TRUE)</f>
        <v>0</v>
      </c>
      <c r="Z107" s="2890" cm="1">
        <f t="array" aca="1" ref="Z107" ca="1">INDIRECT("'※ 재무_세부시트'!"&amp;Z$1&amp;$AD107, TRUE)</f>
        <v>34.481312799999998</v>
      </c>
      <c r="AA107" s="2866"/>
      <c r="AB107" s="2794"/>
      <c r="AC107" s="2891" cm="1">
        <f t="array" aca="1" ref="AC107" ca="1">INDIRECT("'※ 재무_세부시트'!"&amp;AC$1&amp;$AD107, TRUE)</f>
        <v>2.9173025399999979</v>
      </c>
      <c r="AD107" s="2441">
        <v>106</v>
      </c>
      <c r="AE107" s="2504">
        <v>3.1880798399999999</v>
      </c>
      <c r="AF107" s="2504">
        <v>3.2910233500000001</v>
      </c>
      <c r="AG107" s="2504">
        <v>2.9027448599999999</v>
      </c>
      <c r="AH107" s="2504">
        <v>2.8615935600000002</v>
      </c>
      <c r="AI107" s="2504">
        <v>2.5580032099999999</v>
      </c>
      <c r="AJ107" s="2504">
        <v>2.5192790500000002</v>
      </c>
      <c r="AK107" s="2504">
        <v>2.6151879</v>
      </c>
      <c r="AL107" s="2504">
        <v>3.1831596700000002</v>
      </c>
      <c r="AM107" s="2504">
        <v>2.24441186</v>
      </c>
      <c r="AN107" s="2504">
        <v>3.1891188399999999</v>
      </c>
      <c r="AO107" s="2504">
        <v>2.8159511099999999</v>
      </c>
      <c r="AP107" s="2504">
        <v>2.87401427</v>
      </c>
      <c r="AQ107" s="2505">
        <f t="shared" si="49"/>
        <v>34.242567519999994</v>
      </c>
      <c r="AR107" s="2488"/>
      <c r="AS107" s="2488"/>
      <c r="AT107" s="2488"/>
      <c r="AU107" s="2488"/>
      <c r="AV107" s="2488"/>
      <c r="AW107" s="2488"/>
      <c r="AX107" s="2488"/>
      <c r="AY107" s="2488"/>
      <c r="AZ107" s="2488"/>
      <c r="BA107" s="2488"/>
      <c r="BB107" s="2488"/>
      <c r="BC107" s="2488"/>
      <c r="BD107" s="2488"/>
      <c r="BE107" s="2488"/>
      <c r="BG107" s="2892" cm="1">
        <f t="array" aca="1" ref="BG107" ca="1">INDIRECT("'※ 재무_세부시트'!"&amp;BG$1&amp;$AD107, TRUE)</f>
        <v>3.1880798399999999</v>
      </c>
      <c r="BH107" s="2892" cm="1">
        <f t="array" aca="1" ref="BH107" ca="1">INDIRECT("'※ 재무_세부시트'!"&amp;BH$1&amp;$AD107, TRUE)</f>
        <v>34.242567519999994</v>
      </c>
      <c r="BI107" s="2892" cm="1">
        <f t="array" aca="1" ref="BI107" ca="1">INDIRECT("'※ 재무_세부시트'!"&amp;BI$1&amp;$AD107, TRUE)</f>
        <v>2.6151879</v>
      </c>
      <c r="BJ107" s="2892" cm="1">
        <f t="array" aca="1" ref="BJ107" ca="1">INDIRECT("'※ 재무_세부시트'!"&amp;BJ$1&amp;$AD107, TRUE)</f>
        <v>2.3270816000000001</v>
      </c>
      <c r="BK107" s="2892" cm="1">
        <f t="array" aca="1" ref="BK107" ca="1">INDIRECT("'※ 재무_세부시트'!"&amp;BK$1&amp;$AD107, TRUE)</f>
        <v>2.24441186</v>
      </c>
      <c r="BL107" s="2490"/>
      <c r="BM107" s="2490"/>
    </row>
    <row r="108" spans="1:65" ht="17.25" hidden="1" customHeight="1" outlineLevel="1" x14ac:dyDescent="0.55000000000000004">
      <c r="A108" s="2855"/>
      <c r="B108" s="2493"/>
      <c r="C108" s="2893"/>
      <c r="D108" s="2893" t="s">
        <v>632</v>
      </c>
      <c r="E108" s="2894" t="s">
        <v>633</v>
      </c>
      <c r="F108" s="2886" cm="1">
        <f t="array" aca="1" ref="F108" ca="1">INDIRECT("'※ 재무_세부시트'!"&amp;F$1&amp;$AD108, TRUE)</f>
        <v>-25.680026976351094</v>
      </c>
      <c r="G108" s="2886" cm="1">
        <f t="array" aca="1" ref="G108" ca="1">INDIRECT("'※ 재무_세부시트'!"&amp;G$1&amp;$AD108, TRUE)</f>
        <v>-68.165734277210532</v>
      </c>
      <c r="H108" s="2895" cm="1">
        <f t="array" aca="1" ref="H108" ca="1">INDIRECT("'※ 재무_세부시트'!"&amp;H$1&amp;$AD108, TRUE)</f>
        <v>1.2642275304404578</v>
      </c>
      <c r="I108" s="2896" cm="1">
        <f t="array" aca="1" ref="I108" ca="1">INDIRECT("'※ 재무_세부시트'!"&amp;I$1&amp;$AD108, TRUE)</f>
        <v>-9.5109661663661456</v>
      </c>
      <c r="J108" s="2896" cm="1">
        <f t="array" aca="1" ref="J108" ca="1">INDIRECT("'※ 재무_세부시트'!"&amp;J$1&amp;$AD108, TRUE)</f>
        <v>-3.3447866567245299</v>
      </c>
      <c r="K108" s="2877" cm="1">
        <f t="array" aca="1" ref="K108" ca="1">INDIRECT("'※ 재무_세부시트'!"&amp;K$1&amp;$AD108, TRUE)</f>
        <v>-5.3893908860725617</v>
      </c>
      <c r="L108" s="2877" cm="1">
        <f t="array" aca="1" ref="L108" ca="1">INDIRECT("'※ 재무_세부시트'!"&amp;L$1&amp;$AD108, TRUE)</f>
        <v>-14.529134369850816</v>
      </c>
      <c r="M108" s="2877" cm="1">
        <f t="array" aca="1" ref="M108" ca="1">INDIRECT("'※ 재무_세부시트'!"&amp;M$1&amp;$AD108, TRUE)</f>
        <v>-20.075637392727316</v>
      </c>
      <c r="N108" s="2877" cm="1">
        <f t="array" aca="1" ref="N108" ca="1">INDIRECT("'※ 재무_세부시트'!"&amp;N$1&amp;$AD108, TRUE)</f>
        <v>-32.131048437158071</v>
      </c>
      <c r="O108" s="2877" cm="1">
        <f t="array" aca="1" ref="O108" ca="1">INDIRECT("'※ 재무_세부시트'!"&amp;O$1&amp;$AD108, TRUE)</f>
        <v>-7.7871336468923857</v>
      </c>
      <c r="P108" s="2877" cm="1">
        <f t="array" aca="1" ref="P108" ca="1">INDIRECT("'※ 재무_세부시트'!"&amp;P$1&amp;$AD108, TRUE)</f>
        <v>-24.836027520116794</v>
      </c>
      <c r="Q108" s="2877" cm="1">
        <f t="array" aca="1" ref="Q108" ca="1">INDIRECT("'※ 재무_세부시트'!"&amp;Q$1&amp;$AD108, TRUE)</f>
        <v>-1.0162059458486254</v>
      </c>
      <c r="R108" s="2877" cm="1">
        <f t="array" aca="1" ref="R108" ca="1">INDIRECT("'※ 재무_세부시트'!"&amp;R$1&amp;$AD108, TRUE)</f>
        <v>-3.7680338059934613</v>
      </c>
      <c r="S108" s="2877" cm="1">
        <f t="array" aca="1" ref="S108" ca="1">INDIRECT("'※ 재무_세부시트'!"&amp;S$1&amp;$AD108, TRUE)</f>
        <v>0.7194276369182262</v>
      </c>
      <c r="T108" s="2791"/>
      <c r="U108" s="2791"/>
      <c r="V108" s="2862"/>
      <c r="W108" s="2897" cm="1">
        <f t="array" aca="1" ref="W108" ca="1">INDIRECT("'※ 재무_세부시트'!"&amp;W$1&amp;$AD108, TRUE)</f>
        <v>4.4874614429116875</v>
      </c>
      <c r="X108" s="2898" cm="1">
        <f t="array" aca="1" ref="X108" ca="1">INDIRECT("'※ 재무_세부시트'!"&amp;X$1&amp;$AD108, TRUE)</f>
        <v>1.8766410889315921</v>
      </c>
      <c r="Y108" s="2898" cm="1">
        <f t="array" aca="1" ref="Y108" ca="1">INDIRECT("'※ 재무_세부시트'!"&amp;Y$1&amp;$AD108, TRUE)</f>
        <v>0</v>
      </c>
      <c r="Z108" s="2899" cm="1">
        <f t="array" aca="1" ref="Z108" ca="1">INDIRECT("'※ 재무_세부시트'!"&amp;Z$1&amp;$AD108, TRUE)</f>
        <v>-120.40470966039203</v>
      </c>
      <c r="AA108" s="2866"/>
      <c r="AB108" s="2794"/>
      <c r="AC108" s="2900" cm="1">
        <f t="array" aca="1" ref="AC108" ca="1">INDIRECT("'※ 재무_세부시트'!"&amp;AC$1&amp;$AD108, TRUE)</f>
        <v>-52.238975383181497</v>
      </c>
      <c r="AD108" s="2441">
        <v>107</v>
      </c>
      <c r="AE108" s="2901">
        <v>-1.5638089447286418</v>
      </c>
      <c r="AF108" s="2901">
        <v>0.76909188881570856</v>
      </c>
      <c r="AG108" s="2901">
        <v>1.6077615726016603</v>
      </c>
      <c r="AH108" s="2901">
        <v>1.4759869824976732</v>
      </c>
      <c r="AI108" s="2901">
        <v>1.7648701622416141</v>
      </c>
      <c r="AJ108" s="2901">
        <v>2.3986718523951254</v>
      </c>
      <c r="AK108" s="2901">
        <v>0.51856518733328727</v>
      </c>
      <c r="AL108" s="2901">
        <v>-2.4715803607537552</v>
      </c>
      <c r="AM108" s="2901">
        <v>-3.7415228582671531</v>
      </c>
      <c r="AN108" s="2901">
        <v>-0.76431867891496807</v>
      </c>
      <c r="AO108" s="2901">
        <v>-22.043912201828334</v>
      </c>
      <c r="AP108" s="2901">
        <v>-3.6298315777433103</v>
      </c>
      <c r="AQ108" s="2902">
        <f t="shared" si="49"/>
        <v>-25.680026976351094</v>
      </c>
      <c r="AR108" s="2488"/>
      <c r="AS108" s="2488"/>
      <c r="AT108" s="2488"/>
      <c r="AU108" s="2488"/>
      <c r="AV108" s="2488"/>
      <c r="AW108" s="2488"/>
      <c r="AX108" s="2488"/>
      <c r="AY108" s="2488"/>
      <c r="AZ108" s="2488"/>
      <c r="BA108" s="2488"/>
      <c r="BB108" s="2488"/>
      <c r="BC108" s="2488"/>
      <c r="BD108" s="2488"/>
      <c r="BE108" s="2488"/>
      <c r="BG108" s="2903" cm="1">
        <f t="array" aca="1" ref="BG108" ca="1">INDIRECT("'※ 재무_세부시트'!"&amp;BG$1&amp;$AD108, TRUE)</f>
        <v>-1.5638089447286418</v>
      </c>
      <c r="BH108" s="2903" cm="1">
        <f t="array" aca="1" ref="BH108" ca="1">INDIRECT("'※ 재무_세부시트'!"&amp;BH$1&amp;$AD108, TRUE)</f>
        <v>-25.680026976351094</v>
      </c>
      <c r="BI108" s="2903" cm="1">
        <f t="array" aca="1" ref="BI108" ca="1">INDIRECT("'※ 재무_세부시트'!"&amp;BI$1&amp;$AD108, TRUE)</f>
        <v>0.51856518733328727</v>
      </c>
      <c r="BJ108" s="2903" cm="1">
        <f t="array" aca="1" ref="BJ108" ca="1">INDIRECT("'※ 재무_세부시트'!"&amp;BJ$1&amp;$AD108, TRUE)</f>
        <v>-5.0789363544603887</v>
      </c>
      <c r="BK108" s="2903" cm="1">
        <f t="array" aca="1" ref="BK108" ca="1">INDIRECT("'※ 재무_세부시트'!"&amp;BK$1&amp;$AD108, TRUE)</f>
        <v>-3.7415228582671531</v>
      </c>
      <c r="BL108" s="2490"/>
      <c r="BM108" s="2490"/>
    </row>
    <row r="109" spans="1:65" ht="17.25" customHeight="1" collapsed="1" x14ac:dyDescent="0.55000000000000004">
      <c r="A109" s="2855"/>
      <c r="B109" s="2493"/>
      <c r="C109" s="2904" t="s">
        <v>17</v>
      </c>
      <c r="D109" s="2905"/>
      <c r="E109" s="2906"/>
      <c r="F109" s="2907" cm="1">
        <f t="array" aca="1" ref="F109" ca="1">INDIRECT("'※ 재무_세부시트'!"&amp;F$1&amp;$AD109, TRUE)</f>
        <v>64.544710421651871</v>
      </c>
      <c r="G109" s="2907" cm="1">
        <f t="array" aca="1" ref="G109" ca="1">INDIRECT("'※ 재무_세부시트'!"&amp;G$1&amp;$AD109, TRUE)</f>
        <v>23.882875223475665</v>
      </c>
      <c r="H109" s="2908" cm="1">
        <f t="array" aca="1" ref="H109" ca="1">INDIRECT("'※ 재무_세부시트'!"&amp;H$1&amp;$AD109, TRUE)</f>
        <v>-18.295066779738942</v>
      </c>
      <c r="I109" s="2909" cm="1">
        <f t="array" aca="1" ref="I109" ca="1">INDIRECT("'※ 재무_세부시트'!"&amp;I$1&amp;$AD109, TRUE)</f>
        <v>34.361785092111376</v>
      </c>
      <c r="J109" s="2909" cm="1">
        <f t="array" aca="1" ref="J109" ca="1">INDIRECT("'※ 재무_세부시트'!"&amp;J$1&amp;$AD109, TRUE)</f>
        <v>11.391866476265804</v>
      </c>
      <c r="K109" s="2909" cm="1">
        <f t="array" aca="1" ref="K109" ca="1">INDIRECT("'※ 재무_세부시트'!"&amp;K$1&amp;$AD109, TRUE)</f>
        <v>16.529726748202631</v>
      </c>
      <c r="L109" s="2909" cm="1">
        <f t="array" aca="1" ref="L109" ca="1">INDIRECT("'※ 재무_세부시트'!"&amp;L$1&amp;$AD109, TRUE)</f>
        <v>36.827465569778163</v>
      </c>
      <c r="M109" s="2909" cm="1">
        <f t="array" aca="1" ref="M109" ca="1">INDIRECT("'※ 재무_세부시트'!"&amp;M$1&amp;$AD109, TRUE)</f>
        <v>-2.2899241677573894</v>
      </c>
      <c r="N109" s="2909" cm="1">
        <f t="array" aca="1" ref="N109" ca="1">INDIRECT("'※ 재무_세부시트'!"&amp;N$1&amp;$AD109, TRUE)</f>
        <v>29.869226999718901</v>
      </c>
      <c r="O109" s="2909" cm="1">
        <f t="array" aca="1" ref="O109" ca="1">INDIRECT("'※ 재무_세부시트'!"&amp;O$1&amp;$AD109, TRUE)</f>
        <v>3.1552801625569344</v>
      </c>
      <c r="P109" s="2909" cm="1">
        <f t="array" aca="1" ref="P109" ca="1">INDIRECT("'※ 재무_세부시트'!"&amp;P$1&amp;$AD109, TRUE)</f>
        <v>-1.3464367102259809</v>
      </c>
      <c r="Q109" s="2909" cm="1">
        <f t="array" aca="1" ref="Q109" ca="1">INDIRECT("'※ 재무_세부시트'!"&amp;Q$1&amp;$AD109, TRUE)</f>
        <v>-27.243653360345576</v>
      </c>
      <c r="R109" s="2909" cm="1">
        <f t="array" aca="1" ref="R109" ca="1">INDIRECT("'※ 재무_세부시트'!"&amp;R$1&amp;$AD109, TRUE)</f>
        <v>-15.846262022655498</v>
      </c>
      <c r="S109" s="2909" cm="1">
        <f t="array" aca="1" ref="S109" ca="1">INDIRECT("'※ 재무_세부시트'!"&amp;S$1&amp;$AD109, TRUE)</f>
        <v>-17.587660156621677</v>
      </c>
      <c r="T109" s="2791"/>
      <c r="U109" s="2791"/>
      <c r="V109" s="2862"/>
      <c r="W109" s="2910" cm="1">
        <f t="array" aca="1" ref="W109" ca="1">INDIRECT("'※ 재무_세부시트'!"&amp;W$1&amp;$AD109, TRUE)</f>
        <v>-1.7413981339661788</v>
      </c>
      <c r="X109" s="2911" cm="1">
        <f t="array" aca="1" ref="X109" ca="1">INDIRECT("'※ 재무_세부시트'!"&amp;X$1&amp;$AD109, TRUE)</f>
        <v>-9.5527196846148019</v>
      </c>
      <c r="Y109" s="2911" cm="1">
        <f t="array" aca="1" ref="Y109" ca="1">INDIRECT("'※ 재무_세부시트'!"&amp;Y$1&amp;$AD109, TRUE)</f>
        <v>0</v>
      </c>
      <c r="Z109" s="2912" cm="1">
        <f t="array" aca="1" ref="Z109" ca="1">INDIRECT("'※ 재무_세부시트'!"&amp;Z$1&amp;$AD109, TRUE)</f>
        <v>49.526347851288747</v>
      </c>
      <c r="AA109" s="2866"/>
      <c r="AB109" s="2794"/>
      <c r="AC109" s="2913" cm="1">
        <f t="array" aca="1" ref="AC109" ca="1">INDIRECT("'※ 재무_세부시트'!"&amp;AC$1&amp;$AD109, TRUE)</f>
        <v>25.643472627813082</v>
      </c>
      <c r="AD109" s="2441">
        <v>108</v>
      </c>
      <c r="AE109" s="2505">
        <f t="shared" ref="AE109:AP109" si="54">AE99+AE110-AE112-AE111</f>
        <v>-2.4865971917097873</v>
      </c>
      <c r="AF109" s="2505">
        <f t="shared" si="54"/>
        <v>16.863873545639645</v>
      </c>
      <c r="AG109" s="2505">
        <f t="shared" si="54"/>
        <v>8.7412195895893756</v>
      </c>
      <c r="AH109" s="2505">
        <f t="shared" si="54"/>
        <v>3.6377682302271532</v>
      </c>
      <c r="AI109" s="2505">
        <f t="shared" si="54"/>
        <v>15.464196511231293</v>
      </c>
      <c r="AJ109" s="2505">
        <f t="shared" si="54"/>
        <v>13.677927319858384</v>
      </c>
      <c r="AK109" s="2505">
        <f t="shared" si="54"/>
        <v>-4.1613884664527188</v>
      </c>
      <c r="AL109" s="2505">
        <f t="shared" si="54"/>
        <v>46.003314943790471</v>
      </c>
      <c r="AM109" s="2505">
        <f t="shared" si="54"/>
        <v>-14.532940217525116</v>
      </c>
      <c r="AN109" s="2505">
        <f t="shared" si="54"/>
        <v>19.530456867603625</v>
      </c>
      <c r="AO109" s="2505">
        <f t="shared" si="54"/>
        <v>-31.362217322552333</v>
      </c>
      <c r="AP109" s="2505">
        <f t="shared" si="54"/>
        <v>-6.8309033880481174</v>
      </c>
      <c r="AQ109" s="2505">
        <f t="shared" si="49"/>
        <v>64.544710421651871</v>
      </c>
      <c r="AR109" s="2488"/>
      <c r="AS109" s="2488"/>
      <c r="AT109" s="2488"/>
      <c r="AU109" s="2488"/>
      <c r="AV109" s="2488"/>
      <c r="AW109" s="2488"/>
      <c r="AX109" s="2488"/>
      <c r="AY109" s="2488"/>
      <c r="AZ109" s="2488"/>
      <c r="BA109" s="2488"/>
      <c r="BB109" s="2488"/>
      <c r="BC109" s="2488"/>
      <c r="BD109" s="2488"/>
      <c r="BE109" s="2488"/>
      <c r="BG109" s="2914" cm="1">
        <f t="array" aca="1" ref="BG109" ca="1">INDIRECT("'※ 재무_세부시트'!"&amp;BG$1&amp;$AD109, TRUE)</f>
        <v>-2.4865971917097873</v>
      </c>
      <c r="BH109" s="2914" cm="1">
        <f t="array" aca="1" ref="BH109" ca="1">INDIRECT("'※ 재무_세부시트'!"&amp;BH$1&amp;$AD109, TRUE)</f>
        <v>64.544710421651871</v>
      </c>
      <c r="BI109" s="2914" cm="1">
        <f t="array" aca="1" ref="BI109" ca="1">INDIRECT("'※ 재무_세부시트'!"&amp;BI$1&amp;$AD109, TRUE)</f>
        <v>-4.1613884664527188</v>
      </c>
      <c r="BJ109" s="2914" cm="1">
        <f t="array" aca="1" ref="BJ109" ca="1">INDIRECT("'※ 재무_세부시트'!"&amp;BJ$1&amp;$AD109, TRUE)</f>
        <v>-5.3074165408016754</v>
      </c>
      <c r="BK109" s="2914" cm="1">
        <f t="array" aca="1" ref="BK109" ca="1">INDIRECT("'※ 재무_세부시트'!"&amp;BK$1&amp;$AD109, TRUE)</f>
        <v>-14.532940217525116</v>
      </c>
      <c r="BL109" s="2490"/>
      <c r="BM109" s="2490"/>
    </row>
    <row r="110" spans="1:65" ht="17.25" customHeight="1" x14ac:dyDescent="0.55000000000000004">
      <c r="A110" s="2855"/>
      <c r="B110" s="2493"/>
      <c r="C110" s="2493"/>
      <c r="D110" s="2857" t="s">
        <v>634</v>
      </c>
      <c r="E110" s="2915" t="s">
        <v>1129</v>
      </c>
      <c r="F110" s="2859" cm="1">
        <f t="array" aca="1" ref="F110" ca="1">INDIRECT("'※ 재무_세부시트'!"&amp;F$1&amp;$AD110, TRUE)</f>
        <v>311.06231604253765</v>
      </c>
      <c r="G110" s="2859" cm="1">
        <f t="array" aca="1" ref="G110" ca="1">INDIRECT("'※ 재무_세부시트'!"&amp;G$1&amp;$AD110, TRUE)</f>
        <v>322.02977518822013</v>
      </c>
      <c r="H110" s="2860" cm="1">
        <f t="array" aca="1" ref="H110" ca="1">INDIRECT("'※ 재무_세부시트'!"&amp;H$1&amp;$AD110, TRUE)</f>
        <v>23.890353636317499</v>
      </c>
      <c r="I110" s="2861" cm="1">
        <f t="array" aca="1" ref="I110" ca="1">INDIRECT("'※ 재무_세부시트'!"&amp;I$1&amp;$AD110, TRUE)</f>
        <v>24.701307266805475</v>
      </c>
      <c r="J110" s="2861" cm="1">
        <f t="array" aca="1" ref="J110" ca="1">INDIRECT("'※ 재무_세부시트'!"&amp;J$1&amp;$AD110, TRUE)</f>
        <v>25.050896464807803</v>
      </c>
      <c r="K110" s="2861" cm="1">
        <f t="array" aca="1" ref="K110" ca="1">INDIRECT("'※ 재무_세부시트'!"&amp;K$1&amp;$AD110, TRUE)</f>
        <v>23.809409084525072</v>
      </c>
      <c r="L110" s="2861" cm="1">
        <f t="array" aca="1" ref="L110" ca="1">INDIRECT("'※ 재무_세부시트'!"&amp;L$1&amp;$AD110, TRUE)</f>
        <v>23.575919609002188</v>
      </c>
      <c r="M110" s="2861" cm="1">
        <f t="array" aca="1" ref="M110" ca="1">INDIRECT("'※ 재무_세부시트'!"&amp;M$1&amp;$AD110, TRUE)</f>
        <v>24.228225378433894</v>
      </c>
      <c r="N110" s="2861" cm="1">
        <f t="array" aca="1" ref="N110" ca="1">INDIRECT("'※ 재무_세부시트'!"&amp;N$1&amp;$AD110, TRUE)</f>
        <v>25.571296610805973</v>
      </c>
      <c r="O110" s="2861" cm="1">
        <f t="array" aca="1" ref="O110" ca="1">INDIRECT("'※ 재무_세부시트'!"&amp;O$1&amp;$AD110, TRUE)</f>
        <v>23.898729768018427</v>
      </c>
      <c r="P110" s="2861" cm="1">
        <f t="array" aca="1" ref="P110" ca="1">INDIRECT("'※ 재무_세부시트'!"&amp;P$1&amp;$AD110, TRUE)</f>
        <v>24.059738179432546</v>
      </c>
      <c r="Q110" s="2861" cm="1">
        <f t="array" aca="1" ref="Q110" ca="1">INDIRECT("'※ 재무_세부시트'!"&amp;Q$1&amp;$AD110, TRUE)</f>
        <v>23.890145548218481</v>
      </c>
      <c r="R110" s="2861" cm="1">
        <f t="array" aca="1" ref="R110" ca="1">INDIRECT("'※ 재무_세부시트'!"&amp;R$1&amp;$AD110, TRUE)</f>
        <v>23.781974852221996</v>
      </c>
      <c r="S110" s="2861" cm="1">
        <f t="array" aca="1" ref="S110" ca="1">INDIRECT("'※ 재무_세부시트'!"&amp;S$1&amp;$AD110, TRUE)</f>
        <v>23.735033271558866</v>
      </c>
      <c r="T110" s="2791"/>
      <c r="U110" s="2791"/>
      <c r="V110" s="2862"/>
      <c r="W110" s="2863" cm="1">
        <f t="array" aca="1" ref="W110" ca="1">INDIRECT("'※ 재무_세부시트'!"&amp;W$1&amp;$AD110, TRUE)</f>
        <v>-4.6941580663130367E-2</v>
      </c>
      <c r="X110" s="2864" cm="1">
        <f t="array" aca="1" ref="X110" ca="1">INDIRECT("'※ 재무_세부시트'!"&amp;X$1&amp;$AD110, TRUE)</f>
        <v>-2.2596945187417958</v>
      </c>
      <c r="Y110" s="2864" cm="1">
        <f t="array" aca="1" ref="Y110" ca="1">INDIRECT("'※ 재무_세부시트'!"&amp;Y$1&amp;$AD110, TRUE)</f>
        <v>0</v>
      </c>
      <c r="Z110" s="2865" cm="1">
        <f t="array" aca="1" ref="Z110" ca="1">INDIRECT("'※ 재무_세부시트'!"&amp;Z$1&amp;$AD110, TRUE)</f>
        <v>290.19302967014818</v>
      </c>
      <c r="AA110" s="2866"/>
      <c r="AB110" s="2794"/>
      <c r="AC110" s="2867" cm="1">
        <f t="array" aca="1" ref="AC110" ca="1">INDIRECT("'※ 재무_세부시트'!"&amp;AC$1&amp;$AD110, TRUE)</f>
        <v>-31.83674551807195</v>
      </c>
      <c r="AD110" s="2441">
        <v>109</v>
      </c>
      <c r="AE110" s="2504">
        <v>23.465023738822197</v>
      </c>
      <c r="AF110" s="2504">
        <v>24.833183093472702</v>
      </c>
      <c r="AG110" s="2504">
        <v>25.754234423613301</v>
      </c>
      <c r="AH110" s="2504">
        <v>25.226628505092101</v>
      </c>
      <c r="AI110" s="2504">
        <v>25.718614093600003</v>
      </c>
      <c r="AJ110" s="2504">
        <v>24.9535889653854</v>
      </c>
      <c r="AK110" s="2504">
        <v>26.1647394225113</v>
      </c>
      <c r="AL110" s="2504">
        <v>26.688881658241424</v>
      </c>
      <c r="AM110" s="2504">
        <v>26.486991977000798</v>
      </c>
      <c r="AN110" s="2504">
        <v>27.279525743142301</v>
      </c>
      <c r="AO110" s="2504">
        <v>27.114231849413301</v>
      </c>
      <c r="AP110" s="2504">
        <v>27.3766725722428</v>
      </c>
      <c r="AQ110" s="2505">
        <f t="shared" si="49"/>
        <v>311.06231604253765</v>
      </c>
      <c r="AR110" s="2488"/>
      <c r="AS110" s="2488"/>
      <c r="AT110" s="2488"/>
      <c r="AU110" s="2488"/>
      <c r="AV110" s="2488"/>
      <c r="AW110" s="2488"/>
      <c r="AX110" s="2488"/>
      <c r="AY110" s="2488"/>
      <c r="AZ110" s="2488"/>
      <c r="BA110" s="2488"/>
      <c r="BB110" s="2488"/>
      <c r="BC110" s="2488"/>
      <c r="BD110" s="2488"/>
      <c r="BE110" s="2488"/>
      <c r="BG110" s="2868" cm="1">
        <f t="array" aca="1" ref="BG110" ca="1">INDIRECT("'※ 재무_세부시트'!"&amp;BG$1&amp;$AD110, TRUE)</f>
        <v>23.465023738822197</v>
      </c>
      <c r="BH110" s="2868" cm="1">
        <f t="array" aca="1" ref="BH110" ca="1">INDIRECT("'※ 재무_세부시트'!"&amp;BH$1&amp;$AD110, TRUE)</f>
        <v>311.06231604253765</v>
      </c>
      <c r="BI110" s="2868" cm="1">
        <f t="array" aca="1" ref="BI110" ca="1">INDIRECT("'※ 재무_세부시트'!"&amp;BI$1&amp;$AD110, TRUE)</f>
        <v>26.1647394225113</v>
      </c>
      <c r="BJ110" s="2868" cm="1">
        <f t="array" aca="1" ref="BJ110" ca="1">INDIRECT("'※ 재무_세부시트'!"&amp;BJ$1&amp;$AD110, TRUE)</f>
        <v>27.084554589279733</v>
      </c>
      <c r="BK110" s="2868" cm="1">
        <f t="array" aca="1" ref="BK110" ca="1">INDIRECT("'※ 재무_세부시트'!"&amp;BK$1&amp;$AD110, TRUE)</f>
        <v>26.486991977000798</v>
      </c>
      <c r="BL110" s="2490"/>
      <c r="BM110" s="2490"/>
    </row>
    <row r="111" spans="1:65" ht="17.25" customHeight="1" thickBot="1" x14ac:dyDescent="0.6">
      <c r="A111" s="2855"/>
      <c r="B111" s="2493"/>
      <c r="C111" s="2493"/>
      <c r="D111" s="2493" t="s">
        <v>33</v>
      </c>
      <c r="E111" s="2648"/>
      <c r="F111" s="2494" cm="1">
        <f t="array" aca="1" ref="F111" ca="1">INDIRECT("'※ 재무_세부시트'!"&amp;F$1&amp;$AD111, TRUE)</f>
        <v>151.14680418529309</v>
      </c>
      <c r="G111" s="2494" cm="1">
        <f t="array" aca="1" ref="G111" ca="1">INDIRECT("'※ 재무_세부시트'!"&amp;G$1&amp;$AD111, TRUE)</f>
        <v>84.375124665314061</v>
      </c>
      <c r="H111" s="2789" cm="1">
        <f t="array" aca="1" ref="H111" ca="1">INDIRECT("'※ 재무_세부시트'!"&amp;H$1&amp;$AD111, TRUE)</f>
        <v>-2.3174159607456164</v>
      </c>
      <c r="I111" s="2790" cm="1">
        <f t="array" aca="1" ref="I111" ca="1">INDIRECT("'※ 재무_세부시트'!"&amp;I$1&amp;$AD111, TRUE)</f>
        <v>22.350830104900009</v>
      </c>
      <c r="J111" s="2790" cm="1">
        <f t="array" aca="1" ref="J111" ca="1">INDIRECT("'※ 재무_세부시트'!"&amp;J$1&amp;$AD111, TRUE)</f>
        <v>5.4754565719999997</v>
      </c>
      <c r="K111" s="2790" cm="1">
        <f t="array" aca="1" ref="K111" ca="1">INDIRECT("'※ 재무_세부시트'!"&amp;K$1&amp;$AD111, TRUE)</f>
        <v>6.1836324183999993</v>
      </c>
      <c r="L111" s="2790" cm="1">
        <f t="array" aca="1" ref="L111" ca="1">INDIRECT("'※ 재무_세부시트'!"&amp;L$1&amp;$AD111, TRUE)</f>
        <v>17.203948140599998</v>
      </c>
      <c r="M111" s="2790" cm="1">
        <f t="array" aca="1" ref="M111" ca="1">INDIRECT("'※ 재무_세부시트'!"&amp;M$1&amp;$AD111, TRUE)</f>
        <v>3.9585251565000004</v>
      </c>
      <c r="N111" s="2790" cm="1">
        <f t="array" aca="1" ref="N111" ca="1">INDIRECT("'※ 재무_세부시트'!"&amp;N$1&amp;$AD111, TRUE)</f>
        <v>8.4674357712999999</v>
      </c>
      <c r="O111" s="2790" cm="1">
        <f t="array" aca="1" ref="O111" ca="1">INDIRECT("'※ 재무_세부시트'!"&amp;O$1&amp;$AD111, TRUE)</f>
        <v>22.935838414000006</v>
      </c>
      <c r="P111" s="2790" cm="1">
        <f t="array" aca="1" ref="P111" ca="1">INDIRECT("'※ 재무_세부시트'!"&amp;P$1&amp;$AD111, TRUE)</f>
        <v>4.4023075365999995</v>
      </c>
      <c r="Q111" s="2790" cm="1">
        <f t="array" aca="1" ref="Q111" ca="1">INDIRECT("'※ 재무_세부시트'!"&amp;Q$1&amp;$AD111, TRUE)</f>
        <v>12.249672036753742</v>
      </c>
      <c r="R111" s="2790" cm="1">
        <f t="array" aca="1" ref="R111" ca="1">INDIRECT("'※ 재무_세부시트'!"&amp;R$1&amp;$AD111, TRUE)</f>
        <v>15.949710944002838</v>
      </c>
      <c r="S111" s="2790" cm="1">
        <f t="array" aca="1" ref="S111" ca="1">INDIRECT("'※ 재무_세부시트'!"&amp;S$1&amp;$AD111, TRUE)</f>
        <v>11.134403105948792</v>
      </c>
      <c r="T111" s="2791"/>
      <c r="U111" s="2791"/>
      <c r="V111" s="2862"/>
      <c r="W111" s="2499" cm="1">
        <f t="array" aca="1" ref="W111" ca="1">INDIRECT("'※ 재무_세부시트'!"&amp;W$1&amp;$AD111, TRUE)</f>
        <v>-4.8153078380540464</v>
      </c>
      <c r="X111" s="2500" cm="1">
        <f t="array" aca="1" ref="X111" ca="1">INDIRECT("'※ 재무_세부시트'!"&amp;X$1&amp;$AD111, TRUE)</f>
        <v>8.9863544073868216</v>
      </c>
      <c r="Y111" s="2500" cm="1">
        <f t="array" aca="1" ref="Y111" ca="1">INDIRECT("'※ 재무_세부시트'!"&amp;Y$1&amp;$AD111, TRUE)</f>
        <v>0</v>
      </c>
      <c r="Z111" s="2501" cm="1">
        <f t="array" aca="1" ref="Z111" ca="1">INDIRECT("'※ 재무_세부시트'!"&amp;Z$1&amp;$AD111, TRUE)</f>
        <v>127.99434424025978</v>
      </c>
      <c r="AA111" s="2866"/>
      <c r="AB111" s="2794"/>
      <c r="AC111" s="2795" cm="1">
        <f t="array" aca="1" ref="AC111" ca="1">INDIRECT("'※ 재무_세부시트'!"&amp;AC$1&amp;$AD111, TRUE)</f>
        <v>43.619219574945717</v>
      </c>
      <c r="AD111" s="2441">
        <v>110</v>
      </c>
      <c r="AE111" s="2504">
        <v>6.8707186293509785</v>
      </c>
      <c r="AF111" s="2504">
        <v>21.763091789433364</v>
      </c>
      <c r="AG111" s="2504">
        <v>10.697729272340103</v>
      </c>
      <c r="AH111" s="2504">
        <v>7.6812695056530051</v>
      </c>
      <c r="AI111" s="2504">
        <v>11.26474071946803</v>
      </c>
      <c r="AJ111" s="2504">
        <v>17.072195068269483</v>
      </c>
      <c r="AK111" s="2504">
        <v>3.3574601639053814</v>
      </c>
      <c r="AL111" s="2504">
        <v>20.876343943994033</v>
      </c>
      <c r="AM111" s="2504">
        <v>15.083753950662427</v>
      </c>
      <c r="AN111" s="2504">
        <v>13.391473535533827</v>
      </c>
      <c r="AO111" s="2504">
        <v>8.5219854392496543</v>
      </c>
      <c r="AP111" s="2504">
        <v>14.566042167432808</v>
      </c>
      <c r="AQ111" s="2505">
        <f>SUM(AE111:AP111)</f>
        <v>151.14680418529309</v>
      </c>
      <c r="AR111" s="2488"/>
      <c r="AS111" s="2488"/>
      <c r="AT111" s="2488"/>
      <c r="AU111" s="2488"/>
      <c r="AV111" s="2488"/>
      <c r="AW111" s="2488"/>
      <c r="AX111" s="2488"/>
      <c r="AY111" s="2488"/>
      <c r="AZ111" s="2488"/>
      <c r="BA111" s="2488"/>
      <c r="BB111" s="2488"/>
      <c r="BC111" s="2488"/>
      <c r="BD111" s="2488"/>
      <c r="BE111" s="2488"/>
      <c r="BG111" s="2509" cm="1">
        <f t="array" aca="1" ref="BG111" ca="1">INDIRECT("'※ 재무_세부시트'!"&amp;BG$1&amp;$AD111, TRUE)</f>
        <v>6.8707186293509785</v>
      </c>
      <c r="BH111" s="2509" cm="1">
        <f t="array" aca="1" ref="BH111" ca="1">INDIRECT("'※ 재무_세부시트'!"&amp;BH$1&amp;$AD111, TRUE)</f>
        <v>151.14680418529309</v>
      </c>
      <c r="BI111" s="2509" cm="1">
        <f t="array" aca="1" ref="BI111" ca="1">INDIRECT("'※ 재무_세부시트'!"&amp;BI$1&amp;$AD111, TRUE)</f>
        <v>3.3574601639053814</v>
      </c>
      <c r="BJ111" s="2509" cm="1">
        <f t="array" aca="1" ref="BJ111" ca="1">INDIRECT("'※ 재무_세부시트'!"&amp;BJ$1&amp;$AD111, TRUE)</f>
        <v>15.935533885172731</v>
      </c>
      <c r="BK111" s="2509" cm="1">
        <f t="array" aca="1" ref="BK111" ca="1">INDIRECT("'※ 재무_세부시트'!"&amp;BK$1&amp;$AD111, TRUE)</f>
        <v>15.083753950662427</v>
      </c>
      <c r="BL111" s="2490"/>
      <c r="BM111" s="2490"/>
    </row>
    <row r="112" spans="1:65" ht="17.25" hidden="1" customHeight="1" outlineLevel="1" thickBot="1" x14ac:dyDescent="0.6">
      <c r="A112" s="2855"/>
      <c r="B112" s="2493"/>
      <c r="C112" s="2493"/>
      <c r="D112" s="2493" t="s">
        <v>67</v>
      </c>
      <c r="E112" s="2916" t="s">
        <v>635</v>
      </c>
      <c r="F112" s="2494" cm="1">
        <f t="array" aca="1" ref="F112" ca="1">INDIRECT("'※ 재무_세부시트'!"&amp;F$1&amp;$AD112, TRUE)</f>
        <v>206.33244742916318</v>
      </c>
      <c r="G112" s="2917" cm="1">
        <f t="array" aca="1" ref="G112" ca="1">INDIRECT("'※ 재무_세부시트'!"&amp;G$1&amp;$AD112, TRUE)</f>
        <v>351.62688716441033</v>
      </c>
      <c r="H112" s="2789" cm="1">
        <f t="array" aca="1" ref="H112" ca="1">INDIRECT("'※ 재무_세부시트'!"&amp;H$1&amp;$AD112, TRUE)</f>
        <v>27.373649270907059</v>
      </c>
      <c r="I112" s="2790" cm="1">
        <f t="array" aca="1" ref="I112" ca="1">INDIRECT("'※ 재무_세부시트'!"&amp;I$1&amp;$AD112, TRUE)</f>
        <v>5.902875158885017</v>
      </c>
      <c r="J112" s="2790" cm="1">
        <f t="array" aca="1" ref="J112" ca="1">INDIRECT("'※ 재무_세부시트'!"&amp;J$1&amp;$AD112, TRUE)</f>
        <v>14.41289028199655</v>
      </c>
      <c r="K112" s="2790" cm="1">
        <f t="array" aca="1" ref="K112" ca="1">INDIRECT("'※ 재무_세부시트'!"&amp;K$1&amp;$AD112, TRUE)</f>
        <v>15.853058991861838</v>
      </c>
      <c r="L112" s="2790" cm="1">
        <f t="array" aca="1" ref="L112" ca="1">INDIRECT("'※ 재무_세부시트'!"&amp;L$1&amp;$AD112, TRUE)</f>
        <v>14.112150680442209</v>
      </c>
      <c r="M112" s="2790" cm="1">
        <f t="array" aca="1" ref="M112" ca="1">INDIRECT("'※ 재무_세부시트'!"&amp;M$1&amp;$AD112, TRUE)</f>
        <v>33.314898252418558</v>
      </c>
      <c r="N112" s="2790" cm="1">
        <f t="array" aca="1" ref="N112" ca="1">INDIRECT("'※ 재무_세부시트'!"&amp;N$1&amp;$AD112, TRUE)</f>
        <v>41.178326260999192</v>
      </c>
      <c r="O112" s="2790" cm="1">
        <f t="array" aca="1" ref="O112" ca="1">INDIRECT("'※ 재무_세부시트'!"&amp;O$1&amp;$AD112, TRUE)</f>
        <v>8.7068634090372505</v>
      </c>
      <c r="P112" s="2790" cm="1">
        <f t="array" aca="1" ref="P112" ca="1">INDIRECT("'※ 재무_세부시트'!"&amp;P$1&amp;$AD112, TRUE)</f>
        <v>32.229149674876723</v>
      </c>
      <c r="Q112" s="2790" cm="1">
        <f t="array" aca="1" ref="Q112" ca="1">INDIRECT("'※ 재무_세부시트'!"&amp;Q$1&amp;$AD112, TRUE)</f>
        <v>36.091643734234566</v>
      </c>
      <c r="R112" s="2790" cm="1">
        <f t="array" aca="1" ref="R112" ca="1">INDIRECT("'※ 재무_세부시트'!"&amp;R$1&amp;$AD112, TRUE)</f>
        <v>18.411859036632237</v>
      </c>
      <c r="S112" s="2790" cm="1">
        <f t="array" aca="1" ref="S112" ca="1">INDIRECT("'※ 재무_세부시트'!"&amp;S$1&amp;$AD112, TRUE)</f>
        <v>18.436827395262057</v>
      </c>
      <c r="T112" s="2791"/>
      <c r="U112" s="2791"/>
      <c r="V112" s="2862"/>
      <c r="W112" s="2499" cm="1">
        <f t="array" aca="1" ref="W112" ca="1">INDIRECT("'※ 재무_세부시트'!"&amp;W$1&amp;$AD112, TRUE)</f>
        <v>2.4968358629820386E-2</v>
      </c>
      <c r="X112" s="2500" cm="1">
        <f t="array" aca="1" ref="X112" ca="1">INDIRECT("'※ 재무_세부시트'!"&amp;X$1&amp;$AD112, TRUE)</f>
        <v>-5.297703851210791</v>
      </c>
      <c r="Y112" s="2500" cm="1">
        <f t="array" aca="1" ref="Y112" ca="1">INDIRECT("'※ 재무_세부시트'!"&amp;Y$1&amp;$AD112, TRUE)</f>
        <v>0</v>
      </c>
      <c r="Z112" s="2501" cm="1">
        <f t="array" aca="1" ref="Z112" ca="1">INDIRECT("'※ 재무_세부시트'!"&amp;Z$1&amp;$AD112, TRUE)</f>
        <v>266.02419214755326</v>
      </c>
      <c r="AA112" s="2866"/>
      <c r="AB112" s="2794"/>
      <c r="AC112" s="2795" cm="1">
        <f t="array" aca="1" ref="AC112" ca="1">INDIRECT("'※ 재무_세부시트'!"&amp;AC$1&amp;$AD112, TRUE)</f>
        <v>-85.602695016857069</v>
      </c>
      <c r="AD112" s="2441">
        <v>111</v>
      </c>
      <c r="AE112" s="2504">
        <v>20.707790737546006</v>
      </c>
      <c r="AF112" s="2504">
        <v>-0.9981748631433156</v>
      </c>
      <c r="AG112" s="2504">
        <v>20.300951033655121</v>
      </c>
      <c r="AH112" s="2504">
        <v>23.457340708030934</v>
      </c>
      <c r="AI112" s="2504">
        <v>8.1952123933863472</v>
      </c>
      <c r="AJ112" s="2504">
        <v>7.9695614680835298</v>
      </c>
      <c r="AK112" s="2504">
        <v>31.27971153833137</v>
      </c>
      <c r="AL112" s="2504">
        <v>-6.7922078600581699</v>
      </c>
      <c r="AM112" s="2504">
        <v>20.6118662569544</v>
      </c>
      <c r="AN112" s="2504">
        <v>13.994655463520036</v>
      </c>
      <c r="AO112" s="2504">
        <v>53.421213133332152</v>
      </c>
      <c r="AP112" s="2504">
        <v>14.18452741952478</v>
      </c>
      <c r="AQ112" s="2505">
        <f t="shared" ref="AQ112:AQ128" si="55">SUM(AE112:AP112)</f>
        <v>206.33244742916318</v>
      </c>
      <c r="AR112" s="2488"/>
      <c r="AS112" s="2488"/>
      <c r="AT112" s="2488"/>
      <c r="AU112" s="2488"/>
      <c r="AV112" s="2488"/>
      <c r="AW112" s="2488"/>
      <c r="AX112" s="2488"/>
      <c r="AY112" s="2488"/>
      <c r="AZ112" s="2488"/>
      <c r="BA112" s="2488"/>
      <c r="BB112" s="2488"/>
      <c r="BC112" s="2488"/>
      <c r="BD112" s="2488"/>
      <c r="BE112" s="2488"/>
      <c r="BG112" s="2918" cm="1">
        <f t="array" aca="1" ref="BG112" ca="1">INDIRECT("'※ 재무_세부시트'!"&amp;BG$1&amp;$AD112, TRUE)</f>
        <v>20.707790737546006</v>
      </c>
      <c r="BH112" s="2918" cm="1">
        <f t="array" aca="1" ref="BH112" ca="1">INDIRECT("'※ 재무_세부시트'!"&amp;BH$1&amp;$AD112, TRUE)</f>
        <v>206.33244742916318</v>
      </c>
      <c r="BI112" s="2918" cm="1">
        <f t="array" aca="1" ref="BI112" ca="1">INDIRECT("'※ 재무_세부시트'!"&amp;BI$1&amp;$AD112, TRUE)</f>
        <v>31.27971153833137</v>
      </c>
      <c r="BJ112" s="2918" cm="1">
        <f t="array" aca="1" ref="BJ112" ca="1">INDIRECT("'※ 재무_세부시트'!"&amp;BJ$1&amp;$AD112, TRUE)</f>
        <v>20.371687251878377</v>
      </c>
      <c r="BK112" s="2918" cm="1">
        <f t="array" aca="1" ref="BK112" ca="1">INDIRECT("'※ 재무_세부시트'!"&amp;BK$1&amp;$AD112, TRUE)</f>
        <v>20.6118662569544</v>
      </c>
      <c r="BL112" s="2490"/>
      <c r="BM112" s="2490"/>
    </row>
    <row r="113" spans="1:65" ht="17.25" customHeight="1" collapsed="1" x14ac:dyDescent="0.55000000000000004">
      <c r="A113" s="2919"/>
      <c r="B113" s="2920" t="s">
        <v>20</v>
      </c>
      <c r="C113" s="2920" t="s">
        <v>627</v>
      </c>
      <c r="D113" s="2921"/>
      <c r="E113" s="2922"/>
      <c r="F113" s="2923" cm="1">
        <f t="array" aca="1" ref="F113" ca="1">INDIRECT("'※ 재무_세부시트'!"&amp;F$1&amp;$AD113, TRUE)</f>
        <v>-23.06707707564388</v>
      </c>
      <c r="G113" s="2923" cm="1">
        <f t="array" aca="1" ref="G113" ca="1">INDIRECT("'※ 재무_세부시트'!"&amp;G$1&amp;$AD113, TRUE)</f>
        <v>-12.807343412440757</v>
      </c>
      <c r="H113" s="2924" cm="1">
        <f t="array" aca="1" ref="H113" ca="1">INDIRECT("'※ 재무_세부시트'!"&amp;H$1&amp;$AD113, TRUE)</f>
        <v>0.60619465235174164</v>
      </c>
      <c r="I113" s="2925" cm="1">
        <f t="array" aca="1" ref="I113" ca="1">INDIRECT("'※ 재무_세부시트'!"&amp;I$1&amp;$AD113, TRUE)</f>
        <v>2.5112357700000003</v>
      </c>
      <c r="J113" s="2925" cm="1">
        <f t="array" aca="1" ref="J113" ca="1">INDIRECT("'※ 재무_세부시트'!"&amp;J$1&amp;$AD113, TRUE)</f>
        <v>0.67841257825719248</v>
      </c>
      <c r="K113" s="2925" cm="1">
        <f t="array" aca="1" ref="K113" ca="1">INDIRECT("'※ 재무_세부시트'!"&amp;K$1&amp;$AD113, TRUE)</f>
        <v>3.84803403</v>
      </c>
      <c r="L113" s="2925" cm="1">
        <f t="array" aca="1" ref="L113" ca="1">INDIRECT("'※ 재무_세부시트'!"&amp;L$1&amp;$AD113, TRUE)</f>
        <v>0.20899134</v>
      </c>
      <c r="M113" s="2925" cm="1">
        <f t="array" aca="1" ref="M113" ca="1">INDIRECT("'※ 재무_세부시트'!"&amp;M$1&amp;$AD113, TRUE)</f>
        <v>0.98819044</v>
      </c>
      <c r="N113" s="2925" cm="1">
        <f t="array" aca="1" ref="N113" ca="1">INDIRECT("'※ 재무_세부시트'!"&amp;N$1&amp;$AD113, TRUE)</f>
        <v>1.1889929000000001</v>
      </c>
      <c r="O113" s="2925" cm="1">
        <f t="array" aca="1" ref="O113" ca="1">INDIRECT("'※ 재무_세부시트'!"&amp;O$1&amp;$AD113, TRUE)</f>
        <v>0.65344815000000001</v>
      </c>
      <c r="P113" s="2925" cm="1">
        <f t="array" aca="1" ref="P113" ca="1">INDIRECT("'※ 재무_세부시트'!"&amp;P$1&amp;$AD113, TRUE)</f>
        <v>2.65534706</v>
      </c>
      <c r="Q113" s="2925" cm="1">
        <f t="array" aca="1" ref="Q113" ca="1">INDIRECT("'※ 재무_세부시트'!"&amp;Q$1&amp;$AD113, TRUE)</f>
        <v>-1.4519604399999999</v>
      </c>
      <c r="R113" s="2925" cm="1">
        <f t="array" aca="1" ref="R113" ca="1">INDIRECT("'※ 재무_세부시트'!"&amp;R$1&amp;$AD113, TRUE)</f>
        <v>0.57864136670187072</v>
      </c>
      <c r="S113" s="2925" cm="1">
        <f t="array" aca="1" ref="S113" ca="1">INDIRECT("'※ 재무_세부시트'!"&amp;S$1&amp;$AD113, TRUE)</f>
        <v>0.76279654872646052</v>
      </c>
      <c r="T113" s="2926"/>
      <c r="U113" s="2926"/>
      <c r="V113" s="2927"/>
      <c r="W113" s="2928" cm="1">
        <f t="array" aca="1" ref="W113" ca="1">INDIRECT("'※ 재무_세부시트'!"&amp;W$1&amp;$AD113, TRUE)</f>
        <v>0.1841551820245898</v>
      </c>
      <c r="X113" s="2929" cm="1">
        <f t="array" aca="1" ref="X113" ca="1">INDIRECT("'※ 재무_세부시트'!"&amp;X$1&amp;$AD113, TRUE)</f>
        <v>-0.75644146624240793</v>
      </c>
      <c r="Y113" s="2929" cm="1">
        <f t="array" aca="1" ref="Y113" ca="1">INDIRECT("'※ 재무_세부시트'!"&amp;Y$1&amp;$AD113, TRUE)</f>
        <v>0</v>
      </c>
      <c r="Z113" s="2930" cm="1">
        <f t="array" aca="1" ref="Z113" ca="1">INDIRECT("'※ 재무_세부시트'!"&amp;Z$1&amp;$AD113, TRUE)</f>
        <v>13.228324396037262</v>
      </c>
      <c r="AA113" s="2931"/>
      <c r="AB113" s="2932"/>
      <c r="AC113" s="2933" cm="1">
        <f t="array" aca="1" ref="AC113" ca="1">INDIRECT("'※ 재무_세부시트'!"&amp;AC$1&amp;$AD113, TRUE)</f>
        <v>26.035667808478017</v>
      </c>
      <c r="AD113" s="2441">
        <v>112</v>
      </c>
      <c r="AE113" s="2934">
        <f t="shared" ref="AE113:AP113" si="56">AE114-AE115</f>
        <v>-3.6152330600000084</v>
      </c>
      <c r="AF113" s="2934">
        <f t="shared" si="56"/>
        <v>-0.52710690999997212</v>
      </c>
      <c r="AG113" s="2934">
        <f t="shared" si="56"/>
        <v>-6.1238774800000044</v>
      </c>
      <c r="AH113" s="2934">
        <f t="shared" si="56"/>
        <v>0.29580194999999776</v>
      </c>
      <c r="AI113" s="2934">
        <f t="shared" si="56"/>
        <v>-4.6834909299999907</v>
      </c>
      <c r="AJ113" s="2934">
        <f t="shared" si="56"/>
        <v>-5.6211171199999939</v>
      </c>
      <c r="AK113" s="2934">
        <f t="shared" si="56"/>
        <v>0.8302376799999962</v>
      </c>
      <c r="AL113" s="2934">
        <f t="shared" si="56"/>
        <v>-8.562794910000008</v>
      </c>
      <c r="AM113" s="2934">
        <f t="shared" si="56"/>
        <v>8.4980445510774985</v>
      </c>
      <c r="AN113" s="2934">
        <f t="shared" si="56"/>
        <v>-3.7398697184225966</v>
      </c>
      <c r="AO113" s="2934">
        <f t="shared" si="56"/>
        <v>-2.5592759978001993</v>
      </c>
      <c r="AP113" s="2934">
        <f t="shared" si="56"/>
        <v>2.7416048695014013</v>
      </c>
      <c r="AQ113" s="2934">
        <f t="shared" si="55"/>
        <v>-23.06707707564388</v>
      </c>
      <c r="AR113" s="2488"/>
      <c r="AS113" s="2488"/>
      <c r="AT113" s="2488"/>
      <c r="AU113" s="2488"/>
      <c r="AV113" s="2488"/>
      <c r="AW113" s="2488"/>
      <c r="AX113" s="2488"/>
      <c r="AY113" s="2488"/>
      <c r="AZ113" s="2488"/>
      <c r="BA113" s="2488"/>
      <c r="BB113" s="2488"/>
      <c r="BC113" s="2488"/>
      <c r="BD113" s="2488"/>
      <c r="BE113" s="2488"/>
      <c r="BG113" s="2509" cm="1">
        <f t="array" aca="1" ref="BG113" ca="1">INDIRECT("'※ 재무_세부시트'!"&amp;BG$1&amp;$AD113, TRUE)</f>
        <v>-3.6152330600000084</v>
      </c>
      <c r="BH113" s="2509" cm="1">
        <f t="array" aca="1" ref="BH113" ca="1">INDIRECT("'※ 재무_세부시트'!"&amp;BH$1&amp;$AD113, TRUE)</f>
        <v>-23.06707707564388</v>
      </c>
      <c r="BI113" s="2509" cm="1">
        <f t="array" aca="1" ref="BI113" ca="1">INDIRECT("'※ 재무_세부시트'!"&amp;BI$1&amp;$AD113, TRUE)</f>
        <v>0.8302376799999962</v>
      </c>
      <c r="BJ113" s="2509" cm="1">
        <f t="array" aca="1" ref="BJ113" ca="1">INDIRECT("'※ 재무_세부시트'!"&amp;BJ$1&amp;$AD113, TRUE)</f>
        <v>-2.2428516972944905</v>
      </c>
      <c r="BK113" s="2509" cm="1">
        <f t="array" aca="1" ref="BK113" ca="1">INDIRECT("'※ 재무_세부시트'!"&amp;BK$1&amp;$AD113, TRUE)</f>
        <v>8.4980445510774985</v>
      </c>
      <c r="BL113" s="2490"/>
      <c r="BM113" s="2490"/>
    </row>
    <row r="114" spans="1:65" ht="17.25" customHeight="1" x14ac:dyDescent="0.55000000000000004">
      <c r="A114" s="2855"/>
      <c r="B114" s="2493"/>
      <c r="C114" s="2493"/>
      <c r="D114" s="2857" t="s">
        <v>6</v>
      </c>
      <c r="E114" s="2858"/>
      <c r="F114" s="2859" cm="1">
        <f t="array" aca="1" ref="F114" ca="1">INDIRECT("'※ 재무_세부시트'!"&amp;F$1&amp;$AD114, TRUE)</f>
        <v>1016.221495074356</v>
      </c>
      <c r="G114" s="2859" cm="1">
        <f t="array" aca="1" ref="G114" ca="1">INDIRECT("'※ 재무_세부시트'!"&amp;G$1&amp;$AD114, TRUE)</f>
        <v>475.92213515295583</v>
      </c>
      <c r="H114" s="2860" cm="1">
        <f t="array" aca="1" ref="H114" ca="1">INDIRECT("'※ 재무_세부시트'!"&amp;H$1&amp;$AD114, TRUE)</f>
        <v>1.8922367883537916</v>
      </c>
      <c r="I114" s="2861" cm="1">
        <f t="array" aca="1" ref="I114" ca="1">INDIRECT("'※ 재무_세부시트'!"&amp;I$1&amp;$AD114, TRUE)</f>
        <v>2.4818941900000002</v>
      </c>
      <c r="J114" s="2861" cm="1">
        <f t="array" aca="1" ref="J114" ca="1">INDIRECT("'※ 재무_세부시트'!"&amp;J$1&amp;$AD114, TRUE)</f>
        <v>0.70588277825719248</v>
      </c>
      <c r="K114" s="2861" cm="1">
        <f t="array" aca="1" ref="K114" ca="1">INDIRECT("'※ 재무_세부시트'!"&amp;K$1&amp;$AD114, TRUE)</f>
        <v>3.8676703799999999</v>
      </c>
      <c r="L114" s="2861" cm="1">
        <f t="array" aca="1" ref="L114" ca="1">INDIRECT("'※ 재무_세부시트'!"&amp;L$1&amp;$AD114, TRUE)</f>
        <v>0.20809046</v>
      </c>
      <c r="M114" s="2861" cm="1">
        <f t="array" aca="1" ref="M114" ca="1">INDIRECT("'※ 재무_세부시트'!"&amp;M$1&amp;$AD114, TRUE)</f>
        <v>0.95145148999999996</v>
      </c>
      <c r="N114" s="2861" cm="1">
        <f t="array" aca="1" ref="N114" ca="1">INDIRECT("'※ 재무_세부시트'!"&amp;N$1&amp;$AD114, TRUE)</f>
        <v>1.18853264</v>
      </c>
      <c r="O114" s="2861" cm="1">
        <f t="array" aca="1" ref="O114" ca="1">INDIRECT("'※ 재무_세부시트'!"&amp;O$1&amp;$AD114, TRUE)</f>
        <v>0.66414165999999997</v>
      </c>
      <c r="P114" s="2861" cm="1">
        <f t="array" aca="1" ref="P114" ca="1">INDIRECT("'※ 재무_세부시트'!"&amp;P$1&amp;$AD114, TRUE)</f>
        <v>2.6811764299999998</v>
      </c>
      <c r="Q114" s="2861" cm="1">
        <f t="array" aca="1" ref="Q114" ca="1">INDIRECT("'※ 재무_세부시트'!"&amp;Q$1&amp;$AD114, TRUE)</f>
        <v>-1.43874788</v>
      </c>
      <c r="R114" s="2861" cm="1">
        <f t="array" aca="1" ref="R114" ca="1">INDIRECT("'※ 재무_세부시트'!"&amp;R$1&amp;$AD114, TRUE)</f>
        <v>0.55627282670187073</v>
      </c>
      <c r="S114" s="2861" cm="1">
        <f t="array" aca="1" ref="S114" ca="1">INDIRECT("'※ 재무_세부시트'!"&amp;S$1&amp;$AD114, TRUE)</f>
        <v>0.80422347872646049</v>
      </c>
      <c r="T114" s="2791"/>
      <c r="U114" s="2791"/>
      <c r="V114" s="2862"/>
      <c r="W114" s="2863" cm="1">
        <f t="array" aca="1" ref="W114" ca="1">INDIRECT("'※ 재무_세부시트'!"&amp;W$1&amp;$AD114, TRUE)</f>
        <v>0.24795065202458977</v>
      </c>
      <c r="X114" s="2864" cm="1">
        <f t="array" aca="1" ref="X114" ca="1">INDIRECT("'※ 재무_세부시트'!"&amp;X$1&amp;$AD114, TRUE)</f>
        <v>-6.4082353649670329</v>
      </c>
      <c r="Y114" s="2864" cm="1">
        <f t="array" aca="1" ref="Y114" ca="1">INDIRECT("'※ 재무_세부시트'!"&amp;Y$1&amp;$AD114, TRUE)</f>
        <v>0</v>
      </c>
      <c r="Z114" s="2865" cm="1">
        <f t="array" aca="1" ref="Z114" ca="1">INDIRECT("'※ 재무_세부시트'!"&amp;Z$1&amp;$AD114, TRUE)</f>
        <v>14.562825242039315</v>
      </c>
      <c r="AA114" s="2866"/>
      <c r="AB114" s="2794"/>
      <c r="AC114" s="2867" cm="1">
        <f t="array" aca="1" ref="AC114" ca="1">INDIRECT("'※ 재무_세부시트'!"&amp;AC$1&amp;$AD114, TRUE)</f>
        <v>-461.35930991091652</v>
      </c>
      <c r="AD114" s="2441">
        <v>113</v>
      </c>
      <c r="AE114" s="2504">
        <v>79.726587539999997</v>
      </c>
      <c r="AF114" s="2504">
        <v>101.15128841000002</v>
      </c>
      <c r="AG114" s="2504">
        <v>75.106436419999994</v>
      </c>
      <c r="AH114" s="2504">
        <v>81.7203667</v>
      </c>
      <c r="AI114" s="2504">
        <v>74.699835210000003</v>
      </c>
      <c r="AJ114" s="2504">
        <v>71.695196330000002</v>
      </c>
      <c r="AK114" s="2504">
        <v>88.783247250000002</v>
      </c>
      <c r="AL114" s="2504">
        <v>121.17300809</v>
      </c>
      <c r="AM114" s="2504">
        <v>87.086653681077493</v>
      </c>
      <c r="AN114" s="2504">
        <v>95.300378201577402</v>
      </c>
      <c r="AO114" s="2504">
        <v>75.288409722199802</v>
      </c>
      <c r="AP114" s="2504">
        <v>64.490087519501401</v>
      </c>
      <c r="AQ114" s="2505">
        <f t="shared" si="55"/>
        <v>1016.221495074356</v>
      </c>
      <c r="AR114" s="2488"/>
      <c r="AS114" s="2488"/>
      <c r="AT114" s="2488"/>
      <c r="AU114" s="2488"/>
      <c r="AV114" s="2488"/>
      <c r="AW114" s="2488"/>
      <c r="AX114" s="2488"/>
      <c r="AY114" s="2488"/>
      <c r="AZ114" s="2488"/>
      <c r="BA114" s="2488"/>
      <c r="BB114" s="2488"/>
      <c r="BC114" s="2488"/>
      <c r="BD114" s="2488"/>
      <c r="BE114" s="2488"/>
      <c r="BG114" s="2868" cm="1">
        <f t="array" aca="1" ref="BG114" ca="1">INDIRECT("'※ 재무_세부시트'!"&amp;BG$1&amp;$AD114, TRUE)</f>
        <v>79.726587539999997</v>
      </c>
      <c r="BH114" s="2868" cm="1">
        <f t="array" aca="1" ref="BH114" ca="1">INDIRECT("'※ 재무_세부시트'!"&amp;BH$1&amp;$AD114, TRUE)</f>
        <v>1016.221495074356</v>
      </c>
      <c r="BI114" s="2868" cm="1">
        <f t="array" aca="1" ref="BI114" ca="1">INDIRECT("'※ 재무_세부시트'!"&amp;BI$1&amp;$AD114, TRUE)</f>
        <v>88.783247250000002</v>
      </c>
      <c r="BJ114" s="2868" cm="1">
        <f t="array" aca="1" ref="BJ114" ca="1">INDIRECT("'※ 재무_세부시트'!"&amp;BJ$1&amp;$AD114, TRUE)</f>
        <v>47.880170992705509</v>
      </c>
      <c r="BK114" s="2868" cm="1">
        <f t="array" aca="1" ref="BK114" ca="1">INDIRECT("'※ 재무_세부시트'!"&amp;BK$1&amp;$AD114, TRUE)</f>
        <v>87.086653681077493</v>
      </c>
      <c r="BL114" s="2490"/>
      <c r="BM114" s="2490"/>
    </row>
    <row r="115" spans="1:65" ht="17.25" customHeight="1" thickBot="1" x14ac:dyDescent="0.6">
      <c r="A115" s="2855"/>
      <c r="B115" s="2856"/>
      <c r="C115" s="2935"/>
      <c r="D115" s="2935" t="s">
        <v>34</v>
      </c>
      <c r="E115" s="2936"/>
      <c r="F115" s="2937" cm="1">
        <f t="array" aca="1" ref="F115" ca="1">INDIRECT("'※ 재무_세부시트'!"&amp;F$1&amp;$AD115, TRUE)</f>
        <v>1039.2885721499999</v>
      </c>
      <c r="G115" s="2938" cm="1">
        <f t="array" aca="1" ref="G115" ca="1">INDIRECT("'※ 재무_세부시트'!"&amp;G$1&amp;$AD115, TRUE)</f>
        <v>488.72947856539662</v>
      </c>
      <c r="H115" s="2789" cm="1">
        <f t="array" aca="1" ref="H115" ca="1">INDIRECT("'※ 재무_세부시트'!"&amp;H$1&amp;$AD115, TRUE)</f>
        <v>1.28604213600205</v>
      </c>
      <c r="I115" s="2790" cm="1">
        <f t="array" aca="1" ref="I115" ca="1">INDIRECT("'※ 재무_세부시트'!"&amp;I$1&amp;$AD115, TRUE)</f>
        <v>-2.9341579999999999E-2</v>
      </c>
      <c r="J115" s="2790" cm="1">
        <f t="array" aca="1" ref="J115" ca="1">INDIRECT("'※ 재무_세부시트'!"&amp;J$1&amp;$AD115, TRUE)</f>
        <v>2.74702E-2</v>
      </c>
      <c r="K115" s="2939" cm="1">
        <f t="array" aca="1" ref="K115" ca="1">INDIRECT("'※ 재무_세부시트'!"&amp;K$1&amp;$AD115, TRUE)</f>
        <v>1.963635E-2</v>
      </c>
      <c r="L115" s="2939" cm="1">
        <f t="array" aca="1" ref="L115" ca="1">INDIRECT("'※ 재무_세부시트'!"&amp;L$1&amp;$AD115, TRUE)</f>
        <v>-9.0087999999999995E-4</v>
      </c>
      <c r="M115" s="2939" cm="1">
        <f t="array" aca="1" ref="M115" ca="1">INDIRECT("'※ 재무_세부시트'!"&amp;M$1&amp;$AD115, TRUE)</f>
        <v>-3.6738949999999999E-2</v>
      </c>
      <c r="N115" s="2939" cm="1">
        <f t="array" aca="1" ref="N115" ca="1">INDIRECT("'※ 재무_세부시트'!"&amp;N$1&amp;$AD115, TRUE)</f>
        <v>-4.6025999999999999E-4</v>
      </c>
      <c r="O115" s="2939" cm="1">
        <f t="array" aca="1" ref="O115" ca="1">INDIRECT("'※ 재무_세부시트'!"&amp;O$1&amp;$AD115, TRUE)</f>
        <v>1.069351E-2</v>
      </c>
      <c r="P115" s="2939" cm="1">
        <f t="array" aca="1" ref="P115" ca="1">INDIRECT("'※ 재무_세부시트'!"&amp;P$1&amp;$AD115, TRUE)</f>
        <v>2.5829370000000001E-2</v>
      </c>
      <c r="Q115" s="2939" cm="1">
        <f t="array" aca="1" ref="Q115" ca="1">INDIRECT("'※ 재무_세부시트'!"&amp;Q$1&amp;$AD115, TRUE)</f>
        <v>1.321256E-2</v>
      </c>
      <c r="R115" s="2939" cm="1">
        <f t="array" aca="1" ref="R115" ca="1">INDIRECT("'※ 재무_세부시트'!"&amp;R$1&amp;$AD115, TRUE)</f>
        <v>-2.2368539999999999E-2</v>
      </c>
      <c r="S115" s="2939" cm="1">
        <f t="array" aca="1" ref="S115" ca="1">INDIRECT("'※ 재무_세부시트'!"&amp;S$1&amp;$AD115, TRUE)</f>
        <v>4.1426930000000001E-2</v>
      </c>
      <c r="T115" s="2791"/>
      <c r="U115" s="2791"/>
      <c r="V115" s="2862"/>
      <c r="W115" s="2499" cm="1">
        <f t="array" aca="1" ref="W115" ca="1">INDIRECT("'※ 재무_세부시트'!"&amp;W$1&amp;$AD115, TRUE)</f>
        <v>6.3795469999999993E-2</v>
      </c>
      <c r="X115" s="2500" cm="1">
        <f t="array" aca="1" ref="X115" ca="1">INDIRECT("'※ 재무_세부시트'!"&amp;X$1&amp;$AD115, TRUE)</f>
        <v>-5.651793898724625</v>
      </c>
      <c r="Y115" s="2500" cm="1">
        <f t="array" aca="1" ref="Y115" ca="1">INDIRECT("'※ 재무_세부시트'!"&amp;Y$1&amp;$AD115, TRUE)</f>
        <v>0</v>
      </c>
      <c r="Z115" s="2501" cm="1">
        <f t="array" aca="1" ref="Z115" ca="1">INDIRECT("'※ 재무_세부시트'!"&amp;Z$1&amp;$AD115, TRUE)</f>
        <v>1.33450084600205</v>
      </c>
      <c r="AA115" s="2866"/>
      <c r="AB115" s="2794"/>
      <c r="AC115" s="2795" cm="1">
        <f t="array" aca="1" ref="AC115" ca="1">INDIRECT("'※ 재무_세부시트'!"&amp;AC$1&amp;$AD115, TRUE)</f>
        <v>-487.39497771939455</v>
      </c>
      <c r="AD115" s="2441">
        <v>114</v>
      </c>
      <c r="AE115" s="2504">
        <v>83.341820600000005</v>
      </c>
      <c r="AF115" s="2504">
        <v>101.67839531999999</v>
      </c>
      <c r="AG115" s="2504">
        <v>81.230313899999999</v>
      </c>
      <c r="AH115" s="2504">
        <v>81.424564750000002</v>
      </c>
      <c r="AI115" s="2504">
        <v>79.383326139999994</v>
      </c>
      <c r="AJ115" s="2504">
        <v>77.316313449999996</v>
      </c>
      <c r="AK115" s="2504">
        <v>87.953009570000006</v>
      </c>
      <c r="AL115" s="2504">
        <v>129.735803</v>
      </c>
      <c r="AM115" s="2504">
        <v>78.588609129999995</v>
      </c>
      <c r="AN115" s="2504">
        <v>99.040247919999999</v>
      </c>
      <c r="AO115" s="2504">
        <v>77.847685720000001</v>
      </c>
      <c r="AP115" s="2504">
        <v>61.74848265</v>
      </c>
      <c r="AQ115" s="2505">
        <f t="shared" si="55"/>
        <v>1039.2885721499999</v>
      </c>
      <c r="AR115" s="2488"/>
      <c r="AS115" s="2488"/>
      <c r="AT115" s="2488"/>
      <c r="AU115" s="2488"/>
      <c r="AV115" s="2488"/>
      <c r="AW115" s="2488"/>
      <c r="AX115" s="2488"/>
      <c r="AY115" s="2488"/>
      <c r="AZ115" s="2488"/>
      <c r="BA115" s="2488"/>
      <c r="BB115" s="2488"/>
      <c r="BC115" s="2488"/>
      <c r="BD115" s="2488"/>
      <c r="BE115" s="2488"/>
      <c r="BG115" s="2509" cm="1">
        <f t="array" aca="1" ref="BG115" ca="1">INDIRECT("'※ 재무_세부시트'!"&amp;BG$1&amp;$AD115, TRUE)</f>
        <v>83.341820600000005</v>
      </c>
      <c r="BH115" s="2509" cm="1">
        <f t="array" aca="1" ref="BH115" ca="1">INDIRECT("'※ 재무_세부시트'!"&amp;BH$1&amp;$AD115, TRUE)</f>
        <v>1039.2885721499999</v>
      </c>
      <c r="BI115" s="2509" cm="1">
        <f t="array" aca="1" ref="BI115" ca="1">INDIRECT("'※ 재무_세부시트'!"&amp;BI$1&amp;$AD115, TRUE)</f>
        <v>87.953009570000006</v>
      </c>
      <c r="BJ115" s="2509" cm="1">
        <f t="array" aca="1" ref="BJ115" ca="1">INDIRECT("'※ 재무_세부시트'!"&amp;BJ$1&amp;$AD115, TRUE)</f>
        <v>50.123022689999999</v>
      </c>
      <c r="BK115" s="2509" cm="1">
        <f t="array" aca="1" ref="BK115" ca="1">INDIRECT("'※ 재무_세부시트'!"&amp;BK$1&amp;$AD115, TRUE)</f>
        <v>78.588609129999995</v>
      </c>
      <c r="BL115" s="2490"/>
      <c r="BM115" s="2490"/>
    </row>
    <row r="116" spans="1:65" ht="17.25" customHeight="1" x14ac:dyDescent="0.55000000000000004">
      <c r="A116" s="2855"/>
      <c r="B116" s="2493"/>
      <c r="C116" s="2940" t="s">
        <v>636</v>
      </c>
      <c r="D116" s="2884"/>
      <c r="E116" s="2885"/>
      <c r="F116" s="2886" cm="1">
        <f t="array" aca="1" ref="F116" ca="1">INDIRECT("'※ 재무_세부시트'!"&amp;F$1&amp;$AD116, TRUE)</f>
        <v>2.2916963665690702</v>
      </c>
      <c r="G116" s="2886" cm="1">
        <f t="array" aca="1" ref="G116" ca="1">INDIRECT("'※ 재무_세부시트'!"&amp;G$1&amp;$AD116, TRUE)</f>
        <v>-2.5822367174649585</v>
      </c>
      <c r="H116" s="2941" cm="1">
        <f t="array" aca="1" ref="H116" ca="1">INDIRECT("'※ 재무_세부시트'!"&amp;H$1&amp;$AD116, TRUE)</f>
        <v>2.0820676982167576</v>
      </c>
      <c r="I116" s="2942" cm="1">
        <f t="array" aca="1" ref="I116" ca="1">INDIRECT("'※ 재무_세부시트'!"&amp;I$1&amp;$AD116, TRUE)</f>
        <v>2.2773975648630547</v>
      </c>
      <c r="J116" s="2942" cm="1">
        <f t="array" aca="1" ref="J116" ca="1">INDIRECT("'※ 재무_세부시트'!"&amp;J$1&amp;$AD116, TRUE)</f>
        <v>2.8591426706818552</v>
      </c>
      <c r="K116" s="2877" cm="1">
        <f t="array" aca="1" ref="K116" ca="1">INDIRECT("'※ 재무_세부시트'!"&amp;K$1&amp;$AD116, TRUE)</f>
        <v>-4.7325351176610297E-3</v>
      </c>
      <c r="L116" s="2877" cm="1">
        <f t="array" aca="1" ref="L116" ca="1">INDIRECT("'※ 재무_세부시트'!"&amp;L$1&amp;$AD116, TRUE)</f>
        <v>1.4331332861005812</v>
      </c>
      <c r="M116" s="2877" cm="1">
        <f t="array" aca="1" ref="M116" ca="1">INDIRECT("'※ 재무_세부시트'!"&amp;M$1&amp;$AD116, TRUE)</f>
        <v>-0.13042802151858979</v>
      </c>
      <c r="N116" s="2877" cm="1">
        <f t="array" aca="1" ref="N116" ca="1">INDIRECT("'※ 재무_세부시트'!"&amp;N$1&amp;$AD116, TRUE)</f>
        <v>1.4382754101782673</v>
      </c>
      <c r="O116" s="2877" cm="1">
        <f t="array" aca="1" ref="O116" ca="1">INDIRECT("'※ 재무_세부시트'!"&amp;O$1&amp;$AD116, TRUE)</f>
        <v>1.9664859524479077</v>
      </c>
      <c r="P116" s="2877" cm="1">
        <f t="array" aca="1" ref="P116" ca="1">INDIRECT("'※ 재무_세부시트'!"&amp;P$1&amp;$AD116, TRUE)</f>
        <v>-5.6999114860711089</v>
      </c>
      <c r="Q116" s="2877" cm="1">
        <f t="array" aca="1" ref="Q116" ca="1">INDIRECT("'※ 재무_세부시트'!"&amp;Q$1&amp;$AD116, TRUE)</f>
        <v>-1.9075047443182243</v>
      </c>
      <c r="R116" s="2877" cm="1">
        <f t="array" aca="1" ref="R116" ca="1">INDIRECT("'※ 재무_세부시트'!"&amp;R$1&amp;$AD116, TRUE)</f>
        <v>-3.2223596408818196</v>
      </c>
      <c r="S116" s="2877" cm="1">
        <f t="array" aca="1" ref="S116" ca="1">INDIRECT("'※ 재무_세부시트'!"&amp;S$1&amp;$AD116, TRUE)</f>
        <v>2.2869411274236313</v>
      </c>
      <c r="T116" s="2791"/>
      <c r="U116" s="2791"/>
      <c r="V116" s="2862"/>
      <c r="W116" s="2943" cm="1">
        <f t="array" aca="1" ref="W116" ca="1">INDIRECT("'※ 재무_세부시트'!"&amp;W$1&amp;$AD116, TRUE)</f>
        <v>5.5093007683054509</v>
      </c>
      <c r="X116" s="2944" cm="1">
        <f t="array" aca="1" ref="X116" ca="1">INDIRECT("'※ 재무_세부시트'!"&amp;X$1&amp;$AD116, TRUE)</f>
        <v>11.434118648192328</v>
      </c>
      <c r="Y116" s="2944" cm="1">
        <f t="array" aca="1" ref="Y116" ca="1">INDIRECT("'※ 재무_세부시트'!"&amp;Y$1&amp;$AD116, TRUE)</f>
        <v>0</v>
      </c>
      <c r="Z116" s="2945" cm="1">
        <f t="array" aca="1" ref="Z116" ca="1">INDIRECT("'※ 재무_세부시트'!"&amp;Z$1&amp;$AD116, TRUE)</f>
        <v>3.3785072820046516</v>
      </c>
      <c r="AA116" s="2866"/>
      <c r="AB116" s="2794"/>
      <c r="AC116" s="2946" cm="1">
        <f t="array" aca="1" ref="AC116" ca="1">INDIRECT("'※ 재무_세부시트'!"&amp;AC$1&amp;$AD116, TRUE)</f>
        <v>5.9607439994696101</v>
      </c>
      <c r="AD116" s="2441">
        <v>115</v>
      </c>
      <c r="AE116" s="2882">
        <f t="shared" ref="AE116:AP116" si="57">AE117-AE120</f>
        <v>0.90736443712592774</v>
      </c>
      <c r="AF116" s="2882">
        <f t="shared" si="57"/>
        <v>0.85688383171349258</v>
      </c>
      <c r="AG116" s="2882">
        <f t="shared" si="57"/>
        <v>1.1348422865445009</v>
      </c>
      <c r="AH116" s="2882">
        <f t="shared" si="57"/>
        <v>-0.23625783678902579</v>
      </c>
      <c r="AI116" s="2882">
        <f t="shared" si="57"/>
        <v>-6.7798177084490874E-2</v>
      </c>
      <c r="AJ116" s="2882">
        <f t="shared" si="57"/>
        <v>0.87869550395346963</v>
      </c>
      <c r="AK116" s="2882">
        <f t="shared" si="57"/>
        <v>3.8137970111449704E-2</v>
      </c>
      <c r="AL116" s="2882">
        <f t="shared" si="57"/>
        <v>0.70547168186296005</v>
      </c>
      <c r="AM116" s="2882">
        <f t="shared" si="57"/>
        <v>3.5096274756153178E-2</v>
      </c>
      <c r="AN116" s="2882">
        <f t="shared" si="57"/>
        <v>1.9772362365852452</v>
      </c>
      <c r="AO116" s="2882">
        <f t="shared" si="57"/>
        <v>-4.7883970710510724</v>
      </c>
      <c r="AP116" s="2882">
        <f t="shared" si="57"/>
        <v>0.85042122884046023</v>
      </c>
      <c r="AQ116" s="2882">
        <f t="shared" si="55"/>
        <v>2.2916963665690702</v>
      </c>
      <c r="AR116" s="2488"/>
      <c r="AS116" s="2488"/>
      <c r="AT116" s="2488"/>
      <c r="AU116" s="2488"/>
      <c r="AV116" s="2488"/>
      <c r="AW116" s="2488"/>
      <c r="AX116" s="2488"/>
      <c r="AY116" s="2488"/>
      <c r="AZ116" s="2488"/>
      <c r="BA116" s="2488"/>
      <c r="BB116" s="2488"/>
      <c r="BC116" s="2488"/>
      <c r="BD116" s="2488"/>
      <c r="BE116" s="2488"/>
      <c r="BG116" s="2947" cm="1">
        <f t="array" aca="1" ref="BG116" ca="1">INDIRECT("'※ 재무_세부시트'!"&amp;BG$1&amp;$AD116, TRUE)</f>
        <v>0.90736443712592774</v>
      </c>
      <c r="BH116" s="2947" cm="1">
        <f t="array" aca="1" ref="BH116" ca="1">INDIRECT("'※ 재무_세부시트'!"&amp;BH$1&amp;$AD116, TRUE)</f>
        <v>2.2916963665690702</v>
      </c>
      <c r="BI116" s="2947" cm="1">
        <f t="array" aca="1" ref="BI116" ca="1">INDIRECT("'※ 재무_세부시트'!"&amp;BI$1&amp;$AD116, TRUE)</f>
        <v>3.8137970111449704E-2</v>
      </c>
      <c r="BJ116" s="2947" cm="1">
        <f t="array" aca="1" ref="BJ116" ca="1">INDIRECT("'※ 재무_세부시트'!"&amp;BJ$1&amp;$AD116, TRUE)</f>
        <v>-3.4260718433893693</v>
      </c>
      <c r="BK116" s="2947" cm="1">
        <f t="array" aca="1" ref="BK116" ca="1">INDIRECT("'※ 재무_세부시트'!"&amp;BK$1&amp;$AD116, TRUE)</f>
        <v>3.5096274756153178E-2</v>
      </c>
      <c r="BL116" s="2490"/>
      <c r="BM116" s="2490"/>
    </row>
    <row r="117" spans="1:65" ht="17.25" customHeight="1" x14ac:dyDescent="0.55000000000000004">
      <c r="A117" s="2855"/>
      <c r="B117" s="2493"/>
      <c r="C117" s="2884"/>
      <c r="D117" s="2857" t="s">
        <v>35</v>
      </c>
      <c r="E117" s="2858"/>
      <c r="F117" s="2859" cm="1">
        <f t="array" aca="1" ref="F117" ca="1">INDIRECT("'※ 재무_세부시트'!"&amp;F$1&amp;$AD117, TRUE)</f>
        <v>318.52088999999995</v>
      </c>
      <c r="G117" s="2859" cm="1">
        <f t="array" aca="1" ref="G117" ca="1">INDIRECT("'※ 재무_세부시트'!"&amp;G$1&amp;$AD117, TRUE)</f>
        <v>322.6402119524634</v>
      </c>
      <c r="H117" s="2860" cm="1">
        <f t="array" aca="1" ref="H117" ca="1">INDIRECT("'※ 재무_세부시트'!"&amp;H$1&amp;$AD117, TRUE)</f>
        <v>26.927904990000002</v>
      </c>
      <c r="I117" s="2861" cm="1">
        <f t="array" aca="1" ref="I117" ca="1">INDIRECT("'※ 재무_세부시트'!"&amp;I$1&amp;$AD117, TRUE)</f>
        <v>27.023409099999999</v>
      </c>
      <c r="J117" s="2861" cm="1">
        <f t="array" aca="1" ref="J117" ca="1">INDIRECT("'※ 재무_세부시트'!"&amp;J$1&amp;$AD117, TRUE)</f>
        <v>26.95</v>
      </c>
      <c r="K117" s="2861" cm="1">
        <f t="array" aca="1" ref="K117" ca="1">INDIRECT("'※ 재무_세부시트'!"&amp;K$1&amp;$AD117, TRUE)</f>
        <v>25.000194999999998</v>
      </c>
      <c r="L117" s="2861" cm="1">
        <f t="array" aca="1" ref="L117" ca="1">INDIRECT("'※ 재무_세부시트'!"&amp;L$1&amp;$AD117, TRUE)</f>
        <v>25</v>
      </c>
      <c r="M117" s="2861" cm="1">
        <f t="array" aca="1" ref="M117" ca="1">INDIRECT("'※ 재무_세부시트'!"&amp;M$1&amp;$AD117, TRUE)</f>
        <v>25.01363636</v>
      </c>
      <c r="N117" s="2861" cm="1">
        <f t="array" aca="1" ref="N117" ca="1">INDIRECT("'※ 재무_세부시트'!"&amp;N$1&amp;$AD117, TRUE)</f>
        <v>25</v>
      </c>
      <c r="O117" s="2861" cm="1">
        <f t="array" aca="1" ref="O117" ca="1">INDIRECT("'※ 재무_세부시트'!"&amp;O$1&amp;$AD117, TRUE)</f>
        <v>25</v>
      </c>
      <c r="P117" s="2861" cm="1">
        <f t="array" aca="1" ref="P117" ca="1">INDIRECT("'※ 재무_세부시트'!"&amp;P$1&amp;$AD117, TRUE)</f>
        <v>25</v>
      </c>
      <c r="Q117" s="2861" cm="1">
        <f t="array" aca="1" ref="Q117" ca="1">INDIRECT("'※ 재무_세부시트'!"&amp;Q$1&amp;$AD117, TRUE)</f>
        <v>25</v>
      </c>
      <c r="R117" s="2861" cm="1">
        <f t="array" aca="1" ref="R117" ca="1">INDIRECT("'※ 재무_세부시트'!"&amp;R$1&amp;$AD117, TRUE)</f>
        <v>25</v>
      </c>
      <c r="S117" s="2861" cm="1">
        <f t="array" aca="1" ref="S117" ca="1">INDIRECT("'※ 재무_세부시트'!"&amp;S$1&amp;$AD117, TRUE)</f>
        <v>35.258319999999998</v>
      </c>
      <c r="T117" s="2791"/>
      <c r="U117" s="2791"/>
      <c r="V117" s="2862"/>
      <c r="W117" s="2863" cm="1">
        <f t="array" aca="1" ref="W117" ca="1">INDIRECT("'※ 재무_세부시트'!"&amp;W$1&amp;$AD117, TRUE)</f>
        <v>10.258319999999998</v>
      </c>
      <c r="X117" s="2864" cm="1">
        <f t="array" aca="1" ref="X117" ca="1">INDIRECT("'※ 재무_세부시트'!"&amp;X$1&amp;$AD117, TRUE)</f>
        <v>16.220828439999998</v>
      </c>
      <c r="Y117" s="2864" cm="1">
        <f t="array" aca="1" ref="Y117" ca="1">INDIRECT("'※ 재무_세부시트'!"&amp;Y$1&amp;$AD117, TRUE)</f>
        <v>0</v>
      </c>
      <c r="Z117" s="2865" cm="1">
        <f t="array" aca="1" ref="Z117" ca="1">INDIRECT("'※ 재무_세부시트'!"&amp;Z$1&amp;$AD117, TRUE)</f>
        <v>316.17346544999998</v>
      </c>
      <c r="AA117" s="2866"/>
      <c r="AB117" s="2794"/>
      <c r="AC117" s="2867" cm="1">
        <f t="array" aca="1" ref="AC117" ca="1">INDIRECT("'※ 재무_세부시트'!"&amp;AC$1&amp;$AD117, TRUE)</f>
        <v>-6.4667465024634225</v>
      </c>
      <c r="AD117" s="2441">
        <v>116</v>
      </c>
      <c r="AE117" s="2505">
        <f t="shared" ref="AE117:AP117" si="58">AE118+AE119</f>
        <v>26.82</v>
      </c>
      <c r="AF117" s="2505">
        <f t="shared" si="58"/>
        <v>26.799999999999997</v>
      </c>
      <c r="AG117" s="2505">
        <f t="shared" si="58"/>
        <v>26.709249999999997</v>
      </c>
      <c r="AH117" s="2505">
        <f t="shared" si="58"/>
        <v>26.559159999999999</v>
      </c>
      <c r="AI117" s="2505">
        <f t="shared" si="58"/>
        <v>26.45233</v>
      </c>
      <c r="AJ117" s="2505">
        <f t="shared" si="58"/>
        <v>26.444949999999999</v>
      </c>
      <c r="AK117" s="2505">
        <f t="shared" si="58"/>
        <v>26.446349999999999</v>
      </c>
      <c r="AL117" s="2505">
        <f t="shared" si="58"/>
        <v>26.462949999999999</v>
      </c>
      <c r="AM117" s="2505">
        <f t="shared" si="58"/>
        <v>26.45</v>
      </c>
      <c r="AN117" s="2505">
        <f t="shared" si="58"/>
        <v>26.462949999999999</v>
      </c>
      <c r="AO117" s="2505">
        <f t="shared" si="58"/>
        <v>26.462949999999999</v>
      </c>
      <c r="AP117" s="2505">
        <f t="shared" si="58"/>
        <v>26.45</v>
      </c>
      <c r="AQ117" s="2505">
        <f t="shared" si="55"/>
        <v>318.52088999999995</v>
      </c>
      <c r="AR117" s="2488"/>
      <c r="AS117" s="2488"/>
      <c r="AT117" s="2488"/>
      <c r="AU117" s="2488"/>
      <c r="AV117" s="2488"/>
      <c r="AW117" s="2488"/>
      <c r="AX117" s="2488"/>
      <c r="AY117" s="2488"/>
      <c r="AZ117" s="2488"/>
      <c r="BA117" s="2488"/>
      <c r="BB117" s="2488"/>
      <c r="BC117" s="2488"/>
      <c r="BD117" s="2488"/>
      <c r="BE117" s="2488"/>
      <c r="BG117" s="2868" cm="1">
        <f t="array" aca="1" ref="BG117" ca="1">INDIRECT("'※ 재무_세부시트'!"&amp;BG$1&amp;$AD117, TRUE)</f>
        <v>26.82</v>
      </c>
      <c r="BH117" s="2868" cm="1">
        <f t="array" aca="1" ref="BH117" ca="1">INDIRECT("'※ 재무_세부시트'!"&amp;BH$1&amp;$AD117, TRUE)</f>
        <v>318.52088999999995</v>
      </c>
      <c r="BI117" s="2868" cm="1">
        <f t="array" aca="1" ref="BI117" ca="1">INDIRECT("'※ 재무_세부시트'!"&amp;BI$1&amp;$AD117, TRUE)</f>
        <v>26.446349999999999</v>
      </c>
      <c r="BJ117" s="2868" cm="1">
        <f t="array" aca="1" ref="BJ117" ca="1">INDIRECT("'※ 재무_세부시트'!"&amp;BJ$1&amp;$AD117, TRUE)</f>
        <v>26.4</v>
      </c>
      <c r="BK117" s="2868" cm="1">
        <f t="array" aca="1" ref="BK117" ca="1">INDIRECT("'※ 재무_세부시트'!"&amp;BK$1&amp;$AD117, TRUE)</f>
        <v>26.45</v>
      </c>
      <c r="BL117" s="2490"/>
      <c r="BM117" s="2490"/>
    </row>
    <row r="118" spans="1:65" ht="17.25" customHeight="1" x14ac:dyDescent="0.55000000000000004">
      <c r="A118" s="2855"/>
      <c r="B118" s="2493"/>
      <c r="C118" s="2884"/>
      <c r="D118" s="2857" t="s">
        <v>36</v>
      </c>
      <c r="E118" s="2857"/>
      <c r="F118" s="2859" cm="1">
        <f t="array" aca="1" ref="F118" ca="1">INDIRECT("'※ 재무_세부시트'!"&amp;F$1&amp;$AD118, TRUE)</f>
        <v>316.8</v>
      </c>
      <c r="G118" s="2859" cm="1">
        <f t="array" aca="1" ref="G118" ca="1">INDIRECT("'※ 재무_세부시트'!"&amp;G$1&amp;$AD118, TRUE)</f>
        <v>288.47218369000001</v>
      </c>
      <c r="H118" s="2860" cm="1">
        <f t="array" aca="1" ref="H118" ca="1">INDIRECT("'※ 재무_세부시트'!"&amp;H$1&amp;$AD118, TRUE)</f>
        <v>21.075722710000001</v>
      </c>
      <c r="I118" s="2861" cm="1">
        <f t="array" aca="1" ref="I118" ca="1">INDIRECT("'※ 재무_세부시트'!"&amp;I$1&amp;$AD118, TRUE)</f>
        <v>20.128282729999999</v>
      </c>
      <c r="J118" s="2861" cm="1">
        <f t="array" aca="1" ref="J118" ca="1">INDIRECT("'※ 재무_세부시트'!"&amp;J$1&amp;$AD118, TRUE)</f>
        <v>21.14748183</v>
      </c>
      <c r="K118" s="2861" cm="1">
        <f t="array" aca="1" ref="K118" ca="1">INDIRECT("'※ 재무_세부시트'!"&amp;K$1&amp;$AD118, TRUE)</f>
        <v>18.730698629999999</v>
      </c>
      <c r="L118" s="2861" cm="1">
        <f t="array" aca="1" ref="L118" ca="1">INDIRECT("'※ 재무_세부시트'!"&amp;L$1&amp;$AD118, TRUE)</f>
        <v>18.018645459999998</v>
      </c>
      <c r="M118" s="2861" cm="1">
        <f t="array" aca="1" ref="M118" ca="1">INDIRECT("'※ 재무_세부시트'!"&amp;M$1&amp;$AD118, TRUE)</f>
        <v>18.498636359999999</v>
      </c>
      <c r="N118" s="2861" cm="1">
        <f t="array" aca="1" ref="N118" ca="1">INDIRECT("'※ 재무_세부시트'!"&amp;N$1&amp;$AD118, TRUE)</f>
        <v>17.553954529999999</v>
      </c>
      <c r="O118" s="2861" cm="1">
        <f t="array" aca="1" ref="O118" ca="1">INDIRECT("'※ 재무_세부시트'!"&amp;O$1&amp;$AD118, TRUE)</f>
        <v>17.43760726</v>
      </c>
      <c r="P118" s="2861" cm="1">
        <f t="array" aca="1" ref="P118" ca="1">INDIRECT("'※ 재무_세부시트'!"&amp;P$1&amp;$AD118, TRUE)</f>
        <v>17.025872700000001</v>
      </c>
      <c r="Q118" s="2861" cm="1">
        <f t="array" aca="1" ref="Q118" ca="1">INDIRECT("'※ 재무_세부시트'!"&amp;Q$1&amp;$AD118, TRUE)</f>
        <v>17.0505</v>
      </c>
      <c r="R118" s="2861" cm="1">
        <f t="array" aca="1" ref="R118" ca="1">INDIRECT("'※ 재무_세부시트'!"&amp;R$1&amp;$AD118, TRUE)</f>
        <v>17.43736363</v>
      </c>
      <c r="S118" s="2861" cm="1">
        <f t="array" aca="1" ref="S118" ca="1">INDIRECT("'※ 재무_세부시트'!"&amp;S$1&amp;$AD118, TRUE)</f>
        <v>27.571801819999997</v>
      </c>
      <c r="T118" s="2791"/>
      <c r="U118" s="2791"/>
      <c r="V118" s="2862"/>
      <c r="W118" s="2863" cm="1">
        <f t="array" aca="1" ref="W118" ca="1">INDIRECT("'※ 재무_세부시트'!"&amp;W$1&amp;$AD118, TRUE)</f>
        <v>10.134438189999997</v>
      </c>
      <c r="X118" s="2864" cm="1">
        <f t="array" aca="1" ref="X118" ca="1">INDIRECT("'※ 재무_세부시트'!"&amp;X$1&amp;$AD118, TRUE)</f>
        <v>13.546431459999997</v>
      </c>
      <c r="Y118" s="2864" cm="1">
        <f t="array" aca="1" ref="Y118" ca="1">INDIRECT("'※ 재무_세부시트'!"&amp;Y$1&amp;$AD118, TRUE)</f>
        <v>0</v>
      </c>
      <c r="Z118" s="2865" cm="1">
        <f t="array" aca="1" ref="Z118" ca="1">INDIRECT("'※ 재무_세부시트'!"&amp;Z$1&amp;$AD118, TRUE)</f>
        <v>231.67656765999999</v>
      </c>
      <c r="AA118" s="2866"/>
      <c r="AB118" s="2794"/>
      <c r="AC118" s="2867" cm="1">
        <f t="array" aca="1" ref="AC118" ca="1">INDIRECT("'※ 재무_세부시트'!"&amp;AC$1&amp;$AD118, TRUE)</f>
        <v>-56.795616030000019</v>
      </c>
      <c r="AD118" s="2441">
        <v>117</v>
      </c>
      <c r="AE118" s="2504">
        <v>26.4</v>
      </c>
      <c r="AF118" s="2504">
        <v>26.4</v>
      </c>
      <c r="AG118" s="2504">
        <v>26.4</v>
      </c>
      <c r="AH118" s="2504">
        <v>26.4</v>
      </c>
      <c r="AI118" s="2504">
        <v>26.4</v>
      </c>
      <c r="AJ118" s="2504">
        <v>26.4</v>
      </c>
      <c r="AK118" s="2504">
        <v>26.4</v>
      </c>
      <c r="AL118" s="2504">
        <v>26.4</v>
      </c>
      <c r="AM118" s="2504">
        <v>26.4</v>
      </c>
      <c r="AN118" s="2504">
        <v>26.4</v>
      </c>
      <c r="AO118" s="2504">
        <v>26.4</v>
      </c>
      <c r="AP118" s="2504">
        <v>26.4</v>
      </c>
      <c r="AQ118" s="2505">
        <f t="shared" si="55"/>
        <v>316.79999999999995</v>
      </c>
      <c r="AR118" s="2488"/>
      <c r="AS118" s="2488"/>
      <c r="AT118" s="2488"/>
      <c r="AU118" s="2488"/>
      <c r="AV118" s="2488"/>
      <c r="AW118" s="2488"/>
      <c r="AX118" s="2488"/>
      <c r="AY118" s="2488"/>
      <c r="AZ118" s="2488"/>
      <c r="BA118" s="2488"/>
      <c r="BB118" s="2488"/>
      <c r="BC118" s="2488"/>
      <c r="BD118" s="2488"/>
      <c r="BE118" s="2488"/>
      <c r="BG118" s="2868" cm="1">
        <f t="array" aca="1" ref="BG118" ca="1">INDIRECT("'※ 재무_세부시트'!"&amp;BG$1&amp;$AD118, TRUE)</f>
        <v>26.4</v>
      </c>
      <c r="BH118" s="2868" cm="1">
        <f t="array" aca="1" ref="BH118" ca="1">INDIRECT("'※ 재무_세부시트'!"&amp;BH$1&amp;$AD118, TRUE)</f>
        <v>316.8</v>
      </c>
      <c r="BI118" s="2868" cm="1">
        <f t="array" aca="1" ref="BI118" ca="1">INDIRECT("'※ 재무_세부시트'!"&amp;BI$1&amp;$AD118, TRUE)</f>
        <v>26.4</v>
      </c>
      <c r="BJ118" s="2868" cm="1">
        <f t="array" aca="1" ref="BJ118" ca="1">INDIRECT("'※ 재무_세부시트'!"&amp;BJ$1&amp;$AD118, TRUE)</f>
        <v>26.4</v>
      </c>
      <c r="BK118" s="2868" cm="1">
        <f t="array" aca="1" ref="BK118" ca="1">INDIRECT("'※ 재무_세부시트'!"&amp;BK$1&amp;$AD118, TRUE)</f>
        <v>26.4</v>
      </c>
      <c r="BL118" s="2490"/>
      <c r="BM118" s="2490"/>
    </row>
    <row r="119" spans="1:65" ht="17.25" customHeight="1" x14ac:dyDescent="0.55000000000000004">
      <c r="A119" s="2855"/>
      <c r="B119" s="2493"/>
      <c r="C119" s="2884"/>
      <c r="D119" s="2857" t="s">
        <v>37</v>
      </c>
      <c r="E119" s="2857"/>
      <c r="F119" s="2859" cm="1">
        <f t="array" aca="1" ref="F119" ca="1">INDIRECT("'※ 재무_세부시트'!"&amp;F$1&amp;$AD119, TRUE)</f>
        <v>1.7208900000000005</v>
      </c>
      <c r="G119" s="2859" cm="1">
        <f t="array" aca="1" ref="G119" ca="1">INDIRECT("'※ 재무_세부시트'!"&amp;G$1&amp;$AD119, TRUE)</f>
        <v>34.168028262463402</v>
      </c>
      <c r="H119" s="2860" cm="1">
        <f t="array" aca="1" ref="H119" ca="1">INDIRECT("'※ 재무_세부시트'!"&amp;H$1&amp;$AD119, TRUE)</f>
        <v>5.8521822800000001</v>
      </c>
      <c r="I119" s="2861" cm="1">
        <f t="array" aca="1" ref="I119" ca="1">INDIRECT("'※ 재무_세부시트'!"&amp;I$1&amp;$AD119, TRUE)</f>
        <v>6.8951263699999998</v>
      </c>
      <c r="J119" s="2861" cm="1">
        <f t="array" aca="1" ref="J119" ca="1">INDIRECT("'※ 재무_세부시트'!"&amp;J$1&amp;$AD119, TRUE)</f>
        <v>5.8025181699999999</v>
      </c>
      <c r="K119" s="2861" cm="1">
        <f t="array" aca="1" ref="K119" ca="1">INDIRECT("'※ 재무_세부시트'!"&amp;K$1&amp;$AD119, TRUE)</f>
        <v>6.2694963699999997</v>
      </c>
      <c r="L119" s="2861" cm="1">
        <f t="array" aca="1" ref="L119" ca="1">INDIRECT("'※ 재무_세부시트'!"&amp;L$1&amp;$AD119, TRUE)</f>
        <v>6.9813545399999999</v>
      </c>
      <c r="M119" s="2861" cm="1">
        <f t="array" aca="1" ref="M119" ca="1">INDIRECT("'※ 재무_세부시트'!"&amp;M$1&amp;$AD119, TRUE)</f>
        <v>6.5149999999999997</v>
      </c>
      <c r="N119" s="2861" cm="1">
        <f t="array" aca="1" ref="N119" ca="1">INDIRECT("'※ 재무_세부시트'!"&amp;N$1&amp;$AD119, TRUE)</f>
        <v>7.4460454699999996</v>
      </c>
      <c r="O119" s="2861" cm="1">
        <f t="array" aca="1" ref="O119" ca="1">INDIRECT("'※ 재무_세부시트'!"&amp;O$1&amp;$AD119, TRUE)</f>
        <v>7.5623927399999999</v>
      </c>
      <c r="P119" s="2861" cm="1">
        <f t="array" aca="1" ref="P119" ca="1">INDIRECT("'※ 재무_세부시트'!"&amp;P$1&amp;$AD119, TRUE)</f>
        <v>7.9741273000000001</v>
      </c>
      <c r="Q119" s="2861" cm="1">
        <f t="array" aca="1" ref="Q119" ca="1">INDIRECT("'※ 재무_세부시트'!"&amp;Q$1&amp;$AD119, TRUE)</f>
        <v>7.9494999999999996</v>
      </c>
      <c r="R119" s="2861" cm="1">
        <f t="array" aca="1" ref="R119" ca="1">INDIRECT("'※ 재무_세부시트'!"&amp;R$1&amp;$AD119, TRUE)</f>
        <v>7.5626363699999999</v>
      </c>
      <c r="S119" s="2861" cm="1">
        <f t="array" aca="1" ref="S119" ca="1">INDIRECT("'※ 재무_세부시트'!"&amp;S$1&amp;$AD119, TRUE)</f>
        <v>7.6865181800000002</v>
      </c>
      <c r="T119" s="2791"/>
      <c r="U119" s="2791"/>
      <c r="V119" s="2862"/>
      <c r="W119" s="2863" cm="1">
        <f t="array" aca="1" ref="W119" ca="1">INDIRECT("'※ 재무_세부시트'!"&amp;W$1&amp;$AD119, TRUE)</f>
        <v>0.12388181000000031</v>
      </c>
      <c r="X119" s="2864" cm="1">
        <f t="array" aca="1" ref="X119" ca="1">INDIRECT("'※ 재무_세부시트'!"&amp;X$1&amp;$AD119, TRUE)</f>
        <v>2.6743969800000009</v>
      </c>
      <c r="Y119" s="2864" cm="1">
        <f t="array" aca="1" ref="Y119" ca="1">INDIRECT("'※ 재무_세부시트'!"&amp;Y$1&amp;$AD119, TRUE)</f>
        <v>0</v>
      </c>
      <c r="Z119" s="2865" cm="1">
        <f t="array" aca="1" ref="Z119" ca="1">INDIRECT("'※ 재무_세부시트'!"&amp;Z$1&amp;$AD119, TRUE)</f>
        <v>84.496897789999991</v>
      </c>
      <c r="AA119" s="2866"/>
      <c r="AB119" s="2794"/>
      <c r="AC119" s="2867" cm="1">
        <f t="array" aca="1" ref="AC119" ca="1">INDIRECT("'※ 재무_세부시트'!"&amp;AC$1&amp;$AD119, TRUE)</f>
        <v>50.32886952753659</v>
      </c>
      <c r="AD119" s="2441">
        <v>118</v>
      </c>
      <c r="AE119" s="2504">
        <v>0.42</v>
      </c>
      <c r="AF119" s="2504">
        <v>0.4</v>
      </c>
      <c r="AG119" s="2504">
        <v>0.30925000000000002</v>
      </c>
      <c r="AH119" s="2504">
        <v>0.15916</v>
      </c>
      <c r="AI119" s="2504">
        <v>5.2330000000000002E-2</v>
      </c>
      <c r="AJ119" s="2504">
        <v>4.4949999999999997E-2</v>
      </c>
      <c r="AK119" s="2504">
        <v>4.6350000000000002E-2</v>
      </c>
      <c r="AL119" s="2504">
        <v>6.2950000000000006E-2</v>
      </c>
      <c r="AM119" s="2504">
        <v>0.05</v>
      </c>
      <c r="AN119" s="2504">
        <v>6.2950000000000006E-2</v>
      </c>
      <c r="AO119" s="2504">
        <v>6.2950000000000006E-2</v>
      </c>
      <c r="AP119" s="2504">
        <v>0.05</v>
      </c>
      <c r="AQ119" s="2505">
        <f t="shared" si="55"/>
        <v>1.7208900000000005</v>
      </c>
      <c r="AR119" s="2488"/>
      <c r="AS119" s="2488"/>
      <c r="AT119" s="2488"/>
      <c r="AU119" s="2488"/>
      <c r="AV119" s="2488"/>
      <c r="AW119" s="2488"/>
      <c r="AX119" s="2488"/>
      <c r="AY119" s="2488"/>
      <c r="AZ119" s="2488"/>
      <c r="BA119" s="2488"/>
      <c r="BB119" s="2488"/>
      <c r="BC119" s="2488"/>
      <c r="BD119" s="2488"/>
      <c r="BE119" s="2488"/>
      <c r="BG119" s="2868" cm="1">
        <f t="array" aca="1" ref="BG119" ca="1">INDIRECT("'※ 재무_세부시트'!"&amp;BG$1&amp;$AD119, TRUE)</f>
        <v>0.42</v>
      </c>
      <c r="BH119" s="2868" cm="1">
        <f t="array" aca="1" ref="BH119" ca="1">INDIRECT("'※ 재무_세부시트'!"&amp;BH$1&amp;$AD119, TRUE)</f>
        <v>1.7208900000000005</v>
      </c>
      <c r="BI119" s="2868" cm="1">
        <f t="array" aca="1" ref="BI119" ca="1">INDIRECT("'※ 재무_세부시트'!"&amp;BI$1&amp;$AD119, TRUE)</f>
        <v>4.6350000000000002E-2</v>
      </c>
      <c r="BJ119" s="2868" cm="1">
        <f t="array" aca="1" ref="BJ119" ca="1">INDIRECT("'※ 재무_세부시트'!"&amp;BJ$1&amp;$AD119, TRUE)</f>
        <v>0</v>
      </c>
      <c r="BK119" s="2868" cm="1">
        <f t="array" aca="1" ref="BK119" ca="1">INDIRECT("'※ 재무_세부시트'!"&amp;BK$1&amp;$AD119, TRUE)</f>
        <v>0.05</v>
      </c>
      <c r="BL119" s="2490"/>
      <c r="BM119" s="2490"/>
    </row>
    <row r="120" spans="1:65" ht="17.25" customHeight="1" x14ac:dyDescent="0.55000000000000004">
      <c r="A120" s="2855"/>
      <c r="B120" s="2493"/>
      <c r="C120" s="2884"/>
      <c r="D120" s="2884" t="s">
        <v>38</v>
      </c>
      <c r="E120" s="2884"/>
      <c r="F120" s="2886" cm="1">
        <f t="array" aca="1" ref="F120" ca="1">INDIRECT("'※ 재무_세부시트'!"&amp;F$1&amp;$AD120, TRUE)</f>
        <v>316.22919363343095</v>
      </c>
      <c r="G120" s="2886" cm="1">
        <f t="array" aca="1" ref="G120" ca="1">INDIRECT("'※ 재무_세부시트'!"&amp;G$1&amp;$AD120, TRUE)</f>
        <v>325.22244866992833</v>
      </c>
      <c r="H120" s="2887" cm="1">
        <f t="array" aca="1" ref="H120" ca="1">INDIRECT("'※ 재무_세부시트'!"&amp;H$1&amp;$AD120, TRUE)</f>
        <v>24.845837291783244</v>
      </c>
      <c r="I120" s="2877" cm="1">
        <f t="array" aca="1" ref="I120" ca="1">INDIRECT("'※ 재무_세부시트'!"&amp;I$1&amp;$AD120, TRUE)</f>
        <v>24.746011535136944</v>
      </c>
      <c r="J120" s="2877" cm="1">
        <f t="array" aca="1" ref="J120" ca="1">INDIRECT("'※ 재무_세부시트'!"&amp;J$1&amp;$AD120, TRUE)</f>
        <v>24.090857329318144</v>
      </c>
      <c r="K120" s="2877" cm="1">
        <f t="array" aca="1" ref="K120" ca="1">INDIRECT("'※ 재무_세부시트'!"&amp;K$1&amp;$AD120, TRUE)</f>
        <v>25.004927535117659</v>
      </c>
      <c r="L120" s="2877" cm="1">
        <f t="array" aca="1" ref="L120" ca="1">INDIRECT("'※ 재무_세부시트'!"&amp;L$1&amp;$AD120, TRUE)</f>
        <v>23.566866713899419</v>
      </c>
      <c r="M120" s="2877" cm="1">
        <f t="array" aca="1" ref="M120" ca="1">INDIRECT("'※ 재무_세부시트'!"&amp;M$1&amp;$AD120, TRUE)</f>
        <v>25.144064381518589</v>
      </c>
      <c r="N120" s="2877" cm="1">
        <f t="array" aca="1" ref="N120" ca="1">INDIRECT("'※ 재무_세부시트'!"&amp;N$1&amp;$AD120, TRUE)</f>
        <v>23.561724589821733</v>
      </c>
      <c r="O120" s="2877" cm="1">
        <f t="array" aca="1" ref="O120" ca="1">INDIRECT("'※ 재무_세부시트'!"&amp;O$1&amp;$AD120, TRUE)</f>
        <v>23.033514047552092</v>
      </c>
      <c r="P120" s="2877" cm="1">
        <f t="array" aca="1" ref="P120" ca="1">INDIRECT("'※ 재무_세부시트'!"&amp;P$1&amp;$AD120, TRUE)</f>
        <v>30.699911486071109</v>
      </c>
      <c r="Q120" s="2877" cm="1">
        <f t="array" aca="1" ref="Q120" ca="1">INDIRECT("'※ 재무_세부시트'!"&amp;Q$1&amp;$AD120, TRUE)</f>
        <v>26.907504744318224</v>
      </c>
      <c r="R120" s="2877" cm="1">
        <f t="array" aca="1" ref="R120" ca="1">INDIRECT("'※ 재무_세부시트'!"&amp;R$1&amp;$AD120, TRUE)</f>
        <v>28.22235964088182</v>
      </c>
      <c r="S120" s="2877" cm="1">
        <f t="array" aca="1" ref="S120" ca="1">INDIRECT("'※ 재무_세부시트'!"&amp;S$1&amp;$AD120, TRUE)</f>
        <v>32.971378872576366</v>
      </c>
      <c r="T120" s="2791"/>
      <c r="U120" s="2791"/>
      <c r="V120" s="2862"/>
      <c r="W120" s="2888" cm="1">
        <f t="array" aca="1" ref="W120" ca="1">INDIRECT("'※ 재무_세부시트'!"&amp;W$1&amp;$AD120, TRUE)</f>
        <v>4.7490192316945468</v>
      </c>
      <c r="X120" s="2889" cm="1">
        <f t="array" aca="1" ref="X120" ca="1">INDIRECT("'※ 재무_세부시트'!"&amp;X$1&amp;$AD120, TRUE)</f>
        <v>4.7867097918076702</v>
      </c>
      <c r="Y120" s="2889" cm="1">
        <f t="array" aca="1" ref="Y120" ca="1">INDIRECT("'※ 재무_세부시트'!"&amp;Y$1&amp;$AD120, TRUE)</f>
        <v>0</v>
      </c>
      <c r="Z120" s="2890" cm="1">
        <f t="array" aca="1" ref="Z120" ca="1">INDIRECT("'※ 재무_세부시트'!"&amp;Z$1&amp;$AD120, TRUE)</f>
        <v>312.79495816799533</v>
      </c>
      <c r="AA120" s="2866"/>
      <c r="AB120" s="2794"/>
      <c r="AC120" s="2891" cm="1">
        <f t="array" aca="1" ref="AC120" ca="1">INDIRECT("'※ 재무_세부시트'!"&amp;AC$1&amp;$AD120, TRUE)</f>
        <v>-12.427490501932994</v>
      </c>
      <c r="AD120" s="2441">
        <v>119</v>
      </c>
      <c r="AE120" s="2505">
        <f t="shared" ref="AE120:AP120" si="59">AE121+AE122+AE123+AE124+AE125+AE126</f>
        <v>25.912635562874073</v>
      </c>
      <c r="AF120" s="2505">
        <f t="shared" si="59"/>
        <v>25.943116168286505</v>
      </c>
      <c r="AG120" s="2505">
        <f t="shared" si="59"/>
        <v>25.574407713455496</v>
      </c>
      <c r="AH120" s="2505">
        <f t="shared" si="59"/>
        <v>26.795417836789024</v>
      </c>
      <c r="AI120" s="2505">
        <f t="shared" si="59"/>
        <v>26.520128177084491</v>
      </c>
      <c r="AJ120" s="2505">
        <f t="shared" si="59"/>
        <v>25.566254496046529</v>
      </c>
      <c r="AK120" s="2505">
        <f t="shared" si="59"/>
        <v>26.408212029888549</v>
      </c>
      <c r="AL120" s="2505">
        <f t="shared" si="59"/>
        <v>25.757478318137039</v>
      </c>
      <c r="AM120" s="2505">
        <f t="shared" si="59"/>
        <v>26.414903725243846</v>
      </c>
      <c r="AN120" s="2505">
        <f t="shared" si="59"/>
        <v>24.485713763414754</v>
      </c>
      <c r="AO120" s="2505">
        <f t="shared" si="59"/>
        <v>31.251347071051072</v>
      </c>
      <c r="AP120" s="2505">
        <f t="shared" si="59"/>
        <v>25.599578771159539</v>
      </c>
      <c r="AQ120" s="2505">
        <f t="shared" si="55"/>
        <v>316.22919363343095</v>
      </c>
      <c r="AR120" s="2488"/>
      <c r="AS120" s="2488"/>
      <c r="AT120" s="2488"/>
      <c r="AU120" s="2488"/>
      <c r="AV120" s="2488"/>
      <c r="AW120" s="2488"/>
      <c r="AX120" s="2488"/>
      <c r="AY120" s="2488"/>
      <c r="AZ120" s="2488"/>
      <c r="BA120" s="2488"/>
      <c r="BB120" s="2488"/>
      <c r="BC120" s="2488"/>
      <c r="BD120" s="2488"/>
      <c r="BE120" s="2488"/>
      <c r="BG120" s="2892" cm="1">
        <f t="array" aca="1" ref="BG120" ca="1">INDIRECT("'※ 재무_세부시트'!"&amp;BG$1&amp;$AD120, TRUE)</f>
        <v>25.912635562874073</v>
      </c>
      <c r="BH120" s="2892" cm="1">
        <f t="array" aca="1" ref="BH120" ca="1">INDIRECT("'※ 재무_세부시트'!"&amp;BH$1&amp;$AD120, TRUE)</f>
        <v>316.22919363343095</v>
      </c>
      <c r="BI120" s="2892" cm="1">
        <f t="array" aca="1" ref="BI120" ca="1">INDIRECT("'※ 재무_세부시트'!"&amp;BI$1&amp;$AD120, TRUE)</f>
        <v>26.408212029888549</v>
      </c>
      <c r="BJ120" s="2892" cm="1">
        <f t="array" aca="1" ref="BJ120" ca="1">INDIRECT("'※ 재무_세부시트'!"&amp;BJ$1&amp;$AD120, TRUE)</f>
        <v>29.826071843389368</v>
      </c>
      <c r="BK120" s="2892" cm="1">
        <f t="array" aca="1" ref="BK120" ca="1">INDIRECT("'※ 재무_세부시트'!"&amp;BK$1&amp;$AD120, TRUE)</f>
        <v>26.414903725243846</v>
      </c>
      <c r="BL120" s="2490"/>
      <c r="BM120" s="2490"/>
    </row>
    <row r="121" spans="1:65" ht="17.25" customHeight="1" x14ac:dyDescent="0.55000000000000004">
      <c r="A121" s="2855"/>
      <c r="B121" s="2493"/>
      <c r="C121" s="2884"/>
      <c r="D121" s="2884" t="s">
        <v>30</v>
      </c>
      <c r="E121" s="2884"/>
      <c r="F121" s="2886" cm="1">
        <f t="array" aca="1" ref="F121" ca="1">INDIRECT("'※ 재무_세부시트'!"&amp;F$1&amp;$AD121, TRUE)</f>
        <v>223.98714608364719</v>
      </c>
      <c r="G121" s="2886" cm="1">
        <f t="array" aca="1" ref="G121" ca="1">INDIRECT("'※ 재무_세부시트'!"&amp;G$1&amp;$AD121, TRUE)</f>
        <v>239.28232744816407</v>
      </c>
      <c r="H121" s="2887" cm="1">
        <f t="array" aca="1" ref="H121" ca="1">INDIRECT("'※ 재무_세부시트'!"&amp;H$1&amp;$AD121, TRUE)</f>
        <v>18.499502598368736</v>
      </c>
      <c r="I121" s="2877" cm="1">
        <f t="array" aca="1" ref="I121" ca="1">INDIRECT("'※ 재무_세부시트'!"&amp;I$1&amp;$AD121, TRUE)</f>
        <v>17.666580611503012</v>
      </c>
      <c r="J121" s="2877" cm="1">
        <f t="array" aca="1" ref="J121" ca="1">INDIRECT("'※ 재무_세부시트'!"&amp;J$1&amp;$AD121, TRUE)</f>
        <v>17.899014177053651</v>
      </c>
      <c r="K121" s="2877" cm="1">
        <f t="array" aca="1" ref="K121" ca="1">INDIRECT("'※ 재무_세부시트'!"&amp;K$1&amp;$AD121, TRUE)</f>
        <v>18.631301473325518</v>
      </c>
      <c r="L121" s="2877" cm="1">
        <f t="array" aca="1" ref="L121" ca="1">INDIRECT("'※ 재무_세부시트'!"&amp;L$1&amp;$AD121, TRUE)</f>
        <v>17.548396387078899</v>
      </c>
      <c r="M121" s="2877" cm="1">
        <f t="array" aca="1" ref="M121" ca="1">INDIRECT("'※ 재무_세부시트'!"&amp;M$1&amp;$AD121, TRUE)</f>
        <v>18.948268203445625</v>
      </c>
      <c r="N121" s="2877" cm="1">
        <f t="array" aca="1" ref="N121" ca="1">INDIRECT("'※ 재무_세부시트'!"&amp;N$1&amp;$AD121, TRUE)</f>
        <v>16.981313480285607</v>
      </c>
      <c r="O121" s="2877" cm="1">
        <f t="array" aca="1" ref="O121" ca="1">INDIRECT("'※ 재무_세부시트'!"&amp;O$1&amp;$AD121, TRUE)</f>
        <v>17.064247758264955</v>
      </c>
      <c r="P121" s="2877" cm="1">
        <f t="array" aca="1" ref="P121" ca="1">INDIRECT("'※ 재무_세부시트'!"&amp;P$1&amp;$AD121, TRUE)</f>
        <v>22.896992302152171</v>
      </c>
      <c r="Q121" s="2877" cm="1">
        <f t="array" aca="1" ref="Q121" ca="1">INDIRECT("'※ 재무_세부시트'!"&amp;Q$1&amp;$AD121, TRUE)</f>
        <v>20.691386913480525</v>
      </c>
      <c r="R121" s="2877" cm="1">
        <f t="array" aca="1" ref="R121" ca="1">INDIRECT("'※ 재무_세부시트'!"&amp;R$1&amp;$AD121, TRUE)</f>
        <v>21.491897175739812</v>
      </c>
      <c r="S121" s="2877" cm="1">
        <f t="array" aca="1" ref="S121" ca="1">INDIRECT("'※ 재무_세부시트'!"&amp;S$1&amp;$AD121, TRUE)</f>
        <v>26.174286966985392</v>
      </c>
      <c r="T121" s="2791"/>
      <c r="U121" s="2791"/>
      <c r="V121" s="2862"/>
      <c r="W121" s="2888" cm="1">
        <f t="array" aca="1" ref="W121" ca="1">INDIRECT("'※ 재무_세부시트'!"&amp;W$1&amp;$AD121, TRUE)</f>
        <v>4.6823897912455799</v>
      </c>
      <c r="X121" s="2889" cm="1">
        <f t="array" aca="1" ref="X121" ca="1">INDIRECT("'※ 재무_세부시트'!"&amp;X$1&amp;$AD121, TRUE)</f>
        <v>4.8826484325836823</v>
      </c>
      <c r="Y121" s="2889" cm="1">
        <f t="array" aca="1" ref="Y121" ca="1">INDIRECT("'※ 재무_세부시트'!"&amp;Y$1&amp;$AD121, TRUE)</f>
        <v>0</v>
      </c>
      <c r="Z121" s="2890" cm="1">
        <f t="array" aca="1" ref="Z121" ca="1">INDIRECT("'※ 재무_세부시트'!"&amp;Z$1&amp;$AD121, TRUE)</f>
        <v>234.4931880476839</v>
      </c>
      <c r="AA121" s="2866"/>
      <c r="AB121" s="2794"/>
      <c r="AC121" s="2891" cm="1">
        <f t="array" aca="1" ref="AC121" ca="1">INDIRECT("'※ 재무_세부시트'!"&amp;AC$1&amp;$AD121, TRUE)</f>
        <v>-4.7891394004801668</v>
      </c>
      <c r="AD121" s="2441">
        <v>120</v>
      </c>
      <c r="AE121" s="2504">
        <v>18.161017801310326</v>
      </c>
      <c r="AF121" s="2504">
        <v>18.492298461170368</v>
      </c>
      <c r="AG121" s="2504">
        <v>18.130094353672604</v>
      </c>
      <c r="AH121" s="2504">
        <v>19.686150608230751</v>
      </c>
      <c r="AI121" s="2504">
        <v>18.335353298281152</v>
      </c>
      <c r="AJ121" s="2504">
        <v>17.419234584628352</v>
      </c>
      <c r="AK121" s="2504">
        <v>17.926874626359499</v>
      </c>
      <c r="AL121" s="2504">
        <v>17.565155098415399</v>
      </c>
      <c r="AM121" s="2504">
        <v>18.051860600947101</v>
      </c>
      <c r="AN121" s="2504">
        <v>17.261061261891502</v>
      </c>
      <c r="AO121" s="2504">
        <v>24.356538728380901</v>
      </c>
      <c r="AP121" s="2504">
        <v>18.601506660359199</v>
      </c>
      <c r="AQ121" s="2505">
        <f t="shared" si="55"/>
        <v>223.98714608364719</v>
      </c>
      <c r="AR121" s="2488"/>
      <c r="AS121" s="2488"/>
      <c r="AT121" s="2488"/>
      <c r="AU121" s="2488"/>
      <c r="AV121" s="2488"/>
      <c r="AW121" s="2488"/>
      <c r="AX121" s="2488"/>
      <c r="AY121" s="2488"/>
      <c r="AZ121" s="2488"/>
      <c r="BA121" s="2488"/>
      <c r="BB121" s="2488"/>
      <c r="BC121" s="2488"/>
      <c r="BD121" s="2488"/>
      <c r="BE121" s="2488"/>
      <c r="BG121" s="2892" cm="1">
        <f t="array" aca="1" ref="BG121" ca="1">INDIRECT("'※ 재무_세부시트'!"&amp;BG$1&amp;$AD121, TRUE)</f>
        <v>18.161017801310326</v>
      </c>
      <c r="BH121" s="2892" cm="1">
        <f t="array" aca="1" ref="BH121" ca="1">INDIRECT("'※ 재무_세부시트'!"&amp;BH$1&amp;$AD121, TRUE)</f>
        <v>223.98714608364719</v>
      </c>
      <c r="BI121" s="2892" cm="1">
        <f t="array" aca="1" ref="BI121" ca="1">INDIRECT("'※ 재무_세부시트'!"&amp;BI$1&amp;$AD121, TRUE)</f>
        <v>17.926874626359499</v>
      </c>
      <c r="BJ121" s="2892" cm="1">
        <f t="array" aca="1" ref="BJ121" ca="1">INDIRECT("'※ 재무_세부시트'!"&amp;BJ$1&amp;$AD121, TRUE)</f>
        <v>20.996801599790579</v>
      </c>
      <c r="BK121" s="2892" cm="1">
        <f t="array" aca="1" ref="BK121" ca="1">INDIRECT("'※ 재무_세부시트'!"&amp;BK$1&amp;$AD121, TRUE)</f>
        <v>18.051860600947101</v>
      </c>
      <c r="BL121" s="2490"/>
      <c r="BM121" s="2490"/>
    </row>
    <row r="122" spans="1:65" ht="17.25" customHeight="1" x14ac:dyDescent="0.55000000000000004">
      <c r="A122" s="2855"/>
      <c r="B122" s="2493"/>
      <c r="C122" s="2884"/>
      <c r="D122" s="2884" t="s">
        <v>31</v>
      </c>
      <c r="E122" s="2884"/>
      <c r="F122" s="2886" cm="1">
        <f t="array" aca="1" ref="F122" ca="1">INDIRECT("'※ 재무_세부시트'!"&amp;F$1&amp;$AD122, TRUE)</f>
        <v>45.616742590567021</v>
      </c>
      <c r="G122" s="2886" cm="1">
        <f t="array" aca="1" ref="G122" ca="1">INDIRECT("'※ 재무_세부시트'!"&amp;G$1&amp;$AD122, TRUE)</f>
        <v>38.073625275384771</v>
      </c>
      <c r="H122" s="2887" cm="1">
        <f t="array" aca="1" ref="H122" ca="1">INDIRECT("'※ 재무_세부시트'!"&amp;H$1&amp;$AD122, TRUE)</f>
        <v>2.67858501442459</v>
      </c>
      <c r="I122" s="2877" cm="1">
        <f t="array" aca="1" ref="I122" ca="1">INDIRECT("'※ 재무_세부시트'!"&amp;I$1&amp;$AD122, TRUE)</f>
        <v>2.5128946773197263</v>
      </c>
      <c r="J122" s="2877" cm="1">
        <f t="array" aca="1" ref="J122" ca="1">INDIRECT("'※ 재무_세부시트'!"&amp;J$1&amp;$AD122, TRUE)</f>
        <v>2.4634362158557166</v>
      </c>
      <c r="K122" s="2877" cm="1">
        <f t="array" aca="1" ref="K122" ca="1">INDIRECT("'※ 재무_세부시트'!"&amp;K$1&amp;$AD122, TRUE)</f>
        <v>2.6325713705788578</v>
      </c>
      <c r="L122" s="2877" cm="1">
        <f t="array" aca="1" ref="L122" ca="1">INDIRECT("'※ 재무_세부시트'!"&amp;L$1&amp;$AD122, TRUE)</f>
        <v>2.6665240794888807</v>
      </c>
      <c r="M122" s="2877" cm="1">
        <f t="array" aca="1" ref="M122" ca="1">INDIRECT("'※ 재무_세부시트'!"&amp;M$1&amp;$AD122, TRUE)</f>
        <v>2.4713416071119449</v>
      </c>
      <c r="N122" s="2877" cm="1">
        <f t="array" aca="1" ref="N122" ca="1">INDIRECT("'※ 재무_세부시트'!"&amp;N$1&amp;$AD122, TRUE)</f>
        <v>2.6167520520051961</v>
      </c>
      <c r="O122" s="2877" cm="1">
        <f t="array" aca="1" ref="O122" ca="1">INDIRECT("'※ 재무_세부시트'!"&amp;O$1&amp;$AD122, TRUE)</f>
        <v>2.64767064322742</v>
      </c>
      <c r="P122" s="2877" cm="1">
        <f t="array" aca="1" ref="P122" ca="1">INDIRECT("'※ 재무_세부시트'!"&amp;P$1&amp;$AD122, TRUE)</f>
        <v>2.8145693804611946</v>
      </c>
      <c r="Q122" s="2877" cm="1">
        <f t="array" aca="1" ref="Q122" ca="1">INDIRECT("'※ 재무_세부시트'!"&amp;Q$1&amp;$AD122, TRUE)</f>
        <v>2.835289607405902</v>
      </c>
      <c r="R122" s="2877" cm="1">
        <f t="array" aca="1" ref="R122" ca="1">INDIRECT("'※ 재무_세부시트'!"&amp;R$1&amp;$AD122, TRUE)</f>
        <v>2.8089641826439147</v>
      </c>
      <c r="S122" s="2877" cm="1">
        <f t="array" aca="1" ref="S122" ca="1">INDIRECT("'※ 재무_세부시트'!"&amp;S$1&amp;$AD122, TRUE)</f>
        <v>2.7259271424475218</v>
      </c>
      <c r="T122" s="2791"/>
      <c r="U122" s="2791"/>
      <c r="V122" s="2862"/>
      <c r="W122" s="2888" cm="1">
        <f t="array" aca="1" ref="W122" ca="1">INDIRECT("'※ 재무_세부시트'!"&amp;W$1&amp;$AD122, TRUE)</f>
        <v>-8.3037040196392908E-2</v>
      </c>
      <c r="X122" s="2889" cm="1">
        <f t="array" aca="1" ref="X122" ca="1">INDIRECT("'※ 재무_세부시트'!"&amp;X$1&amp;$AD122, TRUE)</f>
        <v>0.20495561048182509</v>
      </c>
      <c r="Y122" s="2889" cm="1">
        <f t="array" aca="1" ref="Y122" ca="1">INDIRECT("'※ 재무_세부시트'!"&amp;Y$1&amp;$AD122, TRUE)</f>
        <v>0</v>
      </c>
      <c r="Z122" s="2890" cm="1">
        <f t="array" aca="1" ref="Z122" ca="1">INDIRECT("'※ 재무_세부시트'!"&amp;Z$1&amp;$AD122, TRUE)</f>
        <v>31.874525972970865</v>
      </c>
      <c r="AA122" s="2866"/>
      <c r="AB122" s="2794"/>
      <c r="AC122" s="2891" cm="1">
        <f t="array" aca="1" ref="AC122" ca="1">INDIRECT("'※ 재무_세부시트'!"&amp;AC$1&amp;$AD122, TRUE)</f>
        <v>-6.1990993024139058</v>
      </c>
      <c r="AD122" s="2441">
        <v>121</v>
      </c>
      <c r="AE122" s="2504">
        <v>3.8813741971043298</v>
      </c>
      <c r="AF122" s="2504">
        <v>3.9495419990067</v>
      </c>
      <c r="AG122" s="2504">
        <v>3.9043491229798004</v>
      </c>
      <c r="AH122" s="2504">
        <v>3.8626338209547204</v>
      </c>
      <c r="AI122" s="2504">
        <v>3.8153971337097401</v>
      </c>
      <c r="AJ122" s="2504">
        <v>3.8383912199157155</v>
      </c>
      <c r="AK122" s="2504">
        <v>3.5033417418637298</v>
      </c>
      <c r="AL122" s="2504">
        <v>3.9846041755233301</v>
      </c>
      <c r="AM122" s="2504">
        <v>3.9801686644977305</v>
      </c>
      <c r="AN122" s="2504">
        <v>3.70395673340763</v>
      </c>
      <c r="AO122" s="2504">
        <v>3.7586206551776398</v>
      </c>
      <c r="AP122" s="2504">
        <v>3.4343631264259602</v>
      </c>
      <c r="AQ122" s="2505">
        <f t="shared" si="55"/>
        <v>45.616742590567021</v>
      </c>
      <c r="AR122" s="2488"/>
      <c r="AS122" s="2488"/>
      <c r="AT122" s="2488"/>
      <c r="AU122" s="2488"/>
      <c r="AV122" s="2488"/>
      <c r="AW122" s="2488"/>
      <c r="AX122" s="2488"/>
      <c r="AY122" s="2488"/>
      <c r="AZ122" s="2488"/>
      <c r="BA122" s="2488"/>
      <c r="BB122" s="2488"/>
      <c r="BC122" s="2488"/>
      <c r="BD122" s="2488"/>
      <c r="BE122" s="2488"/>
      <c r="BG122" s="2892" cm="1">
        <f t="array" aca="1" ref="BG122" ca="1">INDIRECT("'※ 재무_세부시트'!"&amp;BG$1&amp;$AD122, TRUE)</f>
        <v>3.8813741971043298</v>
      </c>
      <c r="BH122" s="2892" cm="1">
        <f t="array" aca="1" ref="BH122" ca="1">INDIRECT("'※ 재무_세부시트'!"&amp;BH$1&amp;$AD122, TRUE)</f>
        <v>45.616742590567021</v>
      </c>
      <c r="BI122" s="2892" cm="1">
        <f t="array" aca="1" ref="BI122" ca="1">INDIRECT("'※ 재무_세부시트'!"&amp;BI$1&amp;$AD122, TRUE)</f>
        <v>3.5033417418637298</v>
      </c>
      <c r="BJ122" s="2892" cm="1">
        <f t="array" aca="1" ref="BJ122" ca="1">INDIRECT("'※ 재무_세부시트'!"&amp;BJ$1&amp;$AD122, TRUE)</f>
        <v>3.5163198530500175</v>
      </c>
      <c r="BK122" s="2892" cm="1">
        <f t="array" aca="1" ref="BK122" ca="1">INDIRECT("'※ 재무_세부시트'!"&amp;BK$1&amp;$AD122, TRUE)</f>
        <v>3.9801686644977305</v>
      </c>
      <c r="BL122" s="2490"/>
      <c r="BM122" s="2490"/>
    </row>
    <row r="123" spans="1:65" ht="17.25" customHeight="1" x14ac:dyDescent="0.55000000000000004">
      <c r="A123" s="2855"/>
      <c r="B123" s="2493"/>
      <c r="C123" s="2884"/>
      <c r="D123" s="2884" t="s">
        <v>39</v>
      </c>
      <c r="E123" s="2884"/>
      <c r="F123" s="2886" cm="1">
        <f t="array" aca="1" ref="F123" ca="1">INDIRECT("'※ 재무_세부시트'!"&amp;F$1&amp;$AD123, TRUE)</f>
        <v>9.6981120700000023</v>
      </c>
      <c r="G123" s="2886" cm="1">
        <f t="array" aca="1" ref="G123" ca="1">INDIRECT("'※ 재무_세부시트'!"&amp;G$1&amp;$AD123, TRUE)</f>
        <v>10.597921879999999</v>
      </c>
      <c r="H123" s="2887" cm="1">
        <f t="array" aca="1" ref="H123" ca="1">INDIRECT("'※ 재무_세부시트'!"&amp;H$1&amp;$AD123, TRUE)</f>
        <v>0.81253045000000002</v>
      </c>
      <c r="I123" s="2877" cm="1">
        <f t="array" aca="1" ref="I123" ca="1">INDIRECT("'※ 재무_세부시트'!"&amp;I$1&amp;$AD123, TRUE)</f>
        <v>0.97675718</v>
      </c>
      <c r="J123" s="2877" cm="1">
        <f t="array" aca="1" ref="J123" ca="1">INDIRECT("'※ 재무_세부시트'!"&amp;J$1&amp;$AD123, TRUE)</f>
        <v>0.82664890000000002</v>
      </c>
      <c r="K123" s="2877" cm="1">
        <f t="array" aca="1" ref="K123" ca="1">INDIRECT("'※ 재무_세부시트'!"&amp;K$1&amp;$AD123, TRUE)</f>
        <v>0.72904833999999996</v>
      </c>
      <c r="L123" s="2877" cm="1">
        <f t="array" aca="1" ref="L123" ca="1">INDIRECT("'※ 재무_세부시트'!"&amp;L$1&amp;$AD123, TRUE)</f>
        <v>0.66360797000000005</v>
      </c>
      <c r="M123" s="2877" cm="1">
        <f t="array" aca="1" ref="M123" ca="1">INDIRECT("'※ 재무_세부시트'!"&amp;M$1&amp;$AD123, TRUE)</f>
        <v>0.82193156000000001</v>
      </c>
      <c r="N123" s="2877" cm="1">
        <f t="array" aca="1" ref="N123" ca="1">INDIRECT("'※ 재무_세부시트'!"&amp;N$1&amp;$AD123, TRUE)</f>
        <v>0.82336953999999996</v>
      </c>
      <c r="O123" s="2877" cm="1">
        <f t="array" aca="1" ref="O123" ca="1">INDIRECT("'※ 재무_세부시트'!"&amp;O$1&amp;$AD123, TRUE)</f>
        <v>0.75623108999999999</v>
      </c>
      <c r="P123" s="2877" cm="1">
        <f t="array" aca="1" ref="P123" ca="1">INDIRECT("'※ 재무_세부시트'!"&amp;P$1&amp;$AD123, TRUE)</f>
        <v>1.16225727</v>
      </c>
      <c r="Q123" s="2877" cm="1">
        <f t="array" aca="1" ref="Q123" ca="1">INDIRECT("'※ 재무_세부시트'!"&amp;Q$1&amp;$AD123, TRUE)</f>
        <v>0.78414680999999997</v>
      </c>
      <c r="R123" s="2877" cm="1">
        <f t="array" aca="1" ref="R123" ca="1">INDIRECT("'※ 재무_세부시트'!"&amp;R$1&amp;$AD123, TRUE)</f>
        <v>0.90320518000000005</v>
      </c>
      <c r="S123" s="2877" cm="1">
        <f t="array" aca="1" ref="S123" ca="1">INDIRECT("'※ 재무_세부시트'!"&amp;S$1&amp;$AD123, TRUE)</f>
        <v>0.96528119999999995</v>
      </c>
      <c r="T123" s="2791"/>
      <c r="U123" s="2791"/>
      <c r="V123" s="2862"/>
      <c r="W123" s="2888" cm="1">
        <f t="array" aca="1" ref="W123" ca="1">INDIRECT("'※ 재무_세부시트'!"&amp;W$1&amp;$AD123, TRUE)</f>
        <v>6.2076019999999899E-2</v>
      </c>
      <c r="X123" s="2889" cm="1">
        <f t="array" aca="1" ref="X123" ca="1">INDIRECT("'※ 재무_세부시트'!"&amp;X$1&amp;$AD123, TRUE)</f>
        <v>0.36819880999999999</v>
      </c>
      <c r="Y123" s="2889" cm="1">
        <f t="array" aca="1" ref="Y123" ca="1">INDIRECT("'※ 재무_세부시트'!"&amp;Y$1&amp;$AD123, TRUE)</f>
        <v>0</v>
      </c>
      <c r="Z123" s="2890" cm="1">
        <f t="array" aca="1" ref="Z123" ca="1">INDIRECT("'※ 재무_세부시트'!"&amp;Z$1&amp;$AD123, TRUE)</f>
        <v>10.225015489999999</v>
      </c>
      <c r="AA123" s="2866"/>
      <c r="AB123" s="2794"/>
      <c r="AC123" s="2891" cm="1">
        <f t="array" aca="1" ref="AC123" ca="1">INDIRECT("'※ 재무_세부시트'!"&amp;AC$1&amp;$AD123, TRUE)</f>
        <v>-0.3729063900000007</v>
      </c>
      <c r="AD123" s="2441">
        <v>122</v>
      </c>
      <c r="AE123" s="2504">
        <v>1.0864503299999999</v>
      </c>
      <c r="AF123" s="2504">
        <v>1.13773967</v>
      </c>
      <c r="AG123" s="2504">
        <v>0.99871881000000007</v>
      </c>
      <c r="AH123" s="2504">
        <v>0.92475843000000002</v>
      </c>
      <c r="AI123" s="2504">
        <v>0.66422409000000004</v>
      </c>
      <c r="AJ123" s="2504">
        <v>0.63256546000000002</v>
      </c>
      <c r="AK123" s="2504">
        <v>0.61284289000000003</v>
      </c>
      <c r="AL123" s="2504">
        <v>0.98170449000000004</v>
      </c>
      <c r="AM123" s="2504">
        <v>0.56685030000000003</v>
      </c>
      <c r="AN123" s="2504">
        <v>0.7082004999999999</v>
      </c>
      <c r="AO123" s="2504">
        <v>0.69452150000000001</v>
      </c>
      <c r="AP123" s="2504">
        <v>0.68953559999999992</v>
      </c>
      <c r="AQ123" s="2505">
        <f t="shared" si="55"/>
        <v>9.6981120700000023</v>
      </c>
      <c r="AR123" s="2488"/>
      <c r="AS123" s="2488"/>
      <c r="AT123" s="2488"/>
      <c r="AU123" s="2488"/>
      <c r="AV123" s="2488"/>
      <c r="AW123" s="2488"/>
      <c r="AX123" s="2488"/>
      <c r="AY123" s="2488"/>
      <c r="AZ123" s="2488"/>
      <c r="BA123" s="2488"/>
      <c r="BB123" s="2488"/>
      <c r="BC123" s="2488"/>
      <c r="BD123" s="2488"/>
      <c r="BE123" s="2488"/>
      <c r="BG123" s="2892" cm="1">
        <f t="array" aca="1" ref="BG123" ca="1">INDIRECT("'※ 재무_세부시트'!"&amp;BG$1&amp;$AD123, TRUE)</f>
        <v>1.0864503299999999</v>
      </c>
      <c r="BH123" s="2892" cm="1">
        <f t="array" aca="1" ref="BH123" ca="1">INDIRECT("'※ 재무_세부시트'!"&amp;BH$1&amp;$AD123, TRUE)</f>
        <v>9.6981120700000023</v>
      </c>
      <c r="BI123" s="2892" cm="1">
        <f t="array" aca="1" ref="BI123" ca="1">INDIRECT("'※ 재무_세부시트'!"&amp;BI$1&amp;$AD123, TRUE)</f>
        <v>0.61284289000000003</v>
      </c>
      <c r="BJ123" s="2892" cm="1">
        <f t="array" aca="1" ref="BJ123" ca="1">INDIRECT("'※ 재무_세부시트'!"&amp;BJ$1&amp;$AD123, TRUE)</f>
        <v>0.86617261999999995</v>
      </c>
      <c r="BK123" s="2892" cm="1">
        <f t="array" aca="1" ref="BK123" ca="1">INDIRECT("'※ 재무_세부시트'!"&amp;BK$1&amp;$AD123, TRUE)</f>
        <v>0.56685030000000003</v>
      </c>
      <c r="BL123" s="2490"/>
      <c r="BM123" s="2490"/>
    </row>
    <row r="124" spans="1:65" ht="17.25" customHeight="1" x14ac:dyDescent="0.55000000000000004">
      <c r="A124" s="2855"/>
      <c r="B124" s="2493"/>
      <c r="C124" s="2884"/>
      <c r="D124" s="2884" t="s">
        <v>24</v>
      </c>
      <c r="E124" s="2884"/>
      <c r="F124" s="2886" cm="1">
        <f t="array" aca="1" ref="F124" ca="1">INDIRECT("'※ 재무_세부시트'!"&amp;F$1&amp;$AD124, TRUE)</f>
        <v>14.263625115328679</v>
      </c>
      <c r="G124" s="2886" cm="1">
        <f t="array" aca="1" ref="G124" ca="1">INDIRECT("'※ 재무_세부시트'!"&amp;G$1&amp;$AD124, TRUE)</f>
        <v>13.632074063112681</v>
      </c>
      <c r="H124" s="2887" cm="1">
        <f t="array" aca="1" ref="H124" ca="1">INDIRECT("'※ 재무_세부시트'!"&amp;H$1&amp;$AD124, TRUE)</f>
        <v>0.86642615868554684</v>
      </c>
      <c r="I124" s="2877" cm="1">
        <f t="array" aca="1" ref="I124" ca="1">INDIRECT("'※ 재무_세부시트'!"&amp;I$1&amp;$AD124, TRUE)</f>
        <v>1.557573199675107</v>
      </c>
      <c r="J124" s="2877" cm="1">
        <f t="array" aca="1" ref="J124" ca="1">INDIRECT("'※ 재무_세부시트'!"&amp;J$1&amp;$AD124, TRUE)</f>
        <v>0.91585897776035885</v>
      </c>
      <c r="K124" s="2877" cm="1">
        <f t="array" aca="1" ref="K124" ca="1">INDIRECT("'※ 재무_세부시트'!"&amp;K$1&amp;$AD124, TRUE)</f>
        <v>1.107382564165549</v>
      </c>
      <c r="L124" s="2877" cm="1">
        <f t="array" aca="1" ref="L124" ca="1">INDIRECT("'※ 재무_세부시트'!"&amp;L$1&amp;$AD124, TRUE)</f>
        <v>0.76117418477698351</v>
      </c>
      <c r="M124" s="2877" cm="1">
        <f t="array" aca="1" ref="M124" ca="1">INDIRECT("'※ 재무_세부시트'!"&amp;M$1&amp;$AD124, TRUE)</f>
        <v>1.0033299353068765</v>
      </c>
      <c r="N124" s="2877" cm="1">
        <f t="array" aca="1" ref="N124" ca="1">INDIRECT("'※ 재무_세부시트'!"&amp;N$1&amp;$AD124, TRUE)</f>
        <v>1.1553438126633933</v>
      </c>
      <c r="O124" s="2877" cm="1">
        <f t="array" aca="1" ref="O124" ca="1">INDIRECT("'※ 재무_세부시트'!"&amp;O$1&amp;$AD124, TRUE)</f>
        <v>0.64172419156461991</v>
      </c>
      <c r="P124" s="2877" cm="1">
        <f t="array" aca="1" ref="P124" ca="1">INDIRECT("'※ 재무_세부시트'!"&amp;P$1&amp;$AD124, TRUE)</f>
        <v>1.8769628680207699</v>
      </c>
      <c r="Q124" s="2877" cm="1">
        <f t="array" aca="1" ref="Q124" ca="1">INDIRECT("'※ 재무_세부시트'!"&amp;Q$1&amp;$AD124, TRUE)</f>
        <v>0.7032481900767964</v>
      </c>
      <c r="R124" s="2877" cm="1">
        <f t="array" aca="1" ref="R124" ca="1">INDIRECT("'※ 재무_세부시트'!"&amp;R$1&amp;$AD124, TRUE)</f>
        <v>1.0473020986828578</v>
      </c>
      <c r="S124" s="2877" cm="1">
        <f t="array" aca="1" ref="S124" ca="1">INDIRECT("'※ 재무_세부시트'!"&amp;S$1&amp;$AD124, TRUE)</f>
        <v>1.0375583207623571</v>
      </c>
      <c r="T124" s="2791"/>
      <c r="U124" s="2791"/>
      <c r="V124" s="2862"/>
      <c r="W124" s="2888" cm="1">
        <f t="array" aca="1" ref="W124" ca="1">INDIRECT("'※ 재무_세부시트'!"&amp;W$1&amp;$AD124, TRUE)</f>
        <v>-9.7437779205007402E-3</v>
      </c>
      <c r="X124" s="2889" cm="1">
        <f t="array" aca="1" ref="X124" ca="1">INDIRECT("'※ 재무_세부시트'!"&amp;X$1&amp;$AD124, TRUE)</f>
        <v>-0.69726127250245096</v>
      </c>
      <c r="Y124" s="2889" cm="1">
        <f t="array" aca="1" ref="Y124" ca="1">INDIRECT("'※ 재무_세부시트'!"&amp;Y$1&amp;$AD124, TRUE)</f>
        <v>0</v>
      </c>
      <c r="Z124" s="2890" cm="1">
        <f t="array" aca="1" ref="Z124" ca="1">INDIRECT("'※ 재무_세부시트'!"&amp;Z$1&amp;$AD124, TRUE)</f>
        <v>12.673884502141219</v>
      </c>
      <c r="AA124" s="2866"/>
      <c r="AB124" s="2794"/>
      <c r="AC124" s="2891" cm="1">
        <f t="array" aca="1" ref="AC124" ca="1">INDIRECT("'※ 재무_세부시트'!"&amp;AC$1&amp;$AD124, TRUE)</f>
        <v>-0.95818956097146213</v>
      </c>
      <c r="AD124" s="2441">
        <v>123</v>
      </c>
      <c r="AE124" s="2504">
        <v>0.86089929726960013</v>
      </c>
      <c r="AF124" s="2504">
        <v>0.46442133398744501</v>
      </c>
      <c r="AG124" s="2504">
        <v>0.61967935655462902</v>
      </c>
      <c r="AH124" s="2504">
        <v>0.48857877902557706</v>
      </c>
      <c r="AI124" s="2504">
        <v>1.8577994557200399</v>
      </c>
      <c r="AJ124" s="2504">
        <v>1.8367280586891908</v>
      </c>
      <c r="AK124" s="2504">
        <v>2.4806770695648397</v>
      </c>
      <c r="AL124" s="2504">
        <v>1.30981867083911</v>
      </c>
      <c r="AM124" s="2504">
        <v>1.95486707991037</v>
      </c>
      <c r="AN124" s="2504">
        <v>0.94998536736166106</v>
      </c>
      <c r="AO124" s="2504">
        <v>0.51756815465873096</v>
      </c>
      <c r="AP124" s="2504">
        <v>0.9226024917474841</v>
      </c>
      <c r="AQ124" s="2505">
        <f t="shared" si="55"/>
        <v>14.263625115328679</v>
      </c>
      <c r="AR124" s="2488"/>
      <c r="AS124" s="2488"/>
      <c r="AT124" s="2488"/>
      <c r="AU124" s="2488"/>
      <c r="AV124" s="2488"/>
      <c r="AW124" s="2488"/>
      <c r="AX124" s="2488"/>
      <c r="AY124" s="2488"/>
      <c r="AZ124" s="2488"/>
      <c r="BA124" s="2488"/>
      <c r="BB124" s="2488"/>
      <c r="BC124" s="2488"/>
      <c r="BD124" s="2488"/>
      <c r="BE124" s="2488"/>
      <c r="BG124" s="2892" cm="1">
        <f t="array" aca="1" ref="BG124" ca="1">INDIRECT("'※ 재무_세부시트'!"&amp;BG$1&amp;$AD124, TRUE)</f>
        <v>0.86089929726960013</v>
      </c>
      <c r="BH124" s="2892" cm="1">
        <f t="array" aca="1" ref="BH124" ca="1">INDIRECT("'※ 재무_세부시트'!"&amp;BH$1&amp;$AD124, TRUE)</f>
        <v>14.263625115328679</v>
      </c>
      <c r="BI124" s="2892" cm="1">
        <f t="array" aca="1" ref="BI124" ca="1">INDIRECT("'※ 재무_세부시트'!"&amp;BI$1&amp;$AD124, TRUE)</f>
        <v>2.4806770695648397</v>
      </c>
      <c r="BJ124" s="2892" cm="1">
        <f t="array" aca="1" ref="BJ124" ca="1">INDIRECT("'※ 재무_세부시트'!"&amp;BJ$1&amp;$AD124, TRUE)</f>
        <v>2.4546600523498117</v>
      </c>
      <c r="BK124" s="2892" cm="1">
        <f t="array" aca="1" ref="BK124" ca="1">INDIRECT("'※ 재무_세부시트'!"&amp;BK$1&amp;$AD124, TRUE)</f>
        <v>1.95486707991037</v>
      </c>
      <c r="BL124" s="2490"/>
      <c r="BM124" s="2490"/>
    </row>
    <row r="125" spans="1:65" ht="17.25" customHeight="1" x14ac:dyDescent="0.55000000000000004">
      <c r="A125" s="2855"/>
      <c r="B125" s="2493"/>
      <c r="C125" s="2884"/>
      <c r="D125" s="2884" t="s">
        <v>40</v>
      </c>
      <c r="E125" s="2884"/>
      <c r="F125" s="2886" cm="1">
        <f t="array" aca="1" ref="F125" ca="1">INDIRECT("'※ 재무_세부시트'!"&amp;F$1&amp;$AD125, TRUE)</f>
        <v>5.485489976332361</v>
      </c>
      <c r="G125" s="2886" cm="1">
        <f t="array" aca="1" ref="G125" ca="1">INDIRECT("'※ 재무_세부시트'!"&amp;G$1&amp;$AD125, TRUE)</f>
        <v>6.458422205711134</v>
      </c>
      <c r="H125" s="2887" cm="1">
        <f t="array" aca="1" ref="H125" ca="1">INDIRECT("'※ 재무_세부시트'!"&amp;H$1&amp;$AD125, TRUE)</f>
        <v>0.55879307030437153</v>
      </c>
      <c r="I125" s="2877" cm="1">
        <f t="array" aca="1" ref="I125" ca="1">INDIRECT("'※ 재무_세부시트'!"&amp;I$1&amp;$AD125, TRUE)</f>
        <v>0.60220586663910081</v>
      </c>
      <c r="J125" s="2877" cm="1">
        <f t="array" aca="1" ref="J125" ca="1">INDIRECT("'※ 재무_세부시트'!"&amp;J$1&amp;$AD125, TRUE)</f>
        <v>0.55589905864841982</v>
      </c>
      <c r="K125" s="2877" cm="1">
        <f t="array" aca="1" ref="K125" ca="1">INDIRECT("'※ 재무_세부시트'!"&amp;K$1&amp;$AD125, TRUE)</f>
        <v>0.47462378704773767</v>
      </c>
      <c r="L125" s="2877" cm="1">
        <f t="array" aca="1" ref="L125" ca="1">INDIRECT("'※ 재무_세부시트'!"&amp;L$1&amp;$AD125, TRUE)</f>
        <v>0.49490436786019226</v>
      </c>
      <c r="M125" s="2877" cm="1">
        <f t="array" aca="1" ref="M125" ca="1">INDIRECT("'※ 재무_세부시트'!"&amp;M$1&amp;$AD125, TRUE)</f>
        <v>0.4669333509596803</v>
      </c>
      <c r="N125" s="2877" cm="1">
        <f t="array" aca="1" ref="N125" ca="1">INDIRECT("'※ 재무_세부시트'!"&amp;N$1&amp;$AD125, TRUE)</f>
        <v>0.55268598017307502</v>
      </c>
      <c r="O125" s="2877" cm="1">
        <f t="array" aca="1" ref="O125" ca="1">INDIRECT("'※ 재무_세부시트'!"&amp;O$1&amp;$AD125, TRUE)</f>
        <v>0.49138063980063468</v>
      </c>
      <c r="P125" s="2877" cm="1">
        <f t="array" aca="1" ref="P125" ca="1">INDIRECT("'※ 재무_세부시트'!"&amp;P$1&amp;$AD125, TRUE)</f>
        <v>0.51686994074251236</v>
      </c>
      <c r="Q125" s="2877" cm="1">
        <f t="array" aca="1" ref="Q125" ca="1">INDIRECT("'※ 재무_세부시트'!"&amp;Q$1&amp;$AD125, TRUE)</f>
        <v>0.46117349866054252</v>
      </c>
      <c r="R125" s="2877" cm="1">
        <f t="array" aca="1" ref="R125" ca="1">INDIRECT("'※ 재무_세부시트'!"&amp;R$1&amp;$AD125, TRUE)</f>
        <v>0.5387312791207699</v>
      </c>
      <c r="S125" s="2877" cm="1">
        <f t="array" aca="1" ref="S125" ca="1">INDIRECT("'※ 재무_세부시트'!"&amp;S$1&amp;$AD125, TRUE)</f>
        <v>0.63606551768663822</v>
      </c>
      <c r="T125" s="2791"/>
      <c r="U125" s="2791"/>
      <c r="V125" s="2862"/>
      <c r="W125" s="2888" cm="1">
        <f t="array" aca="1" ref="W125" ca="1">INDIRECT("'※ 재무_세부시트'!"&amp;W$1&amp;$AD125, TRUE)</f>
        <v>9.7334238565868314E-2</v>
      </c>
      <c r="X125" s="2889" cm="1">
        <f t="array" aca="1" ref="X125" ca="1">INDIRECT("'※ 재무_세부시트'!"&amp;X$1&amp;$AD125, TRUE)</f>
        <v>2.8168211244617547E-2</v>
      </c>
      <c r="Y125" s="2889" cm="1">
        <f t="array" aca="1" ref="Y125" ca="1">INDIRECT("'※ 재무_세부시트'!"&amp;Y$1&amp;$AD125, TRUE)</f>
        <v>0</v>
      </c>
      <c r="Z125" s="2890" cm="1">
        <f t="array" aca="1" ref="Z125" ca="1">INDIRECT("'※ 재무_세부시트'!"&amp;Z$1&amp;$AD125, TRUE)</f>
        <v>6.3502663576436751</v>
      </c>
      <c r="AA125" s="2866"/>
      <c r="AB125" s="2794"/>
      <c r="AC125" s="2891" cm="1">
        <f t="array" aca="1" ref="AC125" ca="1">INDIRECT("'※ 재무_세부시트'!"&amp;AC$1&amp;$AD125, TRUE)</f>
        <v>-0.10815584806745893</v>
      </c>
      <c r="AD125" s="2441">
        <v>124</v>
      </c>
      <c r="AE125" s="2504">
        <v>0.49289393718981495</v>
      </c>
      <c r="AF125" s="2504">
        <v>0.46911470412199302</v>
      </c>
      <c r="AG125" s="2504">
        <v>0.49156607024846299</v>
      </c>
      <c r="AH125" s="2504">
        <v>0.40329619857797605</v>
      </c>
      <c r="AI125" s="2504">
        <v>0.415094474679093</v>
      </c>
      <c r="AJ125" s="2504">
        <v>0.40707544811881102</v>
      </c>
      <c r="AK125" s="2504">
        <v>0.4522159774060201</v>
      </c>
      <c r="AL125" s="2504">
        <v>0.4839361586647401</v>
      </c>
      <c r="AM125" s="2504">
        <v>0.42889735519418204</v>
      </c>
      <c r="AN125" s="2504">
        <v>0.430250176059497</v>
      </c>
      <c r="AO125" s="2504">
        <v>0.49183830813933499</v>
      </c>
      <c r="AP125" s="2504">
        <v>0.51931116793243703</v>
      </c>
      <c r="AQ125" s="2505">
        <f t="shared" si="55"/>
        <v>5.485489976332361</v>
      </c>
      <c r="AR125" s="2488"/>
      <c r="AS125" s="2488"/>
      <c r="AT125" s="2488"/>
      <c r="AU125" s="2488"/>
      <c r="AV125" s="2488"/>
      <c r="AW125" s="2488"/>
      <c r="AX125" s="2488"/>
      <c r="AY125" s="2488"/>
      <c r="AZ125" s="2488"/>
      <c r="BA125" s="2488"/>
      <c r="BB125" s="2488"/>
      <c r="BC125" s="2488"/>
      <c r="BD125" s="2488"/>
      <c r="BE125" s="2488"/>
      <c r="BG125" s="2892" cm="1">
        <f t="array" aca="1" ref="BG125" ca="1">INDIRECT("'※ 재무_세부시트'!"&amp;BG$1&amp;$AD125, TRUE)</f>
        <v>0.49289393718981495</v>
      </c>
      <c r="BH125" s="2892" cm="1">
        <f t="array" aca="1" ref="BH125" ca="1">INDIRECT("'※ 재무_세부시트'!"&amp;BH$1&amp;$AD125, TRUE)</f>
        <v>5.485489976332361</v>
      </c>
      <c r="BI125" s="2892" cm="1">
        <f t="array" aca="1" ref="BI125" ca="1">INDIRECT("'※ 재무_세부시트'!"&amp;BI$1&amp;$AD125, TRUE)</f>
        <v>0.4522159774060201</v>
      </c>
      <c r="BJ125" s="2892" cm="1">
        <f t="array" aca="1" ref="BJ125" ca="1">INDIRECT("'※ 재무_세부시트'!"&amp;BJ$1&amp;$AD125, TRUE)</f>
        <v>0.55985799350449805</v>
      </c>
      <c r="BK125" s="2892" cm="1">
        <f t="array" aca="1" ref="BK125" ca="1">INDIRECT("'※ 재무_세부시트'!"&amp;BK$1&amp;$AD125, TRUE)</f>
        <v>0.42889735519418204</v>
      </c>
      <c r="BL125" s="2490"/>
      <c r="BM125" s="2490"/>
    </row>
    <row r="126" spans="1:65" ht="17.25" customHeight="1" thickBot="1" x14ac:dyDescent="0.6">
      <c r="A126" s="2855"/>
      <c r="B126" s="2493"/>
      <c r="C126" s="2948"/>
      <c r="D126" s="2948" t="s">
        <v>41</v>
      </c>
      <c r="E126" s="2948"/>
      <c r="F126" s="2949" cm="1">
        <f t="array" aca="1" ref="F126" ca="1">INDIRECT("'※ 재무_세부시트'!"&amp;F$1&amp;$AD126, TRUE)</f>
        <v>17.178077797555677</v>
      </c>
      <c r="G126" s="2949" cm="1">
        <f t="array" aca="1" ref="G126" ca="1">INDIRECT("'※ 재무_세부시트'!"&amp;G$1&amp;$AD126, TRUE)</f>
        <v>17.178077797555677</v>
      </c>
      <c r="H126" s="2950" cm="1">
        <f t="array" aca="1" ref="H126" ca="1">INDIRECT("'※ 재무_세부시트'!"&amp;H$1&amp;$AD126, TRUE)</f>
        <v>1.43</v>
      </c>
      <c r="I126" s="2951" cm="1">
        <f t="array" aca="1" ref="I126" ca="1">INDIRECT("'※ 재무_세부시트'!"&amp;I$1&amp;$AD126, TRUE)</f>
        <v>1.43</v>
      </c>
      <c r="J126" s="2951" cm="1">
        <f t="array" aca="1" ref="J126" ca="1">INDIRECT("'※ 재무_세부시트'!"&amp;J$1&amp;$AD126, TRUE)</f>
        <v>1.43</v>
      </c>
      <c r="K126" s="2952" cm="1">
        <f t="array" aca="1" ref="K126" ca="1">INDIRECT("'※ 재무_세부시트'!"&amp;K$1&amp;$AD126, TRUE)</f>
        <v>1.43</v>
      </c>
      <c r="L126" s="2952" cm="1">
        <f t="array" aca="1" ref="L126" ca="1">INDIRECT("'※ 재무_세부시트'!"&amp;L$1&amp;$AD126, TRUE)</f>
        <v>1.4322597246944595</v>
      </c>
      <c r="M126" s="2952" cm="1">
        <f t="array" aca="1" ref="M126" ca="1">INDIRECT("'※ 재무_세부시트'!"&amp;M$1&amp;$AD126, TRUE)</f>
        <v>1.4322597246944595</v>
      </c>
      <c r="N126" s="2952" cm="1">
        <f t="array" aca="1" ref="N126" ca="1">INDIRECT("'※ 재무_세부시트'!"&amp;N$1&amp;$AD126, TRUE)</f>
        <v>1.4322597246944595</v>
      </c>
      <c r="O126" s="2952" cm="1">
        <f t="array" aca="1" ref="O126" ca="1">INDIRECT("'※ 재무_세부시트'!"&amp;O$1&amp;$AD126, TRUE)</f>
        <v>1.4322597246944595</v>
      </c>
      <c r="P126" s="2952" cm="1">
        <f t="array" aca="1" ref="P126" ca="1">INDIRECT("'※ 재무_세부시트'!"&amp;P$1&amp;$AD126, TRUE)</f>
        <v>1.4322597246944595</v>
      </c>
      <c r="Q126" s="2952" cm="1">
        <f t="array" aca="1" ref="Q126" ca="1">INDIRECT("'※ 재무_세부시트'!"&amp;Q$1&amp;$AD126, TRUE)</f>
        <v>1.4322597246944595</v>
      </c>
      <c r="R126" s="2952" cm="1">
        <f t="array" aca="1" ref="R126" ca="1">INDIRECT("'※ 재무_세부시트'!"&amp;R$1&amp;$AD126, TRUE)</f>
        <v>1.4322597246944595</v>
      </c>
      <c r="S126" s="2952" cm="1">
        <f t="array" aca="1" ref="S126" ca="1">INDIRECT("'※ 재무_세부시트'!"&amp;S$1&amp;$AD126, TRUE)</f>
        <v>1.4322597246944595</v>
      </c>
      <c r="T126" s="2791"/>
      <c r="U126" s="2791"/>
      <c r="V126" s="2862"/>
      <c r="W126" s="2953" cm="1">
        <f t="array" aca="1" ref="W126" ca="1">INDIRECT("'※ 재무_세부시트'!"&amp;W$1&amp;$AD126, TRUE)</f>
        <v>0</v>
      </c>
      <c r="X126" s="2954" cm="1">
        <f t="array" aca="1" ref="X126" ca="1">INDIRECT("'※ 재무_세부시트'!"&amp;X$1&amp;$AD126, TRUE)</f>
        <v>0</v>
      </c>
      <c r="Y126" s="2954" cm="1">
        <f t="array" aca="1" ref="Y126" ca="1">INDIRECT("'※ 재무_세부시트'!"&amp;Y$1&amp;$AD126, TRUE)</f>
        <v>0</v>
      </c>
      <c r="Z126" s="2955" cm="1">
        <f t="array" aca="1" ref="Z126" ca="1">INDIRECT("'※ 재무_세부시트'!"&amp;Z$1&amp;$AD126, TRUE)</f>
        <v>17.178077797555677</v>
      </c>
      <c r="AA126" s="2866"/>
      <c r="AB126" s="2794"/>
      <c r="AC126" s="2956" cm="1">
        <f t="array" aca="1" ref="AC126" ca="1">INDIRECT("'※ 재무_세부시트'!"&amp;AC$1&amp;$AD126, TRUE)</f>
        <v>0</v>
      </c>
      <c r="AD126" s="2441">
        <v>125</v>
      </c>
      <c r="AE126" s="2504">
        <v>1.43</v>
      </c>
      <c r="AF126" s="2504">
        <v>1.43</v>
      </c>
      <c r="AG126" s="2504">
        <v>1.43</v>
      </c>
      <c r="AH126" s="2504">
        <v>1.43</v>
      </c>
      <c r="AI126" s="2504">
        <v>1.4322597246944597</v>
      </c>
      <c r="AJ126" s="2504">
        <v>1.4322597246944597</v>
      </c>
      <c r="AK126" s="2504">
        <v>1.4322597246944597</v>
      </c>
      <c r="AL126" s="2504">
        <v>1.4322597246944599</v>
      </c>
      <c r="AM126" s="2504">
        <v>1.4322597246944599</v>
      </c>
      <c r="AN126" s="2504">
        <v>1.4322597246944599</v>
      </c>
      <c r="AO126" s="2504">
        <v>1.4322597246944599</v>
      </c>
      <c r="AP126" s="2504">
        <v>1.4322597246944599</v>
      </c>
      <c r="AQ126" s="2505">
        <f t="shared" si="55"/>
        <v>17.178077797555677</v>
      </c>
      <c r="AR126" s="2488"/>
      <c r="AS126" s="2488"/>
      <c r="AT126" s="2488"/>
      <c r="AU126" s="2488"/>
      <c r="AV126" s="2488"/>
      <c r="AW126" s="2488"/>
      <c r="AX126" s="2488"/>
      <c r="AY126" s="2488"/>
      <c r="AZ126" s="2488"/>
      <c r="BA126" s="2488"/>
      <c r="BB126" s="2488"/>
      <c r="BC126" s="2488"/>
      <c r="BD126" s="2488"/>
      <c r="BE126" s="2488"/>
      <c r="BG126" s="2957" cm="1">
        <f t="array" aca="1" ref="BG126" ca="1">INDIRECT("'※ 재무_세부시트'!"&amp;BG$1&amp;$AD126, TRUE)</f>
        <v>1.43</v>
      </c>
      <c r="BH126" s="2957" cm="1">
        <f t="array" aca="1" ref="BH126" ca="1">INDIRECT("'※ 재무_세부시트'!"&amp;BH$1&amp;$AD126, TRUE)</f>
        <v>17.178077797555677</v>
      </c>
      <c r="BI126" s="2957" cm="1">
        <f t="array" aca="1" ref="BI126" ca="1">INDIRECT("'※ 재무_세부시트'!"&amp;BI$1&amp;$AD126, TRUE)</f>
        <v>1.4322597246944597</v>
      </c>
      <c r="BJ126" s="2957" cm="1">
        <f t="array" aca="1" ref="BJ126" ca="1">INDIRECT("'※ 재무_세부시트'!"&amp;BJ$1&amp;$AD126, TRUE)</f>
        <v>1.4322597246944595</v>
      </c>
      <c r="BK126" s="2957" cm="1">
        <f t="array" aca="1" ref="BK126" ca="1">INDIRECT("'※ 재무_세부시트'!"&amp;BK$1&amp;$AD126, TRUE)</f>
        <v>1.4322597246944599</v>
      </c>
      <c r="BL126" s="2490"/>
      <c r="BM126" s="2490"/>
    </row>
    <row r="127" spans="1:65" ht="17.25" customHeight="1" x14ac:dyDescent="0.55000000000000004">
      <c r="A127" s="2855"/>
      <c r="B127" s="2493"/>
      <c r="C127" s="2904" t="s">
        <v>17</v>
      </c>
      <c r="D127" s="2905"/>
      <c r="E127" s="2905"/>
      <c r="F127" s="2907" cm="1">
        <f t="array" aca="1" ref="F127" ca="1">INDIRECT("'※ 재무_세부시트'!"&amp;F$1&amp;$AD127, TRUE)</f>
        <v>13.472948943627117</v>
      </c>
      <c r="G127" s="2907" cm="1">
        <f t="array" aca="1" ref="G127" ca="1">INDIRECT("'※ 재무_세부시트'!"&amp;G$1&amp;$AD127, TRUE)</f>
        <v>48.936893880621646</v>
      </c>
      <c r="H127" s="2908" cm="1">
        <f t="array" aca="1" ref="H127" ca="1">INDIRECT("'※ 재무_세부시트'!"&amp;H$1&amp;$AD127, TRUE)</f>
        <v>10.400605556515302</v>
      </c>
      <c r="I127" s="2909" cm="1">
        <f t="array" aca="1" ref="I127" ca="1">INDIRECT("'※ 재무_세부시트'!"&amp;I$1&amp;$AD127, TRUE)</f>
        <v>-1.283953336120522</v>
      </c>
      <c r="J127" s="2909" cm="1">
        <f t="array" aca="1" ref="J127" ca="1">INDIRECT("'※ 재무_세부시트'!"&amp;J$1&amp;$AD127, TRUE)</f>
        <v>5.7066022764471258</v>
      </c>
      <c r="K127" s="2909" cm="1">
        <f t="array" aca="1" ref="K127" ca="1">INDIRECT("'※ 재무_세부시트'!"&amp;K$1&amp;$AD127, TRUE)</f>
        <v>5.5789361155570818</v>
      </c>
      <c r="L127" s="2909" cm="1">
        <f t="array" aca="1" ref="L127" ca="1">INDIRECT("'※ 재무_세부시트'!"&amp;L$1&amp;$AD127, TRUE)</f>
        <v>3.9745495617708571E-2</v>
      </c>
      <c r="M127" s="2909" cm="1">
        <f t="array" aca="1" ref="M127" ca="1">INDIRECT("'※ 재무_세부시트'!"&amp;M$1&amp;$AD127, TRUE)</f>
        <v>11.11780571335116</v>
      </c>
      <c r="N127" s="2909" cm="1">
        <f t="array" aca="1" ref="N127" ca="1">INDIRECT("'※ 재무_세부시트'!"&amp;N$1&amp;$AD127, TRUE)</f>
        <v>3.9280228807531898</v>
      </c>
      <c r="O127" s="2909" cm="1">
        <f t="array" aca="1" ref="O127" ca="1">INDIRECT("'※ 재무_세부시트'!"&amp;O$1&amp;$AD127, TRUE)</f>
        <v>-5.4545131547366612</v>
      </c>
      <c r="P127" s="2909" cm="1">
        <f t="array" aca="1" ref="P127" ca="1">INDIRECT("'※ 재무_세부시트'!"&amp;P$1&amp;$AD127, TRUE)</f>
        <v>6.0505012123430273</v>
      </c>
      <c r="Q127" s="2909" cm="1">
        <f t="array" aca="1" ref="Q127" ca="1">INDIRECT("'※ 재무_세부시트'!"&amp;Q$1&amp;$AD127, TRUE)</f>
        <v>-5.2185853730272767</v>
      </c>
      <c r="R127" s="2909" cm="1">
        <f t="array" aca="1" ref="R127" ca="1">INDIRECT("'※ 재무_세부시트'!"&amp;R$1&amp;$AD127, TRUE)</f>
        <v>-5.3573387273088589</v>
      </c>
      <c r="S127" s="2909" cm="1">
        <f t="array" aca="1" ref="S127" ca="1">INDIRECT("'※ 재무_세부시트'!"&amp;S$1&amp;$AD127, TRUE)</f>
        <v>3.6545042139473374</v>
      </c>
      <c r="T127" s="2791"/>
      <c r="U127" s="2791"/>
      <c r="V127" s="2862"/>
      <c r="W127" s="2910" cm="1">
        <f t="array" aca="1" ref="W127" ca="1">INDIRECT("'※ 재무_세부시트'!"&amp;W$1&amp;$AD127, TRUE)</f>
        <v>9.0118429412561962</v>
      </c>
      <c r="X127" s="2911" cm="1">
        <f t="array" aca="1" ref="X127" ca="1">INDIRECT("'※ 재무_세부시트'!"&amp;X$1&amp;$AD127, TRUE)</f>
        <v>1.7145784128836978</v>
      </c>
      <c r="Y127" s="2911" cm="1">
        <f t="array" aca="1" ref="Y127" ca="1">INDIRECT("'※ 재무_세부시트'!"&amp;Y$1&amp;$AD127, TRUE)</f>
        <v>0</v>
      </c>
      <c r="Z127" s="2912" cm="1">
        <f t="array" aca="1" ref="Z127" ca="1">INDIRECT("'※ 재무_세부시트'!"&amp;Z$1&amp;$AD127, TRUE)</f>
        <v>29.16233287333861</v>
      </c>
      <c r="AA127" s="2866"/>
      <c r="AB127" s="2794"/>
      <c r="AC127" s="2913" cm="1">
        <f t="array" aca="1" ref="AC127" ca="1">INDIRECT("'※ 재무_세부시트'!"&amp;AC$1&amp;$AD127, TRUE)</f>
        <v>-19.774561007283037</v>
      </c>
      <c r="AD127" s="2441">
        <v>126</v>
      </c>
      <c r="AE127" s="2958">
        <f t="shared" ref="AE127:AP127" si="60">AE113+AE116+AE128-AE133-AE132</f>
        <v>3.3495094888475547</v>
      </c>
      <c r="AF127" s="2958">
        <f t="shared" si="60"/>
        <v>-3.5328889770966114</v>
      </c>
      <c r="AG127" s="2958">
        <f t="shared" si="60"/>
        <v>-1.5637827930574897</v>
      </c>
      <c r="AH127" s="2958">
        <f t="shared" si="60"/>
        <v>6.0888672722938182</v>
      </c>
      <c r="AI127" s="2958">
        <f t="shared" si="60"/>
        <v>2.1924339017970436</v>
      </c>
      <c r="AJ127" s="2958">
        <f t="shared" si="60"/>
        <v>-2.5313822574605904</v>
      </c>
      <c r="AK127" s="2958">
        <f t="shared" si="60"/>
        <v>10.055429561359166</v>
      </c>
      <c r="AL127" s="2958">
        <f t="shared" si="60"/>
        <v>-9.7221004933971642</v>
      </c>
      <c r="AM127" s="2958">
        <f t="shared" si="60"/>
        <v>12.886122195423118</v>
      </c>
      <c r="AN127" s="2958">
        <f t="shared" si="60"/>
        <v>0.4408754823698704</v>
      </c>
      <c r="AO127" s="2958">
        <f t="shared" si="60"/>
        <v>1.2201085615672582</v>
      </c>
      <c r="AP127" s="2958">
        <f t="shared" si="60"/>
        <v>-5.4102429990188554</v>
      </c>
      <c r="AQ127" s="2958">
        <f t="shared" si="55"/>
        <v>13.472948943627117</v>
      </c>
      <c r="AR127" s="2488"/>
      <c r="AS127" s="2488"/>
      <c r="AT127" s="2488"/>
      <c r="AU127" s="2488"/>
      <c r="AV127" s="2488"/>
      <c r="AW127" s="2488"/>
      <c r="AX127" s="2488"/>
      <c r="AY127" s="2488"/>
      <c r="AZ127" s="2488"/>
      <c r="BA127" s="2488"/>
      <c r="BB127" s="2488"/>
      <c r="BC127" s="2488"/>
      <c r="BD127" s="2488"/>
      <c r="BE127" s="2488"/>
      <c r="BG127" s="2914" cm="1">
        <f t="array" aca="1" ref="BG127" ca="1">INDIRECT("'※ 재무_세부시트'!"&amp;BG$1&amp;$AD127, TRUE)</f>
        <v>3.3495094888475547</v>
      </c>
      <c r="BH127" s="2914" cm="1">
        <f t="array" aca="1" ref="BH127" ca="1">INDIRECT("'※ 재무_세부시트'!"&amp;BH$1&amp;$AD127, TRUE)</f>
        <v>13.472948943627117</v>
      </c>
      <c r="BI127" s="2914" cm="1">
        <f t="array" aca="1" ref="BI127" ca="1">INDIRECT("'※ 재무_세부시트'!"&amp;BI$1&amp;$AD127, TRUE)</f>
        <v>10.055429561359166</v>
      </c>
      <c r="BJ127" s="2914" cm="1">
        <f t="array" aca="1" ref="BJ127" ca="1">INDIRECT("'※ 재무_세부시트'!"&amp;BJ$1&amp;$AD127, TRUE)</f>
        <v>-6.0562523448652481</v>
      </c>
      <c r="BK127" s="2914" cm="1">
        <f t="array" aca="1" ref="BK127" ca="1">INDIRECT("'※ 재무_세부시트'!"&amp;BK$1&amp;$AD127, TRUE)</f>
        <v>12.886122195423118</v>
      </c>
      <c r="BL127" s="2490"/>
      <c r="BM127" s="2490"/>
    </row>
    <row r="128" spans="1:65" ht="17.25" customHeight="1" x14ac:dyDescent="0.55000000000000004">
      <c r="A128" s="2855"/>
      <c r="B128" s="2493"/>
      <c r="C128" s="2493"/>
      <c r="D128" s="2857" t="s">
        <v>0</v>
      </c>
      <c r="E128" s="2857"/>
      <c r="F128" s="2859" cm="1">
        <f t="array" aca="1" ref="F128" ca="1">INDIRECT("'※ 재무_세부시트'!"&amp;F$1&amp;$AD128, TRUE)</f>
        <v>170.37647784746241</v>
      </c>
      <c r="G128" s="2859" cm="1">
        <f t="array" aca="1" ref="G128" ca="1">INDIRECT("'※ 재무_세부시트'!"&amp;G$1&amp;$AD128, TRUE)</f>
        <v>135.42186996870788</v>
      </c>
      <c r="H128" s="2860" cm="1">
        <f t="array" aca="1" ref="H128" ca="1">INDIRECT("'※ 재무_세부시트'!"&amp;H$1&amp;$AD128, TRUE)</f>
        <v>9.0695830536824982</v>
      </c>
      <c r="I128" s="2861" cm="1">
        <f t="array" aca="1" ref="I128" ca="1">INDIRECT("'※ 재무_세부시트'!"&amp;I$1&amp;$AD128, TRUE)</f>
        <v>9.0819829431945234</v>
      </c>
      <c r="J128" s="2861" cm="1">
        <f t="array" aca="1" ref="J128" ca="1">INDIRECT("'※ 재무_세부시트'!"&amp;J$1&amp;$AD128, TRUE)</f>
        <v>8.5529125751921757</v>
      </c>
      <c r="K128" s="2861" cm="1">
        <f t="array" aca="1" ref="K128" ca="1">INDIRECT("'※ 재무_세부시트'!"&amp;K$1&amp;$AD128, TRUE)</f>
        <v>8.0079655054749317</v>
      </c>
      <c r="L128" s="2861" cm="1">
        <f t="array" aca="1" ref="L128" ca="1">INDIRECT("'※ 재무_세부시트'!"&amp;L$1&amp;$AD128, TRUE)</f>
        <v>7.6013216409978055</v>
      </c>
      <c r="M128" s="2861" cm="1">
        <f t="array" aca="1" ref="M128" ca="1">INDIRECT("'※ 재무_세부시트'!"&amp;M$1&amp;$AD128, TRUE)</f>
        <v>11.278029041566105</v>
      </c>
      <c r="N128" s="2861" cm="1">
        <f t="array" aca="1" ref="N128" ca="1">INDIRECT("'※ 재무_세부시트'!"&amp;N$1&amp;$AD128, TRUE)</f>
        <v>9.4702209891940257</v>
      </c>
      <c r="O128" s="2861" cm="1">
        <f t="array" aca="1" ref="O128" ca="1">INDIRECT("'※ 재무_세부시트'!"&amp;O$1&amp;$AD128, TRUE)</f>
        <v>9.1583624919815758</v>
      </c>
      <c r="P128" s="2861" cm="1">
        <f t="array" aca="1" ref="P128" ca="1">INDIRECT("'※ 재무_세부시트'!"&amp;P$1&amp;$AD128, TRUE)</f>
        <v>9.0414153605674557</v>
      </c>
      <c r="Q128" s="2861" cm="1">
        <f t="array" aca="1" ref="Q128" ca="1">INDIRECT("'※ 재무_세부시트'!"&amp;Q$1&amp;$AD128, TRUE)</f>
        <v>8.8861888617815215</v>
      </c>
      <c r="R128" s="2861" cm="1">
        <f t="array" aca="1" ref="R128" ca="1">INDIRECT("'※ 재무_세부시트'!"&amp;R$1&amp;$AD128, TRUE)</f>
        <v>8.7735164377780048</v>
      </c>
      <c r="S128" s="2861" cm="1">
        <f t="array" aca="1" ref="S128" ca="1">INDIRECT("'※ 재무_세부시트'!"&amp;S$1&amp;$AD128, TRUE)</f>
        <v>8.7081341384411317</v>
      </c>
      <c r="T128" s="2791"/>
      <c r="U128" s="2791"/>
      <c r="V128" s="2862"/>
      <c r="W128" s="2863" cm="1">
        <f t="array" aca="1" ref="W128" ca="1">INDIRECT("'※ 재무_세부시트'!"&amp;W$1&amp;$AD128, TRUE)</f>
        <v>-6.5382299336873118E-2</v>
      </c>
      <c r="X128" s="2864" cm="1">
        <f t="array" aca="1" ref="X128" ca="1">INDIRECT("'※ 재무_세부시트'!"&amp;X$1&amp;$AD128, TRUE)</f>
        <v>-0.91754262125821029</v>
      </c>
      <c r="Y128" s="2864" cm="1">
        <f t="array" aca="1" ref="Y128" ca="1">INDIRECT("'※ 재무_세부시트'!"&amp;Y$1&amp;$AD128, TRUE)</f>
        <v>0</v>
      </c>
      <c r="Z128" s="2865" cm="1">
        <f t="array" aca="1" ref="Z128" ca="1">INDIRECT("'※ 재무_세부시트'!"&amp;Z$1&amp;$AD128, TRUE)</f>
        <v>107.62963303985174</v>
      </c>
      <c r="AA128" s="2866"/>
      <c r="AB128" s="2794"/>
      <c r="AC128" s="2867" cm="1">
        <f t="array" aca="1" ref="AC128" ca="1">INDIRECT("'※ 재무_세부시트'!"&amp;AC$1&amp;$AD128, TRUE)</f>
        <v>-27.792236928856141</v>
      </c>
      <c r="AD128" s="2441">
        <v>127</v>
      </c>
      <c r="AE128" s="2504">
        <v>14.614718331177802</v>
      </c>
      <c r="AF128" s="2504">
        <v>14.209055806527299</v>
      </c>
      <c r="AG128" s="2504">
        <v>14.780465866386699</v>
      </c>
      <c r="AH128" s="2504">
        <v>14.649513024907899</v>
      </c>
      <c r="AI128" s="2504">
        <v>14.581835706400001</v>
      </c>
      <c r="AJ128" s="2504">
        <v>14.243939044614601</v>
      </c>
      <c r="AK128" s="2504">
        <v>14.415164137488699</v>
      </c>
      <c r="AL128" s="2504">
        <v>14.217451471758601</v>
      </c>
      <c r="AM128" s="2504">
        <v>13.834609112999201</v>
      </c>
      <c r="AN128" s="2504">
        <v>13.867733926857703</v>
      </c>
      <c r="AO128" s="2504">
        <v>13.5456691405867</v>
      </c>
      <c r="AP128" s="2504">
        <v>13.4163222777572</v>
      </c>
      <c r="AQ128" s="2505">
        <f t="shared" si="55"/>
        <v>170.37647784746241</v>
      </c>
      <c r="AR128" s="2488"/>
      <c r="AS128" s="2488"/>
      <c r="AT128" s="2488"/>
      <c r="AU128" s="2488"/>
      <c r="AV128" s="2488"/>
      <c r="AW128" s="2488"/>
      <c r="AX128" s="2488"/>
      <c r="AY128" s="2488"/>
      <c r="AZ128" s="2488"/>
      <c r="BA128" s="2488"/>
      <c r="BB128" s="2488"/>
      <c r="BC128" s="2488"/>
      <c r="BD128" s="2488"/>
      <c r="BE128" s="2488"/>
      <c r="BG128" s="2868" cm="1">
        <f t="array" aca="1" ref="BG128" ca="1">INDIRECT("'※ 재무_세부시트'!"&amp;BG$1&amp;$AD128, TRUE)</f>
        <v>14.614718331177802</v>
      </c>
      <c r="BH128" s="2868" cm="1">
        <f t="array" aca="1" ref="BH128" ca="1">INDIRECT("'※ 재무_세부시트'!"&amp;BH$1&amp;$AD128, TRUE)</f>
        <v>170.37647784746241</v>
      </c>
      <c r="BI128" s="2868" cm="1">
        <f t="array" aca="1" ref="BI128" ca="1">INDIRECT("'※ 재무_세부시트'!"&amp;BI$1&amp;$AD128, TRUE)</f>
        <v>14.415164137488699</v>
      </c>
      <c r="BJ128" s="2868" cm="1">
        <f t="array" aca="1" ref="BJ128" ca="1">INDIRECT("'※ 재무_세부시트'!"&amp;BJ$1&amp;$AD128, TRUE)</f>
        <v>11.27059863287119</v>
      </c>
      <c r="BK128" s="2868" cm="1">
        <f t="array" aca="1" ref="BK128" ca="1">INDIRECT("'※ 재무_세부시트'!"&amp;BK$1&amp;$AD128, TRUE)</f>
        <v>13.834609112999201</v>
      </c>
      <c r="BL128" s="2490"/>
      <c r="BM128" s="2490"/>
    </row>
    <row r="129" spans="1:65" ht="17.25" customHeight="1" x14ac:dyDescent="0.55000000000000004">
      <c r="A129" s="2855"/>
      <c r="B129" s="2493"/>
      <c r="C129" s="2493"/>
      <c r="D129" s="2857" t="s">
        <v>765</v>
      </c>
      <c r="E129" s="2857"/>
      <c r="F129" s="2859" cm="1">
        <f t="array" aca="1" ref="F129" ca="1">INDIRECT("'※ 재무_세부시트'!"&amp;F$1&amp;$AD129, TRUE)</f>
        <v>66.5892270683715</v>
      </c>
      <c r="G129" s="2859" cm="1">
        <f t="array" aca="1" ref="G129" ca="1">INDIRECT("'※ 재무_세부시트'!"&amp;G$1&amp;$AD129, TRUE)</f>
        <v>41.371015468707903</v>
      </c>
      <c r="H129" s="2860" cm="1">
        <f t="array" aca="1" ref="H129" ca="1">INDIRECT("'※ 재무_세부시트'!"&amp;H$1&amp;$AD129, TRUE)</f>
        <v>2.9294559445915898</v>
      </c>
      <c r="I129" s="2861" cm="1">
        <f t="array" aca="1" ref="I129" ca="1">INDIRECT("'※ 재무_세부시트'!"&amp;I$1&amp;$AD129, TRUE)</f>
        <v>2.8788210159217966</v>
      </c>
      <c r="J129" s="2861" cm="1">
        <f t="array" aca="1" ref="J129" ca="1">INDIRECT("'※ 재무_세부시트'!"&amp;J$1&amp;$AD129, TRUE)</f>
        <v>2.66026882973763</v>
      </c>
      <c r="K129" s="2861" cm="1">
        <f t="array" aca="1" ref="K129" ca="1">INDIRECT("'※ 재무_세부시트'!"&amp;K$1&amp;$AD129, TRUE)</f>
        <v>2.5262770327476596</v>
      </c>
      <c r="L129" s="2861" cm="1">
        <f t="array" aca="1" ref="L129" ca="1">INDIRECT("'※ 재무_세부시트'!"&amp;L$1&amp;$AD129, TRUE)</f>
        <v>2.3802389409978062</v>
      </c>
      <c r="M129" s="2861" cm="1">
        <f t="array" aca="1" ref="M129" ca="1">INDIRECT("'※ 재무_세부시트'!"&amp;M$1&amp;$AD129, TRUE)</f>
        <v>6.3101247052024707</v>
      </c>
      <c r="N129" s="2861" cm="1">
        <f t="array" aca="1" ref="N129" ca="1">INDIRECT("'※ 재무_세부시트'!"&amp;N$1&amp;$AD129, TRUE)</f>
        <v>4.7605180073758433</v>
      </c>
      <c r="O129" s="2861" cm="1">
        <f t="array" aca="1" ref="O129" ca="1">INDIRECT("'※ 재무_세부시트'!"&amp;O$1&amp;$AD129, TRUE)</f>
        <v>4.7224380647088484</v>
      </c>
      <c r="P129" s="2861" cm="1">
        <f t="array" aca="1" ref="P129" ca="1">INDIRECT("'※ 재무_세부시트'!"&amp;P$1&amp;$AD129, TRUE)</f>
        <v>4.8802453332947291</v>
      </c>
      <c r="Q129" s="2861" cm="1">
        <f t="array" aca="1" ref="Q129" ca="1">INDIRECT("'※ 재무_세부시트'!"&amp;Q$1&amp;$AD129, TRUE)</f>
        <v>4.9709158799633402</v>
      </c>
      <c r="R129" s="2861" cm="1">
        <f t="array" aca="1" ref="R129" ca="1">INDIRECT("'※ 재무_세부시트'!"&amp;R$1&amp;$AD129, TRUE)</f>
        <v>5.1158438377780051</v>
      </c>
      <c r="S129" s="2861" cm="1">
        <f t="array" aca="1" ref="S129" ca="1">INDIRECT("'※ 재무_세부시트'!"&amp;S$1&amp;$AD129, TRUE)</f>
        <v>5.2152921929865865</v>
      </c>
      <c r="T129" s="2791"/>
      <c r="U129" s="2791"/>
      <c r="V129" s="2862"/>
      <c r="W129" s="2863" cm="1">
        <f t="array" aca="1" ref="W129" ca="1">INDIRECT("'※ 재무_세부시트'!"&amp;W$1&amp;$AD129, TRUE)</f>
        <v>9.9448355208581418E-2</v>
      </c>
      <c r="X129" s="2864" cm="1">
        <f t="array" aca="1" ref="X129" ca="1">INDIRECT("'※ 재무_세부시트'!"&amp;X$1&amp;$AD129, TRUE)</f>
        <v>2.1637118332872447</v>
      </c>
      <c r="Y129" s="2864" cm="1">
        <f t="array" aca="1" ref="Y129" ca="1">INDIRECT("'※ 재무_세부시트'!"&amp;Y$1&amp;$AD129, TRUE)</f>
        <v>0</v>
      </c>
      <c r="Z129" s="2865" cm="1">
        <f t="array" aca="1" ref="Z129" ca="1">INDIRECT("'※ 재무_세부시트'!"&amp;Z$1&amp;$AD129, TRUE)</f>
        <v>49.350439785306314</v>
      </c>
      <c r="AA129" s="2866"/>
      <c r="AB129" s="2794"/>
      <c r="AC129" s="2867" cm="1">
        <f t="array" aca="1" ref="AC129" ca="1">INDIRECT("'※ 재무_세부시트'!"&amp;AC$1&amp;$AD129, TRUE)</f>
        <v>7.9794243165984113</v>
      </c>
      <c r="AD129" s="2441">
        <v>128</v>
      </c>
      <c r="AE129" s="2504">
        <f t="shared" ref="AE129:AP129" si="61">AE128-AE131-AE130</f>
        <v>5.8606189569611686</v>
      </c>
      <c r="AF129" s="2504">
        <f t="shared" si="61"/>
        <v>5.7441553712661761</v>
      </c>
      <c r="AG129" s="2504">
        <f t="shared" si="61"/>
        <v>5.5608149126536244</v>
      </c>
      <c r="AH129" s="2504">
        <f t="shared" si="61"/>
        <v>6.0280143532057719</v>
      </c>
      <c r="AI129" s="2504">
        <f t="shared" si="61"/>
        <v>6.0751910706746637</v>
      </c>
      <c r="AJ129" s="2504">
        <f t="shared" si="61"/>
        <v>5.8024794404173088</v>
      </c>
      <c r="AK129" s="2504">
        <f t="shared" si="61"/>
        <v>5.7518238532140371</v>
      </c>
      <c r="AL129" s="2504">
        <f t="shared" si="61"/>
        <v>5.5343983037315212</v>
      </c>
      <c r="AM129" s="2504">
        <f t="shared" si="61"/>
        <v>5.3208148450688348</v>
      </c>
      <c r="AN129" s="2504">
        <f t="shared" si="61"/>
        <v>5.1595599136662136</v>
      </c>
      <c r="AO129" s="2504">
        <f t="shared" si="61"/>
        <v>4.9165365163700656</v>
      </c>
      <c r="AP129" s="2504">
        <f t="shared" si="61"/>
        <v>4.8348195311421129</v>
      </c>
      <c r="AQ129" s="2505"/>
      <c r="AR129" s="2488"/>
      <c r="AS129" s="2488"/>
      <c r="AT129" s="2488"/>
      <c r="AU129" s="2488"/>
      <c r="AV129" s="2488"/>
      <c r="AW129" s="2488"/>
      <c r="AX129" s="2488"/>
      <c r="AY129" s="2488"/>
      <c r="AZ129" s="2488"/>
      <c r="BA129" s="2488"/>
      <c r="BB129" s="2488"/>
      <c r="BC129" s="2488"/>
      <c r="BD129" s="2488"/>
      <c r="BE129" s="2488"/>
      <c r="BG129" s="2868" cm="1">
        <f t="array" aca="1" ref="BG129" ca="1">INDIRECT("'※ 재무_세부시트'!"&amp;BG$1&amp;$AD129, TRUE)</f>
        <v>5.8606189569611677</v>
      </c>
      <c r="BH129" s="2868" cm="1">
        <f t="array" aca="1" ref="BH129" ca="1">INDIRECT("'※ 재무_세부시트'!"&amp;BH$1&amp;$AD129, TRUE)</f>
        <v>66.5892270683715</v>
      </c>
      <c r="BI129" s="2868" cm="1">
        <f t="array" aca="1" ref="BI129" ca="1">INDIRECT("'※ 재무_세부시트'!"&amp;BI$1&amp;$AD129, TRUE)</f>
        <v>5.7518238532140389</v>
      </c>
      <c r="BJ129" s="2868" cm="1">
        <f t="array" aca="1" ref="BJ129" ca="1">INDIRECT("'※ 재무_세부시트'!"&amp;BJ$1&amp;$AD129, TRUE)</f>
        <v>3.2881079965075539</v>
      </c>
      <c r="BK129" s="2868" cm="1">
        <f t="array" aca="1" ref="BK129" ca="1">INDIRECT("'※ 재무_세부시트'!"&amp;BK$1&amp;$AD129, TRUE)</f>
        <v>5.320814845068834</v>
      </c>
      <c r="BL129" s="2490"/>
      <c r="BM129" s="2490"/>
    </row>
    <row r="130" spans="1:65" ht="17.149999999999999" customHeight="1" x14ac:dyDescent="0.55000000000000004">
      <c r="A130" s="2855"/>
      <c r="B130" s="2493"/>
      <c r="C130" s="2493"/>
      <c r="D130" s="2857" t="s">
        <v>766</v>
      </c>
      <c r="E130" s="2857"/>
      <c r="F130" s="2859" cm="1">
        <f t="array" aca="1" ref="F130" ca="1">INDIRECT("'※ 재무_세부시트'!"&amp;F$1&amp;$AD130, TRUE)</f>
        <v>36.578484670000002</v>
      </c>
      <c r="G130" s="2859" cm="1">
        <f t="array" aca="1" ref="G130" ca="1">INDIRECT("'※ 재무_세부시트'!"&amp;G$1&amp;$AD130, TRUE)</f>
        <v>33.011322045454541</v>
      </c>
      <c r="H130" s="2860" cm="1">
        <f t="array" aca="1" ref="H130" ca="1">INDIRECT("'※ 재무_세부시트'!"&amp;H$1&amp;$AD130, TRUE)</f>
        <v>1.997533909090909</v>
      </c>
      <c r="I130" s="2861" cm="1">
        <f t="array" aca="1" ref="I130" ca="1">INDIRECT("'※ 재무_세부시트'!"&amp;I$1&amp;$AD130, TRUE)</f>
        <v>2.0628230909090908</v>
      </c>
      <c r="J130" s="2861" cm="1">
        <f t="array" aca="1" ref="J130" ca="1">INDIRECT("'※ 재무_세부시트'!"&amp;J$1&amp;$AD130, TRUE)</f>
        <v>2.0294241181818182</v>
      </c>
      <c r="K130" s="2861" cm="1">
        <f t="array" aca="1" ref="K130" ca="1">INDIRECT("'※ 재무_세부시트'!"&amp;K$1&amp;$AD130, TRUE)</f>
        <v>1.8044475454545452</v>
      </c>
      <c r="L130" s="2861" cm="1">
        <f t="array" aca="1" ref="L130" ca="1">INDIRECT("'※ 재무_세부시트'!"&amp;L$1&amp;$AD130, TRUE)</f>
        <v>1.7026086363636364</v>
      </c>
      <c r="M130" s="2861" cm="1">
        <f t="array" aca="1" ref="M130" ca="1">INDIRECT("'※ 재무_세부시트'!"&amp;M$1&amp;$AD130, TRUE)</f>
        <v>1.5949691818181815</v>
      </c>
      <c r="N130" s="2861" cm="1">
        <f t="array" aca="1" ref="N130" ca="1">INDIRECT("'※ 재무_세부시트'!"&amp;N$1&amp;$AD130, TRUE)</f>
        <v>1.4921994545454544</v>
      </c>
      <c r="O130" s="2861" cm="1">
        <f t="array" aca="1" ref="O130" ca="1">INDIRECT("'※ 재무_세부시트'!"&amp;O$1&amp;$AD130, TRUE)</f>
        <v>1.4055082727272725</v>
      </c>
      <c r="P130" s="2861" cm="1">
        <f t="array" aca="1" ref="P130" ca="1">INDIRECT("'※ 재무_세부시트'!"&amp;P$1&amp;$AD130, TRUE)</f>
        <v>1.3104794545454543</v>
      </c>
      <c r="Q130" s="2861" cm="1">
        <f t="array" aca="1" ref="Q130" ca="1">INDIRECT("'※ 재무_세부시트'!"&amp;Q$1&amp;$AD130, TRUE)</f>
        <v>1.2273192727272726</v>
      </c>
      <c r="R130" s="2861" cm="1">
        <f t="array" aca="1" ref="R130" ca="1">INDIRECT("'※ 재무_세부시트'!"&amp;R$1&amp;$AD130, TRUE)</f>
        <v>1.1457579090909091</v>
      </c>
      <c r="S130" s="2861" cm="1">
        <f t="array" aca="1" ref="S130" ca="1">INDIRECT("'※ 재무_세부시트'!"&amp;S$1&amp;$AD130, TRUE)</f>
        <v>1.0902024545454545</v>
      </c>
      <c r="T130" s="2791"/>
      <c r="U130" s="2791"/>
      <c r="V130" s="2862"/>
      <c r="W130" s="2863" cm="1">
        <f t="array" aca="1" ref="W130" ca="1">INDIRECT("'※ 재무_세부시트'!"&amp;W$1&amp;$AD130, TRUE)</f>
        <v>-5.555545454545463E-2</v>
      </c>
      <c r="X130" s="2864" cm="1">
        <f t="array" aca="1" ref="X130" ca="1">INDIRECT("'※ 재무_세부시트'!"&amp;X$1&amp;$AD130, TRUE)</f>
        <v>-1.0748560909090907</v>
      </c>
      <c r="Y130" s="2864" cm="1">
        <f t="array" aca="1" ref="Y130" ca="1">INDIRECT("'※ 재무_세부시트'!"&amp;Y$1&amp;$AD130, TRUE)</f>
        <v>0</v>
      </c>
      <c r="Z130" s="2865" cm="1">
        <f t="array" aca="1" ref="Z130" ca="1">INDIRECT("'※ 재무_세부시트'!"&amp;Z$1&amp;$AD130, TRUE)</f>
        <v>18.863273300000003</v>
      </c>
      <c r="AA130" s="2866"/>
      <c r="AB130" s="2794"/>
      <c r="AC130" s="2867" cm="1">
        <f t="array" aca="1" ref="AC130" ca="1">INDIRECT("'※ 재무_세부시트'!"&amp;AC$1&amp;$AD130, TRUE)</f>
        <v>-14.148048745454538</v>
      </c>
      <c r="AD130" s="2441">
        <v>129</v>
      </c>
      <c r="AE130" s="2504">
        <v>3.1000515100000001</v>
      </c>
      <c r="AF130" s="2504">
        <v>2.7636117900000001</v>
      </c>
      <c r="AG130" s="2504">
        <v>3.4812843400000002</v>
      </c>
      <c r="AH130" s="2504">
        <v>3.0939438099999998</v>
      </c>
      <c r="AI130" s="2504">
        <v>3.0265150099999998</v>
      </c>
      <c r="AJ130" s="2504">
        <v>2.9555635100000002</v>
      </c>
      <c r="AK130" s="2504">
        <v>3.0295188099999999</v>
      </c>
      <c r="AL130" s="2504">
        <v>3.0538341099999999</v>
      </c>
      <c r="AM130" s="2504">
        <v>2.9771911599999998</v>
      </c>
      <c r="AN130" s="2504">
        <v>3.05813866</v>
      </c>
      <c r="AO130" s="2504">
        <v>3.0312767599999999</v>
      </c>
      <c r="AP130" s="2504">
        <v>3.0075552000000001</v>
      </c>
      <c r="AQ130" s="2505"/>
      <c r="AR130" s="2488"/>
      <c r="AS130" s="2488"/>
      <c r="AT130" s="2488"/>
      <c r="AU130" s="2488"/>
      <c r="AV130" s="2488"/>
      <c r="AW130" s="2488"/>
      <c r="AX130" s="2488"/>
      <c r="AY130" s="2488"/>
      <c r="AZ130" s="2488"/>
      <c r="BA130" s="2488"/>
      <c r="BB130" s="2488"/>
      <c r="BC130" s="2488"/>
      <c r="BD130" s="2488"/>
      <c r="BE130" s="2488"/>
      <c r="BG130" s="2868" cm="1">
        <f t="array" aca="1" ref="BG130" ca="1">INDIRECT("'※ 재무_세부시트'!"&amp;BG$1&amp;$AD130, TRUE)</f>
        <v>3.1000515100000001</v>
      </c>
      <c r="BH130" s="2868" cm="1">
        <f t="array" aca="1" ref="BH130" ca="1">INDIRECT("'※ 재무_세부시트'!"&amp;BH$1&amp;$AD130, TRUE)</f>
        <v>36.578484670000002</v>
      </c>
      <c r="BI130" s="2868" cm="1">
        <f t="array" aca="1" ref="BI130" ca="1">INDIRECT("'※ 재무_세부시트'!"&amp;BI$1&amp;$AD130, TRUE)</f>
        <v>3.0295188099999999</v>
      </c>
      <c r="BJ130" s="2868" cm="1">
        <f t="array" aca="1" ref="BJ130" ca="1">INDIRECT("'※ 재무_세부시트'!"&amp;BJ$1&amp;$AD130, TRUE)</f>
        <v>2.8099571000000001</v>
      </c>
      <c r="BK130" s="2868" cm="1">
        <f t="array" aca="1" ref="BK130" ca="1">INDIRECT("'※ 재무_세부시트'!"&amp;BK$1&amp;$AD130, TRUE)</f>
        <v>2.9771911599999998</v>
      </c>
      <c r="BL130" s="2490"/>
      <c r="BM130" s="2490"/>
    </row>
    <row r="131" spans="1:65" ht="17.25" customHeight="1" x14ac:dyDescent="0.55000000000000004">
      <c r="A131" s="2855"/>
      <c r="B131" s="2493"/>
      <c r="C131" s="2493"/>
      <c r="D131" s="2857" t="s">
        <v>767</v>
      </c>
      <c r="E131" s="2857"/>
      <c r="F131" s="2859" cm="1">
        <f t="array" aca="1" ref="F131" ca="1">INDIRECT("'※ 재무_세부시트'!"&amp;F$1&amp;$AD131, TRUE)</f>
        <v>67.208766109090902</v>
      </c>
      <c r="G131" s="2859" cm="1">
        <f t="array" aca="1" ref="G131" ca="1">INDIRECT("'※ 재무_세부시트'!"&amp;G$1&amp;$AD131, TRUE)</f>
        <v>61.039532454545444</v>
      </c>
      <c r="H131" s="2860" cm="1">
        <f t="array" aca="1" ref="H131" ca="1">INDIRECT("'※ 재무_세부시트'!"&amp;H$1&amp;$AD131, TRUE)</f>
        <v>4.1425931999999994</v>
      </c>
      <c r="I131" s="2861" cm="1">
        <f t="array" aca="1" ref="I131" ca="1">INDIRECT("'※ 재무_세부시트'!"&amp;I$1&amp;$AD131, TRUE)</f>
        <v>4.140338836363636</v>
      </c>
      <c r="J131" s="2861" cm="1">
        <f t="array" aca="1" ref="J131" ca="1">INDIRECT("'※ 재무_세부시트'!"&amp;J$1&amp;$AD131, TRUE)</f>
        <v>3.8632196272727271</v>
      </c>
      <c r="K131" s="2861" cm="1">
        <f t="array" aca="1" ref="K131" ca="1">INDIRECT("'※ 재무_세부시트'!"&amp;K$1&amp;$AD131, TRUE)</f>
        <v>3.6772409272727269</v>
      </c>
      <c r="L131" s="2861" cm="1">
        <f t="array" aca="1" ref="L131" ca="1">INDIRECT("'※ 재무_세부시트'!"&amp;L$1&amp;$AD131, TRUE)</f>
        <v>3.5184740636363632</v>
      </c>
      <c r="M131" s="2861" cm="1">
        <f t="array" aca="1" ref="M131" ca="1">INDIRECT("'※ 재무_세부시트'!"&amp;M$1&amp;$AD131, TRUE)</f>
        <v>3.3729351545454542</v>
      </c>
      <c r="N131" s="2861" cm="1">
        <f t="array" aca="1" ref="N131" ca="1">INDIRECT("'※ 재무_세부시트'!"&amp;N$1&amp;$AD131, TRUE)</f>
        <v>3.217503527272727</v>
      </c>
      <c r="O131" s="2861" cm="1">
        <f t="array" aca="1" ref="O131" ca="1">INDIRECT("'※ 재무_세부시트'!"&amp;O$1&amp;$AD131, TRUE)</f>
        <v>3.0304161545454544</v>
      </c>
      <c r="P131" s="2861" cm="1">
        <f t="array" aca="1" ref="P131" ca="1">INDIRECT("'※ 재무_세부시트'!"&amp;P$1&amp;$AD131, TRUE)</f>
        <v>2.8506905727272724</v>
      </c>
      <c r="Q131" s="2861" cm="1">
        <f t="array" aca="1" ref="Q131" ca="1">INDIRECT("'※ 재무_세부시트'!"&amp;Q$1&amp;$AD131, TRUE)</f>
        <v>2.6879537090909089</v>
      </c>
      <c r="R131" s="2861" cm="1">
        <f t="array" aca="1" ref="R131" ca="1">INDIRECT("'※ 재무_세부시트'!"&amp;R$1&amp;$AD131, TRUE)</f>
        <v>2.5119146909090908</v>
      </c>
      <c r="S131" s="2861" cm="1">
        <f t="array" aca="1" ref="S131" ca="1">INDIRECT("'※ 재무_세부시트'!"&amp;S$1&amp;$AD131, TRUE)</f>
        <v>2.4026394909090905</v>
      </c>
      <c r="T131" s="2791"/>
      <c r="U131" s="2791"/>
      <c r="V131" s="2862"/>
      <c r="W131" s="2863" cm="1">
        <f t="array" aca="1" ref="W131" ca="1">INDIRECT("'※ 재무_세부시트'!"&amp;W$1&amp;$AD131, TRUE)</f>
        <v>-0.10927520000000035</v>
      </c>
      <c r="X131" s="2864" cm="1">
        <f t="array" aca="1" ref="X131" ca="1">INDIRECT("'※ 재무_세부시트'!"&amp;X$1&amp;$AD131, TRUE)</f>
        <v>-2.006398363636364</v>
      </c>
      <c r="Y131" s="2864" cm="1">
        <f t="array" aca="1" ref="Y131" ca="1">INDIRECT("'※ 재무_세부시트'!"&amp;Y$1&amp;$AD131, TRUE)</f>
        <v>0</v>
      </c>
      <c r="Z131" s="2865" cm="1">
        <f t="array" aca="1" ref="Z131" ca="1">INDIRECT("'※ 재무_세부시트'!"&amp;Z$1&amp;$AD131, TRUE)</f>
        <v>39.415919954545451</v>
      </c>
      <c r="AA131" s="2866"/>
      <c r="AB131" s="2794"/>
      <c r="AC131" s="2867" cm="1">
        <f t="array" aca="1" ref="AC131" ca="1">INDIRECT("'※ 재무_세부시트'!"&amp;AC$1&amp;$AD131, TRUE)</f>
        <v>-21.623612499999993</v>
      </c>
      <c r="AD131" s="2441">
        <v>130</v>
      </c>
      <c r="AE131" s="2504">
        <v>5.6540478642166336</v>
      </c>
      <c r="AF131" s="2504">
        <v>5.7012886452611218</v>
      </c>
      <c r="AG131" s="2504">
        <v>5.7383666137330751</v>
      </c>
      <c r="AH131" s="2504">
        <v>5.5275548617021277</v>
      </c>
      <c r="AI131" s="2504">
        <v>5.480129625725338</v>
      </c>
      <c r="AJ131" s="2504">
        <v>5.4858960941972912</v>
      </c>
      <c r="AK131" s="2504">
        <v>5.6338214742746606</v>
      </c>
      <c r="AL131" s="2504">
        <v>5.6292190580270782</v>
      </c>
      <c r="AM131" s="2504">
        <v>5.5366031079303673</v>
      </c>
      <c r="AN131" s="2504">
        <v>5.6500353531914893</v>
      </c>
      <c r="AO131" s="2504">
        <v>5.5978558642166343</v>
      </c>
      <c r="AP131" s="2504">
        <v>5.573947546615087</v>
      </c>
      <c r="AQ131" s="2505"/>
      <c r="AR131" s="2488"/>
      <c r="AS131" s="2488"/>
      <c r="AT131" s="2488"/>
      <c r="AU131" s="2488"/>
      <c r="AV131" s="2488"/>
      <c r="AW131" s="2488"/>
      <c r="AX131" s="2488"/>
      <c r="AY131" s="2488"/>
      <c r="AZ131" s="2488"/>
      <c r="BA131" s="2488"/>
      <c r="BB131" s="2488"/>
      <c r="BC131" s="2488"/>
      <c r="BD131" s="2488"/>
      <c r="BE131" s="2488"/>
      <c r="BG131" s="2868" cm="1">
        <f t="array" aca="1" ref="BG131" ca="1">INDIRECT("'※ 재무_세부시트'!"&amp;BG$1&amp;$AD131, TRUE)</f>
        <v>5.6540478642166336</v>
      </c>
      <c r="BH131" s="2868" cm="1">
        <f t="array" aca="1" ref="BH131" ca="1">INDIRECT("'※ 재무_세부시트'!"&amp;BH$1&amp;$AD131, TRUE)</f>
        <v>67.208766109090902</v>
      </c>
      <c r="BI131" s="2868" cm="1">
        <f t="array" aca="1" ref="BI131" ca="1">INDIRECT("'※ 재무_세부시트'!"&amp;BI$1&amp;$AD131, TRUE)</f>
        <v>5.6338214742746606</v>
      </c>
      <c r="BJ131" s="2868" cm="1">
        <f t="array" aca="1" ref="BJ131" ca="1">INDIRECT("'※ 재무_세부시트'!"&amp;BJ$1&amp;$AD131, TRUE)</f>
        <v>5.1725335363636358</v>
      </c>
      <c r="BK131" s="2868" cm="1">
        <f t="array" aca="1" ref="BK131" ca="1">INDIRECT("'※ 재무_세부시트'!"&amp;BK$1&amp;$AD131, TRUE)</f>
        <v>5.5366031079303673</v>
      </c>
      <c r="BL131" s="2490"/>
      <c r="BM131" s="2490"/>
    </row>
    <row r="132" spans="1:65" ht="17.25" customHeight="1" x14ac:dyDescent="0.55000000000000004">
      <c r="A132" s="2855"/>
      <c r="B132" s="2493"/>
      <c r="C132" s="2493"/>
      <c r="D132" s="2493" t="s">
        <v>33</v>
      </c>
      <c r="E132" s="2493"/>
      <c r="F132" s="2494" cm="1">
        <f t="array" aca="1" ref="F132" ca="1">INDIRECT("'※ 재무_세부시트'!"&amp;F$1&amp;$AD132, TRUE)</f>
        <v>136.8473133963976</v>
      </c>
      <c r="G132" s="2494" cm="1">
        <f t="array" aca="1" ref="G132" ca="1">INDIRECT("'※ 재무_세부시트'!"&amp;G$1&amp;$AD132, TRUE)</f>
        <v>72.070418984955765</v>
      </c>
      <c r="H132" s="2789" cm="1">
        <f t="array" aca="1" ref="H132" ca="1">INDIRECT("'※ 재무_세부시트'!"&amp;H$1&amp;$AD132, TRUE)</f>
        <v>-1.9722689027622273</v>
      </c>
      <c r="I132" s="2790" cm="1">
        <f t="array" aca="1" ref="I132" ca="1">INDIRECT("'※ 재무_세부시트'!"&amp;I$1&amp;$AD132, TRUE)</f>
        <v>19.021983068000008</v>
      </c>
      <c r="J132" s="2790" cm="1">
        <f t="array" aca="1" ref="J132" ca="1">INDIRECT("'※ 재무_세부시트'!"&amp;J$1&amp;$AD132, TRUE)</f>
        <v>4.6599630400000001</v>
      </c>
      <c r="K132" s="2790" cm="1">
        <f t="array" aca="1" ref="K132" ca="1">INDIRECT("'※ 재무_세부시트'!"&amp;K$1&amp;$AD132, TRUE)</f>
        <v>5.2626658879999999</v>
      </c>
      <c r="L132" s="2790" cm="1">
        <f t="array" aca="1" ref="L132" ca="1">INDIRECT("'※ 재무_세부시트'!"&amp;L$1&amp;$AD132, TRUE)</f>
        <v>14.641657992000003</v>
      </c>
      <c r="M132" s="2790" cm="1">
        <f t="array" aca="1" ref="M132" ca="1">INDIRECT("'※ 재무_세부시트'!"&amp;M$1&amp;$AD132, TRUE)</f>
        <v>3.36895758</v>
      </c>
      <c r="N132" s="2790" cm="1">
        <f t="array" aca="1" ref="N132" ca="1">INDIRECT("'※ 재무_세부시트'!"&amp;N$1&amp;$AD132, TRUE)</f>
        <v>7.2063283160000005</v>
      </c>
      <c r="O132" s="2790" cm="1">
        <f t="array" aca="1" ref="O132" ca="1">INDIRECT("'※ 재무_세부시트'!"&amp;O$1&amp;$AD132, TRUE)</f>
        <v>19.519862480000008</v>
      </c>
      <c r="P132" s="2790" cm="1">
        <f t="array" aca="1" ref="P132" ca="1">INDIRECT("'※ 재무_세부시트'!"&amp;P$1&amp;$AD132, TRUE)</f>
        <v>3.7466447120000002</v>
      </c>
      <c r="Q132" s="2790" cm="1">
        <f t="array" aca="1" ref="Q132" ca="1">INDIRECT("'※ 재무_세부시트'!"&amp;Q$1&amp;$AD132, TRUE)</f>
        <v>10.425252797237228</v>
      </c>
      <c r="R132" s="2790" cm="1">
        <f t="array" aca="1" ref="R132" ca="1">INDIRECT("'※ 재무_세부시트'!"&amp;R$1&amp;$AD132, TRUE)</f>
        <v>13.574222080002416</v>
      </c>
      <c r="S132" s="2790" cm="1">
        <f t="array" aca="1" ref="S132" ca="1">INDIRECT("'※ 재무_세부시트'!"&amp;S$1&amp;$AD132, TRUE)</f>
        <v>9.4760877497436518</v>
      </c>
      <c r="T132" s="2791"/>
      <c r="U132" s="2791"/>
      <c r="V132" s="2862"/>
      <c r="W132" s="2499" cm="1">
        <f t="array" aca="1" ref="W132" ca="1">INDIRECT("'※ 재무_세부시트'!"&amp;W$1&amp;$AD132, TRUE)</f>
        <v>-4.0981343302587643</v>
      </c>
      <c r="X132" s="2500" cm="1">
        <f t="array" aca="1" ref="X132" ca="1">INDIRECT("'※ 재무_세부시트'!"&amp;X$1&amp;$AD132, TRUE)</f>
        <v>7.6412961530553023</v>
      </c>
      <c r="Y132" s="2500" cm="1">
        <f t="array" aca="1" ref="Y132" ca="1">INDIRECT("'※ 재무_세부시트'!"&amp;Y$1&amp;$AD132, TRUE)</f>
        <v>0</v>
      </c>
      <c r="Z132" s="2501" cm="1">
        <f t="array" aca="1" ref="Z132" ca="1">INDIRECT("'※ 재무_세부시트'!"&amp;Z$1&amp;$AD132, TRUE)</f>
        <v>108.93135680022108</v>
      </c>
      <c r="AA132" s="2866"/>
      <c r="AB132" s="2794"/>
      <c r="AC132" s="2795" cm="1">
        <f t="array" aca="1" ref="AC132" ca="1">INDIRECT("'※ 재무_세부시트'!"&amp;AC$1&amp;$AD132, TRUE)</f>
        <v>36.860937815265316</v>
      </c>
      <c r="AD132" s="2441">
        <v>131</v>
      </c>
      <c r="AE132" s="2504">
        <v>5.8901561834147484</v>
      </c>
      <c r="AF132" s="2504">
        <v>18.103499337041036</v>
      </c>
      <c r="AG132" s="2504">
        <v>9.1360570035991842</v>
      </c>
      <c r="AH132" s="2504">
        <v>6.4107008072801364</v>
      </c>
      <c r="AI132" s="2504">
        <v>9.23639709875299</v>
      </c>
      <c r="AJ132" s="2504">
        <v>13.72751875348863</v>
      </c>
      <c r="AK132" s="2504">
        <v>2.7838678177841372</v>
      </c>
      <c r="AL132" s="2504">
        <v>16.930557187014237</v>
      </c>
      <c r="AM132" s="2504">
        <v>11.896822369203926</v>
      </c>
      <c r="AN132" s="2504">
        <v>10.886278105029833</v>
      </c>
      <c r="AO132" s="2504">
        <v>6.7859400796377436</v>
      </c>
      <c r="AP132" s="2504">
        <v>25.059518654150999</v>
      </c>
      <c r="AQ132" s="2505">
        <f>SUM(AE132:AP132)</f>
        <v>136.8473133963976</v>
      </c>
      <c r="AR132" s="2488"/>
      <c r="AS132" s="2488"/>
      <c r="AT132" s="2488"/>
      <c r="AU132" s="2488"/>
      <c r="AV132" s="2488"/>
      <c r="AW132" s="2488"/>
      <c r="AX132" s="2488"/>
      <c r="AY132" s="2488"/>
      <c r="AZ132" s="2488"/>
      <c r="BA132" s="2488"/>
      <c r="BB132" s="2488"/>
      <c r="BC132" s="2488"/>
      <c r="BD132" s="2488"/>
      <c r="BE132" s="2488"/>
      <c r="BG132" s="2509" cm="1">
        <f t="array" aca="1" ref="BG132" ca="1">INDIRECT("'※ 재무_세부시트'!"&amp;BG$1&amp;$AD132, TRUE)</f>
        <v>5.8901561834147484</v>
      </c>
      <c r="BH132" s="2509" cm="1">
        <f t="array" aca="1" ref="BH132" ca="1">INDIRECT("'※ 재무_세부시트'!"&amp;BH$1&amp;$AD132, TRUE)</f>
        <v>136.8473133963976</v>
      </c>
      <c r="BI132" s="2509" cm="1">
        <f t="array" aca="1" ref="BI132" ca="1">INDIRECT("'※ 재무_세부시트'!"&amp;BI$1&amp;$AD132, TRUE)</f>
        <v>2.7838678177841372</v>
      </c>
      <c r="BJ132" s="2509" cm="1">
        <f t="array" aca="1" ref="BJ132" ca="1">INDIRECT("'※ 재무_세부시트'!"&amp;BJ$1&amp;$AD132, TRUE)</f>
        <v>13.611601860251707</v>
      </c>
      <c r="BK132" s="2509" cm="1">
        <f t="array" aca="1" ref="BK132" ca="1">INDIRECT("'※ 재무_세부시트'!"&amp;BK$1&amp;$AD132, TRUE)</f>
        <v>11.896822369203926</v>
      </c>
      <c r="BL132" s="2490"/>
      <c r="BM132" s="2490"/>
    </row>
    <row r="133" spans="1:65" ht="17.25" hidden="1" customHeight="1" outlineLevel="1" thickBot="1" x14ac:dyDescent="0.6">
      <c r="A133" s="2855"/>
      <c r="B133" s="2493"/>
      <c r="C133" s="2493"/>
      <c r="D133" s="2493" t="s">
        <v>67</v>
      </c>
      <c r="E133" s="2959" t="s">
        <v>637</v>
      </c>
      <c r="F133" s="2494" cm="1">
        <f t="array" aca="1" ref="F133" ca="1">INDIRECT("'※ 재무_세부시트'!"&amp;F$1&amp;$AD133, TRUE)</f>
        <v>-0.7191652016371286</v>
      </c>
      <c r="G133" s="2917" cm="1">
        <f t="array" aca="1" ref="G133" ca="1">INDIRECT("'※ 재무_세부시트'!"&amp;G$1&amp;$AD133, TRUE)</f>
        <v>-0.97502302677524177</v>
      </c>
      <c r="H133" s="2789" cm="1">
        <f t="array" aca="1" ref="H133" ca="1">INDIRECT("'※ 재무_세부시트'!"&amp;H$1&amp;$AD133, TRUE)</f>
        <v>3.3295087504979213</v>
      </c>
      <c r="I133" s="2790" cm="1">
        <f t="array" aca="1" ref="I133" ca="1">INDIRECT("'※ 재무_세부시트'!"&amp;I$1&amp;$AD133, TRUE)</f>
        <v>-3.8674134538219072</v>
      </c>
      <c r="J133" s="2790" cm="1">
        <f t="array" aca="1" ref="J133" ca="1">INDIRECT("'※ 재무_세부시트'!"&amp;J$1&amp;$AD133, TRUE)</f>
        <v>1.7239025076840981</v>
      </c>
      <c r="K133" s="2790" cm="1">
        <f t="array" aca="1" ref="K133" ca="1">INDIRECT("'※ 재무_세부시트'!"&amp;K$1&amp;$AD133, TRUE)</f>
        <v>1.009664996800189</v>
      </c>
      <c r="L133" s="2790" cm="1">
        <f t="array" aca="1" ref="L133" ca="1">INDIRECT("'※ 재무_세부시트'!"&amp;L$1&amp;$AD133, TRUE)</f>
        <v>-5.4379572205193236</v>
      </c>
      <c r="M133" s="2790" cm="1">
        <f t="array" aca="1" ref="M133" ca="1">INDIRECT("'※ 재무_세부시트'!"&amp;M$1&amp;$AD133, TRUE)</f>
        <v>-2.3509718333036442</v>
      </c>
      <c r="N133" s="2790" cm="1">
        <f t="array" aca="1" ref="N133" ca="1">INDIRECT("'※ 재무_세부시트'!"&amp;N$1&amp;$AD133, TRUE)</f>
        <v>0.96313810261910326</v>
      </c>
      <c r="O133" s="2790" cm="1">
        <f t="array" aca="1" ref="O133" ca="1">INDIRECT("'※ 재무_세부시트'!"&amp;O$1&amp;$AD133, TRUE)</f>
        <v>-2.287052730833862</v>
      </c>
      <c r="P133" s="2790" cm="1">
        <f t="array" aca="1" ref="P133" ca="1">INDIRECT("'※ 재무_세부시트'!"&amp;P$1&amp;$AD133, TRUE)</f>
        <v>-3.8002949898466802</v>
      </c>
      <c r="Q133" s="2790" cm="1">
        <f t="array" aca="1" ref="Q133" ca="1">INDIRECT("'※ 재무_세부시트'!"&amp;Q$1&amp;$AD133, TRUE)</f>
        <v>0.32005625325334641</v>
      </c>
      <c r="R133" s="2790" cm="1">
        <f t="array" aca="1" ref="R133" ca="1">INDIRECT("'※ 재무_세부시트'!"&amp;R$1&amp;$AD133, TRUE)</f>
        <v>-2.0870851890955002</v>
      </c>
      <c r="S133" s="2790" cm="1">
        <f t="array" aca="1" ref="S133" ca="1">INDIRECT("'※ 재무_세부시트'!"&amp;S$1&amp;$AD133, TRUE)</f>
        <v>-1.3727201490997665</v>
      </c>
      <c r="T133" s="2791"/>
      <c r="U133" s="2791"/>
      <c r="V133" s="2862"/>
      <c r="W133" s="2499" cm="1">
        <f t="array" aca="1" ref="W133" ca="1">INDIRECT("'※ 재무_세부시트'!"&amp;W$1&amp;$AD133, TRUE)</f>
        <v>0.71436503999573375</v>
      </c>
      <c r="X133" s="2500" cm="1">
        <f t="array" aca="1" ref="X133" ca="1">INDIRECT("'※ 재무_세부시트'!"&amp;X$1&amp;$AD133, TRUE)</f>
        <v>0.40425999475270835</v>
      </c>
      <c r="Y133" s="2500" cm="1">
        <f t="array" aca="1" ref="Y133" ca="1">INDIRECT("'※ 재무_세부시트'!"&amp;Y$1&amp;$AD133, TRUE)</f>
        <v>0</v>
      </c>
      <c r="Z133" s="2501" cm="1">
        <f t="array" aca="1" ref="Z133" ca="1">INDIRECT("'※ 재무_세부시트'!"&amp;Z$1&amp;$AD133, TRUE)</f>
        <v>-13.857224955666025</v>
      </c>
      <c r="AA133" s="2866"/>
      <c r="AB133" s="2794"/>
      <c r="AC133" s="2795" cm="1">
        <f t="array" aca="1" ref="AC133" ca="1">INDIRECT("'※ 재무_세부시트'!"&amp;AC$1&amp;$AD133, TRUE)</f>
        <v>-12.882201928890783</v>
      </c>
      <c r="AD133" s="2441">
        <v>132</v>
      </c>
      <c r="AE133" s="2960">
        <v>2.6671840360414176</v>
      </c>
      <c r="AF133" s="2960">
        <v>-3.1777631703604925E-2</v>
      </c>
      <c r="AG133" s="2960">
        <v>2.2191564623895008</v>
      </c>
      <c r="AH133" s="2960">
        <v>2.2094890585449161</v>
      </c>
      <c r="AI133" s="2960">
        <v>-1.5982844012345137</v>
      </c>
      <c r="AJ133" s="2960">
        <v>-1.6946190674599624</v>
      </c>
      <c r="AK133" s="2960">
        <v>2.4442424084568408</v>
      </c>
      <c r="AL133" s="2960">
        <v>-0.84832844999552037</v>
      </c>
      <c r="AM133" s="2960">
        <v>-2.4151946257941947</v>
      </c>
      <c r="AN133" s="2960">
        <v>0.7779468576206483</v>
      </c>
      <c r="AO133" s="2960">
        <v>-1.8080525694695737</v>
      </c>
      <c r="AP133" s="2960">
        <v>-2.6409272790330824</v>
      </c>
      <c r="AQ133" s="2961">
        <f t="shared" ref="AQ133:AQ146" si="62">SUM(AE133:AP133)</f>
        <v>-0.7191652016371286</v>
      </c>
      <c r="AR133" s="2488"/>
      <c r="AS133" s="2488"/>
      <c r="AT133" s="2488"/>
      <c r="AU133" s="2488"/>
      <c r="AV133" s="2488"/>
      <c r="AW133" s="2488"/>
      <c r="AX133" s="2488"/>
      <c r="AY133" s="2488"/>
      <c r="AZ133" s="2488"/>
      <c r="BA133" s="2488"/>
      <c r="BB133" s="2488"/>
      <c r="BC133" s="2488"/>
      <c r="BD133" s="2488"/>
      <c r="BE133" s="2488"/>
      <c r="BG133" s="2918" cm="1">
        <f t="array" aca="1" ref="BG133" ca="1">INDIRECT("'※ 재무_세부시트'!"&amp;BG$1&amp;$AD133, TRUE)</f>
        <v>2.6671840360414176</v>
      </c>
      <c r="BH133" s="2918" cm="1">
        <f t="array" aca="1" ref="BH133" ca="1">INDIRECT("'※ 재무_세부시트'!"&amp;BH$1&amp;$AD133, TRUE)</f>
        <v>-0.7191652016371286</v>
      </c>
      <c r="BI133" s="2918" cm="1">
        <f t="array" aca="1" ref="BI133" ca="1">INDIRECT("'※ 재무_세부시트'!"&amp;BI$1&amp;$AD133, TRUE)</f>
        <v>2.4442424084568408</v>
      </c>
      <c r="BJ133" s="2918" cm="1">
        <f t="array" aca="1" ref="BJ133" ca="1">INDIRECT("'※ 재무_세부시트'!"&amp;BJ$1&amp;$AD133, TRUE)</f>
        <v>-1.9536744231991285</v>
      </c>
      <c r="BK133" s="2918" cm="1">
        <f t="array" aca="1" ref="BK133" ca="1">INDIRECT("'※ 재무_세부시트'!"&amp;BK$1&amp;$AD133, TRUE)</f>
        <v>-2.4151946257941947</v>
      </c>
      <c r="BL133" s="2490"/>
      <c r="BM133" s="2490"/>
    </row>
    <row r="134" spans="1:65" ht="17.25" customHeight="1" collapsed="1" x14ac:dyDescent="0.55000000000000004">
      <c r="A134" s="2919"/>
      <c r="B134" s="2962" t="s">
        <v>948</v>
      </c>
      <c r="C134" s="2963" t="s">
        <v>638</v>
      </c>
      <c r="D134" s="2964"/>
      <c r="E134" s="2964"/>
      <c r="F134" s="2965" cm="1">
        <f t="array" aca="1" ref="F134" ca="1">INDIRECT("'※ 재무_세부시트'!"&amp;F$1&amp;$AD134, TRUE)</f>
        <v>962.20242435</v>
      </c>
      <c r="G134" s="2965" cm="1">
        <f t="array" aca="1" ref="G134" ca="1">INDIRECT("'※ 재무_세부시트'!"&amp;G$1&amp;$AD134, TRUE)</f>
        <v>1610.53431095</v>
      </c>
      <c r="H134" s="2966" cm="1">
        <f t="array" aca="1" ref="H134" ca="1">INDIRECT("'※ 재무_세부시트'!"&amp;H$1&amp;$AD134, TRUE)</f>
        <v>98.641518840000003</v>
      </c>
      <c r="I134" s="2967" cm="1">
        <f t="array" aca="1" ref="I134" ca="1">INDIRECT("'※ 재무_세부시트'!"&amp;I$1&amp;$AD134, TRUE)</f>
        <v>225.45248805999998</v>
      </c>
      <c r="J134" s="2967" cm="1">
        <f t="array" aca="1" ref="J134" ca="1">INDIRECT("'※ 재무_세부시트'!"&amp;J$1&amp;$AD134, TRUE)</f>
        <v>96.966151910000008</v>
      </c>
      <c r="K134" s="2967" cm="1">
        <f t="array" aca="1" ref="K134" ca="1">INDIRECT("'※ 재무_세부시트'!"&amp;K$1&amp;$AD134, TRUE)</f>
        <v>102.94316917000002</v>
      </c>
      <c r="L134" s="2967" cm="1">
        <f t="array" aca="1" ref="L134" ca="1">INDIRECT("'※ 재무_세부시트'!"&amp;L$1&amp;$AD134, TRUE)</f>
        <v>115.26143298</v>
      </c>
      <c r="M134" s="2967" cm="1">
        <f t="array" aca="1" ref="M134" ca="1">INDIRECT("'※ 재무_세부시트'!"&amp;M$1&amp;$AD134, TRUE)</f>
        <v>98.587445670000008</v>
      </c>
      <c r="N134" s="2967" cm="1">
        <f t="array" aca="1" ref="N134" ca="1">INDIRECT("'※ 재무_세부시트'!"&amp;N$1&amp;$AD134, TRUE)</f>
        <v>220.04821280000002</v>
      </c>
      <c r="O134" s="2967" cm="1">
        <f t="array" aca="1" ref="O134" ca="1">INDIRECT("'※ 재무_세부시트'!"&amp;O$1&amp;$AD134, TRUE)</f>
        <v>152.26669649999999</v>
      </c>
      <c r="P134" s="2967" cm="1">
        <f t="array" aca="1" ref="P134" ca="1">INDIRECT("'※ 재무_세부시트'!"&amp;P$1&amp;$AD134, TRUE)</f>
        <v>343.26258101000002</v>
      </c>
      <c r="Q134" s="2967" cm="1">
        <f t="array" aca="1" ref="Q134" ca="1">INDIRECT("'※ 재무_세부시트'!"&amp;Q$1&amp;$AD134, TRUE)</f>
        <v>212.05282579999999</v>
      </c>
      <c r="R134" s="2967" cm="1">
        <f t="array" aca="1" ref="R134" ca="1">INDIRECT("'※ 재무_세부시트'!"&amp;R$1&amp;$AD134, TRUE)</f>
        <v>152.40701428</v>
      </c>
      <c r="S134" s="2967" cm="1">
        <f t="array" aca="1" ref="S134" ca="1">INDIRECT("'※ 재무_세부시트'!"&amp;S$1&amp;$AD134, TRUE)</f>
        <v>158.27465648</v>
      </c>
      <c r="T134" s="2926"/>
      <c r="U134" s="2926"/>
      <c r="V134" s="2927"/>
      <c r="W134" s="2968" cm="1">
        <f t="array" aca="1" ref="W134" ca="1">INDIRECT("'※ 재무_세부시트'!"&amp;W$1&amp;$AD134, TRUE)</f>
        <v>5.8676422000000059</v>
      </c>
      <c r="X134" s="2969" cm="1">
        <f t="array" aca="1" ref="X134" ca="1">INDIRECT("'※ 재무_세부시트'!"&amp;X$1&amp;$AD134, TRUE)</f>
        <v>57.169887309999993</v>
      </c>
      <c r="Y134" s="2969" cm="1">
        <f t="array" aca="1" ref="Y134" ca="1">INDIRECT("'※ 재무_세부시트'!"&amp;Y$1&amp;$AD134, TRUE)</f>
        <v>0</v>
      </c>
      <c r="Z134" s="2970" cm="1">
        <f t="array" aca="1" ref="Z134" ca="1">INDIRECT("'※ 재무_세부시트'!"&amp;Z$1&amp;$AD134, TRUE)</f>
        <v>1976.1641934999998</v>
      </c>
      <c r="AA134" s="2931"/>
      <c r="AB134" s="2932"/>
      <c r="AC134" s="2971" cm="1">
        <f t="array" aca="1" ref="AC134" ca="1">INDIRECT("'※ 재무_세부시트'!"&amp;AC$1&amp;$AD134, TRUE)</f>
        <v>365.62988254999982</v>
      </c>
      <c r="AD134" s="2441">
        <v>133</v>
      </c>
      <c r="AE134" s="2972">
        <f>AE135+AE136+AE137+AE138</f>
        <v>51.166853209999999</v>
      </c>
      <c r="AF134" s="2972">
        <f t="shared" ref="AF134:AP134" si="63">AF135+AF136+AF137+AF138</f>
        <v>76.878026149999997</v>
      </c>
      <c r="AG134" s="2972">
        <f t="shared" si="63"/>
        <v>59.158128119999994</v>
      </c>
      <c r="AH134" s="2972">
        <f t="shared" si="63"/>
        <v>41.978587140000002</v>
      </c>
      <c r="AI134" s="2972">
        <f t="shared" si="63"/>
        <v>56.237094429999992</v>
      </c>
      <c r="AJ134" s="2972">
        <f t="shared" si="63"/>
        <v>56.115080540000001</v>
      </c>
      <c r="AK134" s="2972">
        <f t="shared" si="63"/>
        <v>50.005751959999998</v>
      </c>
      <c r="AL134" s="2972">
        <f t="shared" si="63"/>
        <v>106.42738208</v>
      </c>
      <c r="AM134" s="2972">
        <f t="shared" si="63"/>
        <v>43.093059099999998</v>
      </c>
      <c r="AN134" s="2972">
        <f t="shared" si="63"/>
        <v>279.91024176999997</v>
      </c>
      <c r="AO134" s="2972">
        <f t="shared" si="63"/>
        <v>83.761107299999992</v>
      </c>
      <c r="AP134" s="2972">
        <f t="shared" si="63"/>
        <v>57.471112550000001</v>
      </c>
      <c r="AQ134" s="2972">
        <f t="shared" si="62"/>
        <v>962.20242435</v>
      </c>
      <c r="AR134" s="2488"/>
      <c r="AS134" s="2488"/>
      <c r="AT134" s="2488"/>
      <c r="AU134" s="2488"/>
      <c r="AV134" s="2488"/>
      <c r="AW134" s="2488"/>
      <c r="AX134" s="2488"/>
      <c r="AY134" s="2488"/>
      <c r="AZ134" s="2488"/>
      <c r="BA134" s="2488"/>
      <c r="BB134" s="2488"/>
      <c r="BC134" s="2488"/>
      <c r="BD134" s="2488"/>
      <c r="BE134" s="2488"/>
      <c r="BG134" s="2868" cm="1">
        <f t="array" aca="1" ref="BG134" ca="1">INDIRECT("'※ 재무_세부시트'!"&amp;BG$1&amp;$AD134, TRUE)</f>
        <v>51.166853209999999</v>
      </c>
      <c r="BH134" s="2868" cm="1">
        <f t="array" aca="1" ref="BH134" ca="1">INDIRECT("'※ 재무_세부시트'!"&amp;BH$1&amp;$AD134, TRUE)</f>
        <v>962.20242435</v>
      </c>
      <c r="BI134" s="2868" cm="1">
        <f t="array" aca="1" ref="BI134" ca="1">INDIRECT("'※ 재무_세부시트'!"&amp;BI$1&amp;$AD134, TRUE)</f>
        <v>50.005751959999998</v>
      </c>
      <c r="BJ134" s="2868" cm="1">
        <f t="array" aca="1" ref="BJ134" ca="1">INDIRECT("'※ 재무_세부시트'!"&amp;BJ$1&amp;$AD134, TRUE)</f>
        <v>62.959414250000002</v>
      </c>
      <c r="BK134" s="2868" cm="1">
        <f t="array" aca="1" ref="BK134" ca="1">INDIRECT("'※ 재무_세부시트'!"&amp;BK$1&amp;$AD134, TRUE)</f>
        <v>43.093059099999998</v>
      </c>
      <c r="BL134" s="2490"/>
      <c r="BM134" s="2490"/>
    </row>
    <row r="135" spans="1:65" ht="14.8" customHeight="1" x14ac:dyDescent="0.55000000000000004">
      <c r="A135" s="2855"/>
      <c r="B135" s="2493"/>
      <c r="C135" s="2857"/>
      <c r="D135" s="2857" t="s">
        <v>10</v>
      </c>
      <c r="E135" s="2857"/>
      <c r="F135" s="2859" cm="1">
        <f t="array" aca="1" ref="F135" ca="1">INDIRECT("'※ 재무_세부시트'!"&amp;F$1&amp;$AD135, TRUE)</f>
        <v>718.1371331900001</v>
      </c>
      <c r="G135" s="2859" cm="1">
        <f t="array" aca="1" ref="G135" ca="1">INDIRECT("'※ 재무_세부시트'!"&amp;G$1&amp;$AD135, TRUE)</f>
        <v>1248.1806856200001</v>
      </c>
      <c r="H135" s="2860" cm="1">
        <f t="array" aca="1" ref="H135" ca="1">INDIRECT("'※ 재무_세부시트'!"&amp;H$1&amp;$AD135, TRUE)</f>
        <v>65.130045139999993</v>
      </c>
      <c r="I135" s="2861" cm="1">
        <f t="array" aca="1" ref="I135" ca="1">INDIRECT("'※ 재무_세부시트'!"&amp;I$1&amp;$AD135, TRUE)</f>
        <v>186.68648873999999</v>
      </c>
      <c r="J135" s="2861" cm="1">
        <f t="array" aca="1" ref="J135" ca="1">INDIRECT("'※ 재무_세부시트'!"&amp;J$1&amp;$AD135, TRUE)</f>
        <v>74.432348340000004</v>
      </c>
      <c r="K135" s="2861" cm="1">
        <f t="array" aca="1" ref="K135" ca="1">INDIRECT("'※ 재무_세부시트'!"&amp;K$1&amp;$AD135, TRUE)</f>
        <v>78.435447730000007</v>
      </c>
      <c r="L135" s="2861" cm="1">
        <f t="array" aca="1" ref="L135" ca="1">INDIRECT("'※ 재무_세부시트'!"&amp;L$1&amp;$AD135, TRUE)</f>
        <v>86.414820919999997</v>
      </c>
      <c r="M135" s="2861" cm="1">
        <f t="array" aca="1" ref="M135" ca="1">INDIRECT("'※ 재무_세부시트'!"&amp;M$1&amp;$AD135, TRUE)</f>
        <v>61.379269280000003</v>
      </c>
      <c r="N135" s="2861" cm="1">
        <f t="array" aca="1" ref="N135" ca="1">INDIRECT("'※ 재무_세부시트'!"&amp;N$1&amp;$AD135, TRUE)</f>
        <v>160.55033344</v>
      </c>
      <c r="O135" s="2861" cm="1">
        <f t="array" aca="1" ref="O135" ca="1">INDIRECT("'※ 재무_세부시트'!"&amp;O$1&amp;$AD135, TRUE)</f>
        <v>101.614431</v>
      </c>
      <c r="P135" s="2861" cm="1">
        <f t="array" aca="1" ref="P135" ca="1">INDIRECT("'※ 재무_세부시트'!"&amp;P$1&amp;$AD135, TRUE)</f>
        <v>275.30587992</v>
      </c>
      <c r="Q135" s="2861" cm="1">
        <f t="array" aca="1" ref="Q135" ca="1">INDIRECT("'※ 재무_세부시트'!"&amp;Q$1&amp;$AD135, TRUE)</f>
        <v>151.87770745</v>
      </c>
      <c r="R135" s="2861" cm="1">
        <f t="array" aca="1" ref="R135" ca="1">INDIRECT("'※ 재무_세부시트'!"&amp;R$1&amp;$AD135, TRUE)</f>
        <v>101.6927129</v>
      </c>
      <c r="S135" s="2861" cm="1">
        <f t="array" aca="1" ref="S135" ca="1">INDIRECT("'※ 재무_세부시트'!"&amp;S$1&amp;$AD135, TRUE)</f>
        <v>102.49592247</v>
      </c>
      <c r="T135" s="2791"/>
      <c r="U135" s="2791"/>
      <c r="V135" s="2862"/>
      <c r="W135" s="2863" cm="1">
        <f t="array" aca="1" ref="W135" ca="1">INDIRECT("'※ 재무_세부시트'!"&amp;W$1&amp;$AD135, TRUE)</f>
        <v>0.80320956999999282</v>
      </c>
      <c r="X135" s="2864" cm="1">
        <f t="array" aca="1" ref="X135" ca="1">INDIRECT("'※ 재무_세부시트'!"&amp;X$1&amp;$AD135, TRUE)</f>
        <v>33.741224649999992</v>
      </c>
      <c r="Y135" s="2864" cm="1">
        <f t="array" aca="1" ref="Y135" ca="1">INDIRECT("'※ 재무_세부시트'!"&amp;Y$1&amp;$AD135, TRUE)</f>
        <v>0</v>
      </c>
      <c r="Z135" s="2865" cm="1">
        <f t="array" aca="1" ref="Z135" ca="1">INDIRECT("'※ 재무_세부시트'!"&amp;Z$1&amp;$AD135, TRUE)</f>
        <v>1446.01540733</v>
      </c>
      <c r="AA135" s="2866"/>
      <c r="AB135" s="2794"/>
      <c r="AC135" s="2973" cm="1">
        <f t="array" aca="1" ref="AC135" ca="1">INDIRECT("'※ 재무_세부시트'!"&amp;AC$1&amp;$AD135, TRUE)</f>
        <v>197.83472170999994</v>
      </c>
      <c r="AD135" s="2441">
        <v>134</v>
      </c>
      <c r="AE135" s="2974">
        <v>35.208300289999997</v>
      </c>
      <c r="AF135" s="2974">
        <v>54.624340959999998</v>
      </c>
      <c r="AG135" s="2974">
        <v>36.55788664</v>
      </c>
      <c r="AH135" s="2974">
        <v>27.19717399</v>
      </c>
      <c r="AI135" s="2974">
        <v>38.848556049999999</v>
      </c>
      <c r="AJ135" s="2974">
        <v>32.830734550000003</v>
      </c>
      <c r="AK135" s="2974">
        <v>32.209519419999999</v>
      </c>
      <c r="AL135" s="2974">
        <v>76.26501863</v>
      </c>
      <c r="AM135" s="2974">
        <v>26.62974981</v>
      </c>
      <c r="AN135" s="2974">
        <v>252.38444805</v>
      </c>
      <c r="AO135" s="2974">
        <v>65.409374990000003</v>
      </c>
      <c r="AP135" s="2974">
        <v>39.972029810000002</v>
      </c>
      <c r="AQ135" s="2505">
        <f t="shared" si="62"/>
        <v>718.1371331900001</v>
      </c>
      <c r="AR135" s="2488"/>
      <c r="AS135" s="2488"/>
      <c r="AT135" s="2488"/>
      <c r="AU135" s="2488"/>
      <c r="AV135" s="2488"/>
      <c r="AW135" s="2488"/>
      <c r="AX135" s="2488"/>
      <c r="AY135" s="2488"/>
      <c r="AZ135" s="2488"/>
      <c r="BA135" s="2488"/>
      <c r="BB135" s="2488"/>
      <c r="BC135" s="2488"/>
      <c r="BD135" s="2488"/>
      <c r="BE135" s="2488"/>
      <c r="BG135" s="2868" cm="1">
        <f t="array" aca="1" ref="BG135" ca="1">INDIRECT("'※ 재무_세부시트'!"&amp;BG$1&amp;$AD135, TRUE)</f>
        <v>35.208300289999997</v>
      </c>
      <c r="BH135" s="2868" cm="1">
        <f t="array" aca="1" ref="BH135" ca="1">INDIRECT("'※ 재무_세부시트'!"&amp;BH$1&amp;$AD135, TRUE)</f>
        <v>718.1371331900001</v>
      </c>
      <c r="BI135" s="2868" cm="1">
        <f t="array" aca="1" ref="BI135" ca="1">INDIRECT("'※ 재무_세부시트'!"&amp;BI$1&amp;$AD135, TRUE)</f>
        <v>32.209519419999999</v>
      </c>
      <c r="BJ135" s="2868" cm="1">
        <f t="array" aca="1" ref="BJ135" ca="1">INDIRECT("'※ 재무_세부시트'!"&amp;BJ$1&amp;$AD135, TRUE)</f>
        <v>40.41589888</v>
      </c>
      <c r="BK135" s="2868" cm="1">
        <f t="array" aca="1" ref="BK135" ca="1">INDIRECT("'※ 재무_세부시트'!"&amp;BK$1&amp;$AD135, TRUE)</f>
        <v>26.62974981</v>
      </c>
      <c r="BL135" s="2490"/>
      <c r="BM135" s="2490"/>
    </row>
    <row r="136" spans="1:65" ht="14.8" customHeight="1" x14ac:dyDescent="0.55000000000000004">
      <c r="A136" s="2855"/>
      <c r="B136" s="2493"/>
      <c r="C136" s="2857"/>
      <c r="D136" s="2857" t="s">
        <v>6</v>
      </c>
      <c r="E136" s="2857"/>
      <c r="F136" s="2859" cm="1">
        <f t="array" aca="1" ref="F136" ca="1">INDIRECT("'※ 재무_세부시트'!"&amp;F$1&amp;$AD136, TRUE)</f>
        <v>133.80859477999999</v>
      </c>
      <c r="G136" s="2859" cm="1">
        <f t="array" aca="1" ref="G136" ca="1">INDIRECT("'※ 재무_세부시트'!"&amp;G$1&amp;$AD136, TRUE)</f>
        <v>188.32789410999999</v>
      </c>
      <c r="H136" s="2860" cm="1">
        <f t="array" aca="1" ref="H136" ca="1">INDIRECT("'※ 재무_세부시트'!"&amp;H$1&amp;$AD136, TRUE)</f>
        <v>24.539149869999999</v>
      </c>
      <c r="I136" s="2861" cm="1">
        <f t="array" aca="1" ref="I136" ca="1">INDIRECT("'※ 재무_세부시트'!"&amp;I$1&amp;$AD136, TRUE)</f>
        <v>24.976993329999999</v>
      </c>
      <c r="J136" s="2861" cm="1">
        <f t="array" aca="1" ref="J136" ca="1">INDIRECT("'※ 재무_세부시트'!"&amp;J$1&amp;$AD136, TRUE)</f>
        <v>8.5582727799999994</v>
      </c>
      <c r="K136" s="2861" cm="1">
        <f t="array" aca="1" ref="K136" ca="1">INDIRECT("'※ 재무_세부시트'!"&amp;K$1&amp;$AD136, TRUE)</f>
        <v>10.23685229</v>
      </c>
      <c r="L136" s="2861" cm="1">
        <f t="array" aca="1" ref="L136" ca="1">INDIRECT("'※ 재무_세부시트'!"&amp;L$1&amp;$AD136, TRUE)</f>
        <v>13.66836558</v>
      </c>
      <c r="M136" s="2861" cm="1">
        <f t="array" aca="1" ref="M136" ca="1">INDIRECT("'※ 재무_세부시트'!"&amp;M$1&amp;$AD136, TRUE)</f>
        <v>22.24111684</v>
      </c>
      <c r="N136" s="2861" cm="1">
        <f t="array" aca="1" ref="N136" ca="1">INDIRECT("'※ 재무_세부시트'!"&amp;N$1&amp;$AD136, TRUE)</f>
        <v>45.68756149</v>
      </c>
      <c r="O136" s="2861" cm="1">
        <f t="array" aca="1" ref="O136" ca="1">INDIRECT("'※ 재무_세부시트'!"&amp;O$1&amp;$AD136, TRUE)</f>
        <v>35.560174449999998</v>
      </c>
      <c r="P136" s="2861" cm="1">
        <f t="array" aca="1" ref="P136" ca="1">INDIRECT("'※ 재무_세부시트'!"&amp;P$1&amp;$AD136, TRUE)</f>
        <v>53.929139360000001</v>
      </c>
      <c r="Q136" s="2861" cm="1">
        <f t="array" aca="1" ref="Q136" ca="1">INDIRECT("'※ 재무_세부시트'!"&amp;Q$1&amp;$AD136, TRUE)</f>
        <v>45.383741639999997</v>
      </c>
      <c r="R136" s="2861" cm="1">
        <f t="array" aca="1" ref="R136" ca="1">INDIRECT("'※ 재무_세부시트'!"&amp;R$1&amp;$AD136, TRUE)</f>
        <v>37.088442919999999</v>
      </c>
      <c r="S136" s="2861" cm="1">
        <f t="array" aca="1" ref="S136" ca="1">INDIRECT("'※ 재무_세부시트'!"&amp;S$1&amp;$AD136, TRUE)</f>
        <v>42.187588810000001</v>
      </c>
      <c r="T136" s="2791"/>
      <c r="U136" s="2791"/>
      <c r="V136" s="2862"/>
      <c r="W136" s="2863" cm="1">
        <f t="array" aca="1" ref="W136" ca="1">INDIRECT("'※ 재무_세부시트'!"&amp;W$1&amp;$AD136, TRUE)</f>
        <v>5.0991458900000026</v>
      </c>
      <c r="X136" s="2864" cm="1">
        <f t="array" aca="1" ref="X136" ca="1">INDIRECT("'※ 재무_세부시트'!"&amp;X$1&amp;$AD136, TRUE)</f>
        <v>30.260297870000002</v>
      </c>
      <c r="Y136" s="2864" cm="1">
        <f t="array" aca="1" ref="Y136" ca="1">INDIRECT("'※ 재무_세부시트'!"&amp;Y$1&amp;$AD136, TRUE)</f>
        <v>0</v>
      </c>
      <c r="Z136" s="2865" cm="1">
        <f t="array" aca="1" ref="Z136" ca="1">INDIRECT("'※ 재무_세부시트'!"&amp;Z$1&amp;$AD136, TRUE)</f>
        <v>364.05739935999998</v>
      </c>
      <c r="AA136" s="2866"/>
      <c r="AB136" s="2794"/>
      <c r="AC136" s="2867" cm="1">
        <f t="array" aca="1" ref="AC136" ca="1">INDIRECT("'※ 재무_세부시트'!"&amp;AC$1&amp;$AD136, TRUE)</f>
        <v>175.72950524999999</v>
      </c>
      <c r="AD136" s="2441">
        <v>135</v>
      </c>
      <c r="AE136" s="2974">
        <v>2.2492078100000001</v>
      </c>
      <c r="AF136" s="2974">
        <v>15.326399090000001</v>
      </c>
      <c r="AG136" s="2974">
        <v>9.97892285</v>
      </c>
      <c r="AH136" s="2974">
        <v>8.0602548600000006</v>
      </c>
      <c r="AI136" s="2974">
        <v>10.574178959999999</v>
      </c>
      <c r="AJ136" s="2974">
        <v>11.279598180000001</v>
      </c>
      <c r="AK136" s="2974">
        <v>9.4175660299999997</v>
      </c>
      <c r="AL136" s="2974">
        <v>22.97286021</v>
      </c>
      <c r="AM136" s="2974">
        <v>2.5173947499999998</v>
      </c>
      <c r="AN136" s="2974">
        <v>20.538734359999999</v>
      </c>
      <c r="AO136" s="2974">
        <v>10.85683671</v>
      </c>
      <c r="AP136" s="2974">
        <v>10.036640970000001</v>
      </c>
      <c r="AQ136" s="2505">
        <f t="shared" si="62"/>
        <v>133.80859477999999</v>
      </c>
      <c r="AR136" s="2488"/>
      <c r="AS136" s="2488"/>
      <c r="AT136" s="2488"/>
      <c r="AU136" s="2488"/>
      <c r="AV136" s="2488"/>
      <c r="AW136" s="2488"/>
      <c r="AX136" s="2488"/>
      <c r="AY136" s="2488"/>
      <c r="AZ136" s="2488"/>
      <c r="BA136" s="2488"/>
      <c r="BB136" s="2488"/>
      <c r="BC136" s="2488"/>
      <c r="BD136" s="2488"/>
      <c r="BE136" s="2488"/>
      <c r="BG136" s="2868" cm="1">
        <f t="array" aca="1" ref="BG136" ca="1">INDIRECT("'※ 재무_세부시트'!"&amp;BG$1&amp;$AD136, TRUE)</f>
        <v>2.2492078100000001</v>
      </c>
      <c r="BH136" s="2868" cm="1">
        <f t="array" aca="1" ref="BH136" ca="1">INDIRECT("'※ 재무_세부시트'!"&amp;BH$1&amp;$AD136, TRUE)</f>
        <v>133.80859477999999</v>
      </c>
      <c r="BI136" s="2868" cm="1">
        <f t="array" aca="1" ref="BI136" ca="1">INDIRECT("'※ 재무_세부시트'!"&amp;BI$1&amp;$AD136, TRUE)</f>
        <v>9.4175660299999997</v>
      </c>
      <c r="BJ136" s="2868" cm="1">
        <f t="array" aca="1" ref="BJ136" ca="1">INDIRECT("'※ 재무_세부시트'!"&amp;BJ$1&amp;$AD136, TRUE)</f>
        <v>11.711347229999999</v>
      </c>
      <c r="BK136" s="2868" cm="1">
        <f t="array" aca="1" ref="BK136" ca="1">INDIRECT("'※ 재무_세부시트'!"&amp;BK$1&amp;$AD136, TRUE)</f>
        <v>2.5173947499999998</v>
      </c>
      <c r="BL136" s="2490"/>
      <c r="BM136" s="2490"/>
    </row>
    <row r="137" spans="1:65" ht="14.8" customHeight="1" x14ac:dyDescent="0.55000000000000004">
      <c r="A137" s="2855"/>
      <c r="B137" s="2493"/>
      <c r="C137" s="2857"/>
      <c r="D137" s="2857" t="s">
        <v>0</v>
      </c>
      <c r="E137" s="2857"/>
      <c r="F137" s="2859" cm="1">
        <f t="array" aca="1" ref="F137" ca="1">INDIRECT("'※ 재무_세부시트'!"&amp;F$1&amp;$AD137, TRUE)</f>
        <v>70.076979480000006</v>
      </c>
      <c r="G137" s="2859" cm="1">
        <f t="array" aca="1" ref="G137" ca="1">INDIRECT("'※ 재무_세부시트'!"&amp;G$1&amp;$AD137, TRUE)</f>
        <v>68.735845239999989</v>
      </c>
      <c r="H137" s="2860" cm="1">
        <f t="array" aca="1" ref="H137" ca="1">INDIRECT("'※ 재무_세부시트'!"&amp;H$1&amp;$AD137, TRUE)</f>
        <v>5.2481265800000001</v>
      </c>
      <c r="I137" s="2861" cm="1">
        <f t="array" aca="1" ref="I137" ca="1">INDIRECT("'※ 재무_세부시트'!"&amp;I$1&amp;$AD137, TRUE)</f>
        <v>5.3671953700000001</v>
      </c>
      <c r="J137" s="2861" cm="1">
        <f t="array" aca="1" ref="J137" ca="1">INDIRECT("'※ 재무_세부시트'!"&amp;J$1&amp;$AD137, TRUE)</f>
        <v>5.1954725699999997</v>
      </c>
      <c r="K137" s="2861" cm="1">
        <f t="array" aca="1" ref="K137" ca="1">INDIRECT("'※ 재무_세부시트'!"&amp;K$1&amp;$AD137, TRUE)</f>
        <v>5.0662480399999996</v>
      </c>
      <c r="L137" s="2861" cm="1">
        <f t="array" aca="1" ref="L137" ca="1">INDIRECT("'※ 재무_세부시트'!"&amp;L$1&amp;$AD137, TRUE)</f>
        <v>4.9718197100000001</v>
      </c>
      <c r="M137" s="2861" cm="1">
        <f t="array" aca="1" ref="M137" ca="1">INDIRECT("'※ 재무_세부시트'!"&amp;M$1&amp;$AD137, TRUE)</f>
        <v>5.0249524000000001</v>
      </c>
      <c r="N137" s="2861" cm="1">
        <f t="array" aca="1" ref="N137" ca="1">INDIRECT("'※ 재무_세부시트'!"&amp;N$1&amp;$AD137, TRUE)</f>
        <v>5.0402239</v>
      </c>
      <c r="O137" s="2861" cm="1">
        <f t="array" aca="1" ref="O137" ca="1">INDIRECT("'※ 재무_세부시트'!"&amp;O$1&amp;$AD137, TRUE)</f>
        <v>5.0574361100000003</v>
      </c>
      <c r="P137" s="2861" cm="1">
        <f t="array" aca="1" ref="P137" ca="1">INDIRECT("'※ 재무_세부시트'!"&amp;P$1&amp;$AD137, TRUE)</f>
        <v>4.9543201100000003</v>
      </c>
      <c r="Q137" s="2861" cm="1">
        <f t="array" aca="1" ref="Q137" ca="1">INDIRECT("'※ 재무_세부시트'!"&amp;Q$1&amp;$AD137, TRUE)</f>
        <v>4.8782752499999997</v>
      </c>
      <c r="R137" s="2861" cm="1">
        <f t="array" aca="1" ref="R137" ca="1">INDIRECT("'※ 재무_세부시트'!"&amp;R$1&amp;$AD137, TRUE)</f>
        <v>4.68329182</v>
      </c>
      <c r="S137" s="2861" cm="1">
        <f t="array" aca="1" ref="S137" ca="1">INDIRECT("'※ 재무_세부시트'!"&amp;S$1&amp;$AD137, TRUE)</f>
        <v>4.6386204600000003</v>
      </c>
      <c r="T137" s="2791"/>
      <c r="U137" s="2791"/>
      <c r="V137" s="2862"/>
      <c r="W137" s="2863" cm="1">
        <f t="array" aca="1" ref="W137" ca="1">INDIRECT("'※ 재무_세부시트'!"&amp;W$1&amp;$AD137, TRUE)</f>
        <v>-4.4671359999999716E-2</v>
      </c>
      <c r="X137" s="2864" cm="1">
        <f t="array" aca="1" ref="X137" ca="1">INDIRECT("'※ 재무_세부시트'!"&amp;X$1&amp;$AD137, TRUE)</f>
        <v>-0.8585567300000001</v>
      </c>
      <c r="Y137" s="2864" cm="1">
        <f t="array" aca="1" ref="Y137" ca="1">INDIRECT("'※ 재무_세부시트'!"&amp;Y$1&amp;$AD137, TRUE)</f>
        <v>0</v>
      </c>
      <c r="Z137" s="2865" cm="1">
        <f t="array" aca="1" ref="Z137" ca="1">INDIRECT("'※ 재무_세부시트'!"&amp;Z$1&amp;$AD137, TRUE)</f>
        <v>60.125982319999991</v>
      </c>
      <c r="AA137" s="2866"/>
      <c r="AB137" s="2794"/>
      <c r="AC137" s="2867" cm="1">
        <f t="array" aca="1" ref="AC137" ca="1">INDIRECT("'※ 재무_세부시트'!"&amp;AC$1&amp;$AD137, TRUE)</f>
        <v>-8.6098629199999976</v>
      </c>
      <c r="AD137" s="2441">
        <v>136</v>
      </c>
      <c r="AE137" s="2974">
        <v>5.7071177100000003</v>
      </c>
      <c r="AF137" s="2974">
        <v>5.7489088400000004</v>
      </c>
      <c r="AG137" s="2974">
        <v>5.8226918300000001</v>
      </c>
      <c r="AH137" s="2974">
        <v>5.7612517900000002</v>
      </c>
      <c r="AI137" s="2974">
        <v>5.7821658400000002</v>
      </c>
      <c r="AJ137" s="2974">
        <v>5.5630937300000003</v>
      </c>
      <c r="AK137" s="2974">
        <v>5.88801738</v>
      </c>
      <c r="AL137" s="2974">
        <v>5.9146264300000011</v>
      </c>
      <c r="AM137" s="2974">
        <v>5.8894420300000005</v>
      </c>
      <c r="AN137" s="2974">
        <v>5.9852158600000003</v>
      </c>
      <c r="AO137" s="2974">
        <v>5.9909112700000007</v>
      </c>
      <c r="AP137" s="2974">
        <v>6.0235367699999998</v>
      </c>
      <c r="AQ137" s="2505">
        <f t="shared" si="62"/>
        <v>70.076979480000006</v>
      </c>
      <c r="AR137" s="2488"/>
      <c r="AS137" s="2488"/>
      <c r="AT137" s="2488"/>
      <c r="AU137" s="2488"/>
      <c r="AV137" s="2488"/>
      <c r="AW137" s="2488"/>
      <c r="AX137" s="2488"/>
      <c r="AY137" s="2488"/>
      <c r="AZ137" s="2488"/>
      <c r="BA137" s="2488"/>
      <c r="BB137" s="2488"/>
      <c r="BC137" s="2488"/>
      <c r="BD137" s="2488"/>
      <c r="BE137" s="2488"/>
      <c r="BG137" s="2868" cm="1">
        <f t="array" aca="1" ref="BG137" ca="1">INDIRECT("'※ 재무_세부시트'!"&amp;BG$1&amp;$AD137, TRUE)</f>
        <v>5.7071177100000003</v>
      </c>
      <c r="BH137" s="2868" cm="1">
        <f t="array" aca="1" ref="BH137" ca="1">INDIRECT("'※ 재무_세부시트'!"&amp;BH$1&amp;$AD137, TRUE)</f>
        <v>70.076979480000006</v>
      </c>
      <c r="BI137" s="2868" cm="1">
        <f t="array" aca="1" ref="BI137" ca="1">INDIRECT("'※ 재무_세부시트'!"&amp;BI$1&amp;$AD137, TRUE)</f>
        <v>5.88801738</v>
      </c>
      <c r="BJ137" s="2868" cm="1">
        <f t="array" aca="1" ref="BJ137" ca="1">INDIRECT("'※ 재무_세부시트'!"&amp;BJ$1&amp;$AD137, TRUE)</f>
        <v>5.7274192199999998</v>
      </c>
      <c r="BK137" s="2868" cm="1">
        <f t="array" aca="1" ref="BK137" ca="1">INDIRECT("'※ 재무_세부시트'!"&amp;BK$1&amp;$AD137, TRUE)</f>
        <v>5.8894420300000005</v>
      </c>
      <c r="BL137" s="2490"/>
      <c r="BM137" s="2490"/>
    </row>
    <row r="138" spans="1:65" ht="14.8" customHeight="1" x14ac:dyDescent="0.55000000000000004">
      <c r="A138" s="2855"/>
      <c r="B138" s="2493"/>
      <c r="C138" s="2857"/>
      <c r="D138" s="2857" t="s">
        <v>7</v>
      </c>
      <c r="E138" s="2857"/>
      <c r="F138" s="2859" cm="1">
        <f t="array" aca="1" ref="F138" ca="1">INDIRECT("'※ 재무_세부시트'!"&amp;F$1&amp;$AD138, TRUE)</f>
        <v>40.179716900000003</v>
      </c>
      <c r="G138" s="2859" cm="1">
        <f t="array" aca="1" ref="G138" ca="1">INDIRECT("'※ 재무_세부시트'!"&amp;G$1&amp;$AD138, TRUE)</f>
        <v>105.28988598000001</v>
      </c>
      <c r="H138" s="2860" cm="1">
        <f t="array" aca="1" ref="H138" ca="1">INDIRECT("'※ 재무_세부시트'!"&amp;H$1&amp;$AD138, TRUE)</f>
        <v>3.72419725</v>
      </c>
      <c r="I138" s="2861" cm="1">
        <f t="array" aca="1" ref="I138" ca="1">INDIRECT("'※ 재무_세부시트'!"&amp;I$1&amp;$AD138, TRUE)</f>
        <v>8.4218106200000005</v>
      </c>
      <c r="J138" s="2861" cm="1">
        <f t="array" aca="1" ref="J138" ca="1">INDIRECT("'※ 재무_세부시트'!"&amp;J$1&amp;$AD138, TRUE)</f>
        <v>8.7800582200000008</v>
      </c>
      <c r="K138" s="2861" cm="1">
        <f t="array" aca="1" ref="K138" ca="1">INDIRECT("'※ 재무_세부시트'!"&amp;K$1&amp;$AD138, TRUE)</f>
        <v>9.2046211099999997</v>
      </c>
      <c r="L138" s="2861" cm="1">
        <f t="array" aca="1" ref="L138" ca="1">INDIRECT("'※ 재무_세부시트'!"&amp;L$1&amp;$AD138, TRUE)</f>
        <v>10.20642677</v>
      </c>
      <c r="M138" s="2861" cm="1">
        <f t="array" aca="1" ref="M138" ca="1">INDIRECT("'※ 재무_세부시트'!"&amp;M$1&amp;$AD138, TRUE)</f>
        <v>9.94210715</v>
      </c>
      <c r="N138" s="2861" cm="1">
        <f t="array" aca="1" ref="N138" ca="1">INDIRECT("'※ 재무_세부시트'!"&amp;N$1&amp;$AD138, TRUE)</f>
        <v>8.7700939699999996</v>
      </c>
      <c r="O138" s="2861" cm="1">
        <f t="array" aca="1" ref="O138" ca="1">INDIRECT("'※ 재무_세부시트'!"&amp;O$1&amp;$AD138, TRUE)</f>
        <v>10.034654939999999</v>
      </c>
      <c r="P138" s="2861" cm="1">
        <f t="array" aca="1" ref="P138" ca="1">INDIRECT("'※ 재무_세부시트'!"&amp;P$1&amp;$AD138, TRUE)</f>
        <v>9.0732416199999992</v>
      </c>
      <c r="Q138" s="2861" cm="1">
        <f t="array" aca="1" ref="Q138" ca="1">INDIRECT("'※ 재무_세부시트'!"&amp;Q$1&amp;$AD138, TRUE)</f>
        <v>9.91310146</v>
      </c>
      <c r="R138" s="2861" cm="1">
        <f t="array" aca="1" ref="R138" ca="1">INDIRECT("'※ 재무_세부시트'!"&amp;R$1&amp;$AD138, TRUE)</f>
        <v>8.9425666400000008</v>
      </c>
      <c r="S138" s="2861" cm="1">
        <f t="array" aca="1" ref="S138" ca="1">INDIRECT("'※ 재무_세부시트'!"&amp;S$1&amp;$AD138, TRUE)</f>
        <v>8.9525247399999994</v>
      </c>
      <c r="T138" s="2791"/>
      <c r="U138" s="2791"/>
      <c r="V138" s="2862"/>
      <c r="W138" s="2863" cm="1">
        <f t="array" aca="1" ref="W138" ca="1">INDIRECT("'※ 재무_세부시트'!"&amp;W$1&amp;$AD138, TRUE)</f>
        <v>9.9580999999986375E-3</v>
      </c>
      <c r="X138" s="2864" cm="1">
        <f t="array" aca="1" ref="X138" ca="1">INDIRECT("'※ 재무_세부시트'!"&amp;X$1&amp;$AD138, TRUE)</f>
        <v>-5.9730784799999999</v>
      </c>
      <c r="Y138" s="2864" cm="1">
        <f t="array" aca="1" ref="Y138" ca="1">INDIRECT("'※ 재무_세부시트'!"&amp;Y$1&amp;$AD138, TRUE)</f>
        <v>0</v>
      </c>
      <c r="Z138" s="2865" cm="1">
        <f t="array" aca="1" ref="Z138" ca="1">INDIRECT("'※ 재무_세부시트'!"&amp;Z$1&amp;$AD138, TRUE)</f>
        <v>105.96540449</v>
      </c>
      <c r="AA138" s="2866"/>
      <c r="AB138" s="2794"/>
      <c r="AC138" s="2867" cm="1">
        <f t="array" aca="1" ref="AC138" ca="1">INDIRECT("'※ 재무_세부시트'!"&amp;AC$1&amp;$AD138, TRUE)</f>
        <v>0.67551850999998919</v>
      </c>
      <c r="AD138" s="2441">
        <v>137</v>
      </c>
      <c r="AE138" s="2974">
        <v>8.0022274000000007</v>
      </c>
      <c r="AF138" s="2974">
        <v>1.17837726</v>
      </c>
      <c r="AG138" s="2974">
        <v>6.7986267999999992</v>
      </c>
      <c r="AH138" s="2974">
        <v>0.9599065</v>
      </c>
      <c r="AI138" s="2974">
        <v>1.0321935799999999</v>
      </c>
      <c r="AJ138" s="2974">
        <v>6.4416540800000011</v>
      </c>
      <c r="AK138" s="2974">
        <v>2.49064913</v>
      </c>
      <c r="AL138" s="2974">
        <v>1.2748768100000001</v>
      </c>
      <c r="AM138" s="2974">
        <v>8.0564725100000008</v>
      </c>
      <c r="AN138" s="2974">
        <v>1.0018435000000001</v>
      </c>
      <c r="AO138" s="2974">
        <v>1.5039843300000002</v>
      </c>
      <c r="AP138" s="2974">
        <v>1.4389050000000001</v>
      </c>
      <c r="AQ138" s="2505">
        <f t="shared" si="62"/>
        <v>40.179716900000003</v>
      </c>
      <c r="AR138" s="2488"/>
      <c r="AS138" s="2488"/>
      <c r="AT138" s="2488"/>
      <c r="AU138" s="2488"/>
      <c r="AV138" s="2488"/>
      <c r="AW138" s="2488"/>
      <c r="AX138" s="2488"/>
      <c r="AY138" s="2488"/>
      <c r="AZ138" s="2488"/>
      <c r="BA138" s="2488"/>
      <c r="BB138" s="2488"/>
      <c r="BC138" s="2488"/>
      <c r="BD138" s="2488"/>
      <c r="BE138" s="2488"/>
      <c r="BG138" s="2868" cm="1">
        <f t="array" aca="1" ref="BG138" ca="1">INDIRECT("'※ 재무_세부시트'!"&amp;BG$1&amp;$AD138, TRUE)</f>
        <v>8.0022274000000007</v>
      </c>
      <c r="BH138" s="2868" cm="1">
        <f t="array" aca="1" ref="BH138" ca="1">INDIRECT("'※ 재무_세부시트'!"&amp;BH$1&amp;$AD138, TRUE)</f>
        <v>40.179716900000003</v>
      </c>
      <c r="BI138" s="2868" cm="1">
        <f t="array" aca="1" ref="BI138" ca="1">INDIRECT("'※ 재무_세부시트'!"&amp;BI$1&amp;$AD138, TRUE)</f>
        <v>2.49064913</v>
      </c>
      <c r="BJ138" s="2868" cm="1">
        <f t="array" aca="1" ref="BJ138" ca="1">INDIRECT("'※ 재무_세부시트'!"&amp;BJ$1&amp;$AD138, TRUE)</f>
        <v>5.1047489199999996</v>
      </c>
      <c r="BK138" s="2868" cm="1">
        <f t="array" aca="1" ref="BK138" ca="1">INDIRECT("'※ 재무_세부시트'!"&amp;BK$1&amp;$AD138, TRUE)</f>
        <v>8.0564725100000008</v>
      </c>
      <c r="BL138" s="2490"/>
      <c r="BM138" s="2490"/>
    </row>
    <row r="139" spans="1:65" ht="17.25" customHeight="1" x14ac:dyDescent="0.55000000000000004">
      <c r="A139" s="2855"/>
      <c r="B139" s="2856"/>
      <c r="C139" s="2940" t="s">
        <v>639</v>
      </c>
      <c r="D139" s="2884"/>
      <c r="E139" s="2884"/>
      <c r="F139" s="2886" cm="1">
        <f t="array" aca="1" ref="F139" ca="1">INDIRECT("'※ 재무_세부시트'!"&amp;F$1&amp;$AD139, TRUE)</f>
        <v>933.68476203663636</v>
      </c>
      <c r="G139" s="2886" cm="1">
        <f t="array" aca="1" ref="G139" ca="1">INDIRECT("'※ 재무_세부시트'!"&amp;G$1&amp;$AD139, TRUE)</f>
        <v>1571.9158065795534</v>
      </c>
      <c r="H139" s="2887" cm="1">
        <f t="array" aca="1" ref="H139" ca="1">INDIRECT("'※ 재무_세부시트'!"&amp;H$1&amp;$AD139, TRUE)</f>
        <v>93.696069752068567</v>
      </c>
      <c r="I139" s="2877" cm="1">
        <f t="array" aca="1" ref="I139" ca="1">INDIRECT("'※ 재무_세부시트'!"&amp;I$1&amp;$AD139, TRUE)</f>
        <v>224.39843197889095</v>
      </c>
      <c r="J139" s="2877" cm="1">
        <f t="array" aca="1" ref="J139" ca="1">INDIRECT("'※ 재무_세부시트'!"&amp;J$1&amp;$AD139, TRUE)</f>
        <v>94.798995354712872</v>
      </c>
      <c r="K139" s="2877" cm="1">
        <f t="array" aca="1" ref="K139" ca="1">INDIRECT("'※ 재무_세부시트'!"&amp;K$1&amp;$AD139, TRUE)</f>
        <v>100.39645581015965</v>
      </c>
      <c r="L139" s="2877" cm="1">
        <f t="array" aca="1" ref="L139" ca="1">INDIRECT("'※ 재무_세부시트'!"&amp;L$1&amp;$AD139, TRUE)</f>
        <v>113.20618135599587</v>
      </c>
      <c r="M139" s="2877" cm="1">
        <f t="array" aca="1" ref="M139" ca="1">INDIRECT("'※ 재무_세부시트'!"&amp;M$1&amp;$AD139, TRUE)</f>
        <v>91.946164552093819</v>
      </c>
      <c r="N139" s="2877" cm="1">
        <f t="array" aca="1" ref="N139" ca="1">INDIRECT("'※ 재무_세부시트'!"&amp;N$1&amp;$AD139, TRUE)</f>
        <v>214.6491853577721</v>
      </c>
      <c r="O139" s="2877" cm="1">
        <f t="array" aca="1" ref="O139" ca="1">INDIRECT("'※ 재무_세부시트'!"&amp;O$1&amp;$AD139, TRUE)</f>
        <v>144.97524389182024</v>
      </c>
      <c r="P139" s="2877" cm="1">
        <f t="array" aca="1" ref="P139" ca="1">INDIRECT("'※ 재무_세부시트'!"&amp;P$1&amp;$AD139, TRUE)</f>
        <v>334.41013244071701</v>
      </c>
      <c r="Q139" s="2877" cm="1">
        <f t="array" aca="1" ref="Q139" ca="1">INDIRECT("'※ 재무_세부시트'!"&amp;Q$1&amp;$AD139, TRUE)</f>
        <v>194.83852314061809</v>
      </c>
      <c r="R139" s="2877" cm="1">
        <f t="array" aca="1" ref="R139" ca="1">INDIRECT("'※ 재무_세부시트'!"&amp;R$1&amp;$AD139, TRUE)</f>
        <v>145.16060426404084</v>
      </c>
      <c r="S139" s="2877" cm="1">
        <f t="array" aca="1" ref="S139" ca="1">INDIRECT("'※ 재무_세부시트'!"&amp;S$1&amp;$AD139, TRUE)</f>
        <v>142.5443294930181</v>
      </c>
      <c r="T139" s="2791"/>
      <c r="U139" s="2791"/>
      <c r="V139" s="2862"/>
      <c r="W139" s="2888" cm="1">
        <f t="array" aca="1" ref="W139" ca="1">INDIRECT("'※ 재무_세부시트'!"&amp;W$1&amp;$AD139, TRUE)</f>
        <v>-2.616274771022745</v>
      </c>
      <c r="X139" s="2889" cm="1">
        <f t="array" aca="1" ref="X139" ca="1">INDIRECT("'※ 재무_세부시트'!"&amp;X$1&amp;$AD139, TRUE)</f>
        <v>43.960757038711023</v>
      </c>
      <c r="Y139" s="2889" cm="1">
        <f t="array" aca="1" ref="Y139" ca="1">INDIRECT("'※ 재무_세부시트'!"&amp;Y$1&amp;$AD139, TRUE)</f>
        <v>0</v>
      </c>
      <c r="Z139" s="2890" cm="1">
        <f t="array" aca="1" ref="Z139" ca="1">INDIRECT("'※ 재무_세부시트'!"&amp;Z$1&amp;$AD139, TRUE)</f>
        <v>1895.0203173919078</v>
      </c>
      <c r="AA139" s="2866"/>
      <c r="AB139" s="2794"/>
      <c r="AC139" s="2975" cm="1">
        <f t="array" aca="1" ref="AC139" ca="1">INDIRECT("'※ 재무_세부시트'!"&amp;AC$1&amp;$AD139, TRUE)</f>
        <v>323.10451081235442</v>
      </c>
      <c r="AD139" s="2441">
        <v>138</v>
      </c>
      <c r="AE139" s="2505">
        <f>AE140+AE141+AE142+AE143+AE144</f>
        <v>49.63475887057016</v>
      </c>
      <c r="AF139" s="2505">
        <f t="shared" ref="AF139:AP139" si="64">AF140+AF141+AF142+AF143+AF144</f>
        <v>75.746867094350748</v>
      </c>
      <c r="AG139" s="2505">
        <f t="shared" si="64"/>
        <v>54.590282595137829</v>
      </c>
      <c r="AH139" s="2505">
        <f t="shared" si="64"/>
        <v>40.869292470454113</v>
      </c>
      <c r="AI139" s="2505">
        <f t="shared" si="64"/>
        <v>54.926879153249359</v>
      </c>
      <c r="AJ139" s="2505">
        <f t="shared" si="64"/>
        <v>51.633012394155919</v>
      </c>
      <c r="AK139" s="2505">
        <f t="shared" si="64"/>
        <v>48.371840446595968</v>
      </c>
      <c r="AL139" s="2505">
        <f t="shared" si="64"/>
        <v>104.17797131140156</v>
      </c>
      <c r="AM139" s="2505">
        <f t="shared" si="64"/>
        <v>37.546427047764354</v>
      </c>
      <c r="AN139" s="2505">
        <f t="shared" si="64"/>
        <v>277.01652745053718</v>
      </c>
      <c r="AO139" s="2505">
        <f t="shared" si="64"/>
        <v>81.965893287902318</v>
      </c>
      <c r="AP139" s="2505">
        <f t="shared" si="64"/>
        <v>57.205009914516829</v>
      </c>
      <c r="AQ139" s="2505">
        <f t="shared" si="62"/>
        <v>933.68476203663636</v>
      </c>
      <c r="AR139" s="2488"/>
      <c r="AS139" s="2488"/>
      <c r="AT139" s="2488"/>
      <c r="AU139" s="2488"/>
      <c r="AV139" s="2488"/>
      <c r="AW139" s="2488"/>
      <c r="AX139" s="2488"/>
      <c r="AY139" s="2488"/>
      <c r="AZ139" s="2488"/>
      <c r="BA139" s="2488"/>
      <c r="BB139" s="2488"/>
      <c r="BC139" s="2488"/>
      <c r="BD139" s="2488"/>
      <c r="BE139" s="2488"/>
      <c r="BG139" s="2892" cm="1">
        <f t="array" aca="1" ref="BG139" ca="1">INDIRECT("'※ 재무_세부시트'!"&amp;BG$1&amp;$AD139, TRUE)</f>
        <v>49.63475887057016</v>
      </c>
      <c r="BH139" s="2892" cm="1">
        <f t="array" aca="1" ref="BH139" ca="1">INDIRECT("'※ 재무_세부시트'!"&amp;BH$1&amp;$AD139, TRUE)</f>
        <v>933.68476203663636</v>
      </c>
      <c r="BI139" s="2892" cm="1">
        <f t="array" aca="1" ref="BI139" ca="1">INDIRECT("'※ 재무_세부시트'!"&amp;BI$1&amp;$AD139, TRUE)</f>
        <v>48.371840446595968</v>
      </c>
      <c r="BJ139" s="2892" cm="1">
        <f t="array" aca="1" ref="BJ139" ca="1">INDIRECT("'※ 재무_세부시트'!"&amp;BJ$1&amp;$AD139, TRUE)</f>
        <v>59.491383363653512</v>
      </c>
      <c r="BK139" s="2892" cm="1">
        <f t="array" aca="1" ref="BK139" ca="1">INDIRECT("'※ 재무_세부시트'!"&amp;BK$1&amp;$AD139, TRUE)</f>
        <v>37.546427047764354</v>
      </c>
      <c r="BL139" s="2490"/>
      <c r="BM139" s="2490"/>
    </row>
    <row r="140" spans="1:65" ht="14.8" customHeight="1" x14ac:dyDescent="0.55000000000000004">
      <c r="A140" s="2855"/>
      <c r="B140" s="2493"/>
      <c r="C140" s="2884"/>
      <c r="D140" s="2884" t="s">
        <v>42</v>
      </c>
      <c r="E140" s="2884"/>
      <c r="F140" s="2886" cm="1">
        <f t="array" aca="1" ref="F140" ca="1">INDIRECT("'※ 재무_세부시트'!"&amp;F$1&amp;$AD140, TRUE)</f>
        <v>724.71895927000003</v>
      </c>
      <c r="G140" s="2886" cm="1">
        <f t="array" aca="1" ref="G140" ca="1">INDIRECT("'※ 재무_세부시트'!"&amp;G$1&amp;$AD140, TRUE)</f>
        <v>1331.8619060600001</v>
      </c>
      <c r="H140" s="2887" cm="1">
        <f t="array" aca="1" ref="H140" ca="1">INDIRECT("'※ 재무_세부시트'!"&amp;H$1&amp;$AD140, TRUE)</f>
        <v>57.113328750000001</v>
      </c>
      <c r="I140" s="2877" cm="1">
        <f t="array" aca="1" ref="I140" ca="1">INDIRECT("'※ 재무_세부시트'!"&amp;I$1&amp;$AD140, TRUE)</f>
        <v>206.81805313999999</v>
      </c>
      <c r="J140" s="2877" cm="1">
        <f t="array" aca="1" ref="J140" ca="1">INDIRECT("'※ 재무_세부시트'!"&amp;J$1&amp;$AD140, TRUE)</f>
        <v>78.186720859999994</v>
      </c>
      <c r="K140" s="2877" cm="1">
        <f t="array" aca="1" ref="K140" ca="1">INDIRECT("'※ 재무_세부시트'!"&amp;K$1&amp;$AD140, TRUE)</f>
        <v>83.066149379999999</v>
      </c>
      <c r="L140" s="2877" cm="1">
        <f t="array" aca="1" ref="L140" ca="1">INDIRECT("'※ 재무_세부시트'!"&amp;L$1&amp;$AD140, TRUE)</f>
        <v>94.202627809999996</v>
      </c>
      <c r="M140" s="2877" cm="1">
        <f t="array" aca="1" ref="M140" ca="1">INDIRECT("'※ 재무_세부시트'!"&amp;M$1&amp;$AD140, TRUE)</f>
        <v>67.409114290000005</v>
      </c>
      <c r="N140" s="2877" cm="1">
        <f t="array" aca="1" ref="N140" ca="1">INDIRECT("'※ 재무_세부시트'!"&amp;N$1&amp;$AD140, TRUE)</f>
        <v>178.45651955</v>
      </c>
      <c r="O140" s="2877" cm="1">
        <f t="array" aca="1" ref="O140" ca="1">INDIRECT("'※ 재무_세부시트'!"&amp;O$1&amp;$AD140, TRUE)</f>
        <v>116.93925818</v>
      </c>
      <c r="P140" s="2877" cm="1">
        <f t="array" aca="1" ref="P140" ca="1">INDIRECT("'※ 재무_세부시트'!"&amp;P$1&amp;$AD140, TRUE)</f>
        <v>292.76027227999998</v>
      </c>
      <c r="Q140" s="2877" cm="1">
        <f t="array" aca="1" ref="Q140" ca="1">INDIRECT("'※ 재무_세부시트'!"&amp;Q$1&amp;$AD140, TRUE)</f>
        <v>161.95740606999999</v>
      </c>
      <c r="R140" s="2877" cm="1">
        <f t="array" aca="1" ref="R140" ca="1">INDIRECT("'※ 재무_세부시트'!"&amp;R$1&amp;$AD140, TRUE)</f>
        <v>113.76619307</v>
      </c>
      <c r="S140" s="2877" cm="1">
        <f t="array" aca="1" ref="S140" ca="1">INDIRECT("'※ 재무_세부시트'!"&amp;S$1&amp;$AD140, TRUE)</f>
        <v>113.95089716</v>
      </c>
      <c r="T140" s="2791"/>
      <c r="U140" s="2791"/>
      <c r="V140" s="2862"/>
      <c r="W140" s="2888" cm="1">
        <f t="array" aca="1" ref="W140" ca="1">INDIRECT("'※ 재무_세부시트'!"&amp;W$1&amp;$AD140, TRUE)</f>
        <v>0.18470408999999677</v>
      </c>
      <c r="X140" s="2889" cm="1">
        <f t="array" aca="1" ref="X140" ca="1">INDIRECT("'※ 재무_세부시트'!"&amp;X$1&amp;$AD140, TRUE)</f>
        <v>39.841394749999992</v>
      </c>
      <c r="Y140" s="2889" cm="1">
        <f t="array" aca="1" ref="Y140" ca="1">INDIRECT("'※ 재무_세부시트'!"&amp;Y$1&amp;$AD140, TRUE)</f>
        <v>0</v>
      </c>
      <c r="Z140" s="2890" cm="1">
        <f t="array" aca="1" ref="Z140" ca="1">INDIRECT("'※ 재무_세부시트'!"&amp;Z$1&amp;$AD140, TRUE)</f>
        <v>1564.6265405400002</v>
      </c>
      <c r="AA140" s="2866"/>
      <c r="AB140" s="2794"/>
      <c r="AC140" s="2975" cm="1">
        <f t="array" aca="1" ref="AC140" ca="1">INDIRECT("'※ 재무_세부시트'!"&amp;AC$1&amp;$AD140, TRUE)</f>
        <v>232.76463448000004</v>
      </c>
      <c r="AD140" s="2441">
        <v>139</v>
      </c>
      <c r="AE140" s="2974">
        <v>36.414721419999999</v>
      </c>
      <c r="AF140" s="2974">
        <v>56.320880109999997</v>
      </c>
      <c r="AG140" s="2974">
        <v>37.291514909999997</v>
      </c>
      <c r="AH140" s="2974">
        <v>27.424001780000005</v>
      </c>
      <c r="AI140" s="2974">
        <v>38.862341440000002</v>
      </c>
      <c r="AJ140" s="2974">
        <v>32.591596860000003</v>
      </c>
      <c r="AK140" s="2974">
        <v>30.071764430000002</v>
      </c>
      <c r="AL140" s="2974">
        <v>80.984551330000002</v>
      </c>
      <c r="AM140" s="2974">
        <v>25.690076479999998</v>
      </c>
      <c r="AN140" s="2974">
        <v>251.32561953000001</v>
      </c>
      <c r="AO140" s="2974">
        <v>65.242637590000001</v>
      </c>
      <c r="AP140" s="2974">
        <v>42.499253390000007</v>
      </c>
      <c r="AQ140" s="2505">
        <f t="shared" si="62"/>
        <v>724.71895927000003</v>
      </c>
      <c r="AR140" s="2488"/>
      <c r="AS140" s="2488"/>
      <c r="AT140" s="2488"/>
      <c r="AU140" s="2488"/>
      <c r="AV140" s="2488"/>
      <c r="AW140" s="2488"/>
      <c r="AX140" s="2488"/>
      <c r="AY140" s="2488"/>
      <c r="AZ140" s="2488"/>
      <c r="BA140" s="2488"/>
      <c r="BB140" s="2488"/>
      <c r="BC140" s="2488"/>
      <c r="BD140" s="2488"/>
      <c r="BE140" s="2488"/>
      <c r="BG140" s="2892" cm="1">
        <f t="array" aca="1" ref="BG140" ca="1">INDIRECT("'※ 재무_세부시트'!"&amp;BG$1&amp;$AD140, TRUE)</f>
        <v>36.414721419999999</v>
      </c>
      <c r="BH140" s="2892" cm="1">
        <f t="array" aca="1" ref="BH140" ca="1">INDIRECT("'※ 재무_세부시트'!"&amp;BH$1&amp;$AD140, TRUE)</f>
        <v>724.71895927000003</v>
      </c>
      <c r="BI140" s="2892" cm="1">
        <f t="array" aca="1" ref="BI140" ca="1">INDIRECT("'※ 재무_세부시트'!"&amp;BI$1&amp;$AD140, TRUE)</f>
        <v>30.071764430000002</v>
      </c>
      <c r="BJ140" s="2892" cm="1">
        <f t="array" aca="1" ref="BJ140" ca="1">INDIRECT("'※ 재무_세부시트'!"&amp;BJ$1&amp;$AD140, TRUE)</f>
        <v>44.748742759999999</v>
      </c>
      <c r="BK140" s="2892" cm="1">
        <f t="array" aca="1" ref="BK140" ca="1">INDIRECT("'※ 재무_세부시트'!"&amp;BK$1&amp;$AD140, TRUE)</f>
        <v>25.690076479999998</v>
      </c>
      <c r="BL140" s="2490"/>
      <c r="BM140" s="2490"/>
    </row>
    <row r="141" spans="1:65" ht="14.8" customHeight="1" x14ac:dyDescent="0.55000000000000004">
      <c r="A141" s="2855"/>
      <c r="B141" s="2493"/>
      <c r="C141" s="2884"/>
      <c r="D141" s="2884" t="s">
        <v>13</v>
      </c>
      <c r="E141" s="2884"/>
      <c r="F141" s="2886" cm="1">
        <f t="array" aca="1" ref="F141" ca="1">INDIRECT("'※ 재무_세부시트'!"&amp;F$1&amp;$AD141, TRUE)</f>
        <v>43.242531863466695</v>
      </c>
      <c r="G141" s="2886" cm="1">
        <f t="array" aca="1" ref="G141" ca="1">INDIRECT("'※ 재무_세부시트'!"&amp;G$1&amp;$AD141, TRUE)</f>
        <v>49.973902480639836</v>
      </c>
      <c r="H141" s="2887" cm="1">
        <f t="array" aca="1" ref="H141" ca="1">INDIRECT("'※ 재무_세부시트'!"&amp;H$1&amp;$AD141, TRUE)</f>
        <v>5.2826852723842883</v>
      </c>
      <c r="I141" s="2877" cm="1">
        <f t="array" aca="1" ref="I141" ca="1">INDIRECT("'※ 재무_세부시트'!"&amp;I$1&amp;$AD141, TRUE)</f>
        <v>5.3600846349410238</v>
      </c>
      <c r="J141" s="2877" cm="1">
        <f t="array" aca="1" ref="J141" ca="1">INDIRECT("'※ 재무_세부시트'!"&amp;J$1&amp;$AD141, TRUE)</f>
        <v>6.5251705759497467</v>
      </c>
      <c r="K141" s="2877" cm="1">
        <f t="array" aca="1" ref="K141" ca="1">INDIRECT("'※ 재무_세부시트'!"&amp;K$1&amp;$AD141, TRUE)</f>
        <v>5.6544795929645764</v>
      </c>
      <c r="L141" s="2877" cm="1">
        <f t="array" aca="1" ref="L141" ca="1">INDIRECT("'※ 재무_세부시트'!"&amp;L$1&amp;$AD141, TRUE)</f>
        <v>5.8535597416629503</v>
      </c>
      <c r="M141" s="2877" cm="1">
        <f t="array" aca="1" ref="M141" ca="1">INDIRECT("'※ 재무_세부시트'!"&amp;M$1&amp;$AD141, TRUE)</f>
        <v>7.2227390983812407</v>
      </c>
      <c r="N141" s="2877" cm="1">
        <f t="array" aca="1" ref="N141" ca="1">INDIRECT("'※ 재무_세부시트'!"&amp;N$1&amp;$AD141, TRUE)</f>
        <v>6.2698224053300855</v>
      </c>
      <c r="O141" s="2877" cm="1">
        <f t="array" aca="1" ref="O141" ca="1">INDIRECT("'※ 재무_세부시트'!"&amp;O$1&amp;$AD141, TRUE)</f>
        <v>6.4951732119896439</v>
      </c>
      <c r="P141" s="2877" cm="1">
        <f t="array" aca="1" ref="P141" ca="1">INDIRECT("'※ 재무_세부시트'!"&amp;P$1&amp;$AD141, TRUE)</f>
        <v>8.2098937229167674</v>
      </c>
      <c r="Q141" s="2877" cm="1">
        <f t="array" aca="1" ref="Q141" ca="1">INDIRECT("'※ 재무_세부시트'!"&amp;Q$1&amp;$AD141, TRUE)</f>
        <v>7.5163638016713561</v>
      </c>
      <c r="R141" s="2877" cm="1">
        <f t="array" aca="1" ref="R141" ca="1">INDIRECT("'※ 재무_세부시트'!"&amp;R$1&amp;$AD141, TRUE)</f>
        <v>6.0939590159528585</v>
      </c>
      <c r="S141" s="2877" cm="1">
        <f t="array" aca="1" ref="S141" ca="1">INDIRECT("'※ 재무_세부시트'!"&amp;S$1&amp;$AD141, TRUE)</f>
        <v>6.5753651575194585</v>
      </c>
      <c r="T141" s="2791"/>
      <c r="U141" s="2791"/>
      <c r="V141" s="2862"/>
      <c r="W141" s="2888" cm="1">
        <f t="array" aca="1" ref="W141" ca="1">INDIRECT("'※ 재무_세부시트'!"&amp;W$1&amp;$AD141, TRUE)</f>
        <v>0.4814061415666</v>
      </c>
      <c r="X141" s="2889" cm="1">
        <f t="array" aca="1" ref="X141" ca="1">INDIRECT("'※ 재무_세부시트'!"&amp;X$1&amp;$AD141, TRUE)</f>
        <v>1.5903804536198276</v>
      </c>
      <c r="Y141" s="2889" cm="1">
        <f t="array" aca="1" ref="Y141" ca="1">INDIRECT("'※ 재무_세부시트'!"&amp;Y$1&amp;$AD141, TRUE)</f>
        <v>0</v>
      </c>
      <c r="Z141" s="2890" cm="1">
        <f t="array" aca="1" ref="Z141" ca="1">INDIRECT("'※ 재무_세부시트'!"&amp;Z$1&amp;$AD141, TRUE)</f>
        <v>77.059296231664007</v>
      </c>
      <c r="AA141" s="2866"/>
      <c r="AB141" s="2794"/>
      <c r="AC141" s="2891" cm="1">
        <f t="array" aca="1" ref="AC141" ca="1">INDIRECT("'※ 재무_세부시트'!"&amp;AC$1&amp;$AD141, TRUE)</f>
        <v>27.085393751024171</v>
      </c>
      <c r="AD141" s="2441">
        <v>140</v>
      </c>
      <c r="AE141" s="2974">
        <v>3.5266881483137298</v>
      </c>
      <c r="AF141" s="2974">
        <v>3.3823871343507492</v>
      </c>
      <c r="AG141" s="2974">
        <v>3.9015063731387301</v>
      </c>
      <c r="AH141" s="2974">
        <v>3.5788583504769402</v>
      </c>
      <c r="AI141" s="2974">
        <v>3.4772751932493602</v>
      </c>
      <c r="AJ141" s="2974">
        <v>3.34012307415591</v>
      </c>
      <c r="AK141" s="2974">
        <v>3.6182492465959601</v>
      </c>
      <c r="AL141" s="2974">
        <v>3.2880030213537004</v>
      </c>
      <c r="AM141" s="2974">
        <v>3.55859430655042</v>
      </c>
      <c r="AN141" s="2974">
        <v>3.1870540677978703</v>
      </c>
      <c r="AO141" s="2974">
        <v>4.9536811879699805</v>
      </c>
      <c r="AP141" s="2974">
        <v>3.4301117595133541</v>
      </c>
      <c r="AQ141" s="2505">
        <f t="shared" si="62"/>
        <v>43.242531863466695</v>
      </c>
      <c r="AR141" s="2488"/>
      <c r="AS141" s="2488"/>
      <c r="AT141" s="2488"/>
      <c r="AU141" s="2488"/>
      <c r="AV141" s="2488"/>
      <c r="AW141" s="2488"/>
      <c r="AX141" s="2488"/>
      <c r="AY141" s="2488"/>
      <c r="AZ141" s="2488"/>
      <c r="BA141" s="2488"/>
      <c r="BB141" s="2488"/>
      <c r="BC141" s="2488"/>
      <c r="BD141" s="2488"/>
      <c r="BE141" s="2488"/>
      <c r="BG141" s="2892" cm="1">
        <f t="array" aca="1" ref="BG141" ca="1">INDIRECT("'※ 재무_세부시트'!"&amp;BG$1&amp;$AD141, TRUE)</f>
        <v>3.5266881483137298</v>
      </c>
      <c r="BH141" s="2892" cm="1">
        <f t="array" aca="1" ref="BH141" ca="1">INDIRECT("'※ 재무_세부시트'!"&amp;BH$1&amp;$AD141, TRUE)</f>
        <v>43.242531863466695</v>
      </c>
      <c r="BI141" s="2892" cm="1">
        <f t="array" aca="1" ref="BI141" ca="1">INDIRECT("'※ 재무_세부시트'!"&amp;BI$1&amp;$AD141, TRUE)</f>
        <v>3.6182492465959601</v>
      </c>
      <c r="BJ141" s="2892" cm="1">
        <f t="array" aca="1" ref="BJ141" ca="1">INDIRECT("'※ 재무_세부시트'!"&amp;BJ$1&amp;$AD141, TRUE)</f>
        <v>3.830631887665366</v>
      </c>
      <c r="BK141" s="2892" cm="1">
        <f t="array" aca="1" ref="BK141" ca="1">INDIRECT("'※ 재무_세부시트'!"&amp;BK$1&amp;$AD141, TRUE)</f>
        <v>3.55859430655042</v>
      </c>
      <c r="BL141" s="2490"/>
      <c r="BM141" s="2490"/>
    </row>
    <row r="142" spans="1:65" ht="14.8" customHeight="1" x14ac:dyDescent="0.55000000000000004">
      <c r="A142" s="2855"/>
      <c r="B142" s="2493"/>
      <c r="C142" s="2884"/>
      <c r="D142" s="2884" t="s">
        <v>43</v>
      </c>
      <c r="E142" s="2884"/>
      <c r="F142" s="2886" cm="1">
        <f t="array" aca="1" ref="F142" ca="1">INDIRECT("'※ 재무_세부시트'!"&amp;F$1&amp;$AD142, TRUE)</f>
        <v>128.87353095999998</v>
      </c>
      <c r="G142" s="2886" cm="1">
        <f t="array" aca="1" ref="G142" ca="1">INDIRECT("'※ 재무_세부시트'!"&amp;G$1&amp;$AD142, TRUE)</f>
        <v>132.45728081999999</v>
      </c>
      <c r="H142" s="2887" cm="1">
        <f t="array" aca="1" ref="H142" ca="1">INDIRECT("'※ 재무_세부시트'!"&amp;H$1&amp;$AD142, TRUE)</f>
        <v>25.454600750000001</v>
      </c>
      <c r="I142" s="2877" cm="1">
        <f t="array" aca="1" ref="I142" ca="1">INDIRECT("'※ 재무_세부시트'!"&amp;I$1&amp;$AD142, TRUE)</f>
        <v>8.2220748399999994</v>
      </c>
      <c r="J142" s="2877" cm="1">
        <f t="array" aca="1" ref="J142" ca="1">INDIRECT("'※ 재무_세부시트'!"&amp;J$1&amp;$AD142, TRUE)</f>
        <v>6.4922947300000002</v>
      </c>
      <c r="K142" s="2877" cm="1">
        <f t="array" aca="1" ref="K142" ca="1">INDIRECT("'※ 재무_세부시트'!"&amp;K$1&amp;$AD142, TRUE)</f>
        <v>7.7515103500000002</v>
      </c>
      <c r="L142" s="2877" cm="1">
        <f t="array" aca="1" ref="L142" ca="1">INDIRECT("'※ 재무_세부시트'!"&amp;L$1&amp;$AD142, TRUE)</f>
        <v>8.2240039899999999</v>
      </c>
      <c r="M142" s="2877" cm="1">
        <f t="array" aca="1" ref="M142" ca="1">INDIRECT("'※ 재무_세부시트'!"&amp;M$1&amp;$AD142, TRUE)</f>
        <v>12.360798989999999</v>
      </c>
      <c r="N142" s="2877" cm="1">
        <f t="array" aca="1" ref="N142" ca="1">INDIRECT("'※ 재무_세부시트'!"&amp;N$1&amp;$AD142, TRUE)</f>
        <v>23.16849667</v>
      </c>
      <c r="O142" s="2877" cm="1">
        <f t="array" aca="1" ref="O142" ca="1">INDIRECT("'※ 재무_세부시트'!"&amp;O$1&amp;$AD142, TRUE)</f>
        <v>15.795286730000001</v>
      </c>
      <c r="P142" s="2877" cm="1">
        <f t="array" aca="1" ref="P142" ca="1">INDIRECT("'※ 재무_세부시트'!"&amp;P$1&amp;$AD142, TRUE)</f>
        <v>24.3217356</v>
      </c>
      <c r="Q142" s="2877" cm="1">
        <f t="array" aca="1" ref="Q142" ca="1">INDIRECT("'※ 재무_세부시트'!"&amp;Q$1&amp;$AD142, TRUE)</f>
        <v>20.486568599999998</v>
      </c>
      <c r="R142" s="2877" cm="1">
        <f t="array" aca="1" ref="R142" ca="1">INDIRECT("'※ 재무_세부시트'!"&amp;R$1&amp;$AD142, TRUE)</f>
        <v>19.8131792</v>
      </c>
      <c r="S142" s="2877" cm="1">
        <f t="array" aca="1" ref="S142" ca="1">INDIRECT("'※ 재무_세부시트'!"&amp;S$1&amp;$AD142, TRUE)</f>
        <v>17.390366159999999</v>
      </c>
      <c r="T142" s="2791"/>
      <c r="U142" s="2791"/>
      <c r="V142" s="2862"/>
      <c r="W142" s="2888" cm="1">
        <f t="array" aca="1" ref="W142" ca="1">INDIRECT("'※ 재무_세부시트'!"&amp;W$1&amp;$AD142, TRUE)</f>
        <v>-2.4228130400000012</v>
      </c>
      <c r="X142" s="2889" cm="1">
        <f t="array" aca="1" ref="X142" ca="1">INDIRECT("'※ 재무_세부시트'!"&amp;X$1&amp;$AD142, TRUE)</f>
        <v>1.5576519999999991</v>
      </c>
      <c r="Y142" s="2889" cm="1">
        <f t="array" aca="1" ref="Y142" ca="1">INDIRECT("'※ 재무_세부시트'!"&amp;Y$1&amp;$AD142, TRUE)</f>
        <v>0</v>
      </c>
      <c r="Z142" s="2890" cm="1">
        <f t="array" aca="1" ref="Z142" ca="1">INDIRECT("'※ 재무_세부시트'!"&amp;Z$1&amp;$AD142, TRUE)</f>
        <v>189.48091661000001</v>
      </c>
      <c r="AA142" s="2866"/>
      <c r="AB142" s="2794"/>
      <c r="AC142" s="2891" cm="1">
        <f t="array" aca="1" ref="AC142" ca="1">INDIRECT("'※ 재무_세부시트'!"&amp;AC$1&amp;$AD142, TRUE)</f>
        <v>57.023635790000014</v>
      </c>
      <c r="AD142" s="2441">
        <v>141</v>
      </c>
      <c r="AE142" s="2974">
        <v>7.4910464799999996</v>
      </c>
      <c r="AF142" s="2974">
        <v>13.30617608</v>
      </c>
      <c r="AG142" s="2974">
        <v>10.734154109999999</v>
      </c>
      <c r="AH142" s="2974">
        <v>7.6458743699999987</v>
      </c>
      <c r="AI142" s="2974">
        <v>10.148498350000001</v>
      </c>
      <c r="AJ142" s="2974">
        <v>13.152694970000001</v>
      </c>
      <c r="AK142" s="2974">
        <v>11.851735140000001</v>
      </c>
      <c r="AL142" s="2974">
        <v>17.408956459999999</v>
      </c>
      <c r="AM142" s="2974">
        <v>5.9732480900000011</v>
      </c>
      <c r="AN142" s="2974">
        <v>12.925305470000001</v>
      </c>
      <c r="AO142" s="2974">
        <v>9.4191761300000003</v>
      </c>
      <c r="AP142" s="2974">
        <v>8.8166653099999994</v>
      </c>
      <c r="AQ142" s="2505">
        <f t="shared" si="62"/>
        <v>128.87353095999998</v>
      </c>
      <c r="AR142" s="2488"/>
      <c r="AS142" s="2488"/>
      <c r="AT142" s="2488"/>
      <c r="AU142" s="2488"/>
      <c r="AV142" s="2488"/>
      <c r="AW142" s="2488"/>
      <c r="AX142" s="2488"/>
      <c r="AY142" s="2488"/>
      <c r="AZ142" s="2488"/>
      <c r="BA142" s="2488"/>
      <c r="BB142" s="2488"/>
      <c r="BC142" s="2488"/>
      <c r="BD142" s="2488"/>
      <c r="BE142" s="2488"/>
      <c r="BG142" s="2892" cm="1">
        <f t="array" aca="1" ref="BG142" ca="1">INDIRECT("'※ 재무_세부시트'!"&amp;BG$1&amp;$AD142, TRUE)</f>
        <v>7.4910464799999996</v>
      </c>
      <c r="BH142" s="2892" cm="1">
        <f t="array" aca="1" ref="BH142" ca="1">INDIRECT("'※ 재무_세부시트'!"&amp;BH$1&amp;$AD142, TRUE)</f>
        <v>128.87353095999998</v>
      </c>
      <c r="BI142" s="2892" cm="1">
        <f t="array" aca="1" ref="BI142" ca="1">INDIRECT("'※ 재무_세부시트'!"&amp;BI$1&amp;$AD142, TRUE)</f>
        <v>11.851735140000001</v>
      </c>
      <c r="BJ142" s="2892" cm="1">
        <f t="array" aca="1" ref="BJ142" ca="1">INDIRECT("'※ 재무_세부시트'!"&amp;BJ$1&amp;$AD142, TRUE)</f>
        <v>7.8509883399999998</v>
      </c>
      <c r="BK142" s="2892" cm="1">
        <f t="array" aca="1" ref="BK142" ca="1">INDIRECT("'※ 재무_세부시트'!"&amp;BK$1&amp;$AD142, TRUE)</f>
        <v>5.9732480900000011</v>
      </c>
      <c r="BL142" s="2490"/>
      <c r="BM142" s="2490"/>
    </row>
    <row r="143" spans="1:65" ht="14.8" customHeight="1" x14ac:dyDescent="0.55000000000000004">
      <c r="A143" s="2855"/>
      <c r="B143" s="2493"/>
      <c r="C143" s="2884"/>
      <c r="D143" s="2884" t="s">
        <v>14</v>
      </c>
      <c r="E143" s="2884"/>
      <c r="F143" s="2886" cm="1">
        <f t="array" aca="1" ref="F143" ca="1">INDIRECT("'※ 재무_세부시트'!"&amp;F$1&amp;$AD143, TRUE)</f>
        <v>5.3050993364277534</v>
      </c>
      <c r="G143" s="2886" cm="1">
        <f t="array" aca="1" ref="G143" ca="1">INDIRECT("'※ 재무_세부시트'!"&amp;G$1&amp;$AD143, TRUE)</f>
        <v>4.7124276528929316</v>
      </c>
      <c r="H143" s="2887" cm="1">
        <f t="array" aca="1" ref="H143" ca="1">INDIRECT("'※ 재무_세부시트'!"&amp;H$1&amp;$AD143, TRUE)</f>
        <v>0.22968309000000001</v>
      </c>
      <c r="I143" s="2877" cm="1">
        <f t="array" aca="1" ref="I143" ca="1">INDIRECT("'※ 재무_세부시트'!"&amp;I$1&amp;$AD143, TRUE)</f>
        <v>0.38513278000000001</v>
      </c>
      <c r="J143" s="2877" cm="1">
        <f t="array" aca="1" ref="J143" ca="1">INDIRECT("'※ 재무_세부시트'!"&amp;J$1&amp;$AD143, TRUE)</f>
        <v>0.40296744000000001</v>
      </c>
      <c r="K143" s="2877" cm="1">
        <f t="array" aca="1" ref="K143" ca="1">INDIRECT("'※ 재무_세부시트'!"&amp;K$1&amp;$AD143, TRUE)</f>
        <v>0.42084356000000001</v>
      </c>
      <c r="L143" s="2877" cm="1">
        <f t="array" aca="1" ref="L143" ca="1">INDIRECT("'※ 재무_세부시트'!"&amp;L$1&amp;$AD143, TRUE)</f>
        <v>0.52421439999999997</v>
      </c>
      <c r="M143" s="2877" cm="1">
        <f t="array" aca="1" ref="M143" ca="1">INDIRECT("'※ 재무_세부시트'!"&amp;M$1&amp;$AD143, TRUE)</f>
        <v>0.54788767000000005</v>
      </c>
      <c r="N143" s="2877" cm="1">
        <f t="array" aca="1" ref="N143" ca="1">INDIRECT("'※ 재무_세부시트'!"&amp;N$1&amp;$AD143, TRUE)</f>
        <v>0.61919712999999998</v>
      </c>
      <c r="O143" s="2877" cm="1">
        <f t="array" aca="1" ref="O143" ca="1">INDIRECT("'※ 재무_세부시트'!"&amp;O$1&amp;$AD143, TRUE)</f>
        <v>0.32183969000000001</v>
      </c>
      <c r="P143" s="2877" cm="1">
        <f t="array" aca="1" ref="P143" ca="1">INDIRECT("'※ 재무_세부시트'!"&amp;P$1&amp;$AD143, TRUE)</f>
        <v>0.63149904000000001</v>
      </c>
      <c r="Q143" s="2877" cm="1">
        <f t="array" aca="1" ref="Q143" ca="1">INDIRECT("'※ 재무_세부시트'!"&amp;Q$1&amp;$AD143, TRUE)</f>
        <v>0.62321895999999999</v>
      </c>
      <c r="R143" s="2877" cm="1">
        <f t="array" aca="1" ref="R143" ca="1">INDIRECT("'※ 재무_세부시트'!"&amp;R$1&amp;$AD143, TRUE)</f>
        <v>0.61045470000000002</v>
      </c>
      <c r="S143" s="2877" cm="1">
        <f t="array" aca="1" ref="S143" ca="1">INDIRECT("'※ 재무_세부시트'!"&amp;S$1&amp;$AD143, TRUE)</f>
        <v>0.48561493999999999</v>
      </c>
      <c r="T143" s="2791"/>
      <c r="U143" s="2791"/>
      <c r="V143" s="2862"/>
      <c r="W143" s="2888" cm="1">
        <f t="array" aca="1" ref="W143" ca="1">INDIRECT("'※ 재무_세부시트'!"&amp;W$1&amp;$AD143, TRUE)</f>
        <v>-0.12483976000000002</v>
      </c>
      <c r="X143" s="2889" cm="1">
        <f t="array" aca="1" ref="X143" ca="1">INDIRECT("'※ 재무_세부시트'!"&amp;X$1&amp;$AD143, TRUE)</f>
        <v>0.28562157999999999</v>
      </c>
      <c r="Y143" s="2889" cm="1">
        <f t="array" aca="1" ref="Y143" ca="1">INDIRECT("'※ 재무_세부시트'!"&amp;Y$1&amp;$AD143, TRUE)</f>
        <v>0</v>
      </c>
      <c r="Z143" s="2890" cm="1">
        <f t="array" aca="1" ref="Z143" ca="1">INDIRECT("'※ 재무_세부시트'!"&amp;Z$1&amp;$AD143, TRUE)</f>
        <v>5.8025533999999999</v>
      </c>
      <c r="AA143" s="2866"/>
      <c r="AB143" s="2794"/>
      <c r="AC143" s="2891" cm="1">
        <f t="array" aca="1" ref="AC143" ca="1">INDIRECT("'※ 재무_세부시트'!"&amp;AC$1&amp;$AD143, TRUE)</f>
        <v>1.0901257471070682</v>
      </c>
      <c r="AD143" s="2441">
        <v>142</v>
      </c>
      <c r="AE143" s="2974">
        <v>0.49313038999999997</v>
      </c>
      <c r="AF143" s="2974">
        <v>0.50020286000000003</v>
      </c>
      <c r="AG143" s="2974">
        <v>0.49844843999999999</v>
      </c>
      <c r="AH143" s="2974">
        <v>0.49329475</v>
      </c>
      <c r="AI143" s="2974">
        <v>0.44048179999999992</v>
      </c>
      <c r="AJ143" s="2974">
        <v>0.44105418999999996</v>
      </c>
      <c r="AK143" s="2974">
        <v>0.44445643000000001</v>
      </c>
      <c r="AL143" s="2974">
        <v>0.44599298999999992</v>
      </c>
      <c r="AM143" s="2974">
        <v>0.44759874999999999</v>
      </c>
      <c r="AN143" s="2974">
        <v>0.44420254999999997</v>
      </c>
      <c r="AO143" s="2974">
        <v>0.44231526999999998</v>
      </c>
      <c r="AP143" s="2974">
        <v>0.21392091642775379</v>
      </c>
      <c r="AQ143" s="2505">
        <f t="shared" si="62"/>
        <v>5.3050993364277534</v>
      </c>
      <c r="AR143" s="2488"/>
      <c r="AS143" s="2488"/>
      <c r="AT143" s="2488"/>
      <c r="AU143" s="2488"/>
      <c r="AV143" s="2488"/>
      <c r="AW143" s="2488"/>
      <c r="AX143" s="2488"/>
      <c r="AY143" s="2488"/>
      <c r="AZ143" s="2488"/>
      <c r="BA143" s="2488"/>
      <c r="BB143" s="2488"/>
      <c r="BC143" s="2488"/>
      <c r="BD143" s="2488"/>
      <c r="BE143" s="2488"/>
      <c r="BG143" s="2892" cm="1">
        <f t="array" aca="1" ref="BG143" ca="1">INDIRECT("'※ 재무_세부시트'!"&amp;BG$1&amp;$AD143, TRUE)</f>
        <v>0.49313038999999997</v>
      </c>
      <c r="BH143" s="2892" cm="1">
        <f t="array" aca="1" ref="BH143" ca="1">INDIRECT("'※ 재무_세부시트'!"&amp;BH$1&amp;$AD143, TRUE)</f>
        <v>5.3050993364277534</v>
      </c>
      <c r="BI143" s="2892" cm="1">
        <f t="array" aca="1" ref="BI143" ca="1">INDIRECT("'※ 재무_세부시트'!"&amp;BI$1&amp;$AD143, TRUE)</f>
        <v>0.44445643000000001</v>
      </c>
      <c r="BJ143" s="2892" cm="1">
        <f t="array" aca="1" ref="BJ143" ca="1">INDIRECT("'※ 재무_세부시트'!"&amp;BJ$1&amp;$AD143, TRUE)</f>
        <v>0.51404783497852757</v>
      </c>
      <c r="BK143" s="2892" cm="1">
        <f t="array" aca="1" ref="BK143" ca="1">INDIRECT("'※ 재무_세부시트'!"&amp;BK$1&amp;$AD143, TRUE)</f>
        <v>0.44759874999999999</v>
      </c>
      <c r="BL143" s="2490"/>
      <c r="BM143" s="2490"/>
    </row>
    <row r="144" spans="1:65" ht="14.8" customHeight="1" x14ac:dyDescent="0.55000000000000004">
      <c r="A144" s="2855"/>
      <c r="B144" s="2493"/>
      <c r="C144" s="2884"/>
      <c r="D144" s="2884" t="s">
        <v>16</v>
      </c>
      <c r="E144" s="2884"/>
      <c r="F144" s="2886" cm="1">
        <f t="array" aca="1" ref="F144" ca="1">INDIRECT("'※ 재무_세부시트'!"&amp;F$1&amp;$AD144, TRUE)</f>
        <v>31.544640606741893</v>
      </c>
      <c r="G144" s="2886" cm="1">
        <f t="array" aca="1" ref="G144" ca="1">INDIRECT("'※ 재무_세부시트'!"&amp;G$1&amp;$AD144, TRUE)</f>
        <v>52.910289566020666</v>
      </c>
      <c r="H144" s="2887" cm="1">
        <f t="array" aca="1" ref="H144" ca="1">INDIRECT("'※ 재무_세부시트'!"&amp;H$1&amp;$AD144, TRUE)</f>
        <v>5.6157718896842805</v>
      </c>
      <c r="I144" s="2877" cm="1">
        <f t="array" aca="1" ref="I144" ca="1">INDIRECT("'※ 재무_세부시트'!"&amp;I$1&amp;$AD144, TRUE)</f>
        <v>3.6130865839499426</v>
      </c>
      <c r="J144" s="2877" cm="1">
        <f t="array" aca="1" ref="J144" ca="1">INDIRECT("'※ 재무_세부시트'!"&amp;J$1&amp;$AD144, TRUE)</f>
        <v>3.1918417487631343</v>
      </c>
      <c r="K144" s="2877" cm="1">
        <f t="array" aca="1" ref="K144" ca="1">INDIRECT("'※ 재무_세부시트'!"&amp;K$1&amp;$AD144, TRUE)</f>
        <v>3.5034729271950824</v>
      </c>
      <c r="L144" s="2877" cm="1">
        <f t="array" aca="1" ref="L144" ca="1">INDIRECT("'※ 재무_세부시트'!"&amp;L$1&amp;$AD144, TRUE)</f>
        <v>4.4017754143329171</v>
      </c>
      <c r="M144" s="2877" cm="1">
        <f t="array" aca="1" ref="M144" ca="1">INDIRECT("'※ 재무_세부시트'!"&amp;M$1&amp;$AD144, TRUE)</f>
        <v>4.4056245037125681</v>
      </c>
      <c r="N144" s="2877" cm="1">
        <f t="array" aca="1" ref="N144" ca="1">INDIRECT("'※ 재무_세부시트'!"&amp;N$1&amp;$AD144, TRUE)</f>
        <v>6.1351496024420165</v>
      </c>
      <c r="O144" s="2877" cm="1">
        <f t="array" aca="1" ref="O144" ca="1">INDIRECT("'※ 재무_세부시트'!"&amp;O$1&amp;$AD144, TRUE)</f>
        <v>5.4236860798306159</v>
      </c>
      <c r="P144" s="2877" cm="1">
        <f t="array" aca="1" ref="P144" ca="1">INDIRECT("'※ 재무_세부시트'!"&amp;P$1&amp;$AD144, TRUE)</f>
        <v>8.4867317978002745</v>
      </c>
      <c r="Q144" s="2877" cm="1">
        <f t="array" aca="1" ref="Q144" ca="1">INDIRECT("'※ 재무_세부시트'!"&amp;Q$1&amp;$AD144, TRUE)</f>
        <v>4.2549657089467283</v>
      </c>
      <c r="R144" s="2877" cm="1">
        <f t="array" aca="1" ref="R144" ca="1">INDIRECT("'※ 재무_세부시트'!"&amp;R$1&amp;$AD144, TRUE)</f>
        <v>4.8768182780879936</v>
      </c>
      <c r="S144" s="2877" cm="1">
        <f t="array" aca="1" ref="S144" ca="1">INDIRECT("'※ 재무_세부시트'!"&amp;S$1&amp;$AD144, TRUE)</f>
        <v>4.1420860754986473</v>
      </c>
      <c r="T144" s="2791"/>
      <c r="U144" s="2791"/>
      <c r="V144" s="2862"/>
      <c r="W144" s="2888" cm="1">
        <f t="array" aca="1" ref="W144" ca="1">INDIRECT("'※ 재무_세부시트'!"&amp;W$1&amp;$AD144, TRUE)</f>
        <v>-0.73473220258934635</v>
      </c>
      <c r="X144" s="2889" cm="1">
        <f t="array" aca="1" ref="X144" ca="1">INDIRECT("'※ 재무_세부시트'!"&amp;X$1&amp;$AD144, TRUE)</f>
        <v>0.68570825509118949</v>
      </c>
      <c r="Y144" s="2889" cm="1">
        <f t="array" aca="1" ref="Y144" ca="1">INDIRECT("'※ 재무_세부시트'!"&amp;Y$1&amp;$AD144, TRUE)</f>
        <v>0</v>
      </c>
      <c r="Z144" s="2890" cm="1">
        <f t="array" aca="1" ref="Z144" ca="1">INDIRECT("'※ 재무_세부시트'!"&amp;Z$1&amp;$AD144, TRUE)</f>
        <v>58.051010610244198</v>
      </c>
      <c r="AA144" s="2866"/>
      <c r="AB144" s="2794"/>
      <c r="AC144" s="2891" cm="1">
        <f t="array" aca="1" ref="AC144" ca="1">INDIRECT("'※ 재무_세부시트'!"&amp;AC$1&amp;$AD144, TRUE)</f>
        <v>5.1407210442235325</v>
      </c>
      <c r="AD144" s="2441">
        <v>143</v>
      </c>
      <c r="AE144" s="2974">
        <v>1.7091724322564301</v>
      </c>
      <c r="AF144" s="2974">
        <v>2.23722091</v>
      </c>
      <c r="AG144" s="2974">
        <v>2.1646587619991098</v>
      </c>
      <c r="AH144" s="2974">
        <v>1.72726321997717</v>
      </c>
      <c r="AI144" s="2974">
        <v>1.9982823700000001</v>
      </c>
      <c r="AJ144" s="2974">
        <v>2.1075433000000001</v>
      </c>
      <c r="AK144" s="2974">
        <v>2.3856351999999998</v>
      </c>
      <c r="AL144" s="2974">
        <v>2.05046751004787</v>
      </c>
      <c r="AM144" s="2974">
        <v>1.8769094212139401</v>
      </c>
      <c r="AN144" s="2974">
        <v>9.1343458327392995</v>
      </c>
      <c r="AO144" s="2974">
        <v>1.9080831099323499</v>
      </c>
      <c r="AP144" s="2974">
        <v>2.245058538575722</v>
      </c>
      <c r="AQ144" s="2505">
        <f t="shared" si="62"/>
        <v>31.544640606741893</v>
      </c>
      <c r="AR144" s="2488"/>
      <c r="AS144" s="2488"/>
      <c r="AT144" s="2488"/>
      <c r="AU144" s="2488"/>
      <c r="AV144" s="2488"/>
      <c r="AW144" s="2488"/>
      <c r="AX144" s="2488"/>
      <c r="AY144" s="2488"/>
      <c r="AZ144" s="2488"/>
      <c r="BA144" s="2488"/>
      <c r="BB144" s="2488"/>
      <c r="BC144" s="2488"/>
      <c r="BD144" s="2488"/>
      <c r="BE144" s="2488"/>
      <c r="BG144" s="2892" cm="1">
        <f t="array" aca="1" ref="BG144" ca="1">INDIRECT("'※ 재무_세부시트'!"&amp;BG$1&amp;$AD144, TRUE)</f>
        <v>1.7091724322564301</v>
      </c>
      <c r="BH144" s="2892" cm="1">
        <f t="array" aca="1" ref="BH144" ca="1">INDIRECT("'※ 재무_세부시트'!"&amp;BH$1&amp;$AD144, TRUE)</f>
        <v>31.544640606741893</v>
      </c>
      <c r="BI144" s="2892" cm="1">
        <f t="array" aca="1" ref="BI144" ca="1">INDIRECT("'※ 재무_세부시트'!"&amp;BI$1&amp;$AD144, TRUE)</f>
        <v>2.3856351999999998</v>
      </c>
      <c r="BJ144" s="2892" cm="1">
        <f t="array" aca="1" ref="BJ144" ca="1">INDIRECT("'※ 재무_세부시트'!"&amp;BJ$1&amp;$AD144, TRUE)</f>
        <v>2.5469725410096156</v>
      </c>
      <c r="BK144" s="2892" cm="1">
        <f t="array" aca="1" ref="BK144" ca="1">INDIRECT("'※ 재무_세부시트'!"&amp;BK$1&amp;$AD144, TRUE)</f>
        <v>1.8769094212139401</v>
      </c>
      <c r="BL144" s="2490"/>
      <c r="BM144" s="2490"/>
    </row>
    <row r="145" spans="1:65" ht="17.25" customHeight="1" x14ac:dyDescent="0.55000000000000004">
      <c r="A145" s="2855"/>
      <c r="B145" s="2493"/>
      <c r="C145" s="2904" t="s">
        <v>17</v>
      </c>
      <c r="D145" s="2905"/>
      <c r="E145" s="2905"/>
      <c r="F145" s="2907" cm="1">
        <f t="array" aca="1" ref="F145" ca="1">INDIRECT("'※ 재무_세부시트'!"&amp;F$1&amp;$AD145, TRUE)</f>
        <v>11.982974152891501</v>
      </c>
      <c r="G145" s="2907" cm="1">
        <f t="array" aca="1" ref="G145" ca="1">INDIRECT("'※ 재무_세부시트'!"&amp;G$1&amp;$AD145, TRUE)</f>
        <v>29.829428884476378</v>
      </c>
      <c r="H145" s="2908" cm="1">
        <f t="array" aca="1" ref="H145" ca="1">INDIRECT("'※ 재무_세부시트'!"&amp;H$1&amp;$AD145, TRUE)</f>
        <v>5.1919827007767143</v>
      </c>
      <c r="I145" s="2909" cm="1">
        <f t="array" aca="1" ref="I145" ca="1">INDIRECT("'※ 재무_세부시트'!"&amp;I$1&amp;$AD145, TRUE)</f>
        <v>-1.3236918023909765</v>
      </c>
      <c r="J145" s="2909" cm="1">
        <f t="array" aca="1" ref="J145" ca="1">INDIRECT("'※ 재무_세부시트'!"&amp;J$1&amp;$AD145, TRUE)</f>
        <v>1.5846611752871356</v>
      </c>
      <c r="K145" s="2909" cm="1">
        <f t="array" aca="1" ref="K145" ca="1">INDIRECT("'※ 재무_세부시트'!"&amp;K$1&amp;$AD145, TRUE)</f>
        <v>1.8888801238403676</v>
      </c>
      <c r="L145" s="2909" cm="1">
        <f t="array" aca="1" ref="L145" ca="1">INDIRECT("'※ 재무_세부시트'!"&amp;L$1&amp;$AD145, TRUE)</f>
        <v>0.22504437500412822</v>
      </c>
      <c r="M145" s="2909" cm="1">
        <f t="array" aca="1" ref="M145" ca="1">INDIRECT("'※ 재무_세부시트'!"&amp;M$1&amp;$AD145, TRUE)</f>
        <v>6.220161420406189</v>
      </c>
      <c r="N145" s="2909" cm="1">
        <f t="array" aca="1" ref="N145" ca="1">INDIRECT("'※ 재무_세부시트'!"&amp;N$1&amp;$AD145, TRUE)</f>
        <v>4.4982364027279189</v>
      </c>
      <c r="O145" s="2909" cm="1">
        <f t="array" aca="1" ref="O145" ca="1">INDIRECT("'※ 재무_세부시트'!"&amp;O$1&amp;$AD145, TRUE)</f>
        <v>4.8514697981797523</v>
      </c>
      <c r="P145" s="2909" cm="1">
        <f t="array" aca="1" ref="P145" ca="1">INDIRECT("'※ 재무_세부시트'!"&amp;P$1&amp;$AD145, TRUE)</f>
        <v>8.3841179802830119</v>
      </c>
      <c r="Q145" s="2909" cm="1">
        <f t="array" aca="1" ref="Q145" ca="1">INDIRECT("'※ 재무_세부시트'!"&amp;Q$1&amp;$AD145, TRUE)</f>
        <v>15.911146059727248</v>
      </c>
      <c r="R145" s="2909" cm="1">
        <f t="array" aca="1" ref="R145" ca="1">INDIRECT("'※ 재무_세부시트'!"&amp;R$1&amp;$AD145, TRUE)</f>
        <v>5.5496322559588549</v>
      </c>
      <c r="S145" s="2909" cm="1">
        <f t="array" aca="1" ref="S145" ca="1">INDIRECT("'※ 재무_세부시트'!"&amp;S$1&amp;$AD145, TRUE)</f>
        <v>14.545816018263951</v>
      </c>
      <c r="T145" s="2791"/>
      <c r="U145" s="2791"/>
      <c r="V145" s="2862"/>
      <c r="W145" s="2910" cm="1">
        <f t="array" aca="1" ref="W145" ca="1">INDIRECT("'※ 재무_세부시트'!"&amp;W$1&amp;$AD145, TRUE)</f>
        <v>8.9961837623050958</v>
      </c>
      <c r="X145" s="2911" cm="1">
        <f t="array" aca="1" ref="X145" ca="1">INDIRECT("'※ 재무_세부시트'!"&amp;X$1&amp;$AD145, TRUE)</f>
        <v>12.248374375337885</v>
      </c>
      <c r="Y145" s="2911" cm="1">
        <f t="array" aca="1" ref="Y145" ca="1">INDIRECT("'※ 재무_세부시트'!"&amp;Y$1&amp;$AD145, TRUE)</f>
        <v>0</v>
      </c>
      <c r="Z145" s="2912" cm="1">
        <f t="array" aca="1" ref="Z145" ca="1">INDIRECT("'※ 재무_세부시트'!"&amp;Z$1&amp;$AD145, TRUE)</f>
        <v>67.52745650806429</v>
      </c>
      <c r="AA145" s="2866"/>
      <c r="AB145" s="2794"/>
      <c r="AC145" s="2913" cm="1">
        <f t="array" aca="1" ref="AC145" ca="1">INDIRECT("'※ 재무_세부시트'!"&amp;AC$1&amp;$AD145, TRUE)</f>
        <v>37.698027623587912</v>
      </c>
      <c r="AD145" s="2441">
        <v>144</v>
      </c>
      <c r="AE145" s="2505">
        <f>AE134-AE139-AE146</f>
        <v>0.78469619264848978</v>
      </c>
      <c r="AF145" s="2505">
        <f t="shared" ref="AF145:AP145" si="65">AF134-AF139-AF146</f>
        <v>-1.2221504791790054</v>
      </c>
      <c r="AG145" s="2505">
        <f t="shared" si="65"/>
        <v>3.4039179675585376</v>
      </c>
      <c r="AH145" s="2505">
        <f t="shared" si="65"/>
        <v>0.27353711151211169</v>
      </c>
      <c r="AI145" s="2505">
        <f t="shared" si="65"/>
        <v>5.5556863281973401E-2</v>
      </c>
      <c r="AJ145" s="2505">
        <f t="shared" si="65"/>
        <v>2.6270555680646881</v>
      </c>
      <c r="AK145" s="2505">
        <f t="shared" si="65"/>
        <v>1.2862984462317604</v>
      </c>
      <c r="AL145" s="2505">
        <f t="shared" si="65"/>
        <v>5.7314307837990075E-2</v>
      </c>
      <c r="AM145" s="2505">
        <f t="shared" si="65"/>
        <v>3.9924241319515579</v>
      </c>
      <c r="AN145" s="2505">
        <f t="shared" si="65"/>
        <v>1.5131723841591156</v>
      </c>
      <c r="AO145" s="2505">
        <f t="shared" si="65"/>
        <v>0.89556682460469972</v>
      </c>
      <c r="AP145" s="2505">
        <f t="shared" si="65"/>
        <v>-1.6844151657804178</v>
      </c>
      <c r="AQ145" s="2505">
        <f t="shared" si="62"/>
        <v>11.982974152891501</v>
      </c>
      <c r="AR145" s="2488"/>
      <c r="AS145" s="2488"/>
      <c r="AT145" s="2488"/>
      <c r="AU145" s="2488"/>
      <c r="AV145" s="2488"/>
      <c r="AW145" s="2488"/>
      <c r="AX145" s="2488"/>
      <c r="AY145" s="2488"/>
      <c r="AZ145" s="2488"/>
      <c r="BA145" s="2488"/>
      <c r="BB145" s="2488"/>
      <c r="BC145" s="2488"/>
      <c r="BD145" s="2488"/>
      <c r="BE145" s="2488"/>
      <c r="BG145" s="2914" cm="1">
        <f t="array" aca="1" ref="BG145" ca="1">INDIRECT("'※ 재무_세부시트'!"&amp;BG$1&amp;$AD145, TRUE)</f>
        <v>0.78469619264848978</v>
      </c>
      <c r="BH145" s="2914" cm="1">
        <f t="array" aca="1" ref="BH145" ca="1">INDIRECT("'※ 재무_세부시트'!"&amp;BH$1&amp;$AD145, TRUE)</f>
        <v>11.982974152891501</v>
      </c>
      <c r="BI145" s="2914" cm="1">
        <f t="array" aca="1" ref="BI145" ca="1">INDIRECT("'※ 재무_세부시트'!"&amp;BI$1&amp;$AD145, TRUE)</f>
        <v>1.2862984462317604</v>
      </c>
      <c r="BJ145" s="2914" cm="1">
        <f t="array" aca="1" ref="BJ145" ca="1">INDIRECT("'※ 재무_세부시트'!"&amp;BJ$1&amp;$AD145, TRUE)</f>
        <v>1.8080794399743307</v>
      </c>
      <c r="BK145" s="2914" cm="1">
        <f t="array" aca="1" ref="BK145" ca="1">INDIRECT("'※ 재무_세부시트'!"&amp;BK$1&amp;$AD145, TRUE)</f>
        <v>3.9924241319515579</v>
      </c>
      <c r="BL145" s="2490"/>
      <c r="BM145" s="2490"/>
    </row>
    <row r="146" spans="1:65" ht="17.25" customHeight="1" thickBot="1" x14ac:dyDescent="0.6">
      <c r="A146" s="2855"/>
      <c r="B146" s="2493"/>
      <c r="C146" s="2493"/>
      <c r="D146" s="2493" t="s">
        <v>640</v>
      </c>
      <c r="E146" s="2493"/>
      <c r="F146" s="2494" cm="1">
        <f t="array" aca="1" ref="F146" ca="1">INDIRECT("'※ 재무_세부시트'!"&amp;F$1&amp;$AD146, TRUE)</f>
        <v>16.534688160472097</v>
      </c>
      <c r="G146" s="2917" cm="1">
        <f t="array" aca="1" ref="G146" ca="1">INDIRECT("'※ 재무_세부시트'!"&amp;G$1&amp;$AD146, TRUE)</f>
        <v>8.7890754859702156</v>
      </c>
      <c r="H146" s="2789" cm="1">
        <f t="array" aca="1" ref="H146" ca="1">INDIRECT("'※ 재무_세부시트'!"&amp;H$1&amp;$AD146, TRUE)</f>
        <v>-0.24653361284527842</v>
      </c>
      <c r="I146" s="2790" cm="1">
        <f t="array" aca="1" ref="I146" ca="1">INDIRECT("'※ 재무_세부시트'!"&amp;I$1&amp;$AD146, TRUE)</f>
        <v>2.377747883500001</v>
      </c>
      <c r="J146" s="2790" cm="1">
        <f t="array" aca="1" ref="J146" ca="1">INDIRECT("'※ 재무_세부시트'!"&amp;J$1&amp;$AD146, TRUE)</f>
        <v>0.58249538000000001</v>
      </c>
      <c r="K146" s="2790" cm="1">
        <f t="array" aca="1" ref="K146" ca="1">INDIRECT("'※ 재무_세부시트'!"&amp;K$1&amp;$AD146, TRUE)</f>
        <v>0.65783323599999999</v>
      </c>
      <c r="L146" s="2790" cm="1">
        <f t="array" aca="1" ref="L146" ca="1">INDIRECT("'※ 재무_세부시트'!"&amp;L$1&amp;$AD146, TRUE)</f>
        <v>1.8302072490000003</v>
      </c>
      <c r="M146" s="2790" cm="1">
        <f t="array" aca="1" ref="M146" ca="1">INDIRECT("'※ 재무_세부시트'!"&amp;M$1&amp;$AD146, TRUE)</f>
        <v>0.4211196975</v>
      </c>
      <c r="N146" s="2790" cm="1">
        <f t="array" aca="1" ref="N146" ca="1">INDIRECT("'※ 재무_세부시트'!"&amp;N$1&amp;$AD146, TRUE)</f>
        <v>0.90079103950000006</v>
      </c>
      <c r="O146" s="2790" cm="1">
        <f t="array" aca="1" ref="O146" ca="1">INDIRECT("'※ 재무_세부시트'!"&amp;O$1&amp;$AD146, TRUE)</f>
        <v>2.4399828100000009</v>
      </c>
      <c r="P146" s="2790" cm="1">
        <f t="array" aca="1" ref="P146" ca="1">INDIRECT("'※ 재무_세부시트'!"&amp;P$1&amp;$AD146, TRUE)</f>
        <v>0.46833058900000002</v>
      </c>
      <c r="Q146" s="2790" cm="1">
        <f t="array" aca="1" ref="Q146" ca="1">INDIRECT("'※ 재무_세부시트'!"&amp;Q$1&amp;$AD146, TRUE)</f>
        <v>1.3031565996546535</v>
      </c>
      <c r="R146" s="2790" cm="1">
        <f t="array" aca="1" ref="R146" ca="1">INDIRECT("'※ 재무_세부시트'!"&amp;R$1&amp;$AD146, TRUE)</f>
        <v>1.696777760000302</v>
      </c>
      <c r="S146" s="2790" cm="1">
        <f t="array" aca="1" ref="S146" ca="1">INDIRECT("'※ 재무_세부시트'!"&amp;S$1&amp;$AD146, TRUE)</f>
        <v>1.1845109687179565</v>
      </c>
      <c r="T146" s="2791"/>
      <c r="U146" s="2791"/>
      <c r="V146" s="2862"/>
      <c r="W146" s="2499" cm="1">
        <f t="array" aca="1" ref="W146" ca="1">INDIRECT("'※ 재무_세부시트'!"&amp;W$1&amp;$AD146, TRUE)</f>
        <v>-0.51226679128234553</v>
      </c>
      <c r="X146" s="2500" cm="1">
        <f t="array" aca="1" ref="X146" ca="1">INDIRECT("'※ 재무_세부시트'!"&amp;X$1&amp;$AD146, TRUE)</f>
        <v>0.96075589595108446</v>
      </c>
      <c r="Y146" s="2500" cm="1">
        <f t="array" aca="1" ref="Y146" ca="1">INDIRECT("'※ 재무_세부시트'!"&amp;Y$1&amp;$AD146, TRUE)</f>
        <v>0</v>
      </c>
      <c r="Z146" s="2501" cm="1">
        <f t="array" aca="1" ref="Z146" ca="1">INDIRECT("'※ 재무_세부시트'!"&amp;Z$1&amp;$AD146, TRUE)</f>
        <v>13.616419600027635</v>
      </c>
      <c r="AA146" s="2866"/>
      <c r="AB146" s="2794"/>
      <c r="AC146" s="2795" cm="1">
        <f t="array" aca="1" ref="AC146" ca="1">INDIRECT("'※ 재무_세부시트'!"&amp;AC$1&amp;$AD146, TRUE)</f>
        <v>4.8273441140574196</v>
      </c>
      <c r="AD146" s="2441">
        <v>145</v>
      </c>
      <c r="AE146" s="2976">
        <v>0.74739814678134986</v>
      </c>
      <c r="AF146" s="2976">
        <v>2.3533095348282544</v>
      </c>
      <c r="AG146" s="2976">
        <v>1.163927557303627</v>
      </c>
      <c r="AH146" s="2976">
        <v>0.83575755803377749</v>
      </c>
      <c r="AI146" s="2976">
        <v>1.2546584134686591</v>
      </c>
      <c r="AJ146" s="2976">
        <v>1.8550125777793938</v>
      </c>
      <c r="AK146" s="2976">
        <v>0.34761306717226942</v>
      </c>
      <c r="AL146" s="2976">
        <v>2.1920964607604474</v>
      </c>
      <c r="AM146" s="2976">
        <v>1.5542079202840859</v>
      </c>
      <c r="AN146" s="2976">
        <v>1.3805419353036723</v>
      </c>
      <c r="AO146" s="2976">
        <v>0.8996471874929739</v>
      </c>
      <c r="AP146" s="2976">
        <v>1.9505178012635898</v>
      </c>
      <c r="AQ146" s="2977">
        <f t="shared" si="62"/>
        <v>16.534688160472097</v>
      </c>
      <c r="AR146" s="2488"/>
      <c r="AS146" s="2488"/>
      <c r="AT146" s="2488"/>
      <c r="AU146" s="2488"/>
      <c r="AV146" s="2488"/>
      <c r="AW146" s="2488"/>
      <c r="AX146" s="2488"/>
      <c r="AY146" s="2488"/>
      <c r="AZ146" s="2488"/>
      <c r="BA146" s="2488"/>
      <c r="BB146" s="2488"/>
      <c r="BC146" s="2488"/>
      <c r="BD146" s="2488"/>
      <c r="BE146" s="2488"/>
      <c r="BG146" s="2918" cm="1">
        <f t="array" aca="1" ref="BG146" ca="1">INDIRECT("'※ 재무_세부시트'!"&amp;BG$1&amp;$AD146, TRUE)</f>
        <v>0.74739814678134986</v>
      </c>
      <c r="BH146" s="2918" cm="1">
        <f t="array" aca="1" ref="BH146" ca="1">INDIRECT("'※ 재무_세부시트'!"&amp;BH$1&amp;$AD146, TRUE)</f>
        <v>16.534688160472097</v>
      </c>
      <c r="BI146" s="2918" cm="1">
        <f t="array" aca="1" ref="BI146" ca="1">INDIRECT("'※ 재무_세부시트'!"&amp;BI$1&amp;$AD146, TRUE)</f>
        <v>0.34761306717226942</v>
      </c>
      <c r="BJ146" s="2918" cm="1">
        <f t="array" aca="1" ref="BJ146" ca="1">INDIRECT("'※ 재무_세부시트'!"&amp;BJ$1&amp;$AD146, TRUE)</f>
        <v>1.6599514463721594</v>
      </c>
      <c r="BK146" s="2918" cm="1">
        <f t="array" aca="1" ref="BK146" ca="1">INDIRECT("'※ 재무_세부시트'!"&amp;BK$1&amp;$AD146, TRUE)</f>
        <v>1.5542079202840859</v>
      </c>
      <c r="BL146" s="2490"/>
      <c r="BM146" s="2490"/>
    </row>
    <row r="147" spans="1:65" ht="17.25" customHeight="1" x14ac:dyDescent="0.55000000000000004">
      <c r="A147" s="2919"/>
      <c r="B147" s="2962" t="s">
        <v>1019</v>
      </c>
      <c r="C147" s="2963" t="s">
        <v>638</v>
      </c>
      <c r="D147" s="2964"/>
      <c r="E147" s="2964"/>
      <c r="F147" s="2978"/>
      <c r="G147" s="2978"/>
      <c r="H147" s="2966" cm="1">
        <f t="array" aca="1" ref="H147" ca="1">INDIRECT("'※ 재무_세부시트'!"&amp;H$1&amp;$AD147, TRUE)</f>
        <v>7.0987022099999999</v>
      </c>
      <c r="I147" s="2967" cm="1">
        <f t="array" aca="1" ref="I147" ca="1">INDIRECT("'※ 재무_세부시트'!"&amp;I$1&amp;$AD147, TRUE)</f>
        <v>13.071349269999999</v>
      </c>
      <c r="J147" s="2967" cm="1">
        <f t="array" aca="1" ref="J147" ca="1">INDIRECT("'※ 재무_세부시트'!"&amp;J$1&amp;$AD147, TRUE)</f>
        <v>12.81520192</v>
      </c>
      <c r="K147" s="2967" cm="1">
        <f t="array" aca="1" ref="K147" ca="1">INDIRECT("'※ 재무_세부시트'!"&amp;K$1&amp;$AD147, TRUE)</f>
        <v>11.667345110000001</v>
      </c>
      <c r="L147" s="2967" cm="1">
        <f t="array" aca="1" ref="L147" ca="1">INDIRECT("'※ 재무_세부시트'!"&amp;L$1&amp;$AD147, TRUE)</f>
        <v>13.317545079999999</v>
      </c>
      <c r="M147" s="2967" cm="1">
        <f t="array" aca="1" ref="M147" ca="1">INDIRECT("'※ 재무_세부시트'!"&amp;M$1&amp;$AD147, TRUE)</f>
        <v>14.4497476</v>
      </c>
      <c r="N147" s="2967" cm="1">
        <f t="array" aca="1" ref="N147" ca="1">INDIRECT("'※ 재무_세부시트'!"&amp;N$1&amp;$AD147, TRUE)</f>
        <v>20.791976239999997</v>
      </c>
      <c r="O147" s="2967" cm="1">
        <f t="array" aca="1" ref="O147" ca="1">INDIRECT("'※ 재무_세부시트'!"&amp;O$1&amp;$AD147, TRUE)</f>
        <v>15.24598319</v>
      </c>
      <c r="P147" s="2967" cm="1">
        <f t="array" aca="1" ref="P147" ca="1">INDIRECT("'※ 재무_세부시트'!"&amp;P$1&amp;$AD147, TRUE)</f>
        <v>20.852986529999999</v>
      </c>
      <c r="Q147" s="2967" cm="1">
        <f t="array" aca="1" ref="Q147" ca="1">INDIRECT("'※ 재무_세부시트'!"&amp;Q$1&amp;$AD147, TRUE)</f>
        <v>14.325817320000001</v>
      </c>
      <c r="R147" s="2967" cm="1">
        <f t="array" aca="1" ref="R147" ca="1">INDIRECT("'※ 재무_세부시트'!"&amp;R$1&amp;$AD147, TRUE)</f>
        <v>11.75729261</v>
      </c>
      <c r="S147" s="2967" cm="1">
        <f t="array" aca="1" ref="S147" ca="1">INDIRECT("'※ 재무_세부시트'!"&amp;S$1&amp;$AD147, TRUE)</f>
        <v>7.5182487599999988</v>
      </c>
      <c r="T147" s="2926"/>
      <c r="U147" s="2926"/>
      <c r="V147" s="2927"/>
      <c r="W147" s="2968" cm="1">
        <f t="array" aca="1" ref="W147" ca="1">INDIRECT("'※ 재무_세부시트'!"&amp;W$1&amp;$AD147, TRUE)</f>
        <v>-4.2390438500000016</v>
      </c>
      <c r="X147" s="2969" cm="1">
        <f t="array" aca="1" ref="X147" ca="1">INDIRECT("'※ 재무_세부시트'!"&amp;X$1&amp;$AD147, TRUE)</f>
        <v>7.5182487599999988</v>
      </c>
      <c r="Y147" s="2969" cm="1">
        <f t="array" aca="1" ref="Y147" ca="1">INDIRECT("'※ 재무_세부시트'!"&amp;Y$1&amp;$AD147, TRUE)</f>
        <v>0</v>
      </c>
      <c r="Z147" s="2970" cm="1">
        <f t="array" aca="1" ref="Z147" ca="1">INDIRECT("'※ 재무_세부시트'!"&amp;Z$1&amp;$AD147, TRUE)</f>
        <v>162.91219584000001</v>
      </c>
      <c r="AA147" s="2931"/>
      <c r="AB147" s="2932"/>
      <c r="AC147" s="2979" cm="1">
        <f t="array" aca="1" ref="AC147" ca="1">INDIRECT("'※ 재무_세부시트'!"&amp;AC$1&amp;$AD147, TRUE)</f>
        <v>162.91219584000001</v>
      </c>
      <c r="AD147" s="2441">
        <v>146</v>
      </c>
      <c r="AE147" s="2972">
        <f>AE148+AE149+AE150+AE151</f>
        <v>51.166853209999999</v>
      </c>
      <c r="AF147" s="2972">
        <f t="shared" ref="AF147:AP147" si="66">AF148+AF149+AF150+AF151</f>
        <v>76.878026149999997</v>
      </c>
      <c r="AG147" s="2972">
        <f t="shared" si="66"/>
        <v>59.158128119999994</v>
      </c>
      <c r="AH147" s="2972">
        <f t="shared" si="66"/>
        <v>41.978587140000002</v>
      </c>
      <c r="AI147" s="2972">
        <f t="shared" si="66"/>
        <v>56.237094429999992</v>
      </c>
      <c r="AJ147" s="2972">
        <f t="shared" si="66"/>
        <v>56.115080540000001</v>
      </c>
      <c r="AK147" s="2972">
        <f t="shared" si="66"/>
        <v>50.005751959999998</v>
      </c>
      <c r="AL147" s="2972">
        <f t="shared" si="66"/>
        <v>106.42738208</v>
      </c>
      <c r="AM147" s="2972">
        <f t="shared" si="66"/>
        <v>43.093059099999998</v>
      </c>
      <c r="AN147" s="2972">
        <f t="shared" si="66"/>
        <v>279.91024176999997</v>
      </c>
      <c r="AO147" s="2972">
        <f t="shared" si="66"/>
        <v>83.761107299999992</v>
      </c>
      <c r="AP147" s="2972">
        <f t="shared" si="66"/>
        <v>57.471112550000001</v>
      </c>
      <c r="AQ147" s="2972">
        <f t="shared" ref="AQ147:AQ159" si="67">SUM(AE147:AP147)</f>
        <v>962.20242435</v>
      </c>
      <c r="AR147" s="2488"/>
      <c r="AS147" s="2488"/>
      <c r="AT147" s="2488"/>
      <c r="AU147" s="2488"/>
      <c r="AV147" s="2488"/>
      <c r="AW147" s="2488"/>
      <c r="AX147" s="2488"/>
      <c r="AY147" s="2488"/>
      <c r="AZ147" s="2488"/>
      <c r="BA147" s="2488"/>
      <c r="BB147" s="2488"/>
      <c r="BC147" s="2488"/>
      <c r="BD147" s="2488"/>
      <c r="BE147" s="2488"/>
      <c r="BG147" s="2868" cm="1">
        <f t="array" aca="1" ref="BG147" ca="1">INDIRECT("'※ 재무_세부시트'!"&amp;BG$1&amp;$AD147, TRUE)</f>
        <v>0</v>
      </c>
      <c r="BH147" s="2868" cm="1">
        <f t="array" aca="1" ref="BH147" ca="1">INDIRECT("'※ 재무_세부시트'!"&amp;BH$1&amp;$AD147, TRUE)</f>
        <v>0</v>
      </c>
      <c r="BI147" s="2868" cm="1">
        <f t="array" aca="1" ref="BI147" ca="1">INDIRECT("'※ 재무_세부시트'!"&amp;BI$1&amp;$AD147, TRUE)</f>
        <v>0</v>
      </c>
      <c r="BJ147" s="2868" cm="1">
        <f t="array" aca="1" ref="BJ147" ca="1">INDIRECT("'※ 재무_세부시트'!"&amp;BJ$1&amp;$AD147, TRUE)</f>
        <v>0</v>
      </c>
      <c r="BK147" s="2868" cm="1">
        <f t="array" aca="1" ref="BK147" ca="1">INDIRECT("'※ 재무_세부시트'!"&amp;BK$1&amp;$AD147, TRUE)</f>
        <v>0</v>
      </c>
      <c r="BL147" s="2490"/>
      <c r="BM147" s="2490"/>
    </row>
    <row r="148" spans="1:65" ht="14.8" customHeight="1" x14ac:dyDescent="0.55000000000000004">
      <c r="A148" s="2855"/>
      <c r="B148" s="2493"/>
      <c r="C148" s="2857"/>
      <c r="D148" s="2857" t="s">
        <v>10</v>
      </c>
      <c r="E148" s="2857"/>
      <c r="F148" s="2980"/>
      <c r="G148" s="2980"/>
      <c r="H148" s="2860" cm="1">
        <f t="array" aca="1" ref="H148" ca="1">INDIRECT("'※ 재무_세부시트'!"&amp;H$1&amp;$AD148, TRUE)</f>
        <v>0.51711545999999997</v>
      </c>
      <c r="I148" s="2861" cm="1">
        <f t="array" aca="1" ref="I148" ca="1">INDIRECT("'※ 재무_세부시트'!"&amp;I$1&amp;$AD148, TRUE)</f>
        <v>2.7941499900000002</v>
      </c>
      <c r="J148" s="2861" cm="1">
        <f t="array" aca="1" ref="J148" ca="1">INDIRECT("'※ 재무_세부시트'!"&amp;J$1&amp;$AD148, TRUE)</f>
        <v>0.57386090999999995</v>
      </c>
      <c r="K148" s="2861" cm="1">
        <f t="array" aca="1" ref="K148" ca="1">INDIRECT("'※ 재무_세부시트'!"&amp;K$1&amp;$AD148, TRUE)</f>
        <v>0.62865998999999995</v>
      </c>
      <c r="L148" s="2861" cm="1">
        <f t="array" aca="1" ref="L148" ca="1">INDIRECT("'※ 재무_세부시트'!"&amp;L$1&amp;$AD148, TRUE)</f>
        <v>0.95185273000000004</v>
      </c>
      <c r="M148" s="2861" cm="1">
        <f t="array" aca="1" ref="M148" ca="1">INDIRECT("'※ 재무_세부시트'!"&amp;M$1&amp;$AD148, TRUE)</f>
        <v>0.45255363999999998</v>
      </c>
      <c r="N148" s="2861" cm="1">
        <f t="array" aca="1" ref="N148" ca="1">INDIRECT("'※ 재무_세부시트'!"&amp;N$1&amp;$AD148, TRUE)</f>
        <v>2.1738272799999998</v>
      </c>
      <c r="O148" s="2861" cm="1">
        <f t="array" aca="1" ref="O148" ca="1">INDIRECT("'※ 재무_세부시트'!"&amp;O$1&amp;$AD148, TRUE)</f>
        <v>0.58194564000000004</v>
      </c>
      <c r="P148" s="2861" cm="1">
        <f t="array" aca="1" ref="P148" ca="1">INDIRECT("'※ 재무_세부시트'!"&amp;P$1&amp;$AD148, TRUE)</f>
        <v>1.79600274</v>
      </c>
      <c r="Q148" s="2861" cm="1">
        <f t="array" aca="1" ref="Q148" ca="1">INDIRECT("'※ 재무_세부시트'!"&amp;Q$1&amp;$AD148, TRUE)</f>
        <v>1.37095364</v>
      </c>
      <c r="R148" s="2861" cm="1">
        <f t="array" aca="1" ref="R148" ca="1">INDIRECT("'※ 재무_세부시트'!"&amp;R$1&amp;$AD148, TRUE)</f>
        <v>0.58993726000000002</v>
      </c>
      <c r="S148" s="2861" cm="1">
        <f t="array" aca="1" ref="S148" ca="1">INDIRECT("'※ 재무_세부시트'!"&amp;S$1&amp;$AD148, TRUE)</f>
        <v>0.41408726000000001</v>
      </c>
      <c r="T148" s="2791"/>
      <c r="U148" s="2791"/>
      <c r="V148" s="2862"/>
      <c r="W148" s="2863" cm="1">
        <f t="array" aca="1" ref="W148" ca="1">INDIRECT("'※ 재무_세부시트'!"&amp;W$1&amp;$AD148, TRUE)</f>
        <v>-0.17585000000000001</v>
      </c>
      <c r="X148" s="2864" cm="1">
        <f t="array" aca="1" ref="X148" ca="1">INDIRECT("'※ 재무_세부시트'!"&amp;X$1&amp;$AD148, TRUE)</f>
        <v>0.41408726000000001</v>
      </c>
      <c r="Y148" s="2864" cm="1">
        <f t="array" aca="1" ref="Y148" ca="1">INDIRECT("'※ 재무_세부시트'!"&amp;Y$1&amp;$AD148, TRUE)</f>
        <v>0</v>
      </c>
      <c r="Z148" s="2865" cm="1">
        <f t="array" aca="1" ref="Z148" ca="1">INDIRECT("'※ 재무_세부시트'!"&amp;Z$1&amp;$AD148, TRUE)</f>
        <v>12.84494654</v>
      </c>
      <c r="AA148" s="2866"/>
      <c r="AB148" s="2794"/>
      <c r="AC148" s="2867" cm="1">
        <f t="array" aca="1" ref="AC148" ca="1">INDIRECT("'※ 재무_세부시트'!"&amp;AC$1&amp;$AD148, TRUE)</f>
        <v>12.84494654</v>
      </c>
      <c r="AD148" s="2441">
        <v>147</v>
      </c>
      <c r="AE148" s="2974">
        <v>35.208300289999997</v>
      </c>
      <c r="AF148" s="2974">
        <v>54.624340959999998</v>
      </c>
      <c r="AG148" s="2974">
        <v>36.55788664</v>
      </c>
      <c r="AH148" s="2974">
        <v>27.19717399</v>
      </c>
      <c r="AI148" s="2974">
        <v>38.848556049999999</v>
      </c>
      <c r="AJ148" s="2974">
        <v>32.830734550000003</v>
      </c>
      <c r="AK148" s="2974">
        <v>32.209519419999999</v>
      </c>
      <c r="AL148" s="2974">
        <v>76.26501863</v>
      </c>
      <c r="AM148" s="2974">
        <v>26.62974981</v>
      </c>
      <c r="AN148" s="2974">
        <v>252.38444805</v>
      </c>
      <c r="AO148" s="2974">
        <v>65.409374990000003</v>
      </c>
      <c r="AP148" s="2974">
        <v>39.972029810000002</v>
      </c>
      <c r="AQ148" s="2505">
        <f t="shared" si="67"/>
        <v>718.1371331900001</v>
      </c>
      <c r="AR148" s="2488"/>
      <c r="AS148" s="2488"/>
      <c r="AT148" s="2488"/>
      <c r="AU148" s="2488"/>
      <c r="AV148" s="2488"/>
      <c r="AW148" s="2488"/>
      <c r="AX148" s="2488"/>
      <c r="AY148" s="2488"/>
      <c r="AZ148" s="2488"/>
      <c r="BA148" s="2488"/>
      <c r="BB148" s="2488"/>
      <c r="BC148" s="2488"/>
      <c r="BD148" s="2488"/>
      <c r="BE148" s="2488"/>
      <c r="BG148" s="2868" cm="1">
        <f t="array" aca="1" ref="BG148" ca="1">INDIRECT("'※ 재무_세부시트'!"&amp;BG$1&amp;$AD148, TRUE)</f>
        <v>0</v>
      </c>
      <c r="BH148" s="2868" cm="1">
        <f t="array" aca="1" ref="BH148" ca="1">INDIRECT("'※ 재무_세부시트'!"&amp;BH$1&amp;$AD148, TRUE)</f>
        <v>0</v>
      </c>
      <c r="BI148" s="2868" cm="1">
        <f t="array" aca="1" ref="BI148" ca="1">INDIRECT("'※ 재무_세부시트'!"&amp;BI$1&amp;$AD148, TRUE)</f>
        <v>0</v>
      </c>
      <c r="BJ148" s="2868" cm="1">
        <f t="array" aca="1" ref="BJ148" ca="1">INDIRECT("'※ 재무_세부시트'!"&amp;BJ$1&amp;$AD148, TRUE)</f>
        <v>0</v>
      </c>
      <c r="BK148" s="2868" cm="1">
        <f t="array" aca="1" ref="BK148" ca="1">INDIRECT("'※ 재무_세부시트'!"&amp;BK$1&amp;$AD148, TRUE)</f>
        <v>0</v>
      </c>
      <c r="BL148" s="2490"/>
      <c r="BM148" s="2490"/>
    </row>
    <row r="149" spans="1:65" ht="14.8" customHeight="1" x14ac:dyDescent="0.55000000000000004">
      <c r="A149" s="2855"/>
      <c r="B149" s="2493"/>
      <c r="C149" s="2857"/>
      <c r="D149" s="2857" t="s">
        <v>6</v>
      </c>
      <c r="E149" s="2857"/>
      <c r="F149" s="2980"/>
      <c r="G149" s="2980"/>
      <c r="H149" s="2860" cm="1">
        <f t="array" aca="1" ref="H149" ca="1">INDIRECT("'※ 재무_세부시트'!"&amp;H$1&amp;$AD149, TRUE)</f>
        <v>5.3569555199999996</v>
      </c>
      <c r="I149" s="2861" cm="1">
        <f t="array" aca="1" ref="I149" ca="1">INDIRECT("'※ 재무_세부시트'!"&amp;I$1&amp;$AD149, TRUE)</f>
        <v>8.7198194000000004</v>
      </c>
      <c r="J149" s="2861" cm="1">
        <f t="array" aca="1" ref="J149" ca="1">INDIRECT("'※ 재무_세부시트'!"&amp;J$1&amp;$AD149, TRUE)</f>
        <v>10.45315091</v>
      </c>
      <c r="K149" s="2861" cm="1">
        <f t="array" aca="1" ref="K149" ca="1">INDIRECT("'※ 재무_세부시트'!"&amp;K$1&amp;$AD149, TRUE)</f>
        <v>9.2148367800000006</v>
      </c>
      <c r="L149" s="2861" cm="1">
        <f t="array" aca="1" ref="L149" ca="1">INDIRECT("'※ 재무_세부시트'!"&amp;L$1&amp;$AD149, TRUE)</f>
        <v>10.56159312</v>
      </c>
      <c r="M149" s="2861" cm="1">
        <f t="array" aca="1" ref="M149" ca="1">INDIRECT("'※ 재무_세부시트'!"&amp;M$1&amp;$AD149, TRUE)</f>
        <v>11.67948518</v>
      </c>
      <c r="N149" s="2861" cm="1">
        <f t="array" aca="1" ref="N149" ca="1">INDIRECT("'※ 재무_세부시트'!"&amp;N$1&amp;$AD149, TRUE)</f>
        <v>16.442858739999998</v>
      </c>
      <c r="O149" s="2861" cm="1">
        <f t="array" aca="1" ref="O149" ca="1">INDIRECT("'※ 재무_세부시트'!"&amp;O$1&amp;$AD149, TRUE)</f>
        <v>12.7050526</v>
      </c>
      <c r="P149" s="2861" cm="1">
        <f t="array" aca="1" ref="P149" ca="1">INDIRECT("'※ 재무_세부시트'!"&amp;P$1&amp;$AD149, TRUE)</f>
        <v>16.5944778</v>
      </c>
      <c r="Q149" s="2861" cm="1">
        <f t="array" aca="1" ref="Q149" ca="1">INDIRECT("'※ 재무_세부시트'!"&amp;Q$1&amp;$AD149, TRUE)</f>
        <v>10.805914250000001</v>
      </c>
      <c r="R149" s="2861" cm="1">
        <f t="array" aca="1" ref="R149" ca="1">INDIRECT("'※ 재무_세부시트'!"&amp;R$1&amp;$AD149, TRUE)</f>
        <v>9.0418626799999995</v>
      </c>
      <c r="S149" s="2861" cm="1">
        <f t="array" aca="1" ref="S149" ca="1">INDIRECT("'※ 재무_세부시트'!"&amp;S$1&amp;$AD149, TRUE)</f>
        <v>5.2542440199999998</v>
      </c>
      <c r="T149" s="2791"/>
      <c r="U149" s="2791"/>
      <c r="V149" s="2862"/>
      <c r="W149" s="2863" cm="1">
        <f t="array" aca="1" ref="W149" ca="1">INDIRECT("'※ 재무_세부시트'!"&amp;W$1&amp;$AD149, TRUE)</f>
        <v>-3.7876186599999997</v>
      </c>
      <c r="X149" s="2864" cm="1">
        <f t="array" aca="1" ref="X149" ca="1">INDIRECT("'※ 재무_세부시트'!"&amp;X$1&amp;$AD149, TRUE)</f>
        <v>5.2542440199999998</v>
      </c>
      <c r="Y149" s="2864" cm="1">
        <f t="array" aca="1" ref="Y149" ca="1">INDIRECT("'※ 재무_세부시트'!"&amp;Y$1&amp;$AD149, TRUE)</f>
        <v>0</v>
      </c>
      <c r="Z149" s="2865" cm="1">
        <f t="array" aca="1" ref="Z149" ca="1">INDIRECT("'※ 재무_세부시트'!"&amp;Z$1&amp;$AD149, TRUE)</f>
        <v>126.830251</v>
      </c>
      <c r="AA149" s="2866"/>
      <c r="AB149" s="2794"/>
      <c r="AC149" s="2867" cm="1">
        <f t="array" aca="1" ref="AC149" ca="1">INDIRECT("'※ 재무_세부시트'!"&amp;AC$1&amp;$AD149, TRUE)</f>
        <v>126.830251</v>
      </c>
      <c r="AD149" s="2441">
        <v>148</v>
      </c>
      <c r="AE149" s="2974">
        <v>2.2492078100000001</v>
      </c>
      <c r="AF149" s="2974">
        <v>15.326399090000001</v>
      </c>
      <c r="AG149" s="2974">
        <v>9.97892285</v>
      </c>
      <c r="AH149" s="2974">
        <v>8.0602548600000006</v>
      </c>
      <c r="AI149" s="2974">
        <v>10.574178959999999</v>
      </c>
      <c r="AJ149" s="2974">
        <v>11.279598180000001</v>
      </c>
      <c r="AK149" s="2974">
        <v>9.4175660299999997</v>
      </c>
      <c r="AL149" s="2974">
        <v>22.97286021</v>
      </c>
      <c r="AM149" s="2974">
        <v>2.5173947499999998</v>
      </c>
      <c r="AN149" s="2974">
        <v>20.538734359999999</v>
      </c>
      <c r="AO149" s="2974">
        <v>10.85683671</v>
      </c>
      <c r="AP149" s="2974">
        <v>10.036640970000001</v>
      </c>
      <c r="AQ149" s="2505">
        <f t="shared" si="67"/>
        <v>133.80859477999999</v>
      </c>
      <c r="AR149" s="2488"/>
      <c r="AS149" s="2488"/>
      <c r="AT149" s="2488"/>
      <c r="AU149" s="2488"/>
      <c r="AV149" s="2488"/>
      <c r="AW149" s="2488"/>
      <c r="AX149" s="2488"/>
      <c r="AY149" s="2488"/>
      <c r="AZ149" s="2488"/>
      <c r="BA149" s="2488"/>
      <c r="BB149" s="2488"/>
      <c r="BC149" s="2488"/>
      <c r="BD149" s="2488"/>
      <c r="BE149" s="2488"/>
      <c r="BG149" s="2868" cm="1">
        <f t="array" aca="1" ref="BG149" ca="1">INDIRECT("'※ 재무_세부시트'!"&amp;BG$1&amp;$AD149, TRUE)</f>
        <v>0</v>
      </c>
      <c r="BH149" s="2868" cm="1">
        <f t="array" aca="1" ref="BH149" ca="1">INDIRECT("'※ 재무_세부시트'!"&amp;BH$1&amp;$AD149, TRUE)</f>
        <v>0</v>
      </c>
      <c r="BI149" s="2868" cm="1">
        <f t="array" aca="1" ref="BI149" ca="1">INDIRECT("'※ 재무_세부시트'!"&amp;BI$1&amp;$AD149, TRUE)</f>
        <v>0</v>
      </c>
      <c r="BJ149" s="2868" cm="1">
        <f t="array" aca="1" ref="BJ149" ca="1">INDIRECT("'※ 재무_세부시트'!"&amp;BJ$1&amp;$AD149, TRUE)</f>
        <v>0</v>
      </c>
      <c r="BK149" s="2868" cm="1">
        <f t="array" aca="1" ref="BK149" ca="1">INDIRECT("'※ 재무_세부시트'!"&amp;BK$1&amp;$AD149, TRUE)</f>
        <v>0</v>
      </c>
      <c r="BL149" s="2490"/>
      <c r="BM149" s="2490"/>
    </row>
    <row r="150" spans="1:65" ht="14.8" customHeight="1" x14ac:dyDescent="0.55000000000000004">
      <c r="A150" s="2855"/>
      <c r="B150" s="2493"/>
      <c r="C150" s="2857"/>
      <c r="D150" s="2857" t="s">
        <v>0</v>
      </c>
      <c r="E150" s="2857"/>
      <c r="F150" s="2980"/>
      <c r="G150" s="2980"/>
      <c r="H150" s="2860" cm="1">
        <f t="array" aca="1" ref="H150" ca="1">INDIRECT("'※ 재무_세부시트'!"&amp;H$1&amp;$AD150, TRUE)</f>
        <v>1.2109912300000001</v>
      </c>
      <c r="I150" s="2861" cm="1">
        <f t="array" aca="1" ref="I150" ca="1">INDIRECT("'※ 재무_세부시트'!"&amp;I$1&amp;$AD150, TRUE)</f>
        <v>1.3641719800000001</v>
      </c>
      <c r="J150" s="2861" cm="1">
        <f t="array" aca="1" ref="J150" ca="1">INDIRECT("'※ 재무_세부시트'!"&amp;J$1&amp;$AD150, TRUE)</f>
        <v>1.272375</v>
      </c>
      <c r="K150" s="2861" cm="1">
        <f t="array" aca="1" ref="K150" ca="1">INDIRECT("'※ 재무_세부시트'!"&amp;K$1&amp;$AD150, TRUE)</f>
        <v>1.2368362399999999</v>
      </c>
      <c r="L150" s="2861" cm="1">
        <f t="array" aca="1" ref="L150" ca="1">INDIRECT("'※ 재무_세부시트'!"&amp;L$1&amp;$AD150, TRUE)</f>
        <v>1.21934623</v>
      </c>
      <c r="M150" s="2861" cm="1">
        <f t="array" aca="1" ref="M150" ca="1">INDIRECT("'※ 재무_세부시트'!"&amp;M$1&amp;$AD150, TRUE)</f>
        <v>1.20893378</v>
      </c>
      <c r="N150" s="2861" cm="1">
        <f t="array" aca="1" ref="N150" ca="1">INDIRECT("'※ 재무_세부시트'!"&amp;N$1&amp;$AD150, TRUE)</f>
        <v>1.20399572</v>
      </c>
      <c r="O150" s="2861" cm="1">
        <f t="array" aca="1" ref="O150" ca="1">INDIRECT("'※ 재무_세부시트'!"&amp;O$1&amp;$AD150, TRUE)</f>
        <v>1.1871303499999999</v>
      </c>
      <c r="P150" s="2861" cm="1">
        <f t="array" aca="1" ref="P150" ca="1">INDIRECT("'※ 재무_세부시트'!"&amp;P$1&amp;$AD150, TRUE)</f>
        <v>1.19753519</v>
      </c>
      <c r="Q150" s="2861" cm="1">
        <f t="array" aca="1" ref="Q150" ca="1">INDIRECT("'※ 재무_세부시트'!"&amp;Q$1&amp;$AD150, TRUE)</f>
        <v>1.19710483</v>
      </c>
      <c r="R150" s="2861" cm="1">
        <f t="array" aca="1" ref="R150" ca="1">INDIRECT("'※ 재무_세부시트'!"&amp;R$1&amp;$AD150, TRUE)</f>
        <v>1.1588697699999999</v>
      </c>
      <c r="S150" s="2861" cm="1">
        <f t="array" aca="1" ref="S150" ca="1">INDIRECT("'※ 재무_세부시트'!"&amp;S$1&amp;$AD150, TRUE)</f>
        <v>1.16898988</v>
      </c>
      <c r="T150" s="2791"/>
      <c r="U150" s="2791"/>
      <c r="V150" s="2862"/>
      <c r="W150" s="2863" cm="1">
        <f t="array" aca="1" ref="W150" ca="1">INDIRECT("'※ 재무_세부시트'!"&amp;W$1&amp;$AD150, TRUE)</f>
        <v>1.0120110000000127E-2</v>
      </c>
      <c r="X150" s="2864" cm="1">
        <f t="array" aca="1" ref="X150" ca="1">INDIRECT("'※ 재무_세부시트'!"&amp;X$1&amp;$AD150, TRUE)</f>
        <v>1.16898988</v>
      </c>
      <c r="Y150" s="2864" cm="1">
        <f t="array" aca="1" ref="Y150" ca="1">INDIRECT("'※ 재무_세부시트'!"&amp;Y$1&amp;$AD150, TRUE)</f>
        <v>0</v>
      </c>
      <c r="Z150" s="2865" cm="1">
        <f t="array" aca="1" ref="Z150" ca="1">INDIRECT("'※ 재무_세부시트'!"&amp;Z$1&amp;$AD150, TRUE)</f>
        <v>14.626280200000002</v>
      </c>
      <c r="AA150" s="2866"/>
      <c r="AB150" s="2794"/>
      <c r="AC150" s="2867" cm="1">
        <f t="array" aca="1" ref="AC150" ca="1">INDIRECT("'※ 재무_세부시트'!"&amp;AC$1&amp;$AD150, TRUE)</f>
        <v>14.626280200000002</v>
      </c>
      <c r="AD150" s="2441">
        <v>149</v>
      </c>
      <c r="AE150" s="2974">
        <v>5.7071177100000003</v>
      </c>
      <c r="AF150" s="2974">
        <v>5.7489088400000004</v>
      </c>
      <c r="AG150" s="2974">
        <v>5.8226918300000001</v>
      </c>
      <c r="AH150" s="2974">
        <v>5.7612517900000002</v>
      </c>
      <c r="AI150" s="2974">
        <v>5.7821658400000002</v>
      </c>
      <c r="AJ150" s="2974">
        <v>5.5630937300000003</v>
      </c>
      <c r="AK150" s="2974">
        <v>5.88801738</v>
      </c>
      <c r="AL150" s="2974">
        <v>5.9146264300000011</v>
      </c>
      <c r="AM150" s="2974">
        <v>5.8894420300000005</v>
      </c>
      <c r="AN150" s="2974">
        <v>5.9852158600000003</v>
      </c>
      <c r="AO150" s="2974">
        <v>5.9909112700000007</v>
      </c>
      <c r="AP150" s="2974">
        <v>6.0235367699999998</v>
      </c>
      <c r="AQ150" s="2505">
        <f t="shared" si="67"/>
        <v>70.076979480000006</v>
      </c>
      <c r="AR150" s="2488"/>
      <c r="AS150" s="2488"/>
      <c r="AT150" s="2488"/>
      <c r="AU150" s="2488"/>
      <c r="AV150" s="2488"/>
      <c r="AW150" s="2488"/>
      <c r="AX150" s="2488"/>
      <c r="AY150" s="2488"/>
      <c r="AZ150" s="2488"/>
      <c r="BA150" s="2488"/>
      <c r="BB150" s="2488"/>
      <c r="BC150" s="2488"/>
      <c r="BD150" s="2488"/>
      <c r="BE150" s="2488"/>
      <c r="BG150" s="2868" cm="1">
        <f t="array" aca="1" ref="BG150" ca="1">INDIRECT("'※ 재무_세부시트'!"&amp;BG$1&amp;$AD150, TRUE)</f>
        <v>0</v>
      </c>
      <c r="BH150" s="2868" cm="1">
        <f t="array" aca="1" ref="BH150" ca="1">INDIRECT("'※ 재무_세부시트'!"&amp;BH$1&amp;$AD150, TRUE)</f>
        <v>0</v>
      </c>
      <c r="BI150" s="2868" cm="1">
        <f t="array" aca="1" ref="BI150" ca="1">INDIRECT("'※ 재무_세부시트'!"&amp;BI$1&amp;$AD150, TRUE)</f>
        <v>0</v>
      </c>
      <c r="BJ150" s="2868" cm="1">
        <f t="array" aca="1" ref="BJ150" ca="1">INDIRECT("'※ 재무_세부시트'!"&amp;BJ$1&amp;$AD150, TRUE)</f>
        <v>0</v>
      </c>
      <c r="BK150" s="2868" cm="1">
        <f t="array" aca="1" ref="BK150" ca="1">INDIRECT("'※ 재무_세부시트'!"&amp;BK$1&amp;$AD150, TRUE)</f>
        <v>0</v>
      </c>
      <c r="BL150" s="2490"/>
      <c r="BM150" s="2490"/>
    </row>
    <row r="151" spans="1:65" ht="14.8" customHeight="1" x14ac:dyDescent="0.55000000000000004">
      <c r="A151" s="2855"/>
      <c r="B151" s="2493"/>
      <c r="C151" s="2857"/>
      <c r="D151" s="2857" t="s">
        <v>7</v>
      </c>
      <c r="E151" s="2857"/>
      <c r="F151" s="2980"/>
      <c r="G151" s="2980"/>
      <c r="H151" s="2860" cm="1">
        <f t="array" aca="1" ref="H151" ca="1">INDIRECT("'※ 재무_세부시트'!"&amp;H$1&amp;$AD151, TRUE)</f>
        <v>1.3639999999999999E-2</v>
      </c>
      <c r="I151" s="2861" cm="1">
        <f t="array" aca="1" ref="I151" ca="1">INDIRECT("'※ 재무_세부시트'!"&amp;I$1&amp;$AD151, TRUE)</f>
        <v>0.19320789999999999</v>
      </c>
      <c r="J151" s="2861" cm="1">
        <f t="array" aca="1" ref="J151" ca="1">INDIRECT("'※ 재무_세부시트'!"&amp;J$1&amp;$AD151, TRUE)</f>
        <v>0.51581509999999997</v>
      </c>
      <c r="K151" s="2861" cm="1">
        <f t="array" aca="1" ref="K151" ca="1">INDIRECT("'※ 재무_세부시트'!"&amp;K$1&amp;$AD151, TRUE)</f>
        <v>0.58701210000000004</v>
      </c>
      <c r="L151" s="2861" cm="1">
        <f t="array" aca="1" ref="L151" ca="1">INDIRECT("'※ 재무_세부시트'!"&amp;L$1&amp;$AD151, TRUE)</f>
        <v>0.58475299999999997</v>
      </c>
      <c r="M151" s="2861" cm="1">
        <f t="array" aca="1" ref="M151" ca="1">INDIRECT("'※ 재무_세부시트'!"&amp;M$1&amp;$AD151, TRUE)</f>
        <v>1.1087750000000001</v>
      </c>
      <c r="N151" s="2861" cm="1">
        <f t="array" aca="1" ref="N151" ca="1">INDIRECT("'※ 재무_세부시트'!"&amp;N$1&amp;$AD151, TRUE)</f>
        <v>0.97129449999999995</v>
      </c>
      <c r="O151" s="2861" cm="1">
        <f t="array" aca="1" ref="O151" ca="1">INDIRECT("'※ 재무_세부시트'!"&amp;O$1&amp;$AD151, TRUE)</f>
        <v>0.77185459999999995</v>
      </c>
      <c r="P151" s="2861" cm="1">
        <f t="array" aca="1" ref="P151" ca="1">INDIRECT("'※ 재무_세부시트'!"&amp;P$1&amp;$AD151, TRUE)</f>
        <v>1.2649708</v>
      </c>
      <c r="Q151" s="2861" cm="1">
        <f t="array" aca="1" ref="Q151" ca="1">INDIRECT("'※ 재무_세부시트'!"&amp;Q$1&amp;$AD151, TRUE)</f>
        <v>0.95184460000000004</v>
      </c>
      <c r="R151" s="2861" cm="1">
        <f t="array" aca="1" ref="R151" ca="1">INDIRECT("'※ 재무_세부시트'!"&amp;R$1&amp;$AD151, TRUE)</f>
        <v>0.96662289999999995</v>
      </c>
      <c r="S151" s="2861" cm="1">
        <f t="array" aca="1" ref="S151" ca="1">INDIRECT("'※ 재무_세부시트'!"&amp;S$1&amp;$AD151, TRUE)</f>
        <v>0.68092759999999997</v>
      </c>
      <c r="T151" s="2791"/>
      <c r="U151" s="2791"/>
      <c r="V151" s="2862"/>
      <c r="W151" s="2863" cm="1">
        <f t="array" aca="1" ref="W151" ca="1">INDIRECT("'※ 재무_세부시트'!"&amp;W$1&amp;$AD151, TRUE)</f>
        <v>-0.28569529999999999</v>
      </c>
      <c r="X151" s="2864" cm="1">
        <f t="array" aca="1" ref="X151" ca="1">INDIRECT("'※ 재무_세부시트'!"&amp;X$1&amp;$AD151, TRUE)</f>
        <v>0.68092759999999997</v>
      </c>
      <c r="Y151" s="2864" cm="1">
        <f t="array" aca="1" ref="Y151" ca="1">INDIRECT("'※ 재무_세부시트'!"&amp;Y$1&amp;$AD151, TRUE)</f>
        <v>0</v>
      </c>
      <c r="Z151" s="2865" cm="1">
        <f t="array" aca="1" ref="Z151" ca="1">INDIRECT("'※ 재무_세부시트'!"&amp;Z$1&amp;$AD151, TRUE)</f>
        <v>8.6107180999999997</v>
      </c>
      <c r="AA151" s="2866"/>
      <c r="AB151" s="2794"/>
      <c r="AC151" s="2867" cm="1">
        <f t="array" aca="1" ref="AC151" ca="1">INDIRECT("'※ 재무_세부시트'!"&amp;AC$1&amp;$AD151, TRUE)</f>
        <v>8.6107180999999997</v>
      </c>
      <c r="AD151" s="2441">
        <v>150</v>
      </c>
      <c r="AE151" s="2974">
        <v>8.0022274000000007</v>
      </c>
      <c r="AF151" s="2974">
        <v>1.17837726</v>
      </c>
      <c r="AG151" s="2974">
        <v>6.7986267999999992</v>
      </c>
      <c r="AH151" s="2974">
        <v>0.9599065</v>
      </c>
      <c r="AI151" s="2974">
        <v>1.0321935799999999</v>
      </c>
      <c r="AJ151" s="2974">
        <v>6.4416540800000011</v>
      </c>
      <c r="AK151" s="2974">
        <v>2.49064913</v>
      </c>
      <c r="AL151" s="2974">
        <v>1.2748768100000001</v>
      </c>
      <c r="AM151" s="2974">
        <v>8.0564725100000008</v>
      </c>
      <c r="AN151" s="2974">
        <v>1.0018435000000001</v>
      </c>
      <c r="AO151" s="2974">
        <v>1.5039843300000002</v>
      </c>
      <c r="AP151" s="2974">
        <v>1.4389050000000001</v>
      </c>
      <c r="AQ151" s="2505">
        <f t="shared" si="67"/>
        <v>40.179716900000003</v>
      </c>
      <c r="AR151" s="2488"/>
      <c r="AS151" s="2488"/>
      <c r="AT151" s="2488"/>
      <c r="AU151" s="2488"/>
      <c r="AV151" s="2488"/>
      <c r="AW151" s="2488"/>
      <c r="AX151" s="2488"/>
      <c r="AY151" s="2488"/>
      <c r="AZ151" s="2488"/>
      <c r="BA151" s="2488"/>
      <c r="BB151" s="2488"/>
      <c r="BC151" s="2488"/>
      <c r="BD151" s="2488"/>
      <c r="BE151" s="2488"/>
      <c r="BG151" s="2868" cm="1">
        <f t="array" aca="1" ref="BG151" ca="1">INDIRECT("'※ 재무_세부시트'!"&amp;BG$1&amp;$AD151, TRUE)</f>
        <v>0</v>
      </c>
      <c r="BH151" s="2868" cm="1">
        <f t="array" aca="1" ref="BH151" ca="1">INDIRECT("'※ 재무_세부시트'!"&amp;BH$1&amp;$AD151, TRUE)</f>
        <v>0</v>
      </c>
      <c r="BI151" s="2868" cm="1">
        <f t="array" aca="1" ref="BI151" ca="1">INDIRECT("'※ 재무_세부시트'!"&amp;BI$1&amp;$AD151, TRUE)</f>
        <v>0</v>
      </c>
      <c r="BJ151" s="2868" cm="1">
        <f t="array" aca="1" ref="BJ151" ca="1">INDIRECT("'※ 재무_세부시트'!"&amp;BJ$1&amp;$AD151, TRUE)</f>
        <v>0</v>
      </c>
      <c r="BK151" s="2868" cm="1">
        <f t="array" aca="1" ref="BK151" ca="1">INDIRECT("'※ 재무_세부시트'!"&amp;BK$1&amp;$AD151, TRUE)</f>
        <v>0</v>
      </c>
      <c r="BL151" s="2490"/>
      <c r="BM151" s="2490"/>
    </row>
    <row r="152" spans="1:65" ht="17.25" customHeight="1" x14ac:dyDescent="0.55000000000000004">
      <c r="A152" s="2855"/>
      <c r="B152" s="2856"/>
      <c r="C152" s="2940" t="s">
        <v>639</v>
      </c>
      <c r="D152" s="2884"/>
      <c r="E152" s="2884"/>
      <c r="F152" s="2980"/>
      <c r="G152" s="2980"/>
      <c r="H152" s="2887" cm="1">
        <f t="array" aca="1" ref="H152" ca="1">INDIRECT("'※ 재무_세부시트'!"&amp;H$1&amp;$AD152, TRUE)</f>
        <v>11.377763601318172</v>
      </c>
      <c r="I152" s="2877" cm="1">
        <f t="array" aca="1" ref="I152" ca="1">INDIRECT("'※ 재무_세부시트'!"&amp;I$1&amp;$AD152, TRUE)</f>
        <v>13.780593567009841</v>
      </c>
      <c r="J152" s="2877" cm="1">
        <f t="array" aca="1" ref="J152" ca="1">INDIRECT("'※ 재무_세부시트'!"&amp;J$1&amp;$AD152, TRUE)</f>
        <v>15.589123468975725</v>
      </c>
      <c r="K152" s="2877" cm="1">
        <f t="array" aca="1" ref="K152" ca="1">INDIRECT("'※ 재무_세부시트'!"&amp;K$1&amp;$AD152, TRUE)</f>
        <v>17.191636120390093</v>
      </c>
      <c r="L152" s="2877" cm="1">
        <f t="array" aca="1" ref="L152" ca="1">INDIRECT("'※ 재무_세부시트'!"&amp;L$1&amp;$AD152, TRUE)</f>
        <v>18.368781856617865</v>
      </c>
      <c r="M152" s="2877" cm="1">
        <f t="array" aca="1" ref="M152" ca="1">INDIRECT("'※ 재무_세부시트'!"&amp;M$1&amp;$AD152, TRUE)</f>
        <v>16.912273720323007</v>
      </c>
      <c r="N152" s="2877" cm="1">
        <f t="array" aca="1" ref="N152" ca="1">INDIRECT("'※ 재무_세부시트'!"&amp;N$1&amp;$AD152, TRUE)</f>
        <v>22.018846060698269</v>
      </c>
      <c r="O152" s="2877" cm="1">
        <f t="array" aca="1" ref="O152" ca="1">INDIRECT("'※ 재무_세부시트'!"&amp;O$1&amp;$AD152, TRUE)</f>
        <v>18.736666662571807</v>
      </c>
      <c r="P152" s="2877" cm="1">
        <f t="array" aca="1" ref="P152" ca="1">INDIRECT("'※ 재무_세부시트'!"&amp;P$1&amp;$AD152, TRUE)</f>
        <v>20.884541573401883</v>
      </c>
      <c r="Q152" s="2877" cm="1">
        <f t="array" aca="1" ref="Q152" ca="1">INDIRECT("'※ 재무_세부시트'!"&amp;Q$1&amp;$AD152, TRUE)</f>
        <v>21.672493573494776</v>
      </c>
      <c r="R152" s="2877" cm="1">
        <f t="array" aca="1" ref="R152" ca="1">INDIRECT("'※ 재무_세부시트'!"&amp;R$1&amp;$AD152, TRUE)</f>
        <v>15.193501986361596</v>
      </c>
      <c r="S152" s="2877" cm="1">
        <f t="array" aca="1" ref="S152" ca="1">INDIRECT("'※ 재무_세부시트'!"&amp;S$1&amp;$AD152, TRUE)</f>
        <v>13.834531806518417</v>
      </c>
      <c r="T152" s="2791"/>
      <c r="U152" s="2791"/>
      <c r="V152" s="2862"/>
      <c r="W152" s="2888" cm="1">
        <f t="array" aca="1" ref="W152" ca="1">INDIRECT("'※ 재무_세부시트'!"&amp;W$1&amp;$AD152, TRUE)</f>
        <v>-1.3589701798431797</v>
      </c>
      <c r="X152" s="2889" cm="1">
        <f t="array" aca="1" ref="X152" ca="1">INDIRECT("'※ 재무_세부시트'!"&amp;X$1&amp;$AD152, TRUE)</f>
        <v>13.834531806518417</v>
      </c>
      <c r="Y152" s="2889" cm="1">
        <f t="array" aca="1" ref="Y152" ca="1">INDIRECT("'※ 재무_세부시트'!"&amp;Y$1&amp;$AD152, TRUE)</f>
        <v>0</v>
      </c>
      <c r="Z152" s="2890" cm="1">
        <f t="array" aca="1" ref="Z152" ca="1">INDIRECT("'※ 재무_세부시트'!"&amp;Z$1&amp;$AD152, TRUE)</f>
        <v>205.56075399768142</v>
      </c>
      <c r="AA152" s="2866"/>
      <c r="AB152" s="2794"/>
      <c r="AC152" s="2975" cm="1">
        <f t="array" aca="1" ref="AC152" ca="1">INDIRECT("'※ 재무_세부시트'!"&amp;AC$1&amp;$AD152, TRUE)</f>
        <v>205.56075399768142</v>
      </c>
      <c r="AD152" s="2441">
        <v>151</v>
      </c>
      <c r="AE152" s="2505">
        <f>AE153+AE154+AE155+AE156+AE157</f>
        <v>49.63475887057016</v>
      </c>
      <c r="AF152" s="2505">
        <f t="shared" ref="AF152:AP152" si="68">AF153+AF154+AF155+AF156+AF157</f>
        <v>75.746867094350748</v>
      </c>
      <c r="AG152" s="2505">
        <f t="shared" si="68"/>
        <v>54.590282595137829</v>
      </c>
      <c r="AH152" s="2505">
        <f t="shared" si="68"/>
        <v>40.869292470454113</v>
      </c>
      <c r="AI152" s="2505">
        <f t="shared" si="68"/>
        <v>54.926879153249359</v>
      </c>
      <c r="AJ152" s="2505">
        <f t="shared" si="68"/>
        <v>51.633012394155919</v>
      </c>
      <c r="AK152" s="2505">
        <f t="shared" si="68"/>
        <v>48.371840446595968</v>
      </c>
      <c r="AL152" s="2505">
        <f t="shared" si="68"/>
        <v>104.17797131140156</v>
      </c>
      <c r="AM152" s="2505">
        <f t="shared" si="68"/>
        <v>37.546427047764354</v>
      </c>
      <c r="AN152" s="2505">
        <f t="shared" si="68"/>
        <v>277.01652745053718</v>
      </c>
      <c r="AO152" s="2505">
        <f t="shared" si="68"/>
        <v>81.965893287902318</v>
      </c>
      <c r="AP152" s="2505">
        <f t="shared" si="68"/>
        <v>57.205009914516829</v>
      </c>
      <c r="AQ152" s="2505">
        <f t="shared" si="67"/>
        <v>933.68476203663636</v>
      </c>
      <c r="AR152" s="2488"/>
      <c r="AS152" s="2488"/>
      <c r="AT152" s="2488"/>
      <c r="AU152" s="2488"/>
      <c r="AV152" s="2488"/>
      <c r="AW152" s="2488"/>
      <c r="AX152" s="2488"/>
      <c r="AY152" s="2488"/>
      <c r="AZ152" s="2488"/>
      <c r="BA152" s="2488"/>
      <c r="BB152" s="2488"/>
      <c r="BC152" s="2488"/>
      <c r="BD152" s="2488"/>
      <c r="BE152" s="2488"/>
      <c r="BG152" s="2892" cm="1">
        <f t="array" aca="1" ref="BG152" ca="1">INDIRECT("'※ 재무_세부시트'!"&amp;BG$1&amp;$AD152, TRUE)</f>
        <v>0</v>
      </c>
      <c r="BH152" s="2892" cm="1">
        <f t="array" aca="1" ref="BH152" ca="1">INDIRECT("'※ 재무_세부시트'!"&amp;BH$1&amp;$AD152, TRUE)</f>
        <v>0</v>
      </c>
      <c r="BI152" s="2892" cm="1">
        <f t="array" aca="1" ref="BI152" ca="1">INDIRECT("'※ 재무_세부시트'!"&amp;BI$1&amp;$AD152, TRUE)</f>
        <v>0</v>
      </c>
      <c r="BJ152" s="2892" cm="1">
        <f t="array" aca="1" ref="BJ152" ca="1">INDIRECT("'※ 재무_세부시트'!"&amp;BJ$1&amp;$AD152, TRUE)</f>
        <v>0</v>
      </c>
      <c r="BK152" s="2892" cm="1">
        <f t="array" aca="1" ref="BK152" ca="1">INDIRECT("'※ 재무_세부시트'!"&amp;BK$1&amp;$AD152, TRUE)</f>
        <v>0</v>
      </c>
      <c r="BL152" s="2490"/>
      <c r="BM152" s="2490"/>
    </row>
    <row r="153" spans="1:65" ht="14.8" customHeight="1" x14ac:dyDescent="0.55000000000000004">
      <c r="A153" s="2855"/>
      <c r="B153" s="2493"/>
      <c r="C153" s="2884"/>
      <c r="D153" s="2884" t="s">
        <v>42</v>
      </c>
      <c r="E153" s="2884"/>
      <c r="F153" s="2980"/>
      <c r="G153" s="2980"/>
      <c r="H153" s="2887" cm="1">
        <f t="array" aca="1" ref="H153" ca="1">INDIRECT("'※ 재무_세부시트'!"&amp;H$1&amp;$AD153, TRUE)</f>
        <v>0.71640910000000002</v>
      </c>
      <c r="I153" s="2877" cm="1">
        <f t="array" aca="1" ref="I153" ca="1">INDIRECT("'※ 재무_세부시트'!"&amp;I$1&amp;$AD153, TRUE)</f>
        <v>3.86542545</v>
      </c>
      <c r="J153" s="2877" cm="1">
        <f t="array" aca="1" ref="J153" ca="1">INDIRECT("'※ 재무_세부시트'!"&amp;J$1&amp;$AD153, TRUE)</f>
        <v>0.82601363999999999</v>
      </c>
      <c r="K153" s="2877" cm="1">
        <f t="array" aca="1" ref="K153" ca="1">INDIRECT("'※ 재무_세부시트'!"&amp;K$1&amp;$AD153, TRUE)</f>
        <v>0.90711724999999999</v>
      </c>
      <c r="L153" s="2877" cm="1">
        <f t="array" aca="1" ref="L153" ca="1">INDIRECT("'※ 재무_세부시트'!"&amp;L$1&amp;$AD153, TRUE)</f>
        <v>1.2053418199999999</v>
      </c>
      <c r="M153" s="2877" cm="1">
        <f t="array" aca="1" ref="M153" ca="1">INDIRECT("'※ 재무_세부시트'!"&amp;M$1&amp;$AD153, TRUE)</f>
        <v>0.59914451000000002</v>
      </c>
      <c r="N153" s="2877" cm="1">
        <f t="array" aca="1" ref="N153" ca="1">INDIRECT("'※ 재무_세부시트'!"&amp;N$1&amp;$AD153, TRUE)</f>
        <v>2.9047527099999999</v>
      </c>
      <c r="O153" s="2877" cm="1">
        <f t="array" aca="1" ref="O153" ca="1">INDIRECT("'※ 재무_세부시트'!"&amp;O$1&amp;$AD153, TRUE)</f>
        <v>0.81159183999999995</v>
      </c>
      <c r="P153" s="2877" cm="1">
        <f t="array" aca="1" ref="P153" ca="1">INDIRECT("'※ 재무_세부시트'!"&amp;P$1&amp;$AD153, TRUE)</f>
        <v>2.3104917399999998</v>
      </c>
      <c r="Q153" s="2877" cm="1">
        <f t="array" aca="1" ref="Q153" ca="1">INDIRECT("'※ 재무_세부시트'!"&amp;Q$1&amp;$AD153, TRUE)</f>
        <v>1.75646718</v>
      </c>
      <c r="R153" s="2877" cm="1">
        <f t="array" aca="1" ref="R153" ca="1">INDIRECT("'※ 재무_세부시트'!"&amp;R$1&amp;$AD153, TRUE)</f>
        <v>0.89533362999999999</v>
      </c>
      <c r="S153" s="2877" cm="1">
        <f t="array" aca="1" ref="S153" ca="1">INDIRECT("'※ 재무_세부시트'!"&amp;S$1&amp;$AD153, TRUE)</f>
        <v>0.54819454000000001</v>
      </c>
      <c r="T153" s="2791"/>
      <c r="U153" s="2791"/>
      <c r="V153" s="2862"/>
      <c r="W153" s="2888" cm="1">
        <f t="array" aca="1" ref="W153" ca="1">INDIRECT("'※ 재무_세부시트'!"&amp;W$1&amp;$AD153, TRUE)</f>
        <v>-0.34713908999999998</v>
      </c>
      <c r="X153" s="2889" cm="1">
        <f t="array" aca="1" ref="X153" ca="1">INDIRECT("'※ 재무_세부시트'!"&amp;X$1&amp;$AD153, TRUE)</f>
        <v>0.54819454000000001</v>
      </c>
      <c r="Y153" s="2889" cm="1">
        <f t="array" aca="1" ref="Y153" ca="1">INDIRECT("'※ 재무_세부시트'!"&amp;Y$1&amp;$AD153, TRUE)</f>
        <v>0</v>
      </c>
      <c r="Z153" s="2890" cm="1">
        <f t="array" aca="1" ref="Z153" ca="1">INDIRECT("'※ 재무_세부시트'!"&amp;Z$1&amp;$AD153, TRUE)</f>
        <v>17.346283410000002</v>
      </c>
      <c r="AA153" s="2866"/>
      <c r="AB153" s="2794"/>
      <c r="AC153" s="2975" cm="1">
        <f t="array" aca="1" ref="AC153" ca="1">INDIRECT("'※ 재무_세부시트'!"&amp;AC$1&amp;$AD153, TRUE)</f>
        <v>17.346283410000002</v>
      </c>
      <c r="AD153" s="2441">
        <v>152</v>
      </c>
      <c r="AE153" s="2974">
        <v>36.414721419999999</v>
      </c>
      <c r="AF153" s="2974">
        <v>56.320880109999997</v>
      </c>
      <c r="AG153" s="2974">
        <v>37.291514909999997</v>
      </c>
      <c r="AH153" s="2974">
        <v>27.424001780000005</v>
      </c>
      <c r="AI153" s="2974">
        <v>38.862341440000002</v>
      </c>
      <c r="AJ153" s="2974">
        <v>32.591596860000003</v>
      </c>
      <c r="AK153" s="2974">
        <v>30.071764430000002</v>
      </c>
      <c r="AL153" s="2974">
        <v>80.984551330000002</v>
      </c>
      <c r="AM153" s="2974">
        <v>25.690076479999998</v>
      </c>
      <c r="AN153" s="2974">
        <v>251.32561953000001</v>
      </c>
      <c r="AO153" s="2974">
        <v>65.242637590000001</v>
      </c>
      <c r="AP153" s="2974">
        <v>42.499253390000007</v>
      </c>
      <c r="AQ153" s="2505">
        <f t="shared" si="67"/>
        <v>724.71895927000003</v>
      </c>
      <c r="AR153" s="2488"/>
      <c r="AS153" s="2488"/>
      <c r="AT153" s="2488"/>
      <c r="AU153" s="2488"/>
      <c r="AV153" s="2488"/>
      <c r="AW153" s="2488"/>
      <c r="AX153" s="2488"/>
      <c r="AY153" s="2488"/>
      <c r="AZ153" s="2488"/>
      <c r="BA153" s="2488"/>
      <c r="BB153" s="2488"/>
      <c r="BC153" s="2488"/>
      <c r="BD153" s="2488"/>
      <c r="BE153" s="2488"/>
      <c r="BG153" s="2892" cm="1">
        <f t="array" aca="1" ref="BG153" ca="1">INDIRECT("'※ 재무_세부시트'!"&amp;BG$1&amp;$AD153, TRUE)</f>
        <v>0</v>
      </c>
      <c r="BH153" s="2892" cm="1">
        <f t="array" aca="1" ref="BH153" ca="1">INDIRECT("'※ 재무_세부시트'!"&amp;BH$1&amp;$AD153, TRUE)</f>
        <v>0</v>
      </c>
      <c r="BI153" s="2892" cm="1">
        <f t="array" aca="1" ref="BI153" ca="1">INDIRECT("'※ 재무_세부시트'!"&amp;BI$1&amp;$AD153, TRUE)</f>
        <v>0</v>
      </c>
      <c r="BJ153" s="2892" cm="1">
        <f t="array" aca="1" ref="BJ153" ca="1">INDIRECT("'※ 재무_세부시트'!"&amp;BJ$1&amp;$AD153, TRUE)</f>
        <v>0</v>
      </c>
      <c r="BK153" s="2892" cm="1">
        <f t="array" aca="1" ref="BK153" ca="1">INDIRECT("'※ 재무_세부시트'!"&amp;BK$1&amp;$AD153, TRUE)</f>
        <v>0</v>
      </c>
      <c r="BL153" s="2490"/>
      <c r="BM153" s="2490"/>
    </row>
    <row r="154" spans="1:65" ht="14.8" customHeight="1" x14ac:dyDescent="0.55000000000000004">
      <c r="A154" s="2855"/>
      <c r="B154" s="2493"/>
      <c r="C154" s="2884"/>
      <c r="D154" s="2884" t="s">
        <v>13</v>
      </c>
      <c r="E154" s="2884"/>
      <c r="F154" s="2980"/>
      <c r="G154" s="2980"/>
      <c r="H154" s="2887" cm="1">
        <f t="array" aca="1" ref="H154" ca="1">INDIRECT("'※ 재무_세부시트'!"&amp;H$1&amp;$AD154, TRUE)</f>
        <v>7.3742112366550181</v>
      </c>
      <c r="I154" s="2877" cm="1">
        <f t="array" aca="1" ref="I154" ca="1">INDIRECT("'※ 재무_세부시트'!"&amp;I$1&amp;$AD154, TRUE)</f>
        <v>6.1842758501032948</v>
      </c>
      <c r="J154" s="2877" cm="1">
        <f t="array" aca="1" ref="J154" ca="1">INDIRECT("'※ 재무_세부시트'!"&amp;J$1&amp;$AD154, TRUE)</f>
        <v>8.633835737464036</v>
      </c>
      <c r="K154" s="2877" cm="1">
        <f t="array" aca="1" ref="K154" ca="1">INDIRECT("'※ 재무_세부시트'!"&amp;K$1&amp;$AD154, TRUE)</f>
        <v>8.7132750325769859</v>
      </c>
      <c r="L154" s="2877" cm="1">
        <f t="array" aca="1" ref="L154" ca="1">INDIRECT("'※ 재무_세부시트'!"&amp;L$1&amp;$AD154, TRUE)</f>
        <v>8.1466078764875434</v>
      </c>
      <c r="M154" s="2877" cm="1">
        <f t="array" aca="1" ref="M154" ca="1">INDIRECT("'※ 재무_세부시트'!"&amp;M$1&amp;$AD154, TRUE)</f>
        <v>8.6000436793512218</v>
      </c>
      <c r="N154" s="2877" cm="1">
        <f t="array" aca="1" ref="N154" ca="1">INDIRECT("'※ 재무_세부시트'!"&amp;N$1&amp;$AD154, TRUE)</f>
        <v>8.8017744779932148</v>
      </c>
      <c r="O154" s="2877" cm="1">
        <f t="array" aca="1" ref="O154" ca="1">INDIRECT("'※ 재무_세부시트'!"&amp;O$1&amp;$AD154, TRUE)</f>
        <v>7.3255081503693411</v>
      </c>
      <c r="P154" s="2877" cm="1">
        <f t="array" aca="1" ref="P154" ca="1">INDIRECT("'※ 재무_세부시트'!"&amp;P$1&amp;$AD154, TRUE)</f>
        <v>9.7684181164490109</v>
      </c>
      <c r="Q154" s="2877" cm="1">
        <f t="array" aca="1" ref="Q154" ca="1">INDIRECT("'※ 재무_세부시트'!"&amp;Q$1&amp;$AD154, TRUE)</f>
        <v>8.7357335278501385</v>
      </c>
      <c r="R154" s="2877" cm="1">
        <f t="array" aca="1" ref="R154" ca="1">INDIRECT("'※ 재무_세부시트'!"&amp;R$1&amp;$AD154, TRUE)</f>
        <v>7.6546251625611461</v>
      </c>
      <c r="S154" s="2877" cm="1">
        <f t="array" aca="1" ref="S154" ca="1">INDIRECT("'※ 재무_세부시트'!"&amp;S$1&amp;$AD154, TRUE)</f>
        <v>6.669158479669087</v>
      </c>
      <c r="T154" s="2791"/>
      <c r="U154" s="2791"/>
      <c r="V154" s="2862"/>
      <c r="W154" s="2888" cm="1">
        <f t="array" aca="1" ref="W154" ca="1">INDIRECT("'※ 재무_세부시트'!"&amp;W$1&amp;$AD154, TRUE)</f>
        <v>-0.98546668289205908</v>
      </c>
      <c r="X154" s="2889" cm="1">
        <f t="array" aca="1" ref="X154" ca="1">INDIRECT("'※ 재무_세부시트'!"&amp;X$1&amp;$AD154, TRUE)</f>
        <v>6.669158479669087</v>
      </c>
      <c r="Y154" s="2889" cm="1">
        <f t="array" aca="1" ref="Y154" ca="1">INDIRECT("'※ 재무_세부시트'!"&amp;Y$1&amp;$AD154, TRUE)</f>
        <v>0</v>
      </c>
      <c r="Z154" s="2890" cm="1">
        <f t="array" aca="1" ref="Z154" ca="1">INDIRECT("'※ 재무_세부시트'!"&amp;Z$1&amp;$AD154, TRUE)</f>
        <v>96.607467327530046</v>
      </c>
      <c r="AA154" s="2866"/>
      <c r="AB154" s="2794"/>
      <c r="AC154" s="2891" cm="1">
        <f t="array" aca="1" ref="AC154" ca="1">INDIRECT("'※ 재무_세부시트'!"&amp;AC$1&amp;$AD154, TRUE)</f>
        <v>96.607467327530046</v>
      </c>
      <c r="AD154" s="2441">
        <v>153</v>
      </c>
      <c r="AE154" s="2974">
        <v>3.5266881483137298</v>
      </c>
      <c r="AF154" s="2974">
        <v>3.3823871343507492</v>
      </c>
      <c r="AG154" s="2974">
        <v>3.9015063731387301</v>
      </c>
      <c r="AH154" s="2974">
        <v>3.5788583504769402</v>
      </c>
      <c r="AI154" s="2974">
        <v>3.4772751932493602</v>
      </c>
      <c r="AJ154" s="2974">
        <v>3.34012307415591</v>
      </c>
      <c r="AK154" s="2974">
        <v>3.6182492465959601</v>
      </c>
      <c r="AL154" s="2974">
        <v>3.2880030213537004</v>
      </c>
      <c r="AM154" s="2974">
        <v>3.55859430655042</v>
      </c>
      <c r="AN154" s="2974">
        <v>3.1870540677978703</v>
      </c>
      <c r="AO154" s="2974">
        <v>4.9536811879699805</v>
      </c>
      <c r="AP154" s="2974">
        <v>3.4301117595133541</v>
      </c>
      <c r="AQ154" s="2505">
        <f t="shared" si="67"/>
        <v>43.242531863466695</v>
      </c>
      <c r="AR154" s="2488"/>
      <c r="AS154" s="2488"/>
      <c r="AT154" s="2488"/>
      <c r="AU154" s="2488"/>
      <c r="AV154" s="2488"/>
      <c r="AW154" s="2488"/>
      <c r="AX154" s="2488"/>
      <c r="AY154" s="2488"/>
      <c r="AZ154" s="2488"/>
      <c r="BA154" s="2488"/>
      <c r="BB154" s="2488"/>
      <c r="BC154" s="2488"/>
      <c r="BD154" s="2488"/>
      <c r="BE154" s="2488"/>
      <c r="BG154" s="2892" cm="1">
        <f t="array" aca="1" ref="BG154" ca="1">INDIRECT("'※ 재무_세부시트'!"&amp;BG$1&amp;$AD154, TRUE)</f>
        <v>0</v>
      </c>
      <c r="BH154" s="2892" cm="1">
        <f t="array" aca="1" ref="BH154" ca="1">INDIRECT("'※ 재무_세부시트'!"&amp;BH$1&amp;$AD154, TRUE)</f>
        <v>0</v>
      </c>
      <c r="BI154" s="2892" cm="1">
        <f t="array" aca="1" ref="BI154" ca="1">INDIRECT("'※ 재무_세부시트'!"&amp;BI$1&amp;$AD154, TRUE)</f>
        <v>0</v>
      </c>
      <c r="BJ154" s="2892" cm="1">
        <f t="array" aca="1" ref="BJ154" ca="1">INDIRECT("'※ 재무_세부시트'!"&amp;BJ$1&amp;$AD154, TRUE)</f>
        <v>0</v>
      </c>
      <c r="BK154" s="2892" cm="1">
        <f t="array" aca="1" ref="BK154" ca="1">INDIRECT("'※ 재무_세부시트'!"&amp;BK$1&amp;$AD154, TRUE)</f>
        <v>0</v>
      </c>
      <c r="BL154" s="2490"/>
      <c r="BM154" s="2490"/>
    </row>
    <row r="155" spans="1:65" ht="14.8" customHeight="1" x14ac:dyDescent="0.55000000000000004">
      <c r="A155" s="2855"/>
      <c r="B155" s="2493"/>
      <c r="C155" s="2884"/>
      <c r="D155" s="2884" t="s">
        <v>43</v>
      </c>
      <c r="E155" s="2884"/>
      <c r="F155" s="2980"/>
      <c r="G155" s="2980"/>
      <c r="H155" s="2887" cm="1">
        <f t="array" aca="1" ref="H155" ca="1">INDIRECT("'※ 재무_세부시트'!"&amp;H$1&amp;$AD155, TRUE)</f>
        <v>2.6425338200000001</v>
      </c>
      <c r="I155" s="2877" cm="1">
        <f t="array" aca="1" ref="I155" ca="1">INDIRECT("'※ 재무_세부시트'!"&amp;I$1&amp;$AD155, TRUE)</f>
        <v>2.6303095500000002</v>
      </c>
      <c r="J155" s="2877" cm="1">
        <f t="array" aca="1" ref="J155" ca="1">INDIRECT("'※ 재무_세부시트'!"&amp;J$1&amp;$AD155, TRUE)</f>
        <v>4.6336322699999997</v>
      </c>
      <c r="K155" s="2877" cm="1">
        <f t="array" aca="1" ref="K155" ca="1">INDIRECT("'※ 재무_세부시트'!"&amp;K$1&amp;$AD155, TRUE)</f>
        <v>6.5126472</v>
      </c>
      <c r="L155" s="2877" cm="1">
        <f t="array" aca="1" ref="L155" ca="1">INDIRECT("'※ 재무_세부시트'!"&amp;L$1&amp;$AD155, TRUE)</f>
        <v>7.9611752999999998</v>
      </c>
      <c r="M155" s="2877" cm="1">
        <f t="array" aca="1" ref="M155" ca="1">INDIRECT("'※ 재무_세부시트'!"&amp;M$1&amp;$AD155, TRUE)</f>
        <v>6.6979291500000002</v>
      </c>
      <c r="N155" s="2877" cm="1">
        <f t="array" aca="1" ref="N155" ca="1">INDIRECT("'※ 재무_세부시트'!"&amp;N$1&amp;$AD155, TRUE)</f>
        <v>9.1818255400000002</v>
      </c>
      <c r="O155" s="2877" cm="1">
        <f t="array" aca="1" ref="O155" ca="1">INDIRECT("'※ 재무_세부시트'!"&amp;O$1&amp;$AD155, TRUE)</f>
        <v>9.6723374399999997</v>
      </c>
      <c r="P155" s="2877" cm="1">
        <f t="array" aca="1" ref="P155" ca="1">INDIRECT("'※ 재무_세부시트'!"&amp;P$1&amp;$AD155, TRUE)</f>
        <v>7.8907824</v>
      </c>
      <c r="Q155" s="2877" cm="1">
        <f t="array" aca="1" ref="Q155" ca="1">INDIRECT("'※ 재무_세부시트'!"&amp;Q$1&amp;$AD155, TRUE)</f>
        <v>10.26141917</v>
      </c>
      <c r="R155" s="2877" cm="1">
        <f t="array" aca="1" ref="R155" ca="1">INDIRECT("'※ 재무_세부시트'!"&amp;R$1&amp;$AD155, TRUE)</f>
        <v>5.8026807600000003</v>
      </c>
      <c r="S155" s="2877" cm="1">
        <f t="array" aca="1" ref="S155" ca="1">INDIRECT("'※ 재무_세부시트'!"&amp;S$1&amp;$AD155, TRUE)</f>
        <v>5.64206159</v>
      </c>
      <c r="T155" s="2791"/>
      <c r="U155" s="2791"/>
      <c r="V155" s="2862"/>
      <c r="W155" s="2888" cm="1">
        <f t="array" aca="1" ref="W155" ca="1">INDIRECT("'※ 재무_세부시트'!"&amp;W$1&amp;$AD155, TRUE)</f>
        <v>-0.16061917000000037</v>
      </c>
      <c r="X155" s="2889" cm="1">
        <f t="array" aca="1" ref="X155" ca="1">INDIRECT("'※ 재무_세부시트'!"&amp;X$1&amp;$AD155, TRUE)</f>
        <v>5.64206159</v>
      </c>
      <c r="Y155" s="2889" cm="1">
        <f t="array" aca="1" ref="Y155" ca="1">INDIRECT("'※ 재무_세부시트'!"&amp;Y$1&amp;$AD155, TRUE)</f>
        <v>0</v>
      </c>
      <c r="Z155" s="2890" cm="1">
        <f t="array" aca="1" ref="Z155" ca="1">INDIRECT("'※ 재무_세부시트'!"&amp;Z$1&amp;$AD155, TRUE)</f>
        <v>79.52933419</v>
      </c>
      <c r="AA155" s="2866"/>
      <c r="AB155" s="2794"/>
      <c r="AC155" s="2891" cm="1">
        <f t="array" aca="1" ref="AC155" ca="1">INDIRECT("'※ 재무_세부시트'!"&amp;AC$1&amp;$AD155, TRUE)</f>
        <v>79.52933419</v>
      </c>
      <c r="AD155" s="2441">
        <v>154</v>
      </c>
      <c r="AE155" s="2974">
        <v>7.4910464799999996</v>
      </c>
      <c r="AF155" s="2974">
        <v>13.30617608</v>
      </c>
      <c r="AG155" s="2974">
        <v>10.734154109999999</v>
      </c>
      <c r="AH155" s="2974">
        <v>7.6458743699999987</v>
      </c>
      <c r="AI155" s="2974">
        <v>10.148498350000001</v>
      </c>
      <c r="AJ155" s="2974">
        <v>13.152694970000001</v>
      </c>
      <c r="AK155" s="2974">
        <v>11.851735140000001</v>
      </c>
      <c r="AL155" s="2974">
        <v>17.408956459999999</v>
      </c>
      <c r="AM155" s="2974">
        <v>5.9732480900000011</v>
      </c>
      <c r="AN155" s="2974">
        <v>12.925305470000001</v>
      </c>
      <c r="AO155" s="2974">
        <v>9.4191761300000003</v>
      </c>
      <c r="AP155" s="2974">
        <v>8.8166653099999994</v>
      </c>
      <c r="AQ155" s="2505">
        <f t="shared" si="67"/>
        <v>128.87353095999998</v>
      </c>
      <c r="AR155" s="2488"/>
      <c r="AS155" s="2488"/>
      <c r="AT155" s="2488"/>
      <c r="AU155" s="2488"/>
      <c r="AV155" s="2488"/>
      <c r="AW155" s="2488"/>
      <c r="AX155" s="2488"/>
      <c r="AY155" s="2488"/>
      <c r="AZ155" s="2488"/>
      <c r="BA155" s="2488"/>
      <c r="BB155" s="2488"/>
      <c r="BC155" s="2488"/>
      <c r="BD155" s="2488"/>
      <c r="BE155" s="2488"/>
      <c r="BG155" s="2892" cm="1">
        <f t="array" aca="1" ref="BG155" ca="1">INDIRECT("'※ 재무_세부시트'!"&amp;BG$1&amp;$AD155, TRUE)</f>
        <v>0</v>
      </c>
      <c r="BH155" s="2892" cm="1">
        <f t="array" aca="1" ref="BH155" ca="1">INDIRECT("'※ 재무_세부시트'!"&amp;BH$1&amp;$AD155, TRUE)</f>
        <v>0</v>
      </c>
      <c r="BI155" s="2892" cm="1">
        <f t="array" aca="1" ref="BI155" ca="1">INDIRECT("'※ 재무_세부시트'!"&amp;BI$1&amp;$AD155, TRUE)</f>
        <v>0</v>
      </c>
      <c r="BJ155" s="2892" cm="1">
        <f t="array" aca="1" ref="BJ155" ca="1">INDIRECT("'※ 재무_세부시트'!"&amp;BJ$1&amp;$AD155, TRUE)</f>
        <v>0</v>
      </c>
      <c r="BK155" s="2892" cm="1">
        <f t="array" aca="1" ref="BK155" ca="1">INDIRECT("'※ 재무_세부시트'!"&amp;BK$1&amp;$AD155, TRUE)</f>
        <v>0</v>
      </c>
      <c r="BL155" s="2490"/>
      <c r="BM155" s="2490"/>
    </row>
    <row r="156" spans="1:65" ht="14.8" customHeight="1" x14ac:dyDescent="0.55000000000000004">
      <c r="A156" s="2855"/>
      <c r="B156" s="2493"/>
      <c r="C156" s="2884"/>
      <c r="D156" s="2884" t="s">
        <v>14</v>
      </c>
      <c r="E156" s="2884"/>
      <c r="F156" s="2980"/>
      <c r="G156" s="2980"/>
      <c r="H156" s="2887" cm="1">
        <f t="array" aca="1" ref="H156" ca="1">INDIRECT("'※ 재무_세부시트'!"&amp;H$1&amp;$AD156, TRUE)</f>
        <v>7.5349150000000004E-2</v>
      </c>
      <c r="I156" s="2877" cm="1">
        <f t="array" aca="1" ref="I156" ca="1">INDIRECT("'※ 재무_세부시트'!"&amp;I$1&amp;$AD156, TRUE)</f>
        <v>0.37832009</v>
      </c>
      <c r="J156" s="2877" cm="1">
        <f t="array" aca="1" ref="J156" ca="1">INDIRECT("'※ 재무_세부시트'!"&amp;J$1&amp;$AD156, TRUE)</f>
        <v>0.55641194999999999</v>
      </c>
      <c r="K156" s="2877" cm="1">
        <f t="array" aca="1" ref="K156" ca="1">INDIRECT("'※ 재무_세부시트'!"&amp;K$1&amp;$AD156, TRUE)</f>
        <v>0.23169349</v>
      </c>
      <c r="L156" s="2877" cm="1">
        <f t="array" aca="1" ref="L156" ca="1">INDIRECT("'※ 재무_세부시트'!"&amp;L$1&amp;$AD156, TRUE)</f>
        <v>0.25822068999999997</v>
      </c>
      <c r="M156" s="2877" cm="1">
        <f t="array" aca="1" ref="M156" ca="1">INDIRECT("'※ 재무_세부시트'!"&amp;M$1&amp;$AD156, TRUE)</f>
        <v>0.27509021</v>
      </c>
      <c r="N156" s="2877" cm="1">
        <f t="array" aca="1" ref="N156" ca="1">INDIRECT("'※ 재무_세부시트'!"&amp;N$1&amp;$AD156, TRUE)</f>
        <v>0.24734115000000001</v>
      </c>
      <c r="O156" s="2877" cm="1">
        <f t="array" aca="1" ref="O156" ca="1">INDIRECT("'※ 재무_세부시트'!"&amp;O$1&amp;$AD156, TRUE)</f>
        <v>0.24730915000000001</v>
      </c>
      <c r="P156" s="2877" cm="1">
        <f t="array" aca="1" ref="P156" ca="1">INDIRECT("'※ 재무_세부시트'!"&amp;P$1&amp;$AD156, TRUE)</f>
        <v>0.25919152847777055</v>
      </c>
      <c r="Q156" s="2877" cm="1">
        <f t="array" aca="1" ref="Q156" ca="1">INDIRECT("'※ 재무_세부시트'!"&amp;Q$1&amp;$AD156, TRUE)</f>
        <v>0.25126404004073188</v>
      </c>
      <c r="R156" s="2877" cm="1">
        <f t="array" aca="1" ref="R156" ca="1">INDIRECT("'※ 재무_세부시트'!"&amp;R$1&amp;$AD156, TRUE)</f>
        <v>0.24879911033969149</v>
      </c>
      <c r="S156" s="2877" cm="1">
        <f t="array" aca="1" ref="S156" ca="1">INDIRECT("'※ 재무_세부시트'!"&amp;S$1&amp;$AD156, TRUE)</f>
        <v>0.21061056649238558</v>
      </c>
      <c r="T156" s="2791"/>
      <c r="U156" s="2791"/>
      <c r="V156" s="2862"/>
      <c r="W156" s="2888" cm="1">
        <f t="array" aca="1" ref="W156" ca="1">INDIRECT("'※ 재무_세부시트'!"&amp;W$1&amp;$AD156, TRUE)</f>
        <v>-3.8188543847305911E-2</v>
      </c>
      <c r="X156" s="2889" cm="1">
        <f t="array" aca="1" ref="X156" ca="1">INDIRECT("'※ 재무_세부시트'!"&amp;X$1&amp;$AD156, TRUE)</f>
        <v>0.21061056649238558</v>
      </c>
      <c r="Y156" s="2889" cm="1">
        <f t="array" aca="1" ref="Y156" ca="1">INDIRECT("'※ 재무_세부시트'!"&amp;Y$1&amp;$AD156, TRUE)</f>
        <v>0</v>
      </c>
      <c r="Z156" s="2890" cm="1">
        <f t="array" aca="1" ref="Z156" ca="1">INDIRECT("'※ 재무_세부시트'!"&amp;Z$1&amp;$AD156, TRUE)</f>
        <v>3.2396011253505792</v>
      </c>
      <c r="AA156" s="2866"/>
      <c r="AB156" s="2794"/>
      <c r="AC156" s="2891" cm="1">
        <f t="array" aca="1" ref="AC156" ca="1">INDIRECT("'※ 재무_세부시트'!"&amp;AC$1&amp;$AD156, TRUE)</f>
        <v>3.2396011253505792</v>
      </c>
      <c r="AD156" s="2441">
        <v>155</v>
      </c>
      <c r="AE156" s="2974">
        <v>0.49313038999999997</v>
      </c>
      <c r="AF156" s="2974">
        <v>0.50020286000000003</v>
      </c>
      <c r="AG156" s="2974">
        <v>0.49844843999999999</v>
      </c>
      <c r="AH156" s="2974">
        <v>0.49329475</v>
      </c>
      <c r="AI156" s="2974">
        <v>0.44048179999999992</v>
      </c>
      <c r="AJ156" s="2974">
        <v>0.44105418999999996</v>
      </c>
      <c r="AK156" s="2974">
        <v>0.44445643000000001</v>
      </c>
      <c r="AL156" s="2974">
        <v>0.44599298999999992</v>
      </c>
      <c r="AM156" s="2974">
        <v>0.44759874999999999</v>
      </c>
      <c r="AN156" s="2974">
        <v>0.44420254999999997</v>
      </c>
      <c r="AO156" s="2974">
        <v>0.44231526999999998</v>
      </c>
      <c r="AP156" s="2974">
        <v>0.21392091642775379</v>
      </c>
      <c r="AQ156" s="2505">
        <f t="shared" si="67"/>
        <v>5.3050993364277534</v>
      </c>
      <c r="AR156" s="2488"/>
      <c r="AS156" s="2488"/>
      <c r="AT156" s="2488"/>
      <c r="AU156" s="2488"/>
      <c r="AV156" s="2488"/>
      <c r="AW156" s="2488"/>
      <c r="AX156" s="2488"/>
      <c r="AY156" s="2488"/>
      <c r="AZ156" s="2488"/>
      <c r="BA156" s="2488"/>
      <c r="BB156" s="2488"/>
      <c r="BC156" s="2488"/>
      <c r="BD156" s="2488"/>
      <c r="BE156" s="2488"/>
      <c r="BG156" s="2892" cm="1">
        <f t="array" aca="1" ref="BG156" ca="1">INDIRECT("'※ 재무_세부시트'!"&amp;BG$1&amp;$AD156, TRUE)</f>
        <v>0</v>
      </c>
      <c r="BH156" s="2892" cm="1">
        <f t="array" aca="1" ref="BH156" ca="1">INDIRECT("'※ 재무_세부시트'!"&amp;BH$1&amp;$AD156, TRUE)</f>
        <v>0</v>
      </c>
      <c r="BI156" s="2892" cm="1">
        <f t="array" aca="1" ref="BI156" ca="1">INDIRECT("'※ 재무_세부시트'!"&amp;BI$1&amp;$AD156, TRUE)</f>
        <v>0</v>
      </c>
      <c r="BJ156" s="2892" cm="1">
        <f t="array" aca="1" ref="BJ156" ca="1">INDIRECT("'※ 재무_세부시트'!"&amp;BJ$1&amp;$AD156, TRUE)</f>
        <v>0</v>
      </c>
      <c r="BK156" s="2892" cm="1">
        <f t="array" aca="1" ref="BK156" ca="1">INDIRECT("'※ 재무_세부시트'!"&amp;BK$1&amp;$AD156, TRUE)</f>
        <v>0</v>
      </c>
      <c r="BL156" s="2490"/>
      <c r="BM156" s="2490"/>
    </row>
    <row r="157" spans="1:65" ht="14.8" customHeight="1" x14ac:dyDescent="0.55000000000000004">
      <c r="A157" s="2855"/>
      <c r="B157" s="2493"/>
      <c r="C157" s="2884"/>
      <c r="D157" s="2884" t="s">
        <v>16</v>
      </c>
      <c r="E157" s="2884"/>
      <c r="F157" s="2980"/>
      <c r="G157" s="2980"/>
      <c r="H157" s="2887" cm="1">
        <f t="array" aca="1" ref="H157" ca="1">INDIRECT("'※ 재무_세부시트'!"&amp;H$1&amp;$AD157, TRUE)</f>
        <v>0.56926029466315398</v>
      </c>
      <c r="I157" s="2877" cm="1">
        <f t="array" aca="1" ref="I157" ca="1">INDIRECT("'※ 재무_세부시트'!"&amp;I$1&amp;$AD157, TRUE)</f>
        <v>0.72226262690654608</v>
      </c>
      <c r="J157" s="2877" cm="1">
        <f t="array" aca="1" ref="J157" ca="1">INDIRECT("'※ 재무_세부시트'!"&amp;J$1&amp;$AD157, TRUE)</f>
        <v>0.93922987151169135</v>
      </c>
      <c r="K157" s="2877" cm="1">
        <f t="array" aca="1" ref="K157" ca="1">INDIRECT("'※ 재무_세부시트'!"&amp;K$1&amp;$AD157, TRUE)</f>
        <v>0.82690314781310681</v>
      </c>
      <c r="L157" s="2877" cm="1">
        <f t="array" aca="1" ref="L157" ca="1">INDIRECT("'※ 재무_세부시트'!"&amp;L$1&amp;$AD157, TRUE)</f>
        <v>0.7974361701303232</v>
      </c>
      <c r="M157" s="2877" cm="1">
        <f t="array" aca="1" ref="M157" ca="1">INDIRECT("'※ 재무_세부시트'!"&amp;M$1&amp;$AD157, TRUE)</f>
        <v>0.7400661709717874</v>
      </c>
      <c r="N157" s="2877" cm="1">
        <f t="array" aca="1" ref="N157" ca="1">INDIRECT("'※ 재무_세부시트'!"&amp;N$1&amp;$AD157, TRUE)</f>
        <v>0.88315218270505402</v>
      </c>
      <c r="O157" s="2877" cm="1">
        <f t="array" aca="1" ref="O157" ca="1">INDIRECT("'※ 재무_세부시트'!"&amp;O$1&amp;$AD157, TRUE)</f>
        <v>0.67992008220246525</v>
      </c>
      <c r="P157" s="2877" cm="1">
        <f t="array" aca="1" ref="P157" ca="1">INDIRECT("'※ 재무_세부시트'!"&amp;P$1&amp;$AD157, TRUE)</f>
        <v>0.6556577884750997</v>
      </c>
      <c r="Q157" s="2877" cm="1">
        <f t="array" aca="1" ref="Q157" ca="1">INDIRECT("'※ 재무_세부시트'!"&amp;Q$1&amp;$AD157, TRUE)</f>
        <v>0.66760965560390861</v>
      </c>
      <c r="R157" s="2877" cm="1">
        <f t="array" aca="1" ref="R157" ca="1">INDIRECT("'※ 재무_세부시트'!"&amp;R$1&amp;$AD157, TRUE)</f>
        <v>0.59206332346075896</v>
      </c>
      <c r="S157" s="2877" cm="1">
        <f t="array" aca="1" ref="S157" ca="1">INDIRECT("'※ 재무_세부시트'!"&amp;S$1&amp;$AD157, TRUE)</f>
        <v>0.76450663035694288</v>
      </c>
      <c r="T157" s="2791"/>
      <c r="U157" s="2791"/>
      <c r="V157" s="2862"/>
      <c r="W157" s="2888" cm="1">
        <f t="array" aca="1" ref="W157" ca="1">INDIRECT("'※ 재무_세부시트'!"&amp;W$1&amp;$AD157, TRUE)</f>
        <v>0.17244330689618392</v>
      </c>
      <c r="X157" s="2889" cm="1">
        <f t="array" aca="1" ref="X157" ca="1">INDIRECT("'※ 재무_세부시트'!"&amp;X$1&amp;$AD157, TRUE)</f>
        <v>0.76450663035694288</v>
      </c>
      <c r="Y157" s="2889" cm="1">
        <f t="array" aca="1" ref="Y157" ca="1">INDIRECT("'※ 재무_세부시트'!"&amp;Y$1&amp;$AD157, TRUE)</f>
        <v>0</v>
      </c>
      <c r="Z157" s="2890" cm="1">
        <f t="array" aca="1" ref="Z157" ca="1">INDIRECT("'※ 재무_세부시트'!"&amp;Z$1&amp;$AD157, TRUE)</f>
        <v>8.8380679448008372</v>
      </c>
      <c r="AA157" s="2866"/>
      <c r="AB157" s="2794"/>
      <c r="AC157" s="2891" cm="1">
        <f t="array" aca="1" ref="AC157" ca="1">INDIRECT("'※ 재무_세부시트'!"&amp;AC$1&amp;$AD157, TRUE)</f>
        <v>8.8380679448008372</v>
      </c>
      <c r="AD157" s="2441">
        <v>156</v>
      </c>
      <c r="AE157" s="2974">
        <v>1.7091724322564301</v>
      </c>
      <c r="AF157" s="2974">
        <v>2.23722091</v>
      </c>
      <c r="AG157" s="2974">
        <v>2.1646587619991098</v>
      </c>
      <c r="AH157" s="2974">
        <v>1.72726321997717</v>
      </c>
      <c r="AI157" s="2974">
        <v>1.9982823700000001</v>
      </c>
      <c r="AJ157" s="2974">
        <v>2.1075433000000001</v>
      </c>
      <c r="AK157" s="2974">
        <v>2.3856351999999998</v>
      </c>
      <c r="AL157" s="2974">
        <v>2.05046751004787</v>
      </c>
      <c r="AM157" s="2974">
        <v>1.8769094212139401</v>
      </c>
      <c r="AN157" s="2974">
        <v>9.1343458327392995</v>
      </c>
      <c r="AO157" s="2974">
        <v>1.9080831099323499</v>
      </c>
      <c r="AP157" s="2974">
        <v>2.245058538575722</v>
      </c>
      <c r="AQ157" s="2505">
        <f t="shared" si="67"/>
        <v>31.544640606741893</v>
      </c>
      <c r="AR157" s="2488"/>
      <c r="AS157" s="2488"/>
      <c r="AT157" s="2488"/>
      <c r="AU157" s="2488"/>
      <c r="AV157" s="2488"/>
      <c r="AW157" s="2488"/>
      <c r="AX157" s="2488"/>
      <c r="AY157" s="2488"/>
      <c r="AZ157" s="2488"/>
      <c r="BA157" s="2488"/>
      <c r="BB157" s="2488"/>
      <c r="BC157" s="2488"/>
      <c r="BD157" s="2488"/>
      <c r="BE157" s="2488"/>
      <c r="BG157" s="2892" cm="1">
        <f t="array" aca="1" ref="BG157" ca="1">INDIRECT("'※ 재무_세부시트'!"&amp;BG$1&amp;$AD157, TRUE)</f>
        <v>0</v>
      </c>
      <c r="BH157" s="2892" cm="1">
        <f t="array" aca="1" ref="BH157" ca="1">INDIRECT("'※ 재무_세부시트'!"&amp;BH$1&amp;$AD157, TRUE)</f>
        <v>0</v>
      </c>
      <c r="BI157" s="2892" cm="1">
        <f t="array" aca="1" ref="BI157" ca="1">INDIRECT("'※ 재무_세부시트'!"&amp;BI$1&amp;$AD157, TRUE)</f>
        <v>0</v>
      </c>
      <c r="BJ157" s="2892" cm="1">
        <f t="array" aca="1" ref="BJ157" ca="1">INDIRECT("'※ 재무_세부시트'!"&amp;BJ$1&amp;$AD157, TRUE)</f>
        <v>0</v>
      </c>
      <c r="BK157" s="2892" cm="1">
        <f t="array" aca="1" ref="BK157" ca="1">INDIRECT("'※ 재무_세부시트'!"&amp;BK$1&amp;$AD157, TRUE)</f>
        <v>0</v>
      </c>
      <c r="BL157" s="2490"/>
      <c r="BM157" s="2490"/>
    </row>
    <row r="158" spans="1:65" ht="17.25" customHeight="1" x14ac:dyDescent="0.55000000000000004">
      <c r="A158" s="2855"/>
      <c r="B158" s="2493"/>
      <c r="C158" s="2904" t="s">
        <v>17</v>
      </c>
      <c r="D158" s="2905"/>
      <c r="E158" s="2905"/>
      <c r="F158" s="2980"/>
      <c r="G158" s="2980"/>
      <c r="H158" s="2908" cm="1">
        <f t="array" aca="1" ref="H158" ca="1">INDIRECT("'※ 재무_세부시트'!"&amp;H$1&amp;$AD158, TRUE)</f>
        <v>-4.1804479461800605</v>
      </c>
      <c r="I158" s="2909" cm="1">
        <f t="array" aca="1" ref="I158" ca="1">INDIRECT("'※ 재무_세부시트'!"&amp;I$1&amp;$AD158, TRUE)</f>
        <v>-1.6603434504098429</v>
      </c>
      <c r="J158" s="2909" cm="1">
        <f t="array" aca="1" ref="J158" ca="1">INDIRECT("'※ 재무_세부시트'!"&amp;J$1&amp;$AD158, TRUE)</f>
        <v>-3.0069197009757249</v>
      </c>
      <c r="K158" s="2909" cm="1">
        <f t="array" aca="1" ref="K158" ca="1">INDIRECT("'※ 재무_세부시트'!"&amp;K$1&amp;$AD158, TRUE)</f>
        <v>-5.7874243047900924</v>
      </c>
      <c r="L158" s="2909" cm="1">
        <f t="array" aca="1" ref="L158" ca="1">INDIRECT("'※ 재무_세부시트'!"&amp;L$1&amp;$AD158, TRUE)</f>
        <v>-5.7833196762178662</v>
      </c>
      <c r="M158" s="2909" cm="1">
        <f t="array" aca="1" ref="M158" ca="1">INDIRECT("'※ 재무_세부시트'!"&amp;M$1&amp;$AD158, TRUE)</f>
        <v>-2.630973999323007</v>
      </c>
      <c r="N158" s="2909" cm="1">
        <f t="array" aca="1" ref="N158" ca="1">INDIRECT("'※ 재무_세부시트'!"&amp;N$1&amp;$AD158, TRUE)</f>
        <v>-1.5871862364982727</v>
      </c>
      <c r="O158" s="2909" cm="1">
        <f t="array" aca="1" ref="O158" ca="1">INDIRECT("'※ 재무_세부시트'!"&amp;O$1&amp;$AD158, TRUE)</f>
        <v>-4.4666765965718067</v>
      </c>
      <c r="P158" s="2909" cm="1">
        <f t="array" aca="1" ref="P158" ca="1">INDIRECT("'※ 재무_세부시트'!"&amp;P$1&amp;$AD158, TRUE)</f>
        <v>-0.21888727900188387</v>
      </c>
      <c r="Q158" s="2909" cm="1">
        <f t="array" aca="1" ref="Q158" ca="1">INDIRECT("'※ 재무_세부시트'!"&amp;Q$1&amp;$AD158, TRUE)</f>
        <v>-7.8679388933566372</v>
      </c>
      <c r="R158" s="2909" cm="1">
        <f t="array" aca="1" ref="R158" ca="1">INDIRECT("'※ 재무_세부시트'!"&amp;R$1&amp;$AD158, TRUE)</f>
        <v>-4.1149204803617163</v>
      </c>
      <c r="S158" s="2909" cm="1">
        <f t="array" aca="1" ref="S158" ca="1">INDIRECT("'※ 재무_세부시트'!"&amp;S$1&amp;$AD158, TRUE)</f>
        <v>-6.7900874340056001</v>
      </c>
      <c r="T158" s="2791"/>
      <c r="U158" s="2791"/>
      <c r="V158" s="2862"/>
      <c r="W158" s="2910" cm="1">
        <f t="array" aca="1" ref="W158" ca="1">INDIRECT("'※ 재무_세부시트'!"&amp;W$1&amp;$AD158, TRUE)</f>
        <v>-2.6751669536438838</v>
      </c>
      <c r="X158" s="2911" cm="1">
        <f t="array" aca="1" ref="X158" ca="1">INDIRECT("'※ 재무_세부시트'!"&amp;X$1&amp;$AD158, TRUE)</f>
        <v>-6.7900874340056001</v>
      </c>
      <c r="Y158" s="2911" cm="1">
        <f t="array" aca="1" ref="Y158" ca="1">INDIRECT("'※ 재무_세부시트'!"&amp;Y$1&amp;$AD158, TRUE)</f>
        <v>0</v>
      </c>
      <c r="Z158" s="2912" cm="1">
        <f t="array" aca="1" ref="Z158" ca="1">INDIRECT("'※ 재무_세부시트'!"&amp;Z$1&amp;$AD158, TRUE)</f>
        <v>-48.095125997692513</v>
      </c>
      <c r="AA158" s="2866"/>
      <c r="AB158" s="2794"/>
      <c r="AC158" s="2913" cm="1">
        <f t="array" aca="1" ref="AC158" ca="1">INDIRECT("'※ 재무_세부시트'!"&amp;AC$1&amp;$AD158, TRUE)</f>
        <v>-48.095125997692513</v>
      </c>
      <c r="AD158" s="2441">
        <v>157</v>
      </c>
      <c r="AE158" s="2505">
        <f>AE147-AE152-AE159</f>
        <v>0.78469619264848978</v>
      </c>
      <c r="AF158" s="2505">
        <f t="shared" ref="AF158:AP158" si="69">AF147-AF152-AF159</f>
        <v>-1.2221504791790054</v>
      </c>
      <c r="AG158" s="2505">
        <f t="shared" si="69"/>
        <v>3.4039179675585376</v>
      </c>
      <c r="AH158" s="2505">
        <f t="shared" si="69"/>
        <v>0.27353711151211169</v>
      </c>
      <c r="AI158" s="2505">
        <f t="shared" si="69"/>
        <v>5.5556863281973401E-2</v>
      </c>
      <c r="AJ158" s="2505">
        <f t="shared" si="69"/>
        <v>2.6270555680646881</v>
      </c>
      <c r="AK158" s="2505">
        <f t="shared" si="69"/>
        <v>1.2862984462317604</v>
      </c>
      <c r="AL158" s="2505">
        <f t="shared" si="69"/>
        <v>5.7314307837990075E-2</v>
      </c>
      <c r="AM158" s="2505">
        <f t="shared" si="69"/>
        <v>3.9924241319515579</v>
      </c>
      <c r="AN158" s="2505">
        <f t="shared" si="69"/>
        <v>1.5131723841591156</v>
      </c>
      <c r="AO158" s="2505">
        <f t="shared" si="69"/>
        <v>0.89556682460469972</v>
      </c>
      <c r="AP158" s="2505">
        <f t="shared" si="69"/>
        <v>-1.6844151657804178</v>
      </c>
      <c r="AQ158" s="2505">
        <f t="shared" si="67"/>
        <v>11.982974152891501</v>
      </c>
      <c r="AR158" s="2488"/>
      <c r="AS158" s="2488"/>
      <c r="AT158" s="2488"/>
      <c r="AU158" s="2488"/>
      <c r="AV158" s="2488"/>
      <c r="AW158" s="2488"/>
      <c r="AX158" s="2488"/>
      <c r="AY158" s="2488"/>
      <c r="AZ158" s="2488"/>
      <c r="BA158" s="2488"/>
      <c r="BB158" s="2488"/>
      <c r="BC158" s="2488"/>
      <c r="BD158" s="2488"/>
      <c r="BE158" s="2488"/>
      <c r="BG158" s="2914" cm="1">
        <f t="array" aca="1" ref="BG158" ca="1">INDIRECT("'※ 재무_세부시트'!"&amp;BG$1&amp;$AD158, TRUE)</f>
        <v>0</v>
      </c>
      <c r="BH158" s="2914" cm="1">
        <f t="array" aca="1" ref="BH158" ca="1">INDIRECT("'※ 재무_세부시트'!"&amp;BH$1&amp;$AD158, TRUE)</f>
        <v>0</v>
      </c>
      <c r="BI158" s="2914" cm="1">
        <f t="array" aca="1" ref="BI158" ca="1">INDIRECT("'※ 재무_세부시트'!"&amp;BI$1&amp;$AD158, TRUE)</f>
        <v>0</v>
      </c>
      <c r="BJ158" s="2914" cm="1">
        <f t="array" aca="1" ref="BJ158" ca="1">INDIRECT("'※ 재무_세부시트'!"&amp;BJ$1&amp;$AD158, TRUE)</f>
        <v>0</v>
      </c>
      <c r="BK158" s="2914" cm="1">
        <f t="array" aca="1" ref="BK158" ca="1">INDIRECT("'※ 재무_세부시트'!"&amp;BK$1&amp;$AD158, TRUE)</f>
        <v>0</v>
      </c>
      <c r="BL158" s="2490"/>
      <c r="BM158" s="2490"/>
    </row>
    <row r="159" spans="1:65" ht="17.25" customHeight="1" thickBot="1" x14ac:dyDescent="0.6">
      <c r="A159" s="2981"/>
      <c r="B159" s="2982"/>
      <c r="C159" s="2982"/>
      <c r="D159" s="2982" t="s">
        <v>640</v>
      </c>
      <c r="E159" s="2982"/>
      <c r="F159" s="2983"/>
      <c r="G159" s="2983"/>
      <c r="H159" s="2822" cm="1">
        <f t="array" aca="1" ref="H159" ca="1">INDIRECT("'※ 재무_세부시트'!"&amp;H$1&amp;$AD159, TRUE)</f>
        <v>-9.8613445138111364E-2</v>
      </c>
      <c r="I159" s="2823" cm="1">
        <f t="array" aca="1" ref="I159" ca="1">INDIRECT("'※ 재무_세부시트'!"&amp;I$1&amp;$AD159, TRUE)</f>
        <v>0.9510991534000004</v>
      </c>
      <c r="J159" s="2823" cm="1">
        <f t="array" aca="1" ref="J159" ca="1">INDIRECT("'※ 재무_세부시트'!"&amp;J$1&amp;$AD159, TRUE)</f>
        <v>0.23299815200000001</v>
      </c>
      <c r="K159" s="2823" cm="1">
        <f t="array" aca="1" ref="K159" ca="1">INDIRECT("'※ 재무_세부시트'!"&amp;K$1&amp;$AD159, TRUE)</f>
        <v>0.2631332944</v>
      </c>
      <c r="L159" s="2823" cm="1">
        <f t="array" aca="1" ref="L159" ca="1">INDIRECT("'※ 재무_세부시트'!"&amp;L$1&amp;$AD159, TRUE)</f>
        <v>0.73208289959999995</v>
      </c>
      <c r="M159" s="2823" cm="1">
        <f t="array" aca="1" ref="M159" ca="1">INDIRECT("'※ 재무_세부시트'!"&amp;M$1&amp;$AD159, TRUE)</f>
        <v>0.16844787900000002</v>
      </c>
      <c r="N159" s="2823" cm="1">
        <f t="array" aca="1" ref="N159" ca="1">INDIRECT("'※ 재무_세부시트'!"&amp;N$1&amp;$AD159, TRUE)</f>
        <v>0.36031641580000001</v>
      </c>
      <c r="O159" s="2823" cm="1">
        <f t="array" aca="1" ref="O159" ca="1">INDIRECT("'※ 재무_세부시트'!"&amp;O$1&amp;$AD159, TRUE)</f>
        <v>0.97599312400000016</v>
      </c>
      <c r="P159" s="2823" cm="1">
        <f t="array" aca="1" ref="P159" ca="1">INDIRECT("'※ 재무_세부시트'!"&amp;P$1&amp;$AD159, TRUE)</f>
        <v>0.18733223560000001</v>
      </c>
      <c r="Q159" s="2823" cm="1">
        <f t="array" aca="1" ref="Q159" ca="1">INDIRECT("'※ 재무_세부시트'!"&amp;Q$1&amp;$AD159, TRUE)</f>
        <v>0.52126263986186139</v>
      </c>
      <c r="R159" s="2823" cm="1">
        <f t="array" aca="1" ref="R159" ca="1">INDIRECT("'※ 재무_세부시트'!"&amp;R$1&amp;$AD159, TRUE)</f>
        <v>0.6787111040001208</v>
      </c>
      <c r="S159" s="2823" cm="1">
        <f t="array" aca="1" ref="S159" ca="1">INDIRECT("'※ 재무_세부시트'!"&amp;S$1&amp;$AD159, TRUE)</f>
        <v>0.47380438748718262</v>
      </c>
      <c r="T159" s="2824"/>
      <c r="U159" s="2824"/>
      <c r="V159" s="2984"/>
      <c r="W159" s="2985" cm="1">
        <f t="array" aca="1" ref="W159" ca="1">INDIRECT("'※ 재무_세부시트'!"&amp;W$1&amp;$AD159, TRUE)</f>
        <v>-0.20490671651293818</v>
      </c>
      <c r="X159" s="2827" cm="1">
        <f t="array" aca="1" ref="X159" ca="1">INDIRECT("'※ 재무_세부시트'!"&amp;X$1&amp;$AD159, TRUE)</f>
        <v>0.47380438748718262</v>
      </c>
      <c r="Y159" s="2827" cm="1">
        <f t="array" aca="1" ref="Y159" ca="1">INDIRECT("'※ 재무_세부시트'!"&amp;Y$1&amp;$AD159, TRUE)</f>
        <v>0</v>
      </c>
      <c r="Z159" s="2828" cm="1">
        <f t="array" aca="1" ref="Z159" ca="1">INDIRECT("'※ 재무_세부시트'!"&amp;Z$1&amp;$AD159, TRUE)</f>
        <v>5.4465678400110535</v>
      </c>
      <c r="AA159" s="2986"/>
      <c r="AB159" s="2830"/>
      <c r="AC159" s="2831" cm="1">
        <f t="array" aca="1" ref="AC159" ca="1">INDIRECT("'※ 재무_세부시트'!"&amp;AC$1&amp;$AD159, TRUE)</f>
        <v>5.4465678400110535</v>
      </c>
      <c r="AD159" s="2441">
        <v>158</v>
      </c>
      <c r="AE159" s="2976">
        <v>0.74739814678134986</v>
      </c>
      <c r="AF159" s="2976">
        <v>2.3533095348282544</v>
      </c>
      <c r="AG159" s="2976">
        <v>1.163927557303627</v>
      </c>
      <c r="AH159" s="2976">
        <v>0.83575755803377749</v>
      </c>
      <c r="AI159" s="2976">
        <v>1.2546584134686591</v>
      </c>
      <c r="AJ159" s="2976">
        <v>1.8550125777793938</v>
      </c>
      <c r="AK159" s="2976">
        <v>0.34761306717226942</v>
      </c>
      <c r="AL159" s="2976">
        <v>2.1920964607604474</v>
      </c>
      <c r="AM159" s="2976">
        <v>1.5542079202840859</v>
      </c>
      <c r="AN159" s="2976">
        <v>1.3805419353036723</v>
      </c>
      <c r="AO159" s="2976">
        <v>0.8996471874929739</v>
      </c>
      <c r="AP159" s="2976">
        <v>1.9505178012635898</v>
      </c>
      <c r="AQ159" s="2977">
        <f t="shared" si="67"/>
        <v>16.534688160472097</v>
      </c>
      <c r="AR159" s="2488"/>
      <c r="AS159" s="2488"/>
      <c r="AT159" s="2488"/>
      <c r="AU159" s="2488"/>
      <c r="AV159" s="2488"/>
      <c r="AW159" s="2488"/>
      <c r="AX159" s="2488"/>
      <c r="AY159" s="2488"/>
      <c r="AZ159" s="2488"/>
      <c r="BA159" s="2488"/>
      <c r="BB159" s="2488"/>
      <c r="BC159" s="2488"/>
      <c r="BD159" s="2488"/>
      <c r="BE159" s="2488"/>
      <c r="BG159" s="2918" cm="1">
        <f t="array" aca="1" ref="BG159" ca="1">INDIRECT("'※ 재무_세부시트'!"&amp;BG$1&amp;$AD159, TRUE)</f>
        <v>0</v>
      </c>
      <c r="BH159" s="2918" cm="1">
        <f t="array" aca="1" ref="BH159" ca="1">INDIRECT("'※ 재무_세부시트'!"&amp;BH$1&amp;$AD159, TRUE)</f>
        <v>0</v>
      </c>
      <c r="BI159" s="2918" cm="1">
        <f t="array" aca="1" ref="BI159" ca="1">INDIRECT("'※ 재무_세부시트'!"&amp;BI$1&amp;$AD159, TRUE)</f>
        <v>0</v>
      </c>
      <c r="BJ159" s="2918" cm="1">
        <f t="array" aca="1" ref="BJ159" ca="1">INDIRECT("'※ 재무_세부시트'!"&amp;BJ$1&amp;$AD159, TRUE)</f>
        <v>0</v>
      </c>
      <c r="BK159" s="2918" cm="1">
        <f t="array" aca="1" ref="BK159" ca="1">INDIRECT("'※ 재무_세부시트'!"&amp;BK$1&amp;$AD159, TRUE)</f>
        <v>0</v>
      </c>
      <c r="BL159" s="2490"/>
      <c r="BM159" s="2490"/>
    </row>
    <row r="160" spans="1:65" ht="15.45" thickTop="1" x14ac:dyDescent="0.55000000000000004"/>
  </sheetData>
  <mergeCells count="7">
    <mergeCell ref="A5:D5"/>
    <mergeCell ref="BG2:BK2"/>
    <mergeCell ref="Z4:AC4"/>
    <mergeCell ref="BG4:BH4"/>
    <mergeCell ref="BI4:BJ4"/>
    <mergeCell ref="A2:AC2"/>
    <mergeCell ref="H4:X4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38" fitToHeight="0" orientation="landscape" r:id="rId1"/>
  <headerFooter scaleWithDoc="0">
    <oddFooter>&amp;R&amp;"-,기울임꼴"&amp;8&amp;P &amp; 페이지</oddFooter>
  </headerFooter>
  <rowBreaks count="2" manualBreakCount="2">
    <brk id="55" max="16383" man="1"/>
    <brk id="91" max="2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91CA-90EA-4353-9903-9B9E60016AB8}">
  <sheetPr codeName="Sheet2">
    <tabColor theme="7" tint="0.79998168889431442"/>
  </sheetPr>
  <dimension ref="A1:DG191"/>
  <sheetViews>
    <sheetView showGridLines="0" view="pageBreakPreview" topLeftCell="A16" zoomScale="55" zoomScaleNormal="40" zoomScaleSheetLayoutView="55" workbookViewId="0">
      <pane xSplit="5" topLeftCell="AZ1" activePane="topRight" state="frozen"/>
      <selection sqref="A1:XFD1048576"/>
      <selection pane="topRight" activeCell="BL13" sqref="BL13"/>
    </sheetView>
  </sheetViews>
  <sheetFormatPr defaultRowHeight="15" outlineLevelRow="1" outlineLevelCol="4" x14ac:dyDescent="0.55000000000000004"/>
  <cols>
    <col min="1" max="1" width="9.92578125" style="2441" customWidth="1"/>
    <col min="2" max="2" width="6.35546875" style="2441" customWidth="1"/>
    <col min="3" max="3" width="10.85546875" style="2441" customWidth="1"/>
    <col min="4" max="4" width="22" style="2441" customWidth="1"/>
    <col min="5" max="5" width="34.640625" style="2441" customWidth="1"/>
    <col min="6" max="17" width="11.42578125" style="2441" hidden="1" customWidth="1" outlineLevel="4"/>
    <col min="18" max="18" width="11.42578125" style="2441" hidden="1" customWidth="1" outlineLevel="3" collapsed="1"/>
    <col min="19" max="29" width="11.42578125" style="2441" hidden="1" customWidth="1" outlineLevel="3"/>
    <col min="30" max="30" width="11.42578125" style="2441" hidden="1" customWidth="1" outlineLevel="2" collapsed="1"/>
    <col min="31" max="41" width="11.42578125" style="2441" hidden="1" customWidth="1" outlineLevel="2"/>
    <col min="42" max="42" width="11.42578125" style="2493" hidden="1" customWidth="1" outlineLevel="2"/>
    <col min="43" max="43" width="9.640625" style="2441" customWidth="1" outlineLevel="1" collapsed="1"/>
    <col min="44" max="64" width="9.640625" style="2441" customWidth="1" outlineLevel="1"/>
    <col min="65" max="65" width="9.42578125" style="2441" customWidth="1" outlineLevel="1"/>
    <col min="66" max="66" width="9.42578125" style="6081" customWidth="1" outlineLevel="1"/>
    <col min="67" max="67" width="9.42578125" style="2441" customWidth="1" outlineLevel="1"/>
    <col min="68" max="68" width="9.42578125" style="2441" customWidth="1"/>
    <col min="69" max="69" width="9.640625" style="2441" customWidth="1"/>
    <col min="70" max="70" width="9.640625" style="5138" customWidth="1"/>
    <col min="71" max="77" width="9.640625" style="2441" customWidth="1"/>
    <col min="78" max="78" width="9.42578125" style="2441" customWidth="1"/>
    <col min="79" max="79" width="9.42578125" style="6081" customWidth="1"/>
    <col min="80" max="80" width="9.42578125" style="2441" customWidth="1"/>
    <col min="81" max="82" width="9.640625" style="2441" hidden="1" customWidth="1"/>
    <col min="83" max="84" width="9.640625" style="2441" customWidth="1"/>
    <col min="85" max="85" width="9.640625" style="2441" hidden="1" customWidth="1"/>
    <col min="86" max="86" width="9.640625" style="2441" customWidth="1"/>
    <col min="87" max="88" width="9.640625" style="2441" hidden="1" customWidth="1"/>
    <col min="89" max="89" width="9.640625" style="2441" customWidth="1"/>
    <col min="90" max="90" width="10.0703125" style="2441" customWidth="1"/>
    <col min="91" max="91" width="15.7109375" style="2441" customWidth="1"/>
    <col min="92" max="104" width="9.640625" style="2441" customWidth="1"/>
    <col min="105" max="105" width="8.640625" style="2441" customWidth="1"/>
    <col min="106" max="106" width="10.640625" style="2441" customWidth="1"/>
    <col min="107" max="109" width="8.640625" style="2441" customWidth="1"/>
    <col min="110" max="110" width="9.5" style="2441" bestFit="1" customWidth="1"/>
    <col min="111" max="16384" width="9.140625" style="2441"/>
  </cols>
  <sheetData>
    <row r="1" spans="1:111" x14ac:dyDescent="0.55000000000000004">
      <c r="F1" s="3311" t="s">
        <v>683</v>
      </c>
      <c r="G1" s="3311"/>
      <c r="H1" s="3311"/>
      <c r="I1" s="3311"/>
      <c r="J1" s="3311"/>
      <c r="K1" s="3311"/>
      <c r="L1" s="3311"/>
      <c r="M1" s="3311"/>
      <c r="N1" s="3311"/>
      <c r="O1" s="3311"/>
      <c r="P1" s="3311"/>
      <c r="Q1" s="3311"/>
      <c r="R1" s="3311" t="s">
        <v>683</v>
      </c>
      <c r="S1" s="3311"/>
      <c r="T1" s="3311"/>
      <c r="U1" s="3311"/>
      <c r="V1" s="3311"/>
      <c r="W1" s="3311"/>
      <c r="X1" s="3311"/>
      <c r="Y1" s="3311"/>
      <c r="Z1" s="3311"/>
      <c r="AA1" s="3311"/>
      <c r="AB1" s="3311"/>
      <c r="AC1" s="3311"/>
      <c r="AD1" s="3311"/>
      <c r="AE1" s="3311"/>
      <c r="AF1" s="3311"/>
      <c r="AG1" s="3311"/>
      <c r="AH1" s="3311"/>
      <c r="AI1" s="3311"/>
      <c r="AJ1" s="3311"/>
      <c r="AK1" s="3311"/>
      <c r="AL1" s="3311"/>
      <c r="AM1" s="3311"/>
      <c r="AN1" s="3311"/>
      <c r="AO1" s="3311"/>
      <c r="AP1" s="6080"/>
      <c r="BD1" s="3694"/>
      <c r="BE1" s="3694"/>
      <c r="BF1" s="3694"/>
      <c r="BG1" s="3694"/>
      <c r="BH1" s="3694"/>
      <c r="BI1" s="3694"/>
      <c r="BJ1" s="3694"/>
      <c r="BK1" s="3694"/>
      <c r="BL1" s="3694"/>
      <c r="BM1" s="3694"/>
      <c r="BN1" s="3694"/>
      <c r="BO1" s="3694"/>
      <c r="BQ1" s="6082"/>
      <c r="BR1" s="6082"/>
      <c r="BS1" s="6082"/>
      <c r="BT1" s="6082"/>
      <c r="BU1" s="6082"/>
      <c r="BV1" s="6082"/>
      <c r="BW1" s="6082"/>
      <c r="BX1" s="6082"/>
      <c r="BY1" s="6082"/>
      <c r="BZ1" s="6082"/>
      <c r="CN1" s="2455" t="s">
        <v>580</v>
      </c>
    </row>
    <row r="2" spans="1:111" ht="25.5" customHeight="1" thickBot="1" x14ac:dyDescent="0.6">
      <c r="A2" s="4873" t="s">
        <v>18</v>
      </c>
      <c r="E2" s="5735">
        <f>'2-(1) 수수료 기준_가입자(무선)'!A1</f>
        <v>12.000999999999999</v>
      </c>
      <c r="F2" s="6083"/>
      <c r="G2" s="6083"/>
      <c r="H2" s="6083"/>
      <c r="I2" s="6083">
        <v>1000000</v>
      </c>
      <c r="J2" s="6083">
        <v>21227.5</v>
      </c>
      <c r="K2" s="6083">
        <v>2797.8</v>
      </c>
      <c r="L2" s="6083">
        <v>-9071.2999999999993</v>
      </c>
      <c r="M2" s="6083" t="e">
        <f>J2/SUM($AH$2:$AI$2)</f>
        <v>#DIV/0!</v>
      </c>
      <c r="N2" s="6083" t="e">
        <f>K2/SUM($AH$2:$AI$2)</f>
        <v>#DIV/0!</v>
      </c>
      <c r="O2" s="6083" t="e">
        <f>$AJ$2*M2</f>
        <v>#DIV/0!</v>
      </c>
      <c r="P2" s="6083" t="e">
        <f>$AJ$2*N2</f>
        <v>#DIV/0!</v>
      </c>
      <c r="Q2" s="6083"/>
      <c r="R2" s="6083"/>
      <c r="S2" s="6083"/>
      <c r="T2" s="6083"/>
      <c r="U2" s="6083">
        <v>1000000</v>
      </c>
      <c r="V2" s="6083">
        <v>21227.5</v>
      </c>
      <c r="W2" s="6083">
        <v>2797.8</v>
      </c>
      <c r="X2" s="6083">
        <v>-9071.2999999999993</v>
      </c>
      <c r="Y2" s="6083" t="e">
        <f>V2/SUM($AH$2:$AI$2)</f>
        <v>#DIV/0!</v>
      </c>
      <c r="Z2" s="6083" t="e">
        <f>W2/SUM($AH$2:$AI$2)</f>
        <v>#DIV/0!</v>
      </c>
      <c r="AA2" s="6083" t="e">
        <f>$AJ$2*Y2</f>
        <v>#DIV/0!</v>
      </c>
      <c r="AB2" s="6083" t="e">
        <f>$AJ$2*Z2</f>
        <v>#DIV/0!</v>
      </c>
      <c r="AC2" s="6083"/>
      <c r="AD2" s="6083"/>
      <c r="AE2" s="6083"/>
      <c r="AF2" s="6083"/>
      <c r="AG2" s="6083"/>
      <c r="AH2" s="6083"/>
      <c r="AI2" s="6083"/>
      <c r="AJ2" s="6083"/>
      <c r="AK2" s="6083"/>
      <c r="AL2" s="6083"/>
      <c r="AM2" s="6083"/>
      <c r="AN2" s="6083"/>
      <c r="AO2" s="6083"/>
      <c r="AP2" s="6084"/>
      <c r="AQ2" s="6085">
        <v>1.0009999999999999</v>
      </c>
      <c r="AR2" s="6085">
        <v>2.0009999999999999</v>
      </c>
      <c r="AS2" s="6085">
        <v>3.0009999999999999</v>
      </c>
      <c r="AT2" s="6085">
        <v>4.0010000000000003</v>
      </c>
      <c r="AU2" s="6085">
        <v>5.0010000000000003</v>
      </c>
      <c r="AV2" s="6085">
        <v>6.0010000000000003</v>
      </c>
      <c r="AW2" s="6085">
        <v>7.0010000000000003</v>
      </c>
      <c r="AX2" s="6085">
        <v>8.0009999999999994</v>
      </c>
      <c r="AY2" s="6085">
        <v>9.0009999999999994</v>
      </c>
      <c r="AZ2" s="6085">
        <v>10.000999999999999</v>
      </c>
      <c r="BA2" s="6085">
        <v>11.000999999999999</v>
      </c>
      <c r="BB2" s="6085">
        <v>12.000999999999999</v>
      </c>
      <c r="BC2" s="6083"/>
      <c r="BD2" s="6085">
        <v>1.0009999999999999</v>
      </c>
      <c r="BE2" s="6085">
        <v>2.0009999999999999</v>
      </c>
      <c r="BF2" s="6085">
        <v>3.0009999999999999</v>
      </c>
      <c r="BG2" s="6085">
        <v>4.0010000000000003</v>
      </c>
      <c r="BH2" s="6085">
        <v>5.0010000000000003</v>
      </c>
      <c r="BI2" s="6085">
        <v>6.0010000000000003</v>
      </c>
      <c r="BJ2" s="6085">
        <v>7.0010000000000003</v>
      </c>
      <c r="BK2" s="6085">
        <v>8.0009999999999994</v>
      </c>
      <c r="BL2" s="6085">
        <v>9.0009999999999994</v>
      </c>
      <c r="BM2" s="6085">
        <v>10.000999999999999</v>
      </c>
      <c r="BN2" s="6086">
        <v>11.000999999999999</v>
      </c>
      <c r="BO2" s="6085">
        <v>12.000999999999999</v>
      </c>
      <c r="BP2" s="6085"/>
      <c r="BQ2" s="6085">
        <v>1.0009999999999999</v>
      </c>
      <c r="BR2" s="6085">
        <v>2.0009999999999999</v>
      </c>
      <c r="BS2" s="6085">
        <v>3.0009999999999999</v>
      </c>
      <c r="BT2" s="6085">
        <v>4.0010000000000003</v>
      </c>
      <c r="BU2" s="6085">
        <v>5.0010000000000003</v>
      </c>
      <c r="BV2" s="6085">
        <v>6.0010000000000003</v>
      </c>
      <c r="BW2" s="6085">
        <v>7.0010000000000003</v>
      </c>
      <c r="BX2" s="6085">
        <v>8.0009999999999994</v>
      </c>
      <c r="BY2" s="6085">
        <v>9.0009999999999994</v>
      </c>
      <c r="BZ2" s="6085">
        <v>10.000999999999999</v>
      </c>
      <c r="CA2" s="6086">
        <v>11.000999999999999</v>
      </c>
      <c r="CB2" s="6085">
        <v>12.000999999999999</v>
      </c>
      <c r="CH2" s="6087"/>
      <c r="CI2" s="6087"/>
      <c r="CJ2" s="6087"/>
      <c r="CK2" s="6087"/>
      <c r="CL2" s="6087"/>
      <c r="CN2" s="6088">
        <v>1.0009999999999999</v>
      </c>
      <c r="CO2" s="6088">
        <v>2.0009999999999999</v>
      </c>
      <c r="CP2" s="6088">
        <v>3.0009999999999999</v>
      </c>
      <c r="CQ2" s="6088">
        <v>4.0010000000000003</v>
      </c>
      <c r="CR2" s="6088">
        <v>5.0010000000000003</v>
      </c>
      <c r="CS2" s="6088">
        <v>6.0010000000000003</v>
      </c>
      <c r="CT2" s="6088">
        <v>7.0010000000000003</v>
      </c>
      <c r="CU2" s="6088">
        <v>8.0009999999999994</v>
      </c>
      <c r="CV2" s="6088">
        <v>9.0009999999999994</v>
      </c>
      <c r="CW2" s="6088">
        <v>10.000999999999999</v>
      </c>
      <c r="CX2" s="6088">
        <v>11.000999999999999</v>
      </c>
      <c r="CY2" s="6088">
        <v>12.000999999999999</v>
      </c>
    </row>
    <row r="3" spans="1:111" ht="26.05" customHeight="1" thickBot="1" x14ac:dyDescent="0.6">
      <c r="A3" s="2441" t="s">
        <v>4</v>
      </c>
      <c r="B3" s="2450"/>
      <c r="C3" s="2450"/>
      <c r="D3" s="2450"/>
      <c r="E3" s="6089" t="s">
        <v>646</v>
      </c>
      <c r="F3" s="6090" t="s">
        <v>684</v>
      </c>
      <c r="G3" s="6091"/>
      <c r="H3" s="6091"/>
      <c r="I3" s="6092"/>
      <c r="J3" s="6092"/>
      <c r="K3" s="6092"/>
      <c r="L3" s="6092"/>
      <c r="M3" s="6093">
        <f>M5-M7-M55</f>
        <v>20.234601349999963</v>
      </c>
      <c r="N3" s="6092"/>
      <c r="O3" s="6092"/>
      <c r="P3" s="6092"/>
      <c r="Q3" s="6094"/>
      <c r="R3" s="6095" t="s">
        <v>685</v>
      </c>
      <c r="S3" s="6096"/>
      <c r="T3" s="6096"/>
      <c r="U3" s="6096"/>
      <c r="V3" s="6096"/>
      <c r="W3" s="6096"/>
      <c r="X3" s="6096"/>
      <c r="Y3" s="6097">
        <f>Y5-Y7-Y55</f>
        <v>7.497450260000079</v>
      </c>
      <c r="Z3" s="6096"/>
      <c r="AA3" s="6096"/>
      <c r="AB3" s="6096"/>
      <c r="AC3" s="6096"/>
      <c r="AD3" s="6098" t="s">
        <v>686</v>
      </c>
      <c r="AE3" s="6099"/>
      <c r="AF3" s="6099"/>
      <c r="AG3" s="6099"/>
      <c r="AH3" s="6099"/>
      <c r="AI3" s="6099"/>
      <c r="AJ3" s="6099"/>
      <c r="AK3" s="6100">
        <f>AK5-AK7-AK55</f>
        <v>10.433726100000058</v>
      </c>
      <c r="AL3" s="6099"/>
      <c r="AM3" s="6101"/>
      <c r="AN3" s="6101"/>
      <c r="AO3" s="6101"/>
      <c r="AP3" s="6101"/>
      <c r="AQ3" s="6102" t="s">
        <v>1084</v>
      </c>
      <c r="AR3" s="6103"/>
      <c r="AS3" s="6103"/>
      <c r="AT3" s="6103"/>
      <c r="AU3" s="6103"/>
      <c r="AV3" s="6103"/>
      <c r="AW3" s="6103"/>
      <c r="AX3" s="6103"/>
      <c r="AY3" s="6103"/>
      <c r="AZ3" s="6103"/>
      <c r="BA3" s="6103"/>
      <c r="BB3" s="6103"/>
      <c r="BC3" s="6104"/>
      <c r="BD3" s="6105" t="s">
        <v>1085</v>
      </c>
      <c r="BE3" s="6106"/>
      <c r="BF3" s="6106"/>
      <c r="BG3" s="6106"/>
      <c r="BH3" s="6106"/>
      <c r="BI3" s="6106"/>
      <c r="BJ3" s="6106"/>
      <c r="BK3" s="6106"/>
      <c r="BL3" s="6106"/>
      <c r="BM3" s="6106"/>
      <c r="BN3" s="6106"/>
      <c r="BO3" s="6106"/>
      <c r="BP3" s="6107"/>
      <c r="BQ3" s="6108" t="s">
        <v>1086</v>
      </c>
      <c r="BR3" s="6109"/>
      <c r="BS3" s="6110"/>
      <c r="BT3" s="6110"/>
      <c r="BU3" s="6110"/>
      <c r="BV3" s="6110"/>
      <c r="BW3" s="6110"/>
      <c r="BX3" s="6110"/>
      <c r="BY3" s="6110"/>
      <c r="BZ3" s="6110"/>
      <c r="CA3" s="6110"/>
      <c r="CB3" s="6110"/>
      <c r="CC3" s="6110"/>
      <c r="CD3" s="6110"/>
      <c r="CE3" s="6110"/>
      <c r="CF3" s="6110"/>
      <c r="CG3" s="6111"/>
      <c r="CH3" s="7086" t="str">
        <f>"연간누적실적(~"&amp;E2-0.001&amp;"월)"</f>
        <v>연간누적실적(~12월)</v>
      </c>
      <c r="CI3" s="7087"/>
      <c r="CJ3" s="7087"/>
      <c r="CK3" s="7088"/>
    </row>
    <row r="4" spans="1:111" ht="16.75" customHeight="1" thickBot="1" x14ac:dyDescent="0.6">
      <c r="A4" s="7081" t="s">
        <v>127</v>
      </c>
      <c r="B4" s="7082"/>
      <c r="C4" s="7082"/>
      <c r="D4" s="7083"/>
      <c r="E4" s="6112" t="s">
        <v>128</v>
      </c>
      <c r="F4" s="6113" t="s">
        <v>688</v>
      </c>
      <c r="G4" s="6114" t="s">
        <v>689</v>
      </c>
      <c r="H4" s="6114" t="s">
        <v>690</v>
      </c>
      <c r="I4" s="6114" t="s">
        <v>691</v>
      </c>
      <c r="J4" s="6114" t="s">
        <v>692</v>
      </c>
      <c r="K4" s="6114" t="s">
        <v>693</v>
      </c>
      <c r="L4" s="6114" t="s">
        <v>694</v>
      </c>
      <c r="M4" s="6114" t="s">
        <v>695</v>
      </c>
      <c r="N4" s="6114" t="s">
        <v>696</v>
      </c>
      <c r="O4" s="6114" t="s">
        <v>697</v>
      </c>
      <c r="P4" s="6114" t="s">
        <v>698</v>
      </c>
      <c r="Q4" s="6115" t="s">
        <v>699</v>
      </c>
      <c r="R4" s="6116" t="s">
        <v>700</v>
      </c>
      <c r="S4" s="6116" t="s">
        <v>701</v>
      </c>
      <c r="T4" s="6116" t="s">
        <v>702</v>
      </c>
      <c r="U4" s="6116" t="s">
        <v>703</v>
      </c>
      <c r="V4" s="6116" t="s">
        <v>704</v>
      </c>
      <c r="W4" s="6116" t="s">
        <v>705</v>
      </c>
      <c r="X4" s="6116" t="s">
        <v>706</v>
      </c>
      <c r="Y4" s="6116" t="s">
        <v>707</v>
      </c>
      <c r="Z4" s="6116" t="s">
        <v>708</v>
      </c>
      <c r="AA4" s="6116" t="s">
        <v>709</v>
      </c>
      <c r="AB4" s="6116" t="s">
        <v>710</v>
      </c>
      <c r="AC4" s="6116" t="s">
        <v>711</v>
      </c>
      <c r="AD4" s="6117" t="s">
        <v>500</v>
      </c>
      <c r="AE4" s="6118" t="s">
        <v>381</v>
      </c>
      <c r="AF4" s="6118" t="s">
        <v>382</v>
      </c>
      <c r="AG4" s="6118" t="s">
        <v>383</v>
      </c>
      <c r="AH4" s="6118" t="s">
        <v>384</v>
      </c>
      <c r="AI4" s="6118" t="s">
        <v>385</v>
      </c>
      <c r="AJ4" s="6118" t="s">
        <v>386</v>
      </c>
      <c r="AK4" s="6118" t="s">
        <v>387</v>
      </c>
      <c r="AL4" s="6118" t="s">
        <v>388</v>
      </c>
      <c r="AM4" s="6118" t="s">
        <v>389</v>
      </c>
      <c r="AN4" s="6118" t="s">
        <v>390</v>
      </c>
      <c r="AO4" s="6118" t="s">
        <v>391</v>
      </c>
      <c r="AP4" s="6119" t="s">
        <v>593</v>
      </c>
      <c r="AQ4" s="6120" t="s">
        <v>581</v>
      </c>
      <c r="AR4" s="6121" t="s">
        <v>582</v>
      </c>
      <c r="AS4" s="6121" t="s">
        <v>583</v>
      </c>
      <c r="AT4" s="6121" t="s">
        <v>584</v>
      </c>
      <c r="AU4" s="6121" t="s">
        <v>585</v>
      </c>
      <c r="AV4" s="6121" t="s">
        <v>586</v>
      </c>
      <c r="AW4" s="6121" t="s">
        <v>587</v>
      </c>
      <c r="AX4" s="6121" t="s">
        <v>588</v>
      </c>
      <c r="AY4" s="6121" t="s">
        <v>589</v>
      </c>
      <c r="AZ4" s="6121" t="s">
        <v>590</v>
      </c>
      <c r="BA4" s="6121" t="s">
        <v>591</v>
      </c>
      <c r="BB4" s="6121" t="s">
        <v>592</v>
      </c>
      <c r="BC4" s="6122" t="s">
        <v>593</v>
      </c>
      <c r="BD4" s="6123" t="s">
        <v>2</v>
      </c>
      <c r="BE4" s="6123" t="s">
        <v>3</v>
      </c>
      <c r="BF4" s="6123" t="s">
        <v>159</v>
      </c>
      <c r="BG4" s="6123" t="s">
        <v>358</v>
      </c>
      <c r="BH4" s="6123" t="s">
        <v>359</v>
      </c>
      <c r="BI4" s="6123" t="s">
        <v>649</v>
      </c>
      <c r="BJ4" s="6123" t="s">
        <v>712</v>
      </c>
      <c r="BK4" s="6123" t="s">
        <v>713</v>
      </c>
      <c r="BL4" s="6123" t="s">
        <v>363</v>
      </c>
      <c r="BM4" s="6123" t="s">
        <v>364</v>
      </c>
      <c r="BN4" s="6124" t="s">
        <v>365</v>
      </c>
      <c r="BO4" s="6123" t="s">
        <v>366</v>
      </c>
      <c r="BP4" s="6125" t="s">
        <v>593</v>
      </c>
      <c r="BQ4" s="6126" t="s">
        <v>1021</v>
      </c>
      <c r="BR4" s="6127" t="s">
        <v>1022</v>
      </c>
      <c r="BS4" s="6126" t="s">
        <v>1024</v>
      </c>
      <c r="BT4" s="6126" t="s">
        <v>1025</v>
      </c>
      <c r="BU4" s="6126" t="s">
        <v>1026</v>
      </c>
      <c r="BV4" s="6126" t="s">
        <v>1027</v>
      </c>
      <c r="BW4" s="6126" t="s">
        <v>1028</v>
      </c>
      <c r="BX4" s="6126" t="s">
        <v>1029</v>
      </c>
      <c r="BY4" s="6126" t="s">
        <v>1030</v>
      </c>
      <c r="BZ4" s="6126" t="s">
        <v>1031</v>
      </c>
      <c r="CA4" s="6126" t="s">
        <v>1087</v>
      </c>
      <c r="CB4" s="6126" t="s">
        <v>1033</v>
      </c>
      <c r="CC4" s="6126" t="s">
        <v>8</v>
      </c>
      <c r="CD4" s="6126" t="s">
        <v>9</v>
      </c>
      <c r="CE4" s="2462" t="s">
        <v>133</v>
      </c>
      <c r="CF4" s="2463" t="s">
        <v>463</v>
      </c>
      <c r="CG4" s="2463" t="s">
        <v>753</v>
      </c>
      <c r="CH4" s="6128" t="s">
        <v>45</v>
      </c>
      <c r="CI4" s="2465" t="s">
        <v>8</v>
      </c>
      <c r="CJ4" s="2465" t="s">
        <v>9</v>
      </c>
      <c r="CK4" s="6129" t="s">
        <v>609</v>
      </c>
      <c r="CN4" s="6130" t="s">
        <v>1021</v>
      </c>
      <c r="CO4" s="6130" t="s">
        <v>1022</v>
      </c>
      <c r="CP4" s="6130" t="s">
        <v>1024</v>
      </c>
      <c r="CQ4" s="6130" t="s">
        <v>1025</v>
      </c>
      <c r="CR4" s="6130" t="s">
        <v>1026</v>
      </c>
      <c r="CS4" s="6130" t="s">
        <v>1027</v>
      </c>
      <c r="CT4" s="6130" t="s">
        <v>1028</v>
      </c>
      <c r="CU4" s="6130" t="s">
        <v>1029</v>
      </c>
      <c r="CV4" s="6130" t="s">
        <v>1030</v>
      </c>
      <c r="CW4" s="6130" t="s">
        <v>1031</v>
      </c>
      <c r="CX4" s="6130" t="s">
        <v>1032</v>
      </c>
      <c r="CY4" s="6130" t="s">
        <v>1033</v>
      </c>
      <c r="CZ4" s="6131" t="s">
        <v>593</v>
      </c>
    </row>
    <row r="5" spans="1:111" ht="16.5" customHeight="1" x14ac:dyDescent="0.55000000000000004">
      <c r="A5" s="6132" t="s">
        <v>1211</v>
      </c>
      <c r="B5" s="4102"/>
      <c r="C5" s="4102"/>
      <c r="D5" s="4102"/>
      <c r="E5" s="4102"/>
      <c r="F5" s="6133">
        <v>569.51146795</v>
      </c>
      <c r="G5" s="6134">
        <v>578.34211667</v>
      </c>
      <c r="H5" s="6134">
        <v>568.02298876999998</v>
      </c>
      <c r="I5" s="6134">
        <v>502.95302114999998</v>
      </c>
      <c r="J5" s="6134">
        <v>524.24926958000003</v>
      </c>
      <c r="K5" s="6134">
        <v>452.26849212000002</v>
      </c>
      <c r="L5" s="6134">
        <v>441.22264401000001</v>
      </c>
      <c r="M5" s="6134">
        <v>662.73823578999998</v>
      </c>
      <c r="N5" s="6134">
        <v>521.37493799000003</v>
      </c>
      <c r="O5" s="6134">
        <v>575.08277333000001</v>
      </c>
      <c r="P5" s="6134">
        <v>654.55505189999997</v>
      </c>
      <c r="Q5" s="6135">
        <v>561.64880821999998</v>
      </c>
      <c r="R5" s="6134">
        <v>567.26061665999998</v>
      </c>
      <c r="S5" s="6134">
        <v>506.97307469999998</v>
      </c>
      <c r="T5" s="6134">
        <v>509.60569885000001</v>
      </c>
      <c r="U5" s="6134">
        <v>534.82581274000006</v>
      </c>
      <c r="V5" s="6134">
        <v>511.04062663999997</v>
      </c>
      <c r="W5" s="6134">
        <v>530.63334063000002</v>
      </c>
      <c r="X5" s="6134">
        <v>495.89081677999997</v>
      </c>
      <c r="Y5" s="6134">
        <v>721.12800621000008</v>
      </c>
      <c r="Z5" s="6134">
        <v>658.38127472999997</v>
      </c>
      <c r="AA5" s="6134">
        <v>804.74587844000007</v>
      </c>
      <c r="AB5" s="6134">
        <v>644.27229915999999</v>
      </c>
      <c r="AC5" s="6134">
        <v>616.92995840000003</v>
      </c>
      <c r="AD5" s="6133">
        <f t="shared" ref="AD5:AI5" si="0">AD6+AD12+AD50</f>
        <v>465.97</v>
      </c>
      <c r="AE5" s="6134">
        <f t="shared" si="0"/>
        <v>686.76050108000004</v>
      </c>
      <c r="AF5" s="6134">
        <f t="shared" si="0"/>
        <v>518.85</v>
      </c>
      <c r="AG5" s="6134">
        <f t="shared" si="0"/>
        <v>515.35</v>
      </c>
      <c r="AH5" s="6134">
        <f t="shared" si="0"/>
        <v>562.34999999999991</v>
      </c>
      <c r="AI5" s="6136">
        <f t="shared" si="0"/>
        <v>609.07305031999999</v>
      </c>
      <c r="AJ5" s="6134">
        <v>486.34171562</v>
      </c>
      <c r="AK5" s="6134">
        <v>764.86150228999998</v>
      </c>
      <c r="AL5" s="6134">
        <v>529.65775699999995</v>
      </c>
      <c r="AM5" s="6134">
        <v>958.54831197999999</v>
      </c>
      <c r="AN5" s="6134">
        <v>582.43953033000003</v>
      </c>
      <c r="AO5" s="6134">
        <v>605.07119650999994</v>
      </c>
      <c r="AP5" s="6135">
        <f>SUM(AD5:AO5)</f>
        <v>7285.273565129999</v>
      </c>
      <c r="AQ5" s="6137">
        <v>474.37247896999997</v>
      </c>
      <c r="AR5" s="6138">
        <v>736.97131250999996</v>
      </c>
      <c r="AS5" s="6138">
        <v>520.49605724000003</v>
      </c>
      <c r="AT5" s="6138">
        <v>489.87118201000004</v>
      </c>
      <c r="AU5" s="6138">
        <v>510.89927579999988</v>
      </c>
      <c r="AV5" s="6138">
        <v>472.27082456000005</v>
      </c>
      <c r="AW5" s="6138">
        <v>412.06066977</v>
      </c>
      <c r="AX5" s="6138">
        <v>845.34421192000002</v>
      </c>
      <c r="AY5" s="6138">
        <v>469.75417109</v>
      </c>
      <c r="AZ5" s="6138">
        <v>1016.6928875100001</v>
      </c>
      <c r="BA5" s="6138">
        <v>514.05646851999995</v>
      </c>
      <c r="BB5" s="6138">
        <v>488.55514677999997</v>
      </c>
      <c r="BC5" s="6139">
        <v>6951.3446866799995</v>
      </c>
      <c r="BD5" s="6140">
        <f t="shared" ref="BD5:BJ5" si="1">BD6+BD12+BD50</f>
        <v>1190.05803769</v>
      </c>
      <c r="BE5" s="6140">
        <f t="shared" si="1"/>
        <v>614.86194016999991</v>
      </c>
      <c r="BF5" s="6140">
        <f t="shared" si="1"/>
        <v>557.68207872000005</v>
      </c>
      <c r="BG5" s="6140">
        <f t="shared" si="1"/>
        <v>500.51676944999997</v>
      </c>
      <c r="BH5" s="6140">
        <f t="shared" si="1"/>
        <v>429.96829689999998</v>
      </c>
      <c r="BI5" s="6140">
        <f t="shared" si="1"/>
        <v>619.57998966000002</v>
      </c>
      <c r="BJ5" s="6140">
        <f t="shared" si="1"/>
        <v>762.35505736999994</v>
      </c>
      <c r="BK5" s="6140">
        <v>568.02691506999997</v>
      </c>
      <c r="BL5" s="6140">
        <v>936.12681763000001</v>
      </c>
      <c r="BM5" s="6140">
        <v>881.98862596000004</v>
      </c>
      <c r="BN5" s="6140">
        <v>494.88055277000001</v>
      </c>
      <c r="BO5" s="6140">
        <v>517.02605612000002</v>
      </c>
      <c r="BP5" s="6141">
        <v>8073.07113751</v>
      </c>
      <c r="BQ5" s="6142">
        <f t="shared" ref="BQ5:BX5" si="2">BQ6+BQ12+BQ50</f>
        <v>560.63832912000009</v>
      </c>
      <c r="BR5" s="6142">
        <f t="shared" si="2"/>
        <v>1003.2939245800001</v>
      </c>
      <c r="BS5" s="6142">
        <f t="shared" si="2"/>
        <v>569.23055278000004</v>
      </c>
      <c r="BT5" s="6142">
        <f t="shared" si="2"/>
        <v>449.51814091999995</v>
      </c>
      <c r="BU5" s="6142">
        <f t="shared" si="2"/>
        <v>517.36253804</v>
      </c>
      <c r="BV5" s="6142">
        <f t="shared" si="2"/>
        <v>544.95947401000012</v>
      </c>
      <c r="BW5" s="6143">
        <f t="shared" si="2"/>
        <v>810.20837570000003</v>
      </c>
      <c r="BX5" s="6143">
        <f t="shared" si="2"/>
        <v>537.55464549999999</v>
      </c>
      <c r="BY5" s="6143">
        <f t="shared" ref="BY5:CB5" si="3">BY6+BY12+BY50</f>
        <v>892.84893813999997</v>
      </c>
      <c r="BZ5" s="6143">
        <f t="shared" si="3"/>
        <v>572.41535059</v>
      </c>
      <c r="CA5" s="6143">
        <f t="shared" si="3"/>
        <v>569.38080047000005</v>
      </c>
      <c r="CB5" s="6143">
        <f t="shared" si="3"/>
        <v>507.16995210000005</v>
      </c>
      <c r="CC5" s="6144">
        <f t="shared" ref="CC5:CC15" si="4">HLOOKUP($E$2,$BQ$2:$CB$505,ROW()-1,0)-HLOOKUP($E$2,$CN$2:$CY$412,ROW()-1,0)</f>
        <v>-61687.7230720683</v>
      </c>
      <c r="CD5" s="6145">
        <f>IFERROR(HLOOKUP($E$2,$BQ$2:$CB$505,ROW()-1,0)/HLOOKUP($E$2,$CN$2:$CY$412,ROW()-1,0),0)</f>
        <v>8.1545272841440381E-3</v>
      </c>
      <c r="CE5" s="6144">
        <f>CB5-CA5</f>
        <v>-62.210848370000008</v>
      </c>
      <c r="CF5" s="6146">
        <f>HLOOKUP($E$2,$BQ$2:$CB$505,ROW()-1,0)-HLOOKUP($E$2,$BD$2:$BO$412,ROW()-1,0)</f>
        <v>-9.8561040199999752</v>
      </c>
      <c r="CG5" s="6147"/>
      <c r="CH5" s="6148">
        <f>SUM(BQ5:CB5)</f>
        <v>7534.5810219500017</v>
      </c>
      <c r="CI5" s="6147">
        <f t="shared" ref="CI5:CI15" si="5">CH5-SUM(CN5:CO5)</f>
        <v>-122349.14756323434</v>
      </c>
      <c r="CJ5" s="6149">
        <f>IFERROR(CH5/SUM(CN5:CO5),0)</f>
        <v>5.8010199614868939E-2</v>
      </c>
      <c r="CK5" s="6150">
        <f t="shared" ref="CK5:CK36" si="6">CH5-SUM(BD5:BO5)</f>
        <v>-538.49011555999823</v>
      </c>
      <c r="CL5" s="5138"/>
      <c r="CM5" s="2609" t="str">
        <f>A5</f>
        <v>총매출 (ⓐ+ⓑ+ⓒ+ⓓ)</v>
      </c>
      <c r="CN5" s="6151">
        <v>55556.880950127917</v>
      </c>
      <c r="CO5" s="6151">
        <v>74326.847635056416</v>
      </c>
      <c r="CP5" s="6151">
        <v>55763.753553149814</v>
      </c>
      <c r="CQ5" s="6151">
        <v>60933.641968414478</v>
      </c>
      <c r="CR5" s="6151">
        <v>57757.977058249307</v>
      </c>
      <c r="CS5" s="6151">
        <v>69102.902315113592</v>
      </c>
      <c r="CT5" s="6151">
        <v>85551.127021610242</v>
      </c>
      <c r="CU5" s="6151">
        <v>65404.119941237666</v>
      </c>
      <c r="CV5" s="6151">
        <v>98898.526605491992</v>
      </c>
      <c r="CW5" s="6151">
        <v>65376.926416964408</v>
      </c>
      <c r="CX5" s="6151">
        <v>71395.772220095911</v>
      </c>
      <c r="CY5" s="6151">
        <v>62194.893024168297</v>
      </c>
      <c r="CZ5" s="6152">
        <f t="shared" ref="CZ5:CZ11" si="7">SUM(CN5:CY5)</f>
        <v>822263.36870968004</v>
      </c>
      <c r="DD5" s="5138"/>
      <c r="DF5" s="4439"/>
      <c r="DG5" s="4439"/>
    </row>
    <row r="6" spans="1:111" ht="16.3" customHeight="1" x14ac:dyDescent="0.55000000000000004">
      <c r="A6" s="6153" t="s">
        <v>934</v>
      </c>
      <c r="F6" s="6154">
        <v>425.12579846</v>
      </c>
      <c r="G6" s="6155">
        <v>435.59136783000002</v>
      </c>
      <c r="H6" s="6155">
        <v>417.06115769000002</v>
      </c>
      <c r="I6" s="6155">
        <v>362.08609870999999</v>
      </c>
      <c r="J6" s="6155">
        <v>376.76338571000002</v>
      </c>
      <c r="K6" s="6155">
        <v>311.12636391000001</v>
      </c>
      <c r="L6" s="6155">
        <v>298.44902960000002</v>
      </c>
      <c r="M6" s="6155">
        <v>511.91694640999998</v>
      </c>
      <c r="N6" s="6155">
        <v>377.02539264000001</v>
      </c>
      <c r="O6" s="6155">
        <v>417.60570401000001</v>
      </c>
      <c r="P6" s="6155">
        <v>478.98465484000002</v>
      </c>
      <c r="Q6" s="6156">
        <v>421.78798834000003</v>
      </c>
      <c r="R6" s="6155">
        <v>427.30240947999999</v>
      </c>
      <c r="S6" s="6155">
        <v>359.95052336000003</v>
      </c>
      <c r="T6" s="6155">
        <v>373.13112110000003</v>
      </c>
      <c r="U6" s="6155">
        <v>392.55808775999998</v>
      </c>
      <c r="V6" s="6155">
        <v>350.17414830000001</v>
      </c>
      <c r="W6" s="6155">
        <v>355.84174249</v>
      </c>
      <c r="X6" s="6155">
        <v>327.18940106999997</v>
      </c>
      <c r="Y6" s="6155">
        <v>533.93235392999998</v>
      </c>
      <c r="Z6" s="6155">
        <v>487.44124083999998</v>
      </c>
      <c r="AA6" s="6155">
        <v>619.26928742999996</v>
      </c>
      <c r="AB6" s="6155">
        <v>478.39390176999996</v>
      </c>
      <c r="AC6" s="6155">
        <v>371.54031760999999</v>
      </c>
      <c r="AD6" s="6154">
        <f t="shared" ref="AD6:AI6" si="8">AD11+AD53</f>
        <v>314.07</v>
      </c>
      <c r="AE6" s="6155">
        <f t="shared" si="8"/>
        <v>510.5</v>
      </c>
      <c r="AF6" s="6155">
        <f t="shared" si="8"/>
        <v>363.69</v>
      </c>
      <c r="AG6" s="6155">
        <f t="shared" si="8"/>
        <v>337.67</v>
      </c>
      <c r="AH6" s="6155">
        <f t="shared" si="8"/>
        <v>367.09</v>
      </c>
      <c r="AI6" s="6155">
        <f t="shared" si="8"/>
        <v>398.52305031999998</v>
      </c>
      <c r="AJ6" s="6155">
        <v>292.67988764999996</v>
      </c>
      <c r="AK6" s="6155">
        <v>544.67726660000005</v>
      </c>
      <c r="AL6" s="6155">
        <v>342.49629461000001</v>
      </c>
      <c r="AM6" s="6155">
        <v>769.85843898999997</v>
      </c>
      <c r="AN6" s="6155">
        <v>414.74087357999997</v>
      </c>
      <c r="AO6" s="6157">
        <v>321.00397748</v>
      </c>
      <c r="AP6" s="6156"/>
      <c r="AQ6" s="6158">
        <v>326.19489231</v>
      </c>
      <c r="AR6" s="6159">
        <v>526.58672906000004</v>
      </c>
      <c r="AS6" s="6159">
        <v>341.83855597000002</v>
      </c>
      <c r="AT6" s="6159">
        <v>294.56878303000008</v>
      </c>
      <c r="AU6" s="6159">
        <v>312.07730736999997</v>
      </c>
      <c r="AV6" s="6159">
        <v>247.2728238</v>
      </c>
      <c r="AW6" s="6159">
        <v>221.53120198000002</v>
      </c>
      <c r="AX6" s="6159">
        <v>575.99764282000001</v>
      </c>
      <c r="AY6" s="6159">
        <v>273.79614848</v>
      </c>
      <c r="AZ6" s="6159">
        <v>776.33182365000016</v>
      </c>
      <c r="BA6" s="6159">
        <v>344.11766620999998</v>
      </c>
      <c r="BB6" s="6159">
        <v>287.62392925</v>
      </c>
      <c r="BC6" s="6160">
        <v>4527.9375039300003</v>
      </c>
      <c r="BD6" s="2549">
        <f t="shared" ref="BD6:BN6" si="9">BD11+BD53</f>
        <v>940.06421659</v>
      </c>
      <c r="BE6" s="6161">
        <f t="shared" si="9"/>
        <v>427.55353878</v>
      </c>
      <c r="BF6" s="6161">
        <f t="shared" si="9"/>
        <v>367.05735073999995</v>
      </c>
      <c r="BG6" s="6161">
        <f t="shared" si="9"/>
        <v>287.88901774999999</v>
      </c>
      <c r="BH6" s="2496">
        <f t="shared" si="9"/>
        <v>238.00012124</v>
      </c>
      <c r="BI6" s="2496">
        <f t="shared" si="9"/>
        <v>431.33398294</v>
      </c>
      <c r="BJ6" s="2496">
        <f t="shared" si="9"/>
        <v>492.63717124000004</v>
      </c>
      <c r="BK6" s="2496">
        <f t="shared" si="9"/>
        <v>361.22709442000001</v>
      </c>
      <c r="BL6" s="2496">
        <f t="shared" si="9"/>
        <v>667.71170180000001</v>
      </c>
      <c r="BM6" s="2496">
        <f t="shared" si="9"/>
        <v>662.28134587</v>
      </c>
      <c r="BN6" s="2496">
        <f t="shared" si="9"/>
        <v>285.92329057000001</v>
      </c>
      <c r="BO6" s="2496">
        <v>290.83168840000002</v>
      </c>
      <c r="BP6" s="6162">
        <v>5452.5105203399999</v>
      </c>
      <c r="BQ6" s="6163">
        <f>BQ11+BQ53</f>
        <v>377.48240117</v>
      </c>
      <c r="BR6" s="6163">
        <f>BR11+BR53</f>
        <v>737.19830149000006</v>
      </c>
      <c r="BS6" s="6163">
        <f>BS11+BS53</f>
        <v>368.49674788999999</v>
      </c>
      <c r="BT6" s="6163">
        <f>BT11+BT53</f>
        <v>243.45806517</v>
      </c>
      <c r="BU6" s="6163">
        <f t="shared" ref="BU6:BX6" si="10">BU11+BU53</f>
        <v>287.03541559000001</v>
      </c>
      <c r="BV6" s="6163">
        <f t="shared" si="10"/>
        <v>319.55447298000001</v>
      </c>
      <c r="BW6" s="6082">
        <f t="shared" si="10"/>
        <v>493.41568697000002</v>
      </c>
      <c r="BX6" s="6082">
        <f t="shared" si="10"/>
        <v>313.17966244000002</v>
      </c>
      <c r="BY6" s="6082">
        <f t="shared" ref="BY6:CB6" si="11">BY11+BY53</f>
        <v>611.85294778000002</v>
      </c>
      <c r="BZ6" s="6082">
        <f t="shared" si="11"/>
        <v>365.72221931000001</v>
      </c>
      <c r="CA6" s="6082">
        <f t="shared" si="11"/>
        <v>336.72216888000003</v>
      </c>
      <c r="CB6" s="6082">
        <f t="shared" si="11"/>
        <v>222.84258446999999</v>
      </c>
      <c r="CC6" s="6164">
        <f t="shared" si="4"/>
        <v>-42044.631155431394</v>
      </c>
      <c r="CD6" s="6165">
        <f>IFERROR(HLOOKUP($E$2,$BQ$2:$CB$505,ROW()-1,0)/HLOOKUP($E$2,$CN$2:$CY$412,ROW()-1,0),0)</f>
        <v>5.2722002228307255E-3</v>
      </c>
      <c r="CE6" s="6166">
        <f t="shared" ref="CE6:CE69" si="12">CB6-CA6</f>
        <v>-113.87958441000004</v>
      </c>
      <c r="CF6" s="2509">
        <f>HLOOKUP($E$2,$BQ$2:$CB$505,ROW()-1,0)-HLOOKUP($E$2,$BD$2:$BO$412,ROW()-1,0)</f>
        <v>-67.989103930000027</v>
      </c>
      <c r="CG6" s="2506"/>
      <c r="CH6" s="6167">
        <f t="shared" ref="CH6:CH53" si="13">SUM(BQ6:CB6)</f>
        <v>4676.9606741399994</v>
      </c>
      <c r="CI6" s="2506">
        <f t="shared" si="5"/>
        <v>-81924.806235685959</v>
      </c>
      <c r="CJ6" s="2691">
        <f>IFERROR(CH6/SUM(CN6:CO6),0)</f>
        <v>5.4005372419362777E-2</v>
      </c>
      <c r="CK6" s="6168">
        <f t="shared" si="6"/>
        <v>-775.5498462000005</v>
      </c>
      <c r="CL6" s="5138"/>
      <c r="CM6" s="2488" t="str">
        <f>A6</f>
        <v>상품매출 (ⓐ+ⓓ)</v>
      </c>
      <c r="CN6" s="6169">
        <v>36582.603417825223</v>
      </c>
      <c r="CO6" s="6169">
        <v>50019.163492000749</v>
      </c>
      <c r="CP6" s="6169">
        <v>35904.01024454071</v>
      </c>
      <c r="CQ6" s="6169">
        <v>40308.579623451245</v>
      </c>
      <c r="CR6" s="6169">
        <v>37266.642706394719</v>
      </c>
      <c r="CS6" s="6169">
        <v>46177.044131161252</v>
      </c>
      <c r="CT6" s="6169">
        <v>58964.321230257643</v>
      </c>
      <c r="CU6" s="6169">
        <v>43835.790911476084</v>
      </c>
      <c r="CV6" s="6169">
        <v>69992.899144393668</v>
      </c>
      <c r="CW6" s="6169">
        <v>44291.165285732102</v>
      </c>
      <c r="CX6" s="6169">
        <v>48852.203915623293</v>
      </c>
      <c r="CY6" s="6169">
        <v>42267.473739901397</v>
      </c>
      <c r="CZ6" s="2505">
        <f t="shared" si="7"/>
        <v>554461.8978427581</v>
      </c>
      <c r="DB6" s="4439"/>
      <c r="DC6" s="4439"/>
      <c r="DF6" s="4439"/>
      <c r="DG6" s="4439"/>
    </row>
    <row r="7" spans="1:111" ht="16" customHeight="1" x14ac:dyDescent="0.55000000000000004">
      <c r="A7" s="6153" t="s">
        <v>935</v>
      </c>
      <c r="F7" s="6154">
        <v>431.05112014000002</v>
      </c>
      <c r="G7" s="6155">
        <v>439.98350914999997</v>
      </c>
      <c r="H7" s="6155">
        <v>418.06971897</v>
      </c>
      <c r="I7" s="6155">
        <v>355.84579238999999</v>
      </c>
      <c r="J7" s="6155">
        <v>376.48167332999998</v>
      </c>
      <c r="K7" s="6155">
        <v>305.23117058999998</v>
      </c>
      <c r="L7" s="6155">
        <v>297.57589748999999</v>
      </c>
      <c r="M7" s="6155">
        <v>510.57503628000001</v>
      </c>
      <c r="N7" s="6155">
        <v>381.12291375000001</v>
      </c>
      <c r="O7" s="6155">
        <v>415.98217873999999</v>
      </c>
      <c r="P7" s="6155">
        <v>486.80890016000001</v>
      </c>
      <c r="Q7" s="6156">
        <v>421.27194372000002</v>
      </c>
      <c r="R7" s="6155">
        <v>430.31800007999999</v>
      </c>
      <c r="S7" s="6155">
        <v>362.04685917</v>
      </c>
      <c r="T7" s="6155">
        <v>366.78753781</v>
      </c>
      <c r="U7" s="6155">
        <v>397.33485161999999</v>
      </c>
      <c r="V7" s="6155">
        <v>361.32010392000001</v>
      </c>
      <c r="W7" s="6155">
        <v>374.570785</v>
      </c>
      <c r="X7" s="6155">
        <v>345.47227576999995</v>
      </c>
      <c r="Y7" s="6155">
        <v>572.08191302</v>
      </c>
      <c r="Z7" s="6155">
        <v>500.30266526999998</v>
      </c>
      <c r="AA7" s="6155">
        <v>644.31455966999999</v>
      </c>
      <c r="AB7" s="6155">
        <v>489.55600170999998</v>
      </c>
      <c r="AC7" s="6155">
        <v>403.14611238999998</v>
      </c>
      <c r="AD7" s="6154">
        <v>335.93</v>
      </c>
      <c r="AE7" s="6155">
        <v>528.1</v>
      </c>
      <c r="AF7" s="6155">
        <v>336.8</v>
      </c>
      <c r="AG7" s="6155">
        <v>350.28</v>
      </c>
      <c r="AH7" s="6155">
        <v>381.14</v>
      </c>
      <c r="AI7" s="6155">
        <v>425.59491615000002</v>
      </c>
      <c r="AJ7" s="6155">
        <v>309.76084385000001</v>
      </c>
      <c r="AK7" s="6155">
        <v>583.86100965999992</v>
      </c>
      <c r="AL7" s="6155">
        <v>340.89587435000004</v>
      </c>
      <c r="AM7" s="6155">
        <v>777.74195485000007</v>
      </c>
      <c r="AN7" s="6155">
        <v>419.88815813000002</v>
      </c>
      <c r="AO7" s="6157">
        <v>321.84355977999996</v>
      </c>
      <c r="AP7" s="6156"/>
      <c r="AQ7" s="6158">
        <v>332.61488631999998</v>
      </c>
      <c r="AR7" s="6159">
        <v>563.94444568999995</v>
      </c>
      <c r="AS7" s="6159">
        <v>347.83519862000003</v>
      </c>
      <c r="AT7" s="6159">
        <v>318.36151551</v>
      </c>
      <c r="AU7" s="6159">
        <v>338.16961079999999</v>
      </c>
      <c r="AV7" s="6159">
        <v>266.59198839999999</v>
      </c>
      <c r="AW7" s="6159">
        <v>230.31366503000001</v>
      </c>
      <c r="AX7" s="6159">
        <v>636.29756194000004</v>
      </c>
      <c r="AY7" s="6159">
        <v>264.79659497</v>
      </c>
      <c r="AZ7" s="6159">
        <v>768.34303264999994</v>
      </c>
      <c r="BA7" s="6159">
        <v>341.94121783000003</v>
      </c>
      <c r="BB7" s="6159">
        <v>284.83683071000002</v>
      </c>
      <c r="BC7" s="6170">
        <v>4694.0465484699998</v>
      </c>
      <c r="BD7" s="2549">
        <v>998.07680091999998</v>
      </c>
      <c r="BE7" s="6161">
        <v>439.12201545999994</v>
      </c>
      <c r="BF7" s="6161">
        <v>382.10199898999997</v>
      </c>
      <c r="BG7" s="6161">
        <v>315.69318045</v>
      </c>
      <c r="BH7" s="2496">
        <v>265.66272387999999</v>
      </c>
      <c r="BI7" s="2496">
        <v>461.67626223000002</v>
      </c>
      <c r="BJ7" s="2496">
        <v>564.07346846999997</v>
      </c>
      <c r="BK7" s="2496">
        <v>389.93011116000002</v>
      </c>
      <c r="BL7" s="2496">
        <v>703.64603259</v>
      </c>
      <c r="BM7" s="2496">
        <v>663.13772890999996</v>
      </c>
      <c r="BN7" s="2496">
        <v>316.72314609</v>
      </c>
      <c r="BO7" s="2496">
        <v>325.68991124000001</v>
      </c>
      <c r="BP7" s="6162">
        <v>5825.5333803899994</v>
      </c>
      <c r="BQ7" s="6163">
        <v>388.74830183</v>
      </c>
      <c r="BR7" s="6171">
        <v>790.57613643000002</v>
      </c>
      <c r="BS7" s="6161">
        <v>385.18886522999998</v>
      </c>
      <c r="BT7" s="6172">
        <v>256.63170775999998</v>
      </c>
      <c r="BU7" s="2496">
        <v>307.72261552999998</v>
      </c>
      <c r="BV7" s="6163">
        <v>324.79941638999998</v>
      </c>
      <c r="BW7" s="6082">
        <v>562.04739076999999</v>
      </c>
      <c r="BX7" s="6163">
        <v>357.89968886999998</v>
      </c>
      <c r="BY7" s="6163">
        <v>628.35758573999999</v>
      </c>
      <c r="BZ7" s="2496">
        <v>396.72068184</v>
      </c>
      <c r="CA7" s="2496">
        <v>359.62469528000003</v>
      </c>
      <c r="CB7" s="2496">
        <v>254.39444005999999</v>
      </c>
      <c r="CC7" s="6164">
        <f t="shared" si="4"/>
        <v>-43488.895072572617</v>
      </c>
      <c r="CD7" s="6165">
        <f>IFERROR(HLOOKUP($E$2,$BQ$2:$CB$505,ROW()-1,0)/HLOOKUP($E$2,$CN$2:$CY$412,ROW()-1,0),0)</f>
        <v>5.815622073564757E-3</v>
      </c>
      <c r="CE7" s="6166">
        <f t="shared" si="12"/>
        <v>-105.23025522000003</v>
      </c>
      <c r="CF7" s="2509">
        <f t="shared" ref="CF7:CF36" si="14">HLOOKUP($E$2,$BQ$2:$CB$505,ROW()-1,0)-HLOOKUP($E$2,$BD$2:$BO$412,ROW()-1,0)</f>
        <v>-71.295471180000021</v>
      </c>
      <c r="CG7" s="2506"/>
      <c r="CH7" s="6167">
        <f>SUM(BQ7:CB7)</f>
        <v>5012.7115257300011</v>
      </c>
      <c r="CI7" s="2506">
        <f t="shared" si="5"/>
        <v>-86298.434697163568</v>
      </c>
      <c r="CJ7" s="2691">
        <f>IFERROR(CH7/SUM(CN7:CO7),0)</f>
        <v>5.4897038675802014E-2</v>
      </c>
      <c r="CK7" s="6168">
        <f t="shared" si="6"/>
        <v>-812.82185465999828</v>
      </c>
      <c r="CL7" s="5138"/>
      <c r="CM7" s="2488" t="str">
        <f>A7</f>
        <v>상품원가</v>
      </c>
      <c r="CN7" s="6169">
        <v>36867.672503456575</v>
      </c>
      <c r="CO7" s="6169">
        <v>54443.473719436995</v>
      </c>
      <c r="CP7" s="6169">
        <v>38268.587129175859</v>
      </c>
      <c r="CQ7" s="6169">
        <v>42839.717385776632</v>
      </c>
      <c r="CR7" s="6169">
        <v>40258.966956010008</v>
      </c>
      <c r="CS7" s="6169">
        <v>50322.711109947748</v>
      </c>
      <c r="CT7" s="6169">
        <v>64517.812610506888</v>
      </c>
      <c r="CU7" s="6169">
        <v>47328.779336096741</v>
      </c>
      <c r="CV7" s="6169">
        <v>76355.046064722294</v>
      </c>
      <c r="CW7" s="6169">
        <v>45248.559148413478</v>
      </c>
      <c r="CX7" s="6169">
        <v>52894.318456368695</v>
      </c>
      <c r="CY7" s="6169">
        <v>43743.289512632618</v>
      </c>
      <c r="CZ7" s="2507">
        <f t="shared" si="7"/>
        <v>593088.93393254455</v>
      </c>
      <c r="DB7" s="4439"/>
      <c r="DC7" s="4439"/>
      <c r="DF7" s="4439"/>
      <c r="DG7" s="4439"/>
    </row>
    <row r="8" spans="1:111" ht="16.3" hidden="1" customHeight="1" outlineLevel="1" x14ac:dyDescent="0.55000000000000004">
      <c r="A8" s="6173" t="s">
        <v>936</v>
      </c>
      <c r="B8" s="3696"/>
      <c r="C8" s="3696"/>
      <c r="D8" s="3696"/>
      <c r="E8" s="3696"/>
      <c r="F8" s="6174">
        <f>(F6-F7)</f>
        <v>-5.9253216800000246</v>
      </c>
      <c r="G8" s="6175">
        <f t="shared" ref="G8:Q8" si="15">(G6-G7)</f>
        <v>-4.3921413199999506</v>
      </c>
      <c r="H8" s="6175">
        <f t="shared" si="15"/>
        <v>-1.0085612799999808</v>
      </c>
      <c r="I8" s="6175">
        <f t="shared" si="15"/>
        <v>6.240306320000002</v>
      </c>
      <c r="J8" s="6175">
        <f t="shared" si="15"/>
        <v>0.2817123800000445</v>
      </c>
      <c r="K8" s="6175">
        <f t="shared" si="15"/>
        <v>5.8951933200000326</v>
      </c>
      <c r="L8" s="6175">
        <f t="shared" si="15"/>
        <v>0.87313211000002866</v>
      </c>
      <c r="M8" s="6175">
        <f t="shared" si="15"/>
        <v>1.3419101299999738</v>
      </c>
      <c r="N8" s="6175">
        <f t="shared" si="15"/>
        <v>-4.0975211100000024</v>
      </c>
      <c r="O8" s="6175">
        <f t="shared" si="15"/>
        <v>1.623525270000016</v>
      </c>
      <c r="P8" s="6175">
        <f t="shared" si="15"/>
        <v>-7.8242453199999886</v>
      </c>
      <c r="Q8" s="6176">
        <f t="shared" si="15"/>
        <v>0.5160446200000024</v>
      </c>
      <c r="R8" s="6175">
        <v>-3.0155905999999644</v>
      </c>
      <c r="S8" s="6175">
        <v>-2.0963358100000025</v>
      </c>
      <c r="T8" s="6175">
        <v>6.3435832900000211</v>
      </c>
      <c r="U8" s="6175">
        <v>-4.7767638600000142</v>
      </c>
      <c r="V8" s="6175">
        <v>-11.145955620000004</v>
      </c>
      <c r="W8" s="6175">
        <v>-18.729042509999992</v>
      </c>
      <c r="X8" s="6175">
        <v>-18.282874699999986</v>
      </c>
      <c r="Y8" s="6175">
        <v>-38.149559089999975</v>
      </c>
      <c r="Z8" s="6175">
        <v>-12.861424430000007</v>
      </c>
      <c r="AA8" s="6175">
        <v>-25.04527224000001</v>
      </c>
      <c r="AB8" s="6175">
        <v>-11.162099939999997</v>
      </c>
      <c r="AC8" s="6175">
        <v>-31.605794779999972</v>
      </c>
      <c r="AD8" s="6174">
        <f t="shared" ref="AD8:AI8" si="16">AD6-AD7</f>
        <v>-21.860000000000014</v>
      </c>
      <c r="AE8" s="6175">
        <f t="shared" si="16"/>
        <v>-17.600000000000023</v>
      </c>
      <c r="AF8" s="6175">
        <f t="shared" si="16"/>
        <v>26.889999999999986</v>
      </c>
      <c r="AG8" s="6175">
        <f t="shared" si="16"/>
        <v>-12.609999999999957</v>
      </c>
      <c r="AH8" s="6175">
        <f t="shared" si="16"/>
        <v>-14.050000000000011</v>
      </c>
      <c r="AI8" s="6175">
        <f t="shared" si="16"/>
        <v>-27.071865830000036</v>
      </c>
      <c r="AJ8" s="6175">
        <v>-17.080956200000049</v>
      </c>
      <c r="AK8" s="6175">
        <v>-39.183743059999941</v>
      </c>
      <c r="AL8" s="6175">
        <v>1.6004202599999904</v>
      </c>
      <c r="AM8" s="6175">
        <v>-7.8835158600000144</v>
      </c>
      <c r="AN8" s="6175">
        <v>-5.1472845500000117</v>
      </c>
      <c r="AO8" s="6175">
        <v>-0.83958229999995226</v>
      </c>
      <c r="AP8" s="6176"/>
      <c r="AQ8" s="6177">
        <v>-6.4199940099999822</v>
      </c>
      <c r="AR8" s="6178">
        <v>-37.357716629999913</v>
      </c>
      <c r="AS8" s="6178">
        <v>-5.9966426500000125</v>
      </c>
      <c r="AT8" s="6178">
        <v>-23.792732479999927</v>
      </c>
      <c r="AU8" s="6178">
        <v>-26.092303430000015</v>
      </c>
      <c r="AV8" s="6178">
        <v>-19.319164599999993</v>
      </c>
      <c r="AW8" s="6178">
        <v>-8.7824630499999898</v>
      </c>
      <c r="AX8" s="6178">
        <v>-60.299919120000027</v>
      </c>
      <c r="AY8" s="6178">
        <v>8.9995535099999984</v>
      </c>
      <c r="AZ8" s="6178">
        <v>7.9887910000002194</v>
      </c>
      <c r="BA8" s="6178">
        <v>2.1764483799999539</v>
      </c>
      <c r="BB8" s="6178">
        <v>2.7870985399999881</v>
      </c>
      <c r="BC8" s="6179">
        <v>-166.1090445399997</v>
      </c>
      <c r="BD8" s="6180">
        <f>BD6-BD7</f>
        <v>-58.012584329999981</v>
      </c>
      <c r="BE8" s="6181">
        <f t="shared" ref="BE8:BL8" si="17">BE6-BE7</f>
        <v>-11.568476679999947</v>
      </c>
      <c r="BF8" s="6181">
        <f t="shared" si="17"/>
        <v>-15.044648250000023</v>
      </c>
      <c r="BG8" s="6181">
        <f t="shared" si="17"/>
        <v>-27.804162700000006</v>
      </c>
      <c r="BH8" s="6181">
        <f t="shared" si="17"/>
        <v>-27.662602639999989</v>
      </c>
      <c r="BI8" s="6181">
        <f t="shared" si="17"/>
        <v>-30.342279290000022</v>
      </c>
      <c r="BJ8" s="6181">
        <f t="shared" si="17"/>
        <v>-71.436297229999923</v>
      </c>
      <c r="BK8" s="6181">
        <f t="shared" si="17"/>
        <v>-28.70301674000001</v>
      </c>
      <c r="BL8" s="6181">
        <f t="shared" si="17"/>
        <v>-35.93433078999999</v>
      </c>
      <c r="BM8" s="6181">
        <f>BM6-BM7</f>
        <v>-0.85638303999996879</v>
      </c>
      <c r="BN8" s="6181">
        <f>BN6-BN7</f>
        <v>-30.799855519999994</v>
      </c>
      <c r="BO8" s="6181">
        <f>BO6-BO7</f>
        <v>-34.858222839999996</v>
      </c>
      <c r="BP8" s="6182">
        <v>-373.02286004999985</v>
      </c>
      <c r="BQ8" s="6181">
        <f>BQ6-BQ7</f>
        <v>-11.26590066</v>
      </c>
      <c r="BR8" s="6181">
        <f>BR6-BR7</f>
        <v>-53.377834939999957</v>
      </c>
      <c r="BS8" s="6181">
        <v>-16.692117339999982</v>
      </c>
      <c r="BT8" s="6183">
        <v>-13.173642589999986</v>
      </c>
      <c r="BU8" s="6181">
        <v>-20.687199939999971</v>
      </c>
      <c r="BV8" s="6181">
        <v>-5.2449434099999621</v>
      </c>
      <c r="BW8" s="6184">
        <v>-68.631703799999968</v>
      </c>
      <c r="BX8" s="6181">
        <v>-44.720026429999962</v>
      </c>
      <c r="BY8" s="6181">
        <v>-16.504637959999968</v>
      </c>
      <c r="BZ8" s="6181">
        <v>-30.998462529999983</v>
      </c>
      <c r="CA8" s="6181">
        <v>-22.902526399999999</v>
      </c>
      <c r="CB8" s="6181">
        <v>-31.551855590000002</v>
      </c>
      <c r="CC8" s="6185">
        <f t="shared" si="4"/>
        <v>-18483.155367125681</v>
      </c>
      <c r="CD8" s="6186" t="s">
        <v>483</v>
      </c>
      <c r="CE8" s="6187">
        <f t="shared" si="12"/>
        <v>-8.6493291900000031</v>
      </c>
      <c r="CF8" s="6188">
        <f>HLOOKUP($E$2,$BQ$2:$CB$505,ROW()-1,0)-HLOOKUP($E$2,$BD$2:$BO$412,ROW()-1,0)</f>
        <v>3.3063672499999939</v>
      </c>
      <c r="CG8" s="6188"/>
      <c r="CH8" s="6189">
        <f t="shared" si="13"/>
        <v>-335.75085158999974</v>
      </c>
      <c r="CI8" s="6188">
        <f t="shared" si="5"/>
        <v>-38908.33321388076</v>
      </c>
      <c r="CJ8" s="6186" t="s">
        <v>482</v>
      </c>
      <c r="CK8" s="6190">
        <f t="shared" si="6"/>
        <v>37.272008460000109</v>
      </c>
      <c r="CL8" s="5138"/>
      <c r="CM8" s="2488" t="str">
        <f>A8</f>
        <v>상품이익</v>
      </c>
      <c r="CN8" s="6191">
        <v>18689.208446671342</v>
      </c>
      <c r="CO8" s="6191">
        <v>19883.373915619421</v>
      </c>
      <c r="CP8" s="6191">
        <v>17495.166423973955</v>
      </c>
      <c r="CQ8" s="6191">
        <v>18093.924582637846</v>
      </c>
      <c r="CR8" s="6191">
        <v>17499.010102239299</v>
      </c>
      <c r="CS8" s="6191">
        <v>18780.191205165844</v>
      </c>
      <c r="CT8" s="6191">
        <v>21033.314411103354</v>
      </c>
      <c r="CU8" s="6191">
        <v>18075.340605140926</v>
      </c>
      <c r="CV8" s="6191">
        <v>22543.480540769699</v>
      </c>
      <c r="CW8" s="6191">
        <v>20128.36726855093</v>
      </c>
      <c r="CX8" s="6191">
        <v>18501.453763727215</v>
      </c>
      <c r="CY8" s="6191">
        <v>18451.603511535679</v>
      </c>
      <c r="CZ8" s="2505">
        <f t="shared" si="7"/>
        <v>229174.4347771355</v>
      </c>
      <c r="DB8" s="4439"/>
      <c r="DC8" s="4439"/>
      <c r="DF8" s="4439"/>
      <c r="DG8" s="4439"/>
    </row>
    <row r="9" spans="1:111" s="2525" customFormat="1" ht="16.3" hidden="1" customHeight="1" outlineLevel="1" x14ac:dyDescent="0.55000000000000004">
      <c r="A9" s="6192"/>
      <c r="B9" s="3723" t="s">
        <v>937</v>
      </c>
      <c r="C9" s="3723"/>
      <c r="D9" s="3723"/>
      <c r="E9" s="3723"/>
      <c r="F9" s="6193"/>
      <c r="G9" s="6194"/>
      <c r="H9" s="6194"/>
      <c r="I9" s="6194"/>
      <c r="J9" s="6194"/>
      <c r="K9" s="6194"/>
      <c r="L9" s="6194"/>
      <c r="M9" s="6194"/>
      <c r="N9" s="6194"/>
      <c r="O9" s="6194"/>
      <c r="P9" s="6194"/>
      <c r="Q9" s="6195"/>
      <c r="R9" s="6196">
        <v>0.22047449999999999</v>
      </c>
      <c r="S9" s="6196">
        <v>1.19275186</v>
      </c>
      <c r="T9" s="6196">
        <v>2.9505761499999998</v>
      </c>
      <c r="U9" s="6196">
        <v>3.4128351400000003</v>
      </c>
      <c r="V9" s="6196">
        <v>2.7226736800000002</v>
      </c>
      <c r="W9" s="6196">
        <v>9.8159840700000007</v>
      </c>
      <c r="X9" s="6196">
        <v>18.613159760000002</v>
      </c>
      <c r="Y9" s="6196">
        <v>33.801400289999997</v>
      </c>
      <c r="Z9" s="6196">
        <v>13.00358567</v>
      </c>
      <c r="AA9" s="6196">
        <v>12.992892810000001</v>
      </c>
      <c r="AB9" s="6196">
        <v>10.694397689999999</v>
      </c>
      <c r="AC9" s="6196">
        <v>10.168739449999999</v>
      </c>
      <c r="AD9" s="6197">
        <v>10.513296</v>
      </c>
      <c r="AE9" s="6196">
        <v>19.25646064</v>
      </c>
      <c r="AF9" s="6196">
        <v>11.210794269999999</v>
      </c>
      <c r="AG9" s="6196">
        <v>11.913513569999999</v>
      </c>
      <c r="AH9" s="6196">
        <v>11.241396910000001</v>
      </c>
      <c r="AI9" s="6196">
        <v>23.00663664</v>
      </c>
      <c r="AJ9" s="6196">
        <v>8.7868278000000011</v>
      </c>
      <c r="AK9" s="6196">
        <v>27.52399497</v>
      </c>
      <c r="AL9" s="6196">
        <v>11.14571127</v>
      </c>
      <c r="AM9" s="6196">
        <v>12.81058127</v>
      </c>
      <c r="AN9" s="6196">
        <v>9.0803425000000004</v>
      </c>
      <c r="AO9" s="6196">
        <v>8.0588852000000006</v>
      </c>
      <c r="AP9" s="6198"/>
      <c r="AQ9" s="6199">
        <v>8.9098141818181809</v>
      </c>
      <c r="AR9" s="6200">
        <v>21.6892493736364</v>
      </c>
      <c r="AS9" s="6200">
        <v>14.507443909090901</v>
      </c>
      <c r="AT9" s="6200">
        <v>17.838918654545502</v>
      </c>
      <c r="AU9" s="6200">
        <v>17.416590454545499</v>
      </c>
      <c r="AV9" s="6200">
        <v>16.897780480000002</v>
      </c>
      <c r="AW9" s="6200">
        <v>11.35646</v>
      </c>
      <c r="AX9" s="6200">
        <v>35.958989363636363</v>
      </c>
      <c r="AY9" s="6200">
        <v>8.8794840000000015</v>
      </c>
      <c r="AZ9" s="6200">
        <v>21.659157418181799</v>
      </c>
      <c r="BA9" s="6200">
        <v>9.1784308181818197</v>
      </c>
      <c r="BB9" s="6200">
        <v>5.9321401818181805</v>
      </c>
      <c r="BC9" s="6201">
        <v>190.22445883545461</v>
      </c>
      <c r="BD9" s="6202">
        <v>46.83065931727274</v>
      </c>
      <c r="BE9" s="6203">
        <v>28.69083071</v>
      </c>
      <c r="BF9" s="6203">
        <v>23.280653914545454</v>
      </c>
      <c r="BG9" s="6203">
        <v>21.779792746363636</v>
      </c>
      <c r="BH9" s="6203">
        <v>23.4126601818182</v>
      </c>
      <c r="BI9" s="6203">
        <v>25.559513700000004</v>
      </c>
      <c r="BJ9" s="6203">
        <v>67.529861330000003</v>
      </c>
      <c r="BK9" s="6203">
        <v>26.370876314545452</v>
      </c>
      <c r="BL9" s="6203">
        <v>40.438865174545427</v>
      </c>
      <c r="BM9" s="6203">
        <v>18.06998527181819</v>
      </c>
      <c r="BN9" s="6203">
        <v>17.555632718181805</v>
      </c>
      <c r="BO9" s="6203">
        <v>13.6417818763636</v>
      </c>
      <c r="BP9" s="6204">
        <v>353.16111325545455</v>
      </c>
      <c r="BQ9" s="6203">
        <v>15.730996770909101</v>
      </c>
      <c r="BR9" s="6205">
        <v>40.752403027272699</v>
      </c>
      <c r="BS9" s="6203"/>
      <c r="BT9" s="6206"/>
      <c r="BU9" s="6203"/>
      <c r="BV9" s="6203"/>
      <c r="BW9" s="6205"/>
      <c r="BX9" s="6203"/>
      <c r="BY9" s="6203"/>
      <c r="BZ9" s="6203"/>
      <c r="CA9" s="6203"/>
      <c r="CB9" s="6203"/>
      <c r="CC9" s="6207">
        <f t="shared" si="4"/>
        <v>0</v>
      </c>
      <c r="CD9" s="6208">
        <f>IFERROR(2-ABS(HLOOKUP($E$2,$BQ$2:$CB$505,ROW()-1,0)/HLOOKUP($E$2,$CN$2:$CY$412,ROW()-1,0)),0)</f>
        <v>0</v>
      </c>
      <c r="CE9" s="6209">
        <f t="shared" si="12"/>
        <v>0</v>
      </c>
      <c r="CF9" s="6210">
        <f t="shared" si="14"/>
        <v>-13.6417818763636</v>
      </c>
      <c r="CG9" s="6210"/>
      <c r="CH9" s="6211">
        <f t="shared" si="13"/>
        <v>56.4833997981818</v>
      </c>
      <c r="CI9" s="6210">
        <f t="shared" si="5"/>
        <v>56.4833997981818</v>
      </c>
      <c r="CJ9" s="6212">
        <f>IFERROR(2-ABS(CH9/SUM(CN9:CO9)),0)</f>
        <v>0</v>
      </c>
      <c r="CK9" s="6213">
        <f t="shared" si="6"/>
        <v>-296.67771345727277</v>
      </c>
      <c r="CL9" s="5138"/>
      <c r="CM9" s="6214" t="str">
        <f>B9</f>
        <v>* 프리할부</v>
      </c>
      <c r="CN9" s="6215"/>
      <c r="CO9" s="6215"/>
      <c r="CP9" s="6215"/>
      <c r="CQ9" s="6215"/>
      <c r="CR9" s="6215"/>
      <c r="CS9" s="6215"/>
      <c r="CT9" s="6215"/>
      <c r="CU9" s="6215"/>
      <c r="CV9" s="6215"/>
      <c r="CW9" s="6215"/>
      <c r="CX9" s="6215"/>
      <c r="CY9" s="6215"/>
      <c r="CZ9" s="6216">
        <f t="shared" si="7"/>
        <v>0</v>
      </c>
      <c r="DB9" s="4439"/>
      <c r="DC9" s="4439"/>
      <c r="DD9" s="2441"/>
      <c r="DF9" s="4439"/>
      <c r="DG9" s="4439"/>
    </row>
    <row r="10" spans="1:111" s="2525" customFormat="1" ht="16.3" customHeight="1" collapsed="1" x14ac:dyDescent="0.55000000000000004">
      <c r="A10" s="6217" t="s">
        <v>794</v>
      </c>
      <c r="B10" s="6218"/>
      <c r="C10" s="6218"/>
      <c r="D10" s="6218"/>
      <c r="E10" s="6218"/>
      <c r="F10" s="6219">
        <f>F11+F12</f>
        <v>569.51146795</v>
      </c>
      <c r="G10" s="6220">
        <f t="shared" ref="G10:AC10" si="18">G11+G12</f>
        <v>578.34211667</v>
      </c>
      <c r="H10" s="6220">
        <f t="shared" si="18"/>
        <v>568.02298876999998</v>
      </c>
      <c r="I10" s="6220">
        <f t="shared" si="18"/>
        <v>502.95302114999998</v>
      </c>
      <c r="J10" s="6220">
        <f t="shared" si="18"/>
        <v>524.24926958000003</v>
      </c>
      <c r="K10" s="6220">
        <f t="shared" si="18"/>
        <v>452.26849212000002</v>
      </c>
      <c r="L10" s="6220">
        <f t="shared" si="18"/>
        <v>441.22264401000001</v>
      </c>
      <c r="M10" s="6220">
        <f t="shared" si="18"/>
        <v>662.73823578999998</v>
      </c>
      <c r="N10" s="6220">
        <f t="shared" si="18"/>
        <v>521.37493799000003</v>
      </c>
      <c r="O10" s="6220">
        <f t="shared" si="18"/>
        <v>575.08277333000001</v>
      </c>
      <c r="P10" s="6220">
        <f t="shared" si="18"/>
        <v>654.55505190000008</v>
      </c>
      <c r="Q10" s="6221">
        <f t="shared" si="18"/>
        <v>561.64880822000009</v>
      </c>
      <c r="R10" s="6222">
        <f t="shared" si="18"/>
        <v>567.26061665999998</v>
      </c>
      <c r="S10" s="6222">
        <f t="shared" si="18"/>
        <v>506.97307469999998</v>
      </c>
      <c r="T10" s="6222">
        <f t="shared" si="18"/>
        <v>509.60569885000007</v>
      </c>
      <c r="U10" s="6222">
        <f t="shared" si="18"/>
        <v>534.82581273999995</v>
      </c>
      <c r="V10" s="6222">
        <f t="shared" si="18"/>
        <v>511.04062664000003</v>
      </c>
      <c r="W10" s="6222">
        <f t="shared" si="18"/>
        <v>530.63334063000002</v>
      </c>
      <c r="X10" s="6222">
        <f t="shared" si="18"/>
        <v>495.89081677999997</v>
      </c>
      <c r="Y10" s="6222">
        <f t="shared" si="18"/>
        <v>721.12800620999997</v>
      </c>
      <c r="Z10" s="6222">
        <f t="shared" si="18"/>
        <v>658.38127473000009</v>
      </c>
      <c r="AA10" s="6222">
        <f t="shared" si="18"/>
        <v>804.74587844000007</v>
      </c>
      <c r="AB10" s="6222">
        <f t="shared" si="18"/>
        <v>644.27229915999987</v>
      </c>
      <c r="AC10" s="6222">
        <f t="shared" si="18"/>
        <v>616.92995839999992</v>
      </c>
      <c r="AD10" s="6223"/>
      <c r="AE10" s="6222"/>
      <c r="AF10" s="6222"/>
      <c r="AG10" s="6222"/>
      <c r="AH10" s="6222"/>
      <c r="AI10" s="6222"/>
      <c r="AJ10" s="6222"/>
      <c r="AK10" s="6222"/>
      <c r="AL10" s="6222"/>
      <c r="AM10" s="6222"/>
      <c r="AN10" s="6222"/>
      <c r="AO10" s="6222"/>
      <c r="AP10" s="6224"/>
      <c r="AQ10" s="6177">
        <f>AQ11+AQ12</f>
        <v>455.44411862999999</v>
      </c>
      <c r="AR10" s="6178">
        <f t="shared" ref="AR10:BB10" si="19">AR11+AR12</f>
        <v>716.63619097000003</v>
      </c>
      <c r="AS10" s="6178">
        <f t="shared" si="19"/>
        <v>514.12810136000007</v>
      </c>
      <c r="AT10" s="6178">
        <f t="shared" si="19"/>
        <v>465.41110929000001</v>
      </c>
      <c r="AU10" s="6178">
        <f t="shared" si="19"/>
        <v>466.02965399999994</v>
      </c>
      <c r="AV10" s="6178">
        <f t="shared" si="19"/>
        <v>463.61064787999999</v>
      </c>
      <c r="AW10" s="6178">
        <f t="shared" si="19"/>
        <v>405.68139678</v>
      </c>
      <c r="AX10" s="6178">
        <f t="shared" si="19"/>
        <v>822.26186137000002</v>
      </c>
      <c r="AY10" s="6178">
        <f t="shared" si="19"/>
        <v>434.32382740000003</v>
      </c>
      <c r="AZ10" s="6178">
        <f t="shared" si="19"/>
        <v>986.75108071000022</v>
      </c>
      <c r="BA10" s="6178">
        <f t="shared" si="19"/>
        <v>503.84647468000003</v>
      </c>
      <c r="BB10" s="6178">
        <f t="shared" si="19"/>
        <v>449.86678083999993</v>
      </c>
      <c r="BC10" s="6179">
        <f>SUM(AQ10:BB10)</f>
        <v>6683.9912439099999</v>
      </c>
      <c r="BD10" s="6180">
        <f>BD11+BD12</f>
        <v>1186.5925866699999</v>
      </c>
      <c r="BE10" s="6180">
        <f t="shared" ref="BE10:BM10" si="20">BE11+BE12</f>
        <v>597.79147747000002</v>
      </c>
      <c r="BF10" s="6180">
        <f t="shared" si="20"/>
        <v>529.86588035</v>
      </c>
      <c r="BG10" s="6180">
        <f t="shared" si="20"/>
        <v>441.67582613000002</v>
      </c>
      <c r="BH10" s="6180">
        <f t="shared" si="20"/>
        <v>402.75331869000001</v>
      </c>
      <c r="BI10" s="6180">
        <f t="shared" si="20"/>
        <v>611.33346903000006</v>
      </c>
      <c r="BJ10" s="6180">
        <f t="shared" si="20"/>
        <v>748.57846373999996</v>
      </c>
      <c r="BK10" s="6180">
        <f t="shared" si="20"/>
        <v>515.44757273000005</v>
      </c>
      <c r="BL10" s="6180">
        <f t="shared" si="20"/>
        <v>877.49960500999998</v>
      </c>
      <c r="BM10" s="6180">
        <f t="shared" si="20"/>
        <v>814.86444354000002</v>
      </c>
      <c r="BN10" s="6180">
        <f>BN11+BN12</f>
        <v>457.90013779000003</v>
      </c>
      <c r="BO10" s="6180">
        <f>BO11+BO12</f>
        <v>489.19613828000001</v>
      </c>
      <c r="BP10" s="6225">
        <v>7673.4989194300015</v>
      </c>
      <c r="BQ10" s="6181">
        <f>BQ11+BQ12</f>
        <v>533.56526463</v>
      </c>
      <c r="BR10" s="6184">
        <f t="shared" ref="BR10:CB10" si="21">BR11+BR12</f>
        <v>937.03689825000004</v>
      </c>
      <c r="BS10" s="6184">
        <f t="shared" si="21"/>
        <v>520.82450781</v>
      </c>
      <c r="BT10" s="6184">
        <f t="shared" si="21"/>
        <v>413.50723091999998</v>
      </c>
      <c r="BU10" s="6184">
        <f t="shared" si="21"/>
        <v>474.81408935000002</v>
      </c>
      <c r="BV10" s="6184">
        <f t="shared" si="21"/>
        <v>497.40316263000005</v>
      </c>
      <c r="BW10" s="6184">
        <f t="shared" si="21"/>
        <v>753.50974447999999</v>
      </c>
      <c r="BX10" s="6184">
        <f t="shared" si="21"/>
        <v>479.3554901</v>
      </c>
      <c r="BY10" s="6184">
        <f t="shared" si="21"/>
        <v>835.81191424000008</v>
      </c>
      <c r="BZ10" s="6184">
        <f t="shared" si="21"/>
        <v>526.29929918000005</v>
      </c>
      <c r="CA10" s="6184">
        <f t="shared" si="21"/>
        <v>515.05238196000005</v>
      </c>
      <c r="CB10" s="6184">
        <f t="shared" si="21"/>
        <v>490.81679814000006</v>
      </c>
      <c r="CC10" s="6185">
        <f t="shared" si="4"/>
        <v>-56773.286183579352</v>
      </c>
      <c r="CD10" s="6226">
        <f t="shared" ref="CD10:CD15" si="22">IFERROR(HLOOKUP($E$2,$BQ$2:$CB$505,ROW()-1,0)/HLOOKUP($E$2,$CN$2:$CY$412,ROW()-1,0),0)</f>
        <v>8.5711077722929758E-3</v>
      </c>
      <c r="CE10" s="6187">
        <f t="shared" si="12"/>
        <v>-24.235583819999988</v>
      </c>
      <c r="CF10" s="6188">
        <f t="shared" si="14"/>
        <v>1.6206598600000461</v>
      </c>
      <c r="CG10" s="6188"/>
      <c r="CH10" s="6227">
        <f t="shared" si="13"/>
        <v>6977.9967816900007</v>
      </c>
      <c r="CI10" s="6188">
        <f t="shared" si="5"/>
        <v>-116148.86582523036</v>
      </c>
      <c r="CJ10" s="6228">
        <f t="shared" ref="CJ10:CJ15" si="23">IFERROR(CH10/SUM(CN10:CO10),0)</f>
        <v>5.667322819689715E-2</v>
      </c>
      <c r="CK10" s="6229">
        <f t="shared" si="6"/>
        <v>-695.50213774000076</v>
      </c>
      <c r="CL10" s="5138"/>
      <c r="CM10" s="2488" t="str">
        <f>A10</f>
        <v>통신매출</v>
      </c>
      <c r="CN10" s="6230">
        <v>52649.770801439539</v>
      </c>
      <c r="CO10" s="6230">
        <v>70477.091805480813</v>
      </c>
      <c r="CP10" s="6230">
        <v>51769.284269659809</v>
      </c>
      <c r="CQ10" s="6230">
        <v>55998.827147412128</v>
      </c>
      <c r="CR10" s="6230">
        <v>54266.478871736181</v>
      </c>
      <c r="CS10" s="6230">
        <v>65833.467143308269</v>
      </c>
      <c r="CT10" s="6230">
        <v>82541.826872921869</v>
      </c>
      <c r="CU10" s="6230">
        <v>61664.053192011233</v>
      </c>
      <c r="CV10" s="6230">
        <v>95296.906225555475</v>
      </c>
      <c r="CW10" s="6230">
        <v>60376.413189870502</v>
      </c>
      <c r="CX10" s="6230">
        <v>66464.982177646962</v>
      </c>
      <c r="CY10" s="6230">
        <v>57264.102981719348</v>
      </c>
      <c r="CZ10" s="2541">
        <f>CZ11+CZ12</f>
        <v>774603.20467876224</v>
      </c>
      <c r="DB10" s="4439"/>
      <c r="DC10" s="4439"/>
      <c r="DD10" s="2441"/>
      <c r="DF10" s="4439"/>
      <c r="DG10" s="4439"/>
    </row>
    <row r="11" spans="1:111" ht="16.3" customHeight="1" x14ac:dyDescent="0.55000000000000004">
      <c r="A11" s="6231"/>
      <c r="B11" s="5076" t="s">
        <v>1199</v>
      </c>
      <c r="C11" s="5076"/>
      <c r="F11" s="6154">
        <v>425.12579846</v>
      </c>
      <c r="G11" s="6155">
        <f>G6</f>
        <v>435.59136783000002</v>
      </c>
      <c r="H11" s="6155">
        <f t="shared" ref="H11:Q11" si="24">H6</f>
        <v>417.06115769000002</v>
      </c>
      <c r="I11" s="6155">
        <f t="shared" si="24"/>
        <v>362.08609870999999</v>
      </c>
      <c r="J11" s="6155">
        <f t="shared" si="24"/>
        <v>376.76338571000002</v>
      </c>
      <c r="K11" s="6155">
        <f t="shared" si="24"/>
        <v>311.12636391000001</v>
      </c>
      <c r="L11" s="6155">
        <f t="shared" si="24"/>
        <v>298.44902960000002</v>
      </c>
      <c r="M11" s="6155">
        <f t="shared" si="24"/>
        <v>511.91694640999998</v>
      </c>
      <c r="N11" s="6155">
        <f t="shared" si="24"/>
        <v>377.02539264000001</v>
      </c>
      <c r="O11" s="6155">
        <f t="shared" si="24"/>
        <v>417.60570401000001</v>
      </c>
      <c r="P11" s="6155">
        <f t="shared" si="24"/>
        <v>478.98465484000002</v>
      </c>
      <c r="Q11" s="6156">
        <f t="shared" si="24"/>
        <v>421.78798834000003</v>
      </c>
      <c r="R11" s="6155">
        <v>427.30240947999999</v>
      </c>
      <c r="S11" s="6155">
        <v>359.95052336000003</v>
      </c>
      <c r="T11" s="6155">
        <v>373.13112110000003</v>
      </c>
      <c r="U11" s="6155">
        <v>392.55808775999998</v>
      </c>
      <c r="V11" s="6155">
        <v>350.17414830000001</v>
      </c>
      <c r="W11" s="6155">
        <v>355.84174249</v>
      </c>
      <c r="X11" s="6155">
        <v>327.18940106999997</v>
      </c>
      <c r="Y11" s="6155">
        <v>533.93235392999998</v>
      </c>
      <c r="Z11" s="6155">
        <v>487.44124083999998</v>
      </c>
      <c r="AA11" s="6155">
        <v>619.26928742999996</v>
      </c>
      <c r="AB11" s="6155">
        <v>478.39390176999996</v>
      </c>
      <c r="AC11" s="6155">
        <v>371.54031760999999</v>
      </c>
      <c r="AD11" s="6154">
        <v>314.07</v>
      </c>
      <c r="AE11" s="6155">
        <v>510.5</v>
      </c>
      <c r="AF11" s="6155">
        <v>363.69</v>
      </c>
      <c r="AG11" s="6155">
        <v>337.67</v>
      </c>
      <c r="AH11" s="6155">
        <v>367.09</v>
      </c>
      <c r="AI11" s="6155">
        <v>398.52305031999998</v>
      </c>
      <c r="AJ11" s="6155">
        <v>292.67988764999996</v>
      </c>
      <c r="AK11" s="6155">
        <v>544.67726660000005</v>
      </c>
      <c r="AL11" s="6155">
        <v>342.49629461000001</v>
      </c>
      <c r="AM11" s="6155">
        <v>769.85843898999997</v>
      </c>
      <c r="AN11" s="6155">
        <v>414.74087357999997</v>
      </c>
      <c r="AO11" s="6157">
        <v>321.00397748</v>
      </c>
      <c r="AP11" s="6156"/>
      <c r="AQ11" s="6158">
        <v>307.56190311</v>
      </c>
      <c r="AR11" s="6159">
        <v>506.34739579000001</v>
      </c>
      <c r="AS11" s="6159">
        <v>335.51970858999999</v>
      </c>
      <c r="AT11" s="6159">
        <v>270.10871031000005</v>
      </c>
      <c r="AU11" s="6159">
        <v>267.22186732</v>
      </c>
      <c r="AV11" s="6159">
        <v>238.84647827000001</v>
      </c>
      <c r="AW11" s="6159">
        <v>215.18169999000003</v>
      </c>
      <c r="AX11" s="6159">
        <v>553.17258282</v>
      </c>
      <c r="AY11" s="6159">
        <v>238.47595929000002</v>
      </c>
      <c r="AZ11" s="6159">
        <v>746.45886135000012</v>
      </c>
      <c r="BA11" s="6159">
        <v>333.94233086999998</v>
      </c>
      <c r="BB11" s="6159">
        <v>251.21295194999999</v>
      </c>
      <c r="BC11" s="6160">
        <v>4264.0504496600006</v>
      </c>
      <c r="BD11" s="2549">
        <v>937.30233009000005</v>
      </c>
      <c r="BE11" s="2496">
        <v>412.93290717000002</v>
      </c>
      <c r="BF11" s="2496">
        <v>340.37764573999993</v>
      </c>
      <c r="BG11" s="2496">
        <v>236.73678525</v>
      </c>
      <c r="BH11" s="2496">
        <v>212.96512344999999</v>
      </c>
      <c r="BI11" s="2496">
        <f>42433.744472/100</f>
        <v>424.33744472000001</v>
      </c>
      <c r="BJ11" s="2496">
        <v>480.94916848000003</v>
      </c>
      <c r="BK11" s="2496">
        <v>311.64623167000002</v>
      </c>
      <c r="BL11" s="2496">
        <v>614.09557116999997</v>
      </c>
      <c r="BM11" s="2496">
        <v>599.40743623000003</v>
      </c>
      <c r="BN11" s="2496">
        <v>263.8661894</v>
      </c>
      <c r="BO11" s="2496">
        <v>268.77934285999999</v>
      </c>
      <c r="BP11" s="6162">
        <v>5103.3961762299996</v>
      </c>
      <c r="BQ11" s="6232">
        <v>355.07525212000002</v>
      </c>
      <c r="BR11" s="6082">
        <v>679.23028433000002</v>
      </c>
      <c r="BS11" s="2496">
        <v>321.53379536</v>
      </c>
      <c r="BT11" s="6163">
        <v>213.07457941000001</v>
      </c>
      <c r="BU11" s="2496">
        <v>246.36238930000002</v>
      </c>
      <c r="BV11" s="6232">
        <v>274.80846724000003</v>
      </c>
      <c r="BW11" s="6082">
        <v>441.47967010000002</v>
      </c>
      <c r="BX11" s="6232">
        <v>256.74804626000002</v>
      </c>
      <c r="BY11" s="6232">
        <v>559.57756142000005</v>
      </c>
      <c r="BZ11" s="2496">
        <v>324.98229727</v>
      </c>
      <c r="CA11" s="2496">
        <v>284.83313692000002</v>
      </c>
      <c r="CB11" s="2496">
        <v>209.09681289</v>
      </c>
      <c r="CC11" s="6164">
        <f t="shared" si="4"/>
        <v>-37599.625379587327</v>
      </c>
      <c r="CD11" s="6165">
        <f t="shared" si="22"/>
        <v>5.5303856032353103E-3</v>
      </c>
      <c r="CE11" s="6166">
        <f t="shared" si="12"/>
        <v>-75.73632403000002</v>
      </c>
      <c r="CF11" s="2506">
        <f t="shared" si="14"/>
        <v>-59.68252996999999</v>
      </c>
      <c r="CG11" s="2506"/>
      <c r="CH11" s="6167">
        <f t="shared" si="13"/>
        <v>4166.802292620001</v>
      </c>
      <c r="CI11" s="2506">
        <f t="shared" si="5"/>
        <v>-76616.175628991739</v>
      </c>
      <c r="CJ11" s="2691">
        <f t="shared" si="23"/>
        <v>5.1580201669011054E-2</v>
      </c>
      <c r="CK11" s="6168">
        <f t="shared" si="6"/>
        <v>-936.59388360999856</v>
      </c>
      <c r="CL11" s="5138"/>
      <c r="CM11" s="2524" t="str">
        <f>B11</f>
        <v>상품매출(통신) ⓐ</v>
      </c>
      <c r="CN11" s="6191">
        <v>34124.794581325899</v>
      </c>
      <c r="CO11" s="6191">
        <v>46658.183340285846</v>
      </c>
      <c r="CP11" s="6191">
        <v>32380.692333661318</v>
      </c>
      <c r="CQ11" s="6191">
        <v>35842.803297473765</v>
      </c>
      <c r="CR11" s="6191">
        <v>34246.183014906463</v>
      </c>
      <c r="CS11" s="6191">
        <v>43378.647454380807</v>
      </c>
      <c r="CT11" s="6191">
        <v>56406.322393758324</v>
      </c>
      <c r="CU11" s="6191">
        <v>40586.499840110344</v>
      </c>
      <c r="CV11" s="6191">
        <v>66843.580076646205</v>
      </c>
      <c r="CW11" s="6191">
        <v>39782.427736498896</v>
      </c>
      <c r="CX11" s="6191">
        <v>44393.452368199221</v>
      </c>
      <c r="CY11" s="6191">
        <v>37808.722192477326</v>
      </c>
      <c r="CZ11" s="2505">
        <f t="shared" si="7"/>
        <v>512452.30862972443</v>
      </c>
      <c r="DB11" s="4439"/>
      <c r="DC11" s="4439"/>
      <c r="DF11" s="4439"/>
      <c r="DG11" s="4439"/>
    </row>
    <row r="12" spans="1:111" ht="16.3" customHeight="1" x14ac:dyDescent="0.55000000000000004">
      <c r="A12" s="6153"/>
      <c r="B12" s="5076" t="s">
        <v>1200</v>
      </c>
      <c r="F12" s="6154">
        <v>144.38566949</v>
      </c>
      <c r="G12" s="6155">
        <v>142.75074884</v>
      </c>
      <c r="H12" s="6155">
        <v>150.96183108</v>
      </c>
      <c r="I12" s="6155">
        <v>140.86692244</v>
      </c>
      <c r="J12" s="6155">
        <v>147.48588387000001</v>
      </c>
      <c r="K12" s="6155">
        <v>141.14212821000001</v>
      </c>
      <c r="L12" s="6233">
        <v>142.77361440999999</v>
      </c>
      <c r="M12" s="6233">
        <v>150.82128938</v>
      </c>
      <c r="N12" s="6233">
        <v>144.34954535</v>
      </c>
      <c r="O12" s="6233">
        <v>157.47706932</v>
      </c>
      <c r="P12" s="6233">
        <v>175.57039706</v>
      </c>
      <c r="Q12" s="6234">
        <v>139.86081988000001</v>
      </c>
      <c r="R12" s="6235">
        <v>139.95820717999996</v>
      </c>
      <c r="S12" s="6235">
        <v>147.02255133999998</v>
      </c>
      <c r="T12" s="6235">
        <v>136.47457775000001</v>
      </c>
      <c r="U12" s="6235">
        <v>142.26772498000003</v>
      </c>
      <c r="V12" s="6235">
        <v>160.86647833999999</v>
      </c>
      <c r="W12" s="6235">
        <v>174.79159813999999</v>
      </c>
      <c r="X12" s="6235">
        <v>168.70141570999999</v>
      </c>
      <c r="Y12" s="6235">
        <v>187.19565228000002</v>
      </c>
      <c r="Z12" s="6235">
        <v>170.94003389000005</v>
      </c>
      <c r="AA12" s="6235">
        <v>185.47659101000011</v>
      </c>
      <c r="AB12" s="6235">
        <v>165.87839738999998</v>
      </c>
      <c r="AC12" s="6235">
        <v>245.38964078999996</v>
      </c>
      <c r="AD12" s="6154">
        <v>151.9</v>
      </c>
      <c r="AE12" s="6155">
        <v>176.26050108000001</v>
      </c>
      <c r="AF12" s="6155">
        <v>155.16</v>
      </c>
      <c r="AG12" s="6155">
        <v>177.68</v>
      </c>
      <c r="AH12" s="6155">
        <v>195.26</v>
      </c>
      <c r="AI12" s="6155">
        <v>210.55</v>
      </c>
      <c r="AJ12" s="6233">
        <v>193.66182796999999</v>
      </c>
      <c r="AK12" s="6233">
        <v>220.18423569000001</v>
      </c>
      <c r="AL12" s="6233">
        <v>187.16146239000003</v>
      </c>
      <c r="AM12" s="6233">
        <v>188.68793299000001</v>
      </c>
      <c r="AN12" s="6233">
        <v>167.69944674999999</v>
      </c>
      <c r="AO12" s="6233">
        <v>284.06721903000005</v>
      </c>
      <c r="AP12" s="6234"/>
      <c r="AQ12" s="6158">
        <v>147.88221551999999</v>
      </c>
      <c r="AR12" s="6159">
        <v>210.28879517999999</v>
      </c>
      <c r="AS12" s="6159">
        <v>178.60839277000002</v>
      </c>
      <c r="AT12" s="6159">
        <v>195.30239897999996</v>
      </c>
      <c r="AU12" s="6159">
        <v>198.80778667999996</v>
      </c>
      <c r="AV12" s="6159">
        <v>224.76416961000001</v>
      </c>
      <c r="AW12" s="6159">
        <v>190.49969679</v>
      </c>
      <c r="AX12" s="6159">
        <v>269.08927855000002</v>
      </c>
      <c r="AY12" s="6159">
        <v>195.84786810999998</v>
      </c>
      <c r="AZ12" s="6159">
        <v>240.29221936000005</v>
      </c>
      <c r="BA12" s="6159">
        <v>169.90414381000002</v>
      </c>
      <c r="BB12" s="6159">
        <v>198.65382888999994</v>
      </c>
      <c r="BC12" s="6160">
        <v>2419.9407942499997</v>
      </c>
      <c r="BD12" s="2549">
        <f t="shared" ref="BD12:BJ12" si="25">BD13+BD21+BD38</f>
        <v>249.29025658</v>
      </c>
      <c r="BE12" s="6161">
        <f t="shared" si="25"/>
        <v>184.8585703</v>
      </c>
      <c r="BF12" s="6161">
        <f t="shared" si="25"/>
        <v>189.48823461000001</v>
      </c>
      <c r="BG12" s="6161">
        <f t="shared" si="25"/>
        <v>204.93904087999999</v>
      </c>
      <c r="BH12" s="2496">
        <f t="shared" si="25"/>
        <v>189.78819523999999</v>
      </c>
      <c r="BI12" s="2496">
        <f t="shared" si="25"/>
        <v>186.99602431</v>
      </c>
      <c r="BJ12" s="2496">
        <f t="shared" si="25"/>
        <v>267.62929525999999</v>
      </c>
      <c r="BK12" s="2496">
        <v>203.80134106</v>
      </c>
      <c r="BL12" s="2496">
        <v>263.40403384000001</v>
      </c>
      <c r="BM12" s="2496">
        <v>215.45700731000002</v>
      </c>
      <c r="BN12" s="2496">
        <v>194.03394839000001</v>
      </c>
      <c r="BO12" s="2496">
        <v>220.41679542</v>
      </c>
      <c r="BP12" s="6162">
        <v>2570.1027432000001</v>
      </c>
      <c r="BQ12" s="2496">
        <f t="shared" ref="BQ12:CA12" si="26">BQ13+BQ21+BQ38</f>
        <v>178.49001250999999</v>
      </c>
      <c r="BR12" s="2496">
        <f t="shared" si="26"/>
        <v>257.80661392000002</v>
      </c>
      <c r="BS12" s="2496">
        <f t="shared" si="26"/>
        <v>199.29071245</v>
      </c>
      <c r="BT12" s="2496">
        <f t="shared" si="26"/>
        <v>200.43265151</v>
      </c>
      <c r="BU12" s="2496">
        <f t="shared" si="26"/>
        <v>228.45170005</v>
      </c>
      <c r="BV12" s="2496">
        <f t="shared" si="26"/>
        <v>222.59469539000003</v>
      </c>
      <c r="BW12" s="6082">
        <f t="shared" si="26"/>
        <v>312.03007437999997</v>
      </c>
      <c r="BX12" s="6082">
        <f t="shared" si="26"/>
        <v>222.60744383999997</v>
      </c>
      <c r="BY12" s="6082">
        <f t="shared" si="26"/>
        <v>276.23435281999997</v>
      </c>
      <c r="BZ12" s="6082">
        <f t="shared" si="26"/>
        <v>201.31700191000002</v>
      </c>
      <c r="CA12" s="6082">
        <f t="shared" si="26"/>
        <v>230.21924503999998</v>
      </c>
      <c r="CB12" s="6082">
        <v>281.71998525000004</v>
      </c>
      <c r="CC12" s="6164">
        <f t="shared" si="4"/>
        <v>-19173.660803992025</v>
      </c>
      <c r="CD12" s="6165">
        <f t="shared" si="22"/>
        <v>1.4480312069028166E-2</v>
      </c>
      <c r="CE12" s="6166">
        <f t="shared" si="12"/>
        <v>51.50074021000006</v>
      </c>
      <c r="CF12" s="2509">
        <f t="shared" si="14"/>
        <v>61.303189830000036</v>
      </c>
      <c r="CG12" s="2509"/>
      <c r="CH12" s="6167">
        <f t="shared" si="13"/>
        <v>2811.1944890699997</v>
      </c>
      <c r="CI12" s="2506">
        <f t="shared" si="5"/>
        <v>-39532.690196238618</v>
      </c>
      <c r="CJ12" s="2691">
        <f t="shared" si="23"/>
        <v>6.6389621782749542E-2</v>
      </c>
      <c r="CK12" s="6168">
        <f t="shared" si="6"/>
        <v>241.09174586999961</v>
      </c>
      <c r="CL12" s="5138"/>
      <c r="CM12" s="2524" t="str">
        <f>B12</f>
        <v>수수료매출(통신) ⓑ</v>
      </c>
      <c r="CN12" s="6191">
        <v>18524.976220113636</v>
      </c>
      <c r="CO12" s="6191">
        <v>23818.908465194974</v>
      </c>
      <c r="CP12" s="6191">
        <v>19388.591935998495</v>
      </c>
      <c r="CQ12" s="6191">
        <v>20156.023849938359</v>
      </c>
      <c r="CR12" s="6191">
        <v>20020.295856829707</v>
      </c>
      <c r="CS12" s="6191">
        <v>22454.819688927462</v>
      </c>
      <c r="CT12" s="6191">
        <v>26135.504479163552</v>
      </c>
      <c r="CU12" s="6191">
        <v>21077.553351900886</v>
      </c>
      <c r="CV12" s="6191">
        <v>28453.326148909277</v>
      </c>
      <c r="CW12" s="6191">
        <v>20593.98545337161</v>
      </c>
      <c r="CX12" s="6191">
        <v>22071.529809447744</v>
      </c>
      <c r="CY12" s="6191">
        <v>19455.380789242026</v>
      </c>
      <c r="CZ12" s="2505">
        <f t="shared" ref="CZ12:CZ79" si="27">SUM(CN12:CY12)</f>
        <v>262150.89604903775</v>
      </c>
      <c r="DB12" s="4439"/>
      <c r="DC12" s="4439"/>
      <c r="DF12" s="4439"/>
      <c r="DG12" s="4439"/>
    </row>
    <row r="13" spans="1:111" ht="16.3" customHeight="1" x14ac:dyDescent="0.55000000000000004">
      <c r="A13" s="6153"/>
      <c r="C13" s="5076" t="s">
        <v>6</v>
      </c>
      <c r="F13" s="6154">
        <f>F14+F15</f>
        <v>66.505845960000002</v>
      </c>
      <c r="G13" s="6155">
        <f t="shared" ref="G13:Q13" si="28">G14+G15</f>
        <v>61.655319900000002</v>
      </c>
      <c r="H13" s="6155">
        <f t="shared" si="28"/>
        <v>68.598155660000003</v>
      </c>
      <c r="I13" s="6155">
        <f t="shared" si="28"/>
        <v>62.736615530000002</v>
      </c>
      <c r="J13" s="6155">
        <f t="shared" si="28"/>
        <v>71.736810570000003</v>
      </c>
      <c r="K13" s="6155">
        <f t="shared" si="28"/>
        <v>67.407588590000003</v>
      </c>
      <c r="L13" s="6155">
        <f t="shared" si="28"/>
        <v>66.153399129999997</v>
      </c>
      <c r="M13" s="6155">
        <f t="shared" si="28"/>
        <v>73.141149130000002</v>
      </c>
      <c r="N13" s="6155">
        <f t="shared" si="28"/>
        <v>69.979594890000001</v>
      </c>
      <c r="O13" s="6155">
        <f t="shared" si="28"/>
        <v>82.369230959999996</v>
      </c>
      <c r="P13" s="6155">
        <f t="shared" si="28"/>
        <v>103.52138165000001</v>
      </c>
      <c r="Q13" s="6156">
        <f t="shared" si="28"/>
        <v>65.332407230000001</v>
      </c>
      <c r="R13" s="6155">
        <v>67.759317260000003</v>
      </c>
      <c r="S13" s="6155">
        <v>70.007579199999995</v>
      </c>
      <c r="T13" s="6155">
        <v>62.487498330000001</v>
      </c>
      <c r="U13" s="6155">
        <v>56.43667095</v>
      </c>
      <c r="V13" s="6155">
        <v>82.521390840000009</v>
      </c>
      <c r="W13" s="6155">
        <v>96.041538750000001</v>
      </c>
      <c r="X13" s="6155">
        <v>88.505992730000003</v>
      </c>
      <c r="Y13" s="6155">
        <v>106.62664536</v>
      </c>
      <c r="Z13" s="6155">
        <v>91.159278470000004</v>
      </c>
      <c r="AA13" s="6155">
        <v>100.95803033</v>
      </c>
      <c r="AB13" s="6155">
        <v>83.633351180000005</v>
      </c>
      <c r="AC13" s="6155">
        <v>162.32011111000003</v>
      </c>
      <c r="AD13" s="6154">
        <f t="shared" ref="AD13:AI13" si="29">AD14+AD15</f>
        <v>67.677050410000007</v>
      </c>
      <c r="AE13" s="6155">
        <f t="shared" si="29"/>
        <v>93.341094460000008</v>
      </c>
      <c r="AF13" s="6155">
        <f t="shared" si="29"/>
        <v>66.686359429999996</v>
      </c>
      <c r="AG13" s="6155">
        <f t="shared" si="29"/>
        <v>96.551789549999995</v>
      </c>
      <c r="AH13" s="6155">
        <f t="shared" si="29"/>
        <v>102.01928487000001</v>
      </c>
      <c r="AI13" s="6155">
        <f t="shared" si="29"/>
        <v>107.70269567</v>
      </c>
      <c r="AJ13" s="6155">
        <v>104.29413284</v>
      </c>
      <c r="AK13" s="6155">
        <v>128.8038249</v>
      </c>
      <c r="AL13" s="6155">
        <v>91.154753830000004</v>
      </c>
      <c r="AM13" s="6155">
        <v>108.84660195000001</v>
      </c>
      <c r="AN13" s="6155">
        <v>75.910747560000004</v>
      </c>
      <c r="AO13" s="6157">
        <v>198.09710472</v>
      </c>
      <c r="AP13" s="6156"/>
      <c r="AQ13" s="6158">
        <v>39.929752489999998</v>
      </c>
      <c r="AR13" s="6159">
        <v>126.18733025999998</v>
      </c>
      <c r="AS13" s="6159">
        <v>78.48728340000001</v>
      </c>
      <c r="AT13" s="6159">
        <v>106.54674632999999</v>
      </c>
      <c r="AU13" s="6159">
        <v>107.44778007999999</v>
      </c>
      <c r="AV13" s="6159">
        <v>126.97076551999999</v>
      </c>
      <c r="AW13" s="6159">
        <v>94.720604569999992</v>
      </c>
      <c r="AX13" s="6159">
        <v>176.59733647000002</v>
      </c>
      <c r="AY13" s="6159">
        <v>99.013854939999987</v>
      </c>
      <c r="AZ13" s="6159">
        <v>146.00524172999999</v>
      </c>
      <c r="BA13" s="6159">
        <v>80.48795358000001</v>
      </c>
      <c r="BB13" s="6159">
        <v>105.05089002000001</v>
      </c>
      <c r="BC13" s="6160">
        <v>1287.44553939</v>
      </c>
      <c r="BD13" s="2549">
        <f>BD14+BD15</f>
        <v>149.15128453</v>
      </c>
      <c r="BE13" s="6161">
        <f t="shared" ref="BE13:BM13" si="30">BE14+BE15</f>
        <v>88.394004989999999</v>
      </c>
      <c r="BF13" s="6161">
        <f t="shared" si="30"/>
        <v>98.747062619999994</v>
      </c>
      <c r="BG13" s="6161">
        <f t="shared" si="30"/>
        <v>104.10232276000001</v>
      </c>
      <c r="BH13" s="2496">
        <f t="shared" si="30"/>
        <v>98.473284500000005</v>
      </c>
      <c r="BI13" s="2496">
        <f t="shared" si="30"/>
        <v>90.23088611</v>
      </c>
      <c r="BJ13" s="2496">
        <f t="shared" si="30"/>
        <v>167.22273009</v>
      </c>
      <c r="BK13" s="2496">
        <f t="shared" si="30"/>
        <v>100.31821041000001</v>
      </c>
      <c r="BL13" s="2496">
        <f t="shared" si="30"/>
        <v>155.99796676</v>
      </c>
      <c r="BM13" s="2496">
        <f t="shared" si="30"/>
        <v>121.89961690999999</v>
      </c>
      <c r="BN13" s="2496">
        <f>BN14+BN15</f>
        <v>91.538160610000006</v>
      </c>
      <c r="BO13" s="2496">
        <v>113.04964587000001</v>
      </c>
      <c r="BP13" s="6162">
        <v>1379.1251761600001</v>
      </c>
      <c r="BQ13" s="6232">
        <f t="shared" ref="BQ13:CB13" si="31">BQ14+BQ15</f>
        <v>95.784423849999996</v>
      </c>
      <c r="BR13" s="6232">
        <f t="shared" si="31"/>
        <v>166.62481603999998</v>
      </c>
      <c r="BS13" s="6232">
        <f t="shared" si="31"/>
        <v>110.26219452000001</v>
      </c>
      <c r="BT13" s="6232">
        <f t="shared" si="31"/>
        <v>103.99977730000001</v>
      </c>
      <c r="BU13" s="6232">
        <f t="shared" si="31"/>
        <v>141.27506871</v>
      </c>
      <c r="BV13" s="6232">
        <f t="shared" si="31"/>
        <v>121.71603564</v>
      </c>
      <c r="BW13" s="6082">
        <f t="shared" si="31"/>
        <v>222.07761886999998</v>
      </c>
      <c r="BX13" s="6163">
        <f t="shared" si="31"/>
        <v>134.99655784999999</v>
      </c>
      <c r="BY13" s="6163">
        <f t="shared" si="31"/>
        <v>185.93206875999999</v>
      </c>
      <c r="BZ13" s="6163">
        <f t="shared" si="31"/>
        <v>119.40087632000001</v>
      </c>
      <c r="CA13" s="6163">
        <f t="shared" si="31"/>
        <v>143.23107128999999</v>
      </c>
      <c r="CB13" s="6163">
        <f t="shared" si="31"/>
        <v>183.73159751000003</v>
      </c>
      <c r="CC13" s="6164">
        <f t="shared" si="4"/>
        <v>-10561.343875244289</v>
      </c>
      <c r="CD13" s="6165">
        <f t="shared" si="22"/>
        <v>1.7099144438387462E-2</v>
      </c>
      <c r="CE13" s="6166">
        <f t="shared" si="12"/>
        <v>40.50052622000004</v>
      </c>
      <c r="CF13" s="2509">
        <f t="shared" si="14"/>
        <v>70.681951640000023</v>
      </c>
      <c r="CG13" s="2509"/>
      <c r="CH13" s="6167">
        <f t="shared" si="13"/>
        <v>1729.03210666</v>
      </c>
      <c r="CI13" s="2506">
        <f t="shared" si="5"/>
        <v>-22867.778477657012</v>
      </c>
      <c r="CJ13" s="2691">
        <f t="shared" si="23"/>
        <v>7.0294971810793846E-2</v>
      </c>
      <c r="CK13" s="6168">
        <f t="shared" si="6"/>
        <v>349.90693049999982</v>
      </c>
      <c r="CL13" s="5138"/>
      <c r="CM13" s="2488" t="str">
        <f>C13</f>
        <v>정책수수료</v>
      </c>
      <c r="CN13" s="6191">
        <v>9675.094624591653</v>
      </c>
      <c r="CO13" s="6191">
        <v>14921.715959725361</v>
      </c>
      <c r="CP13" s="6191">
        <v>10494.093456402723</v>
      </c>
      <c r="CQ13" s="6191">
        <v>11266.46655300631</v>
      </c>
      <c r="CR13" s="6191">
        <v>11206.913557981246</v>
      </c>
      <c r="CS13" s="6191">
        <v>13643.698344215736</v>
      </c>
      <c r="CT13" s="6191">
        <v>17524.132568538524</v>
      </c>
      <c r="CU13" s="6191">
        <v>12404.918782703155</v>
      </c>
      <c r="CV13" s="6191">
        <v>19696.007849245208</v>
      </c>
      <c r="CW13" s="6191">
        <v>11818.337740818055</v>
      </c>
      <c r="CX13" s="6191">
        <v>13441.120382041359</v>
      </c>
      <c r="CY13" s="6191">
        <v>10745.07547275429</v>
      </c>
      <c r="CZ13" s="2505">
        <f t="shared" si="27"/>
        <v>156837.5752920236</v>
      </c>
      <c r="DB13" s="4439"/>
      <c r="DC13" s="4439"/>
      <c r="DF13" s="4439"/>
      <c r="DG13" s="4439"/>
    </row>
    <row r="14" spans="1:111" ht="16.3" customHeight="1" x14ac:dyDescent="0.55000000000000004">
      <c r="A14" s="6153"/>
      <c r="C14" s="6236" t="s">
        <v>742</v>
      </c>
      <c r="D14" s="6236" t="s">
        <v>102</v>
      </c>
      <c r="E14" s="6236" t="s">
        <v>115</v>
      </c>
      <c r="F14" s="6237">
        <v>62.752190300000002</v>
      </c>
      <c r="G14" s="6238">
        <v>62.168843420000002</v>
      </c>
      <c r="H14" s="6238">
        <v>60.70369599</v>
      </c>
      <c r="I14" s="6238">
        <v>57.652084700000003</v>
      </c>
      <c r="J14" s="6238">
        <v>71.994799409999999</v>
      </c>
      <c r="K14" s="6238">
        <v>63.717376880000003</v>
      </c>
      <c r="L14" s="6238">
        <v>62.150368120000003</v>
      </c>
      <c r="M14" s="6238">
        <v>68.340835319999996</v>
      </c>
      <c r="N14" s="6238">
        <v>67.181898270000005</v>
      </c>
      <c r="O14" s="6238">
        <v>77.373198939999995</v>
      </c>
      <c r="P14" s="6238">
        <v>100.84694176000001</v>
      </c>
      <c r="Q14" s="6239">
        <v>62.704470319999999</v>
      </c>
      <c r="R14" s="6238">
        <v>61.290172570000003</v>
      </c>
      <c r="S14" s="6238">
        <v>69.716658069999994</v>
      </c>
      <c r="T14" s="6238">
        <v>66.15537587</v>
      </c>
      <c r="U14" s="6238">
        <v>53.694533590000006</v>
      </c>
      <c r="V14" s="6238">
        <v>79.413040930000008</v>
      </c>
      <c r="W14" s="6238">
        <v>92.119046389999994</v>
      </c>
      <c r="X14" s="6238">
        <v>86.365992930000004</v>
      </c>
      <c r="Y14" s="6238">
        <v>105.34176443999999</v>
      </c>
      <c r="Z14" s="6238">
        <v>86.918445329999997</v>
      </c>
      <c r="AA14" s="6238">
        <v>95.634805299999996</v>
      </c>
      <c r="AB14" s="6238">
        <v>78.468243060000006</v>
      </c>
      <c r="AC14" s="6238">
        <v>160.86679315000001</v>
      </c>
      <c r="AD14" s="6240">
        <v>63.36888244</v>
      </c>
      <c r="AE14" s="6238">
        <v>89.881480550000006</v>
      </c>
      <c r="AF14" s="6241">
        <v>68.727471129999998</v>
      </c>
      <c r="AG14" s="6238">
        <v>91.613518139999996</v>
      </c>
      <c r="AH14" s="6238">
        <v>99.935671850000006</v>
      </c>
      <c r="AI14" s="6238">
        <v>107.03450198</v>
      </c>
      <c r="AJ14" s="6238">
        <v>105.11114354999999</v>
      </c>
      <c r="AK14" s="6238">
        <v>123.94395268000001</v>
      </c>
      <c r="AL14" s="6238">
        <v>78.889359909999996</v>
      </c>
      <c r="AM14" s="6238">
        <v>103.79931115000001</v>
      </c>
      <c r="AN14" s="6238">
        <v>76.776727950000009</v>
      </c>
      <c r="AO14" s="6238">
        <v>201.97584856</v>
      </c>
      <c r="AP14" s="6239"/>
      <c r="AQ14" s="6242">
        <v>39.607889669999999</v>
      </c>
      <c r="AR14" s="6243">
        <v>121.51035846999999</v>
      </c>
      <c r="AS14" s="6243">
        <v>77.057831120000003</v>
      </c>
      <c r="AT14" s="6243">
        <v>102.43475540999999</v>
      </c>
      <c r="AU14" s="6243">
        <v>104.80835252999999</v>
      </c>
      <c r="AV14" s="6243">
        <v>127.02525718999999</v>
      </c>
      <c r="AW14" s="6243">
        <v>97.747710499999997</v>
      </c>
      <c r="AX14" s="6243">
        <v>170.64927391000001</v>
      </c>
      <c r="AY14" s="6243">
        <v>104.00489709999999</v>
      </c>
      <c r="AZ14" s="6243">
        <v>145.86148137000001</v>
      </c>
      <c r="BA14" s="6243">
        <v>81.000903090000008</v>
      </c>
      <c r="BB14" s="6243">
        <v>105.20128683000002</v>
      </c>
      <c r="BC14" s="6244">
        <v>1276.9099971900002</v>
      </c>
      <c r="BD14" s="6245">
        <f>(14291.505822/100)-BD51</f>
        <v>142.52133094999999</v>
      </c>
      <c r="BE14" s="6246">
        <f>(9284.452229/100)-BE51</f>
        <v>90.686995699999997</v>
      </c>
      <c r="BF14" s="6246">
        <f>(8770.307297/100)-BF51</f>
        <v>87.087719669999998</v>
      </c>
      <c r="BG14" s="6246">
        <f>(9702.226127/100)-BG51</f>
        <v>92.756790820000006</v>
      </c>
      <c r="BH14" s="6246">
        <f>86.95162969-BH51</f>
        <v>85.287552430000005</v>
      </c>
      <c r="BI14" s="6246">
        <f>77.96328659-BI51</f>
        <v>77.151312730000001</v>
      </c>
      <c r="BJ14" s="6246">
        <f>157.8282656-BJ51</f>
        <v>156.24823773</v>
      </c>
      <c r="BK14" s="6246">
        <v>97.70964275</v>
      </c>
      <c r="BL14" s="6246">
        <v>143.05632341999998</v>
      </c>
      <c r="BM14" s="6246">
        <f>120.75488342-BM51</f>
        <v>117.21301577999999</v>
      </c>
      <c r="BN14" s="6246">
        <f>100.21921748-BN51</f>
        <v>85.758135960000004</v>
      </c>
      <c r="BO14" s="6246">
        <v>106.62768609</v>
      </c>
      <c r="BP14" s="6247">
        <v>1282.1047440300001</v>
      </c>
      <c r="BQ14" s="6246">
        <f>94.15998888-BQ51</f>
        <v>90.128599940000001</v>
      </c>
      <c r="BR14" s="6246">
        <f>151.65931031-BR51</f>
        <v>143.86297662999999</v>
      </c>
      <c r="BS14" s="6246">
        <f>102.7766701-BS51</f>
        <v>101.90001775</v>
      </c>
      <c r="BT14" s="6248">
        <f>96.94536196-BT51</f>
        <v>94.597901870000001</v>
      </c>
      <c r="BU14" s="6246">
        <f>124.46163737-BU51</f>
        <v>123.08660382000001</v>
      </c>
      <c r="BV14" s="6246">
        <f>124.27085998-BV51</f>
        <v>121.90912466</v>
      </c>
      <c r="BW14" s="6249">
        <f>205.26703566-BW51</f>
        <v>202.7067563</v>
      </c>
      <c r="BX14" s="6248">
        <f>131.93518587-BX51</f>
        <v>131.07890674999999</v>
      </c>
      <c r="BY14" s="6248">
        <f>174.5332867-BY51</f>
        <v>170.82371760999999</v>
      </c>
      <c r="BZ14" s="6248">
        <f>119.42022718-BZ51</f>
        <v>115.48542496</v>
      </c>
      <c r="CA14" s="6248">
        <f>(133.48945797)-CA51</f>
        <v>131.92251568999998</v>
      </c>
      <c r="CB14" s="6248">
        <f>(16319.165186/100)-CB51</f>
        <v>161.46234918000002</v>
      </c>
      <c r="CC14" s="6250">
        <f t="shared" si="4"/>
        <v>161.46234918000002</v>
      </c>
      <c r="CD14" s="6251">
        <f t="shared" si="22"/>
        <v>0</v>
      </c>
      <c r="CE14" s="6252">
        <f t="shared" si="12"/>
        <v>29.539833490000035</v>
      </c>
      <c r="CF14" s="6253">
        <f t="shared" si="14"/>
        <v>54.834663090000021</v>
      </c>
      <c r="CG14" s="6253"/>
      <c r="CH14" s="6254">
        <f t="shared" si="13"/>
        <v>1588.96489516</v>
      </c>
      <c r="CI14" s="6255">
        <f t="shared" si="5"/>
        <v>1588.96489516</v>
      </c>
      <c r="CJ14" s="6256">
        <f t="shared" si="23"/>
        <v>0</v>
      </c>
      <c r="CK14" s="6257">
        <f t="shared" si="6"/>
        <v>306.86015112999985</v>
      </c>
      <c r="CL14" s="5138"/>
      <c r="CM14" s="2488" t="str">
        <f t="shared" ref="CM14:CM20" si="32">D14</f>
        <v>무선</v>
      </c>
      <c r="CN14" s="2577"/>
      <c r="CO14" s="2577"/>
      <c r="CP14" s="2577"/>
      <c r="CQ14" s="2577"/>
      <c r="CR14" s="2577"/>
      <c r="CS14" s="2577"/>
      <c r="CT14" s="2577"/>
      <c r="CU14" s="2577"/>
      <c r="CV14" s="2577"/>
      <c r="CW14" s="2577"/>
      <c r="CX14" s="2577"/>
      <c r="CY14" s="2577"/>
      <c r="CZ14" s="2505">
        <f t="shared" si="27"/>
        <v>0</v>
      </c>
      <c r="DB14" s="4439"/>
      <c r="DC14" s="4439"/>
      <c r="DF14" s="4439"/>
      <c r="DG14" s="4439"/>
    </row>
    <row r="15" spans="1:111" ht="16.3" customHeight="1" x14ac:dyDescent="0.55000000000000004">
      <c r="A15" s="6153"/>
      <c r="C15" s="6258"/>
      <c r="D15" s="6259" t="s">
        <v>103</v>
      </c>
      <c r="E15" s="6259" t="s">
        <v>116</v>
      </c>
      <c r="F15" s="6260">
        <v>3.7536556600000002</v>
      </c>
      <c r="G15" s="6261">
        <v>-0.51352352000000001</v>
      </c>
      <c r="H15" s="6261">
        <v>7.8944596699999998</v>
      </c>
      <c r="I15" s="6261">
        <v>5.0845308300000003</v>
      </c>
      <c r="J15" s="6261">
        <v>-0.25798884</v>
      </c>
      <c r="K15" s="6261">
        <v>3.6902117099999998</v>
      </c>
      <c r="L15" s="6261">
        <v>4.0030310099999999</v>
      </c>
      <c r="M15" s="6261">
        <v>4.8003138099999996</v>
      </c>
      <c r="N15" s="6261">
        <v>2.79769662</v>
      </c>
      <c r="O15" s="6261">
        <v>4.9960320200000004</v>
      </c>
      <c r="P15" s="6261">
        <v>2.6744398899999999</v>
      </c>
      <c r="Q15" s="6262">
        <v>2.6279369099999998</v>
      </c>
      <c r="R15" s="6261">
        <v>6.4691446900000003</v>
      </c>
      <c r="S15" s="6261">
        <v>0.29092113000000003</v>
      </c>
      <c r="T15" s="6261">
        <v>-3.6678775400000001</v>
      </c>
      <c r="U15" s="6261">
        <v>2.7421373600000001</v>
      </c>
      <c r="V15" s="6261">
        <v>3.1083499100000003</v>
      </c>
      <c r="W15" s="6261">
        <v>3.9224923599999997</v>
      </c>
      <c r="X15" s="6261">
        <v>2.1399998</v>
      </c>
      <c r="Y15" s="6261">
        <v>1.28488092</v>
      </c>
      <c r="Z15" s="6261">
        <v>4.2408331399999994</v>
      </c>
      <c r="AA15" s="6261">
        <v>5.3232250300000006</v>
      </c>
      <c r="AB15" s="6261">
        <v>5.1651081200000002</v>
      </c>
      <c r="AC15" s="6261">
        <v>1.4533179599999999</v>
      </c>
      <c r="AD15" s="6263">
        <v>4.3081679700000004</v>
      </c>
      <c r="AE15" s="6261">
        <v>3.4596139099999998</v>
      </c>
      <c r="AF15" s="6264">
        <v>-2.0411117000000001</v>
      </c>
      <c r="AG15" s="6261">
        <v>4.9382714099999996</v>
      </c>
      <c r="AH15" s="6261">
        <v>2.08361302</v>
      </c>
      <c r="AI15" s="6261">
        <v>0.66819368999999995</v>
      </c>
      <c r="AJ15" s="6261">
        <v>-0.81701070999999992</v>
      </c>
      <c r="AK15" s="6261">
        <v>4.8598722199999997</v>
      </c>
      <c r="AL15" s="6261">
        <v>12.265393919999999</v>
      </c>
      <c r="AM15" s="6261">
        <v>5.0472907999999999</v>
      </c>
      <c r="AN15" s="6261">
        <v>-0.86598039000000004</v>
      </c>
      <c r="AO15" s="6261">
        <v>-3.8787438399999998</v>
      </c>
      <c r="AP15" s="6262"/>
      <c r="AQ15" s="6265">
        <v>0.32186281999999999</v>
      </c>
      <c r="AR15" s="6266">
        <v>4.6769717899999996</v>
      </c>
      <c r="AS15" s="6266">
        <v>1.4294522799999998</v>
      </c>
      <c r="AT15" s="6266">
        <v>4.1119909200000002</v>
      </c>
      <c r="AU15" s="6266">
        <v>2.6394275499999997</v>
      </c>
      <c r="AV15" s="6266">
        <v>-5.4491669999999999E-2</v>
      </c>
      <c r="AW15" s="6266">
        <v>-3.0271059299999981</v>
      </c>
      <c r="AX15" s="6266">
        <v>5.9480625599999994</v>
      </c>
      <c r="AY15" s="6266">
        <v>-4.9910421600000001</v>
      </c>
      <c r="AZ15" s="6266">
        <v>0.14376036</v>
      </c>
      <c r="BA15" s="6266">
        <v>-0.51294951</v>
      </c>
      <c r="BB15" s="6266">
        <v>-0.15039680999999999</v>
      </c>
      <c r="BC15" s="6267">
        <v>10.535542200000002</v>
      </c>
      <c r="BD15" s="6268">
        <v>6.6299535800000005</v>
      </c>
      <c r="BE15" s="6269">
        <v>-2.2929907099999998</v>
      </c>
      <c r="BF15" s="6269">
        <v>11.659342950000001</v>
      </c>
      <c r="BG15" s="6269">
        <v>11.345531940000001</v>
      </c>
      <c r="BH15" s="6269">
        <v>13.18573207</v>
      </c>
      <c r="BI15" s="6269">
        <v>13.079573379999999</v>
      </c>
      <c r="BJ15" s="6269">
        <v>10.974492359999999</v>
      </c>
      <c r="BK15" s="6269">
        <v>2.6085676599999998</v>
      </c>
      <c r="BL15" s="6269">
        <v>12.941643340000001</v>
      </c>
      <c r="BM15" s="6269">
        <f>4.68660113</f>
        <v>4.6866011299999997</v>
      </c>
      <c r="BN15" s="6269">
        <v>5.7800246499999997</v>
      </c>
      <c r="BO15" s="6269">
        <v>6.4219597799999999</v>
      </c>
      <c r="BP15" s="6270">
        <v>97.020432130000003</v>
      </c>
      <c r="BQ15" s="6271">
        <v>5.6558239100000005</v>
      </c>
      <c r="BR15" s="6272">
        <v>22.761839409999997</v>
      </c>
      <c r="BS15" s="6269">
        <v>8.3621767699999996</v>
      </c>
      <c r="BT15" s="6271">
        <v>9.4018754300000005</v>
      </c>
      <c r="BU15" s="6269">
        <v>18.188464889999999</v>
      </c>
      <c r="BV15" s="6272">
        <v>-0.19308901999999861</v>
      </c>
      <c r="BW15" s="6272">
        <v>19.37086257</v>
      </c>
      <c r="BX15" s="6271">
        <v>3.9176511000000001</v>
      </c>
      <c r="BY15" s="6271">
        <v>15.108351150000001</v>
      </c>
      <c r="BZ15" s="6269">
        <v>3.9154513599999987</v>
      </c>
      <c r="CA15" s="6269">
        <v>11.3085556</v>
      </c>
      <c r="CB15" s="6269">
        <v>22.26924833</v>
      </c>
      <c r="CC15" s="6273">
        <f t="shared" si="4"/>
        <v>22.26924833</v>
      </c>
      <c r="CD15" s="6274">
        <f t="shared" si="22"/>
        <v>0</v>
      </c>
      <c r="CE15" s="6275">
        <f t="shared" si="12"/>
        <v>10.96069273</v>
      </c>
      <c r="CF15" s="6276">
        <f t="shared" si="14"/>
        <v>15.84728855</v>
      </c>
      <c r="CG15" s="6276"/>
      <c r="CH15" s="6277">
        <f t="shared" si="13"/>
        <v>140.06721150000001</v>
      </c>
      <c r="CI15" s="6276">
        <f t="shared" si="5"/>
        <v>140.06721150000001</v>
      </c>
      <c r="CJ15" s="6278">
        <f t="shared" si="23"/>
        <v>0</v>
      </c>
      <c r="CK15" s="6279">
        <f t="shared" si="6"/>
        <v>43.04677937000001</v>
      </c>
      <c r="CL15" s="5138"/>
      <c r="CM15" s="2488" t="str">
        <f t="shared" si="32"/>
        <v>유선</v>
      </c>
      <c r="CN15" s="2504"/>
      <c r="CO15" s="2504"/>
      <c r="CP15" s="2504"/>
      <c r="CQ15" s="2504"/>
      <c r="CR15" s="2504"/>
      <c r="CS15" s="2504"/>
      <c r="CT15" s="2504"/>
      <c r="CU15" s="2504"/>
      <c r="CV15" s="2504"/>
      <c r="CW15" s="2504"/>
      <c r="CX15" s="2504"/>
      <c r="CY15" s="2504"/>
      <c r="CZ15" s="2505">
        <f t="shared" si="27"/>
        <v>0</v>
      </c>
      <c r="DB15" s="4439"/>
      <c r="DC15" s="4439"/>
      <c r="DF15" s="4439"/>
      <c r="DG15" s="4439"/>
    </row>
    <row r="16" spans="1:111" ht="16.3" customHeight="1" x14ac:dyDescent="0.55000000000000004">
      <c r="A16" s="6153"/>
      <c r="C16" s="2605" t="s">
        <v>743</v>
      </c>
      <c r="D16" s="2605" t="s">
        <v>19</v>
      </c>
      <c r="E16" s="2605"/>
      <c r="F16" s="6280"/>
      <c r="G16" s="6281"/>
      <c r="H16" s="6281"/>
      <c r="I16" s="6281"/>
      <c r="J16" s="6281"/>
      <c r="K16" s="6281"/>
      <c r="L16" s="6281"/>
      <c r="M16" s="6281"/>
      <c r="N16" s="6281"/>
      <c r="O16" s="6281"/>
      <c r="P16" s="6281"/>
      <c r="Q16" s="6282"/>
      <c r="R16" s="6281"/>
      <c r="S16" s="6281"/>
      <c r="T16" s="6281"/>
      <c r="U16" s="6281"/>
      <c r="V16" s="6281"/>
      <c r="W16" s="6281"/>
      <c r="X16" s="6281"/>
      <c r="Y16" s="6281"/>
      <c r="Z16" s="6281"/>
      <c r="AA16" s="6281"/>
      <c r="AB16" s="6281"/>
      <c r="AC16" s="6281"/>
      <c r="AD16" s="6154"/>
      <c r="AE16" s="6281"/>
      <c r="AF16" s="6283"/>
      <c r="AG16" s="6281"/>
      <c r="AH16" s="6281"/>
      <c r="AI16" s="6281"/>
      <c r="AJ16" s="6281"/>
      <c r="AK16" s="6281"/>
      <c r="AL16" s="6281"/>
      <c r="AM16" s="6281"/>
      <c r="AN16" s="6281"/>
      <c r="AO16" s="6284"/>
      <c r="AP16" s="6282"/>
      <c r="AQ16" s="6158">
        <v>65.196454645454537</v>
      </c>
      <c r="AR16" s="6159">
        <v>101.14363206363635</v>
      </c>
      <c r="AS16" s="6159">
        <v>83.760335400000002</v>
      </c>
      <c r="AT16" s="6159">
        <v>86.435154800000007</v>
      </c>
      <c r="AU16" s="6159">
        <v>88.062806490909097</v>
      </c>
      <c r="AV16" s="6159">
        <v>86.666751163636363</v>
      </c>
      <c r="AW16" s="6159">
        <v>68.686928145454544</v>
      </c>
      <c r="AX16" s="6159">
        <v>136.58719861818179</v>
      </c>
      <c r="AY16" s="6159">
        <v>53.766597872727267</v>
      </c>
      <c r="AZ16" s="6159">
        <v>99.132962363636366</v>
      </c>
      <c r="BA16" s="6159">
        <v>63.846133331818173</v>
      </c>
      <c r="BB16" s="6159">
        <v>50.37641919090909</v>
      </c>
      <c r="BC16" s="6160">
        <v>983.66137408636359</v>
      </c>
      <c r="BD16" s="2549">
        <f>BD92</f>
        <v>119.22844173999999</v>
      </c>
      <c r="BE16" s="6161">
        <f>BE92</f>
        <v>76.720495190452382</v>
      </c>
      <c r="BF16" s="6161">
        <f t="shared" ref="BF16:BL16" si="33">BF92</f>
        <v>78.067282197083799</v>
      </c>
      <c r="BG16" s="6161">
        <f t="shared" si="33"/>
        <v>76.931196384567201</v>
      </c>
      <c r="BH16" s="6161">
        <f t="shared" si="33"/>
        <v>76.158187668242093</v>
      </c>
      <c r="BI16" s="6161">
        <f t="shared" si="33"/>
        <v>74.807018300410789</v>
      </c>
      <c r="BJ16" s="6161">
        <f t="shared" si="33"/>
        <v>133.57699194930106</v>
      </c>
      <c r="BK16" s="6161">
        <f t="shared" si="33"/>
        <v>87.913465349536054</v>
      </c>
      <c r="BL16" s="2496">
        <f t="shared" si="33"/>
        <v>110.98873115148167</v>
      </c>
      <c r="BM16" s="2496">
        <f>BM92</f>
        <v>88.056731837037901</v>
      </c>
      <c r="BN16" s="2496">
        <f>BN92</f>
        <v>75.031802942764685</v>
      </c>
      <c r="BO16" s="2496">
        <f>BO92</f>
        <v>64.713366496306492</v>
      </c>
      <c r="BP16" s="6162">
        <v>1062.1937112071842</v>
      </c>
      <c r="BQ16" s="6232">
        <v>49.550632411397068</v>
      </c>
      <c r="BR16" s="6171">
        <v>135.13312066999998</v>
      </c>
      <c r="BS16" s="6161">
        <v>97.077539061742797</v>
      </c>
      <c r="BT16" s="6172">
        <v>93.319227909999995</v>
      </c>
      <c r="BU16" s="6161">
        <v>120.71903759999999</v>
      </c>
      <c r="BV16" s="6285">
        <v>87.744516999999988</v>
      </c>
      <c r="BW16" s="6171">
        <v>170.43939724999998</v>
      </c>
      <c r="BX16" s="6285">
        <v>100.73823685000001</v>
      </c>
      <c r="BY16" s="6232">
        <v>110.14978865</v>
      </c>
      <c r="BZ16" s="2496">
        <v>79.77300421999999</v>
      </c>
      <c r="CA16" s="2496">
        <v>66.225831493298131</v>
      </c>
      <c r="CB16" s="2496">
        <v>63.352057251273543</v>
      </c>
      <c r="CC16" s="6286"/>
      <c r="CD16" s="2808"/>
      <c r="CE16" s="6166">
        <f t="shared" si="12"/>
        <v>-2.873774242024588</v>
      </c>
      <c r="CF16" s="2509">
        <f t="shared" si="14"/>
        <v>-1.3613092450329489</v>
      </c>
      <c r="CG16" s="6287"/>
      <c r="CH16" s="6288">
        <f t="shared" si="13"/>
        <v>1174.2223903677113</v>
      </c>
      <c r="CI16" s="6289"/>
      <c r="CJ16" s="6290"/>
      <c r="CK16" s="6168">
        <f t="shared" si="6"/>
        <v>112.02867916052719</v>
      </c>
      <c r="CL16" s="5138"/>
      <c r="CM16" s="2488" t="str">
        <f t="shared" si="32"/>
        <v>소매</v>
      </c>
      <c r="CN16" s="6291"/>
      <c r="CO16" s="6291"/>
      <c r="CP16" s="6291"/>
      <c r="CQ16" s="6291"/>
      <c r="CR16" s="6291"/>
      <c r="CS16" s="6291"/>
      <c r="CT16" s="6291"/>
      <c r="CU16" s="6291"/>
      <c r="CV16" s="6291"/>
      <c r="CW16" s="6291"/>
      <c r="CX16" s="6291"/>
      <c r="CY16" s="6291"/>
      <c r="CZ16" s="2505">
        <f t="shared" si="27"/>
        <v>0</v>
      </c>
      <c r="DB16" s="4439"/>
      <c r="DC16" s="4439"/>
      <c r="DF16" s="4439"/>
      <c r="DG16" s="4439"/>
    </row>
    <row r="17" spans="1:111" ht="16.3" customHeight="1" x14ac:dyDescent="0.55000000000000004">
      <c r="A17" s="6153"/>
      <c r="C17" s="4033"/>
      <c r="D17" s="2605" t="s">
        <v>20</v>
      </c>
      <c r="E17" s="2605"/>
      <c r="F17" s="6280"/>
      <c r="G17" s="6281"/>
      <c r="H17" s="6281"/>
      <c r="I17" s="6281"/>
      <c r="J17" s="6281"/>
      <c r="K17" s="6281"/>
      <c r="L17" s="6281"/>
      <c r="M17" s="6281"/>
      <c r="N17" s="6281"/>
      <c r="O17" s="6281"/>
      <c r="P17" s="6281"/>
      <c r="Q17" s="6282"/>
      <c r="R17" s="6281"/>
      <c r="S17" s="6281"/>
      <c r="T17" s="6281"/>
      <c r="U17" s="6281"/>
      <c r="V17" s="6281"/>
      <c r="W17" s="6281"/>
      <c r="X17" s="6281"/>
      <c r="Y17" s="6281"/>
      <c r="Z17" s="6281"/>
      <c r="AA17" s="6281"/>
      <c r="AB17" s="6281"/>
      <c r="AC17" s="6281"/>
      <c r="AD17" s="6154"/>
      <c r="AE17" s="6281"/>
      <c r="AF17" s="6283"/>
      <c r="AG17" s="6281"/>
      <c r="AH17" s="6281"/>
      <c r="AI17" s="6281"/>
      <c r="AJ17" s="6281"/>
      <c r="AK17" s="6281"/>
      <c r="AL17" s="6281"/>
      <c r="AM17" s="6281"/>
      <c r="AN17" s="6281"/>
      <c r="AO17" s="6284"/>
      <c r="AP17" s="6282"/>
      <c r="AQ17" s="6158">
        <v>79.726587539999997</v>
      </c>
      <c r="AR17" s="6159">
        <v>101.15128841000002</v>
      </c>
      <c r="AS17" s="6159">
        <v>75.106436419999994</v>
      </c>
      <c r="AT17" s="6159">
        <v>81.7203667</v>
      </c>
      <c r="AU17" s="6159">
        <v>74.699835210000003</v>
      </c>
      <c r="AV17" s="6159">
        <v>71.695196330000002</v>
      </c>
      <c r="AW17" s="6159">
        <v>88.783247250000002</v>
      </c>
      <c r="AX17" s="6159">
        <v>121.17300809</v>
      </c>
      <c r="AY17" s="6159">
        <v>87.086653681077493</v>
      </c>
      <c r="AZ17" s="6159">
        <v>95.300378201577402</v>
      </c>
      <c r="BA17" s="6159">
        <v>75.288409722199802</v>
      </c>
      <c r="BB17" s="6159">
        <v>64.490087519501401</v>
      </c>
      <c r="BC17" s="6160">
        <v>1016.221495074356</v>
      </c>
      <c r="BD17" s="2549">
        <f>BD113</f>
        <v>93.681876590000002</v>
      </c>
      <c r="BE17" s="2549">
        <f t="shared" ref="BE17:BM17" si="34">BE113</f>
        <v>62.089300527458896</v>
      </c>
      <c r="BF17" s="2549">
        <f t="shared" si="34"/>
        <v>49.030871930089013</v>
      </c>
      <c r="BG17" s="2549">
        <f t="shared" si="34"/>
        <v>51.625608865952451</v>
      </c>
      <c r="BH17" s="2549">
        <f t="shared" si="34"/>
        <v>47.577181599997331</v>
      </c>
      <c r="BI17" s="2549">
        <f t="shared" si="34"/>
        <v>47.880170992705509</v>
      </c>
      <c r="BJ17" s="2549">
        <f t="shared" si="34"/>
        <v>50.827455253879393</v>
      </c>
      <c r="BK17" s="2549">
        <f t="shared" si="34"/>
        <v>30.005933840463953</v>
      </c>
      <c r="BL17" s="2496">
        <f t="shared" si="34"/>
        <v>18.977916748518325</v>
      </c>
      <c r="BM17" s="2496">
        <f t="shared" si="34"/>
        <v>10.944332392962133</v>
      </c>
      <c r="BN17" s="2496">
        <f>BN113</f>
        <v>6.0690275672353193</v>
      </c>
      <c r="BO17" s="2496">
        <f>BO113</f>
        <v>7.2124588436934935</v>
      </c>
      <c r="BP17" s="6162">
        <v>475.92213515295583</v>
      </c>
      <c r="BQ17" s="6232">
        <v>1.8922512386029322</v>
      </c>
      <c r="BR17" s="6082">
        <v>2.4818941900000002</v>
      </c>
      <c r="BS17" s="2496">
        <v>0.70588277825719248</v>
      </c>
      <c r="BT17" s="6292">
        <v>3.8676703799999999</v>
      </c>
      <c r="BU17" s="2496">
        <v>0.20809046</v>
      </c>
      <c r="BV17" s="6232">
        <v>0.95145148999999996</v>
      </c>
      <c r="BW17" s="6082">
        <v>1.1885326399999998</v>
      </c>
      <c r="BX17" s="6232">
        <v>0.66414165999999997</v>
      </c>
      <c r="BY17" s="6232">
        <v>2.6811764299999998</v>
      </c>
      <c r="BZ17" s="2496">
        <v>-1.43874788</v>
      </c>
      <c r="CA17" s="2496">
        <v>0.55627282670187073</v>
      </c>
      <c r="CB17" s="2496">
        <v>0.80422347872646049</v>
      </c>
      <c r="CC17" s="6286"/>
      <c r="CD17" s="2808"/>
      <c r="CE17" s="6166">
        <f t="shared" si="12"/>
        <v>0.24795065202458977</v>
      </c>
      <c r="CF17" s="2509">
        <f t="shared" si="14"/>
        <v>-6.4082353649670329</v>
      </c>
      <c r="CG17" s="6287"/>
      <c r="CH17" s="6288">
        <f t="shared" si="13"/>
        <v>14.562839692288454</v>
      </c>
      <c r="CI17" s="6289"/>
      <c r="CJ17" s="6290"/>
      <c r="CK17" s="6168">
        <f t="shared" si="6"/>
        <v>-461.3592954606674</v>
      </c>
      <c r="CL17" s="5138"/>
      <c r="CM17" s="2488" t="str">
        <f t="shared" si="32"/>
        <v>도매</v>
      </c>
      <c r="CN17" s="6291"/>
      <c r="CO17" s="6291"/>
      <c r="CP17" s="6291"/>
      <c r="CQ17" s="6291"/>
      <c r="CR17" s="6291"/>
      <c r="CS17" s="6291"/>
      <c r="CT17" s="6291"/>
      <c r="CU17" s="6291"/>
      <c r="CV17" s="6291"/>
      <c r="CW17" s="6291"/>
      <c r="CX17" s="6291"/>
      <c r="CY17" s="6291"/>
      <c r="CZ17" s="2505">
        <f t="shared" si="27"/>
        <v>0</v>
      </c>
      <c r="DB17" s="4439"/>
      <c r="DC17" s="4439"/>
      <c r="DF17" s="4439"/>
      <c r="DG17" s="4439"/>
    </row>
    <row r="18" spans="1:111" ht="16.3" customHeight="1" x14ac:dyDescent="0.55000000000000004">
      <c r="A18" s="6153"/>
      <c r="C18" s="4033"/>
      <c r="D18" s="2605" t="s">
        <v>954</v>
      </c>
      <c r="E18" s="2605"/>
      <c r="F18" s="6280"/>
      <c r="G18" s="6281"/>
      <c r="H18" s="6281"/>
      <c r="I18" s="6281"/>
      <c r="J18" s="6281"/>
      <c r="K18" s="6281"/>
      <c r="L18" s="6281"/>
      <c r="M18" s="6281"/>
      <c r="N18" s="6281"/>
      <c r="O18" s="6281"/>
      <c r="P18" s="6281"/>
      <c r="Q18" s="6282"/>
      <c r="R18" s="6281"/>
      <c r="S18" s="6281"/>
      <c r="T18" s="6281"/>
      <c r="U18" s="6281"/>
      <c r="V18" s="6281"/>
      <c r="W18" s="6281"/>
      <c r="X18" s="6281"/>
      <c r="Y18" s="6281"/>
      <c r="Z18" s="6281"/>
      <c r="AA18" s="6281"/>
      <c r="AB18" s="6281"/>
      <c r="AC18" s="6281"/>
      <c r="AD18" s="6154"/>
      <c r="AE18" s="6281"/>
      <c r="AF18" s="6283"/>
      <c r="AG18" s="6281"/>
      <c r="AH18" s="6281"/>
      <c r="AI18" s="6281"/>
      <c r="AJ18" s="6281"/>
      <c r="AK18" s="6281"/>
      <c r="AL18" s="6281"/>
      <c r="AM18" s="6281"/>
      <c r="AN18" s="6281"/>
      <c r="AO18" s="6284"/>
      <c r="AP18" s="6282"/>
      <c r="AQ18" s="6158">
        <v>2.2492078100000001</v>
      </c>
      <c r="AR18" s="6159">
        <v>15.326399090000001</v>
      </c>
      <c r="AS18" s="6159">
        <v>9.97892285</v>
      </c>
      <c r="AT18" s="6159">
        <v>8.0602548600000006</v>
      </c>
      <c r="AU18" s="6159">
        <v>10.574178959999999</v>
      </c>
      <c r="AV18" s="6159">
        <v>11.279598180000001</v>
      </c>
      <c r="AW18" s="6159">
        <v>9.4175660299999997</v>
      </c>
      <c r="AX18" s="6159">
        <v>22.97286021</v>
      </c>
      <c r="AY18" s="6159">
        <v>2.5173947499999998</v>
      </c>
      <c r="AZ18" s="6159">
        <v>20.538734359999999</v>
      </c>
      <c r="BA18" s="6159">
        <v>10.85683671</v>
      </c>
      <c r="BB18" s="6159">
        <v>10.036640970000001</v>
      </c>
      <c r="BC18" s="6160">
        <v>133.80859477999999</v>
      </c>
      <c r="BD18" s="2549">
        <f>BD135</f>
        <v>15.268876150000001</v>
      </c>
      <c r="BE18" s="2549">
        <f t="shared" ref="BE18:BM18" si="35">BE135</f>
        <v>9.56613617</v>
      </c>
      <c r="BF18" s="2549">
        <f t="shared" si="35"/>
        <v>13.16603301</v>
      </c>
      <c r="BG18" s="2549">
        <f t="shared" si="35"/>
        <v>13.42700893</v>
      </c>
      <c r="BH18" s="2549">
        <f t="shared" si="35"/>
        <v>18.838185459999998</v>
      </c>
      <c r="BI18" s="2549">
        <f t="shared" si="35"/>
        <v>11.711347229999999</v>
      </c>
      <c r="BJ18" s="2549">
        <f t="shared" si="35"/>
        <v>18.233952299999999</v>
      </c>
      <c r="BK18" s="2549">
        <f t="shared" si="35"/>
        <v>13.10290077</v>
      </c>
      <c r="BL18" s="2496">
        <f t="shared" si="35"/>
        <v>23.172468859999999</v>
      </c>
      <c r="BM18" s="2496">
        <f t="shared" si="35"/>
        <v>22.131848040000001</v>
      </c>
      <c r="BN18" s="2496">
        <f>BN135</f>
        <v>17.781846250000001</v>
      </c>
      <c r="BO18" s="2496">
        <f>BO135</f>
        <v>11.927290940000001</v>
      </c>
      <c r="BP18" s="6162">
        <v>188.32789410999999</v>
      </c>
      <c r="BQ18" s="6232">
        <v>24.539149869999999</v>
      </c>
      <c r="BR18" s="6082">
        <v>24.976993330000003</v>
      </c>
      <c r="BS18" s="2496">
        <v>8.5582727800000029</v>
      </c>
      <c r="BT18" s="6292">
        <v>10.23685229</v>
      </c>
      <c r="BU18" s="2496">
        <v>13.66836558</v>
      </c>
      <c r="BV18" s="6232">
        <v>22.24111684</v>
      </c>
      <c r="BW18" s="6082">
        <v>45.687561489999993</v>
      </c>
      <c r="BX18" s="6232">
        <v>35.560174449999998</v>
      </c>
      <c r="BY18" s="6232">
        <v>53.929139360000001</v>
      </c>
      <c r="BZ18" s="2496">
        <v>45.383741640000004</v>
      </c>
      <c r="CA18" s="2496">
        <v>37.088442920000006</v>
      </c>
      <c r="CB18" s="2496">
        <v>42.187588810000001</v>
      </c>
      <c r="CC18" s="6286"/>
      <c r="CD18" s="2808"/>
      <c r="CE18" s="6166">
        <f t="shared" si="12"/>
        <v>5.0991458899999955</v>
      </c>
      <c r="CF18" s="2509">
        <f t="shared" si="14"/>
        <v>30.260297870000002</v>
      </c>
      <c r="CG18" s="6287"/>
      <c r="CH18" s="6288">
        <f t="shared" si="13"/>
        <v>364.05739936000003</v>
      </c>
      <c r="CI18" s="6289"/>
      <c r="CJ18" s="6290"/>
      <c r="CK18" s="6168">
        <f t="shared" si="6"/>
        <v>175.72950525000005</v>
      </c>
      <c r="CL18" s="5138"/>
      <c r="CM18" s="2488" t="str">
        <f t="shared" si="32"/>
        <v>디지털</v>
      </c>
      <c r="CN18" s="6291"/>
      <c r="CO18" s="6291"/>
      <c r="CP18" s="6291"/>
      <c r="CQ18" s="6291"/>
      <c r="CR18" s="6291"/>
      <c r="CS18" s="6291"/>
      <c r="CT18" s="6291"/>
      <c r="CU18" s="6291"/>
      <c r="CV18" s="6291"/>
      <c r="CW18" s="6291"/>
      <c r="CX18" s="6291"/>
      <c r="CY18" s="6291"/>
      <c r="CZ18" s="2505">
        <f t="shared" si="27"/>
        <v>0</v>
      </c>
      <c r="DB18" s="4439"/>
      <c r="DC18" s="4439"/>
      <c r="DF18" s="4439"/>
      <c r="DG18" s="4439"/>
    </row>
    <row r="19" spans="1:111" ht="16.3" customHeight="1" x14ac:dyDescent="0.55000000000000004">
      <c r="A19" s="6153"/>
      <c r="C19" s="2604" t="s">
        <v>1135</v>
      </c>
      <c r="D19" s="2605" t="s">
        <v>67</v>
      </c>
      <c r="E19" s="2605" t="s">
        <v>1212</v>
      </c>
      <c r="F19" s="6280"/>
      <c r="G19" s="6281"/>
      <c r="H19" s="6281"/>
      <c r="I19" s="6281"/>
      <c r="J19" s="6281"/>
      <c r="K19" s="6281"/>
      <c r="L19" s="6281"/>
      <c r="M19" s="6281"/>
      <c r="N19" s="6281"/>
      <c r="O19" s="6281"/>
      <c r="P19" s="6281"/>
      <c r="Q19" s="6282"/>
      <c r="R19" s="6281"/>
      <c r="S19" s="6281"/>
      <c r="T19" s="6281"/>
      <c r="U19" s="6281"/>
      <c r="V19" s="6281"/>
      <c r="W19" s="6281"/>
      <c r="X19" s="6281"/>
      <c r="Y19" s="6281"/>
      <c r="Z19" s="6281"/>
      <c r="AA19" s="6281"/>
      <c r="AB19" s="6281"/>
      <c r="AC19" s="6281"/>
      <c r="AD19" s="6154"/>
      <c r="AE19" s="6281"/>
      <c r="AF19" s="6283"/>
      <c r="AG19" s="6281"/>
      <c r="AH19" s="6281"/>
      <c r="AI19" s="6281"/>
      <c r="AJ19" s="6281"/>
      <c r="AK19" s="6281"/>
      <c r="AL19" s="6281"/>
      <c r="AM19" s="6281"/>
      <c r="AN19" s="6281"/>
      <c r="AO19" s="6284"/>
      <c r="AP19" s="6282"/>
      <c r="AQ19" s="6158">
        <v>-14.952390405454537</v>
      </c>
      <c r="AR19" s="6159">
        <v>20.65425406636362</v>
      </c>
      <c r="AS19" s="6159">
        <v>6.5305214800000044</v>
      </c>
      <c r="AT19" s="6159">
        <v>23.230122759999986</v>
      </c>
      <c r="AU19" s="6159">
        <v>26.516637999090889</v>
      </c>
      <c r="AV19" s="6159">
        <v>49.049275256363622</v>
      </c>
      <c r="AW19" s="6159">
        <v>29.098264124545437</v>
      </c>
      <c r="AX19" s="6159">
        <v>40.529453101818234</v>
      </c>
      <c r="AY19" s="6159">
        <v>51.771138106195224</v>
      </c>
      <c r="AZ19" s="6159">
        <v>44.569634494786214</v>
      </c>
      <c r="BA19" s="6159">
        <v>27.532633515982027</v>
      </c>
      <c r="BB19" s="6159">
        <v>58.175622579589522</v>
      </c>
      <c r="BC19" s="6160">
        <v>362.70516707928022</v>
      </c>
      <c r="BD19" s="2549">
        <v>11.68552173</v>
      </c>
      <c r="BE19" s="6161">
        <v>5.1762130620887348</v>
      </c>
      <c r="BF19" s="6161">
        <v>8.9916792228271589</v>
      </c>
      <c r="BG19" s="2496">
        <v>13.13554831948035</v>
      </c>
      <c r="BH19" s="2496">
        <v>10.677747471760568</v>
      </c>
      <c r="BI19" s="2496">
        <v>10.078795036883719</v>
      </c>
      <c r="BJ19" s="2496">
        <v>35.617727826819561</v>
      </c>
      <c r="BK19" s="2496">
        <v>14.76793004000001</v>
      </c>
      <c r="BL19" s="2496">
        <v>32.623446299999983</v>
      </c>
      <c r="BM19" s="2496">
        <v>30.549016720000001</v>
      </c>
      <c r="BN19" s="2496">
        <v>19.268504620000002</v>
      </c>
      <c r="BO19" s="2496">
        <v>20.268504620000002</v>
      </c>
      <c r="BP19" s="6162">
        <v>212.84063496986005</v>
      </c>
      <c r="BQ19" s="6232">
        <v>18.417865639999999</v>
      </c>
      <c r="BR19" s="6171">
        <v>28.322452739999999</v>
      </c>
      <c r="BS19" s="6161">
        <v>23.072599889999999</v>
      </c>
      <c r="BT19" s="6163">
        <v>21.997285290000001</v>
      </c>
      <c r="BU19" s="2496">
        <v>29.546987189999999</v>
      </c>
      <c r="BV19" s="6232">
        <v>48.038093379999999</v>
      </c>
      <c r="BW19" s="6082">
        <v>41.151348370000008</v>
      </c>
      <c r="BX19" s="6232">
        <v>31.099450229999999</v>
      </c>
      <c r="BY19" s="6232">
        <v>40.848417150000003</v>
      </c>
      <c r="BZ19" s="2496">
        <v>24.811002490000003</v>
      </c>
      <c r="CA19" s="2496">
        <v>51.910726690000011</v>
      </c>
      <c r="CB19" s="2496">
        <v>35.002715450000004</v>
      </c>
      <c r="CC19" s="6286"/>
      <c r="CD19" s="2808"/>
      <c r="CE19" s="6166">
        <f t="shared" si="12"/>
        <v>-16.908011240000008</v>
      </c>
      <c r="CF19" s="2509">
        <f t="shared" si="14"/>
        <v>14.734210830000002</v>
      </c>
      <c r="CG19" s="6287"/>
      <c r="CH19" s="6288">
        <f t="shared" si="13"/>
        <v>394.21894450999997</v>
      </c>
      <c r="CI19" s="6289"/>
      <c r="CJ19" s="6290"/>
      <c r="CK19" s="6168">
        <f t="shared" si="6"/>
        <v>181.37830954013992</v>
      </c>
      <c r="CL19" s="5138"/>
      <c r="CM19" s="2488" t="str">
        <f t="shared" si="32"/>
        <v>기타</v>
      </c>
      <c r="CN19" s="6291"/>
      <c r="CO19" s="6291"/>
      <c r="CP19" s="6291"/>
      <c r="CQ19" s="6291"/>
      <c r="CR19" s="6291"/>
      <c r="CS19" s="6291"/>
      <c r="CT19" s="6291"/>
      <c r="CU19" s="6291"/>
      <c r="CV19" s="6291"/>
      <c r="CW19" s="6291"/>
      <c r="CX19" s="6291"/>
      <c r="CY19" s="6291"/>
      <c r="CZ19" s="2505">
        <f t="shared" si="27"/>
        <v>0</v>
      </c>
      <c r="DB19" s="4439"/>
      <c r="DC19" s="4439"/>
      <c r="DF19" s="4439"/>
      <c r="DG19" s="4439"/>
    </row>
    <row r="20" spans="1:111" ht="16.3" customHeight="1" thickBot="1" x14ac:dyDescent="0.6">
      <c r="A20" s="6153"/>
      <c r="C20" s="4033"/>
      <c r="D20" s="2605" t="s">
        <v>754</v>
      </c>
      <c r="E20" s="2605"/>
      <c r="F20" s="6280"/>
      <c r="G20" s="6281"/>
      <c r="H20" s="6281"/>
      <c r="I20" s="6281"/>
      <c r="J20" s="6281"/>
      <c r="K20" s="6281"/>
      <c r="L20" s="6281"/>
      <c r="M20" s="6281"/>
      <c r="N20" s="6281"/>
      <c r="O20" s="6281"/>
      <c r="P20" s="6281"/>
      <c r="Q20" s="6282"/>
      <c r="R20" s="6281"/>
      <c r="S20" s="6281"/>
      <c r="T20" s="6281"/>
      <c r="U20" s="6281"/>
      <c r="V20" s="6281"/>
      <c r="W20" s="6281"/>
      <c r="X20" s="6281"/>
      <c r="Y20" s="6281"/>
      <c r="Z20" s="6281"/>
      <c r="AA20" s="6281"/>
      <c r="AB20" s="6281"/>
      <c r="AC20" s="6281"/>
      <c r="AD20" s="6154"/>
      <c r="AE20" s="6281"/>
      <c r="AF20" s="6283"/>
      <c r="AG20" s="6281"/>
      <c r="AH20" s="6281"/>
      <c r="AI20" s="6281"/>
      <c r="AJ20" s="6281"/>
      <c r="AK20" s="6281"/>
      <c r="AL20" s="6281"/>
      <c r="AM20" s="6281"/>
      <c r="AN20" s="6281"/>
      <c r="AO20" s="6284"/>
      <c r="AP20" s="6282"/>
      <c r="AQ20" s="6158">
        <v>-92.2901071</v>
      </c>
      <c r="AR20" s="6159">
        <v>-112.08824337</v>
      </c>
      <c r="AS20" s="6159">
        <v>-96.888932749999995</v>
      </c>
      <c r="AT20" s="6159">
        <v>-92.899152790000002</v>
      </c>
      <c r="AU20" s="6159">
        <v>-92.40567858</v>
      </c>
      <c r="AV20" s="6159">
        <v>-91.720055410000001</v>
      </c>
      <c r="AW20" s="6159">
        <v>-101.26540098</v>
      </c>
      <c r="AX20" s="6159">
        <v>-144.66518354999999</v>
      </c>
      <c r="AY20" s="6159">
        <v>-96.127929469999998</v>
      </c>
      <c r="AZ20" s="6159">
        <v>-113.53646768999999</v>
      </c>
      <c r="BA20" s="6159">
        <v>-97.036059699999996</v>
      </c>
      <c r="BB20" s="6159">
        <v>-78.027880240000002</v>
      </c>
      <c r="BC20" s="6160">
        <v>-1208.9510916299998</v>
      </c>
      <c r="BD20" s="2549">
        <f t="shared" ref="BD20:BO20" si="36">BD13-BD16-BD17-BD18-BD19</f>
        <v>-90.713431679999999</v>
      </c>
      <c r="BE20" s="2549">
        <f t="shared" si="36"/>
        <v>-65.158139960000014</v>
      </c>
      <c r="BF20" s="2549">
        <f t="shared" si="36"/>
        <v>-50.508803739999976</v>
      </c>
      <c r="BG20" s="2549">
        <f t="shared" si="36"/>
        <v>-51.017039739999994</v>
      </c>
      <c r="BH20" s="2549">
        <f t="shared" si="36"/>
        <v>-54.778017699999985</v>
      </c>
      <c r="BI20" s="2549">
        <f t="shared" si="36"/>
        <v>-54.246445450000017</v>
      </c>
      <c r="BJ20" s="2549">
        <f t="shared" si="36"/>
        <v>-71.033397240000014</v>
      </c>
      <c r="BK20" s="2549">
        <f t="shared" si="36"/>
        <v>-45.472019590000009</v>
      </c>
      <c r="BL20" s="2549">
        <f t="shared" si="36"/>
        <v>-29.764596299999983</v>
      </c>
      <c r="BM20" s="2496">
        <f t="shared" si="36"/>
        <v>-29.782312080000043</v>
      </c>
      <c r="BN20" s="2496">
        <f t="shared" si="36"/>
        <v>-26.613020770000002</v>
      </c>
      <c r="BO20" s="2496">
        <f t="shared" si="36"/>
        <v>8.9280249700000169</v>
      </c>
      <c r="BP20" s="6162">
        <v>-560.15919927999994</v>
      </c>
      <c r="BQ20" s="2496">
        <f t="shared" ref="BQ20:CB20" si="37">BQ13-BQ16-BQ17-BQ18-BQ19</f>
        <v>1.3845246899999992</v>
      </c>
      <c r="BR20" s="2496">
        <f t="shared" si="37"/>
        <v>-24.289644889999998</v>
      </c>
      <c r="BS20" s="2496">
        <f t="shared" si="37"/>
        <v>-19.152099989999982</v>
      </c>
      <c r="BT20" s="2496">
        <f t="shared" si="37"/>
        <v>-25.421258569999992</v>
      </c>
      <c r="BU20" s="2496">
        <f t="shared" si="37"/>
        <v>-22.867412119999994</v>
      </c>
      <c r="BV20" s="2496">
        <f t="shared" si="37"/>
        <v>-37.259143069999979</v>
      </c>
      <c r="BW20" s="6082">
        <f t="shared" si="37"/>
        <v>-36.389220880000003</v>
      </c>
      <c r="BX20" s="6082">
        <f t="shared" si="37"/>
        <v>-33.065445340000011</v>
      </c>
      <c r="BY20" s="6082">
        <f t="shared" si="37"/>
        <v>-21.676452830000009</v>
      </c>
      <c r="BZ20" s="6082">
        <f t="shared" si="37"/>
        <v>-29.128124149999987</v>
      </c>
      <c r="CA20" s="6082">
        <f t="shared" si="37"/>
        <v>-12.55020264000003</v>
      </c>
      <c r="CB20" s="6082">
        <f t="shared" si="37"/>
        <v>42.385012520000011</v>
      </c>
      <c r="CC20" s="6286"/>
      <c r="CD20" s="2808"/>
      <c r="CE20" s="6166">
        <f t="shared" si="12"/>
        <v>54.935215160000041</v>
      </c>
      <c r="CF20" s="2509">
        <f t="shared" si="14"/>
        <v>33.456987549999994</v>
      </c>
      <c r="CG20" s="6287"/>
      <c r="CH20" s="6288">
        <f t="shared" si="13"/>
        <v>-218.02946727000003</v>
      </c>
      <c r="CI20" s="6289"/>
      <c r="CJ20" s="6290"/>
      <c r="CK20" s="6168">
        <f t="shared" si="6"/>
        <v>342.12973200999988</v>
      </c>
      <c r="CL20" s="5138"/>
      <c r="CM20" s="2488" t="str">
        <f t="shared" si="32"/>
        <v>순액처리</v>
      </c>
      <c r="CN20" s="6291"/>
      <c r="CO20" s="6291"/>
      <c r="CP20" s="6291"/>
      <c r="CQ20" s="6291"/>
      <c r="CR20" s="6291"/>
      <c r="CS20" s="6291"/>
      <c r="CT20" s="6291"/>
      <c r="CU20" s="6291"/>
      <c r="CV20" s="6291"/>
      <c r="CW20" s="6291"/>
      <c r="CX20" s="6291"/>
      <c r="CY20" s="6291"/>
      <c r="CZ20" s="2505">
        <f t="shared" si="27"/>
        <v>0</v>
      </c>
      <c r="DB20" s="4439"/>
      <c r="DC20" s="4439"/>
      <c r="DF20" s="4439"/>
      <c r="DG20" s="4439"/>
    </row>
    <row r="21" spans="1:111" ht="16.3" customHeight="1" thickBot="1" x14ac:dyDescent="0.6">
      <c r="A21" s="6153"/>
      <c r="C21" s="6293" t="s">
        <v>0</v>
      </c>
      <c r="D21" s="6294"/>
      <c r="E21" s="6294"/>
      <c r="F21" s="6295">
        <v>38.873878980000001</v>
      </c>
      <c r="G21" s="6296">
        <v>40.312330289999998</v>
      </c>
      <c r="H21" s="6296">
        <v>42.25212801</v>
      </c>
      <c r="I21" s="6296">
        <v>39.439888590000002</v>
      </c>
      <c r="J21" s="6296">
        <v>43.594259569999998</v>
      </c>
      <c r="K21" s="6296">
        <v>40.877616490000001</v>
      </c>
      <c r="L21" s="6296">
        <v>41.06556217</v>
      </c>
      <c r="M21" s="6296">
        <v>44.865415859999999</v>
      </c>
      <c r="N21" s="6296">
        <v>42.496813099999997</v>
      </c>
      <c r="O21" s="6296">
        <v>43.838211229999999</v>
      </c>
      <c r="P21" s="6296">
        <v>40.671534909999998</v>
      </c>
      <c r="Q21" s="6297">
        <v>42.174853429999999</v>
      </c>
      <c r="R21" s="6296">
        <v>41.181558699999997</v>
      </c>
      <c r="S21" s="6296">
        <v>46.179168099999949</v>
      </c>
      <c r="T21" s="6296">
        <v>43.56221352</v>
      </c>
      <c r="U21" s="6296">
        <v>52.919490050000022</v>
      </c>
      <c r="V21" s="6296">
        <v>46.568343689999971</v>
      </c>
      <c r="W21" s="6296">
        <v>47.585660719999986</v>
      </c>
      <c r="X21" s="6296">
        <v>46.753641399999992</v>
      </c>
      <c r="Y21" s="6296">
        <v>49.66568737999998</v>
      </c>
      <c r="Z21" s="6296">
        <v>46.422715719999999</v>
      </c>
      <c r="AA21" s="6296">
        <v>49.670652089999997</v>
      </c>
      <c r="AB21" s="6296">
        <v>50.466019699999997</v>
      </c>
      <c r="AC21" s="6296">
        <v>48.955665310000001</v>
      </c>
      <c r="AD21" s="6295">
        <v>50.46</v>
      </c>
      <c r="AE21" s="6296">
        <v>52.316194940000003</v>
      </c>
      <c r="AF21" s="6296">
        <v>52.320335229999998</v>
      </c>
      <c r="AG21" s="6296">
        <v>49.769259599999998</v>
      </c>
      <c r="AH21" s="6296">
        <v>52.548349369999997</v>
      </c>
      <c r="AI21" s="6296">
        <v>52.622964090000004</v>
      </c>
      <c r="AJ21" s="6296">
        <v>54.929104880000004</v>
      </c>
      <c r="AK21" s="6296">
        <v>55.588359850000003</v>
      </c>
      <c r="AL21" s="6296">
        <v>54.052958029999999</v>
      </c>
      <c r="AM21" s="6296">
        <v>45.170608100000003</v>
      </c>
      <c r="AN21" s="6296">
        <v>56.900434689999997</v>
      </c>
      <c r="AO21" s="6296">
        <v>48.675596710000001</v>
      </c>
      <c r="AP21" s="6297"/>
      <c r="AQ21" s="6298">
        <v>67.035031750000002</v>
      </c>
      <c r="AR21" s="6299">
        <v>50.863375660000003</v>
      </c>
      <c r="AS21" s="6299">
        <v>59.716036480000028</v>
      </c>
      <c r="AT21" s="6299">
        <v>55.567620829999989</v>
      </c>
      <c r="AU21" s="6299">
        <v>58.716058899999965</v>
      </c>
      <c r="AV21" s="6299">
        <v>57.91467945000003</v>
      </c>
      <c r="AW21" s="6299">
        <v>60.555175100000007</v>
      </c>
      <c r="AX21" s="6299">
        <v>58.62319042</v>
      </c>
      <c r="AY21" s="6299">
        <v>53.750966200000001</v>
      </c>
      <c r="AZ21" s="6299">
        <v>60.481486310000037</v>
      </c>
      <c r="BA21" s="6299">
        <v>55.964690570000002</v>
      </c>
      <c r="BB21" s="6299">
        <v>61.162646949999946</v>
      </c>
      <c r="BC21" s="6300">
        <v>700.35095862000003</v>
      </c>
      <c r="BD21" s="6301">
        <v>59.825448600000001</v>
      </c>
      <c r="BE21" s="6301">
        <v>58.204345259999997</v>
      </c>
      <c r="BF21" s="6301">
        <v>57.755821100000006</v>
      </c>
      <c r="BG21" s="6301">
        <v>55.445384420000003</v>
      </c>
      <c r="BH21" s="6301">
        <v>55.358036609999999</v>
      </c>
      <c r="BI21" s="6301">
        <v>55.127946979999997</v>
      </c>
      <c r="BJ21" s="6301">
        <v>57.009084979999997</v>
      </c>
      <c r="BK21" s="6301">
        <v>55.18860171</v>
      </c>
      <c r="BL21" s="6301">
        <v>53.705683180000001</v>
      </c>
      <c r="BM21" s="6301">
        <v>60.367560839999996</v>
      </c>
      <c r="BN21" s="6301">
        <v>50.244769759999997</v>
      </c>
      <c r="BO21" s="6301">
        <v>67.090588879999999</v>
      </c>
      <c r="BP21" s="6302">
        <v>685.32327232000011</v>
      </c>
      <c r="BQ21" s="6303">
        <v>49.926384159999998</v>
      </c>
      <c r="BR21" s="6304">
        <v>52.970257590000003</v>
      </c>
      <c r="BS21" s="6304">
        <v>49.264714550000001</v>
      </c>
      <c r="BT21" s="6303">
        <v>56.603339949999999</v>
      </c>
      <c r="BU21" s="6303">
        <v>46.224100550000003</v>
      </c>
      <c r="BV21" s="6303">
        <v>59.260521970000006</v>
      </c>
      <c r="BW21" s="6304">
        <v>53.276578299999997</v>
      </c>
      <c r="BX21" s="6304">
        <v>50.293205839999999</v>
      </c>
      <c r="BY21" s="6304">
        <v>52.541221059999998</v>
      </c>
      <c r="BZ21" s="6304">
        <v>44.020951680000003</v>
      </c>
      <c r="CA21" s="6304">
        <v>50.254107279999999</v>
      </c>
      <c r="CB21" s="6304">
        <v>51.007164610000004</v>
      </c>
      <c r="CC21" s="6305">
        <f>HLOOKUP($E$2,$BQ$2:$CB$505,ROW()-1,0)-HLOOKUP($E$2,$CN$2:$CY$412,ROW()-1,0)</f>
        <v>51.007164610000004</v>
      </c>
      <c r="CD21" s="6306">
        <f>IFERROR(HLOOKUP($E$2,$BQ$2:$CB$505,ROW()-1,0)/HLOOKUP($E$2,$CN$2:$CY$412,ROW()-1,0),0)</f>
        <v>0</v>
      </c>
      <c r="CE21" s="6307">
        <f t="shared" si="12"/>
        <v>0.7530573300000043</v>
      </c>
      <c r="CF21" s="6308">
        <f t="shared" si="14"/>
        <v>-16.083424269999995</v>
      </c>
      <c r="CG21" s="6308"/>
      <c r="CH21" s="6309">
        <f t="shared" si="13"/>
        <v>615.64254754000001</v>
      </c>
      <c r="CI21" s="6308">
        <f>CH21-SUM(CN21:CO21)</f>
        <v>-10280.455034784933</v>
      </c>
      <c r="CJ21" s="6310">
        <f>IFERROR(CH21/SUM(CN21:CO21),0)</f>
        <v>5.6501196220806842E-2</v>
      </c>
      <c r="CK21" s="6308">
        <f t="shared" si="6"/>
        <v>-69.680724780000105</v>
      </c>
      <c r="CL21" s="5138"/>
      <c r="CM21" s="2488" t="str">
        <f>C21</f>
        <v>관리수수료</v>
      </c>
      <c r="CN21" s="6311">
        <v>5441.0332351886509</v>
      </c>
      <c r="CO21" s="6311">
        <v>5455.064347136281</v>
      </c>
      <c r="CP21" s="6311">
        <v>5445.1710292624375</v>
      </c>
      <c r="CQ21" s="6311">
        <v>5431.9559805987174</v>
      </c>
      <c r="CR21" s="6311">
        <v>5417.2384335151301</v>
      </c>
      <c r="CS21" s="6311">
        <v>5410.5678293783931</v>
      </c>
      <c r="CT21" s="6311">
        <v>5242.2348652916944</v>
      </c>
      <c r="CU21" s="6311">
        <v>5238.8512358644002</v>
      </c>
      <c r="CV21" s="6311">
        <v>5257.4759663307359</v>
      </c>
      <c r="CW21" s="6311">
        <v>5246.0343792202184</v>
      </c>
      <c r="CX21" s="6311">
        <v>5239.606094073054</v>
      </c>
      <c r="CY21" s="2504"/>
      <c r="CZ21" s="2505">
        <f t="shared" si="27"/>
        <v>58825.233395859708</v>
      </c>
      <c r="DB21" s="4439"/>
      <c r="DC21" s="4439"/>
      <c r="DF21" s="4439"/>
      <c r="DG21" s="4439"/>
    </row>
    <row r="22" spans="1:111" ht="16.3" customHeight="1" x14ac:dyDescent="0.55000000000000004">
      <c r="A22" s="6153"/>
      <c r="C22" s="2940" t="s">
        <v>742</v>
      </c>
      <c r="D22" s="2884" t="s">
        <v>102</v>
      </c>
      <c r="E22" s="2884" t="s">
        <v>873</v>
      </c>
      <c r="F22" s="6312"/>
      <c r="G22" s="6313"/>
      <c r="H22" s="6313"/>
      <c r="I22" s="6313"/>
      <c r="J22" s="6313"/>
      <c r="K22" s="6313"/>
      <c r="L22" s="6313"/>
      <c r="M22" s="6313"/>
      <c r="N22" s="6313"/>
      <c r="O22" s="6313"/>
      <c r="P22" s="6313"/>
      <c r="Q22" s="6314"/>
      <c r="R22" s="6313"/>
      <c r="S22" s="6313"/>
      <c r="T22" s="6313"/>
      <c r="U22" s="6313"/>
      <c r="V22" s="6313"/>
      <c r="W22" s="6313"/>
      <c r="X22" s="6313"/>
      <c r="Y22" s="6313"/>
      <c r="Z22" s="6313"/>
      <c r="AA22" s="6313"/>
      <c r="AB22" s="6313"/>
      <c r="AC22" s="6313"/>
      <c r="AD22" s="6312">
        <f>AD25+AD26+AD27+AD28</f>
        <v>36.428542853636365</v>
      </c>
      <c r="AE22" s="6313">
        <f t="shared" ref="AE22:AO22" si="38">AE25+AE26+AE27+AE28</f>
        <v>38.254324260909094</v>
      </c>
      <c r="AF22" s="6313">
        <f t="shared" si="38"/>
        <v>37.680997964545448</v>
      </c>
      <c r="AG22" s="6313">
        <f t="shared" si="38"/>
        <v>35.350519639090898</v>
      </c>
      <c r="AH22" s="6313">
        <f t="shared" si="38"/>
        <v>37.954123283636356</v>
      </c>
      <c r="AI22" s="6313">
        <f t="shared" si="38"/>
        <v>37.875062585454558</v>
      </c>
      <c r="AJ22" s="6313">
        <f t="shared" si="38"/>
        <v>39.621379166363639</v>
      </c>
      <c r="AK22" s="6313">
        <f t="shared" si="38"/>
        <v>39.924886035454549</v>
      </c>
      <c r="AL22" s="6313">
        <f t="shared" si="38"/>
        <v>38.526019104545462</v>
      </c>
      <c r="AM22" s="6313">
        <f t="shared" si="38"/>
        <v>29.168063264545463</v>
      </c>
      <c r="AN22" s="6313">
        <f t="shared" si="38"/>
        <v>42.307779870909087</v>
      </c>
      <c r="AO22" s="6313">
        <f t="shared" si="38"/>
        <v>32.301912268181816</v>
      </c>
      <c r="AP22" s="6314"/>
      <c r="AQ22" s="6313">
        <f>AQ25+AQ26+AQ27+AQ28</f>
        <v>50.943309609008267</v>
      </c>
      <c r="AR22" s="6315">
        <f t="shared" ref="AR22:BL22" si="39">AR25+AR26+AR27+AR28</f>
        <v>36.288816136694223</v>
      </c>
      <c r="AS22" s="6315">
        <f t="shared" si="39"/>
        <v>43.633406842148794</v>
      </c>
      <c r="AT22" s="6315">
        <f t="shared" si="39"/>
        <v>40.448860002975202</v>
      </c>
      <c r="AU22" s="6315">
        <f t="shared" si="39"/>
        <v>43.287400390165253</v>
      </c>
      <c r="AV22" s="6315">
        <f t="shared" si="39"/>
        <v>42.465737609834733</v>
      </c>
      <c r="AW22" s="6315">
        <f t="shared" si="39"/>
        <v>44.93037177355373</v>
      </c>
      <c r="AX22" s="6315">
        <f t="shared" si="39"/>
        <v>43.320757604958679</v>
      </c>
      <c r="AY22" s="6315">
        <f t="shared" si="39"/>
        <v>38.834797307107429</v>
      </c>
      <c r="AZ22" s="6315">
        <f t="shared" si="39"/>
        <v>44.760478685041363</v>
      </c>
      <c r="BA22" s="6315">
        <f t="shared" si="39"/>
        <v>40.903997311818181</v>
      </c>
      <c r="BB22" s="6315">
        <f t="shared" si="39"/>
        <v>45.432667414875972</v>
      </c>
      <c r="BC22" s="6316">
        <f t="shared" si="39"/>
        <v>515.25060068818198</v>
      </c>
      <c r="BD22" s="6315">
        <f t="shared" si="39"/>
        <v>44.928006994545449</v>
      </c>
      <c r="BE22" s="6315">
        <f t="shared" si="39"/>
        <v>43.079317677272719</v>
      </c>
      <c r="BF22" s="6315">
        <f t="shared" si="39"/>
        <v>42.611626180000009</v>
      </c>
      <c r="BG22" s="6315">
        <f t="shared" si="39"/>
        <v>40.295523250909099</v>
      </c>
      <c r="BH22" s="6315">
        <f t="shared" si="39"/>
        <v>40.384887300909078</v>
      </c>
      <c r="BI22" s="6315">
        <f t="shared" si="39"/>
        <v>40.355936529090918</v>
      </c>
      <c r="BJ22" s="6315">
        <f t="shared" si="39"/>
        <v>41.903555544545455</v>
      </c>
      <c r="BK22" s="6315">
        <f t="shared" si="39"/>
        <v>40.486781719090914</v>
      </c>
      <c r="BL22" s="6315">
        <f t="shared" si="39"/>
        <v>38.895624990909084</v>
      </c>
      <c r="BM22" s="2877">
        <f>BM25+BM26+BM27+BM28</f>
        <v>44.39128627909092</v>
      </c>
      <c r="BN22" s="2877">
        <f>BN25+BN26+BN27+BN28</f>
        <v>35.69195678727273</v>
      </c>
      <c r="BO22" s="2877">
        <f>BO25+BO26+BO27+BO28</f>
        <v>51.95769207090909</v>
      </c>
      <c r="BP22" s="6317">
        <v>504.98219532454544</v>
      </c>
      <c r="BQ22" s="6318">
        <v>35.549796920909088</v>
      </c>
      <c r="BR22" s="6319">
        <v>38.023935420909098</v>
      </c>
      <c r="BS22" s="6320">
        <v>34.712851677272724</v>
      </c>
      <c r="BT22" s="6321">
        <v>42.590157515454543</v>
      </c>
      <c r="BU22" s="6321">
        <v>32.231391938181822</v>
      </c>
      <c r="BV22" s="6318">
        <v>45.135691693636367</v>
      </c>
      <c r="BW22" s="6320">
        <v>38.94933758818182</v>
      </c>
      <c r="BX22" s="6320">
        <v>37.446916998181806</v>
      </c>
      <c r="BY22" s="6320">
        <v>38.870689267272724</v>
      </c>
      <c r="BZ22" s="6320">
        <v>37.753138377272734</v>
      </c>
      <c r="CA22" s="6320">
        <v>37.364049498181814</v>
      </c>
      <c r="CB22" s="6320">
        <v>38.150326797272733</v>
      </c>
      <c r="CC22" s="6286"/>
      <c r="CD22" s="2808"/>
      <c r="CE22" s="6322">
        <f t="shared" si="12"/>
        <v>0.78627729909091926</v>
      </c>
      <c r="CF22" s="6323">
        <f t="shared" si="14"/>
        <v>-13.807365273636357</v>
      </c>
      <c r="CG22" s="6323"/>
      <c r="CH22" s="6324">
        <f t="shared" si="13"/>
        <v>456.77828369272731</v>
      </c>
      <c r="CI22" s="6325"/>
      <c r="CJ22" s="6326"/>
      <c r="CK22" s="6323">
        <f t="shared" si="6"/>
        <v>-48.20391163181813</v>
      </c>
      <c r="CL22" s="5138"/>
      <c r="CM22" s="2488" t="str">
        <f t="shared" ref="CM22:CM37" si="40">D22</f>
        <v>무선</v>
      </c>
      <c r="CN22" s="6291"/>
      <c r="CO22" s="6291"/>
      <c r="CP22" s="6291"/>
      <c r="CQ22" s="6291"/>
      <c r="CR22" s="6291"/>
      <c r="CS22" s="6291"/>
      <c r="CT22" s="6291"/>
      <c r="CU22" s="6291"/>
      <c r="CV22" s="6291"/>
      <c r="CW22" s="6291"/>
      <c r="CX22" s="6291"/>
      <c r="CY22" s="6291"/>
      <c r="CZ22" s="2505">
        <f t="shared" si="27"/>
        <v>0</v>
      </c>
      <c r="DB22" s="4439"/>
      <c r="DC22" s="4439"/>
      <c r="DF22" s="4439"/>
      <c r="DG22" s="4439"/>
    </row>
    <row r="23" spans="1:111" ht="16.3" customHeight="1" x14ac:dyDescent="0.55000000000000004">
      <c r="A23" s="6153"/>
      <c r="C23" s="2940"/>
      <c r="D23" s="2884" t="s">
        <v>103</v>
      </c>
      <c r="E23" s="2884"/>
      <c r="F23" s="6312"/>
      <c r="G23" s="6313"/>
      <c r="H23" s="6313"/>
      <c r="I23" s="6313"/>
      <c r="J23" s="6313"/>
      <c r="K23" s="6313"/>
      <c r="L23" s="6313"/>
      <c r="M23" s="6313"/>
      <c r="N23" s="6313"/>
      <c r="O23" s="6313"/>
      <c r="P23" s="6313"/>
      <c r="Q23" s="6314"/>
      <c r="R23" s="6313"/>
      <c r="S23" s="6313"/>
      <c r="T23" s="6313"/>
      <c r="U23" s="6313"/>
      <c r="V23" s="6313"/>
      <c r="W23" s="6313"/>
      <c r="X23" s="6313"/>
      <c r="Y23" s="6313"/>
      <c r="Z23" s="6313"/>
      <c r="AA23" s="6313"/>
      <c r="AB23" s="6313"/>
      <c r="AC23" s="6313"/>
      <c r="AD23" s="6312">
        <f>AD29+AD30+AD31</f>
        <v>5.8428892363636358</v>
      </c>
      <c r="AE23" s="6313">
        <f t="shared" ref="AE23:AO23" si="41">AE29+AE30+AE31</f>
        <v>5.9340303090909083</v>
      </c>
      <c r="AF23" s="6313">
        <f t="shared" si="41"/>
        <v>6.2747439454545448</v>
      </c>
      <c r="AG23" s="6313">
        <f t="shared" si="41"/>
        <v>5.9320030909090908</v>
      </c>
      <c r="AH23" s="6313">
        <f t="shared" si="41"/>
        <v>5.9550830363636358</v>
      </c>
      <c r="AI23" s="6313">
        <f t="shared" si="41"/>
        <v>6.0698821545454535</v>
      </c>
      <c r="AJ23" s="6313">
        <f t="shared" si="41"/>
        <v>6.3395444636363685</v>
      </c>
      <c r="AK23" s="6313">
        <f t="shared" si="41"/>
        <v>6.5420081545454547</v>
      </c>
      <c r="AL23" s="6313">
        <f t="shared" si="41"/>
        <v>6.5000519454545458</v>
      </c>
      <c r="AM23" s="6313">
        <f t="shared" si="41"/>
        <v>6.5747953454545449</v>
      </c>
      <c r="AN23" s="6313">
        <f t="shared" si="41"/>
        <v>6.6870911990909123</v>
      </c>
      <c r="AO23" s="6313">
        <f t="shared" si="41"/>
        <v>6.7006724818181818</v>
      </c>
      <c r="AP23" s="6314"/>
      <c r="AQ23" s="6313">
        <f>AQ29+AQ30+AQ31</f>
        <v>7.8971089809917352</v>
      </c>
      <c r="AR23" s="6315">
        <f t="shared" ref="AR23:BM23" si="42">AR29+AR30+AR31</f>
        <v>6.5027426033057862</v>
      </c>
      <c r="AS23" s="6315">
        <f t="shared" si="42"/>
        <v>7.9257180578512401</v>
      </c>
      <c r="AT23" s="6315">
        <f t="shared" si="42"/>
        <v>7.2734129570247923</v>
      </c>
      <c r="AU23" s="6315">
        <f t="shared" si="42"/>
        <v>7.2877746198347104</v>
      </c>
      <c r="AV23" s="6315">
        <f t="shared" si="42"/>
        <v>7.2841511801652885</v>
      </c>
      <c r="AW23" s="6315">
        <f t="shared" si="42"/>
        <v>7.816819226446281</v>
      </c>
      <c r="AX23" s="6315">
        <f t="shared" si="42"/>
        <v>7.4730159950413224</v>
      </c>
      <c r="AY23" s="6315">
        <f t="shared" si="42"/>
        <v>7.359623552892562</v>
      </c>
      <c r="AZ23" s="6315">
        <f t="shared" si="42"/>
        <v>7.6295910049586775</v>
      </c>
      <c r="BA23" s="6315">
        <f t="shared" si="42"/>
        <v>7.5977578181818188</v>
      </c>
      <c r="BB23" s="6315">
        <f t="shared" si="42"/>
        <v>8.1445388851239677</v>
      </c>
      <c r="BC23" s="6316">
        <f t="shared" si="42"/>
        <v>90.192254881818187</v>
      </c>
      <c r="BD23" s="6315">
        <f t="shared" si="42"/>
        <v>7.2644085454545442</v>
      </c>
      <c r="BE23" s="6315">
        <f t="shared" si="42"/>
        <v>7.1212762727272718</v>
      </c>
      <c r="BF23" s="6315">
        <f t="shared" si="42"/>
        <v>7.1391580000000001</v>
      </c>
      <c r="BG23" s="6315">
        <f t="shared" si="42"/>
        <v>7.0969749090909096</v>
      </c>
      <c r="BH23" s="6315">
        <f t="shared" si="42"/>
        <v>6.9187135090909093</v>
      </c>
      <c r="BI23" s="6315">
        <f t="shared" si="42"/>
        <v>6.8127734909090902</v>
      </c>
      <c r="BJ23" s="6315">
        <f t="shared" si="42"/>
        <v>6.7605919454545456</v>
      </c>
      <c r="BK23" s="6315">
        <f t="shared" si="42"/>
        <v>6.59665279090909</v>
      </c>
      <c r="BL23" s="6315">
        <f t="shared" si="42"/>
        <v>6.5263161090909083</v>
      </c>
      <c r="BM23" s="2877">
        <f t="shared" si="42"/>
        <v>7.4553363909090908</v>
      </c>
      <c r="BN23" s="2877">
        <f>BN29+BN30+BN31</f>
        <v>6.2991596727272725</v>
      </c>
      <c r="BO23" s="2877">
        <f>BO29+BO30+BO31</f>
        <v>6.5815449090909084</v>
      </c>
      <c r="BP23" s="6317">
        <v>82.572906545454529</v>
      </c>
      <c r="BQ23" s="6327">
        <v>5.8569293190909093</v>
      </c>
      <c r="BR23" s="6319">
        <v>6.3086738090909087</v>
      </c>
      <c r="BS23" s="6320">
        <v>6.4937647727272729</v>
      </c>
      <c r="BT23" s="6321">
        <v>5.7726903545454542</v>
      </c>
      <c r="BU23" s="6321">
        <v>5.6720752818181817</v>
      </c>
      <c r="BV23" s="6327">
        <v>5.5931315363636358</v>
      </c>
      <c r="BW23" s="6320">
        <v>6.1463115818181802</v>
      </c>
      <c r="BX23" s="6320">
        <v>5.4555208818181811</v>
      </c>
      <c r="BY23" s="6320">
        <v>5.3701455727272727</v>
      </c>
      <c r="BZ23" s="6320">
        <v>5.3701455727272727</v>
      </c>
      <c r="CA23" s="6320">
        <v>5.1315710818181817</v>
      </c>
      <c r="CB23" s="6320">
        <v>5.1079652727272729</v>
      </c>
      <c r="CC23" s="6286"/>
      <c r="CD23" s="2808"/>
      <c r="CE23" s="6322">
        <f t="shared" si="12"/>
        <v>-2.3605809090908814E-2</v>
      </c>
      <c r="CF23" s="6323">
        <f t="shared" si="14"/>
        <v>-1.4735796363636355</v>
      </c>
      <c r="CG23" s="6323"/>
      <c r="CH23" s="6324">
        <f t="shared" si="13"/>
        <v>68.278925037272728</v>
      </c>
      <c r="CI23" s="6325"/>
      <c r="CJ23" s="6326"/>
      <c r="CK23" s="6323">
        <f t="shared" si="6"/>
        <v>-14.293981508181801</v>
      </c>
      <c r="CL23" s="5138"/>
      <c r="CM23" s="2488" t="str">
        <f t="shared" si="40"/>
        <v>유선</v>
      </c>
      <c r="CN23" s="6291"/>
      <c r="CO23" s="6291"/>
      <c r="CP23" s="6291"/>
      <c r="CQ23" s="6291"/>
      <c r="CR23" s="6291"/>
      <c r="CS23" s="6291"/>
      <c r="CT23" s="6291"/>
      <c r="CU23" s="6291"/>
      <c r="CV23" s="6291"/>
      <c r="CW23" s="6291"/>
      <c r="CX23" s="6291"/>
      <c r="CY23" s="6291"/>
      <c r="CZ23" s="2505">
        <f t="shared" si="27"/>
        <v>0</v>
      </c>
      <c r="DB23" s="4439"/>
      <c r="DC23" s="4439"/>
      <c r="DF23" s="4439"/>
      <c r="DG23" s="4439"/>
    </row>
    <row r="24" spans="1:111" ht="16.3" customHeight="1" thickBot="1" x14ac:dyDescent="0.6">
      <c r="A24" s="6153"/>
      <c r="C24" s="2940"/>
      <c r="D24" s="2884" t="s">
        <v>67</v>
      </c>
      <c r="E24" s="2884"/>
      <c r="F24" s="6312"/>
      <c r="G24" s="6313"/>
      <c r="H24" s="6313"/>
      <c r="I24" s="6313"/>
      <c r="J24" s="6313"/>
      <c r="K24" s="6313"/>
      <c r="L24" s="6313"/>
      <c r="M24" s="6313"/>
      <c r="N24" s="6313"/>
      <c r="O24" s="6313"/>
      <c r="P24" s="6313"/>
      <c r="Q24" s="6314"/>
      <c r="R24" s="6313"/>
      <c r="S24" s="6313"/>
      <c r="T24" s="6313"/>
      <c r="U24" s="6313"/>
      <c r="V24" s="6313"/>
      <c r="W24" s="6313"/>
      <c r="X24" s="6313"/>
      <c r="Y24" s="6313"/>
      <c r="Z24" s="6313"/>
      <c r="AA24" s="6313"/>
      <c r="AB24" s="6313"/>
      <c r="AC24" s="6313"/>
      <c r="AD24" s="6312">
        <f>AD32+AD33</f>
        <v>8.1885679099999997</v>
      </c>
      <c r="AE24" s="6313">
        <f t="shared" ref="AE24:AN24" si="43">AE32+AE33</f>
        <v>8.1278403699999995</v>
      </c>
      <c r="AF24" s="6313">
        <f t="shared" si="43"/>
        <v>8.3645933200000009</v>
      </c>
      <c r="AG24" s="6313">
        <f t="shared" si="43"/>
        <v>8.4867368699999997</v>
      </c>
      <c r="AH24" s="6313">
        <f t="shared" si="43"/>
        <v>8.6391430499999995</v>
      </c>
      <c r="AI24" s="6313">
        <f t="shared" si="43"/>
        <v>8.6780193499999996</v>
      </c>
      <c r="AJ24" s="6313">
        <f t="shared" si="43"/>
        <v>8.9681812500000007</v>
      </c>
      <c r="AK24" s="6313">
        <f t="shared" si="43"/>
        <v>9.1214656599999984</v>
      </c>
      <c r="AL24" s="6313">
        <f t="shared" si="43"/>
        <v>9.0268869800000004</v>
      </c>
      <c r="AM24" s="6313">
        <f t="shared" si="43"/>
        <v>9.4277494900000001</v>
      </c>
      <c r="AN24" s="6313">
        <f t="shared" si="43"/>
        <v>7.9055636199999997</v>
      </c>
      <c r="AO24" s="6313">
        <f>AO32+AO33</f>
        <v>9.6730119600000002</v>
      </c>
      <c r="AP24" s="6314"/>
      <c r="AQ24" s="6313">
        <f>AQ32+AQ33</f>
        <v>8.1946131599999994</v>
      </c>
      <c r="AR24" s="6315">
        <f t="shared" ref="AR24:BM24" si="44">AR32+AR33</f>
        <v>8.0718169199999998</v>
      </c>
      <c r="AS24" s="6315">
        <f t="shared" si="44"/>
        <v>8.1569115800000009</v>
      </c>
      <c r="AT24" s="6315">
        <f t="shared" si="44"/>
        <v>7.8453478699999994</v>
      </c>
      <c r="AU24" s="6315">
        <f t="shared" si="44"/>
        <v>8.1408838899999996</v>
      </c>
      <c r="AV24" s="6315">
        <f t="shared" si="44"/>
        <v>8.1647906599999995</v>
      </c>
      <c r="AW24" s="6315">
        <f t="shared" si="44"/>
        <v>7.8079840999999996</v>
      </c>
      <c r="AX24" s="6315">
        <f t="shared" si="44"/>
        <v>7.8294168199999996</v>
      </c>
      <c r="AY24" s="6315">
        <f t="shared" si="44"/>
        <v>7.5565453400000004</v>
      </c>
      <c r="AZ24" s="6315">
        <f t="shared" si="44"/>
        <v>8.0914166200000004</v>
      </c>
      <c r="BA24" s="6315">
        <f t="shared" si="44"/>
        <v>7.4629354399999999</v>
      </c>
      <c r="BB24" s="6315">
        <f t="shared" si="44"/>
        <v>7.5854406499999989</v>
      </c>
      <c r="BC24" s="6316">
        <f t="shared" si="44"/>
        <v>94.908103049999994</v>
      </c>
      <c r="BD24" s="6315">
        <f t="shared" si="44"/>
        <v>7.6330330600000007</v>
      </c>
      <c r="BE24" s="6315">
        <f t="shared" si="44"/>
        <v>8.0037513100000002</v>
      </c>
      <c r="BF24" s="6315">
        <f t="shared" si="44"/>
        <v>8.0050369200000002</v>
      </c>
      <c r="BG24" s="6315">
        <f t="shared" si="44"/>
        <v>8.0528862599999993</v>
      </c>
      <c r="BH24" s="6315">
        <f t="shared" si="44"/>
        <v>8.0544358000000003</v>
      </c>
      <c r="BI24" s="6315">
        <f t="shared" si="44"/>
        <v>7.9592369600000001</v>
      </c>
      <c r="BJ24" s="6315">
        <f t="shared" si="44"/>
        <v>8.3449374899999995</v>
      </c>
      <c r="BK24" s="6315">
        <f t="shared" si="44"/>
        <v>8.1051672000000003</v>
      </c>
      <c r="BL24" s="6315">
        <f t="shared" si="44"/>
        <v>8.2837420799999997</v>
      </c>
      <c r="BM24" s="2877">
        <f t="shared" si="44"/>
        <v>8.5209381700000009</v>
      </c>
      <c r="BN24" s="2877">
        <f>BN32+BN33</f>
        <v>8.2536532999999999</v>
      </c>
      <c r="BO24" s="2877">
        <f>BO32+BO33</f>
        <v>8.5513519000000002</v>
      </c>
      <c r="BP24" s="6317">
        <v>97.76817045</v>
      </c>
      <c r="BQ24" s="6318">
        <v>8.5196579200000002</v>
      </c>
      <c r="BR24" s="6319">
        <v>8.63764836</v>
      </c>
      <c r="BS24" s="6320">
        <v>8.0580981000000005</v>
      </c>
      <c r="BT24" s="6321">
        <v>8.2404920799999992</v>
      </c>
      <c r="BU24" s="6321">
        <v>8.3206333299999997</v>
      </c>
      <c r="BV24" s="6318">
        <v>8.5316987399999995</v>
      </c>
      <c r="BW24" s="6320">
        <v>8.1809291299999991</v>
      </c>
      <c r="BX24" s="6320">
        <v>7.3907679599999998</v>
      </c>
      <c r="BY24" s="6320">
        <v>8.30038622</v>
      </c>
      <c r="BZ24" s="6320">
        <v>0.89766773</v>
      </c>
      <c r="CA24" s="6320">
        <v>7.7584866999999997</v>
      </c>
      <c r="CB24" s="6320">
        <v>7.7488725399999998</v>
      </c>
      <c r="CC24" s="6286"/>
      <c r="CD24" s="2808"/>
      <c r="CE24" s="6322">
        <f t="shared" si="12"/>
        <v>-9.6141599999999272E-3</v>
      </c>
      <c r="CF24" s="6323">
        <f t="shared" si="14"/>
        <v>-0.80247936000000042</v>
      </c>
      <c r="CG24" s="6323"/>
      <c r="CH24" s="6324">
        <f t="shared" si="13"/>
        <v>90.585338809999996</v>
      </c>
      <c r="CI24" s="6325"/>
      <c r="CJ24" s="6326"/>
      <c r="CK24" s="6323">
        <f t="shared" si="6"/>
        <v>-7.1828316400000034</v>
      </c>
      <c r="CL24" s="5138"/>
      <c r="CM24" s="2488" t="str">
        <f t="shared" si="40"/>
        <v>기타</v>
      </c>
      <c r="CN24" s="6291"/>
      <c r="CO24" s="6291"/>
      <c r="CP24" s="6291"/>
      <c r="CQ24" s="6291"/>
      <c r="CR24" s="6291"/>
      <c r="CS24" s="6291"/>
      <c r="CT24" s="6291"/>
      <c r="CU24" s="6291"/>
      <c r="CV24" s="6291"/>
      <c r="CW24" s="6291"/>
      <c r="CX24" s="6291"/>
      <c r="CY24" s="6291"/>
      <c r="CZ24" s="2505">
        <f t="shared" si="27"/>
        <v>0</v>
      </c>
      <c r="DB24" s="4439"/>
      <c r="DC24" s="4439"/>
      <c r="DF24" s="4439"/>
      <c r="DG24" s="4439"/>
    </row>
    <row r="25" spans="1:111" ht="16.3" customHeight="1" x14ac:dyDescent="0.55000000000000004">
      <c r="A25" s="6153"/>
      <c r="C25" s="6328" t="s">
        <v>863</v>
      </c>
      <c r="D25" s="6329" t="s">
        <v>104</v>
      </c>
      <c r="E25" s="6329" t="s">
        <v>160</v>
      </c>
      <c r="F25" s="6330">
        <f>F21-F26-F27-F28-F29-F30-F31-F32-F33</f>
        <v>25.474383582232687</v>
      </c>
      <c r="G25" s="6331">
        <f t="shared" ref="G25:BK25" si="45">G21-G26-G27-G28-G29-G30-G31-G32-G33</f>
        <v>27.318579577332585</v>
      </c>
      <c r="H25" s="6331">
        <f t="shared" si="45"/>
        <v>29.295901934867999</v>
      </c>
      <c r="I25" s="6331">
        <f t="shared" si="45"/>
        <v>27.008509090652232</v>
      </c>
      <c r="J25" s="6331">
        <f t="shared" si="45"/>
        <v>29.267277154189813</v>
      </c>
      <c r="K25" s="6331">
        <f t="shared" si="45"/>
        <v>26.679872630635771</v>
      </c>
      <c r="L25" s="6331">
        <f t="shared" si="45"/>
        <v>25.865262955684543</v>
      </c>
      <c r="M25" s="6331">
        <f t="shared" si="45"/>
        <v>28.419974034849723</v>
      </c>
      <c r="N25" s="6331">
        <f t="shared" si="45"/>
        <v>26.107096675124087</v>
      </c>
      <c r="O25" s="6331">
        <f t="shared" si="45"/>
        <v>27.429746654855624</v>
      </c>
      <c r="P25" s="6331">
        <f t="shared" si="45"/>
        <v>24.607261811181722</v>
      </c>
      <c r="Q25" s="6332">
        <f t="shared" si="45"/>
        <v>26.174531745994269</v>
      </c>
      <c r="R25" s="6331">
        <f t="shared" si="45"/>
        <v>25.21365230795622</v>
      </c>
      <c r="S25" s="6331">
        <f t="shared" si="45"/>
        <v>26.632459961025496</v>
      </c>
      <c r="T25" s="6331">
        <f t="shared" si="45"/>
        <v>22.969342325011542</v>
      </c>
      <c r="U25" s="6331">
        <f t="shared" si="45"/>
        <v>32.49193350978544</v>
      </c>
      <c r="V25" s="6331">
        <f t="shared" si="45"/>
        <v>26.216432706948261</v>
      </c>
      <c r="W25" s="6331">
        <f t="shared" si="45"/>
        <v>26.879845072936323</v>
      </c>
      <c r="X25" s="6331">
        <f t="shared" si="45"/>
        <v>26.053630467097406</v>
      </c>
      <c r="Y25" s="6331">
        <f t="shared" si="45"/>
        <v>28.422565183243421</v>
      </c>
      <c r="Z25" s="6331">
        <f t="shared" si="45"/>
        <v>25.448639626208859</v>
      </c>
      <c r="AA25" s="6331">
        <f t="shared" si="45"/>
        <v>28.149033758057428</v>
      </c>
      <c r="AB25" s="6331">
        <f t="shared" si="45"/>
        <v>29.022367652629498</v>
      </c>
      <c r="AC25" s="6331">
        <f t="shared" si="45"/>
        <v>27.180777205457744</v>
      </c>
      <c r="AD25" s="6330">
        <f t="shared" si="45"/>
        <v>28.509329361698544</v>
      </c>
      <c r="AE25" s="6331">
        <f t="shared" si="45"/>
        <v>30.264644597727724</v>
      </c>
      <c r="AF25" s="6331">
        <f t="shared" si="45"/>
        <v>29.581548793476617</v>
      </c>
      <c r="AG25" s="6331">
        <f t="shared" si="45"/>
        <v>27.287575157800269</v>
      </c>
      <c r="AH25" s="6331">
        <f t="shared" si="45"/>
        <v>29.780058926910513</v>
      </c>
      <c r="AI25" s="6331">
        <f t="shared" si="45"/>
        <v>29.624373565335105</v>
      </c>
      <c r="AJ25" s="6331">
        <f t="shared" si="45"/>
        <v>31.175549804674191</v>
      </c>
      <c r="AK25" s="6331">
        <f t="shared" si="45"/>
        <v>31.355383015235816</v>
      </c>
      <c r="AL25" s="6331">
        <f t="shared" si="45"/>
        <v>29.898200263238113</v>
      </c>
      <c r="AM25" s="6331">
        <f t="shared" si="45"/>
        <v>20.506738298347752</v>
      </c>
      <c r="AN25" s="6331">
        <f t="shared" si="45"/>
        <v>33.714856673364245</v>
      </c>
      <c r="AO25" s="6331">
        <f t="shared" si="45"/>
        <v>23.630184769733809</v>
      </c>
      <c r="AP25" s="6332"/>
      <c r="AQ25" s="6333">
        <f t="shared" si="45"/>
        <v>42.066384744791627</v>
      </c>
      <c r="AR25" s="6334">
        <f t="shared" si="45"/>
        <v>27.371089241433097</v>
      </c>
      <c r="AS25" s="6334">
        <f t="shared" si="45"/>
        <v>34.751476728415717</v>
      </c>
      <c r="AT25" s="6334">
        <f t="shared" si="45"/>
        <v>31.781032841273074</v>
      </c>
      <c r="AU25" s="6334">
        <f t="shared" si="45"/>
        <v>34.715691547439917</v>
      </c>
      <c r="AV25" s="6334">
        <f t="shared" si="45"/>
        <v>33.895680180807446</v>
      </c>
      <c r="AW25" s="6334">
        <f t="shared" si="45"/>
        <v>36.221802545297365</v>
      </c>
      <c r="AX25" s="6334">
        <f t="shared" si="45"/>
        <v>34.629332205489725</v>
      </c>
      <c r="AY25" s="6334">
        <f t="shared" si="45"/>
        <v>30.2469242186496</v>
      </c>
      <c r="AZ25" s="6334">
        <f t="shared" si="45"/>
        <v>36.059687511127684</v>
      </c>
      <c r="BA25" s="6334">
        <f t="shared" si="45"/>
        <v>32.256299670086584</v>
      </c>
      <c r="BB25" s="6334">
        <f t="shared" si="45"/>
        <v>36.820780336021066</v>
      </c>
      <c r="BC25" s="6335">
        <f t="shared" si="45"/>
        <v>410.81618177083294</v>
      </c>
      <c r="BD25" s="6336">
        <f t="shared" si="45"/>
        <v>35.939326339999994</v>
      </c>
      <c r="BE25" s="6336">
        <f t="shared" si="45"/>
        <v>34.250041072727264</v>
      </c>
      <c r="BF25" s="6336">
        <f t="shared" si="45"/>
        <v>33.848364757272741</v>
      </c>
      <c r="BG25" s="6336">
        <f t="shared" si="45"/>
        <v>31.712121482727284</v>
      </c>
      <c r="BH25" s="6336">
        <f t="shared" si="45"/>
        <v>31.900757300909081</v>
      </c>
      <c r="BI25" s="6336">
        <f t="shared" si="45"/>
        <v>31.993702992727275</v>
      </c>
      <c r="BJ25" s="6336">
        <f t="shared" si="45"/>
        <v>33.632831953564235</v>
      </c>
      <c r="BK25" s="6336">
        <f t="shared" si="45"/>
        <v>32.372073800516688</v>
      </c>
      <c r="BL25" s="6336">
        <f>BL21-BL26-BL27-BL28-BL29-BL30-BL31-BL32-BL33</f>
        <v>30.888643988173811</v>
      </c>
      <c r="BM25" s="6336">
        <f>BM21-BM26-BM27-BM28-BM29-BM30-BM31-BM32-BM33</f>
        <v>36.51959979240938</v>
      </c>
      <c r="BN25" s="6336">
        <f>BN21-BN26-BN27-BN28-BN29-BN30-BN31-BN32-BN33</f>
        <v>28.02798440672823</v>
      </c>
      <c r="BO25" s="6336">
        <f>BO21-BO26-BO27-BO28-BO29-BO30-BO31-BO32-BO33</f>
        <v>44.400748856387636</v>
      </c>
      <c r="BP25" s="6337">
        <v>405.48619674414363</v>
      </c>
      <c r="BQ25" s="6338">
        <v>28.244298460607862</v>
      </c>
      <c r="BR25" s="6339">
        <v>30.704432768077552</v>
      </c>
      <c r="BS25" s="6339">
        <v>27.694781502422678</v>
      </c>
      <c r="BT25" s="6340">
        <v>35.63383083574859</v>
      </c>
      <c r="BU25" s="6340">
        <v>25.398979669830549</v>
      </c>
      <c r="BV25" s="6338">
        <v>38.599851278789693</v>
      </c>
      <c r="BW25" s="6339">
        <v>32.468355201618003</v>
      </c>
      <c r="BX25" s="6339">
        <v>31.153021984345262</v>
      </c>
      <c r="BY25" s="6339">
        <v>32.786796350261362</v>
      </c>
      <c r="BZ25" s="6339">
        <v>31.781018016395326</v>
      </c>
      <c r="CA25" s="6339">
        <v>31.610685865514093</v>
      </c>
      <c r="CB25" s="6339">
        <v>32.494026230587735</v>
      </c>
      <c r="CC25" s="6341"/>
      <c r="CD25" s="6342"/>
      <c r="CE25" s="6343">
        <f t="shared" si="12"/>
        <v>0.88334036507364289</v>
      </c>
      <c r="CF25" s="6344">
        <f t="shared" si="14"/>
        <v>-11.906722625799901</v>
      </c>
      <c r="CG25" s="6344"/>
      <c r="CH25" s="6345">
        <f t="shared" si="13"/>
        <v>378.57007816419866</v>
      </c>
      <c r="CI25" s="6346"/>
      <c r="CJ25" s="6347"/>
      <c r="CK25" s="6344">
        <f t="shared" si="6"/>
        <v>-26.916118579944964</v>
      </c>
      <c r="CL25" s="5138"/>
      <c r="CM25" s="2488" t="str">
        <f t="shared" si="40"/>
        <v>무선후불</v>
      </c>
      <c r="CN25" s="6291"/>
      <c r="CO25" s="6291"/>
      <c r="CP25" s="6291"/>
      <c r="CQ25" s="6291"/>
      <c r="CR25" s="6291"/>
      <c r="CS25" s="6291"/>
      <c r="CT25" s="6291"/>
      <c r="CU25" s="6291"/>
      <c r="CV25" s="6291"/>
      <c r="CW25" s="6291"/>
      <c r="CX25" s="6291"/>
      <c r="CY25" s="6291"/>
      <c r="CZ25" s="2505">
        <f t="shared" si="27"/>
        <v>0</v>
      </c>
      <c r="DB25" s="4439"/>
      <c r="DC25" s="4439"/>
      <c r="DF25" s="4439"/>
      <c r="DG25" s="4439"/>
    </row>
    <row r="26" spans="1:111" ht="16.3" customHeight="1" x14ac:dyDescent="0.55000000000000004">
      <c r="A26" s="6153"/>
      <c r="C26" s="2884"/>
      <c r="D26" s="2884" t="s">
        <v>112</v>
      </c>
      <c r="E26" s="2884" t="s">
        <v>121</v>
      </c>
      <c r="F26" s="6312">
        <v>1.8591970942218634</v>
      </c>
      <c r="G26" s="6313">
        <v>1.8169540137583182</v>
      </c>
      <c r="H26" s="6313">
        <v>1.754570373313818</v>
      </c>
      <c r="I26" s="6313">
        <v>1.6970742171659543</v>
      </c>
      <c r="J26" s="6313">
        <v>1.6522098502647276</v>
      </c>
      <c r="K26" s="6313">
        <v>1.6173927388642275</v>
      </c>
      <c r="L26" s="6313">
        <v>1.5718329785881817</v>
      </c>
      <c r="M26" s="6313">
        <v>1.5565831186957273</v>
      </c>
      <c r="N26" s="6313">
        <v>1.5211876066940906</v>
      </c>
      <c r="O26" s="6313">
        <v>1.4865384893716362</v>
      </c>
      <c r="P26" s="6313">
        <v>1.407586042772818</v>
      </c>
      <c r="Q26" s="6314">
        <v>1.3166522969148182</v>
      </c>
      <c r="R26" s="6313">
        <v>1.3896909040892274</v>
      </c>
      <c r="S26" s="6313">
        <v>1.335801161929</v>
      </c>
      <c r="T26" s="6313">
        <v>1.3284744449202726</v>
      </c>
      <c r="U26" s="6313">
        <v>1.3292354089077727</v>
      </c>
      <c r="V26" s="6313">
        <v>1.2939247626610002</v>
      </c>
      <c r="W26" s="6313">
        <v>1.2629758007648184</v>
      </c>
      <c r="X26" s="6313">
        <v>1.2569758476163182</v>
      </c>
      <c r="Y26" s="6313">
        <v>1.2565529194519092</v>
      </c>
      <c r="Z26" s="6313">
        <v>1.2582339754478185</v>
      </c>
      <c r="AA26" s="6313">
        <v>1.265571277314909</v>
      </c>
      <c r="AB26" s="6313">
        <v>1.2370028896122727</v>
      </c>
      <c r="AC26" s="6313">
        <v>1.2647143944174999</v>
      </c>
      <c r="AD26" s="6312">
        <v>0.9921887729086255</v>
      </c>
      <c r="AE26" s="6313">
        <v>1.0342916148048036</v>
      </c>
      <c r="AF26" s="6313">
        <v>1.0559026635892765</v>
      </c>
      <c r="AG26" s="6313">
        <v>1.0725136730131599</v>
      </c>
      <c r="AH26" s="6313">
        <v>1.0878432915967247</v>
      </c>
      <c r="AI26" s="6313">
        <v>1.1060233510291613</v>
      </c>
      <c r="AJ26" s="6313">
        <v>1.3026811971333601</v>
      </c>
      <c r="AK26" s="6313">
        <v>1.32845856398855</v>
      </c>
      <c r="AL26" s="6313">
        <v>1.3594350981893599</v>
      </c>
      <c r="AM26" s="6313">
        <v>1.34939449248591</v>
      </c>
      <c r="AN26" s="6313">
        <v>1.3250952977353601</v>
      </c>
      <c r="AO26" s="6313">
        <v>1.37363891173427</v>
      </c>
      <c r="AP26" s="6314"/>
      <c r="AQ26" s="6348">
        <v>1.7</v>
      </c>
      <c r="AR26" s="6315">
        <v>1.6830000000000001</v>
      </c>
      <c r="AS26" s="6315">
        <v>1.6661699999999999</v>
      </c>
      <c r="AT26" s="6315">
        <v>1.6495082999999999</v>
      </c>
      <c r="AU26" s="6315">
        <v>1.6330132169999998</v>
      </c>
      <c r="AV26" s="6315">
        <v>1.61668308483</v>
      </c>
      <c r="AW26" s="6315">
        <v>1.6005162539816999</v>
      </c>
      <c r="AX26" s="6315">
        <v>1.5845110914418827</v>
      </c>
      <c r="AY26" s="6315">
        <v>1.5686659805274641</v>
      </c>
      <c r="AZ26" s="6315">
        <v>1.5529793207221891</v>
      </c>
      <c r="BA26" s="6315">
        <v>1.5374495275149673</v>
      </c>
      <c r="BB26" s="6315">
        <v>1.5220750322398178</v>
      </c>
      <c r="BC26" s="6316">
        <v>19.314571808258023</v>
      </c>
      <c r="BD26" s="2877">
        <v>1.62</v>
      </c>
      <c r="BE26" s="2877">
        <v>1.59</v>
      </c>
      <c r="BF26" s="2877">
        <v>1.58</v>
      </c>
      <c r="BG26" s="2877">
        <v>1.57</v>
      </c>
      <c r="BH26" s="2877">
        <v>1.5</v>
      </c>
      <c r="BI26" s="2877">
        <v>1.4897</v>
      </c>
      <c r="BJ26" s="2877">
        <v>1.4094260358448627</v>
      </c>
      <c r="BK26" s="2877">
        <v>1.4074729230287721</v>
      </c>
      <c r="BL26" s="2877">
        <v>1.4052530813261817</v>
      </c>
      <c r="BM26" s="2877">
        <v>1.3966001761815432</v>
      </c>
      <c r="BN26" s="2877">
        <v>1.4064341837263161</v>
      </c>
      <c r="BO26" s="2877">
        <v>1.4204459793850897</v>
      </c>
      <c r="BP26" s="6317">
        <v>17.795332379492766</v>
      </c>
      <c r="BQ26" s="6321">
        <v>1.4180424187103164</v>
      </c>
      <c r="BR26" s="6319">
        <v>1.4337837506497257</v>
      </c>
      <c r="BS26" s="6319">
        <v>1.427474434531864</v>
      </c>
      <c r="BT26" s="6321">
        <v>1.5287668697968635</v>
      </c>
      <c r="BU26" s="6321">
        <v>1.5329222165330907</v>
      </c>
      <c r="BV26" s="6321">
        <v>1.4180424187103164</v>
      </c>
      <c r="BW26" s="6319">
        <v>1.518616017700182</v>
      </c>
      <c r="BX26" s="6319">
        <v>1.518616017700182</v>
      </c>
      <c r="BY26" s="6319">
        <v>1.5016432583749997</v>
      </c>
      <c r="BZ26" s="6319">
        <v>1.5257767711046817</v>
      </c>
      <c r="CA26" s="6319">
        <v>1.4983585047131818</v>
      </c>
      <c r="CB26" s="6319">
        <v>1.5105706387304547</v>
      </c>
      <c r="CC26" s="6286"/>
      <c r="CD26" s="2808"/>
      <c r="CE26" s="6322">
        <f t="shared" si="12"/>
        <v>1.2212134017272946E-2</v>
      </c>
      <c r="CF26" s="6323">
        <f t="shared" si="14"/>
        <v>9.0124659345365066E-2</v>
      </c>
      <c r="CG26" s="6323"/>
      <c r="CH26" s="6349">
        <f t="shared" si="13"/>
        <v>17.832613317255856</v>
      </c>
      <c r="CI26" s="6350"/>
      <c r="CJ26" s="6326"/>
      <c r="CK26" s="6323">
        <f t="shared" si="6"/>
        <v>3.7280937763089383E-2</v>
      </c>
      <c r="CL26" s="5138"/>
      <c r="CM26" s="2488" t="str">
        <f t="shared" si="40"/>
        <v>2nd 등 기타단말</v>
      </c>
      <c r="CN26" s="6291"/>
      <c r="CO26" s="6291"/>
      <c r="CP26" s="6291"/>
      <c r="CQ26" s="6291"/>
      <c r="CR26" s="6291"/>
      <c r="CS26" s="6291"/>
      <c r="CT26" s="6291"/>
      <c r="CU26" s="6291"/>
      <c r="CV26" s="6291"/>
      <c r="CW26" s="6291"/>
      <c r="CX26" s="6291"/>
      <c r="CY26" s="6291"/>
      <c r="CZ26" s="2505">
        <f t="shared" si="27"/>
        <v>0</v>
      </c>
      <c r="DB26" s="4439"/>
      <c r="DC26" s="4439"/>
      <c r="DF26" s="4439"/>
      <c r="DG26" s="4439"/>
    </row>
    <row r="27" spans="1:111" ht="16.3" customHeight="1" x14ac:dyDescent="0.55000000000000004">
      <c r="A27" s="6153"/>
      <c r="C27" s="2884"/>
      <c r="D27" s="2884" t="s">
        <v>53</v>
      </c>
      <c r="E27" s="2884" t="s">
        <v>122</v>
      </c>
      <c r="F27" s="6312">
        <v>2.0496657935454543</v>
      </c>
      <c r="G27" s="6313">
        <v>1.8883216016363635</v>
      </c>
      <c r="H27" s="6313">
        <v>1.8591887572727273</v>
      </c>
      <c r="I27" s="6313">
        <v>1.8411987885454544</v>
      </c>
      <c r="J27" s="6313">
        <v>1.8375548864545455</v>
      </c>
      <c r="K27" s="6313">
        <v>1.8341817750454545</v>
      </c>
      <c r="L27" s="6313">
        <v>2.9678198939090912</v>
      </c>
      <c r="M27" s="6313">
        <v>1.8542415146363638</v>
      </c>
      <c r="N27" s="6313">
        <v>1.8644706418181818</v>
      </c>
      <c r="O27" s="6313">
        <v>1.8599187148636365</v>
      </c>
      <c r="P27" s="6313">
        <v>1.8170062005909091</v>
      </c>
      <c r="Q27" s="6314">
        <v>1.8180759325454545</v>
      </c>
      <c r="R27" s="6313">
        <v>1.7818134543181818</v>
      </c>
      <c r="S27" s="6313">
        <v>1.7777955043181819</v>
      </c>
      <c r="T27" s="6313">
        <v>1.78677347825</v>
      </c>
      <c r="U27" s="6313">
        <v>1.8048432413068181</v>
      </c>
      <c r="V27" s="6313">
        <v>1.832966176909091</v>
      </c>
      <c r="W27" s="6313">
        <v>1.8329404845000004</v>
      </c>
      <c r="X27" s="6313">
        <v>1.8624729208181816</v>
      </c>
      <c r="Y27" s="6313">
        <v>1.8714750490454546</v>
      </c>
      <c r="Z27" s="6313">
        <v>1.8474245818636363</v>
      </c>
      <c r="AA27" s="6313">
        <v>1.8373948461363636</v>
      </c>
      <c r="AB27" s="6313">
        <v>1.7821269057272728</v>
      </c>
      <c r="AC27" s="6313">
        <v>1.8303570903181818</v>
      </c>
      <c r="AD27" s="6312">
        <v>1.9709267333425418</v>
      </c>
      <c r="AE27" s="6313">
        <v>1.9508069199432987</v>
      </c>
      <c r="AF27" s="6313">
        <v>1.9047488076729775</v>
      </c>
      <c r="AG27" s="6313">
        <v>1.8758444525714753</v>
      </c>
      <c r="AH27" s="6313">
        <v>1.865547496463742</v>
      </c>
      <c r="AI27" s="6313">
        <v>1.8291790236357433</v>
      </c>
      <c r="AJ27" s="6313">
        <v>1.7629148742272698</v>
      </c>
      <c r="AK27" s="6313">
        <v>1.7505884902727298</v>
      </c>
      <c r="AL27" s="6313">
        <v>1.74798405781818</v>
      </c>
      <c r="AM27" s="6313">
        <v>1.70982304972727</v>
      </c>
      <c r="AN27" s="6313">
        <v>1.6316963158636399</v>
      </c>
      <c r="AO27" s="6313">
        <v>1.6158069884545498</v>
      </c>
      <c r="AP27" s="6314"/>
      <c r="AQ27" s="6348">
        <v>1.522877</v>
      </c>
      <c r="AR27" s="6315">
        <v>1.5334382500000001</v>
      </c>
      <c r="AS27" s="6315">
        <v>1.4773935</v>
      </c>
      <c r="AT27" s="6315">
        <v>1.490764</v>
      </c>
      <c r="AU27" s="6315">
        <v>1.4585659999999998</v>
      </c>
      <c r="AV27" s="6315">
        <v>1.4674782500000001</v>
      </c>
      <c r="AW27" s="6315">
        <v>1.4742314999999999</v>
      </c>
      <c r="AX27" s="6315">
        <v>1.4776952499999998</v>
      </c>
      <c r="AY27" s="6315">
        <v>1.482604</v>
      </c>
      <c r="AZ27" s="6315">
        <v>1.4977764999999998</v>
      </c>
      <c r="BA27" s="6315">
        <v>1.51239225</v>
      </c>
      <c r="BB27" s="6315">
        <v>1.5158645000000002</v>
      </c>
      <c r="BC27" s="6316">
        <v>17.911080999999999</v>
      </c>
      <c r="BD27" s="2877">
        <v>1.8011074999999999</v>
      </c>
      <c r="BE27" s="2877">
        <v>1.7306892500000002</v>
      </c>
      <c r="BF27" s="2877">
        <v>1.73016225</v>
      </c>
      <c r="BG27" s="2877">
        <v>1.6455277500000001</v>
      </c>
      <c r="BH27" s="2877">
        <v>1.7</v>
      </c>
      <c r="BI27" s="2877">
        <v>1.7</v>
      </c>
      <c r="BJ27" s="2877">
        <v>1.741165182409091</v>
      </c>
      <c r="BK27" s="2877">
        <v>1.7043583409999998</v>
      </c>
      <c r="BL27" s="2877">
        <v>1.7339788759545454</v>
      </c>
      <c r="BM27" s="2877">
        <v>1.7348236832272725</v>
      </c>
      <c r="BN27" s="2877">
        <v>1.7119060968181818</v>
      </c>
      <c r="BO27" s="2877">
        <v>1.7274593805909091</v>
      </c>
      <c r="BP27" s="6317">
        <v>20.661178309999997</v>
      </c>
      <c r="BQ27" s="6321">
        <v>1.74486284159091</v>
      </c>
      <c r="BR27" s="6319">
        <v>1.7453800658181817</v>
      </c>
      <c r="BS27" s="6319">
        <v>1.7273761130454546</v>
      </c>
      <c r="BT27" s="6321">
        <v>1.7503188826363636</v>
      </c>
      <c r="BU27" s="6321">
        <v>1.7810159881818182</v>
      </c>
      <c r="BV27" s="6321">
        <v>1.74486284159091</v>
      </c>
      <c r="BW27" s="6319">
        <v>1.74486284159091</v>
      </c>
      <c r="BX27" s="6319">
        <v>1.74486284159091</v>
      </c>
      <c r="BY27" s="6319">
        <v>1.731559085909091</v>
      </c>
      <c r="BZ27" s="6319">
        <v>1.7583898806818181</v>
      </c>
      <c r="CA27" s="6319">
        <v>1.7430904370454547</v>
      </c>
      <c r="CB27" s="6319">
        <v>1.7430904370454547</v>
      </c>
      <c r="CC27" s="6286"/>
      <c r="CD27" s="2808"/>
      <c r="CE27" s="6322">
        <f t="shared" si="12"/>
        <v>0</v>
      </c>
      <c r="CF27" s="6323">
        <f t="shared" si="14"/>
        <v>1.5631056454545655E-2</v>
      </c>
      <c r="CG27" s="6323"/>
      <c r="CH27" s="6349">
        <f t="shared" si="13"/>
        <v>20.959672256727277</v>
      </c>
      <c r="CI27" s="6350"/>
      <c r="CJ27" s="6326"/>
      <c r="CK27" s="6323">
        <f t="shared" si="6"/>
        <v>0.29849394672728025</v>
      </c>
      <c r="CL27" s="5138"/>
      <c r="CM27" s="2488" t="str">
        <f t="shared" si="40"/>
        <v>IoT</v>
      </c>
      <c r="CN27" s="6291"/>
      <c r="CO27" s="6291"/>
      <c r="CP27" s="6291"/>
      <c r="CQ27" s="6291"/>
      <c r="CR27" s="6291"/>
      <c r="CS27" s="6291"/>
      <c r="CT27" s="6291"/>
      <c r="CU27" s="6291"/>
      <c r="CV27" s="6291"/>
      <c r="CW27" s="6291"/>
      <c r="CX27" s="6291"/>
      <c r="CY27" s="6291"/>
      <c r="CZ27" s="2505">
        <f t="shared" si="27"/>
        <v>0</v>
      </c>
      <c r="DB27" s="4439"/>
      <c r="DC27" s="4439"/>
      <c r="DF27" s="4439"/>
      <c r="DG27" s="4439"/>
    </row>
    <row r="28" spans="1:111" ht="16.3" customHeight="1" x14ac:dyDescent="0.55000000000000004">
      <c r="A28" s="6153"/>
      <c r="C28" s="2884"/>
      <c r="D28" s="2884" t="s">
        <v>161</v>
      </c>
      <c r="E28" s="4492" t="s">
        <v>162</v>
      </c>
      <c r="F28" s="6351">
        <v>0</v>
      </c>
      <c r="G28" s="6352">
        <v>0</v>
      </c>
      <c r="H28" s="6352">
        <v>0</v>
      </c>
      <c r="I28" s="6352">
        <v>0</v>
      </c>
      <c r="J28" s="6352">
        <v>0</v>
      </c>
      <c r="K28" s="6352">
        <v>0</v>
      </c>
      <c r="L28" s="6352">
        <v>0</v>
      </c>
      <c r="M28" s="6352">
        <v>0</v>
      </c>
      <c r="N28" s="6352">
        <v>0</v>
      </c>
      <c r="O28" s="6352">
        <v>0</v>
      </c>
      <c r="P28" s="6352">
        <v>0</v>
      </c>
      <c r="Q28" s="6353">
        <v>0</v>
      </c>
      <c r="R28" s="6352">
        <v>0</v>
      </c>
      <c r="S28" s="6352">
        <v>3.9889690090909089</v>
      </c>
      <c r="T28" s="6352">
        <v>4.0320565727272726</v>
      </c>
      <c r="U28" s="6352">
        <v>4.0320565727272726</v>
      </c>
      <c r="V28" s="6352">
        <v>4.2531083762088979</v>
      </c>
      <c r="W28" s="6352">
        <v>4.3830917299806567</v>
      </c>
      <c r="X28" s="6352">
        <v>4.3955250381044486</v>
      </c>
      <c r="Y28" s="6352">
        <v>4.5657913164410049</v>
      </c>
      <c r="Z28" s="6352">
        <v>4.592295883752417</v>
      </c>
      <c r="AA28" s="6352">
        <v>4.7459260475822047</v>
      </c>
      <c r="AB28" s="6352">
        <v>4.8850613702127665</v>
      </c>
      <c r="AC28" s="6352">
        <v>4.8625408088974851</v>
      </c>
      <c r="AD28" s="6351">
        <v>4.9560979856866529</v>
      </c>
      <c r="AE28" s="6352">
        <v>5.0045811284332684</v>
      </c>
      <c r="AF28" s="6352">
        <v>5.1387976998065756</v>
      </c>
      <c r="AG28" s="6352">
        <v>5.1145863557059954</v>
      </c>
      <c r="AH28" s="6352">
        <v>5.2206735686653776</v>
      </c>
      <c r="AI28" s="6352">
        <v>5.3154866454545449</v>
      </c>
      <c r="AJ28" s="6352">
        <v>5.3802332903288193</v>
      </c>
      <c r="AK28" s="6352">
        <v>5.4904559659574499</v>
      </c>
      <c r="AL28" s="6352">
        <v>5.5203996852998101</v>
      </c>
      <c r="AM28" s="6352">
        <v>5.6021074239845303</v>
      </c>
      <c r="AN28" s="6352">
        <v>5.6361315839458399</v>
      </c>
      <c r="AO28" s="6352">
        <v>5.6822815982591903</v>
      </c>
      <c r="AP28" s="6353"/>
      <c r="AQ28" s="6348">
        <v>5.6540478642166336</v>
      </c>
      <c r="AR28" s="6315">
        <v>5.7012886452611227</v>
      </c>
      <c r="AS28" s="6315">
        <v>5.7383666137330751</v>
      </c>
      <c r="AT28" s="6315">
        <v>5.5275548617021277</v>
      </c>
      <c r="AU28" s="6315">
        <v>5.4801296257253389</v>
      </c>
      <c r="AV28" s="6315">
        <v>5.4858960941972903</v>
      </c>
      <c r="AW28" s="6315">
        <v>5.6338214742746606</v>
      </c>
      <c r="AX28" s="6315">
        <v>5.6292190580270782</v>
      </c>
      <c r="AY28" s="6315">
        <v>5.5366031079303673</v>
      </c>
      <c r="AZ28" s="6315">
        <v>5.6500353531914893</v>
      </c>
      <c r="BA28" s="6315">
        <v>5.5978558642166343</v>
      </c>
      <c r="BB28" s="6315">
        <v>5.573947546615087</v>
      </c>
      <c r="BC28" s="6316">
        <v>67.208766109090902</v>
      </c>
      <c r="BD28" s="2877">
        <v>5.5675731545454541</v>
      </c>
      <c r="BE28" s="2877">
        <v>5.5085873545454538</v>
      </c>
      <c r="BF28" s="2877">
        <v>5.4530991727272724</v>
      </c>
      <c r="BG28" s="2877">
        <v>5.3678740181818174</v>
      </c>
      <c r="BH28" s="2877">
        <v>5.2841300000000002</v>
      </c>
      <c r="BI28" s="2877">
        <v>5.1725335363636358</v>
      </c>
      <c r="BJ28" s="2877">
        <v>5.120132372727273</v>
      </c>
      <c r="BK28" s="2877">
        <v>5.0028766545454548</v>
      </c>
      <c r="BL28" s="2877">
        <v>4.8677490454545449</v>
      </c>
      <c r="BM28" s="2877">
        <v>4.7402626272727266</v>
      </c>
      <c r="BN28" s="2877">
        <v>4.5456320999999997</v>
      </c>
      <c r="BO28" s="2877">
        <v>4.4090378545454545</v>
      </c>
      <c r="BP28" s="6317">
        <v>61.039487890909079</v>
      </c>
      <c r="BQ28" s="6354">
        <v>4.1425931999999994</v>
      </c>
      <c r="BR28" s="6319">
        <v>4.140338836363636</v>
      </c>
      <c r="BS28" s="6319">
        <v>3.8632196272727271</v>
      </c>
      <c r="BT28" s="6321">
        <v>3.6772409272727269</v>
      </c>
      <c r="BU28" s="6321">
        <v>3.5184740636363632</v>
      </c>
      <c r="BV28" s="6354">
        <v>3.3729351545454542</v>
      </c>
      <c r="BW28" s="6319">
        <v>3.217503527272727</v>
      </c>
      <c r="BX28" s="6319">
        <v>3.0304161545454544</v>
      </c>
      <c r="BY28" s="6319">
        <v>2.8506905727272724</v>
      </c>
      <c r="BZ28" s="6319">
        <v>2.6879537090909089</v>
      </c>
      <c r="CA28" s="6319">
        <v>2.5119146909090908</v>
      </c>
      <c r="CB28" s="6319">
        <v>2.4026394909090905</v>
      </c>
      <c r="CC28" s="6286"/>
      <c r="CD28" s="2808"/>
      <c r="CE28" s="6322">
        <f t="shared" si="12"/>
        <v>-0.10927520000000035</v>
      </c>
      <c r="CF28" s="6323">
        <f t="shared" si="14"/>
        <v>-2.006398363636364</v>
      </c>
      <c r="CG28" s="6323"/>
      <c r="CH28" s="6349">
        <f t="shared" si="13"/>
        <v>39.415919954545451</v>
      </c>
      <c r="CI28" s="6350"/>
      <c r="CJ28" s="6326"/>
      <c r="CK28" s="6323">
        <f t="shared" si="6"/>
        <v>-21.623567936363628</v>
      </c>
      <c r="CL28" s="5138"/>
      <c r="CM28" s="2488" t="str">
        <f t="shared" si="40"/>
        <v>도매 H/C</v>
      </c>
      <c r="CN28" s="6291"/>
      <c r="CO28" s="6291"/>
      <c r="CP28" s="6291"/>
      <c r="CQ28" s="6291"/>
      <c r="CR28" s="6291"/>
      <c r="CS28" s="6291"/>
      <c r="CT28" s="6291"/>
      <c r="CU28" s="6291"/>
      <c r="CV28" s="6291"/>
      <c r="CW28" s="6291"/>
      <c r="CX28" s="6291"/>
      <c r="CY28" s="6291"/>
      <c r="CZ28" s="2505">
        <f t="shared" si="27"/>
        <v>0</v>
      </c>
      <c r="DB28" s="4439"/>
      <c r="DC28" s="4439"/>
      <c r="DF28" s="4439"/>
      <c r="DG28" s="4439"/>
    </row>
    <row r="29" spans="1:111" ht="16.3" customHeight="1" x14ac:dyDescent="0.55000000000000004">
      <c r="A29" s="6153"/>
      <c r="C29" s="2884"/>
      <c r="D29" s="2884" t="s">
        <v>87</v>
      </c>
      <c r="E29" s="2884"/>
      <c r="F29" s="6312">
        <v>2.8319186363636364</v>
      </c>
      <c r="G29" s="6313">
        <v>2.7747745454545449</v>
      </c>
      <c r="H29" s="6313">
        <v>2.8072120909090907</v>
      </c>
      <c r="I29" s="6313">
        <v>2.7751740909090907</v>
      </c>
      <c r="J29" s="6313">
        <v>3.7064539999999995</v>
      </c>
      <c r="K29" s="6313">
        <v>3.710770818181818</v>
      </c>
      <c r="L29" s="6313">
        <v>3.6954438181818183</v>
      </c>
      <c r="M29" s="6313">
        <v>3.6906620000000001</v>
      </c>
      <c r="N29" s="6313">
        <v>3.6973195454545449</v>
      </c>
      <c r="O29" s="6313">
        <v>3.7111818181818181</v>
      </c>
      <c r="P29" s="6313">
        <v>3.7157199999999992</v>
      </c>
      <c r="Q29" s="6314">
        <v>3.7363342727272726</v>
      </c>
      <c r="R29" s="6313">
        <v>3.7239959999999996</v>
      </c>
      <c r="S29" s="6313">
        <v>3.6172210909090907</v>
      </c>
      <c r="T29" s="6313">
        <v>3.8684580909090909</v>
      </c>
      <c r="U29" s="6313">
        <v>3.7628204545454547</v>
      </c>
      <c r="V29" s="6313">
        <v>3.783579636363636</v>
      </c>
      <c r="W29" s="6313">
        <v>3.913649545454545</v>
      </c>
      <c r="X29" s="6313">
        <v>3.8884717272727269</v>
      </c>
      <c r="Y29" s="6313">
        <v>4.0009168181818184</v>
      </c>
      <c r="Z29" s="6313">
        <v>3.9628550909090907</v>
      </c>
      <c r="AA29" s="6313">
        <v>4.0118372727272726</v>
      </c>
      <c r="AB29" s="6313">
        <v>4.0941511818181811</v>
      </c>
      <c r="AC29" s="6313">
        <v>3.8918232727272724</v>
      </c>
      <c r="AD29" s="6312">
        <v>4.0836059999999996</v>
      </c>
      <c r="AE29" s="6313">
        <v>4.1496891818181814</v>
      </c>
      <c r="AF29" s="6313">
        <v>4.4607770363636359</v>
      </c>
      <c r="AG29" s="6313">
        <v>4.1496891818181814</v>
      </c>
      <c r="AH29" s="6313">
        <v>4.1548569090909089</v>
      </c>
      <c r="AI29" s="6313">
        <v>4.2358683636363628</v>
      </c>
      <c r="AJ29" s="6313">
        <v>4.27994154545455</v>
      </c>
      <c r="AK29" s="6313">
        <v>4.4049079999999998</v>
      </c>
      <c r="AL29" s="6313">
        <v>4.3785670000000003</v>
      </c>
      <c r="AM29" s="6313">
        <v>4.4183479999999999</v>
      </c>
      <c r="AN29" s="6313">
        <v>4.4847528454545493</v>
      </c>
      <c r="AO29" s="6313">
        <v>4.4855169999999998</v>
      </c>
      <c r="AP29" s="6314"/>
      <c r="AQ29" s="6348">
        <v>5.0341109999999993</v>
      </c>
      <c r="AR29" s="6315">
        <v>4.233279636363636</v>
      </c>
      <c r="AS29" s="6315">
        <v>4.916624399999999</v>
      </c>
      <c r="AT29" s="6315">
        <v>4.5693361818181817</v>
      </c>
      <c r="AU29" s="6315">
        <v>4.5908375454545451</v>
      </c>
      <c r="AV29" s="6315">
        <v>4.5822824545454539</v>
      </c>
      <c r="AW29" s="6315">
        <v>4.9184787272727268</v>
      </c>
      <c r="AX29" s="6315">
        <v>4.678644454545454</v>
      </c>
      <c r="AY29" s="6315">
        <v>4.6044433636363626</v>
      </c>
      <c r="AZ29" s="6315">
        <v>4.773463545454546</v>
      </c>
      <c r="BA29" s="6315">
        <v>4.7316570909090903</v>
      </c>
      <c r="BB29" s="6315">
        <v>5.0583822727272727</v>
      </c>
      <c r="BC29" s="6316">
        <v>56.691540672727271</v>
      </c>
      <c r="BD29" s="2877">
        <v>4.8145570909090898</v>
      </c>
      <c r="BE29" s="2877">
        <v>4.7889017272727266</v>
      </c>
      <c r="BF29" s="2877">
        <v>4.8234308181818184</v>
      </c>
      <c r="BG29" s="2877">
        <v>4.7762958181818185</v>
      </c>
      <c r="BH29" s="2877">
        <v>4.6528247272727272</v>
      </c>
      <c r="BI29" s="2877">
        <v>4.5738333636363633</v>
      </c>
      <c r="BJ29" s="2877">
        <v>4.5105966363636361</v>
      </c>
      <c r="BK29" s="2877">
        <v>4.3819244545454543</v>
      </c>
      <c r="BL29" s="2877">
        <v>4.3197047272727271</v>
      </c>
      <c r="BM29" s="6321">
        <v>4.8752289999999991</v>
      </c>
      <c r="BN29" s="2877">
        <v>4.132522909090909</v>
      </c>
      <c r="BO29" s="2877">
        <v>4.2814632727272723</v>
      </c>
      <c r="BP29" s="6317">
        <v>54.931284545454545</v>
      </c>
      <c r="BQ29" s="6354">
        <v>3.8039284545454546</v>
      </c>
      <c r="BR29" s="6319">
        <v>4.1171956363636362</v>
      </c>
      <c r="BS29" s="6319">
        <v>4.3993616454545448</v>
      </c>
      <c r="BT29" s="6321">
        <v>3.739106636363636</v>
      </c>
      <c r="BU29" s="6321">
        <v>3.6557820909090908</v>
      </c>
      <c r="BV29" s="6321">
        <v>3.5924522727272725</v>
      </c>
      <c r="BW29" s="6319">
        <v>3.8894031818181811</v>
      </c>
      <c r="BX29" s="6319">
        <v>3.4551302727272724</v>
      </c>
      <c r="BY29" s="6319">
        <v>3.382942545454545</v>
      </c>
      <c r="BZ29" s="6319">
        <v>3.382942545454545</v>
      </c>
      <c r="CA29" s="6319">
        <v>3.1911021818181813</v>
      </c>
      <c r="CB29" s="6319">
        <v>3.1645737272727268</v>
      </c>
      <c r="CC29" s="6286"/>
      <c r="CD29" s="2808"/>
      <c r="CE29" s="6322">
        <f t="shared" si="12"/>
        <v>-2.6528454545454494E-2</v>
      </c>
      <c r="CF29" s="6323">
        <f t="shared" si="14"/>
        <v>-1.1168895454545456</v>
      </c>
      <c r="CG29" s="6323"/>
      <c r="CH29" s="6349">
        <f t="shared" si="13"/>
        <v>43.773921190909093</v>
      </c>
      <c r="CI29" s="6350"/>
      <c r="CJ29" s="6326"/>
      <c r="CK29" s="6323">
        <f t="shared" si="6"/>
        <v>-11.157363354545453</v>
      </c>
      <c r="CL29" s="5138"/>
      <c r="CM29" s="2488" t="str">
        <f t="shared" si="40"/>
        <v>인터넷</v>
      </c>
      <c r="CN29" s="6291"/>
      <c r="CO29" s="6291"/>
      <c r="CP29" s="6291"/>
      <c r="CQ29" s="6291"/>
      <c r="CR29" s="6291"/>
      <c r="CS29" s="6291"/>
      <c r="CT29" s="6291"/>
      <c r="CU29" s="6291"/>
      <c r="CV29" s="6291"/>
      <c r="CW29" s="6291"/>
      <c r="CX29" s="6291"/>
      <c r="CY29" s="6291"/>
      <c r="CZ29" s="2505">
        <f t="shared" si="27"/>
        <v>0</v>
      </c>
      <c r="DB29" s="4439"/>
      <c r="DC29" s="4439"/>
      <c r="DF29" s="4439"/>
      <c r="DG29" s="4439"/>
    </row>
    <row r="30" spans="1:111" ht="16.3" customHeight="1" x14ac:dyDescent="0.55000000000000004">
      <c r="A30" s="6153"/>
      <c r="C30" s="2884"/>
      <c r="D30" s="2884" t="s">
        <v>88</v>
      </c>
      <c r="E30" s="2884"/>
      <c r="F30" s="6312">
        <v>1.1862099090909091</v>
      </c>
      <c r="G30" s="6313">
        <v>1.171648909090909</v>
      </c>
      <c r="H30" s="6313">
        <v>1.1478351818181818</v>
      </c>
      <c r="I30" s="6313">
        <v>1.1099224545454545</v>
      </c>
      <c r="J30" s="6313">
        <v>1.8486406363636363</v>
      </c>
      <c r="K30" s="6313">
        <v>1.8199534545454543</v>
      </c>
      <c r="L30" s="6313">
        <v>1.8135665454545453</v>
      </c>
      <c r="M30" s="6313">
        <v>1.7916101818181815</v>
      </c>
      <c r="N30" s="6313">
        <v>1.7797416363636362</v>
      </c>
      <c r="O30" s="6313">
        <v>1.7558139090909091</v>
      </c>
      <c r="P30" s="6313">
        <v>1.7228359090909091</v>
      </c>
      <c r="Q30" s="6314">
        <v>1.7046977272727273</v>
      </c>
      <c r="R30" s="6313">
        <v>1.6832072727272724</v>
      </c>
      <c r="S30" s="6313">
        <v>1.6089168181818181</v>
      </c>
      <c r="T30" s="6313">
        <v>1.6991037272727274</v>
      </c>
      <c r="U30" s="6313">
        <v>1.6112271818181816</v>
      </c>
      <c r="V30" s="6313">
        <v>1.5743053636363635</v>
      </c>
      <c r="W30" s="6313">
        <v>1.5836084545454543</v>
      </c>
      <c r="X30" s="6313">
        <v>1.5427433636363634</v>
      </c>
      <c r="Y30" s="6313">
        <v>1.5822535454545454</v>
      </c>
      <c r="Z30" s="6313">
        <v>1.5518969090909092</v>
      </c>
      <c r="AA30" s="6313">
        <v>1.7180076363636363</v>
      </c>
      <c r="AB30" s="6313">
        <v>2.8612783636363632</v>
      </c>
      <c r="AC30" s="6313">
        <v>1.7501654545454544</v>
      </c>
      <c r="AD30" s="6312">
        <v>1.7327599090909092</v>
      </c>
      <c r="AE30" s="6313">
        <v>1.7578672727272726</v>
      </c>
      <c r="AF30" s="6313">
        <v>1.784618</v>
      </c>
      <c r="AG30" s="6313">
        <v>1.7578672727272726</v>
      </c>
      <c r="AH30" s="6313">
        <v>1.7712138181818182</v>
      </c>
      <c r="AI30" s="6313">
        <v>1.8049611818181817</v>
      </c>
      <c r="AJ30" s="6313">
        <v>2.0319552999999999</v>
      </c>
      <c r="AK30" s="6313">
        <v>2.1079583999999998</v>
      </c>
      <c r="AL30" s="6313">
        <v>2.0922692999999999</v>
      </c>
      <c r="AM30" s="6313">
        <v>2.1288882999999998</v>
      </c>
      <c r="AN30" s="6313">
        <v>2.1728996899999999</v>
      </c>
      <c r="AO30" s="6313">
        <v>2.1858507999999999</v>
      </c>
      <c r="AP30" s="6314"/>
      <c r="AQ30" s="6348">
        <v>1.9871370909090909</v>
      </c>
      <c r="AR30" s="6315">
        <v>2.1905009999999998</v>
      </c>
      <c r="AS30" s="6315">
        <v>1.6563014363636364</v>
      </c>
      <c r="AT30" s="6315">
        <v>2.3826345454545454</v>
      </c>
      <c r="AU30" s="6315">
        <v>2.0444982727272727</v>
      </c>
      <c r="AV30" s="6315">
        <v>2.0659987272727274</v>
      </c>
      <c r="AW30" s="6315">
        <v>2.0694203636363633</v>
      </c>
      <c r="AX30" s="6315">
        <v>2.2355180909090908</v>
      </c>
      <c r="AY30" s="6315">
        <v>2.1392998181818181</v>
      </c>
      <c r="AZ30" s="6315">
        <v>2.1141679090909089</v>
      </c>
      <c r="BA30" s="6315">
        <v>2.1989009090909089</v>
      </c>
      <c r="BB30" s="6315">
        <v>2.2006523636363635</v>
      </c>
      <c r="BC30" s="6316">
        <v>25.285030527272731</v>
      </c>
      <c r="BD30" s="2877">
        <v>2.3898514545454548</v>
      </c>
      <c r="BE30" s="2877">
        <v>2.262374545454545</v>
      </c>
      <c r="BF30" s="2877">
        <v>2.2457271818181819</v>
      </c>
      <c r="BG30" s="2877">
        <v>2.2506790909090908</v>
      </c>
      <c r="BH30" s="2877">
        <v>2.2239742727272724</v>
      </c>
      <c r="BI30" s="2877">
        <v>2.1981428181818181</v>
      </c>
      <c r="BJ30" s="2877">
        <v>2.2025613636363635</v>
      </c>
      <c r="BK30" s="2877">
        <v>2.1641347272727267</v>
      </c>
      <c r="BL30" s="2877">
        <v>2.1498160909090904</v>
      </c>
      <c r="BM30" s="2877">
        <v>2.4963488181818181</v>
      </c>
      <c r="BN30" s="2877">
        <v>2.0994082727272727</v>
      </c>
      <c r="BO30" s="2877">
        <v>2.2071336363636362</v>
      </c>
      <c r="BP30" s="6317">
        <v>26.890152272727274</v>
      </c>
      <c r="BQ30" s="6354">
        <v>1.9646244545454543</v>
      </c>
      <c r="BR30" s="6319">
        <v>2.1139592727272727</v>
      </c>
      <c r="BS30" s="6319">
        <v>2.0006825454545454</v>
      </c>
      <c r="BT30" s="6321">
        <v>1.9445589999999997</v>
      </c>
      <c r="BU30" s="6321">
        <v>1.9207853636363634</v>
      </c>
      <c r="BV30" s="6321">
        <v>1.9006985454545453</v>
      </c>
      <c r="BW30" s="6319">
        <v>2.1088226363636364</v>
      </c>
      <c r="BX30" s="6319">
        <v>1.8780528181818181</v>
      </c>
      <c r="BY30" s="6319">
        <v>1.8569470909090906</v>
      </c>
      <c r="BZ30" s="6319">
        <v>1.8569470909090906</v>
      </c>
      <c r="CA30" s="6319">
        <v>1.7957804545454543</v>
      </c>
      <c r="CB30" s="6319">
        <v>1.7909318181818181</v>
      </c>
      <c r="CC30" s="6286"/>
      <c r="CD30" s="2808"/>
      <c r="CE30" s="6322">
        <f t="shared" si="12"/>
        <v>-4.848636363636194E-3</v>
      </c>
      <c r="CF30" s="6323">
        <f t="shared" si="14"/>
        <v>-0.41620181818181812</v>
      </c>
      <c r="CG30" s="6323"/>
      <c r="CH30" s="6349">
        <f t="shared" si="13"/>
        <v>23.132791090909091</v>
      </c>
      <c r="CI30" s="6350"/>
      <c r="CJ30" s="6326"/>
      <c r="CK30" s="6323">
        <f t="shared" si="6"/>
        <v>-3.7573611818181831</v>
      </c>
      <c r="CL30" s="5138"/>
      <c r="CM30" s="2488" t="str">
        <f t="shared" si="40"/>
        <v>TV</v>
      </c>
      <c r="CN30" s="6291"/>
      <c r="CO30" s="6291"/>
      <c r="CP30" s="6291"/>
      <c r="CQ30" s="6291"/>
      <c r="CR30" s="6291"/>
      <c r="CS30" s="6291"/>
      <c r="CT30" s="6291"/>
      <c r="CU30" s="6291"/>
      <c r="CV30" s="6291"/>
      <c r="CW30" s="6291"/>
      <c r="CX30" s="6291"/>
      <c r="CY30" s="6291"/>
      <c r="CZ30" s="2505">
        <f t="shared" si="27"/>
        <v>0</v>
      </c>
      <c r="DB30" s="4439"/>
      <c r="DC30" s="4439"/>
      <c r="DF30" s="4439"/>
      <c r="DG30" s="4439"/>
    </row>
    <row r="31" spans="1:111" ht="16.3" customHeight="1" x14ac:dyDescent="0.55000000000000004">
      <c r="A31" s="6153"/>
      <c r="C31" s="2884"/>
      <c r="D31" s="2884" t="s">
        <v>105</v>
      </c>
      <c r="E31" s="2884" t="s">
        <v>117</v>
      </c>
      <c r="F31" s="6312">
        <v>2.1736054545454547E-2</v>
      </c>
      <c r="G31" s="6313">
        <v>1.9277772727272723E-2</v>
      </c>
      <c r="H31" s="6313">
        <v>2.0036681818181818E-2</v>
      </c>
      <c r="I31" s="6313">
        <v>1.9458718181818182E-2</v>
      </c>
      <c r="J31" s="6313">
        <v>2.3965372727272723E-2</v>
      </c>
      <c r="K31" s="6313">
        <v>2.4830072727272726E-2</v>
      </c>
      <c r="L31" s="6313">
        <v>2.5184418181818179E-2</v>
      </c>
      <c r="M31" s="6313">
        <v>2.4936400000000001E-2</v>
      </c>
      <c r="N31" s="6313">
        <v>2.4402054545454542E-2</v>
      </c>
      <c r="O31" s="6313">
        <v>2.4128963636363632E-2</v>
      </c>
      <c r="P31" s="6313">
        <v>2.3571536363636361E-2</v>
      </c>
      <c r="Q31" s="6314">
        <v>2.4561454545454543E-2</v>
      </c>
      <c r="R31" s="6313">
        <v>2.409919090909185E-2</v>
      </c>
      <c r="S31" s="6313">
        <v>2.4071754545454169E-2</v>
      </c>
      <c r="T31" s="6313">
        <v>2.5913790909090312E-2</v>
      </c>
      <c r="U31" s="6313">
        <v>2.602209090909036E-2</v>
      </c>
      <c r="V31" s="6313">
        <v>2.529912727272627E-2</v>
      </c>
      <c r="W31" s="6313">
        <v>2.5760081818181787E-2</v>
      </c>
      <c r="X31" s="6313">
        <v>2.5516845454545925E-2</v>
      </c>
      <c r="Y31" s="6313">
        <v>2.6451918181817514E-2</v>
      </c>
      <c r="Z31" s="6313">
        <v>2.6320572727272288E-2</v>
      </c>
      <c r="AA31" s="6313">
        <v>2.6058481818180997E-2</v>
      </c>
      <c r="AB31" s="6313">
        <v>2.7497736363636796E-2</v>
      </c>
      <c r="AC31" s="6313">
        <v>2.6132263636363437E-2</v>
      </c>
      <c r="AD31" s="6312">
        <v>2.6523327272727271E-2</v>
      </c>
      <c r="AE31" s="6313">
        <v>2.6473854545454541E-2</v>
      </c>
      <c r="AF31" s="6313">
        <v>2.9348909090909089E-2</v>
      </c>
      <c r="AG31" s="6313">
        <v>2.4446636363636361E-2</v>
      </c>
      <c r="AH31" s="6313">
        <v>2.9012309090909086E-2</v>
      </c>
      <c r="AI31" s="6313">
        <v>2.9052609090909086E-2</v>
      </c>
      <c r="AJ31" s="6313">
        <v>2.7647618181818202E-2</v>
      </c>
      <c r="AK31" s="6313">
        <v>2.91417545454545E-2</v>
      </c>
      <c r="AL31" s="6313">
        <v>2.92156454545455E-2</v>
      </c>
      <c r="AM31" s="6313">
        <v>2.7559045454545499E-2</v>
      </c>
      <c r="AN31" s="6313">
        <v>2.9438663636363598E-2</v>
      </c>
      <c r="AO31" s="6313">
        <v>2.9304681818181799E-2</v>
      </c>
      <c r="AP31" s="6314"/>
      <c r="AQ31" s="6348">
        <v>0.87586089008264478</v>
      </c>
      <c r="AR31" s="6315">
        <v>7.8961966942149908E-2</v>
      </c>
      <c r="AS31" s="6315">
        <v>1.3527922214876045</v>
      </c>
      <c r="AT31" s="6315">
        <v>0.32144222975206582</v>
      </c>
      <c r="AU31" s="6315">
        <v>0.6524388016528927</v>
      </c>
      <c r="AV31" s="6315">
        <v>0.63586999834710745</v>
      </c>
      <c r="AW31" s="6315">
        <v>0.82892013553719091</v>
      </c>
      <c r="AX31" s="6315">
        <v>0.5588534495867773</v>
      </c>
      <c r="AY31" s="6315">
        <v>0.61588037107438143</v>
      </c>
      <c r="AZ31" s="6315">
        <v>0.74195955041322303</v>
      </c>
      <c r="BA31" s="6315">
        <v>0.66719981818181906</v>
      </c>
      <c r="BB31" s="6315">
        <v>0.88550424876033118</v>
      </c>
      <c r="BC31" s="6316">
        <v>8.215683681818188</v>
      </c>
      <c r="BD31" s="2877">
        <v>0.06</v>
      </c>
      <c r="BE31" s="2877">
        <v>7.0000000000000007E-2</v>
      </c>
      <c r="BF31" s="2877">
        <v>7.0000000000000007E-2</v>
      </c>
      <c r="BG31" s="2877">
        <v>7.0000000000000007E-2</v>
      </c>
      <c r="BH31" s="2877">
        <v>4.1914509090909088E-2</v>
      </c>
      <c r="BI31" s="2877">
        <v>4.079730909090884E-2</v>
      </c>
      <c r="BJ31" s="2877">
        <v>4.7433945454545601E-2</v>
      </c>
      <c r="BK31" s="2877">
        <v>5.0593609090908806E-2</v>
      </c>
      <c r="BL31" s="2877">
        <v>5.6795290909090905E-2</v>
      </c>
      <c r="BM31" s="2877">
        <v>8.3758572727272718E-2</v>
      </c>
      <c r="BN31" s="2877">
        <v>6.7228490909090902E-2</v>
      </c>
      <c r="BO31" s="2877">
        <v>9.2947999999999809E-2</v>
      </c>
      <c r="BP31" s="6317">
        <v>0.75146972727272665</v>
      </c>
      <c r="BQ31" s="6321">
        <v>8.8376410000000002E-2</v>
      </c>
      <c r="BR31" s="6319">
        <v>7.7518899999999835E-2</v>
      </c>
      <c r="BS31" s="6319">
        <v>9.3720581818182769E-2</v>
      </c>
      <c r="BT31" s="6321">
        <v>8.9024718181818452E-2</v>
      </c>
      <c r="BU31" s="6321">
        <v>9.5507827272727441E-2</v>
      </c>
      <c r="BV31" s="6321">
        <v>9.9980718181818862E-2</v>
      </c>
      <c r="BW31" s="6319">
        <v>0.1480857636363635</v>
      </c>
      <c r="BX31" s="6319">
        <v>0.12233779090909058</v>
      </c>
      <c r="BY31" s="6319">
        <v>0.13025593636363708</v>
      </c>
      <c r="BZ31" s="6319">
        <v>0.13025593636363708</v>
      </c>
      <c r="CA31" s="6319">
        <v>0.14468844545454607</v>
      </c>
      <c r="CB31" s="6319">
        <v>0.15245972727272794</v>
      </c>
      <c r="CC31" s="6286"/>
      <c r="CD31" s="2808"/>
      <c r="CE31" s="6322">
        <f t="shared" si="12"/>
        <v>7.7712818181818744E-3</v>
      </c>
      <c r="CF31" s="6323">
        <f t="shared" si="14"/>
        <v>5.9511727272728132E-2</v>
      </c>
      <c r="CG31" s="6323"/>
      <c r="CH31" s="6349">
        <f t="shared" si="13"/>
        <v>1.3722127554545496</v>
      </c>
      <c r="CI31" s="6350"/>
      <c r="CJ31" s="6326"/>
      <c r="CK31" s="6323">
        <f t="shared" si="6"/>
        <v>0.62074302818182292</v>
      </c>
      <c r="CL31" s="5138"/>
      <c r="CM31" s="2488" t="str">
        <f t="shared" si="40"/>
        <v>유선기타</v>
      </c>
      <c r="CN31" s="6291"/>
      <c r="CO31" s="6291"/>
      <c r="CP31" s="6291"/>
      <c r="CQ31" s="6291"/>
      <c r="CR31" s="6291"/>
      <c r="CS31" s="6291"/>
      <c r="CT31" s="6291"/>
      <c r="CU31" s="6291"/>
      <c r="CV31" s="6291"/>
      <c r="CW31" s="6291"/>
      <c r="CX31" s="6291"/>
      <c r="CY31" s="6291"/>
      <c r="CZ31" s="2505">
        <f t="shared" si="27"/>
        <v>0</v>
      </c>
      <c r="DB31" s="4439"/>
      <c r="DC31" s="4439"/>
      <c r="DF31" s="4439"/>
      <c r="DG31" s="4439"/>
    </row>
    <row r="32" spans="1:111" ht="16.3" customHeight="1" x14ac:dyDescent="0.45">
      <c r="A32" s="6153"/>
      <c r="C32" s="2884"/>
      <c r="D32" s="2884" t="s">
        <v>109</v>
      </c>
      <c r="E32" s="2884" t="s">
        <v>1213</v>
      </c>
      <c r="F32" s="6355">
        <v>0.75039630999999996</v>
      </c>
      <c r="G32" s="6356">
        <v>0.70240427000000005</v>
      </c>
      <c r="H32" s="6356">
        <v>0.67715013999999996</v>
      </c>
      <c r="I32" s="6356">
        <v>0.71141728999999998</v>
      </c>
      <c r="J32" s="6356">
        <v>0.71719927000000006</v>
      </c>
      <c r="K32" s="6356">
        <v>0.72171653000000002</v>
      </c>
      <c r="L32" s="6356">
        <v>0.72252894000000001</v>
      </c>
      <c r="M32" s="6356">
        <v>0.67832362999999996</v>
      </c>
      <c r="N32" s="6356">
        <v>0.68035809000000003</v>
      </c>
      <c r="O32" s="6356">
        <v>0.65314771999999999</v>
      </c>
      <c r="P32" s="6356">
        <v>0.63587112000000001</v>
      </c>
      <c r="Q32" s="6357">
        <v>0.6</v>
      </c>
      <c r="R32" s="6356">
        <v>0.63430847999999995</v>
      </c>
      <c r="S32" s="6356">
        <v>0.69238188000000001</v>
      </c>
      <c r="T32" s="6356">
        <v>0.67038286999999996</v>
      </c>
      <c r="U32" s="6356">
        <v>0.95676457000000004</v>
      </c>
      <c r="V32" s="6356">
        <v>0.59000193999999995</v>
      </c>
      <c r="W32" s="6356">
        <v>0.63244184999999997</v>
      </c>
      <c r="X32" s="6356">
        <v>0.63892992000000004</v>
      </c>
      <c r="Y32" s="6356">
        <v>0.62649979</v>
      </c>
      <c r="Z32" s="6356">
        <v>0.59313702999999995</v>
      </c>
      <c r="AA32" s="6356">
        <v>0.59049806000000005</v>
      </c>
      <c r="AB32" s="6356">
        <v>0.58983945999999998</v>
      </c>
      <c r="AC32" s="6356">
        <v>0.63162516000000002</v>
      </c>
      <c r="AD32" s="6312">
        <v>0.60857249000000002</v>
      </c>
      <c r="AE32" s="6313">
        <v>0.55560361999999996</v>
      </c>
      <c r="AF32" s="6313">
        <v>0.57832629000000002</v>
      </c>
      <c r="AG32" s="6313">
        <v>0.76406870000000005</v>
      </c>
      <c r="AH32" s="6313">
        <v>0.77330588</v>
      </c>
      <c r="AI32" s="6313">
        <v>0.75535163999999999</v>
      </c>
      <c r="AJ32" s="6313">
        <v>0.76877136000000001</v>
      </c>
      <c r="AK32" s="6313">
        <v>0.77995281000000005</v>
      </c>
      <c r="AL32" s="6313">
        <v>0.73066151000000001</v>
      </c>
      <c r="AM32" s="6313">
        <v>0.72061025000000001</v>
      </c>
      <c r="AN32" s="6313">
        <v>0.72683315999999998</v>
      </c>
      <c r="AO32" s="6313">
        <v>0.84091362999999997</v>
      </c>
      <c r="AP32" s="6314"/>
      <c r="AQ32" s="6348">
        <v>0.69246335999999997</v>
      </c>
      <c r="AR32" s="6315">
        <v>0.73521293999999993</v>
      </c>
      <c r="AS32" s="6315">
        <v>0.74165734999999999</v>
      </c>
      <c r="AT32" s="6315">
        <v>0.64946560000000009</v>
      </c>
      <c r="AU32" s="6315">
        <v>0.68373459999999997</v>
      </c>
      <c r="AV32" s="6315">
        <v>0.70764137000000005</v>
      </c>
      <c r="AW32" s="6315">
        <v>0.7130357100000001</v>
      </c>
      <c r="AX32" s="6315">
        <v>0.75867724999999997</v>
      </c>
      <c r="AY32" s="6315">
        <v>0.63747105999999998</v>
      </c>
      <c r="AZ32" s="6315">
        <v>0.71637870000000003</v>
      </c>
      <c r="BA32" s="6315">
        <v>0.68336764000000005</v>
      </c>
      <c r="BB32" s="6315">
        <v>0.62569349000000007</v>
      </c>
      <c r="BC32" s="6316">
        <v>8.3447990700000005</v>
      </c>
      <c r="BD32" s="2877">
        <v>0.69062104000000002</v>
      </c>
      <c r="BE32" s="2877">
        <v>0.67475181000000006</v>
      </c>
      <c r="BF32" s="2877">
        <v>0.65596743000000002</v>
      </c>
      <c r="BG32" s="2877">
        <v>0.66106860999999995</v>
      </c>
      <c r="BH32" s="2877">
        <v>0.66754687999999995</v>
      </c>
      <c r="BI32" s="2877">
        <v>0.64455618000000003</v>
      </c>
      <c r="BJ32" s="2877">
        <v>0.70951200000000003</v>
      </c>
      <c r="BK32" s="2877">
        <v>0.70516719999999999</v>
      </c>
      <c r="BL32" s="2877">
        <v>0.62985632999999996</v>
      </c>
      <c r="BM32" s="2877">
        <v>0.65229932000000002</v>
      </c>
      <c r="BN32" s="2877">
        <v>0.63941378000000004</v>
      </c>
      <c r="BO32" s="2877">
        <v>0.61422584999999996</v>
      </c>
      <c r="BP32" s="6317">
        <v>7.9449864300000002</v>
      </c>
      <c r="BQ32" s="6321">
        <v>0.58253186999999995</v>
      </c>
      <c r="BR32" s="6319">
        <v>0.66603878000000005</v>
      </c>
      <c r="BS32" s="6319">
        <v>0.63645967999999997</v>
      </c>
      <c r="BT32" s="6321">
        <v>0.59906740999999997</v>
      </c>
      <c r="BU32" s="6321">
        <v>0.69777632999999994</v>
      </c>
      <c r="BV32" s="6321">
        <v>0.75951674000000002</v>
      </c>
      <c r="BW32" s="6319">
        <v>0.68965745000000001</v>
      </c>
      <c r="BX32" s="6319">
        <v>0.71409785000000003</v>
      </c>
      <c r="BY32" s="6319">
        <v>1.3731127999999999</v>
      </c>
      <c r="BZ32" s="6319">
        <v>0.67433715000000005</v>
      </c>
      <c r="CA32" s="6319">
        <v>0.88575873999999999</v>
      </c>
      <c r="CB32" s="6319">
        <v>0.90341731000000003</v>
      </c>
      <c r="CC32" s="6286"/>
      <c r="CD32" s="2808"/>
      <c r="CE32" s="6322">
        <f t="shared" si="12"/>
        <v>1.765857000000004E-2</v>
      </c>
      <c r="CF32" s="6323">
        <f t="shared" si="14"/>
        <v>0.28919146000000007</v>
      </c>
      <c r="CG32" s="6323"/>
      <c r="CH32" s="6349">
        <f t="shared" si="13"/>
        <v>9.1817721099999989</v>
      </c>
      <c r="CI32" s="6350"/>
      <c r="CJ32" s="6326"/>
      <c r="CK32" s="6323">
        <f t="shared" si="6"/>
        <v>1.2367856799999988</v>
      </c>
      <c r="CL32" s="5138"/>
      <c r="CM32" s="2488" t="str">
        <f t="shared" si="40"/>
        <v>매장성수수료</v>
      </c>
      <c r="CN32" s="6291"/>
      <c r="CO32" s="6291"/>
      <c r="CP32" s="6291"/>
      <c r="CQ32" s="6291"/>
      <c r="CR32" s="6291"/>
      <c r="CS32" s="6291"/>
      <c r="CT32" s="6291"/>
      <c r="CU32" s="6291"/>
      <c r="CV32" s="6291"/>
      <c r="CW32" s="6291"/>
      <c r="CX32" s="6291"/>
      <c r="CY32" s="6291"/>
      <c r="CZ32" s="2505">
        <f t="shared" si="27"/>
        <v>0</v>
      </c>
      <c r="DB32" s="4439"/>
      <c r="DC32" s="4439"/>
      <c r="DF32" s="4439"/>
      <c r="DG32" s="4439"/>
    </row>
    <row r="33" spans="1:111" ht="16.3" customHeight="1" thickBot="1" x14ac:dyDescent="0.5">
      <c r="A33" s="6153"/>
      <c r="C33" s="6358"/>
      <c r="D33" s="6358" t="s">
        <v>795</v>
      </c>
      <c r="E33" s="6358" t="s">
        <v>796</v>
      </c>
      <c r="F33" s="6359">
        <v>4.7003716000000004</v>
      </c>
      <c r="G33" s="6360">
        <v>4.6203696000000001</v>
      </c>
      <c r="H33" s="6360">
        <v>4.6902328500000001</v>
      </c>
      <c r="I33" s="6360">
        <v>4.2771339399999997</v>
      </c>
      <c r="J33" s="6360">
        <v>4.5409584000000001</v>
      </c>
      <c r="K33" s="6360">
        <v>4.4688984700000001</v>
      </c>
      <c r="L33" s="6360">
        <v>4.4039226200000003</v>
      </c>
      <c r="M33" s="6360">
        <v>6.8490849799999998</v>
      </c>
      <c r="N33" s="6360">
        <v>6.8222368500000004</v>
      </c>
      <c r="O33" s="6360">
        <v>6.9177349599999998</v>
      </c>
      <c r="P33" s="6360">
        <v>6.74168229</v>
      </c>
      <c r="Q33" s="6361">
        <v>6.8</v>
      </c>
      <c r="R33" s="6360">
        <v>6.7307910899999994</v>
      </c>
      <c r="S33" s="6360">
        <v>6.5015509199999997</v>
      </c>
      <c r="T33" s="6360">
        <v>7.18170822</v>
      </c>
      <c r="U33" s="6360">
        <v>6.9045870199999992</v>
      </c>
      <c r="V33" s="6360">
        <v>6.9987255999999993</v>
      </c>
      <c r="W33" s="6360">
        <v>7.0713477000000005</v>
      </c>
      <c r="X33" s="6360">
        <v>7.0893752699999997</v>
      </c>
      <c r="Y33" s="6360">
        <v>7.3131808400000002</v>
      </c>
      <c r="Z33" s="6360">
        <v>7.1419120500000002</v>
      </c>
      <c r="AA33" s="6360">
        <v>7.3263247099999997</v>
      </c>
      <c r="AB33" s="6360">
        <v>5.9666941399999995</v>
      </c>
      <c r="AC33" s="6360">
        <v>7.5175296600000001</v>
      </c>
      <c r="AD33" s="6362">
        <v>7.5799954200000004</v>
      </c>
      <c r="AE33" s="6363">
        <v>7.5722367500000001</v>
      </c>
      <c r="AF33" s="6363">
        <v>7.7862670300000003</v>
      </c>
      <c r="AG33" s="6363">
        <v>7.7226681700000004</v>
      </c>
      <c r="AH33" s="6363">
        <v>7.8658371699999998</v>
      </c>
      <c r="AI33" s="6363">
        <v>7.9226677099999998</v>
      </c>
      <c r="AJ33" s="6363">
        <v>8.1994098900000001</v>
      </c>
      <c r="AK33" s="6363">
        <v>8.3415128499999991</v>
      </c>
      <c r="AL33" s="6363">
        <v>8.2962254699999995</v>
      </c>
      <c r="AM33" s="6363">
        <v>8.7071392400000001</v>
      </c>
      <c r="AN33" s="6363">
        <v>7.1787304599999997</v>
      </c>
      <c r="AO33" s="6363">
        <v>8.8320983300000009</v>
      </c>
      <c r="AP33" s="6364"/>
      <c r="AQ33" s="6365">
        <v>7.5021497999999998</v>
      </c>
      <c r="AR33" s="6366">
        <v>7.3366039799999996</v>
      </c>
      <c r="AS33" s="6366">
        <v>7.4152542300000004</v>
      </c>
      <c r="AT33" s="6366">
        <v>7.1958822699999994</v>
      </c>
      <c r="AU33" s="6366">
        <v>7.4571492900000003</v>
      </c>
      <c r="AV33" s="6366">
        <v>7.4571492900000003</v>
      </c>
      <c r="AW33" s="6366">
        <v>7.0949483899999999</v>
      </c>
      <c r="AX33" s="6366">
        <v>7.0707395699999998</v>
      </c>
      <c r="AY33" s="6366">
        <v>6.9190742800000002</v>
      </c>
      <c r="AZ33" s="6366">
        <v>7.3750379199999996</v>
      </c>
      <c r="BA33" s="6366">
        <v>6.7795677999999997</v>
      </c>
      <c r="BB33" s="6366">
        <v>6.9597471599999992</v>
      </c>
      <c r="BC33" s="6367">
        <v>86.563303980000001</v>
      </c>
      <c r="BD33" s="2952">
        <v>6.9424120200000008</v>
      </c>
      <c r="BE33" s="2952">
        <v>7.3289995000000001</v>
      </c>
      <c r="BF33" s="2952">
        <v>7.3490694900000006</v>
      </c>
      <c r="BG33" s="2952">
        <v>7.3918176500000001</v>
      </c>
      <c r="BH33" s="2952">
        <v>7.3868889199999996</v>
      </c>
      <c r="BI33" s="2952">
        <v>7.3146807799999998</v>
      </c>
      <c r="BJ33" s="2952">
        <v>7.6354254900000003</v>
      </c>
      <c r="BK33" s="2952">
        <v>7.4</v>
      </c>
      <c r="BL33" s="2952">
        <v>7.6538857499999997</v>
      </c>
      <c r="BM33" s="2952">
        <v>7.86863885</v>
      </c>
      <c r="BN33" s="2952">
        <v>7.6142395199999999</v>
      </c>
      <c r="BO33" s="2952">
        <v>7.9371260499999998</v>
      </c>
      <c r="BP33" s="6368">
        <v>89.823184019999999</v>
      </c>
      <c r="BQ33" s="6369">
        <v>7.9371260499999998</v>
      </c>
      <c r="BR33" s="6370">
        <v>7.97160958</v>
      </c>
      <c r="BS33" s="6370">
        <v>7.4216384199999998</v>
      </c>
      <c r="BT33" s="6369">
        <v>7.6414246700000001</v>
      </c>
      <c r="BU33" s="6369">
        <v>7.6228569999999998</v>
      </c>
      <c r="BV33" s="6369">
        <v>7.7721819999999999</v>
      </c>
      <c r="BW33" s="6370">
        <v>7.4912716799999997</v>
      </c>
      <c r="BX33" s="6370">
        <v>6.6766701099999999</v>
      </c>
      <c r="BY33" s="6370">
        <v>6.9272734199999997</v>
      </c>
      <c r="BZ33" s="6370">
        <v>0.22333058</v>
      </c>
      <c r="CA33" s="6370">
        <v>6.8727279599999997</v>
      </c>
      <c r="CB33" s="6370">
        <v>6.8454552299999998</v>
      </c>
      <c r="CC33" s="6371"/>
      <c r="CD33" s="6372"/>
      <c r="CE33" s="6373">
        <f t="shared" si="12"/>
        <v>-2.7272729999999967E-2</v>
      </c>
      <c r="CF33" s="6374">
        <f t="shared" si="14"/>
        <v>-1.09167082</v>
      </c>
      <c r="CG33" s="6374"/>
      <c r="CH33" s="6375">
        <f t="shared" si="13"/>
        <v>81.403566699999999</v>
      </c>
      <c r="CI33" s="6376"/>
      <c r="CJ33" s="6377"/>
      <c r="CK33" s="6374">
        <f t="shared" si="6"/>
        <v>-8.4196173200000004</v>
      </c>
      <c r="CL33" s="5138"/>
      <c r="CM33" s="2488" t="str">
        <f t="shared" si="40"/>
        <v>프라자3.0</v>
      </c>
      <c r="CN33" s="6291"/>
      <c r="CO33" s="6291"/>
      <c r="CP33" s="6291"/>
      <c r="CQ33" s="6291"/>
      <c r="CR33" s="6291"/>
      <c r="CS33" s="6291"/>
      <c r="CT33" s="6291"/>
      <c r="CU33" s="6291"/>
      <c r="CV33" s="6291"/>
      <c r="CW33" s="6291"/>
      <c r="CX33" s="6291"/>
      <c r="CY33" s="6291"/>
      <c r="CZ33" s="2505">
        <f t="shared" si="27"/>
        <v>0</v>
      </c>
      <c r="DB33" s="4439"/>
      <c r="DC33" s="4439"/>
      <c r="DF33" s="4439"/>
      <c r="DG33" s="4439"/>
    </row>
    <row r="34" spans="1:111" ht="16.3" customHeight="1" x14ac:dyDescent="0.45">
      <c r="A34" s="6153"/>
      <c r="C34" s="2940" t="s">
        <v>797</v>
      </c>
      <c r="D34" s="2884" t="s">
        <v>424</v>
      </c>
      <c r="E34" s="2885" t="s">
        <v>1168</v>
      </c>
      <c r="F34" s="6355"/>
      <c r="G34" s="6356"/>
      <c r="H34" s="6356"/>
      <c r="I34" s="6356"/>
      <c r="J34" s="6356"/>
      <c r="K34" s="6356"/>
      <c r="L34" s="6356"/>
      <c r="M34" s="6356"/>
      <c r="N34" s="6356"/>
      <c r="O34" s="6356"/>
      <c r="P34" s="6356"/>
      <c r="Q34" s="6357"/>
      <c r="R34" s="6356"/>
      <c r="S34" s="6356"/>
      <c r="T34" s="6356"/>
      <c r="U34" s="6356"/>
      <c r="V34" s="6356"/>
      <c r="W34" s="6356"/>
      <c r="X34" s="6356"/>
      <c r="Y34" s="6356"/>
      <c r="Z34" s="6356"/>
      <c r="AA34" s="6356"/>
      <c r="AB34" s="6356"/>
      <c r="AC34" s="6356"/>
      <c r="AD34" s="6312"/>
      <c r="AE34" s="6313"/>
      <c r="AF34" s="6313"/>
      <c r="AG34" s="6313"/>
      <c r="AH34" s="6313"/>
      <c r="AI34" s="6313"/>
      <c r="AJ34" s="6313"/>
      <c r="AK34" s="6313"/>
      <c r="AL34" s="6313"/>
      <c r="AM34" s="6313"/>
      <c r="AN34" s="6313"/>
      <c r="AO34" s="6313"/>
      <c r="AP34" s="6314"/>
      <c r="AQ34" s="6348">
        <f t="shared" ref="AQ34:BA34" si="46">AQ109+AQ32</f>
        <v>24.157487098822198</v>
      </c>
      <c r="AR34" s="6315">
        <f t="shared" si="46"/>
        <v>25.568396033472702</v>
      </c>
      <c r="AS34" s="6315">
        <f t="shared" si="46"/>
        <v>26.495891773613302</v>
      </c>
      <c r="AT34" s="6315">
        <f t="shared" si="46"/>
        <v>25.876094105092101</v>
      </c>
      <c r="AU34" s="6315">
        <f t="shared" si="46"/>
        <v>26.402348693600004</v>
      </c>
      <c r="AV34" s="6315">
        <f t="shared" si="46"/>
        <v>25.661230335385401</v>
      </c>
      <c r="AW34" s="6315">
        <f t="shared" si="46"/>
        <v>26.877775132511299</v>
      </c>
      <c r="AX34" s="6315">
        <f t="shared" si="46"/>
        <v>27.447558908241426</v>
      </c>
      <c r="AY34" s="6315">
        <f t="shared" si="46"/>
        <v>27.124463037000798</v>
      </c>
      <c r="AZ34" s="6315">
        <f t="shared" si="46"/>
        <v>27.995904443142301</v>
      </c>
      <c r="BA34" s="6315">
        <f t="shared" si="46"/>
        <v>27.797599489413301</v>
      </c>
      <c r="BB34" s="6315">
        <v>27.3766725722428</v>
      </c>
      <c r="BC34" s="6316">
        <f>SUM(AQ34:BB34)</f>
        <v>318.78142162253761</v>
      </c>
      <c r="BD34" s="2877">
        <f t="shared" ref="BD34:BN34" si="47">BD109+BD32</f>
        <v>27.734043700047497</v>
      </c>
      <c r="BE34" s="2877">
        <f t="shared" si="47"/>
        <v>28.1183914827465</v>
      </c>
      <c r="BF34" s="2877">
        <f t="shared" si="47"/>
        <v>27.531077728693315</v>
      </c>
      <c r="BG34" s="2877">
        <f t="shared" si="47"/>
        <v>27.795423650078202</v>
      </c>
      <c r="BH34" s="2877">
        <f t="shared" si="47"/>
        <v>27.498891871859335</v>
      </c>
      <c r="BI34" s="2877">
        <f t="shared" si="47"/>
        <v>27.729110769279732</v>
      </c>
      <c r="BJ34" s="2877">
        <f t="shared" si="47"/>
        <v>27.664939634607325</v>
      </c>
      <c r="BK34" s="2877">
        <f t="shared" si="47"/>
        <v>27.504843982396871</v>
      </c>
      <c r="BL34" s="2877">
        <f t="shared" si="47"/>
        <v>27.526153916993792</v>
      </c>
      <c r="BM34" s="2877">
        <f t="shared" si="47"/>
        <v>27.254276487736313</v>
      </c>
      <c r="BN34" s="2877">
        <f t="shared" si="47"/>
        <v>27.008654753480602</v>
      </c>
      <c r="BO34" s="2877">
        <f>BO109+BO32</f>
        <v>26.608953640300662</v>
      </c>
      <c r="BP34" s="6317">
        <v>322.02977518822013</v>
      </c>
      <c r="BQ34" s="6354">
        <v>24.447654166317502</v>
      </c>
      <c r="BR34" s="6319">
        <v>25.343578776805501</v>
      </c>
      <c r="BS34" s="6319">
        <f>BS109+BS100</f>
        <v>25.657675074807802</v>
      </c>
      <c r="BT34" s="6319">
        <f>BT109+BT100</f>
        <v>24.383281744525071</v>
      </c>
      <c r="BU34" s="6319">
        <f>BU109+BU100</f>
        <v>24.233099849002187</v>
      </c>
      <c r="BV34" s="6319">
        <f>BV109+BV100</f>
        <v>24.855322338433893</v>
      </c>
      <c r="BW34" s="6319">
        <f>BW109+BW100</f>
        <v>26.207974570805973</v>
      </c>
      <c r="BX34" s="6319">
        <v>24.532887888018397</v>
      </c>
      <c r="BY34" s="6319">
        <v>24.6919041594325</v>
      </c>
      <c r="BZ34" s="6319">
        <v>24.472204628218499</v>
      </c>
      <c r="CA34" s="6319">
        <v>24.593802922222</v>
      </c>
      <c r="CB34" s="6319">
        <v>24.545370561558901</v>
      </c>
      <c r="CC34" s="6286"/>
      <c r="CD34" s="2808"/>
      <c r="CE34" s="6322">
        <f t="shared" si="12"/>
        <v>-4.8432360663099416E-2</v>
      </c>
      <c r="CF34" s="6323">
        <f t="shared" si="14"/>
        <v>-2.0635830787417611</v>
      </c>
      <c r="CG34" s="6323"/>
      <c r="CH34" s="6349">
        <f t="shared" si="13"/>
        <v>297.96475668014824</v>
      </c>
      <c r="CI34" s="6350"/>
      <c r="CJ34" s="6326"/>
      <c r="CK34" s="6323">
        <f t="shared" si="6"/>
        <v>-32.010004938071916</v>
      </c>
      <c r="CL34" s="5138"/>
      <c r="CM34" s="2488" t="str">
        <f t="shared" si="40"/>
        <v>소매</v>
      </c>
      <c r="CN34" s="6291"/>
      <c r="CO34" s="6291"/>
      <c r="CP34" s="6291"/>
      <c r="CQ34" s="6291"/>
      <c r="CR34" s="6291"/>
      <c r="CS34" s="6291"/>
      <c r="CT34" s="6291"/>
      <c r="CU34" s="6291"/>
      <c r="CV34" s="6291"/>
      <c r="CW34" s="6291"/>
      <c r="CX34" s="6291"/>
      <c r="CY34" s="6291"/>
      <c r="CZ34" s="2505">
        <f t="shared" si="27"/>
        <v>0</v>
      </c>
      <c r="DB34" s="4439"/>
      <c r="DC34" s="4439"/>
      <c r="DF34" s="4439"/>
      <c r="DG34" s="4439"/>
    </row>
    <row r="35" spans="1:111" ht="16.3" customHeight="1" x14ac:dyDescent="0.45">
      <c r="A35" s="6153"/>
      <c r="C35" s="2884"/>
      <c r="D35" s="2884" t="s">
        <v>426</v>
      </c>
      <c r="E35" s="2884"/>
      <c r="F35" s="6355"/>
      <c r="G35" s="6356"/>
      <c r="H35" s="6356"/>
      <c r="I35" s="6356"/>
      <c r="J35" s="6356"/>
      <c r="K35" s="6356"/>
      <c r="L35" s="6356"/>
      <c r="M35" s="6356"/>
      <c r="N35" s="6356"/>
      <c r="O35" s="6356"/>
      <c r="P35" s="6356"/>
      <c r="Q35" s="6357"/>
      <c r="R35" s="6356"/>
      <c r="S35" s="6356"/>
      <c r="T35" s="6356"/>
      <c r="U35" s="6356"/>
      <c r="V35" s="6356"/>
      <c r="W35" s="6356"/>
      <c r="X35" s="6356"/>
      <c r="Y35" s="6356"/>
      <c r="Z35" s="6356"/>
      <c r="AA35" s="6356"/>
      <c r="AB35" s="6356"/>
      <c r="AC35" s="6356"/>
      <c r="AD35" s="6312"/>
      <c r="AE35" s="6313"/>
      <c r="AF35" s="6313"/>
      <c r="AG35" s="6313"/>
      <c r="AH35" s="6313"/>
      <c r="AI35" s="6313"/>
      <c r="AJ35" s="6313"/>
      <c r="AK35" s="6313"/>
      <c r="AL35" s="6313"/>
      <c r="AM35" s="6313"/>
      <c r="AN35" s="6313"/>
      <c r="AO35" s="6313"/>
      <c r="AP35" s="6314"/>
      <c r="AQ35" s="6348">
        <v>14.614718331177802</v>
      </c>
      <c r="AR35" s="6315">
        <v>14.209055806527299</v>
      </c>
      <c r="AS35" s="6315">
        <v>14.780465866386699</v>
      </c>
      <c r="AT35" s="6315">
        <v>14.649513024907899</v>
      </c>
      <c r="AU35" s="6315">
        <v>14.581835706400001</v>
      </c>
      <c r="AV35" s="6315">
        <v>14.243939044614601</v>
      </c>
      <c r="AW35" s="6315">
        <v>14.415164137488699</v>
      </c>
      <c r="AX35" s="6315">
        <v>14.217451471758601</v>
      </c>
      <c r="AY35" s="6315">
        <v>13.834609112999201</v>
      </c>
      <c r="AZ35" s="6315">
        <v>13.867733926857703</v>
      </c>
      <c r="BA35" s="6315">
        <v>13.5456691405867</v>
      </c>
      <c r="BB35" s="6315">
        <v>13.4163222777572</v>
      </c>
      <c r="BC35" s="6316">
        <f>SUM(AQ35:BB35)</f>
        <v>170.37647784746241</v>
      </c>
      <c r="BD35" s="2877">
        <f>BD127</f>
        <v>13.062488629952499</v>
      </c>
      <c r="BE35" s="2877">
        <f t="shared" ref="BE35:BM35" si="48">BE127</f>
        <v>12.592116266194401</v>
      </c>
      <c r="BF35" s="2877">
        <f t="shared" si="48"/>
        <v>12.397129716687598</v>
      </c>
      <c r="BG35" s="2877">
        <f t="shared" si="48"/>
        <v>12.070754440830701</v>
      </c>
      <c r="BH35" s="2877">
        <f t="shared" si="48"/>
        <v>11.645300551936613</v>
      </c>
      <c r="BI35" s="2877">
        <f t="shared" si="48"/>
        <v>11.27059863287119</v>
      </c>
      <c r="BJ35" s="2877">
        <f t="shared" si="48"/>
        <v>11.114054631143121</v>
      </c>
      <c r="BK35" s="2877">
        <f t="shared" si="48"/>
        <v>10.797321287603133</v>
      </c>
      <c r="BL35" s="2877">
        <f t="shared" si="48"/>
        <v>10.567151913006208</v>
      </c>
      <c r="BM35" s="2877">
        <f t="shared" si="48"/>
        <v>10.355958002263687</v>
      </c>
      <c r="BN35" s="2877">
        <f>BN127</f>
        <v>9.9233191365193996</v>
      </c>
      <c r="BO35" s="2877">
        <f>BO127</f>
        <v>9.625676759699342</v>
      </c>
      <c r="BP35" s="6317">
        <v>135.42186996870788</v>
      </c>
      <c r="BQ35" s="6321">
        <v>9.0666553336824993</v>
      </c>
      <c r="BR35" s="6319">
        <v>9.0830929431945204</v>
      </c>
      <c r="BS35" s="6319">
        <v>8.5529125751921757</v>
      </c>
      <c r="BT35" s="6321">
        <v>8.0079655054749317</v>
      </c>
      <c r="BU35" s="6321">
        <v>7.6013216409978055</v>
      </c>
      <c r="BV35" s="6321">
        <v>11.278029041566105</v>
      </c>
      <c r="BW35" s="6319">
        <v>9.4702209891940257</v>
      </c>
      <c r="BX35" s="6319">
        <v>9.1587074919815805</v>
      </c>
      <c r="BY35" s="6319">
        <v>9.0471217205674606</v>
      </c>
      <c r="BZ35" s="6319">
        <v>8.9171924917815204</v>
      </c>
      <c r="CA35" s="6319">
        <v>8.8098991677780099</v>
      </c>
      <c r="CB35" s="6319">
        <v>8.7081341384411317</v>
      </c>
      <c r="CC35" s="6286"/>
      <c r="CD35" s="2808"/>
      <c r="CE35" s="6322">
        <f t="shared" si="12"/>
        <v>-0.10176502933687814</v>
      </c>
      <c r="CF35" s="6323">
        <f t="shared" si="14"/>
        <v>-0.91754262125821029</v>
      </c>
      <c r="CG35" s="6323"/>
      <c r="CH35" s="6349">
        <f t="shared" si="13"/>
        <v>107.70125303985176</v>
      </c>
      <c r="CI35" s="6350"/>
      <c r="CJ35" s="6326"/>
      <c r="CK35" s="6323">
        <f t="shared" si="6"/>
        <v>-27.720616928856117</v>
      </c>
      <c r="CL35" s="5138"/>
      <c r="CM35" s="2488" t="str">
        <f t="shared" si="40"/>
        <v>도매</v>
      </c>
      <c r="CN35" s="6291"/>
      <c r="CO35" s="6291"/>
      <c r="CP35" s="6291"/>
      <c r="CQ35" s="6291"/>
      <c r="CR35" s="6291"/>
      <c r="CS35" s="6291"/>
      <c r="CT35" s="6291"/>
      <c r="CU35" s="6291"/>
      <c r="CV35" s="6291"/>
      <c r="CW35" s="6291"/>
      <c r="CX35" s="6291"/>
      <c r="CY35" s="6291"/>
      <c r="CZ35" s="2505">
        <f t="shared" si="27"/>
        <v>0</v>
      </c>
      <c r="DB35" s="4439"/>
      <c r="DC35" s="4439"/>
      <c r="DF35" s="4439"/>
      <c r="DG35" s="4439"/>
    </row>
    <row r="36" spans="1:111" ht="16.3" customHeight="1" x14ac:dyDescent="0.45">
      <c r="A36" s="6153"/>
      <c r="C36" s="2884"/>
      <c r="D36" s="2884" t="s">
        <v>948</v>
      </c>
      <c r="E36" s="2884"/>
      <c r="F36" s="6355"/>
      <c r="G36" s="6356"/>
      <c r="H36" s="6356"/>
      <c r="I36" s="6356"/>
      <c r="J36" s="6356"/>
      <c r="K36" s="6356"/>
      <c r="L36" s="6356"/>
      <c r="M36" s="6356"/>
      <c r="N36" s="6356"/>
      <c r="O36" s="6356"/>
      <c r="P36" s="6356"/>
      <c r="Q36" s="6357"/>
      <c r="R36" s="6356"/>
      <c r="S36" s="6356"/>
      <c r="T36" s="6356"/>
      <c r="U36" s="6356"/>
      <c r="V36" s="6356"/>
      <c r="W36" s="6356"/>
      <c r="X36" s="6356"/>
      <c r="Y36" s="6356"/>
      <c r="Z36" s="6356"/>
      <c r="AA36" s="6356"/>
      <c r="AB36" s="6356"/>
      <c r="AC36" s="6356"/>
      <c r="AD36" s="6312"/>
      <c r="AE36" s="6313"/>
      <c r="AF36" s="6313"/>
      <c r="AG36" s="6313"/>
      <c r="AH36" s="6313"/>
      <c r="AI36" s="6313"/>
      <c r="AJ36" s="6313"/>
      <c r="AK36" s="6313"/>
      <c r="AL36" s="6313"/>
      <c r="AM36" s="6313"/>
      <c r="AN36" s="6313"/>
      <c r="AO36" s="6313"/>
      <c r="AP36" s="6314"/>
      <c r="AQ36" s="6348">
        <v>5.7071177100000003</v>
      </c>
      <c r="AR36" s="6315">
        <v>5.7489088400000004</v>
      </c>
      <c r="AS36" s="6315">
        <v>5.8226918300000001</v>
      </c>
      <c r="AT36" s="6315">
        <v>5.7612517900000002</v>
      </c>
      <c r="AU36" s="6315">
        <v>5.7821658400000002</v>
      </c>
      <c r="AV36" s="6315">
        <v>5.5630937300000003</v>
      </c>
      <c r="AW36" s="6315">
        <v>5.88801738</v>
      </c>
      <c r="AX36" s="6315">
        <v>5.9146264300000011</v>
      </c>
      <c r="AY36" s="6315">
        <v>5.8894420300000005</v>
      </c>
      <c r="AZ36" s="6315">
        <v>5.9852158600000003</v>
      </c>
      <c r="BA36" s="6315">
        <v>5.9909112700000007</v>
      </c>
      <c r="BB36" s="6315">
        <v>6.0235367699999998</v>
      </c>
      <c r="BC36" s="6316">
        <f>SUM(AQ36:BB36)</f>
        <v>70.076979480000006</v>
      </c>
      <c r="BD36" s="2877">
        <f>BD136</f>
        <v>5.9703263399999997</v>
      </c>
      <c r="BE36" s="2877">
        <f t="shared" ref="BE36:BM36" si="49">BE136</f>
        <v>5.6551406399999999</v>
      </c>
      <c r="BF36" s="2877">
        <f t="shared" si="49"/>
        <v>5.8670983000000003</v>
      </c>
      <c r="BG36" s="2877">
        <f t="shared" si="49"/>
        <v>5.8223608699999998</v>
      </c>
      <c r="BH36" s="2877">
        <f>BH136</f>
        <v>5.7668647799999997</v>
      </c>
      <c r="BI36" s="2877">
        <f t="shared" si="49"/>
        <v>5.7274192199999998</v>
      </c>
      <c r="BJ36" s="2877">
        <f t="shared" si="49"/>
        <v>5.7640095899999997</v>
      </c>
      <c r="BK36" s="2877">
        <f t="shared" si="49"/>
        <v>5.7255819199999998</v>
      </c>
      <c r="BL36" s="2877">
        <f t="shared" si="49"/>
        <v>5.6775775199999998</v>
      </c>
      <c r="BM36" s="2877">
        <f t="shared" si="49"/>
        <v>5.6784659599999996</v>
      </c>
      <c r="BN36" s="2877">
        <f>BN136</f>
        <v>5.5838229100000003</v>
      </c>
      <c r="BO36" s="2877">
        <f>BO136</f>
        <v>5.4971771900000004</v>
      </c>
      <c r="BP36" s="6317">
        <v>68.735845239999989</v>
      </c>
      <c r="BQ36" s="6321">
        <v>5.2481265800000001</v>
      </c>
      <c r="BR36" s="6319">
        <v>5.3671953700000001</v>
      </c>
      <c r="BS36" s="6319">
        <v>5.1954725700000006</v>
      </c>
      <c r="BT36" s="6321">
        <v>5.0662480399999996</v>
      </c>
      <c r="BU36" s="6321">
        <v>4.9718197100000001</v>
      </c>
      <c r="BV36" s="6321">
        <v>5.0249524000000001</v>
      </c>
      <c r="BW36" s="6319">
        <v>5.0402239</v>
      </c>
      <c r="BX36" s="6319">
        <v>5.0574361099999994</v>
      </c>
      <c r="BY36" s="6319">
        <v>4.9543201099999994</v>
      </c>
      <c r="BZ36" s="6319">
        <v>4.8782752499999997</v>
      </c>
      <c r="CA36" s="6319">
        <v>4.68329182</v>
      </c>
      <c r="CB36" s="6319">
        <v>4.6386204600000003</v>
      </c>
      <c r="CC36" s="6286"/>
      <c r="CD36" s="2808"/>
      <c r="CE36" s="6322">
        <f t="shared" si="12"/>
        <v>-4.4671359999999716E-2</v>
      </c>
      <c r="CF36" s="6323">
        <f t="shared" si="14"/>
        <v>-0.8585567300000001</v>
      </c>
      <c r="CG36" s="6323"/>
      <c r="CH36" s="6349">
        <f t="shared" si="13"/>
        <v>60.125982319999991</v>
      </c>
      <c r="CI36" s="6350"/>
      <c r="CJ36" s="6326"/>
      <c r="CK36" s="6323">
        <f t="shared" si="6"/>
        <v>-8.6098629199999976</v>
      </c>
      <c r="CL36" s="5138"/>
      <c r="CM36" s="2488" t="str">
        <f t="shared" si="40"/>
        <v>디지털</v>
      </c>
      <c r="CN36" s="6291"/>
      <c r="CO36" s="6291"/>
      <c r="CP36" s="6291"/>
      <c r="CQ36" s="6291"/>
      <c r="CR36" s="6291"/>
      <c r="CS36" s="6291"/>
      <c r="CT36" s="6291"/>
      <c r="CU36" s="6291"/>
      <c r="CV36" s="6291"/>
      <c r="CW36" s="6291"/>
      <c r="CX36" s="6291"/>
      <c r="CY36" s="6291"/>
      <c r="CZ36" s="2505">
        <f t="shared" si="27"/>
        <v>0</v>
      </c>
      <c r="DB36" s="4439"/>
      <c r="DC36" s="4439"/>
      <c r="DF36" s="4439"/>
      <c r="DG36" s="4439"/>
    </row>
    <row r="37" spans="1:111" ht="16.3" customHeight="1" thickBot="1" x14ac:dyDescent="0.6">
      <c r="A37" s="6153"/>
      <c r="C37" s="6378"/>
      <c r="D37" s="6378" t="s">
        <v>67</v>
      </c>
      <c r="E37" s="6379" t="s">
        <v>1098</v>
      </c>
      <c r="F37" s="6380"/>
      <c r="G37" s="6381"/>
      <c r="H37" s="6381"/>
      <c r="I37" s="6381"/>
      <c r="J37" s="6381"/>
      <c r="K37" s="6381"/>
      <c r="L37" s="6381"/>
      <c r="M37" s="6381"/>
      <c r="N37" s="6381"/>
      <c r="O37" s="6381"/>
      <c r="P37" s="6381"/>
      <c r="Q37" s="6382"/>
      <c r="R37" s="6381"/>
      <c r="S37" s="6381"/>
      <c r="T37" s="6381"/>
      <c r="U37" s="6381"/>
      <c r="V37" s="6381"/>
      <c r="W37" s="6381"/>
      <c r="X37" s="6381"/>
      <c r="Y37" s="6381"/>
      <c r="Z37" s="6381"/>
      <c r="AA37" s="6381"/>
      <c r="AB37" s="6381"/>
      <c r="AC37" s="6381"/>
      <c r="AD37" s="6380"/>
      <c r="AE37" s="6381"/>
      <c r="AF37" s="6381"/>
      <c r="AG37" s="6381"/>
      <c r="AH37" s="6381"/>
      <c r="AI37" s="6381"/>
      <c r="AJ37" s="6381"/>
      <c r="AK37" s="6381"/>
      <c r="AL37" s="6381"/>
      <c r="AM37" s="6381"/>
      <c r="AN37" s="6381"/>
      <c r="AO37" s="6381"/>
      <c r="AP37" s="6382"/>
      <c r="AQ37" s="6383">
        <v>23.248171970000001</v>
      </c>
      <c r="AR37" s="6384">
        <v>6.0722279200000013</v>
      </c>
      <c r="AS37" s="6384">
        <v>13.358644360000032</v>
      </c>
      <c r="AT37" s="6384">
        <v>9.9302275099999875</v>
      </c>
      <c r="AU37" s="6384">
        <v>12.633443259999961</v>
      </c>
      <c r="AV37" s="6384">
        <v>13.15405771000003</v>
      </c>
      <c r="AW37" s="6384">
        <v>14.087254160000011</v>
      </c>
      <c r="AX37" s="6384">
        <v>11.802230859999973</v>
      </c>
      <c r="AY37" s="6384">
        <v>7.5399230800000003</v>
      </c>
      <c r="AZ37" s="6384">
        <v>13.349010780000032</v>
      </c>
      <c r="BA37" s="6384">
        <v>9.3138783099999998</v>
      </c>
      <c r="BB37" s="6384">
        <v>14.346115329999943</v>
      </c>
      <c r="BC37" s="6385">
        <f>SUM(AQ37:BB37)</f>
        <v>148.83518524999997</v>
      </c>
      <c r="BD37" s="6386">
        <f t="shared" ref="BD37:BR37" si="50">BD21-BD34-BD35-BD36</f>
        <v>13.058589930000011</v>
      </c>
      <c r="BE37" s="6386">
        <f t="shared" si="50"/>
        <v>11.838696871059099</v>
      </c>
      <c r="BF37" s="6386">
        <f t="shared" si="50"/>
        <v>11.960515354619092</v>
      </c>
      <c r="BG37" s="6386">
        <f t="shared" si="50"/>
        <v>9.7568454590910996</v>
      </c>
      <c r="BH37" s="6386">
        <f t="shared" si="50"/>
        <v>10.446979406204051</v>
      </c>
      <c r="BI37" s="6386">
        <f t="shared" si="50"/>
        <v>10.400818357849078</v>
      </c>
      <c r="BJ37" s="6386">
        <f t="shared" si="50"/>
        <v>12.466081124249548</v>
      </c>
      <c r="BK37" s="6386">
        <f t="shared" si="50"/>
        <v>11.160854519999997</v>
      </c>
      <c r="BL37" s="6386">
        <f t="shared" si="50"/>
        <v>9.9347998300000011</v>
      </c>
      <c r="BM37" s="6386">
        <f t="shared" si="50"/>
        <v>17.078860389999996</v>
      </c>
      <c r="BN37" s="6386">
        <f t="shared" si="50"/>
        <v>7.7289729599999948</v>
      </c>
      <c r="BO37" s="6386">
        <f t="shared" si="50"/>
        <v>25.358781289999996</v>
      </c>
      <c r="BP37" s="6387">
        <v>159.13578192307196</v>
      </c>
      <c r="BQ37" s="6386">
        <f t="shared" si="50"/>
        <v>11.163948079999994</v>
      </c>
      <c r="BR37" s="6386">
        <f t="shared" si="50"/>
        <v>13.176390499999979</v>
      </c>
      <c r="BS37" s="6388">
        <f>BS21-BS34-BS35-BS36</f>
        <v>9.8586543300000216</v>
      </c>
      <c r="BT37" s="6388">
        <f t="shared" ref="BT37:CB37" si="51">BT21-BT34-BT35-BT36</f>
        <v>19.145844659999995</v>
      </c>
      <c r="BU37" s="6388">
        <f t="shared" si="51"/>
        <v>9.4178593500000094</v>
      </c>
      <c r="BV37" s="6388">
        <f t="shared" si="51"/>
        <v>18.102218190000006</v>
      </c>
      <c r="BW37" s="6388">
        <f t="shared" si="51"/>
        <v>12.558158839999997</v>
      </c>
      <c r="BX37" s="6388">
        <f t="shared" si="51"/>
        <v>11.544174350000022</v>
      </c>
      <c r="BY37" s="6388">
        <f t="shared" si="51"/>
        <v>13.847875070000038</v>
      </c>
      <c r="BZ37" s="6388">
        <f t="shared" si="51"/>
        <v>5.7532793099999839</v>
      </c>
      <c r="CA37" s="6388">
        <f t="shared" si="51"/>
        <v>12.167113369999988</v>
      </c>
      <c r="CB37" s="6388">
        <f t="shared" si="51"/>
        <v>13.115039449999971</v>
      </c>
      <c r="CC37" s="6389"/>
      <c r="CD37" s="6390"/>
      <c r="CE37" s="6391">
        <f t="shared" si="12"/>
        <v>0.94792607999998246</v>
      </c>
      <c r="CF37" s="6392">
        <f t="shared" ref="CF37:CF53" si="52">HLOOKUP($E$2,$BQ$2:$CB$505,ROW()-1,0)-HLOOKUP($E$2,$BD$2:$BO$412,ROW()-1,0)</f>
        <v>-12.243741840000025</v>
      </c>
      <c r="CG37" s="6392"/>
      <c r="CH37" s="6393">
        <f t="shared" si="13"/>
        <v>149.85055550000001</v>
      </c>
      <c r="CI37" s="6394"/>
      <c r="CJ37" s="6395"/>
      <c r="CK37" s="6392">
        <f t="shared" ref="CK37:CK53" si="53">CH37-SUM(BD37:BO37)</f>
        <v>-1.3402399930719469</v>
      </c>
      <c r="CL37" s="5138"/>
      <c r="CM37" s="2488" t="str">
        <f t="shared" si="40"/>
        <v>기타</v>
      </c>
      <c r="CN37" s="6291"/>
      <c r="CO37" s="6291"/>
      <c r="CP37" s="6291"/>
      <c r="CQ37" s="6291"/>
      <c r="CR37" s="6291"/>
      <c r="CS37" s="6291"/>
      <c r="CT37" s="6291"/>
      <c r="CU37" s="6291"/>
      <c r="CV37" s="6291"/>
      <c r="CW37" s="6291"/>
      <c r="CX37" s="6291"/>
      <c r="CY37" s="6291"/>
      <c r="CZ37" s="2505">
        <f t="shared" si="27"/>
        <v>0</v>
      </c>
      <c r="DB37" s="4439"/>
      <c r="DC37" s="4439"/>
      <c r="DF37" s="4439"/>
      <c r="DG37" s="4439"/>
    </row>
    <row r="38" spans="1:111" ht="16.3" customHeight="1" x14ac:dyDescent="0.55000000000000004">
      <c r="A38" s="6153"/>
      <c r="C38" s="5076" t="s">
        <v>7</v>
      </c>
      <c r="F38" s="6154">
        <v>38.997096369999994</v>
      </c>
      <c r="G38" s="6155">
        <v>40.783098649999999</v>
      </c>
      <c r="H38" s="6155">
        <v>40.11154741</v>
      </c>
      <c r="I38" s="6155">
        <v>38.676927460000002</v>
      </c>
      <c r="J38" s="6155">
        <v>32.154813730000001</v>
      </c>
      <c r="K38" s="6155">
        <v>32.856923129999998</v>
      </c>
      <c r="L38" s="6155">
        <v>35.554653109999997</v>
      </c>
      <c r="M38" s="6155">
        <v>32.814724390000002</v>
      </c>
      <c r="N38" s="6155">
        <v>31.873137360000001</v>
      </c>
      <c r="O38" s="6155">
        <v>31.26962713</v>
      </c>
      <c r="P38" s="6155">
        <v>31.377480500000001</v>
      </c>
      <c r="Q38" s="6156">
        <v>32.353559219999994</v>
      </c>
      <c r="R38" s="6155">
        <v>31.022034699999999</v>
      </c>
      <c r="S38" s="6155">
        <v>30.840044249999998</v>
      </c>
      <c r="T38" s="6155">
        <v>30.42893188</v>
      </c>
      <c r="U38" s="6155">
        <v>32.915240140000002</v>
      </c>
      <c r="V38" s="6155">
        <v>31.780334660000005</v>
      </c>
      <c r="W38" s="6155">
        <v>31.167747009999999</v>
      </c>
      <c r="X38" s="6155">
        <v>33.444980020000003</v>
      </c>
      <c r="Y38" s="6155">
        <v>30.906358409999996</v>
      </c>
      <c r="Z38" s="6155">
        <v>33.360826670000002</v>
      </c>
      <c r="AA38" s="6155">
        <v>34.850647020000004</v>
      </c>
      <c r="AB38" s="6155">
        <v>31.781550450000005</v>
      </c>
      <c r="AC38" s="6155">
        <v>34.11570657</v>
      </c>
      <c r="AD38" s="6154">
        <v>33.760411789999999</v>
      </c>
      <c r="AE38" s="6155">
        <v>30.603211680000005</v>
      </c>
      <c r="AF38" s="6155">
        <v>36.158983640000002</v>
      </c>
      <c r="AG38" s="6155">
        <v>31.34398302</v>
      </c>
      <c r="AH38" s="6155">
        <v>40.698382850000002</v>
      </c>
      <c r="AI38" s="6155">
        <v>50.225481190000004</v>
      </c>
      <c r="AJ38" s="6155">
        <v>34.438590249999997</v>
      </c>
      <c r="AK38" s="6155">
        <v>35.792050939999996</v>
      </c>
      <c r="AL38" s="6155">
        <v>41.953750530000001</v>
      </c>
      <c r="AM38" s="6155">
        <v>34.670722939999997</v>
      </c>
      <c r="AN38" s="6155">
        <v>34.888264499999998</v>
      </c>
      <c r="AO38" s="6157">
        <v>37.294517599999999</v>
      </c>
      <c r="AP38" s="6156"/>
      <c r="AQ38" s="6158">
        <v>40.917431279999995</v>
      </c>
      <c r="AR38" s="6159">
        <v>33.238089260000002</v>
      </c>
      <c r="AS38" s="6159">
        <v>40.40507289</v>
      </c>
      <c r="AT38" s="6159">
        <v>33.188031819999999</v>
      </c>
      <c r="AU38" s="6159">
        <v>32.643947700000005</v>
      </c>
      <c r="AV38" s="6159">
        <v>39.878724640000002</v>
      </c>
      <c r="AW38" s="6159">
        <v>35.223917120000003</v>
      </c>
      <c r="AX38" s="6159">
        <v>33.868751660000001</v>
      </c>
      <c r="AY38" s="6159">
        <v>43.083046970000005</v>
      </c>
      <c r="AZ38" s="6159">
        <v>33.805491320000002</v>
      </c>
      <c r="BA38" s="6159">
        <v>33.451499660000003</v>
      </c>
      <c r="BB38" s="6159">
        <v>32.44029192</v>
      </c>
      <c r="BC38" s="6160">
        <v>432.14429624000002</v>
      </c>
      <c r="BD38" s="2549">
        <v>40.313523449999998</v>
      </c>
      <c r="BE38" s="6161">
        <v>38.260220050000001</v>
      </c>
      <c r="BF38" s="6161">
        <v>32.985350889999999</v>
      </c>
      <c r="BG38" s="2496">
        <v>45.391333699999997</v>
      </c>
      <c r="BH38" s="2496">
        <v>35.956874129999996</v>
      </c>
      <c r="BI38" s="2496">
        <v>41.637191219999998</v>
      </c>
      <c r="BJ38" s="2496">
        <v>43.397480189999996</v>
      </c>
      <c r="BK38" s="2496">
        <v>48.294528939999999</v>
      </c>
      <c r="BL38" s="2496">
        <v>53.700383899999999</v>
      </c>
      <c r="BM38" s="2496">
        <f>33.90141003-BM52</f>
        <v>33.193004889999997</v>
      </c>
      <c r="BN38" s="2496">
        <v>52.251018019999997</v>
      </c>
      <c r="BO38" s="2496">
        <v>40.276560669999995</v>
      </c>
      <c r="BP38" s="6162">
        <v>505.65747005000003</v>
      </c>
      <c r="BQ38" s="2496">
        <f>33.413731-BQ52</f>
        <v>32.779204499999999</v>
      </c>
      <c r="BR38" s="6171">
        <v>38.211540289999995</v>
      </c>
      <c r="BS38" s="6161">
        <v>39.763803379999999</v>
      </c>
      <c r="BT38" s="6163">
        <v>39.829534260000003</v>
      </c>
      <c r="BU38" s="6163">
        <v>40.952530789999997</v>
      </c>
      <c r="BV38" s="6232">
        <v>41.618137779999998</v>
      </c>
      <c r="BW38" s="2496">
        <v>36.675877210000003</v>
      </c>
      <c r="BX38" s="6232">
        <v>37.317680150000001</v>
      </c>
      <c r="BY38" s="6396">
        <v>37.761063</v>
      </c>
      <c r="BZ38" s="6396">
        <v>37.895173910000004</v>
      </c>
      <c r="CA38" s="6396">
        <v>36.734066470000002</v>
      </c>
      <c r="CB38" s="6396">
        <v>46.981223130000004</v>
      </c>
      <c r="CC38" s="6164">
        <f t="shared" ref="CC38:CC53" si="54">HLOOKUP($E$2,$BQ$2:$CB$505,ROW()-1,0)-HLOOKUP($E$2,$CN$2:$CY$412,ROW()-1,0)</f>
        <v>-3422.6911102033328</v>
      </c>
      <c r="CD38" s="6165">
        <f t="shared" ref="CD38:CD50" si="55">IFERROR(HLOOKUP($E$2,$BQ$2:$CB$505,ROW()-1,0)/HLOOKUP($E$2,$CN$2:$CY$412,ROW()-1,0),0)</f>
        <v>1.354053599777962E-2</v>
      </c>
      <c r="CE38" s="6166">
        <f t="shared" si="12"/>
        <v>10.247156660000002</v>
      </c>
      <c r="CF38" s="2509">
        <f t="shared" si="52"/>
        <v>6.7046624600000087</v>
      </c>
      <c r="CG38" s="2509"/>
      <c r="CH38" s="6167">
        <f t="shared" si="13"/>
        <v>466.51983486999995</v>
      </c>
      <c r="CI38" s="2506">
        <f t="shared" ref="CI38:CI53" si="56">CH38-SUM(CN38:CO38)</f>
        <v>-6384.4566837966668</v>
      </c>
      <c r="CJ38" s="2691">
        <f t="shared" ref="CJ38:CJ50" si="57">IFERROR(CH38/SUM(CN38:CO38),0)</f>
        <v>6.8095377877720978E-2</v>
      </c>
      <c r="CK38" s="6397">
        <f t="shared" si="53"/>
        <v>-39.137635180000075</v>
      </c>
      <c r="CL38" s="5138"/>
      <c r="CM38" s="2488" t="str">
        <f>C38</f>
        <v>기타수수료</v>
      </c>
      <c r="CN38" s="6398">
        <v>3408.8483603333329</v>
      </c>
      <c r="CO38" s="6398">
        <v>3442.128158333333</v>
      </c>
      <c r="CP38" s="6398">
        <v>3449.3274503333328</v>
      </c>
      <c r="CQ38" s="6398">
        <v>3457.6013163333337</v>
      </c>
      <c r="CR38" s="6398">
        <v>3396.143865333333</v>
      </c>
      <c r="CS38" s="6398">
        <v>3400.5535153333331</v>
      </c>
      <c r="CT38" s="6398">
        <v>3369.1370453333329</v>
      </c>
      <c r="CU38" s="6398">
        <v>3433.7833333333328</v>
      </c>
      <c r="CV38" s="6398">
        <v>3499.842333333333</v>
      </c>
      <c r="CW38" s="6398">
        <v>3529.6133333333332</v>
      </c>
      <c r="CX38" s="6398">
        <v>3390.8033333333328</v>
      </c>
      <c r="CY38" s="6398">
        <v>3469.672333333333</v>
      </c>
      <c r="CZ38" s="2505">
        <f t="shared" si="27"/>
        <v>41247.454377999995</v>
      </c>
      <c r="DB38" s="4439"/>
      <c r="DC38" s="4439"/>
      <c r="DF38" s="4439"/>
      <c r="DG38" s="4439"/>
    </row>
    <row r="39" spans="1:111" ht="16.3" customHeight="1" x14ac:dyDescent="0.55000000000000004">
      <c r="A39" s="6153"/>
      <c r="D39" s="2441" t="s">
        <v>111</v>
      </c>
      <c r="E39" s="2441" t="s">
        <v>134</v>
      </c>
      <c r="F39" s="6154">
        <v>24.67</v>
      </c>
      <c r="G39" s="6155">
        <v>24.67</v>
      </c>
      <c r="H39" s="6155">
        <v>24.67</v>
      </c>
      <c r="I39" s="6155">
        <v>24.67</v>
      </c>
      <c r="J39" s="6155">
        <v>27.17</v>
      </c>
      <c r="K39" s="6155">
        <v>25.17</v>
      </c>
      <c r="L39" s="6155">
        <v>25.17</v>
      </c>
      <c r="M39" s="6155">
        <v>25.17</v>
      </c>
      <c r="N39" s="6155">
        <v>25.17</v>
      </c>
      <c r="O39" s="6155">
        <v>25.17</v>
      </c>
      <c r="P39" s="6155">
        <v>25.17</v>
      </c>
      <c r="Q39" s="6156">
        <v>25.17</v>
      </c>
      <c r="R39" s="6155">
        <v>25.17</v>
      </c>
      <c r="S39" s="6155">
        <v>25.17</v>
      </c>
      <c r="T39" s="6155">
        <v>25.17</v>
      </c>
      <c r="U39" s="6155">
        <v>25.17</v>
      </c>
      <c r="V39" s="6155">
        <v>25.17</v>
      </c>
      <c r="W39" s="6155">
        <v>25.17</v>
      </c>
      <c r="X39" s="6155">
        <v>25.17</v>
      </c>
      <c r="Y39" s="6155">
        <v>25.17</v>
      </c>
      <c r="Z39" s="6155">
        <v>25.17</v>
      </c>
      <c r="AA39" s="6155">
        <v>25.17</v>
      </c>
      <c r="AB39" s="6155">
        <v>25.17</v>
      </c>
      <c r="AC39" s="6155">
        <v>25.17</v>
      </c>
      <c r="AD39" s="6154">
        <v>25.17</v>
      </c>
      <c r="AE39" s="6155">
        <v>25.17</v>
      </c>
      <c r="AF39" s="6155">
        <v>25.17</v>
      </c>
      <c r="AG39" s="6155">
        <v>25.17</v>
      </c>
      <c r="AH39" s="6155">
        <v>27.9</v>
      </c>
      <c r="AI39" s="6155">
        <v>38.799999999999997</v>
      </c>
      <c r="AJ39" s="6155">
        <v>27.9</v>
      </c>
      <c r="AK39" s="6155">
        <v>27.9</v>
      </c>
      <c r="AL39" s="6155">
        <v>27.9</v>
      </c>
      <c r="AM39" s="6155">
        <v>27.9</v>
      </c>
      <c r="AN39" s="6155">
        <v>27.9</v>
      </c>
      <c r="AO39" s="6157">
        <v>27.9</v>
      </c>
      <c r="AP39" s="6156"/>
      <c r="AQ39" s="6158">
        <v>26.4</v>
      </c>
      <c r="AR39" s="6159">
        <v>26.4</v>
      </c>
      <c r="AS39" s="6159">
        <v>26.4</v>
      </c>
      <c r="AT39" s="6159">
        <v>26.4</v>
      </c>
      <c r="AU39" s="6159">
        <v>26.4</v>
      </c>
      <c r="AV39" s="6159">
        <v>26.4</v>
      </c>
      <c r="AW39" s="6159">
        <v>26.4</v>
      </c>
      <c r="AX39" s="6159">
        <v>26.4</v>
      </c>
      <c r="AY39" s="6159">
        <v>26.4</v>
      </c>
      <c r="AZ39" s="6159">
        <v>26.4</v>
      </c>
      <c r="BA39" s="6159">
        <v>26.4</v>
      </c>
      <c r="BB39" s="6159">
        <v>26.4</v>
      </c>
      <c r="BC39" s="6160">
        <v>316.79999999999995</v>
      </c>
      <c r="BD39" s="2549">
        <v>26.4</v>
      </c>
      <c r="BE39" s="6161">
        <v>26.4</v>
      </c>
      <c r="BF39" s="6161">
        <v>26.4</v>
      </c>
      <c r="BG39" s="6161">
        <v>26.4</v>
      </c>
      <c r="BH39" s="2496">
        <v>26.4</v>
      </c>
      <c r="BI39" s="2496">
        <v>27.231036419999999</v>
      </c>
      <c r="BJ39" s="2496">
        <v>24</v>
      </c>
      <c r="BK39" s="2496">
        <v>23.263662150000002</v>
      </c>
      <c r="BL39" s="2496">
        <v>22.23681333</v>
      </c>
      <c r="BM39" s="2496">
        <v>23</v>
      </c>
      <c r="BN39" s="2496">
        <v>23</v>
      </c>
      <c r="BO39" s="2496">
        <v>14.02537036</v>
      </c>
      <c r="BP39" s="6162">
        <v>288.75688226</v>
      </c>
      <c r="BQ39" s="2496">
        <v>26.927904990000002</v>
      </c>
      <c r="BR39" s="6171">
        <v>27.037246369999998</v>
      </c>
      <c r="BS39" s="6161">
        <v>26.95</v>
      </c>
      <c r="BT39" s="6172">
        <v>25</v>
      </c>
      <c r="BU39" s="6172">
        <v>25</v>
      </c>
      <c r="BV39" s="6232">
        <v>25</v>
      </c>
      <c r="BW39" s="2496">
        <v>25</v>
      </c>
      <c r="BX39" s="2496">
        <v>25</v>
      </c>
      <c r="BY39" s="6396">
        <v>25</v>
      </c>
      <c r="BZ39" s="6396">
        <v>25</v>
      </c>
      <c r="CA39" s="6396">
        <v>25</v>
      </c>
      <c r="CB39" s="6396">
        <f>3525832000/100000000</f>
        <v>35.258319999999998</v>
      </c>
      <c r="CC39" s="6164">
        <f t="shared" si="54"/>
        <v>35.258319999999998</v>
      </c>
      <c r="CD39" s="6165">
        <f t="shared" si="55"/>
        <v>0</v>
      </c>
      <c r="CE39" s="6166">
        <f t="shared" si="12"/>
        <v>10.258319999999998</v>
      </c>
      <c r="CF39" s="2509">
        <f t="shared" si="52"/>
        <v>21.232949639999998</v>
      </c>
      <c r="CG39" s="2509"/>
      <c r="CH39" s="6167">
        <f t="shared" si="13"/>
        <v>316.17347136000001</v>
      </c>
      <c r="CI39" s="2506">
        <f t="shared" si="56"/>
        <v>316.17347136000001</v>
      </c>
      <c r="CJ39" s="2691">
        <f t="shared" si="57"/>
        <v>0</v>
      </c>
      <c r="CK39" s="6397">
        <f t="shared" si="53"/>
        <v>27.41658910000001</v>
      </c>
      <c r="CL39" s="5138"/>
      <c r="CM39" s="2488" t="str">
        <f t="shared" ref="CM39:CM44" si="58">D39</f>
        <v>도매위탁</v>
      </c>
      <c r="CN39" s="2504"/>
      <c r="CO39" s="2504"/>
      <c r="CP39" s="2504"/>
      <c r="CQ39" s="2504"/>
      <c r="CR39" s="2504"/>
      <c r="CS39" s="2504"/>
      <c r="CT39" s="2504"/>
      <c r="CU39" s="2504"/>
      <c r="CV39" s="2504"/>
      <c r="CW39" s="2504"/>
      <c r="CX39" s="2504"/>
      <c r="CY39" s="2504"/>
      <c r="CZ39" s="2505">
        <f t="shared" si="27"/>
        <v>0</v>
      </c>
      <c r="DB39" s="4439"/>
      <c r="DC39" s="4439"/>
      <c r="DF39" s="4439"/>
      <c r="DG39" s="4439"/>
    </row>
    <row r="40" spans="1:111" ht="16.3" customHeight="1" x14ac:dyDescent="0.55000000000000004">
      <c r="A40" s="6153"/>
      <c r="D40" s="2441" t="s">
        <v>113</v>
      </c>
      <c r="E40" s="2441" t="s">
        <v>118</v>
      </c>
      <c r="F40" s="6154">
        <v>3.3441500000000004</v>
      </c>
      <c r="G40" s="6155">
        <v>3.9491399999999999</v>
      </c>
      <c r="H40" s="6155">
        <v>2.91317</v>
      </c>
      <c r="I40" s="6155">
        <v>2.8448500000000001</v>
      </c>
      <c r="J40" s="6155">
        <v>2.8351199999999999</v>
      </c>
      <c r="K40" s="6155">
        <v>2.8327</v>
      </c>
      <c r="L40" s="6155">
        <v>2.8471100000000003</v>
      </c>
      <c r="M40" s="6155">
        <v>2.8510300000000002</v>
      </c>
      <c r="N40" s="6155">
        <v>2.8822199999999998</v>
      </c>
      <c r="O40" s="6155">
        <v>2.8469600000000002</v>
      </c>
      <c r="P40" s="6155">
        <v>2.8898899999999998</v>
      </c>
      <c r="Q40" s="6156">
        <v>2.8874900000000001</v>
      </c>
      <c r="R40" s="6155">
        <v>2.8770600000000002</v>
      </c>
      <c r="S40" s="6155">
        <v>2.8272400000000002</v>
      </c>
      <c r="T40" s="6155">
        <v>2.8832</v>
      </c>
      <c r="U40" s="6155">
        <v>2.8498299999999999</v>
      </c>
      <c r="V40" s="6155">
        <v>2.89947</v>
      </c>
      <c r="W40" s="6155">
        <v>2.9285199999999993</v>
      </c>
      <c r="X40" s="6155">
        <v>2.8597000000000006</v>
      </c>
      <c r="Y40" s="6155">
        <v>2.9100999999999999</v>
      </c>
      <c r="Z40" s="6155">
        <v>2.78694</v>
      </c>
      <c r="AA40" s="6155">
        <v>3.30281</v>
      </c>
      <c r="AB40" s="6155">
        <v>2.8002600000000002</v>
      </c>
      <c r="AC40" s="6155">
        <v>2.7840600000000002</v>
      </c>
      <c r="AD40" s="6154">
        <v>2.79</v>
      </c>
      <c r="AE40" s="6155">
        <v>2.71</v>
      </c>
      <c r="AF40" s="6155">
        <v>2.4778899999999999</v>
      </c>
      <c r="AG40" s="6155">
        <v>2.4778899999999999</v>
      </c>
      <c r="AH40" s="6155">
        <v>2.4778899999999999</v>
      </c>
      <c r="AI40" s="6155">
        <v>2.4778899999999999</v>
      </c>
      <c r="AJ40" s="6155">
        <v>2.2715299999999998</v>
      </c>
      <c r="AK40" s="6155">
        <v>2.3039200000000002</v>
      </c>
      <c r="AL40" s="6155">
        <v>2.2536200000000002</v>
      </c>
      <c r="AM40" s="6155">
        <v>2.25061</v>
      </c>
      <c r="AN40" s="6155">
        <v>2.2464</v>
      </c>
      <c r="AO40" s="6157">
        <v>2.2464499999999998</v>
      </c>
      <c r="AP40" s="6156"/>
      <c r="AQ40" s="6158">
        <v>2.2633199999999998</v>
      </c>
      <c r="AR40" s="6159">
        <v>2.2260300000000002</v>
      </c>
      <c r="AS40" s="6159">
        <v>2.2425200000000003</v>
      </c>
      <c r="AT40" s="6159">
        <v>2.27033</v>
      </c>
      <c r="AU40" s="6159">
        <v>2.1792199999999999</v>
      </c>
      <c r="AV40" s="6159">
        <v>2.10995</v>
      </c>
      <c r="AW40" s="6159">
        <v>2.0794200000000003</v>
      </c>
      <c r="AX40" s="6159">
        <v>2.0732300000000001</v>
      </c>
      <c r="AY40" s="6159">
        <v>1.98326</v>
      </c>
      <c r="AZ40" s="6159">
        <v>1.9454</v>
      </c>
      <c r="BA40" s="6159">
        <v>1.98583</v>
      </c>
      <c r="BB40" s="6159">
        <v>1.9940899999999999</v>
      </c>
      <c r="BC40" s="6160">
        <v>25.352599999999999</v>
      </c>
      <c r="BD40" s="2549">
        <v>1.9647800000000002</v>
      </c>
      <c r="BE40" s="6161">
        <v>1.9582900000000001</v>
      </c>
      <c r="BF40" s="6161">
        <v>1.6901200000000001</v>
      </c>
      <c r="BG40" s="6161">
        <v>1.4397800000000001</v>
      </c>
      <c r="BH40" s="2496">
        <v>1.4486000000000001</v>
      </c>
      <c r="BI40" s="2496">
        <v>1.43418</v>
      </c>
      <c r="BJ40" s="2496">
        <v>1.4318500000000001</v>
      </c>
      <c r="BK40" s="2496">
        <v>1.4457900000000001</v>
      </c>
      <c r="BL40" s="2496">
        <v>1.42872</v>
      </c>
      <c r="BM40" s="2496">
        <v>1.44546</v>
      </c>
      <c r="BN40" s="2496">
        <v>1.4451400000000001</v>
      </c>
      <c r="BO40" s="2496">
        <v>1.3666199999999999</v>
      </c>
      <c r="BP40" s="6162">
        <v>18.499330000000004</v>
      </c>
      <c r="BQ40" s="2496">
        <v>1.35002</v>
      </c>
      <c r="BR40" s="6171">
        <v>1.3266800000000001</v>
      </c>
      <c r="BS40" s="6161">
        <v>1.35615</v>
      </c>
      <c r="BT40" s="6172">
        <v>1.26417</v>
      </c>
      <c r="BU40" s="6172">
        <v>1.27146</v>
      </c>
      <c r="BV40" s="6232">
        <v>1.11978</v>
      </c>
      <c r="BW40" s="2496">
        <v>1.1329100000000001</v>
      </c>
      <c r="BX40" s="2496">
        <v>1.0345200000000001</v>
      </c>
      <c r="BY40" s="6396">
        <v>1.0655600000000001</v>
      </c>
      <c r="BZ40" s="6396">
        <v>0.95565</v>
      </c>
      <c r="CA40" s="6396">
        <v>0.95984999999999998</v>
      </c>
      <c r="CB40" s="6396">
        <v>0.77314000000000005</v>
      </c>
      <c r="CC40" s="6164">
        <f t="shared" si="54"/>
        <v>0.77314000000000005</v>
      </c>
      <c r="CD40" s="6165">
        <f t="shared" si="55"/>
        <v>0</v>
      </c>
      <c r="CE40" s="6166">
        <f t="shared" si="12"/>
        <v>-0.18670999999999993</v>
      </c>
      <c r="CF40" s="2509">
        <f t="shared" si="52"/>
        <v>-0.5934799999999999</v>
      </c>
      <c r="CG40" s="2509"/>
      <c r="CH40" s="6399">
        <f t="shared" si="13"/>
        <v>13.60989</v>
      </c>
      <c r="CI40" s="2506">
        <f t="shared" si="56"/>
        <v>13.60989</v>
      </c>
      <c r="CJ40" s="2691">
        <f t="shared" si="57"/>
        <v>0</v>
      </c>
      <c r="CK40" s="6397">
        <f t="shared" si="53"/>
        <v>-4.889440000000004</v>
      </c>
      <c r="CL40" s="5138"/>
      <c r="CM40" s="2488" t="str">
        <f t="shared" si="58"/>
        <v>KTAC 위탁</v>
      </c>
      <c r="CN40" s="2504"/>
      <c r="CO40" s="2504"/>
      <c r="CP40" s="2504"/>
      <c r="CQ40" s="2504"/>
      <c r="CR40" s="2504"/>
      <c r="CS40" s="2504"/>
      <c r="CT40" s="2504"/>
      <c r="CU40" s="2504"/>
      <c r="CV40" s="2504"/>
      <c r="CW40" s="2504"/>
      <c r="CX40" s="2504"/>
      <c r="CY40" s="2504"/>
      <c r="CZ40" s="2505">
        <f t="shared" si="27"/>
        <v>0</v>
      </c>
      <c r="DB40" s="4439"/>
      <c r="DC40" s="4439"/>
      <c r="DF40" s="4439"/>
      <c r="DG40" s="4439"/>
    </row>
    <row r="41" spans="1:111" ht="16.3" customHeight="1" x14ac:dyDescent="0.55000000000000004">
      <c r="A41" s="6153"/>
      <c r="D41" s="2441" t="s">
        <v>114</v>
      </c>
      <c r="E41" s="2441" t="s">
        <v>119</v>
      </c>
      <c r="F41" s="6154">
        <v>0</v>
      </c>
      <c r="G41" s="6155">
        <v>0</v>
      </c>
      <c r="H41" s="6155">
        <v>6.7191509999999996E-2</v>
      </c>
      <c r="I41" s="6155">
        <v>0</v>
      </c>
      <c r="J41" s="6155">
        <v>0.35002727</v>
      </c>
      <c r="K41" s="6155">
        <v>7.0000000000000007E-2</v>
      </c>
      <c r="L41" s="6155">
        <v>0.55872295999999999</v>
      </c>
      <c r="M41" s="6155">
        <v>0</v>
      </c>
      <c r="N41" s="6155">
        <v>0.15487348000000001</v>
      </c>
      <c r="O41" s="6155">
        <v>0.68811378000000001</v>
      </c>
      <c r="P41" s="6155">
        <v>7.0000000000000007E-2</v>
      </c>
      <c r="Q41" s="6156">
        <v>1.5506536499999999</v>
      </c>
      <c r="R41" s="6155">
        <v>0</v>
      </c>
      <c r="S41" s="6155">
        <v>0</v>
      </c>
      <c r="T41" s="6155">
        <v>0.10734545000000001</v>
      </c>
      <c r="U41" s="6155">
        <v>0.74339999999999995</v>
      </c>
      <c r="V41" s="6155">
        <v>0</v>
      </c>
      <c r="W41" s="6155">
        <v>1.6100000000000003E-2</v>
      </c>
      <c r="X41" s="6155">
        <v>0.99818066000000005</v>
      </c>
      <c r="Y41" s="6155">
        <v>0</v>
      </c>
      <c r="Z41" s="6155">
        <v>0</v>
      </c>
      <c r="AA41" s="6155">
        <v>2.6549644799999998</v>
      </c>
      <c r="AB41" s="6155">
        <v>0</v>
      </c>
      <c r="AC41" s="6155">
        <v>2.6549999999999998</v>
      </c>
      <c r="AD41" s="6154">
        <v>0.28000000000000003</v>
      </c>
      <c r="AE41" s="6155">
        <v>0.28000000000000003</v>
      </c>
      <c r="AF41" s="6155">
        <v>5.3239000000000001</v>
      </c>
      <c r="AG41" s="6155">
        <v>0.29395453999999999</v>
      </c>
      <c r="AH41" s="6155">
        <v>0.28000000000000003</v>
      </c>
      <c r="AI41" s="6155">
        <v>4.8163</v>
      </c>
      <c r="AJ41" s="6155">
        <v>0</v>
      </c>
      <c r="AK41" s="6155">
        <v>0</v>
      </c>
      <c r="AL41" s="6155">
        <v>0.60435000000000005</v>
      </c>
      <c r="AM41" s="6155">
        <v>0</v>
      </c>
      <c r="AN41" s="6155">
        <v>0</v>
      </c>
      <c r="AO41" s="6157">
        <v>0</v>
      </c>
      <c r="AP41" s="6156"/>
      <c r="AQ41" s="6158">
        <v>6.8422000000000001</v>
      </c>
      <c r="AR41" s="6159">
        <v>0</v>
      </c>
      <c r="AS41" s="6159">
        <v>0</v>
      </c>
      <c r="AT41" s="6159">
        <v>3.9887000000000001</v>
      </c>
      <c r="AU41" s="6159">
        <v>0</v>
      </c>
      <c r="AV41" s="6159">
        <v>0</v>
      </c>
      <c r="AW41" s="6159">
        <v>5.1328999999999994</v>
      </c>
      <c r="AX41" s="6159">
        <v>0</v>
      </c>
      <c r="AY41" s="6159">
        <v>0</v>
      </c>
      <c r="AZ41" s="6159">
        <v>4.9604999999999997</v>
      </c>
      <c r="BA41" s="6159">
        <v>0</v>
      </c>
      <c r="BB41" s="6159">
        <v>0</v>
      </c>
      <c r="BC41" s="6160">
        <v>20.924299999999999</v>
      </c>
      <c r="BD41" s="2549">
        <v>6.2450999999999999</v>
      </c>
      <c r="BE41" s="6161">
        <v>3.3807</v>
      </c>
      <c r="BF41" s="6161">
        <v>0</v>
      </c>
      <c r="BG41" s="6161">
        <v>7</v>
      </c>
      <c r="BH41" s="2496">
        <v>3.4</v>
      </c>
      <c r="BI41" s="2496">
        <v>3</v>
      </c>
      <c r="BJ41" s="2496">
        <v>7.2</v>
      </c>
      <c r="BK41" s="2496">
        <v>10.390699999999999</v>
      </c>
      <c r="BL41" s="2496">
        <v>12.502700000000001</v>
      </c>
      <c r="BM41" s="2496">
        <v>25</v>
      </c>
      <c r="BN41" s="2496">
        <v>13.7628</v>
      </c>
      <c r="BO41" s="2496">
        <v>12</v>
      </c>
      <c r="BP41" s="6162">
        <v>103.88199999999999</v>
      </c>
      <c r="BQ41" s="2496">
        <v>1.7813861</v>
      </c>
      <c r="BR41" s="6171">
        <v>6.4918800000000001</v>
      </c>
      <c r="BS41" s="6161">
        <v>6.49594</v>
      </c>
      <c r="BT41" s="6172">
        <v>6.9941842000000003</v>
      </c>
      <c r="BU41" s="6172">
        <v>6.8979999999999997</v>
      </c>
      <c r="BV41" s="6232">
        <v>6.8990200000000002</v>
      </c>
      <c r="BW41" s="2496">
        <v>6.89</v>
      </c>
      <c r="BX41" s="2496">
        <v>6.8982999999999999</v>
      </c>
      <c r="BY41" s="6396">
        <v>6.8982999999999999</v>
      </c>
      <c r="BZ41" s="6396">
        <v>7.0006000000000004</v>
      </c>
      <c r="CA41" s="6396">
        <v>6.9066400000000003</v>
      </c>
      <c r="CB41" s="6396">
        <v>6.8982999999999999</v>
      </c>
      <c r="CC41" s="6164">
        <f t="shared" si="54"/>
        <v>6.8982999999999999</v>
      </c>
      <c r="CD41" s="6165">
        <f t="shared" si="55"/>
        <v>0</v>
      </c>
      <c r="CE41" s="6166">
        <f t="shared" si="12"/>
        <v>-8.3400000000004582E-3</v>
      </c>
      <c r="CF41" s="2509">
        <f t="shared" si="52"/>
        <v>-5.1017000000000001</v>
      </c>
      <c r="CG41" s="2509"/>
      <c r="CH41" s="6399">
        <f t="shared" si="13"/>
        <v>77.052550300000007</v>
      </c>
      <c r="CI41" s="2506">
        <f t="shared" si="56"/>
        <v>77.052550300000007</v>
      </c>
      <c r="CJ41" s="2691">
        <f t="shared" si="57"/>
        <v>0</v>
      </c>
      <c r="CK41" s="6397">
        <f t="shared" si="53"/>
        <v>-26.829449699999984</v>
      </c>
      <c r="CL41" s="5138"/>
      <c r="CM41" s="2488" t="str">
        <f t="shared" si="58"/>
        <v>KT SHOP 위탁</v>
      </c>
      <c r="CN41" s="2504"/>
      <c r="CO41" s="2504"/>
      <c r="CP41" s="2504"/>
      <c r="CQ41" s="2504"/>
      <c r="CR41" s="2504"/>
      <c r="CS41" s="2504"/>
      <c r="CT41" s="2504"/>
      <c r="CU41" s="2504"/>
      <c r="CV41" s="2504"/>
      <c r="CW41" s="2504"/>
      <c r="CX41" s="2504"/>
      <c r="CY41" s="2504"/>
      <c r="CZ41" s="2505">
        <f t="shared" si="27"/>
        <v>0</v>
      </c>
      <c r="DB41" s="4439"/>
      <c r="DC41" s="4439"/>
      <c r="DF41" s="4439"/>
      <c r="DG41" s="4439"/>
    </row>
    <row r="42" spans="1:111" ht="16.3" customHeight="1" x14ac:dyDescent="0.55000000000000004">
      <c r="A42" s="6153"/>
      <c r="D42" s="2441" t="s">
        <v>955</v>
      </c>
      <c r="E42" s="2441" t="s">
        <v>798</v>
      </c>
      <c r="F42" s="6154"/>
      <c r="G42" s="6155"/>
      <c r="H42" s="6155"/>
      <c r="I42" s="6155"/>
      <c r="J42" s="6155"/>
      <c r="K42" s="6155"/>
      <c r="L42" s="6155"/>
      <c r="M42" s="6155"/>
      <c r="N42" s="6155"/>
      <c r="O42" s="6155"/>
      <c r="P42" s="6155"/>
      <c r="Q42" s="6156"/>
      <c r="R42" s="6155"/>
      <c r="S42" s="6155"/>
      <c r="T42" s="6155"/>
      <c r="U42" s="6155"/>
      <c r="V42" s="6155"/>
      <c r="W42" s="6155"/>
      <c r="X42" s="6155"/>
      <c r="Y42" s="6155"/>
      <c r="Z42" s="6155"/>
      <c r="AA42" s="6155"/>
      <c r="AB42" s="6155"/>
      <c r="AC42" s="6155"/>
      <c r="AD42" s="6154"/>
      <c r="AE42" s="6155"/>
      <c r="AF42" s="6155"/>
      <c r="AG42" s="6155"/>
      <c r="AH42" s="6155"/>
      <c r="AI42" s="6155"/>
      <c r="AJ42" s="6155"/>
      <c r="AK42" s="6155"/>
      <c r="AL42" s="6155"/>
      <c r="AM42" s="6155"/>
      <c r="AN42" s="6155"/>
      <c r="AO42" s="6157"/>
      <c r="AP42" s="6156"/>
      <c r="AQ42" s="6158">
        <v>0.5604365</v>
      </c>
      <c r="AR42" s="6159">
        <v>0.85484000000000004</v>
      </c>
      <c r="AS42" s="6159">
        <v>0.93778499999999998</v>
      </c>
      <c r="AT42" s="6159">
        <v>0.74354649999999989</v>
      </c>
      <c r="AU42" s="6159">
        <v>0.9319345</v>
      </c>
      <c r="AV42" s="6159">
        <v>1.0283450000000001</v>
      </c>
      <c r="AW42" s="6159">
        <v>1.1859855000000001</v>
      </c>
      <c r="AX42" s="6159">
        <v>1.263655</v>
      </c>
      <c r="AY42" s="6159">
        <v>1.0388907000000001</v>
      </c>
      <c r="AZ42" s="6159">
        <v>0.94389260000000008</v>
      </c>
      <c r="BA42" s="6159">
        <v>1.0354207</v>
      </c>
      <c r="BB42" s="6159">
        <v>1.247385</v>
      </c>
      <c r="BC42" s="6160">
        <v>11.772116999999998</v>
      </c>
      <c r="BD42" s="2549">
        <v>1.3865771</v>
      </c>
      <c r="BE42" s="6161">
        <v>1.8524075</v>
      </c>
      <c r="BF42" s="6161">
        <v>1.4731646999999999</v>
      </c>
      <c r="BG42" s="6161">
        <v>1.6499329</v>
      </c>
      <c r="BH42" s="2496">
        <v>1.4916411999999999</v>
      </c>
      <c r="BI42" s="2496">
        <v>1.5104562000000001</v>
      </c>
      <c r="BJ42" s="2496">
        <v>1.2035791999999998</v>
      </c>
      <c r="BK42" s="2496">
        <v>1.6562593000000001</v>
      </c>
      <c r="BL42" s="2496">
        <v>1.7205367</v>
      </c>
      <c r="BM42" s="2496">
        <v>1.8134246999999999</v>
      </c>
      <c r="BN42" s="2496">
        <v>1.7056521</v>
      </c>
      <c r="BO42" s="2496">
        <v>1.8815996000000001</v>
      </c>
      <c r="BP42" s="6162">
        <v>19.345231200000001</v>
      </c>
      <c r="BQ42" s="2496">
        <v>1.7700148</v>
      </c>
      <c r="BR42" s="6171">
        <v>1.7853178999999999</v>
      </c>
      <c r="BS42" s="6161">
        <v>1.8493655</v>
      </c>
      <c r="BT42" s="6172">
        <v>1.9933751</v>
      </c>
      <c r="BU42" s="6172">
        <v>3.1633886000000002</v>
      </c>
      <c r="BV42" s="6232">
        <v>2.9196507999999999</v>
      </c>
      <c r="BW42" s="2496">
        <v>1.7446758</v>
      </c>
      <c r="BX42" s="2496">
        <v>3.0228695000000001</v>
      </c>
      <c r="BY42" s="6396">
        <v>2.0392779999999999</v>
      </c>
      <c r="BZ42" s="6396">
        <v>2.2039651</v>
      </c>
      <c r="CA42" s="6396">
        <v>1.9829121000000001</v>
      </c>
      <c r="CB42" s="6396">
        <v>1.9966793</v>
      </c>
      <c r="CC42" s="6164">
        <f t="shared" si="54"/>
        <v>1.9966793</v>
      </c>
      <c r="CD42" s="6165">
        <f t="shared" si="55"/>
        <v>0</v>
      </c>
      <c r="CE42" s="6166">
        <f t="shared" si="12"/>
        <v>1.3767199999999979E-2</v>
      </c>
      <c r="CF42" s="2509">
        <f t="shared" si="52"/>
        <v>0.1150796999999999</v>
      </c>
      <c r="CG42" s="2509"/>
      <c r="CH42" s="6399">
        <f t="shared" si="13"/>
        <v>26.4714925</v>
      </c>
      <c r="CI42" s="2506">
        <f t="shared" si="56"/>
        <v>26.4714925</v>
      </c>
      <c r="CJ42" s="2691">
        <f t="shared" si="57"/>
        <v>0</v>
      </c>
      <c r="CK42" s="6397">
        <f t="shared" si="53"/>
        <v>7.1262612999999995</v>
      </c>
      <c r="CL42" s="5138"/>
      <c r="CM42" s="2488" t="str">
        <f t="shared" si="58"/>
        <v>디지털 바로배송/유심</v>
      </c>
      <c r="CN42" s="2504"/>
      <c r="CO42" s="2504"/>
      <c r="CP42" s="2504"/>
      <c r="CQ42" s="2504"/>
      <c r="CR42" s="2504"/>
      <c r="CS42" s="2504"/>
      <c r="CT42" s="2504"/>
      <c r="CU42" s="2504"/>
      <c r="CV42" s="2504"/>
      <c r="CW42" s="2504"/>
      <c r="CX42" s="2504"/>
      <c r="CY42" s="2504"/>
      <c r="CZ42" s="2505">
        <f t="shared" si="27"/>
        <v>0</v>
      </c>
      <c r="DB42" s="4439"/>
      <c r="DC42" s="4439"/>
      <c r="DF42" s="4439"/>
      <c r="DG42" s="4439"/>
    </row>
    <row r="43" spans="1:111" ht="16.3" customHeight="1" x14ac:dyDescent="0.55000000000000004">
      <c r="A43" s="6153"/>
      <c r="D43" s="2441" t="s">
        <v>799</v>
      </c>
      <c r="E43" s="2441" t="s">
        <v>800</v>
      </c>
      <c r="F43" s="6154"/>
      <c r="G43" s="6155"/>
      <c r="H43" s="6155"/>
      <c r="I43" s="6155"/>
      <c r="J43" s="6155"/>
      <c r="K43" s="6155"/>
      <c r="L43" s="6155"/>
      <c r="M43" s="6155"/>
      <c r="N43" s="6155"/>
      <c r="O43" s="6155"/>
      <c r="P43" s="6155"/>
      <c r="Q43" s="6156"/>
      <c r="R43" s="6155"/>
      <c r="S43" s="6155"/>
      <c r="T43" s="6155"/>
      <c r="U43" s="6155"/>
      <c r="V43" s="6155"/>
      <c r="W43" s="6155"/>
      <c r="X43" s="6155"/>
      <c r="Y43" s="6155"/>
      <c r="Z43" s="6155"/>
      <c r="AA43" s="6155"/>
      <c r="AB43" s="6155"/>
      <c r="AC43" s="6155"/>
      <c r="AD43" s="6154"/>
      <c r="AE43" s="6155"/>
      <c r="AF43" s="6155"/>
      <c r="AG43" s="6155"/>
      <c r="AH43" s="6155"/>
      <c r="AI43" s="6155"/>
      <c r="AJ43" s="6155"/>
      <c r="AK43" s="6155"/>
      <c r="AL43" s="6155"/>
      <c r="AM43" s="6155"/>
      <c r="AN43" s="6155"/>
      <c r="AO43" s="6157"/>
      <c r="AP43" s="6156"/>
      <c r="AQ43" s="6158">
        <v>0.35760000000000003</v>
      </c>
      <c r="AR43" s="6159">
        <v>0.35850000000000004</v>
      </c>
      <c r="AS43" s="6159">
        <v>0.32750000000000001</v>
      </c>
      <c r="AT43" s="6159">
        <v>0.32750000000000001</v>
      </c>
      <c r="AU43" s="6159">
        <v>0.32750000000000001</v>
      </c>
      <c r="AV43" s="6159">
        <v>0.32750000000000001</v>
      </c>
      <c r="AW43" s="6159">
        <v>0.17519999999999999</v>
      </c>
      <c r="AX43" s="6159">
        <v>0.47980000000000006</v>
      </c>
      <c r="AY43" s="6159">
        <v>0.32750000000000001</v>
      </c>
      <c r="AZ43" s="6159">
        <v>0.32750000000000001</v>
      </c>
      <c r="BA43" s="6159">
        <v>0.32750000000000001</v>
      </c>
      <c r="BB43" s="6159">
        <v>0.15229999999999999</v>
      </c>
      <c r="BC43" s="6160">
        <v>3.8159000000000005</v>
      </c>
      <c r="BD43" s="2549">
        <v>0.50269999999999992</v>
      </c>
      <c r="BE43" s="6161">
        <v>0.32780000000000004</v>
      </c>
      <c r="BF43" s="6161">
        <v>0.33110000000000001</v>
      </c>
      <c r="BG43" s="6161">
        <v>0.33110000000000001</v>
      </c>
      <c r="BH43" s="2496">
        <v>0.33110000000000001</v>
      </c>
      <c r="BI43" s="2496">
        <v>0.33110000000000001</v>
      </c>
      <c r="BJ43" s="2496">
        <v>0.33110000000000001</v>
      </c>
      <c r="BK43" s="2496">
        <v>0.33110000000000001</v>
      </c>
      <c r="BL43" s="2496">
        <v>0.33110000000000001</v>
      </c>
      <c r="BM43" s="2496">
        <v>0.33110000000000001</v>
      </c>
      <c r="BN43" s="2496">
        <v>0.33110000000000001</v>
      </c>
      <c r="BO43" s="2496">
        <v>0.97555000000000003</v>
      </c>
      <c r="BP43" s="6162">
        <v>4.7859500000000006</v>
      </c>
      <c r="BQ43" s="2496">
        <v>0.33110000000000001</v>
      </c>
      <c r="BR43" s="6171">
        <v>0.33139999999999997</v>
      </c>
      <c r="BS43" s="6161">
        <v>0.42475833000000002</v>
      </c>
      <c r="BT43" s="6172">
        <v>0.42475833000000002</v>
      </c>
      <c r="BU43" s="6172">
        <v>0.42475833000000002</v>
      </c>
      <c r="BV43" s="6232">
        <v>0.42475833000000002</v>
      </c>
      <c r="BW43" s="2496">
        <v>0.46783332999999999</v>
      </c>
      <c r="BX43" s="2496">
        <v>0.30433333000000001</v>
      </c>
      <c r="BY43" s="6396">
        <v>0.63133333000000003</v>
      </c>
      <c r="BZ43" s="6396">
        <v>0.46783332999999999</v>
      </c>
      <c r="CA43" s="6396">
        <v>0.46783332999999999</v>
      </c>
      <c r="CB43" s="6396">
        <v>0.46783332999999999</v>
      </c>
      <c r="CC43" s="6164">
        <f t="shared" si="54"/>
        <v>0.46783332999999999</v>
      </c>
      <c r="CD43" s="6165">
        <f t="shared" si="55"/>
        <v>0</v>
      </c>
      <c r="CE43" s="6166">
        <f t="shared" si="12"/>
        <v>0</v>
      </c>
      <c r="CF43" s="2509">
        <f t="shared" si="52"/>
        <v>-0.50771666999999998</v>
      </c>
      <c r="CG43" s="2509"/>
      <c r="CH43" s="6399">
        <f t="shared" si="13"/>
        <v>5.1685333000000009</v>
      </c>
      <c r="CI43" s="2506">
        <f t="shared" si="56"/>
        <v>5.1685333000000009</v>
      </c>
      <c r="CJ43" s="2691">
        <f t="shared" si="57"/>
        <v>0</v>
      </c>
      <c r="CK43" s="6397">
        <f t="shared" si="53"/>
        <v>0.38258330000000029</v>
      </c>
      <c r="CL43" s="5138"/>
      <c r="CM43" s="2488" t="str">
        <f t="shared" si="58"/>
        <v>B2B 도급 수수료</v>
      </c>
      <c r="CN43" s="2504"/>
      <c r="CO43" s="2504"/>
      <c r="CP43" s="2504"/>
      <c r="CQ43" s="2504"/>
      <c r="CR43" s="2504"/>
      <c r="CS43" s="2504"/>
      <c r="CT43" s="2504"/>
      <c r="CU43" s="2504"/>
      <c r="CV43" s="2504"/>
      <c r="CW43" s="2504"/>
      <c r="CX43" s="2504"/>
      <c r="CY43" s="2504"/>
      <c r="CZ43" s="2505">
        <f t="shared" si="27"/>
        <v>0</v>
      </c>
      <c r="DB43" s="4439"/>
      <c r="DC43" s="4439"/>
      <c r="DF43" s="4439"/>
      <c r="DG43" s="4439"/>
    </row>
    <row r="44" spans="1:111" ht="16.3" customHeight="1" x14ac:dyDescent="0.55000000000000004">
      <c r="A44" s="6153"/>
      <c r="D44" s="2441" t="s">
        <v>801</v>
      </c>
      <c r="E44" s="6400" t="s">
        <v>1092</v>
      </c>
      <c r="F44" s="6401">
        <f>F38-SUM(F39:F41)</f>
        <v>10.982946369999993</v>
      </c>
      <c r="G44" s="6402">
        <f t="shared" ref="G44:Q44" si="59">G38-SUM(G39:G41)</f>
        <v>12.163958649999998</v>
      </c>
      <c r="H44" s="6402">
        <f t="shared" si="59"/>
        <v>12.461185899999997</v>
      </c>
      <c r="I44" s="6402">
        <f t="shared" si="59"/>
        <v>11.162077459999999</v>
      </c>
      <c r="J44" s="6402">
        <f t="shared" si="59"/>
        <v>1.7996664599999974</v>
      </c>
      <c r="K44" s="6402">
        <f t="shared" si="59"/>
        <v>4.7842231299999973</v>
      </c>
      <c r="L44" s="6402">
        <f t="shared" si="59"/>
        <v>6.9788201499999936</v>
      </c>
      <c r="M44" s="6402">
        <f t="shared" si="59"/>
        <v>4.7936943899999989</v>
      </c>
      <c r="N44" s="6402">
        <f t="shared" si="59"/>
        <v>3.6660438800000001</v>
      </c>
      <c r="O44" s="6402">
        <f t="shared" si="59"/>
        <v>2.5645533500000006</v>
      </c>
      <c r="P44" s="6402">
        <f t="shared" si="59"/>
        <v>3.2475904999999976</v>
      </c>
      <c r="Q44" s="6403">
        <f t="shared" si="59"/>
        <v>2.7454155699999916</v>
      </c>
      <c r="R44" s="6402">
        <v>2.9749746999999993</v>
      </c>
      <c r="S44" s="6402">
        <v>2.8428042499999999</v>
      </c>
      <c r="T44" s="6402">
        <v>2.2683864299999996</v>
      </c>
      <c r="U44" s="6402">
        <v>4.1520101400000007</v>
      </c>
      <c r="V44" s="6402">
        <v>3.7108646600000039</v>
      </c>
      <c r="W44" s="6402">
        <v>3.0531270099999981</v>
      </c>
      <c r="X44" s="6402">
        <v>4.4170993600000035</v>
      </c>
      <c r="Y44" s="6402">
        <v>2.8262584099999963</v>
      </c>
      <c r="Z44" s="6402">
        <v>5.4038866700000021</v>
      </c>
      <c r="AA44" s="6402">
        <v>3.7228725400000027</v>
      </c>
      <c r="AB44" s="6402">
        <v>3.8112904500000031</v>
      </c>
      <c r="AC44" s="6402">
        <v>3.5066465700000005</v>
      </c>
      <c r="AD44" s="6401">
        <f t="shared" ref="AD44:AI44" si="60">AD38-SUM(AD39:AD41)</f>
        <v>5.5204117899999972</v>
      </c>
      <c r="AE44" s="6402">
        <f t="shared" si="60"/>
        <v>2.443211680000001</v>
      </c>
      <c r="AF44" s="6402">
        <f t="shared" si="60"/>
        <v>3.1871936400000038</v>
      </c>
      <c r="AG44" s="6402">
        <f t="shared" si="60"/>
        <v>3.4021384799999979</v>
      </c>
      <c r="AH44" s="6402">
        <f t="shared" si="60"/>
        <v>10.040492850000003</v>
      </c>
      <c r="AI44" s="6402">
        <f t="shared" si="60"/>
        <v>4.131291190000006</v>
      </c>
      <c r="AJ44" s="6402">
        <v>4.2670602500000001</v>
      </c>
      <c r="AK44" s="6402">
        <v>5.5881309399999974</v>
      </c>
      <c r="AL44" s="6402">
        <v>11.19578053</v>
      </c>
      <c r="AM44" s="6402">
        <v>4.520112939999998</v>
      </c>
      <c r="AN44" s="6402">
        <v>4.7418645000000001</v>
      </c>
      <c r="AO44" s="6404">
        <v>7.1480676000000019</v>
      </c>
      <c r="AP44" s="6403"/>
      <c r="AQ44" s="6405">
        <v>4.4938747799999987</v>
      </c>
      <c r="AR44" s="6406">
        <v>3.3987192600000036</v>
      </c>
      <c r="AS44" s="6406">
        <v>10.49726789</v>
      </c>
      <c r="AT44" s="6406">
        <v>-0.54204468000000361</v>
      </c>
      <c r="AU44" s="6406">
        <v>2.8052932000000048</v>
      </c>
      <c r="AV44" s="6406">
        <v>10.012929639999999</v>
      </c>
      <c r="AW44" s="6406">
        <v>0.25041162000000838</v>
      </c>
      <c r="AX44" s="6406">
        <v>3.6520666600000027</v>
      </c>
      <c r="AY44" s="6406">
        <v>13.333396270000005</v>
      </c>
      <c r="AZ44" s="6406">
        <v>-0.77180127999999115</v>
      </c>
      <c r="BA44" s="6406">
        <v>3.7027489600000045</v>
      </c>
      <c r="BB44" s="6406">
        <v>2.6465169199999998</v>
      </c>
      <c r="BC44" s="6407">
        <v>53.479379240000029</v>
      </c>
      <c r="BD44" s="2549">
        <f>BD38-BD39-BD40-BD41-BD42-BD43</f>
        <v>3.8143663499999985</v>
      </c>
      <c r="BE44" s="2549">
        <f t="shared" ref="BE44:BN44" si="61">BE38-BE39-BE40-BE41-BE42-BE43</f>
        <v>4.3410225500000026</v>
      </c>
      <c r="BF44" s="2549">
        <f t="shared" si="61"/>
        <v>3.0909661900000005</v>
      </c>
      <c r="BG44" s="2549">
        <f t="shared" si="61"/>
        <v>8.5705208000000006</v>
      </c>
      <c r="BH44" s="2549">
        <f t="shared" si="61"/>
        <v>2.8855329299999957</v>
      </c>
      <c r="BI44" s="2549">
        <f t="shared" si="61"/>
        <v>8.1304186000000005</v>
      </c>
      <c r="BJ44" s="2549">
        <f t="shared" si="61"/>
        <v>9.2309509899999966</v>
      </c>
      <c r="BK44" s="2549">
        <f t="shared" si="61"/>
        <v>11.20701749</v>
      </c>
      <c r="BL44" s="2549">
        <f t="shared" si="61"/>
        <v>15.480513869999999</v>
      </c>
      <c r="BM44" s="2496">
        <f t="shared" si="61"/>
        <v>-18.396979810000001</v>
      </c>
      <c r="BN44" s="2496">
        <f t="shared" si="61"/>
        <v>12.006325919999998</v>
      </c>
      <c r="BO44" s="2496">
        <v>10.027420709999994</v>
      </c>
      <c r="BP44" s="6162">
        <v>70.388076589999969</v>
      </c>
      <c r="BQ44" s="2496">
        <f t="shared" ref="BQ44:CB44" si="62">BQ38-BQ39-BQ40-BQ41-BQ42-BQ43</f>
        <v>0.61877860999999745</v>
      </c>
      <c r="BR44" s="2496">
        <f t="shared" si="62"/>
        <v>1.2390160199999971</v>
      </c>
      <c r="BS44" s="2496">
        <f t="shared" si="62"/>
        <v>2.6875895499999998</v>
      </c>
      <c r="BT44" s="2496">
        <f t="shared" si="62"/>
        <v>4.1530466300000022</v>
      </c>
      <c r="BU44" s="2496">
        <f t="shared" si="62"/>
        <v>4.1949238599999976</v>
      </c>
      <c r="BV44" s="6232">
        <f t="shared" si="62"/>
        <v>5.2549286499999974</v>
      </c>
      <c r="BW44" s="6232">
        <f t="shared" si="62"/>
        <v>1.4404580800000026</v>
      </c>
      <c r="BX44" s="6232">
        <f t="shared" si="62"/>
        <v>1.0576573200000006</v>
      </c>
      <c r="BY44" s="6396">
        <f t="shared" si="62"/>
        <v>2.1265916700000007</v>
      </c>
      <c r="BZ44" s="6396">
        <f t="shared" si="62"/>
        <v>2.2671254800000034</v>
      </c>
      <c r="CA44" s="6396">
        <f t="shared" si="62"/>
        <v>1.4168310400000022</v>
      </c>
      <c r="CB44" s="6396">
        <f t="shared" si="62"/>
        <v>1.5869505000000061</v>
      </c>
      <c r="CC44" s="6164">
        <f t="shared" si="54"/>
        <v>1.5869505000000061</v>
      </c>
      <c r="CD44" s="6165">
        <f t="shared" si="55"/>
        <v>0</v>
      </c>
      <c r="CE44" s="6166">
        <f t="shared" si="12"/>
        <v>0.170119460000004</v>
      </c>
      <c r="CF44" s="2509">
        <f t="shared" si="52"/>
        <v>-8.4404702099999884</v>
      </c>
      <c r="CG44" s="2509"/>
      <c r="CH44" s="6399">
        <f t="shared" si="13"/>
        <v>28.043897410000007</v>
      </c>
      <c r="CI44" s="2506">
        <f t="shared" si="56"/>
        <v>28.043897410000007</v>
      </c>
      <c r="CJ44" s="2691">
        <f t="shared" si="57"/>
        <v>0</v>
      </c>
      <c r="CK44" s="6397">
        <f t="shared" si="53"/>
        <v>-42.344179179999962</v>
      </c>
      <c r="CL44" s="5138"/>
      <c r="CM44" s="2609" t="str">
        <f t="shared" si="58"/>
        <v>기타도급 및 지원</v>
      </c>
      <c r="CN44" s="2608"/>
      <c r="CO44" s="2608"/>
      <c r="CP44" s="2608"/>
      <c r="CQ44" s="2608"/>
      <c r="CR44" s="2608"/>
      <c r="CS44" s="2608"/>
      <c r="CT44" s="2608"/>
      <c r="CU44" s="2608"/>
      <c r="CV44" s="2608"/>
      <c r="CW44" s="2608"/>
      <c r="CX44" s="2608"/>
      <c r="CY44" s="2608"/>
      <c r="CZ44" s="2505">
        <f t="shared" si="27"/>
        <v>0</v>
      </c>
      <c r="DB44" s="4439"/>
      <c r="DC44" s="4439"/>
      <c r="DF44" s="4439"/>
      <c r="DG44" s="4439"/>
    </row>
    <row r="45" spans="1:111" ht="16.3" customHeight="1" x14ac:dyDescent="0.55000000000000004">
      <c r="A45" s="3695" t="s">
        <v>802</v>
      </c>
      <c r="B45" s="3696"/>
      <c r="C45" s="3696"/>
      <c r="D45" s="3696"/>
      <c r="E45" s="3696"/>
      <c r="F45" s="6408"/>
      <c r="G45" s="6408"/>
      <c r="H45" s="6408"/>
      <c r="I45" s="6408"/>
      <c r="J45" s="6408"/>
      <c r="K45" s="6408"/>
      <c r="L45" s="6408"/>
      <c r="M45" s="6408"/>
      <c r="N45" s="6408"/>
      <c r="O45" s="6408"/>
      <c r="P45" s="6408"/>
      <c r="Q45" s="6195"/>
      <c r="R45" s="7089">
        <v>143.24</v>
      </c>
      <c r="S45" s="7090"/>
      <c r="T45" s="7090"/>
      <c r="U45" s="7090"/>
      <c r="V45" s="7090"/>
      <c r="W45" s="7090"/>
      <c r="X45" s="7090"/>
      <c r="Y45" s="7090"/>
      <c r="Z45" s="7090"/>
      <c r="AA45" s="7090"/>
      <c r="AB45" s="7090"/>
      <c r="AC45" s="7091"/>
      <c r="AD45" s="6175">
        <v>0.70792522999999996</v>
      </c>
      <c r="AE45" s="6175">
        <v>42.509062069999999</v>
      </c>
      <c r="AF45" s="6175">
        <v>0.79514901000000004</v>
      </c>
      <c r="AG45" s="6175">
        <v>0.76218900000000001</v>
      </c>
      <c r="AH45" s="6175">
        <v>24.655640860000002</v>
      </c>
      <c r="AI45" s="6175">
        <v>1.2211345199999999</v>
      </c>
      <c r="AJ45" s="6175">
        <v>1.1505651299999999</v>
      </c>
      <c r="AK45" s="6175">
        <v>21.463901719999999</v>
      </c>
      <c r="AL45" s="6175">
        <v>3.1823472000000002</v>
      </c>
      <c r="AM45" s="6175">
        <v>8.6464857599999991</v>
      </c>
      <c r="AN45" s="6175">
        <v>39.035453340000004</v>
      </c>
      <c r="AO45" s="6175">
        <v>20.492119030000001</v>
      </c>
      <c r="AP45" s="6176"/>
      <c r="AQ45" s="6158">
        <v>18.928360340000001</v>
      </c>
      <c r="AR45" s="6159">
        <v>20.335121540000003</v>
      </c>
      <c r="AS45" s="6159">
        <v>6.3679558799999993</v>
      </c>
      <c r="AT45" s="6159">
        <v>24.460072720000003</v>
      </c>
      <c r="AU45" s="6159">
        <v>44.869621799999997</v>
      </c>
      <c r="AV45" s="6159">
        <v>8.6601766800000011</v>
      </c>
      <c r="AW45" s="6159">
        <v>6.3792729900000005</v>
      </c>
      <c r="AX45" s="6159">
        <v>23.082350550000005</v>
      </c>
      <c r="AY45" s="6159">
        <v>35.430343689999994</v>
      </c>
      <c r="AZ45" s="6159">
        <v>29.941806799999995</v>
      </c>
      <c r="BA45" s="6159">
        <v>10.209993839999999</v>
      </c>
      <c r="BB45" s="6159">
        <v>38.688365940000004</v>
      </c>
      <c r="BC45" s="6170">
        <v>267.35344277000002</v>
      </c>
      <c r="BD45" s="6180">
        <f>BD50+BD53</f>
        <v>3.4654510200000006</v>
      </c>
      <c r="BE45" s="6181">
        <f t="shared" ref="BE45:BN45" si="63">BE50+BE53</f>
        <v>17.0704627</v>
      </c>
      <c r="BF45" s="6181">
        <f t="shared" si="63"/>
        <v>27.816198369999999</v>
      </c>
      <c r="BG45" s="6181">
        <f t="shared" si="63"/>
        <v>58.840943319999994</v>
      </c>
      <c r="BH45" s="6181">
        <f t="shared" si="63"/>
        <v>27.214978209999998</v>
      </c>
      <c r="BI45" s="6181">
        <f t="shared" si="63"/>
        <v>8.2465206299999991</v>
      </c>
      <c r="BJ45" s="6181">
        <f t="shared" si="63"/>
        <v>13.776593630000001</v>
      </c>
      <c r="BK45" s="6181">
        <f t="shared" si="63"/>
        <v>52.579342339999997</v>
      </c>
      <c r="BL45" s="6181">
        <f t="shared" si="63"/>
        <v>58.627212620000002</v>
      </c>
      <c r="BM45" s="6181">
        <f t="shared" si="63"/>
        <v>67.124182419999997</v>
      </c>
      <c r="BN45" s="6181">
        <f t="shared" si="63"/>
        <v>36.980414979999999</v>
      </c>
      <c r="BO45" s="6181">
        <f>BO50+BO53</f>
        <v>27.82991784</v>
      </c>
      <c r="BP45" s="6182">
        <v>399.57221808000003</v>
      </c>
      <c r="BQ45" s="6183">
        <f>BQ50+BQ53</f>
        <v>27.073064489999997</v>
      </c>
      <c r="BR45" s="6183">
        <f>BR50+BR53</f>
        <v>66.257026330000002</v>
      </c>
      <c r="BS45" s="6183">
        <f>BS50+BS53</f>
        <v>48.406044970000004</v>
      </c>
      <c r="BT45" s="6183">
        <f>BT50+BT53</f>
        <v>36.010909999999996</v>
      </c>
      <c r="BU45" s="6183">
        <f t="shared" ref="BU45:BX45" si="64">BU50+BU53</f>
        <v>42.548448689999994</v>
      </c>
      <c r="BV45" s="6183">
        <f t="shared" si="64"/>
        <v>47.556311380000004</v>
      </c>
      <c r="BW45" s="6183">
        <f t="shared" si="64"/>
        <v>56.698631220000003</v>
      </c>
      <c r="BX45" s="6183">
        <f t="shared" si="64"/>
        <v>58.199155399999995</v>
      </c>
      <c r="BY45" s="6181">
        <v>57.037023900000001</v>
      </c>
      <c r="BZ45" s="6181">
        <v>46.116051409999997</v>
      </c>
      <c r="CA45" s="6181">
        <v>54.328418509999999</v>
      </c>
      <c r="CB45" s="6181">
        <v>16.35315396</v>
      </c>
      <c r="CC45" s="6185">
        <f t="shared" si="54"/>
        <v>-4914.4368884889473</v>
      </c>
      <c r="CD45" s="6226">
        <f t="shared" si="55"/>
        <v>3.3165382868093028E-3</v>
      </c>
      <c r="CE45" s="6187">
        <f t="shared" si="12"/>
        <v>-37.975264549999999</v>
      </c>
      <c r="CF45" s="6188">
        <f t="shared" si="52"/>
        <v>-11.47676388</v>
      </c>
      <c r="CG45" s="6188"/>
      <c r="CH45" s="6227">
        <f t="shared" si="13"/>
        <v>556.58424025999989</v>
      </c>
      <c r="CI45" s="6409">
        <f t="shared" si="56"/>
        <v>-6200.2817380039778</v>
      </c>
      <c r="CJ45" s="6228">
        <f t="shared" si="57"/>
        <v>8.2373136014605622E-2</v>
      </c>
      <c r="CK45" s="6190">
        <f t="shared" si="53"/>
        <v>157.01202217999986</v>
      </c>
      <c r="CL45" s="5138"/>
      <c r="CM45" s="2488" t="str">
        <f>A45</f>
        <v>유통플랫폼사업 매출</v>
      </c>
      <c r="CN45" s="6191">
        <v>2907.1101486883763</v>
      </c>
      <c r="CO45" s="6191">
        <v>3849.7558295756016</v>
      </c>
      <c r="CP45" s="6191">
        <v>3994.4692834900084</v>
      </c>
      <c r="CQ45" s="6191">
        <v>4934.8148210023528</v>
      </c>
      <c r="CR45" s="6191">
        <v>3491.4981865131303</v>
      </c>
      <c r="CS45" s="6191">
        <v>3269.4351718053213</v>
      </c>
      <c r="CT45" s="6191">
        <v>3009.3001486883759</v>
      </c>
      <c r="CU45" s="6191">
        <v>3740.0667492264347</v>
      </c>
      <c r="CV45" s="6191">
        <v>3601.6203799365203</v>
      </c>
      <c r="CW45" s="6191">
        <v>5000.5132270939039</v>
      </c>
      <c r="CX45" s="6191">
        <v>4930.7900424489471</v>
      </c>
      <c r="CY45" s="6191">
        <v>4930.7900424489471</v>
      </c>
      <c r="CZ45" s="2507">
        <f t="shared" si="27"/>
        <v>47660.164030917927</v>
      </c>
      <c r="DB45" s="4439"/>
      <c r="DC45" s="4439"/>
      <c r="DF45" s="4439"/>
      <c r="DG45" s="4439"/>
    </row>
    <row r="46" spans="1:111" ht="16.3" customHeight="1" x14ac:dyDescent="0.55000000000000004">
      <c r="A46" s="6153"/>
      <c r="C46" s="2441" t="s">
        <v>106</v>
      </c>
      <c r="F46" s="6408"/>
      <c r="G46" s="6408"/>
      <c r="H46" s="6408"/>
      <c r="I46" s="6408"/>
      <c r="J46" s="6408"/>
      <c r="K46" s="6408"/>
      <c r="L46" s="6408"/>
      <c r="M46" s="6408"/>
      <c r="N46" s="6408"/>
      <c r="O46" s="6408"/>
      <c r="P46" s="6408"/>
      <c r="Q46" s="6195"/>
      <c r="R46" s="6193"/>
      <c r="S46" s="6408"/>
      <c r="T46" s="6408"/>
      <c r="U46" s="6408"/>
      <c r="V46" s="6408"/>
      <c r="W46" s="6408"/>
      <c r="X46" s="6408"/>
      <c r="Y46" s="6408"/>
      <c r="Z46" s="6408"/>
      <c r="AA46" s="6408"/>
      <c r="AB46" s="6408"/>
      <c r="AC46" s="6195"/>
      <c r="AD46" s="6155">
        <v>0</v>
      </c>
      <c r="AE46" s="6155">
        <v>42.002751269999997</v>
      </c>
      <c r="AF46" s="6155">
        <v>0</v>
      </c>
      <c r="AG46" s="6155">
        <v>0</v>
      </c>
      <c r="AH46" s="6155">
        <v>22.933459920000001</v>
      </c>
      <c r="AI46" s="6155">
        <v>0</v>
      </c>
      <c r="AJ46" s="6155">
        <v>0</v>
      </c>
      <c r="AK46" s="6155">
        <v>20.532201199999999</v>
      </c>
      <c r="AL46" s="6155">
        <v>0</v>
      </c>
      <c r="AM46" s="6155">
        <v>6.133248</v>
      </c>
      <c r="AN46" s="6155">
        <v>30.815623339999998</v>
      </c>
      <c r="AO46" s="6157">
        <v>14.310486449999999</v>
      </c>
      <c r="AP46" s="6156"/>
      <c r="AQ46" s="6158">
        <v>17.558160740000002</v>
      </c>
      <c r="AR46" s="6159">
        <v>18.645582400000002</v>
      </c>
      <c r="AS46" s="6159">
        <v>4.5061599999999995</v>
      </c>
      <c r="AT46" s="6159">
        <v>22.357863399999999</v>
      </c>
      <c r="AU46" s="6159">
        <v>37.613899599999996</v>
      </c>
      <c r="AV46" s="6159">
        <v>0</v>
      </c>
      <c r="AW46" s="6159">
        <v>0</v>
      </c>
      <c r="AX46" s="6159">
        <v>0</v>
      </c>
      <c r="AY46" s="6159">
        <v>27.401271999999999</v>
      </c>
      <c r="AZ46" s="6159">
        <v>8.6376131999999988</v>
      </c>
      <c r="BA46" s="6159">
        <v>0</v>
      </c>
      <c r="BB46" s="6159">
        <v>30.763149800000001</v>
      </c>
      <c r="BC46" s="6160">
        <v>167.48370114000002</v>
      </c>
      <c r="BD46" s="2549">
        <v>0</v>
      </c>
      <c r="BE46" s="6161">
        <v>12.523212289999998</v>
      </c>
      <c r="BF46" s="6161">
        <v>19.657249660000002</v>
      </c>
      <c r="BG46" s="2496">
        <v>41.176872719999999</v>
      </c>
      <c r="BH46" s="2496">
        <v>8.1741848400000006</v>
      </c>
      <c r="BI46" s="2496">
        <v>3.1105545399999999</v>
      </c>
      <c r="BJ46" s="2496">
        <v>0</v>
      </c>
      <c r="BK46" s="2496">
        <v>23.874692360000001</v>
      </c>
      <c r="BL46" s="2496">
        <v>26.838303629999999</v>
      </c>
      <c r="BM46" s="2496">
        <v>27.355619999999998</v>
      </c>
      <c r="BN46" s="2496">
        <v>9.0598167200000006</v>
      </c>
      <c r="BO46" s="2496">
        <v>6.4741745399999999</v>
      </c>
      <c r="BP46" s="6162">
        <v>178.2446813</v>
      </c>
      <c r="BQ46" s="6163">
        <v>6.2247795200000002</v>
      </c>
      <c r="BR46" s="6171">
        <v>41.723454240000002</v>
      </c>
      <c r="BS46" s="6161">
        <v>33.803715529999998</v>
      </c>
      <c r="BT46" s="6163">
        <v>17.317671820000001</v>
      </c>
      <c r="BU46" s="6163">
        <v>33.886691740000003</v>
      </c>
      <c r="BV46" s="6163">
        <v>36.226487110000001</v>
      </c>
      <c r="BW46" s="2496">
        <v>38.549267039999997</v>
      </c>
      <c r="BX46" s="2496">
        <v>44.359253440000003</v>
      </c>
      <c r="BY46" s="2496">
        <v>38.491672719999997</v>
      </c>
      <c r="BZ46" s="2496">
        <v>32.401693850000001</v>
      </c>
      <c r="CA46" s="2496">
        <v>38.025056239999998</v>
      </c>
      <c r="CB46" s="2496">
        <v>8.4948652300000003</v>
      </c>
      <c r="CC46" s="6164">
        <f t="shared" si="54"/>
        <v>-1842.2718438856141</v>
      </c>
      <c r="CD46" s="6165">
        <f t="shared" si="55"/>
        <v>4.5899168102387462E-3</v>
      </c>
      <c r="CE46" s="6166">
        <f t="shared" si="12"/>
        <v>-29.530191009999996</v>
      </c>
      <c r="CF46" s="2509">
        <f t="shared" si="52"/>
        <v>2.0206906900000003</v>
      </c>
      <c r="CG46" s="2509"/>
      <c r="CH46" s="6399">
        <f t="shared" si="13"/>
        <v>369.50460848000006</v>
      </c>
      <c r="CI46" s="2506">
        <f t="shared" si="56"/>
        <v>-233.69470311731078</v>
      </c>
      <c r="CJ46" s="2691">
        <f t="shared" si="57"/>
        <v>0.61257465215191964</v>
      </c>
      <c r="CK46" s="6397">
        <f t="shared" si="53"/>
        <v>191.25992718000006</v>
      </c>
      <c r="CL46" s="5138"/>
      <c r="CM46" s="2488" t="str">
        <f>C46</f>
        <v>시연폰</v>
      </c>
      <c r="CN46" s="6410">
        <v>0</v>
      </c>
      <c r="CO46" s="6410">
        <v>603.19931159731084</v>
      </c>
      <c r="CP46" s="6410">
        <v>917.44595015667505</v>
      </c>
      <c r="CQ46" s="6410">
        <v>1857.7914876690199</v>
      </c>
      <c r="CR46" s="6410">
        <v>412.47485317979664</v>
      </c>
      <c r="CS46" s="6410">
        <v>190.41183847198761</v>
      </c>
      <c r="CT46" s="6410">
        <v>0</v>
      </c>
      <c r="CU46" s="6410">
        <v>591.32023124814441</v>
      </c>
      <c r="CV46" s="6410">
        <v>591.32023124814441</v>
      </c>
      <c r="CW46" s="6410">
        <v>1850.766709115614</v>
      </c>
      <c r="CX46" s="6410">
        <v>1850.766709115614</v>
      </c>
      <c r="CY46" s="6410">
        <v>1850.766709115614</v>
      </c>
      <c r="CZ46" s="2505">
        <f t="shared" si="27"/>
        <v>10716.264030917922</v>
      </c>
      <c r="DB46" s="4439"/>
      <c r="DC46" s="4439"/>
      <c r="DF46" s="4439"/>
      <c r="DG46" s="4439"/>
    </row>
    <row r="47" spans="1:111" ht="16.3" customHeight="1" x14ac:dyDescent="0.55000000000000004">
      <c r="A47" s="6153"/>
      <c r="C47" s="2441" t="s">
        <v>107</v>
      </c>
      <c r="F47" s="6408"/>
      <c r="G47" s="6408"/>
      <c r="H47" s="6408"/>
      <c r="I47" s="6408"/>
      <c r="J47" s="6408"/>
      <c r="K47" s="6408"/>
      <c r="L47" s="6408"/>
      <c r="M47" s="6408"/>
      <c r="N47" s="6408"/>
      <c r="O47" s="6408"/>
      <c r="P47" s="6408"/>
      <c r="Q47" s="6195"/>
      <c r="R47" s="6193"/>
      <c r="S47" s="6408"/>
      <c r="T47" s="6408"/>
      <c r="U47" s="6408"/>
      <c r="V47" s="6408"/>
      <c r="W47" s="6408"/>
      <c r="X47" s="6408"/>
      <c r="Y47" s="6408"/>
      <c r="Z47" s="6408"/>
      <c r="AA47" s="6408"/>
      <c r="AB47" s="6408"/>
      <c r="AC47" s="6195"/>
      <c r="AD47" s="6155">
        <v>0</v>
      </c>
      <c r="AE47" s="6155">
        <v>1.5018E-3</v>
      </c>
      <c r="AF47" s="6155">
        <v>1.1877000000000001E-3</v>
      </c>
      <c r="AG47" s="6155">
        <v>1.2255E-3</v>
      </c>
      <c r="AH47" s="6155">
        <v>0.18850764</v>
      </c>
      <c r="AI47" s="6155">
        <v>0</v>
      </c>
      <c r="AJ47" s="6155">
        <v>3.8850699999999995E-2</v>
      </c>
      <c r="AK47" s="6155">
        <v>2.36805E-2</v>
      </c>
      <c r="AL47" s="6155">
        <v>6.4839499999999994E-2</v>
      </c>
      <c r="AM47" s="6155">
        <v>6.5674720000000006E-2</v>
      </c>
      <c r="AN47" s="6155">
        <v>5.7326500000000002E-2</v>
      </c>
      <c r="AO47" s="6157">
        <v>5.2946500000000001E-2</v>
      </c>
      <c r="AP47" s="6156"/>
      <c r="AQ47" s="6158">
        <v>0.31406331999999998</v>
      </c>
      <c r="AR47" s="6159">
        <v>8.7426999999999991E-2</v>
      </c>
      <c r="AS47" s="6159">
        <v>7.0408499999999999E-2</v>
      </c>
      <c r="AT47" s="6159">
        <v>1.762E-2</v>
      </c>
      <c r="AU47" s="6159">
        <v>4.4458969999999995</v>
      </c>
      <c r="AV47" s="6159">
        <v>4.7673085999999998</v>
      </c>
      <c r="AW47" s="6159">
        <v>3.9633629999999997</v>
      </c>
      <c r="AX47" s="6159">
        <v>18.96047798</v>
      </c>
      <c r="AY47" s="6159">
        <v>5.2997445000000001</v>
      </c>
      <c r="AZ47" s="6159">
        <v>19.070398999999998</v>
      </c>
      <c r="BA47" s="6159">
        <v>8.6262544999999999</v>
      </c>
      <c r="BB47" s="6159">
        <v>7.1969756800000004</v>
      </c>
      <c r="BC47" s="6160">
        <v>72.819939079999997</v>
      </c>
      <c r="BD47" s="2549">
        <v>2.3468045000000002</v>
      </c>
      <c r="BE47" s="6161">
        <v>0.51050499999999988</v>
      </c>
      <c r="BF47" s="6161">
        <v>7.1351486399999997</v>
      </c>
      <c r="BG47" s="2496">
        <v>13.683895459999999</v>
      </c>
      <c r="BH47" s="2496">
        <v>16.88595454</v>
      </c>
      <c r="BI47" s="2496">
        <v>3.9140000000000001</v>
      </c>
      <c r="BJ47" s="2496">
        <v>11.792809999999999</v>
      </c>
      <c r="BK47" s="2496">
        <v>19.230899090000001</v>
      </c>
      <c r="BL47" s="2496">
        <v>23.088423639999998</v>
      </c>
      <c r="BM47" s="2496">
        <v>25.66321159</v>
      </c>
      <c r="BN47" s="2496">
        <v>15.651435449999999</v>
      </c>
      <c r="BO47" s="2496">
        <v>2.3071636400000002</v>
      </c>
      <c r="BP47" s="6162">
        <v>142.21025155000001</v>
      </c>
      <c r="BQ47" s="6163">
        <v>5.1468545299999997</v>
      </c>
      <c r="BR47" s="6171">
        <v>7.8131886499999998</v>
      </c>
      <c r="BS47" s="6161">
        <v>4.2391668100000004</v>
      </c>
      <c r="BT47" s="6163">
        <v>9.1465706600000001</v>
      </c>
      <c r="BU47" s="6163">
        <v>2.31143455</v>
      </c>
      <c r="BV47" s="6163">
        <v>5.93451182</v>
      </c>
      <c r="BW47" s="2496">
        <v>12.66002535</v>
      </c>
      <c r="BX47" s="2496">
        <v>11.85544908</v>
      </c>
      <c r="BY47" s="2496">
        <v>13.403727269999999</v>
      </c>
      <c r="BZ47" s="2496">
        <v>8.2778563599999995</v>
      </c>
      <c r="CA47" s="2496">
        <v>13.30973724</v>
      </c>
      <c r="CB47" s="2496">
        <v>5.8643154400000004</v>
      </c>
      <c r="CC47" s="6164">
        <f t="shared" si="54"/>
        <v>-1994.1356845600001</v>
      </c>
      <c r="CD47" s="6165">
        <f t="shared" si="55"/>
        <v>2.9321577200000001E-3</v>
      </c>
      <c r="CE47" s="6166">
        <f t="shared" si="12"/>
        <v>-7.4454218000000001</v>
      </c>
      <c r="CF47" s="2509">
        <f t="shared" si="52"/>
        <v>3.5571518000000002</v>
      </c>
      <c r="CG47" s="2509"/>
      <c r="CH47" s="6399">
        <f t="shared" si="13"/>
        <v>99.962837759999999</v>
      </c>
      <c r="CI47" s="2506">
        <f t="shared" si="56"/>
        <v>-3900.0371622399998</v>
      </c>
      <c r="CJ47" s="2691">
        <f t="shared" si="57"/>
        <v>2.4990709440000002E-2</v>
      </c>
      <c r="CK47" s="6397">
        <f t="shared" si="53"/>
        <v>-42.24741379000001</v>
      </c>
      <c r="CL47" s="5138"/>
      <c r="CM47" s="2488" t="str">
        <f>C47</f>
        <v>굿바이</v>
      </c>
      <c r="CN47" s="6410">
        <v>2000</v>
      </c>
      <c r="CO47" s="6410">
        <v>2000</v>
      </c>
      <c r="CP47" s="6410">
        <v>2000</v>
      </c>
      <c r="CQ47" s="6410">
        <v>2000</v>
      </c>
      <c r="CR47" s="6410">
        <v>2000</v>
      </c>
      <c r="CS47" s="6410">
        <v>2000</v>
      </c>
      <c r="CT47" s="6410">
        <v>2000</v>
      </c>
      <c r="CU47" s="6410">
        <v>2000</v>
      </c>
      <c r="CV47" s="6410">
        <v>2000</v>
      </c>
      <c r="CW47" s="6410">
        <v>2000</v>
      </c>
      <c r="CX47" s="6410">
        <v>2000</v>
      </c>
      <c r="CY47" s="6410">
        <v>2000</v>
      </c>
      <c r="CZ47" s="2505">
        <f t="shared" si="27"/>
        <v>24000</v>
      </c>
      <c r="DB47" s="4439"/>
      <c r="DC47" s="4439"/>
      <c r="DF47" s="4439"/>
      <c r="DG47" s="4439"/>
    </row>
    <row r="48" spans="1:111" ht="16.3" customHeight="1" x14ac:dyDescent="0.55000000000000004">
      <c r="A48" s="6153"/>
      <c r="C48" s="2441" t="s">
        <v>108</v>
      </c>
      <c r="F48" s="6408"/>
      <c r="G48" s="6408"/>
      <c r="H48" s="6408"/>
      <c r="I48" s="6408"/>
      <c r="J48" s="6408"/>
      <c r="K48" s="6408"/>
      <c r="L48" s="6408"/>
      <c r="M48" s="6408"/>
      <c r="N48" s="6408"/>
      <c r="O48" s="6408"/>
      <c r="P48" s="6408"/>
      <c r="Q48" s="6195"/>
      <c r="R48" s="6193"/>
      <c r="S48" s="6408"/>
      <c r="T48" s="6408"/>
      <c r="U48" s="6408"/>
      <c r="V48" s="6408"/>
      <c r="W48" s="6408"/>
      <c r="X48" s="6408"/>
      <c r="Y48" s="6408"/>
      <c r="Z48" s="6408"/>
      <c r="AA48" s="6408"/>
      <c r="AB48" s="6408"/>
      <c r="AC48" s="6195"/>
      <c r="AD48" s="6155">
        <v>0</v>
      </c>
      <c r="AE48" s="6155">
        <v>0</v>
      </c>
      <c r="AF48" s="6155">
        <v>0</v>
      </c>
      <c r="AG48" s="6155">
        <v>0</v>
      </c>
      <c r="AH48" s="6155">
        <v>0</v>
      </c>
      <c r="AI48" s="6155">
        <v>0</v>
      </c>
      <c r="AJ48" s="6155">
        <v>0</v>
      </c>
      <c r="AK48" s="6155">
        <v>8.6972729999999998E-2</v>
      </c>
      <c r="AL48" s="6155">
        <v>2.1517505499999996</v>
      </c>
      <c r="AM48" s="6155">
        <v>1.1831123600000002</v>
      </c>
      <c r="AN48" s="6155">
        <v>7.2881978299999997</v>
      </c>
      <c r="AO48" s="6157">
        <v>5.0096112699999997</v>
      </c>
      <c r="AP48" s="6156"/>
      <c r="AQ48" s="6158">
        <v>0.20109090999999998</v>
      </c>
      <c r="AR48" s="6159">
        <v>1.10161018</v>
      </c>
      <c r="AS48" s="6159">
        <v>1.31764773</v>
      </c>
      <c r="AT48" s="6159">
        <v>1.64691371</v>
      </c>
      <c r="AU48" s="6159">
        <v>2.02553764</v>
      </c>
      <c r="AV48" s="6159">
        <v>3.0005778600000004</v>
      </c>
      <c r="AW48" s="6159">
        <v>1.65249552</v>
      </c>
      <c r="AX48" s="6159">
        <v>3.2620175599999999</v>
      </c>
      <c r="AY48" s="6159">
        <v>2.2386986499999999</v>
      </c>
      <c r="AZ48" s="6159">
        <v>1.1238791000000001</v>
      </c>
      <c r="BA48" s="6159">
        <v>0.81183922999999991</v>
      </c>
      <c r="BB48" s="6159">
        <v>0.36171345999999999</v>
      </c>
      <c r="BC48" s="6160">
        <v>18.744021550000003</v>
      </c>
      <c r="BD48" s="2549">
        <v>1.11864652</v>
      </c>
      <c r="BE48" s="6161">
        <v>3.4670918199999998</v>
      </c>
      <c r="BF48" s="6161">
        <v>0.79960006999999989</v>
      </c>
      <c r="BG48" s="2496">
        <v>3.4319926399999998</v>
      </c>
      <c r="BH48" s="2496">
        <v>1.79293883</v>
      </c>
      <c r="BI48" s="2496">
        <v>0.85896609000000002</v>
      </c>
      <c r="BJ48" s="2496">
        <v>1.61878363</v>
      </c>
      <c r="BK48" s="2496">
        <v>9.1338508899999997</v>
      </c>
      <c r="BL48" s="2496">
        <v>8.3936853500000002</v>
      </c>
      <c r="BM48" s="2496">
        <v>13.81075083</v>
      </c>
      <c r="BN48" s="2496">
        <v>11.966562810000001</v>
      </c>
      <c r="BO48" s="2496">
        <v>18.75037966</v>
      </c>
      <c r="BP48" s="6162">
        <v>75.143249139999995</v>
      </c>
      <c r="BQ48" s="6163">
        <v>15.04792136</v>
      </c>
      <c r="BR48" s="6171">
        <v>15.968165239999999</v>
      </c>
      <c r="BS48" s="6161">
        <v>9.4010444500000006</v>
      </c>
      <c r="BT48" s="6163">
        <v>6.3480070599999996</v>
      </c>
      <c r="BU48" s="6163">
        <v>5.4892405799999997</v>
      </c>
      <c r="BV48" s="6163">
        <v>4.7302215399999996</v>
      </c>
      <c r="BW48" s="2496">
        <v>3.7068985400000001</v>
      </c>
      <c r="BX48" s="2496">
        <v>0.78530741999999998</v>
      </c>
      <c r="BY48" s="2496">
        <v>2.3982148200000002</v>
      </c>
      <c r="BZ48" s="2496">
        <v>1.7681286899999999</v>
      </c>
      <c r="CA48" s="2496">
        <v>0.50962746000000003</v>
      </c>
      <c r="CB48" s="2496">
        <v>0.35757329999999998</v>
      </c>
      <c r="CC48" s="6164">
        <f t="shared" si="54"/>
        <v>-334.47576003333324</v>
      </c>
      <c r="CD48" s="6165">
        <f t="shared" si="55"/>
        <v>1.0679142857142859E-3</v>
      </c>
      <c r="CE48" s="6166">
        <f t="shared" si="12"/>
        <v>-0.15205416000000005</v>
      </c>
      <c r="CF48" s="2509">
        <f t="shared" si="52"/>
        <v>-18.392806360000002</v>
      </c>
      <c r="CG48" s="2509"/>
      <c r="CH48" s="6399">
        <f t="shared" si="13"/>
        <v>66.510350460000012</v>
      </c>
      <c r="CI48" s="2506">
        <f t="shared" si="56"/>
        <v>-603.15631620666659</v>
      </c>
      <c r="CJ48" s="2691">
        <f t="shared" si="57"/>
        <v>9.9318592025883543E-2</v>
      </c>
      <c r="CK48" s="6397">
        <f t="shared" si="53"/>
        <v>-8.6328986799999825</v>
      </c>
      <c r="CL48" s="5138"/>
      <c r="CM48" s="2488" t="str">
        <f>C48</f>
        <v>코코넛</v>
      </c>
      <c r="CN48" s="6410">
        <v>265.11014868837623</v>
      </c>
      <c r="CO48" s="6410">
        <v>404.5565179782904</v>
      </c>
      <c r="CP48" s="6410">
        <v>334.83333333333326</v>
      </c>
      <c r="CQ48" s="6410">
        <v>334.83333333333326</v>
      </c>
      <c r="CR48" s="6410">
        <v>334.83333333333326</v>
      </c>
      <c r="CS48" s="6410">
        <v>334.83333333333326</v>
      </c>
      <c r="CT48" s="6410">
        <v>265.11014868837623</v>
      </c>
      <c r="CU48" s="6410">
        <v>404.5565179782904</v>
      </c>
      <c r="CV48" s="6410">
        <v>265.11014868837623</v>
      </c>
      <c r="CW48" s="6410">
        <v>404.5565179782904</v>
      </c>
      <c r="CX48" s="6410">
        <v>334.83333333333326</v>
      </c>
      <c r="CY48" s="6410">
        <v>334.83333333333326</v>
      </c>
      <c r="CZ48" s="2505">
        <f t="shared" si="27"/>
        <v>4017.9999999999991</v>
      </c>
      <c r="DB48" s="4439"/>
      <c r="DC48" s="4439"/>
      <c r="DF48" s="4439"/>
      <c r="DG48" s="4439"/>
    </row>
    <row r="49" spans="1:111" ht="16.3" customHeight="1" x14ac:dyDescent="0.55000000000000004">
      <c r="A49" s="6153"/>
      <c r="C49" s="2441" t="s">
        <v>1124</v>
      </c>
      <c r="F49" s="6408"/>
      <c r="G49" s="6408"/>
      <c r="H49" s="6408"/>
      <c r="I49" s="6408"/>
      <c r="J49" s="6408"/>
      <c r="K49" s="6408"/>
      <c r="L49" s="6408"/>
      <c r="M49" s="6408"/>
      <c r="N49" s="6408"/>
      <c r="O49" s="6408"/>
      <c r="P49" s="6408"/>
      <c r="Q49" s="6195"/>
      <c r="R49" s="6193"/>
      <c r="S49" s="6408"/>
      <c r="T49" s="6408"/>
      <c r="U49" s="6408"/>
      <c r="V49" s="6408"/>
      <c r="W49" s="6408"/>
      <c r="X49" s="6408"/>
      <c r="Y49" s="6408"/>
      <c r="Z49" s="6408"/>
      <c r="AA49" s="6408"/>
      <c r="AB49" s="6408"/>
      <c r="AC49" s="6195"/>
      <c r="AD49" s="6155">
        <v>0.70701919999999996</v>
      </c>
      <c r="AE49" s="6155">
        <v>0.50480899999999995</v>
      </c>
      <c r="AF49" s="6155">
        <v>0.79396131000000003</v>
      </c>
      <c r="AG49" s="6155">
        <v>0.76096350000000001</v>
      </c>
      <c r="AH49" s="6155">
        <v>1.5336733</v>
      </c>
      <c r="AI49" s="6155">
        <v>1.2211345199999999</v>
      </c>
      <c r="AJ49" s="6155">
        <v>1.1117144299999999</v>
      </c>
      <c r="AK49" s="6155">
        <v>0.8210472899999991</v>
      </c>
      <c r="AL49" s="6155">
        <v>0.9657571500000004</v>
      </c>
      <c r="AM49" s="6155">
        <v>1.2644506799999997</v>
      </c>
      <c r="AN49" s="6155">
        <v>0.87430567000000181</v>
      </c>
      <c r="AO49" s="6157">
        <v>1.1190748100000023</v>
      </c>
      <c r="AP49" s="6156"/>
      <c r="AQ49" s="6158">
        <v>0.85504537000000003</v>
      </c>
      <c r="AR49" s="6159">
        <v>0.50050196000000002</v>
      </c>
      <c r="AS49" s="6159">
        <v>0.47373964999999996</v>
      </c>
      <c r="AT49" s="6159">
        <v>0.43767560999999999</v>
      </c>
      <c r="AU49" s="6159">
        <v>0.78428756000000011</v>
      </c>
      <c r="AV49" s="6159">
        <v>0.89229022000000002</v>
      </c>
      <c r="AW49" s="6159">
        <v>0.76341447000000007</v>
      </c>
      <c r="AX49" s="6159">
        <v>0.85985500999999998</v>
      </c>
      <c r="AY49" s="6159">
        <v>0.49062854</v>
      </c>
      <c r="AZ49" s="6159">
        <v>1.1099155000000001</v>
      </c>
      <c r="BA49" s="6159">
        <v>0.77190011000000003</v>
      </c>
      <c r="BB49" s="6159">
        <v>0.36652700000000005</v>
      </c>
      <c r="BC49" s="6160">
        <v>8.3057810000000014</v>
      </c>
      <c r="BD49" s="2549">
        <v>0</v>
      </c>
      <c r="BE49" s="6161">
        <v>0.56965359000000004</v>
      </c>
      <c r="BF49" s="6161">
        <v>0.22420000000000001</v>
      </c>
      <c r="BG49" s="2496">
        <v>0.54818250000000002</v>
      </c>
      <c r="BH49" s="2496">
        <v>0.3619</v>
      </c>
      <c r="BI49" s="2496">
        <v>0.36299999999999999</v>
      </c>
      <c r="BJ49" s="2496">
        <v>0.36499999999999999</v>
      </c>
      <c r="BK49" s="2496">
        <v>0.33989999999999998</v>
      </c>
      <c r="BL49" s="2496">
        <v>0.30680000000000002</v>
      </c>
      <c r="BM49" s="2496">
        <v>0.29459999999999997</v>
      </c>
      <c r="BN49" s="2496">
        <v>0.30260000000000004</v>
      </c>
      <c r="BO49" s="2496">
        <v>0.29820000000000002</v>
      </c>
      <c r="BP49" s="6162">
        <v>3.9740360899999998</v>
      </c>
      <c r="BQ49" s="6163">
        <f t="shared" ref="BQ49" si="65">BQ45-BQ46-BQ47-BQ48</f>
        <v>0.65350907999999563</v>
      </c>
      <c r="BR49" s="6171">
        <f t="shared" ref="BR49" si="66">BR45-BR46-BR47-BR48</f>
        <v>0.75221819999999973</v>
      </c>
      <c r="BS49" s="6161">
        <f t="shared" ref="BS49" si="67">BS45-BS46-BS47-BS48</f>
        <v>0.96211818000000449</v>
      </c>
      <c r="BT49" s="6163">
        <f t="shared" ref="BT49" si="68">BT45-BT46-BT47-BT48</f>
        <v>3.1986604599999948</v>
      </c>
      <c r="BU49" s="6163">
        <f t="shared" ref="BU49" si="69">BU45-BU46-BU47-BU48</f>
        <v>0.861081819999991</v>
      </c>
      <c r="BV49" s="6163">
        <f t="shared" ref="BV49" si="70">BV45-BV46-BV47-BV48</f>
        <v>0.66509091000000353</v>
      </c>
      <c r="BW49" s="2496">
        <f t="shared" ref="BW49" si="71">BW45-BW46-BW47-BW48</f>
        <v>1.7824402900000065</v>
      </c>
      <c r="BX49" s="2496">
        <f t="shared" ref="BX49" si="72">BX45-BX46-BX47-BX48</f>
        <v>1.199145459999992</v>
      </c>
      <c r="BY49" s="2496">
        <f t="shared" ref="BY49" si="73">BY45-BY46-BY47-BY48</f>
        <v>2.743409090000005</v>
      </c>
      <c r="BZ49" s="2496">
        <f t="shared" ref="BZ49" si="74">BZ45-BZ46-BZ47-BZ48</f>
        <v>3.6683725099999966</v>
      </c>
      <c r="CA49" s="2496">
        <f>CA45-CA46-CA47-CA48</f>
        <v>2.4839975700000005</v>
      </c>
      <c r="CB49" s="2496">
        <f>CB45-CB46-CB47-CB48</f>
        <v>1.6363999899999997</v>
      </c>
      <c r="CC49" s="6164">
        <f t="shared" si="54"/>
        <v>-743.55360000999997</v>
      </c>
      <c r="CD49" s="6165">
        <f t="shared" si="55"/>
        <v>2.1959500127484263E-3</v>
      </c>
      <c r="CE49" s="6166">
        <f t="shared" si="12"/>
        <v>-0.84759758000000085</v>
      </c>
      <c r="CF49" s="2509">
        <f t="shared" si="52"/>
        <v>1.3381999899999997</v>
      </c>
      <c r="CG49" s="2509"/>
      <c r="CH49" s="6399">
        <f t="shared" si="13"/>
        <v>20.606443559999992</v>
      </c>
      <c r="CI49" s="2506">
        <f t="shared" si="56"/>
        <v>-1463.3935564400001</v>
      </c>
      <c r="CJ49" s="2691">
        <f t="shared" si="57"/>
        <v>1.3885743638814011E-2</v>
      </c>
      <c r="CK49" s="6397">
        <f t="shared" si="53"/>
        <v>16.632407469999993</v>
      </c>
      <c r="CL49" s="5138"/>
      <c r="CM49" s="2488" t="str">
        <f>C49</f>
        <v>기타(A/S, 임대, 물류, 중고폰 전문매장 등)</v>
      </c>
      <c r="CN49" s="6410">
        <v>642</v>
      </c>
      <c r="CO49" s="6410">
        <v>842</v>
      </c>
      <c r="CP49" s="6410">
        <v>742.18999999999994</v>
      </c>
      <c r="CQ49" s="6410">
        <v>742.18999999999994</v>
      </c>
      <c r="CR49" s="6410">
        <v>744.18999999999994</v>
      </c>
      <c r="CS49" s="6410">
        <v>744.18999999999994</v>
      </c>
      <c r="CT49" s="6410">
        <v>744.18999999999994</v>
      </c>
      <c r="CU49" s="6410">
        <v>744.18999999999994</v>
      </c>
      <c r="CV49" s="6410">
        <v>745.18999999999994</v>
      </c>
      <c r="CW49" s="6410">
        <v>745.18999999999994</v>
      </c>
      <c r="CX49" s="6410">
        <v>745.18999999999994</v>
      </c>
      <c r="CY49" s="6410">
        <v>745.18999999999994</v>
      </c>
      <c r="CZ49" s="2505">
        <f t="shared" si="27"/>
        <v>8925.8999999999978</v>
      </c>
      <c r="DB49" s="4439"/>
      <c r="DC49" s="4439"/>
      <c r="DF49" s="4439"/>
      <c r="DG49" s="4439"/>
    </row>
    <row r="50" spans="1:111" ht="16.3" customHeight="1" x14ac:dyDescent="0.55000000000000004">
      <c r="A50" s="6153"/>
      <c r="C50" s="3189" t="s">
        <v>622</v>
      </c>
      <c r="D50" s="3189"/>
      <c r="E50" s="3189"/>
      <c r="F50" s="6408"/>
      <c r="G50" s="6408"/>
      <c r="H50" s="6408"/>
      <c r="I50" s="6408"/>
      <c r="J50" s="6408"/>
      <c r="K50" s="6408"/>
      <c r="L50" s="6408"/>
      <c r="M50" s="6408"/>
      <c r="N50" s="6408"/>
      <c r="O50" s="6408"/>
      <c r="P50" s="6408"/>
      <c r="Q50" s="6195"/>
      <c r="R50" s="6193"/>
      <c r="S50" s="6408"/>
      <c r="T50" s="6408"/>
      <c r="U50" s="6408"/>
      <c r="V50" s="6408"/>
      <c r="W50" s="6408"/>
      <c r="X50" s="6408"/>
      <c r="Y50" s="6408"/>
      <c r="Z50" s="6408"/>
      <c r="AA50" s="6408"/>
      <c r="AB50" s="6408"/>
      <c r="AC50" s="6195"/>
      <c r="AD50" s="6408"/>
      <c r="AE50" s="6408"/>
      <c r="AF50" s="6408"/>
      <c r="AG50" s="6408"/>
      <c r="AH50" s="6408"/>
      <c r="AI50" s="6408"/>
      <c r="AJ50" s="6408"/>
      <c r="AK50" s="6408"/>
      <c r="AL50" s="6408"/>
      <c r="AM50" s="6408"/>
      <c r="AN50" s="6408"/>
      <c r="AO50" s="6408"/>
      <c r="AP50" s="6194"/>
      <c r="AQ50" s="6411">
        <v>0.29537113999999998</v>
      </c>
      <c r="AR50" s="6412">
        <v>9.5788270000000009E-2</v>
      </c>
      <c r="AS50" s="6412">
        <v>4.9108499999999999E-2</v>
      </c>
      <c r="AT50" s="6412">
        <v>0</v>
      </c>
      <c r="AU50" s="6412">
        <v>1.418175E-2</v>
      </c>
      <c r="AV50" s="6412">
        <v>0.23383114999999999</v>
      </c>
      <c r="AW50" s="6412">
        <v>2.9771000000000002E-2</v>
      </c>
      <c r="AX50" s="6412">
        <v>0.25729055000000001</v>
      </c>
      <c r="AY50" s="6412">
        <v>0.11015449999999999</v>
      </c>
      <c r="AZ50" s="6412">
        <v>6.8844500000000003E-2</v>
      </c>
      <c r="BA50" s="6412">
        <v>3.4658500000000002E-2</v>
      </c>
      <c r="BB50" s="6412">
        <v>2.2773886399999999</v>
      </c>
      <c r="BC50" s="6413">
        <v>3.4663884999999999</v>
      </c>
      <c r="BD50" s="2861">
        <f t="shared" ref="BD50:BM50" si="75">BD51+BD52</f>
        <v>0.70356452000000003</v>
      </c>
      <c r="BE50" s="6414">
        <f t="shared" si="75"/>
        <v>2.44983109</v>
      </c>
      <c r="BF50" s="6414">
        <f t="shared" si="75"/>
        <v>1.1364933699999999</v>
      </c>
      <c r="BG50" s="2861">
        <f t="shared" si="75"/>
        <v>7.6887108200000007</v>
      </c>
      <c r="BH50" s="2861">
        <f t="shared" si="75"/>
        <v>2.1799804200000001</v>
      </c>
      <c r="BI50" s="2861">
        <f t="shared" si="75"/>
        <v>1.2499824099999999</v>
      </c>
      <c r="BJ50" s="2861">
        <f t="shared" si="75"/>
        <v>2.08859087</v>
      </c>
      <c r="BK50" s="2861">
        <f t="shared" si="75"/>
        <v>2.9984795899999996</v>
      </c>
      <c r="BL50" s="2861">
        <f t="shared" si="75"/>
        <v>5.0110819900000001</v>
      </c>
      <c r="BM50" s="2861">
        <f t="shared" si="75"/>
        <v>4.2502727799999995</v>
      </c>
      <c r="BN50" s="2861">
        <f>BN51+BN52</f>
        <v>14.92331381</v>
      </c>
      <c r="BO50" s="2861">
        <f>BO51+BO52</f>
        <v>5.7775723000000001</v>
      </c>
      <c r="BP50" s="6415">
        <v>50.457873970000001</v>
      </c>
      <c r="BQ50" s="6416">
        <f>BQ51+BQ52</f>
        <v>4.66591544</v>
      </c>
      <c r="BR50" s="6416">
        <f>BR51+BR52</f>
        <v>8.2890091699999999</v>
      </c>
      <c r="BS50" s="6416">
        <f>BS51+BS52</f>
        <v>1.44309244</v>
      </c>
      <c r="BT50" s="6416">
        <f t="shared" ref="BT50:CB50" si="76">BT51+BT52</f>
        <v>5.6274242399999999</v>
      </c>
      <c r="BU50" s="6416">
        <f t="shared" si="76"/>
        <v>1.8754223999999999</v>
      </c>
      <c r="BV50" s="6416">
        <f t="shared" si="76"/>
        <v>2.8103056400000002</v>
      </c>
      <c r="BW50" s="6416">
        <f t="shared" si="76"/>
        <v>4.7626143499999998</v>
      </c>
      <c r="BX50" s="6416">
        <f t="shared" si="76"/>
        <v>1.7675392199999997</v>
      </c>
      <c r="BY50" s="6416">
        <f t="shared" si="76"/>
        <v>4.7616375399999997</v>
      </c>
      <c r="BZ50" s="6416">
        <f t="shared" si="76"/>
        <v>5.3761293700000001</v>
      </c>
      <c r="CA50" s="6416">
        <f t="shared" si="76"/>
        <v>2.43938655</v>
      </c>
      <c r="CB50" s="6416">
        <f t="shared" si="76"/>
        <v>2.6073823799999998</v>
      </c>
      <c r="CC50" s="6417">
        <f t="shared" si="54"/>
        <v>-469.43111264487561</v>
      </c>
      <c r="CD50" s="6418">
        <f t="shared" si="55"/>
        <v>5.5236647169265192E-3</v>
      </c>
      <c r="CE50" s="6419">
        <f t="shared" si="12"/>
        <v>0.16799582999999974</v>
      </c>
      <c r="CF50" s="2868">
        <f t="shared" si="52"/>
        <v>-3.1701899200000003</v>
      </c>
      <c r="CG50" s="2868"/>
      <c r="CH50" s="6420">
        <f t="shared" si="13"/>
        <v>46.425858740000002</v>
      </c>
      <c r="CI50" s="6421">
        <f t="shared" si="56"/>
        <v>-891.65113130975124</v>
      </c>
      <c r="CJ50" s="6422">
        <f t="shared" si="57"/>
        <v>4.9490456788133984E-2</v>
      </c>
      <c r="CK50" s="6423">
        <f t="shared" si="53"/>
        <v>-4.032015229999999</v>
      </c>
      <c r="CL50" s="5138"/>
      <c r="CM50" s="2488" t="str">
        <f>C50</f>
        <v>수수료매출 ⓒ</v>
      </c>
      <c r="CN50" s="6424">
        <v>449.30131218905467</v>
      </c>
      <c r="CO50" s="6424">
        <v>488.77567786069653</v>
      </c>
      <c r="CP50" s="6424">
        <v>471.15137261061449</v>
      </c>
      <c r="CQ50" s="6424">
        <v>469.0384950248756</v>
      </c>
      <c r="CR50" s="6424">
        <v>471.0384950248756</v>
      </c>
      <c r="CS50" s="6424">
        <v>471.0384950248756</v>
      </c>
      <c r="CT50" s="6424">
        <v>451.30131218905467</v>
      </c>
      <c r="CU50" s="6424">
        <v>490.77567786069653</v>
      </c>
      <c r="CV50" s="6424">
        <v>452.30131218905467</v>
      </c>
      <c r="CW50" s="6424">
        <v>491.77567786069653</v>
      </c>
      <c r="CX50" s="6424">
        <v>472.0384950248756</v>
      </c>
      <c r="CY50" s="6424">
        <v>472.0384950248756</v>
      </c>
      <c r="CZ50" s="2505">
        <f t="shared" si="27"/>
        <v>5650.574817884245</v>
      </c>
      <c r="DB50" s="4439"/>
      <c r="DC50" s="4439"/>
      <c r="DF50" s="4439"/>
      <c r="DG50" s="4439"/>
    </row>
    <row r="51" spans="1:111" ht="16.3" customHeight="1" x14ac:dyDescent="0.55000000000000004">
      <c r="A51" s="6153"/>
      <c r="C51" s="3189"/>
      <c r="D51" s="3189" t="s">
        <v>6</v>
      </c>
      <c r="E51" s="3189"/>
      <c r="F51" s="6408"/>
      <c r="G51" s="6408"/>
      <c r="H51" s="6408"/>
      <c r="I51" s="6408"/>
      <c r="J51" s="6408"/>
      <c r="K51" s="6408"/>
      <c r="L51" s="6408"/>
      <c r="M51" s="6408"/>
      <c r="N51" s="6408"/>
      <c r="O51" s="6408"/>
      <c r="P51" s="6408"/>
      <c r="Q51" s="6195"/>
      <c r="R51" s="6193"/>
      <c r="S51" s="6408"/>
      <c r="T51" s="6408"/>
      <c r="U51" s="6408"/>
      <c r="V51" s="6408"/>
      <c r="W51" s="6408"/>
      <c r="X51" s="6408"/>
      <c r="Y51" s="6408"/>
      <c r="Z51" s="6408"/>
      <c r="AA51" s="6408"/>
      <c r="AB51" s="6408"/>
      <c r="AC51" s="6195"/>
      <c r="AD51" s="6408"/>
      <c r="AE51" s="6408"/>
      <c r="AF51" s="6408"/>
      <c r="AG51" s="6408"/>
      <c r="AH51" s="6408"/>
      <c r="AI51" s="6408"/>
      <c r="AJ51" s="6408"/>
      <c r="AK51" s="6408"/>
      <c r="AL51" s="6408"/>
      <c r="AM51" s="6408"/>
      <c r="AN51" s="6408"/>
      <c r="AO51" s="6408"/>
      <c r="AP51" s="6194"/>
      <c r="AQ51" s="6411">
        <v>0</v>
      </c>
      <c r="AR51" s="6412">
        <v>0</v>
      </c>
      <c r="AS51" s="6412">
        <v>0</v>
      </c>
      <c r="AT51" s="6412">
        <v>0</v>
      </c>
      <c r="AU51" s="6412">
        <v>0</v>
      </c>
      <c r="AV51" s="6412">
        <v>0</v>
      </c>
      <c r="AW51" s="6412">
        <v>0</v>
      </c>
      <c r="AX51" s="6412">
        <v>0</v>
      </c>
      <c r="AY51" s="6412">
        <v>0</v>
      </c>
      <c r="AZ51" s="6412">
        <v>0</v>
      </c>
      <c r="BA51" s="6412">
        <v>0</v>
      </c>
      <c r="BB51" s="6412">
        <v>0</v>
      </c>
      <c r="BC51" s="6413">
        <v>0</v>
      </c>
      <c r="BD51" s="2861">
        <v>0.39372727000000002</v>
      </c>
      <c r="BE51" s="6414">
        <v>2.1575265899999998</v>
      </c>
      <c r="BF51" s="6414">
        <v>0.61535329999999999</v>
      </c>
      <c r="BG51" s="2861">
        <v>4.2654704500000005</v>
      </c>
      <c r="BH51" s="2861">
        <v>1.66407726</v>
      </c>
      <c r="BI51" s="2861">
        <v>0.81197385999999994</v>
      </c>
      <c r="BJ51" s="2861">
        <v>1.5800278700000001</v>
      </c>
      <c r="BK51" s="2861">
        <v>2.5205904499999998</v>
      </c>
      <c r="BL51" s="2861">
        <v>4.6236797200000002</v>
      </c>
      <c r="BM51" s="2861">
        <v>3.54186764</v>
      </c>
      <c r="BN51" s="2861">
        <v>14.46108152</v>
      </c>
      <c r="BO51" s="2861">
        <v>5.2873835099999997</v>
      </c>
      <c r="BP51" s="6415">
        <v>41.92275944</v>
      </c>
      <c r="BQ51" s="6416">
        <v>4.0313889400000003</v>
      </c>
      <c r="BR51" s="6414">
        <v>7.79633368</v>
      </c>
      <c r="BS51" s="6414">
        <v>0.87665234999999997</v>
      </c>
      <c r="BT51" s="6416">
        <v>2.3474600900000002</v>
      </c>
      <c r="BU51" s="6416">
        <v>1.3750335499999999</v>
      </c>
      <c r="BV51" s="6416">
        <v>2.3617353200000002</v>
      </c>
      <c r="BW51" s="2861">
        <v>2.56027936</v>
      </c>
      <c r="BX51" s="2861">
        <v>0.85627911999999995</v>
      </c>
      <c r="BY51" s="2861">
        <v>3.70956909</v>
      </c>
      <c r="BZ51" s="2861">
        <v>3.9348022199999999</v>
      </c>
      <c r="CA51" s="2861">
        <v>1.5669422799999999</v>
      </c>
      <c r="CB51" s="2861">
        <v>1.72930268</v>
      </c>
      <c r="CC51" s="6417">
        <f t="shared" si="54"/>
        <v>-470.30919234487561</v>
      </c>
      <c r="CD51" s="6425" t="s">
        <v>482</v>
      </c>
      <c r="CE51" s="6419">
        <f t="shared" si="12"/>
        <v>0.16236040000000007</v>
      </c>
      <c r="CF51" s="2868">
        <f t="shared" si="52"/>
        <v>-3.5580808299999998</v>
      </c>
      <c r="CG51" s="2868"/>
      <c r="CH51" s="6420">
        <f t="shared" si="13"/>
        <v>33.145778679999992</v>
      </c>
      <c r="CI51" s="6421">
        <f t="shared" si="56"/>
        <v>-904.93121136975117</v>
      </c>
      <c r="CJ51" s="6426" t="s">
        <v>482</v>
      </c>
      <c r="CK51" s="6423">
        <f t="shared" si="53"/>
        <v>-8.7769807600000078</v>
      </c>
      <c r="CL51" s="5138"/>
      <c r="CM51" s="2488" t="str">
        <f>D51</f>
        <v>정책수수료</v>
      </c>
      <c r="CN51" s="6169">
        <v>449.30131218905467</v>
      </c>
      <c r="CO51" s="6169">
        <v>488.77567786069653</v>
      </c>
      <c r="CP51" s="6169">
        <v>471.15137261061449</v>
      </c>
      <c r="CQ51" s="6169">
        <v>469.0384950248756</v>
      </c>
      <c r="CR51" s="6169">
        <v>471.0384950248756</v>
      </c>
      <c r="CS51" s="6169">
        <v>471.0384950248756</v>
      </c>
      <c r="CT51" s="6169">
        <v>451.30131218905467</v>
      </c>
      <c r="CU51" s="6169">
        <v>490.77567786069653</v>
      </c>
      <c r="CV51" s="6169">
        <v>452.30131218905467</v>
      </c>
      <c r="CW51" s="6169">
        <v>491.77567786069653</v>
      </c>
      <c r="CX51" s="6169">
        <v>472.0384950248756</v>
      </c>
      <c r="CY51" s="6169">
        <v>472.0384950248756</v>
      </c>
      <c r="CZ51" s="2505">
        <f t="shared" si="27"/>
        <v>5650.574817884245</v>
      </c>
      <c r="DB51" s="4439"/>
      <c r="DC51" s="4439"/>
      <c r="DF51" s="4439"/>
      <c r="DG51" s="4439"/>
    </row>
    <row r="52" spans="1:111" ht="16.3" customHeight="1" x14ac:dyDescent="0.55000000000000004">
      <c r="A52" s="6153"/>
      <c r="C52" s="3189"/>
      <c r="D52" s="3189" t="s">
        <v>7</v>
      </c>
      <c r="E52" s="3189"/>
      <c r="F52" s="6408"/>
      <c r="G52" s="6408"/>
      <c r="H52" s="6408"/>
      <c r="I52" s="6408"/>
      <c r="J52" s="6408"/>
      <c r="K52" s="6408"/>
      <c r="L52" s="6408"/>
      <c r="M52" s="6408"/>
      <c r="N52" s="6408"/>
      <c r="O52" s="6408"/>
      <c r="P52" s="6408"/>
      <c r="Q52" s="6195"/>
      <c r="R52" s="6193"/>
      <c r="S52" s="6408"/>
      <c r="T52" s="6408"/>
      <c r="U52" s="6408"/>
      <c r="V52" s="6408"/>
      <c r="W52" s="6408"/>
      <c r="X52" s="6408"/>
      <c r="Y52" s="6408"/>
      <c r="Z52" s="6408"/>
      <c r="AA52" s="6408"/>
      <c r="AB52" s="6408"/>
      <c r="AC52" s="6195"/>
      <c r="AD52" s="6408"/>
      <c r="AE52" s="6408"/>
      <c r="AF52" s="6408"/>
      <c r="AG52" s="6408"/>
      <c r="AH52" s="6408"/>
      <c r="AI52" s="6408"/>
      <c r="AJ52" s="6408"/>
      <c r="AK52" s="6408"/>
      <c r="AL52" s="6408"/>
      <c r="AM52" s="6408"/>
      <c r="AN52" s="6408"/>
      <c r="AO52" s="6408"/>
      <c r="AP52" s="6194"/>
      <c r="AQ52" s="6411">
        <v>0.29537113999999998</v>
      </c>
      <c r="AR52" s="6412">
        <v>9.5788270000000009E-2</v>
      </c>
      <c r="AS52" s="6412">
        <v>4.9108499999999999E-2</v>
      </c>
      <c r="AT52" s="6412">
        <v>0</v>
      </c>
      <c r="AU52" s="6412">
        <v>1.418175E-2</v>
      </c>
      <c r="AV52" s="6412">
        <v>0.23383114999999999</v>
      </c>
      <c r="AW52" s="6412">
        <v>2.9771000000000002E-2</v>
      </c>
      <c r="AX52" s="6412">
        <v>0.25729055000000001</v>
      </c>
      <c r="AY52" s="6412">
        <v>0.11015449999999999</v>
      </c>
      <c r="AZ52" s="6412">
        <v>6.8844500000000003E-2</v>
      </c>
      <c r="BA52" s="6412">
        <v>3.4658500000000002E-2</v>
      </c>
      <c r="BB52" s="6412">
        <v>2.2773886399999999</v>
      </c>
      <c r="BC52" s="6413">
        <v>3.4663884999999999</v>
      </c>
      <c r="BD52" s="2861">
        <v>0.30983725000000001</v>
      </c>
      <c r="BE52" s="6414">
        <v>0.29230450000000002</v>
      </c>
      <c r="BF52" s="6414">
        <v>0.52114006999999996</v>
      </c>
      <c r="BG52" s="2861">
        <v>3.4232403699999998</v>
      </c>
      <c r="BH52" s="2861">
        <v>0.51590316000000003</v>
      </c>
      <c r="BI52" s="2861">
        <v>0.43800855</v>
      </c>
      <c r="BJ52" s="2861">
        <v>0.50856299999999999</v>
      </c>
      <c r="BK52" s="2861">
        <v>0.47788913999999999</v>
      </c>
      <c r="BL52" s="2861">
        <v>0.38740226999999999</v>
      </c>
      <c r="BM52" s="2861">
        <v>0.70840513999999999</v>
      </c>
      <c r="BN52" s="2861">
        <v>0.46223228999999999</v>
      </c>
      <c r="BO52" s="2861">
        <v>0.49018879000000004</v>
      </c>
      <c r="BP52" s="6415">
        <v>8.5351145299999978</v>
      </c>
      <c r="BQ52" s="6416">
        <v>0.63452649999999999</v>
      </c>
      <c r="BR52" s="6427">
        <v>0.49267549000000005</v>
      </c>
      <c r="BS52" s="6427">
        <v>0.56644008999999995</v>
      </c>
      <c r="BT52" s="6416">
        <v>3.2799641500000001</v>
      </c>
      <c r="BU52" s="6416">
        <v>0.50038885</v>
      </c>
      <c r="BV52" s="6416">
        <v>0.44857031999999997</v>
      </c>
      <c r="BW52" s="2861">
        <v>2.2023349899999998</v>
      </c>
      <c r="BX52" s="2861">
        <v>0.91126009999999991</v>
      </c>
      <c r="BY52" s="2861">
        <v>1.0520684499999999</v>
      </c>
      <c r="BZ52" s="2861">
        <v>1.44132715</v>
      </c>
      <c r="CA52" s="2861">
        <v>0.87244427000000002</v>
      </c>
      <c r="CB52" s="2861">
        <v>0.87807970000000002</v>
      </c>
      <c r="CC52" s="6417">
        <f t="shared" si="54"/>
        <v>0.87807970000000002</v>
      </c>
      <c r="CD52" s="6418">
        <f>IFERROR(HLOOKUP($E$2,$BQ$2:$CB$505,ROW()-1,0)/HLOOKUP($E$2,$CN$2:$CY$412,ROW()-1,0),0)</f>
        <v>0</v>
      </c>
      <c r="CE52" s="6419">
        <f t="shared" si="12"/>
        <v>5.6354299999999968E-3</v>
      </c>
      <c r="CF52" s="2868">
        <f t="shared" si="52"/>
        <v>0.38789090999999998</v>
      </c>
      <c r="CG52" s="2868"/>
      <c r="CH52" s="6420">
        <f t="shared" si="13"/>
        <v>13.280080060000001</v>
      </c>
      <c r="CI52" s="6421">
        <f t="shared" si="56"/>
        <v>13.280080060000001</v>
      </c>
      <c r="CJ52" s="6422">
        <f>IFERROR(CH52/SUM(CN52:CO52),0)</f>
        <v>0</v>
      </c>
      <c r="CK52" s="6423">
        <f t="shared" si="53"/>
        <v>4.7449655300000035</v>
      </c>
      <c r="CL52" s="5138"/>
      <c r="CM52" s="2488" t="str">
        <f>D52</f>
        <v>기타수수료</v>
      </c>
      <c r="CN52" s="6169">
        <v>0</v>
      </c>
      <c r="CO52" s="6169">
        <v>0</v>
      </c>
      <c r="CP52" s="6169">
        <v>0</v>
      </c>
      <c r="CQ52" s="6169">
        <v>0</v>
      </c>
      <c r="CR52" s="6169">
        <v>0</v>
      </c>
      <c r="CS52" s="6169">
        <v>0</v>
      </c>
      <c r="CT52" s="6169">
        <v>0</v>
      </c>
      <c r="CU52" s="6169">
        <v>0</v>
      </c>
      <c r="CV52" s="6169">
        <v>0</v>
      </c>
      <c r="CW52" s="6169">
        <v>0</v>
      </c>
      <c r="CX52" s="6169">
        <v>0</v>
      </c>
      <c r="CY52" s="6169">
        <v>0</v>
      </c>
      <c r="CZ52" s="2505">
        <f t="shared" si="27"/>
        <v>0</v>
      </c>
      <c r="DB52" s="4439"/>
      <c r="DC52" s="4439"/>
      <c r="DF52" s="4439"/>
      <c r="DG52" s="4439"/>
    </row>
    <row r="53" spans="1:111" ht="16.3" customHeight="1" thickBot="1" x14ac:dyDescent="0.6">
      <c r="A53" s="6428"/>
      <c r="B53" s="3034"/>
      <c r="C53" s="6429" t="s">
        <v>623</v>
      </c>
      <c r="D53" s="6429"/>
      <c r="E53" s="6429"/>
      <c r="F53" s="6408"/>
      <c r="G53" s="6408"/>
      <c r="H53" s="6408"/>
      <c r="I53" s="6408"/>
      <c r="J53" s="6408"/>
      <c r="K53" s="6408"/>
      <c r="L53" s="6408"/>
      <c r="M53" s="6408"/>
      <c r="N53" s="6408"/>
      <c r="O53" s="6408"/>
      <c r="P53" s="6408"/>
      <c r="Q53" s="6195"/>
      <c r="R53" s="6193"/>
      <c r="S53" s="6408"/>
      <c r="T53" s="6408"/>
      <c r="U53" s="6408"/>
      <c r="V53" s="6408"/>
      <c r="W53" s="6408"/>
      <c r="X53" s="6408"/>
      <c r="Y53" s="6408"/>
      <c r="Z53" s="6408"/>
      <c r="AA53" s="6408"/>
      <c r="AB53" s="6408"/>
      <c r="AC53" s="6195"/>
      <c r="AD53" s="6408"/>
      <c r="AE53" s="6408"/>
      <c r="AF53" s="6408"/>
      <c r="AG53" s="6408"/>
      <c r="AH53" s="6408"/>
      <c r="AI53" s="6408"/>
      <c r="AJ53" s="6408"/>
      <c r="AK53" s="6408"/>
      <c r="AL53" s="6408"/>
      <c r="AM53" s="6408"/>
      <c r="AN53" s="6408"/>
      <c r="AO53" s="6408"/>
      <c r="AP53" s="6194"/>
      <c r="AQ53" s="6430">
        <v>18.632989200000001</v>
      </c>
      <c r="AR53" s="6431">
        <v>20.239333270000003</v>
      </c>
      <c r="AS53" s="6431">
        <v>6.3188473799999993</v>
      </c>
      <c r="AT53" s="6431">
        <v>24.460072720000003</v>
      </c>
      <c r="AU53" s="6431">
        <v>44.855440049999999</v>
      </c>
      <c r="AV53" s="6431">
        <v>8.4263455300000007</v>
      </c>
      <c r="AW53" s="6431">
        <v>6.3495019900000003</v>
      </c>
      <c r="AX53" s="6431">
        <v>22.825060000000004</v>
      </c>
      <c r="AY53" s="6431">
        <v>35.320189189999994</v>
      </c>
      <c r="AZ53" s="6431">
        <v>29.872962299999994</v>
      </c>
      <c r="BA53" s="6431">
        <v>10.175335339999998</v>
      </c>
      <c r="BB53" s="6431">
        <v>36.410977300000006</v>
      </c>
      <c r="BC53" s="6432">
        <v>263.88705427000002</v>
      </c>
      <c r="BD53" s="6433">
        <v>2.7618865000000006</v>
      </c>
      <c r="BE53" s="6433">
        <v>14.620631609999998</v>
      </c>
      <c r="BF53" s="6433">
        <v>26.679704999999998</v>
      </c>
      <c r="BG53" s="6433">
        <v>51.152232499999997</v>
      </c>
      <c r="BH53" s="6433">
        <v>25.034997789999998</v>
      </c>
      <c r="BI53" s="6433">
        <v>6.9965382199999997</v>
      </c>
      <c r="BJ53" s="6433">
        <v>11.68800276</v>
      </c>
      <c r="BK53" s="6433">
        <v>49.580862749999994</v>
      </c>
      <c r="BL53" s="6433">
        <v>53.616130630000001</v>
      </c>
      <c r="BM53" s="6433">
        <v>62.873909640000001</v>
      </c>
      <c r="BN53" s="6433">
        <v>22.057101169999999</v>
      </c>
      <c r="BO53" s="6433">
        <v>22.052345540000001</v>
      </c>
      <c r="BP53" s="6434">
        <v>349.11434410999999</v>
      </c>
      <c r="BQ53" s="6435">
        <v>22.407149049999997</v>
      </c>
      <c r="BR53" s="6436">
        <v>57.968017160000002</v>
      </c>
      <c r="BS53" s="6436">
        <v>46.962952530000003</v>
      </c>
      <c r="BT53" s="6435">
        <v>30.383485759999999</v>
      </c>
      <c r="BU53" s="6435">
        <v>40.673026289999996</v>
      </c>
      <c r="BV53" s="6435">
        <v>44.746005740000001</v>
      </c>
      <c r="BW53" s="6433">
        <v>51.936016870000003</v>
      </c>
      <c r="BX53" s="6433">
        <v>56.431616179999999</v>
      </c>
      <c r="BY53" s="6433">
        <v>52.275386359999999</v>
      </c>
      <c r="BZ53" s="6433">
        <v>40.739922040000003</v>
      </c>
      <c r="CA53" s="6433">
        <v>51.889031959999997</v>
      </c>
      <c r="CB53" s="6433">
        <v>13.74577158</v>
      </c>
      <c r="CC53" s="6437">
        <f t="shared" si="54"/>
        <v>-4445.0057758440716</v>
      </c>
      <c r="CD53" s="6438">
        <f>IFERROR(HLOOKUP($E$2,$BQ$2:$CB$505,ROW()-1,0)/HLOOKUP($E$2,$CN$2:$CY$412,ROW()-1,0),0)</f>
        <v>3.0828745297416861E-3</v>
      </c>
      <c r="CE53" s="6439">
        <f t="shared" si="12"/>
        <v>-38.143260380000001</v>
      </c>
      <c r="CF53" s="6440">
        <f t="shared" si="52"/>
        <v>-8.3065739600000015</v>
      </c>
      <c r="CG53" s="6440"/>
      <c r="CH53" s="6441">
        <f t="shared" si="13"/>
        <v>510.15838152000003</v>
      </c>
      <c r="CI53" s="6442">
        <f t="shared" si="56"/>
        <v>-5308.6306066942261</v>
      </c>
      <c r="CJ53" s="6443">
        <f>IFERROR(CH53/SUM(CN53:CO53),0)</f>
        <v>8.7674322363864673E-2</v>
      </c>
      <c r="CK53" s="6444">
        <f t="shared" si="53"/>
        <v>161.04403741000004</v>
      </c>
      <c r="CL53" s="5138"/>
      <c r="CM53" s="2488" t="str">
        <f>C53</f>
        <v>상품매출 ⓓ</v>
      </c>
      <c r="CN53" s="6445">
        <v>2457.8088364993218</v>
      </c>
      <c r="CO53" s="6445">
        <v>3360.9801517149049</v>
      </c>
      <c r="CP53" s="6445">
        <v>3523.3179108793938</v>
      </c>
      <c r="CQ53" s="6445">
        <v>4465.7763259774774</v>
      </c>
      <c r="CR53" s="6445">
        <v>3020.4596914882545</v>
      </c>
      <c r="CS53" s="6445">
        <v>2798.3966767804454</v>
      </c>
      <c r="CT53" s="6445">
        <v>2557.9988364993214</v>
      </c>
      <c r="CU53" s="6445">
        <v>3249.2910713657384</v>
      </c>
      <c r="CV53" s="6445">
        <v>3149.3190677474659</v>
      </c>
      <c r="CW53" s="6445">
        <v>4508.7375492332076</v>
      </c>
      <c r="CX53" s="6445">
        <v>4458.7515474240718</v>
      </c>
      <c r="CY53" s="6445">
        <v>4458.7515474240718</v>
      </c>
      <c r="CZ53" s="2680">
        <f t="shared" si="27"/>
        <v>42009.58921303368</v>
      </c>
      <c r="DB53" s="4439"/>
      <c r="DC53" s="4439"/>
      <c r="DF53" s="4439"/>
      <c r="DG53" s="4439"/>
    </row>
    <row r="54" spans="1:111" ht="6" customHeight="1" thickBot="1" x14ac:dyDescent="0.6">
      <c r="F54" s="5841"/>
      <c r="Q54" s="3216"/>
      <c r="AD54" s="5841"/>
      <c r="AO54" s="2493"/>
      <c r="AP54" s="3216"/>
      <c r="AQ54" s="6158"/>
      <c r="AR54" s="6159"/>
      <c r="AS54" s="6159"/>
      <c r="AT54" s="6159"/>
      <c r="AU54" s="6159"/>
      <c r="AV54" s="6159"/>
      <c r="AW54" s="6159"/>
      <c r="AX54" s="6159"/>
      <c r="AY54" s="6159"/>
      <c r="AZ54" s="6446"/>
      <c r="BA54" s="6446"/>
      <c r="BB54" s="6446"/>
      <c r="BC54" s="6446"/>
      <c r="BD54" s="6447"/>
      <c r="BE54" s="6448"/>
      <c r="BF54" s="6448"/>
      <c r="BG54" s="2685"/>
      <c r="BH54" s="2685"/>
      <c r="BI54" s="2685"/>
      <c r="BJ54" s="2685"/>
      <c r="BK54" s="2685"/>
      <c r="BL54" s="2685"/>
      <c r="BM54" s="2685"/>
      <c r="BN54" s="2790"/>
      <c r="BO54" s="2685"/>
      <c r="BP54" s="6449"/>
      <c r="BQ54" s="6447"/>
      <c r="BR54" s="6450"/>
      <c r="BS54" s="6448"/>
      <c r="BT54" s="6451"/>
      <c r="BU54" s="2685"/>
      <c r="BV54" s="2685"/>
      <c r="BW54" s="2685"/>
      <c r="BX54" s="6451"/>
      <c r="BY54" s="2685"/>
      <c r="BZ54" s="2685"/>
      <c r="CA54" s="2790"/>
      <c r="CB54" s="2685"/>
      <c r="CC54" s="6452"/>
      <c r="CD54" s="6453"/>
      <c r="CE54" s="2688"/>
      <c r="CF54" s="2506"/>
      <c r="CG54" s="2506"/>
      <c r="CH54" s="6167"/>
      <c r="CI54" s="2506"/>
      <c r="CJ54" s="2691"/>
      <c r="CK54" s="2509"/>
      <c r="CL54" s="5138"/>
      <c r="CM54" s="2488"/>
      <c r="CN54" s="2505"/>
      <c r="CO54" s="2505"/>
      <c r="CP54" s="2505"/>
      <c r="CQ54" s="2505"/>
      <c r="CR54" s="2505"/>
      <c r="CS54" s="2505"/>
      <c r="CT54" s="2505"/>
      <c r="CU54" s="2505"/>
      <c r="CV54" s="2505"/>
      <c r="CW54" s="2505"/>
      <c r="CX54" s="2505"/>
      <c r="CY54" s="2505"/>
      <c r="CZ54" s="2505"/>
      <c r="DB54" s="4439"/>
      <c r="DC54" s="4439"/>
      <c r="DF54" s="4439"/>
      <c r="DG54" s="4439"/>
    </row>
    <row r="55" spans="1:111" ht="16.3" customHeight="1" x14ac:dyDescent="0.55000000000000004">
      <c r="A55" s="6454" t="s">
        <v>624</v>
      </c>
      <c r="B55" s="6455"/>
      <c r="C55" s="6455"/>
      <c r="D55" s="6455"/>
      <c r="E55" s="6455"/>
      <c r="F55" s="6456">
        <v>143.88211242</v>
      </c>
      <c r="G55" s="6457">
        <v>131.18332056</v>
      </c>
      <c r="H55" s="6457">
        <v>155.81362487000001</v>
      </c>
      <c r="I55" s="6457">
        <v>136.68868355000001</v>
      </c>
      <c r="J55" s="6457">
        <v>137.49504343000001</v>
      </c>
      <c r="K55" s="6457">
        <v>156.34052274999999</v>
      </c>
      <c r="L55" s="6457">
        <v>135.66974303999999</v>
      </c>
      <c r="M55" s="6457">
        <v>131.92859816000001</v>
      </c>
      <c r="N55" s="6457">
        <v>149.85468046</v>
      </c>
      <c r="O55" s="6457">
        <v>138.03089829000001</v>
      </c>
      <c r="P55" s="6457">
        <v>156.36006673</v>
      </c>
      <c r="Q55" s="6458">
        <v>181.4355937</v>
      </c>
      <c r="R55" s="6457">
        <v>141.04376418999999</v>
      </c>
      <c r="S55" s="6457">
        <v>139.80479407999999</v>
      </c>
      <c r="T55" s="6457">
        <v>135.46952626999999</v>
      </c>
      <c r="U55" s="6457">
        <v>135.40139118000002</v>
      </c>
      <c r="V55" s="6457">
        <v>141.92304751999998</v>
      </c>
      <c r="W55" s="6457">
        <v>148.88625869000001</v>
      </c>
      <c r="X55" s="6457">
        <v>146.43290228999999</v>
      </c>
      <c r="Y55" s="6457">
        <v>141.54864293</v>
      </c>
      <c r="Z55" s="6457">
        <v>154.97947887000001</v>
      </c>
      <c r="AA55" s="6457">
        <v>155.80505952999999</v>
      </c>
      <c r="AB55" s="6457">
        <v>152.59514337000002</v>
      </c>
      <c r="AC55" s="6457">
        <v>215.10038937999997</v>
      </c>
      <c r="AD55" s="6456">
        <v>126.81</v>
      </c>
      <c r="AE55" s="6457">
        <v>150.4</v>
      </c>
      <c r="AF55" s="6457">
        <v>158.51</v>
      </c>
      <c r="AG55" s="6457">
        <v>157.62412843999999</v>
      </c>
      <c r="AH55" s="6457">
        <v>161.52933469999999</v>
      </c>
      <c r="AI55" s="6459">
        <v>161.01163136</v>
      </c>
      <c r="AJ55" s="6457">
        <v>171.14472626</v>
      </c>
      <c r="AK55" s="6457">
        <v>170.56676653</v>
      </c>
      <c r="AL55" s="6457">
        <v>186.77535222</v>
      </c>
      <c r="AM55" s="6457">
        <v>166.13841029</v>
      </c>
      <c r="AN55" s="6457">
        <v>192.59266837999999</v>
      </c>
      <c r="AO55" s="6460">
        <v>294.06921181000001</v>
      </c>
      <c r="AP55" s="6458"/>
      <c r="AQ55" s="6461">
        <v>139.14345133999998</v>
      </c>
      <c r="AR55" s="6462">
        <v>160.65396770999999</v>
      </c>
      <c r="AS55" s="6462">
        <v>161.30594378000001</v>
      </c>
      <c r="AT55" s="6462">
        <v>161.14568654999999</v>
      </c>
      <c r="AU55" s="6462">
        <v>156.22467650000002</v>
      </c>
      <c r="AV55" s="6462">
        <v>192.36782733999996</v>
      </c>
      <c r="AW55" s="6462">
        <v>173.88290607000002</v>
      </c>
      <c r="AX55" s="6462">
        <v>174.10716943999998</v>
      </c>
      <c r="AY55" s="6462">
        <v>202.84506839999997</v>
      </c>
      <c r="AZ55" s="6462">
        <v>224.68714940999996</v>
      </c>
      <c r="BA55" s="6462">
        <v>201.79039946</v>
      </c>
      <c r="BB55" s="6462">
        <v>218.67707130000002</v>
      </c>
      <c r="BC55" s="6463">
        <v>2166.8313173000001</v>
      </c>
      <c r="BD55" s="6464">
        <f>BD56+BD62+BD66+BD69+BD70</f>
        <v>175.51456575999998</v>
      </c>
      <c r="BE55" s="6465">
        <f t="shared" ref="BE55:BL55" si="77">BE56+BE62+BE66+BE69+BE70</f>
        <v>158.85872894000002</v>
      </c>
      <c r="BF55" s="6465">
        <f t="shared" si="77"/>
        <v>142.95412744999999</v>
      </c>
      <c r="BG55" s="6464">
        <f t="shared" si="77"/>
        <v>157.45023018999998</v>
      </c>
      <c r="BH55" s="6464">
        <f t="shared" si="77"/>
        <v>148.60459906</v>
      </c>
      <c r="BI55" s="6464">
        <f t="shared" si="77"/>
        <v>156.91262104999998</v>
      </c>
      <c r="BJ55" s="6464">
        <f t="shared" si="77"/>
        <v>177.12681428000002</v>
      </c>
      <c r="BK55" s="6464">
        <f t="shared" si="77"/>
        <v>174.47382424</v>
      </c>
      <c r="BL55" s="6464">
        <f t="shared" si="77"/>
        <v>214.44287901000001</v>
      </c>
      <c r="BM55" s="6464">
        <f>BM56+BM62+BM66+BM69+BM70</f>
        <v>220.34397685000005</v>
      </c>
      <c r="BN55" s="6464">
        <f>BN56+BN62+BN66+BN69+BN70</f>
        <v>176.12359667000001</v>
      </c>
      <c r="BO55" s="6464">
        <f>BO56+BO62+BO66+BO69+BO70</f>
        <v>199.89053546</v>
      </c>
      <c r="BP55" s="6466">
        <v>2102.6964989600001</v>
      </c>
      <c r="BQ55" s="6467">
        <f t="shared" ref="BQ55:CD55" si="78">BQ56+BQ62+BQ66+BQ69+BQ70</f>
        <v>175.85235663999998</v>
      </c>
      <c r="BR55" s="6467">
        <f t="shared" si="78"/>
        <v>166.07553453000003</v>
      </c>
      <c r="BS55" s="6467">
        <f t="shared" si="78"/>
        <v>163.88899436</v>
      </c>
      <c r="BT55" s="6467">
        <f t="shared" si="78"/>
        <v>168.19889910000003</v>
      </c>
      <c r="BU55" s="6467">
        <f t="shared" si="78"/>
        <v>175.42495650999999</v>
      </c>
      <c r="BV55" s="6467">
        <f t="shared" si="78"/>
        <v>195.14809958000001</v>
      </c>
      <c r="BW55" s="6467">
        <f t="shared" si="78"/>
        <v>206.72965192000004</v>
      </c>
      <c r="BX55" s="6467">
        <f t="shared" si="78"/>
        <v>176.43204990000001</v>
      </c>
      <c r="BY55" s="6467">
        <f t="shared" si="78"/>
        <v>244.04308403000002</v>
      </c>
      <c r="BZ55" s="6467">
        <f t="shared" si="78"/>
        <v>194.00156555000001</v>
      </c>
      <c r="CA55" s="6467">
        <f t="shared" si="78"/>
        <v>218.00398693</v>
      </c>
      <c r="CB55" s="6467">
        <f t="shared" si="78"/>
        <v>274.63898396000002</v>
      </c>
      <c r="CC55" s="6467">
        <f t="shared" si="78"/>
        <v>274.63898396000002</v>
      </c>
      <c r="CD55" s="6467">
        <f t="shared" si="78"/>
        <v>0</v>
      </c>
      <c r="CE55" s="6468">
        <f t="shared" si="12"/>
        <v>56.634997030000022</v>
      </c>
      <c r="CF55" s="2606">
        <f t="shared" ref="CF55:CF77" si="79">HLOOKUP($E$2,$BQ$2:$CB$505,ROW()-1,0)-HLOOKUP($E$2,$BD$2:$BO$412,ROW()-1,0)</f>
        <v>74.748448500000023</v>
      </c>
      <c r="CG55" s="2606"/>
      <c r="CH55" s="6469">
        <f t="shared" ref="CH55:CH77" si="80">SUM(BQ55:CB55)</f>
        <v>2358.4381630100002</v>
      </c>
      <c r="CI55" s="6470">
        <f t="shared" ref="CI55:CI77" si="81">CH55-SUM(CN55:CO55)</f>
        <v>2358.4381630100002</v>
      </c>
      <c r="CJ55" s="6212">
        <f t="shared" ref="CJ55:CJ77" si="82">IFERROR(2-ABS(CH55/SUM(CN55:CO55)),0)</f>
        <v>0</v>
      </c>
      <c r="CK55" s="6471">
        <f t="shared" ref="CK55:CK77" si="83">CH55-SUM(BD55:BO55)</f>
        <v>255.74166405000005</v>
      </c>
      <c r="CL55" s="5138"/>
      <c r="CM55" s="2488"/>
      <c r="CN55" s="2505"/>
      <c r="CO55" s="2505"/>
      <c r="CP55" s="2505"/>
      <c r="CQ55" s="2505"/>
      <c r="CR55" s="2505"/>
      <c r="CS55" s="2505"/>
      <c r="CT55" s="2505"/>
      <c r="CU55" s="2505"/>
      <c r="CV55" s="2505"/>
      <c r="CW55" s="2505"/>
      <c r="CX55" s="2505"/>
      <c r="CY55" s="2505"/>
      <c r="CZ55" s="2507">
        <f t="shared" si="27"/>
        <v>0</v>
      </c>
      <c r="DB55" s="4439"/>
      <c r="DC55" s="4439"/>
      <c r="DF55" s="4439"/>
      <c r="DG55" s="4439"/>
    </row>
    <row r="56" spans="1:111" ht="16.3" customHeight="1" x14ac:dyDescent="0.55000000000000004">
      <c r="A56" s="6472"/>
      <c r="B56" s="6473" t="s">
        <v>13</v>
      </c>
      <c r="C56" s="2426"/>
      <c r="D56" s="2426"/>
      <c r="F56" s="6154">
        <v>86.972387690000005</v>
      </c>
      <c r="G56" s="6155">
        <v>84.774465579999998</v>
      </c>
      <c r="H56" s="6155">
        <v>108.52852195</v>
      </c>
      <c r="I56" s="6155">
        <v>89.282044130000003</v>
      </c>
      <c r="J56" s="6155">
        <v>85.283798649999994</v>
      </c>
      <c r="K56" s="6155">
        <v>105.00919845999999</v>
      </c>
      <c r="L56" s="6155">
        <v>79.164886089999996</v>
      </c>
      <c r="M56" s="6155">
        <v>78.473211300000003</v>
      </c>
      <c r="N56" s="6155">
        <v>103.41392756</v>
      </c>
      <c r="O56" s="6155">
        <v>76.779283309999997</v>
      </c>
      <c r="P56" s="6155">
        <v>77.499529089999996</v>
      </c>
      <c r="Q56" s="6156">
        <v>108.8692506</v>
      </c>
      <c r="R56" s="6155">
        <v>83.358859480000007</v>
      </c>
      <c r="S56" s="6155">
        <v>86.671013770000002</v>
      </c>
      <c r="T56" s="6155">
        <v>83.825463079999992</v>
      </c>
      <c r="U56" s="6155">
        <v>85.964488750000001</v>
      </c>
      <c r="V56" s="6155">
        <v>86.315302209999999</v>
      </c>
      <c r="W56" s="6155">
        <v>91.375866849999994</v>
      </c>
      <c r="X56" s="6155">
        <v>85.364691280000002</v>
      </c>
      <c r="Y56" s="6155">
        <v>87.21681095000001</v>
      </c>
      <c r="Z56" s="6155">
        <v>95.249118540000012</v>
      </c>
      <c r="AA56" s="6155">
        <v>85.559405040000001</v>
      </c>
      <c r="AB56" s="6155">
        <v>83.864113060000008</v>
      </c>
      <c r="AC56" s="6155">
        <v>104.78395415</v>
      </c>
      <c r="AD56" s="6154">
        <v>84.7</v>
      </c>
      <c r="AE56" s="6155">
        <v>86.667000000000002</v>
      </c>
      <c r="AF56" s="6155">
        <v>88.03</v>
      </c>
      <c r="AG56" s="6155">
        <v>89.167537690000003</v>
      </c>
      <c r="AH56" s="6155">
        <v>93.980740710000006</v>
      </c>
      <c r="AI56" s="6155">
        <v>95.808535520000007</v>
      </c>
      <c r="AJ56" s="6155">
        <v>97.417820970000008</v>
      </c>
      <c r="AK56" s="6155">
        <v>93.702486449999995</v>
      </c>
      <c r="AL56" s="6155">
        <v>105.21706278999999</v>
      </c>
      <c r="AM56" s="6155">
        <v>94.47643051</v>
      </c>
      <c r="AN56" s="6155">
        <v>132.31429047999998</v>
      </c>
      <c r="AO56" s="6157">
        <v>105.89835049000001</v>
      </c>
      <c r="AP56" s="6156"/>
      <c r="AQ56" s="6158">
        <v>95.091647929999993</v>
      </c>
      <c r="AR56" s="6159">
        <v>94.743658670000002</v>
      </c>
      <c r="AS56" s="6159">
        <v>99.149542420000003</v>
      </c>
      <c r="AT56" s="6159">
        <v>103.62954842000001</v>
      </c>
      <c r="AU56" s="6159">
        <v>97.837381730000004</v>
      </c>
      <c r="AV56" s="6159">
        <v>95.417562529999998</v>
      </c>
      <c r="AW56" s="6159">
        <v>98.554298110000005</v>
      </c>
      <c r="AX56" s="6159">
        <v>94.656709390000003</v>
      </c>
      <c r="AY56" s="6159">
        <v>103.30857765999997</v>
      </c>
      <c r="AZ56" s="6159">
        <v>94.797285789999989</v>
      </c>
      <c r="BA56" s="6159">
        <v>133.65885574000001</v>
      </c>
      <c r="BB56" s="6159">
        <v>99.561705090000018</v>
      </c>
      <c r="BC56" s="6160">
        <v>1210.4067734800001</v>
      </c>
      <c r="BD56" s="2549">
        <v>91.836856350000005</v>
      </c>
      <c r="BE56" s="6474">
        <v>102.96958436000001</v>
      </c>
      <c r="BF56" s="6474">
        <v>92.632131450000003</v>
      </c>
      <c r="BG56" s="2790">
        <v>101.14978487</v>
      </c>
      <c r="BH56" s="2790">
        <v>98.945004819999994</v>
      </c>
      <c r="BI56" s="2790">
        <v>107.07639431</v>
      </c>
      <c r="BJ56" s="2790">
        <v>98.280715110000003</v>
      </c>
      <c r="BK56" s="2790">
        <v>104.00814096000001</v>
      </c>
      <c r="BL56" s="2790">
        <v>126.21854271000002</v>
      </c>
      <c r="BM56" s="2790">
        <v>117.61418986000001</v>
      </c>
      <c r="BN56" s="2790">
        <v>103.17917493</v>
      </c>
      <c r="BO56" s="2790">
        <v>127.07029933</v>
      </c>
      <c r="BP56" s="6475">
        <v>1270.9808190599999</v>
      </c>
      <c r="BQ56" s="6232">
        <f t="shared" ref="BQ56:CA56" si="84">BQ57+BQ58+BQ59+BQ60</f>
        <v>103.71189967999999</v>
      </c>
      <c r="BR56" s="6450">
        <f t="shared" si="84"/>
        <v>101.80097018000001</v>
      </c>
      <c r="BS56" s="6450">
        <f t="shared" si="84"/>
        <v>114.7627521</v>
      </c>
      <c r="BT56" s="6450">
        <f t="shared" si="84"/>
        <v>109.92785092</v>
      </c>
      <c r="BU56" s="6450">
        <f t="shared" si="84"/>
        <v>108.15639520000001</v>
      </c>
      <c r="BV56" s="6171">
        <f t="shared" si="84"/>
        <v>122.74480253000002</v>
      </c>
      <c r="BW56" s="6171">
        <f t="shared" si="84"/>
        <v>112.10600040000001</v>
      </c>
      <c r="BX56" s="6171">
        <f t="shared" si="84"/>
        <v>115.64040539000001</v>
      </c>
      <c r="BY56" s="6171">
        <f t="shared" si="84"/>
        <v>143.65985110000003</v>
      </c>
      <c r="BZ56" s="6171">
        <f t="shared" si="84"/>
        <v>125.28809217000003</v>
      </c>
      <c r="CA56" s="6171">
        <f t="shared" si="84"/>
        <v>106.47823278</v>
      </c>
      <c r="CB56" s="6171">
        <v>143.56679887000001</v>
      </c>
      <c r="CC56" s="6164">
        <f t="shared" ref="CC56:CC77" si="85">HLOOKUP($E$2,$BQ$2:$CB$505,ROW()-1,0)-HLOOKUP($E$2,$CN$2:$CY$412,ROW()-1,0)</f>
        <v>143.56679887000001</v>
      </c>
      <c r="CD56" s="6208">
        <f t="shared" ref="CD56:CD77" si="86">IFERROR(2-ABS(HLOOKUP($E$2,$BQ$2:$CB$505,ROW()-1,0)/HLOOKUP($E$2,$CN$2:$CY$412,ROW()-1,0)),0)</f>
        <v>0</v>
      </c>
      <c r="CE56" s="6166">
        <f t="shared" si="12"/>
        <v>37.088566090000015</v>
      </c>
      <c r="CF56" s="2509">
        <f t="shared" si="79"/>
        <v>16.496499540000016</v>
      </c>
      <c r="CG56" s="2509"/>
      <c r="CH56" s="6167">
        <f t="shared" si="80"/>
        <v>1407.8440513200001</v>
      </c>
      <c r="CI56" s="2558">
        <f t="shared" si="81"/>
        <v>1407.8440513200001</v>
      </c>
      <c r="CJ56" s="6212">
        <f t="shared" si="82"/>
        <v>0</v>
      </c>
      <c r="CK56" s="6476">
        <f t="shared" si="83"/>
        <v>136.86323226000013</v>
      </c>
      <c r="CL56" s="5138"/>
      <c r="CM56" s="2488"/>
      <c r="CN56" s="2504"/>
      <c r="CO56" s="2504"/>
      <c r="CP56" s="2504"/>
      <c r="CQ56" s="2504"/>
      <c r="CR56" s="2504"/>
      <c r="CS56" s="2504"/>
      <c r="CT56" s="2504"/>
      <c r="CU56" s="2504"/>
      <c r="CV56" s="2504"/>
      <c r="CW56" s="2504"/>
      <c r="CX56" s="2504"/>
      <c r="CY56" s="2504"/>
      <c r="CZ56" s="2505">
        <f t="shared" si="27"/>
        <v>0</v>
      </c>
      <c r="DB56" s="4439"/>
      <c r="DC56" s="4439"/>
      <c r="DF56" s="4439"/>
      <c r="DG56" s="4439"/>
    </row>
    <row r="57" spans="1:111" ht="16.3" customHeight="1" x14ac:dyDescent="0.55000000000000004">
      <c r="A57" s="6472"/>
      <c r="B57" s="6477"/>
      <c r="C57" s="6477" t="s">
        <v>749</v>
      </c>
      <c r="D57" s="6477"/>
      <c r="F57" s="6154"/>
      <c r="G57" s="6155"/>
      <c r="H57" s="6155"/>
      <c r="I57" s="6155"/>
      <c r="J57" s="6155"/>
      <c r="K57" s="6155"/>
      <c r="L57" s="6155"/>
      <c r="M57" s="6155"/>
      <c r="N57" s="6155"/>
      <c r="O57" s="6155"/>
      <c r="P57" s="6155"/>
      <c r="Q57" s="6156"/>
      <c r="R57" s="6155"/>
      <c r="S57" s="6155"/>
      <c r="T57" s="6155"/>
      <c r="U57" s="6155"/>
      <c r="V57" s="6155"/>
      <c r="W57" s="6155"/>
      <c r="X57" s="6155"/>
      <c r="Y57" s="6155"/>
      <c r="Z57" s="6155"/>
      <c r="AA57" s="6155"/>
      <c r="AB57" s="6155"/>
      <c r="AC57" s="6155"/>
      <c r="AD57" s="6154"/>
      <c r="AE57" s="6155"/>
      <c r="AF57" s="6155"/>
      <c r="AG57" s="6155"/>
      <c r="AH57" s="6155"/>
      <c r="AI57" s="6155"/>
      <c r="AJ57" s="6155"/>
      <c r="AK57" s="6155"/>
      <c r="AL57" s="6155"/>
      <c r="AM57" s="6155"/>
      <c r="AN57" s="6155"/>
      <c r="AO57" s="6157"/>
      <c r="AP57" s="6156"/>
      <c r="AQ57" s="6158">
        <v>66.803488520000002</v>
      </c>
      <c r="AR57" s="6159">
        <v>67.303398230000013</v>
      </c>
      <c r="AS57" s="6159">
        <v>64.436620429999991</v>
      </c>
      <c r="AT57" s="6159">
        <v>69.036023909999997</v>
      </c>
      <c r="AU57" s="6159">
        <v>67.265941499999997</v>
      </c>
      <c r="AV57" s="6159">
        <v>66.963160599999995</v>
      </c>
      <c r="AW57" s="6159">
        <v>69.217029939999989</v>
      </c>
      <c r="AX57" s="6159">
        <v>66.971230299999988</v>
      </c>
      <c r="AY57" s="6159">
        <v>66.352938899999984</v>
      </c>
      <c r="AZ57" s="6159">
        <v>66.343586999999985</v>
      </c>
      <c r="BA57" s="6159">
        <v>102.4968551</v>
      </c>
      <c r="BB57" s="6159">
        <v>73.704964760000024</v>
      </c>
      <c r="BC57" s="6160">
        <v>846.89523918999987</v>
      </c>
      <c r="BD57" s="2549">
        <v>68.55635217999999</v>
      </c>
      <c r="BE57" s="6474">
        <v>69.924755279999999</v>
      </c>
      <c r="BF57" s="6474">
        <v>62.772533680000002</v>
      </c>
      <c r="BG57" s="2790">
        <v>70.373974379999993</v>
      </c>
      <c r="BH57" s="2790">
        <v>70.250598080000003</v>
      </c>
      <c r="BI57" s="2790">
        <v>75.960434679999992</v>
      </c>
      <c r="BJ57" s="2790">
        <v>69.170666620000006</v>
      </c>
      <c r="BK57" s="2790">
        <v>70.176602740000007</v>
      </c>
      <c r="BL57" s="2790">
        <v>87.531549939999991</v>
      </c>
      <c r="BM57" s="2790">
        <v>85.387725939999996</v>
      </c>
      <c r="BN57" s="2790">
        <v>71.571217340000004</v>
      </c>
      <c r="BO57" s="2790">
        <v>77.67426583999999</v>
      </c>
      <c r="BP57" s="6475">
        <v>879.35067669999989</v>
      </c>
      <c r="BQ57" s="6232">
        <v>73.920033839999988</v>
      </c>
      <c r="BR57" s="6450">
        <v>75.645476740000007</v>
      </c>
      <c r="BS57" s="6474">
        <v>79.300362370000002</v>
      </c>
      <c r="BT57" s="6478">
        <v>76.339119740000001</v>
      </c>
      <c r="BU57" s="6478">
        <v>75.272432440000003</v>
      </c>
      <c r="BV57" s="6232">
        <v>74.957407240000009</v>
      </c>
      <c r="BW57" s="2496">
        <v>74.639421940000005</v>
      </c>
      <c r="BX57" s="6232">
        <v>74.248527940000002</v>
      </c>
      <c r="BY57" s="2496">
        <v>103.21339904</v>
      </c>
      <c r="BZ57" s="2496">
        <v>91.738943140000018</v>
      </c>
      <c r="CA57" s="2496">
        <v>75.114585140000003</v>
      </c>
      <c r="CB57" s="2496">
        <v>84.059313860000003</v>
      </c>
      <c r="CC57" s="6164">
        <f t="shared" si="85"/>
        <v>84.059313860000003</v>
      </c>
      <c r="CD57" s="6208">
        <f t="shared" si="86"/>
        <v>0</v>
      </c>
      <c r="CE57" s="6166">
        <f t="shared" si="12"/>
        <v>8.9447287200000005</v>
      </c>
      <c r="CF57" s="2509">
        <f t="shared" si="79"/>
        <v>6.3850480200000135</v>
      </c>
      <c r="CG57" s="2509"/>
      <c r="CH57" s="6167">
        <f t="shared" si="80"/>
        <v>958.44902343000012</v>
      </c>
      <c r="CI57" s="2558">
        <f t="shared" si="81"/>
        <v>958.44902343000012</v>
      </c>
      <c r="CJ57" s="6212">
        <f t="shared" si="82"/>
        <v>0</v>
      </c>
      <c r="CK57" s="6476">
        <f t="shared" si="83"/>
        <v>79.09834673000023</v>
      </c>
      <c r="CL57" s="5138"/>
      <c r="CM57" s="2488"/>
      <c r="CN57" s="2504"/>
      <c r="CO57" s="2504"/>
      <c r="CP57" s="2504"/>
      <c r="CQ57" s="2504"/>
      <c r="CR57" s="2504"/>
      <c r="CS57" s="2504"/>
      <c r="CT57" s="2504"/>
      <c r="CU57" s="2504"/>
      <c r="CV57" s="2504"/>
      <c r="CW57" s="2504"/>
      <c r="CX57" s="2504"/>
      <c r="CY57" s="2504"/>
      <c r="CZ57" s="2505">
        <f t="shared" si="27"/>
        <v>0</v>
      </c>
      <c r="DB57" s="4439"/>
      <c r="DC57" s="4439"/>
      <c r="DF57" s="4439"/>
      <c r="DG57" s="4439"/>
    </row>
    <row r="58" spans="1:111" ht="16.3" customHeight="1" x14ac:dyDescent="0.55000000000000004">
      <c r="A58" s="6472"/>
      <c r="B58" s="6477"/>
      <c r="C58" s="6477" t="s">
        <v>755</v>
      </c>
      <c r="D58" s="6477"/>
      <c r="F58" s="6154"/>
      <c r="G58" s="6155"/>
      <c r="H58" s="6155"/>
      <c r="I58" s="6155"/>
      <c r="J58" s="6155"/>
      <c r="K58" s="6155"/>
      <c r="L58" s="6155"/>
      <c r="M58" s="6155"/>
      <c r="N58" s="6155"/>
      <c r="O58" s="6155"/>
      <c r="P58" s="6155"/>
      <c r="Q58" s="6156"/>
      <c r="R58" s="6155"/>
      <c r="S58" s="6155"/>
      <c r="T58" s="6155"/>
      <c r="U58" s="6155"/>
      <c r="V58" s="6155"/>
      <c r="W58" s="6155"/>
      <c r="X58" s="6155"/>
      <c r="Y58" s="6155"/>
      <c r="Z58" s="6155"/>
      <c r="AA58" s="6155"/>
      <c r="AB58" s="6155"/>
      <c r="AC58" s="6155"/>
      <c r="AD58" s="6154"/>
      <c r="AE58" s="6155"/>
      <c r="AF58" s="6155"/>
      <c r="AG58" s="6155"/>
      <c r="AH58" s="6155"/>
      <c r="AI58" s="6155"/>
      <c r="AJ58" s="6155"/>
      <c r="AK58" s="6155"/>
      <c r="AL58" s="6155"/>
      <c r="AM58" s="6155"/>
      <c r="AN58" s="6155"/>
      <c r="AO58" s="6157"/>
      <c r="AP58" s="6156"/>
      <c r="AQ58" s="6158">
        <v>9.0370430000000002E-2</v>
      </c>
      <c r="AR58" s="6159">
        <v>1.3526564300000001</v>
      </c>
      <c r="AS58" s="6159">
        <v>0.11977043</v>
      </c>
      <c r="AT58" s="6159">
        <v>1.3193751900000001</v>
      </c>
      <c r="AU58" s="6159">
        <v>0.10357043</v>
      </c>
      <c r="AV58" s="6159">
        <v>0.10597042999999999</v>
      </c>
      <c r="AW58" s="6159">
        <v>0.10477043</v>
      </c>
      <c r="AX58" s="6159">
        <v>0.82647042999999998</v>
      </c>
      <c r="AY58" s="6159">
        <v>0.10597042999999999</v>
      </c>
      <c r="AZ58" s="6159">
        <v>1.5557009199999998</v>
      </c>
      <c r="BA58" s="6159">
        <v>0.18464723999999999</v>
      </c>
      <c r="BB58" s="6159">
        <v>2.1943182700000001</v>
      </c>
      <c r="BC58" s="6160">
        <v>8.0635910600000003</v>
      </c>
      <c r="BD58" s="2549">
        <v>0.10320023</v>
      </c>
      <c r="BE58" s="6474">
        <v>0.15840023</v>
      </c>
      <c r="BF58" s="6474">
        <v>0.15840023</v>
      </c>
      <c r="BG58" s="2790">
        <v>1.3677819600000001</v>
      </c>
      <c r="BH58" s="2790">
        <v>0.15840023</v>
      </c>
      <c r="BI58" s="2790">
        <v>0.16240023000000001</v>
      </c>
      <c r="BJ58" s="2790">
        <v>8.6400229999999995E-2</v>
      </c>
      <c r="BK58" s="2790">
        <v>0.32833488</v>
      </c>
      <c r="BL58" s="2790">
        <v>1.39832527</v>
      </c>
      <c r="BM58" s="2790">
        <v>0.21840022999999997</v>
      </c>
      <c r="BN58" s="2790">
        <v>1.51931517</v>
      </c>
      <c r="BO58" s="2790">
        <v>1.41862742</v>
      </c>
      <c r="BP58" s="6475">
        <v>7.07798631</v>
      </c>
      <c r="BQ58" s="6163">
        <v>1.15603053</v>
      </c>
      <c r="BR58" s="6450">
        <v>0.11543053</v>
      </c>
      <c r="BS58" s="6474">
        <v>9.7430530000000001E-2</v>
      </c>
      <c r="BT58" s="6479">
        <v>0.30543052999999998</v>
      </c>
      <c r="BU58" s="6479">
        <v>8.6430530000000005E-2</v>
      </c>
      <c r="BV58" s="6163">
        <v>0.21243053000000001</v>
      </c>
      <c r="BW58" s="2496">
        <v>0.10143053</v>
      </c>
      <c r="BX58" s="6163">
        <v>8.5430530000000005E-2</v>
      </c>
      <c r="BY58" s="2496">
        <v>0.42693052999999997</v>
      </c>
      <c r="BZ58" s="2496">
        <v>0.17043053</v>
      </c>
      <c r="CA58" s="2496">
        <v>0.27643053000000001</v>
      </c>
      <c r="CB58" s="2496">
        <v>3.9605762800000002</v>
      </c>
      <c r="CC58" s="6164">
        <f t="shared" si="85"/>
        <v>3.9605762800000002</v>
      </c>
      <c r="CD58" s="6208">
        <f t="shared" si="86"/>
        <v>0</v>
      </c>
      <c r="CE58" s="6166">
        <f t="shared" si="12"/>
        <v>3.6841457500000003</v>
      </c>
      <c r="CF58" s="2509">
        <f t="shared" si="79"/>
        <v>2.5419488600000002</v>
      </c>
      <c r="CG58" s="2509"/>
      <c r="CH58" s="6167">
        <f t="shared" si="80"/>
        <v>6.9944121099999998</v>
      </c>
      <c r="CI58" s="2558">
        <f t="shared" si="81"/>
        <v>6.9944121099999998</v>
      </c>
      <c r="CJ58" s="6212">
        <f t="shared" si="82"/>
        <v>0</v>
      </c>
      <c r="CK58" s="6476">
        <f t="shared" si="83"/>
        <v>-8.3574200000000154E-2</v>
      </c>
      <c r="CL58" s="5138"/>
      <c r="CM58" s="2488"/>
      <c r="CN58" s="2504"/>
      <c r="CO58" s="2504"/>
      <c r="CP58" s="2504"/>
      <c r="CQ58" s="2504"/>
      <c r="CR58" s="2504"/>
      <c r="CS58" s="2504"/>
      <c r="CT58" s="2504"/>
      <c r="CU58" s="2504"/>
      <c r="CV58" s="2504"/>
      <c r="CW58" s="2504"/>
      <c r="CX58" s="2504"/>
      <c r="CY58" s="2504"/>
      <c r="CZ58" s="2505">
        <f t="shared" si="27"/>
        <v>0</v>
      </c>
      <c r="DB58" s="4439"/>
      <c r="DC58" s="4439"/>
      <c r="DF58" s="4439"/>
      <c r="DG58" s="4439"/>
    </row>
    <row r="59" spans="1:111" ht="16.3" customHeight="1" x14ac:dyDescent="0.45">
      <c r="A59" s="6472"/>
      <c r="B59" s="6477"/>
      <c r="C59" s="6477" t="s">
        <v>758</v>
      </c>
      <c r="D59" s="6477"/>
      <c r="F59" s="6154"/>
      <c r="G59" s="6155"/>
      <c r="H59" s="6155"/>
      <c r="I59" s="6155"/>
      <c r="J59" s="6155"/>
      <c r="K59" s="6155"/>
      <c r="L59" s="6155"/>
      <c r="M59" s="6155"/>
      <c r="N59" s="6155"/>
      <c r="O59" s="6155"/>
      <c r="P59" s="6155"/>
      <c r="Q59" s="6156"/>
      <c r="R59" s="6155"/>
      <c r="S59" s="6155"/>
      <c r="T59" s="6155"/>
      <c r="U59" s="6155"/>
      <c r="V59" s="6155"/>
      <c r="W59" s="6155"/>
      <c r="X59" s="6155"/>
      <c r="Y59" s="6155"/>
      <c r="Z59" s="6155"/>
      <c r="AA59" s="6155"/>
      <c r="AB59" s="6155"/>
      <c r="AC59" s="6155"/>
      <c r="AD59" s="6154"/>
      <c r="AE59" s="6155"/>
      <c r="AF59" s="6155"/>
      <c r="AG59" s="6155"/>
      <c r="AH59" s="6155"/>
      <c r="AI59" s="6155"/>
      <c r="AJ59" s="6155"/>
      <c r="AK59" s="6155"/>
      <c r="AL59" s="6155"/>
      <c r="AM59" s="6155"/>
      <c r="AN59" s="6155"/>
      <c r="AO59" s="6157"/>
      <c r="AP59" s="6156"/>
      <c r="AQ59" s="6158">
        <v>6.6826682400000008</v>
      </c>
      <c r="AR59" s="6159">
        <v>6.6826682400000008</v>
      </c>
      <c r="AS59" s="6159">
        <v>6.6826682400000008</v>
      </c>
      <c r="AT59" s="6159">
        <v>6.6826682400000008</v>
      </c>
      <c r="AU59" s="6159">
        <v>6.6826682400000008</v>
      </c>
      <c r="AV59" s="6159">
        <v>6.6826682400000008</v>
      </c>
      <c r="AW59" s="6159">
        <v>6.6826682400000008</v>
      </c>
      <c r="AX59" s="6159">
        <v>6.6826682400000008</v>
      </c>
      <c r="AY59" s="6159">
        <v>6.6826682400000008</v>
      </c>
      <c r="AZ59" s="6159">
        <v>6.6826682400000008</v>
      </c>
      <c r="BA59" s="6159">
        <v>6.6826682400000008</v>
      </c>
      <c r="BB59" s="6159">
        <v>-1.30996318</v>
      </c>
      <c r="BC59" s="6160">
        <v>72.199387459999997</v>
      </c>
      <c r="BD59" s="2549">
        <v>6.4657751899999996</v>
      </c>
      <c r="BE59" s="6474">
        <v>6.4657751899999996</v>
      </c>
      <c r="BF59" s="6474">
        <v>6.4657751899999996</v>
      </c>
      <c r="BG59" s="2790">
        <v>6.4657751899999996</v>
      </c>
      <c r="BH59" s="2790">
        <v>6.4657751899999996</v>
      </c>
      <c r="BI59" s="2790">
        <v>6.4657751899999996</v>
      </c>
      <c r="BJ59" s="2790">
        <v>6.4657751899999996</v>
      </c>
      <c r="BK59" s="2790">
        <v>6.4657751899999996</v>
      </c>
      <c r="BL59" s="2790">
        <v>6.4657751899999996</v>
      </c>
      <c r="BM59" s="2790">
        <v>6.4657751900000004</v>
      </c>
      <c r="BN59" s="2790">
        <v>6.4657751899999996</v>
      </c>
      <c r="BO59" s="6480">
        <v>12.523563100000001</v>
      </c>
      <c r="BP59" s="6481">
        <v>83.647090190000014</v>
      </c>
      <c r="BQ59" s="6163">
        <v>7.43627707</v>
      </c>
      <c r="BR59" s="6450">
        <v>7.43627707</v>
      </c>
      <c r="BS59" s="6474">
        <v>7.43627707</v>
      </c>
      <c r="BT59" s="6479">
        <v>7.43627707</v>
      </c>
      <c r="BU59" s="6479">
        <v>7.43627707</v>
      </c>
      <c r="BV59" s="6163">
        <v>7.43627707</v>
      </c>
      <c r="BW59" s="2496">
        <v>7.43627707</v>
      </c>
      <c r="BX59" s="6163">
        <v>7.43627707</v>
      </c>
      <c r="BY59" s="2496">
        <v>7.43627707</v>
      </c>
      <c r="BZ59" s="2496">
        <v>7.43627707</v>
      </c>
      <c r="CA59" s="2496">
        <v>7.43627707</v>
      </c>
      <c r="CB59" s="2496">
        <v>20.84093601</v>
      </c>
      <c r="CC59" s="6164">
        <f t="shared" si="85"/>
        <v>20.84093601</v>
      </c>
      <c r="CD59" s="6208">
        <f t="shared" si="86"/>
        <v>0</v>
      </c>
      <c r="CE59" s="6166">
        <f t="shared" si="12"/>
        <v>13.404658940000001</v>
      </c>
      <c r="CF59" s="2509">
        <f t="shared" si="79"/>
        <v>8.3173729099999996</v>
      </c>
      <c r="CG59" s="2509"/>
      <c r="CH59" s="6167">
        <f t="shared" si="80"/>
        <v>102.63998378000002</v>
      </c>
      <c r="CI59" s="2558">
        <f t="shared" si="81"/>
        <v>102.63998378000002</v>
      </c>
      <c r="CJ59" s="6212">
        <f t="shared" si="82"/>
        <v>0</v>
      </c>
      <c r="CK59" s="6476">
        <f t="shared" si="83"/>
        <v>18.992893590000008</v>
      </c>
      <c r="CL59" s="5138"/>
      <c r="CM59" s="2488"/>
      <c r="CN59" s="2504"/>
      <c r="CO59" s="2504"/>
      <c r="CP59" s="2504"/>
      <c r="CQ59" s="2504"/>
      <c r="CR59" s="2504"/>
      <c r="CS59" s="2504"/>
      <c r="CT59" s="2504"/>
      <c r="CU59" s="2504"/>
      <c r="CV59" s="2504"/>
      <c r="CW59" s="2504"/>
      <c r="CX59" s="2504"/>
      <c r="CY59" s="2504"/>
      <c r="CZ59" s="2505">
        <f t="shared" si="27"/>
        <v>0</v>
      </c>
      <c r="DB59" s="4439"/>
      <c r="DC59" s="4439"/>
      <c r="DF59" s="4439"/>
      <c r="DG59" s="4439"/>
    </row>
    <row r="60" spans="1:111" ht="16.3" customHeight="1" x14ac:dyDescent="0.45">
      <c r="A60" s="6472"/>
      <c r="B60" s="6477"/>
      <c r="C60" s="6477" t="s">
        <v>728</v>
      </c>
      <c r="D60" s="6477"/>
      <c r="F60" s="6154"/>
      <c r="G60" s="6155"/>
      <c r="H60" s="6155"/>
      <c r="I60" s="6155"/>
      <c r="J60" s="6155"/>
      <c r="K60" s="6155"/>
      <c r="L60" s="6155"/>
      <c r="M60" s="6155"/>
      <c r="N60" s="6155"/>
      <c r="O60" s="6155"/>
      <c r="P60" s="6155"/>
      <c r="Q60" s="6156"/>
      <c r="R60" s="6155"/>
      <c r="S60" s="6155"/>
      <c r="T60" s="6155"/>
      <c r="U60" s="6155"/>
      <c r="V60" s="6155"/>
      <c r="W60" s="6155"/>
      <c r="X60" s="6155"/>
      <c r="Y60" s="6155"/>
      <c r="Z60" s="6155"/>
      <c r="AA60" s="6155"/>
      <c r="AB60" s="6155"/>
      <c r="AC60" s="6155"/>
      <c r="AD60" s="6154"/>
      <c r="AE60" s="6155"/>
      <c r="AF60" s="6155"/>
      <c r="AG60" s="6155"/>
      <c r="AH60" s="6155"/>
      <c r="AI60" s="6155"/>
      <c r="AJ60" s="6155"/>
      <c r="AK60" s="6155"/>
      <c r="AL60" s="6155"/>
      <c r="AM60" s="6155"/>
      <c r="AN60" s="6155"/>
      <c r="AO60" s="6157"/>
      <c r="AP60" s="6156"/>
      <c r="AQ60" s="6158">
        <v>21.51512074</v>
      </c>
      <c r="AR60" s="6159">
        <v>19.404935769999998</v>
      </c>
      <c r="AS60" s="6159">
        <v>27.910483319999997</v>
      </c>
      <c r="AT60" s="6159">
        <v>26.591481079999998</v>
      </c>
      <c r="AU60" s="6159">
        <v>23.785201560000001</v>
      </c>
      <c r="AV60" s="6159">
        <v>21.665763259999999</v>
      </c>
      <c r="AW60" s="6159">
        <v>22.549829500000001</v>
      </c>
      <c r="AX60" s="6159">
        <v>20.176340419999999</v>
      </c>
      <c r="AY60" s="6159">
        <v>30.167000090000002</v>
      </c>
      <c r="AZ60" s="6159">
        <v>20.215329629999999</v>
      </c>
      <c r="BA60" s="6159">
        <v>24.29468516</v>
      </c>
      <c r="BB60" s="6159">
        <v>24.972385239999998</v>
      </c>
      <c r="BC60" s="6160">
        <v>283.24855576999994</v>
      </c>
      <c r="BD60" s="2549">
        <v>16.711528749999999</v>
      </c>
      <c r="BE60" s="6474">
        <v>26.420653659999999</v>
      </c>
      <c r="BF60" s="6474">
        <v>23.23542235</v>
      </c>
      <c r="BG60" s="2790">
        <v>22.942253340000001</v>
      </c>
      <c r="BH60" s="2790">
        <v>22.070231320000001</v>
      </c>
      <c r="BI60" s="2790">
        <v>24.487784210000001</v>
      </c>
      <c r="BJ60" s="2790">
        <v>22.557873069999999</v>
      </c>
      <c r="BK60" s="2790">
        <v>27.03742815</v>
      </c>
      <c r="BL60" s="2790">
        <v>30.82289231</v>
      </c>
      <c r="BM60" s="2790">
        <v>25.67619487</v>
      </c>
      <c r="BN60" s="2790">
        <v>23.622867230000001</v>
      </c>
      <c r="BO60" s="6482">
        <v>35.453842969999997</v>
      </c>
      <c r="BP60" s="6481">
        <v>301.03897223000001</v>
      </c>
      <c r="BQ60" s="6163">
        <v>21.199558240000002</v>
      </c>
      <c r="BR60" s="6450">
        <v>18.60378584</v>
      </c>
      <c r="BS60" s="6474">
        <v>27.928682129999999</v>
      </c>
      <c r="BT60" s="6479">
        <v>25.847023579999998</v>
      </c>
      <c r="BU60" s="6479">
        <v>25.361255159999999</v>
      </c>
      <c r="BV60" s="6163">
        <v>40.138687689999998</v>
      </c>
      <c r="BW60" s="2496">
        <v>29.92887086</v>
      </c>
      <c r="BX60" s="6163">
        <v>33.870169850000003</v>
      </c>
      <c r="BY60" s="2496">
        <v>32.583244460000003</v>
      </c>
      <c r="BZ60" s="2496">
        <v>25.942441429999999</v>
      </c>
      <c r="CA60" s="2496">
        <v>23.650940039999998</v>
      </c>
      <c r="CB60" s="2496">
        <v>34.705972719999998</v>
      </c>
      <c r="CC60" s="6164">
        <f t="shared" si="85"/>
        <v>34.705972719999998</v>
      </c>
      <c r="CD60" s="6208">
        <f t="shared" si="86"/>
        <v>0</v>
      </c>
      <c r="CE60" s="6166">
        <f t="shared" si="12"/>
        <v>11.05503268</v>
      </c>
      <c r="CF60" s="2509">
        <f t="shared" si="79"/>
        <v>-0.74787024999999829</v>
      </c>
      <c r="CG60" s="2509"/>
      <c r="CH60" s="6167">
        <f t="shared" si="80"/>
        <v>339.76063199999999</v>
      </c>
      <c r="CI60" s="2558">
        <f t="shared" si="81"/>
        <v>339.76063199999999</v>
      </c>
      <c r="CJ60" s="6212">
        <f t="shared" si="82"/>
        <v>0</v>
      </c>
      <c r="CK60" s="6476">
        <f t="shared" si="83"/>
        <v>38.721659769999974</v>
      </c>
      <c r="CL60" s="5138"/>
      <c r="CM60" s="2488"/>
      <c r="CN60" s="2504"/>
      <c r="CO60" s="2504"/>
      <c r="CP60" s="2504"/>
      <c r="CQ60" s="2504"/>
      <c r="CR60" s="2504"/>
      <c r="CS60" s="2504"/>
      <c r="CT60" s="2504"/>
      <c r="CU60" s="2504"/>
      <c r="CV60" s="2504"/>
      <c r="CW60" s="2504"/>
      <c r="CX60" s="2504"/>
      <c r="CY60" s="2504"/>
      <c r="CZ60" s="2505">
        <f t="shared" si="27"/>
        <v>0</v>
      </c>
      <c r="DB60" s="4439"/>
      <c r="DC60" s="4439"/>
      <c r="DF60" s="4439"/>
      <c r="DG60" s="4439"/>
    </row>
    <row r="61" spans="1:111" ht="16.3" customHeight="1" thickBot="1" x14ac:dyDescent="0.6">
      <c r="A61" s="6472"/>
      <c r="B61" s="6483"/>
      <c r="C61" s="6484" t="s">
        <v>757</v>
      </c>
      <c r="D61" s="6483"/>
      <c r="E61" s="6485"/>
      <c r="F61" s="6486"/>
      <c r="G61" s="6487"/>
      <c r="H61" s="6487"/>
      <c r="I61" s="6487"/>
      <c r="J61" s="6487"/>
      <c r="K61" s="6487"/>
      <c r="L61" s="6487"/>
      <c r="M61" s="6487"/>
      <c r="N61" s="6487"/>
      <c r="O61" s="6487"/>
      <c r="P61" s="6487"/>
      <c r="Q61" s="6488"/>
      <c r="R61" s="6487"/>
      <c r="S61" s="6487"/>
      <c r="T61" s="6487"/>
      <c r="U61" s="6487"/>
      <c r="V61" s="6487"/>
      <c r="W61" s="6487"/>
      <c r="X61" s="6487"/>
      <c r="Y61" s="6487"/>
      <c r="Z61" s="6487"/>
      <c r="AA61" s="6487"/>
      <c r="AB61" s="6487"/>
      <c r="AC61" s="6487"/>
      <c r="AD61" s="6486"/>
      <c r="AE61" s="6487"/>
      <c r="AF61" s="6487"/>
      <c r="AG61" s="6487"/>
      <c r="AH61" s="6487"/>
      <c r="AI61" s="6487"/>
      <c r="AJ61" s="6487"/>
      <c r="AK61" s="6487"/>
      <c r="AL61" s="6487"/>
      <c r="AM61" s="6487"/>
      <c r="AN61" s="6487"/>
      <c r="AO61" s="6487"/>
      <c r="AP61" s="6488"/>
      <c r="AQ61" s="6489">
        <v>12.937913019999998</v>
      </c>
      <c r="AR61" s="6490">
        <v>10.866855149999999</v>
      </c>
      <c r="AS61" s="6490">
        <v>18.280156350000002</v>
      </c>
      <c r="AT61" s="6490">
        <v>14.663401110000001</v>
      </c>
      <c r="AU61" s="6490">
        <v>10.721816200000001</v>
      </c>
      <c r="AV61" s="6490">
        <v>11.557472699999998</v>
      </c>
      <c r="AW61" s="6490">
        <v>11.23043884</v>
      </c>
      <c r="AX61" s="6490">
        <v>8.3603743300000009</v>
      </c>
      <c r="AY61" s="6490">
        <v>16.22810716</v>
      </c>
      <c r="AZ61" s="6490">
        <v>10.13763537</v>
      </c>
      <c r="BA61" s="6490">
        <v>13.544251859999999</v>
      </c>
      <c r="BB61" s="6490">
        <v>6.2678040799999994</v>
      </c>
      <c r="BC61" s="6491">
        <v>144.79622616999998</v>
      </c>
      <c r="BD61" s="6492">
        <v>7.5321794200000003</v>
      </c>
      <c r="BE61" s="6493">
        <v>14.454307529999999</v>
      </c>
      <c r="BF61" s="6493">
        <v>12.5205404</v>
      </c>
      <c r="BG61" s="6493">
        <v>10.60196972</v>
      </c>
      <c r="BH61" s="6493">
        <v>11.551881180000001</v>
      </c>
      <c r="BI61" s="6493">
        <v>12.936837990000001</v>
      </c>
      <c r="BJ61" s="6493">
        <v>11.875371250000001</v>
      </c>
      <c r="BK61" s="6493">
        <v>15.28501814</v>
      </c>
      <c r="BL61" s="6493">
        <v>16.474593800000001</v>
      </c>
      <c r="BM61" s="6493">
        <v>14.30125425</v>
      </c>
      <c r="BN61" s="6493">
        <v>12.21380055</v>
      </c>
      <c r="BO61" s="6493">
        <v>10.545793489999999</v>
      </c>
      <c r="BP61" s="6494">
        <v>150.29354772000002</v>
      </c>
      <c r="BQ61" s="6495">
        <v>9.649958250000001</v>
      </c>
      <c r="BR61" s="6496">
        <v>6.3796055699999998</v>
      </c>
      <c r="BS61" s="6493">
        <v>15.6411905</v>
      </c>
      <c r="BT61" s="6497">
        <v>12.396531400000001</v>
      </c>
      <c r="BU61" s="6497">
        <v>13.046445010000001</v>
      </c>
      <c r="BV61" s="6495">
        <v>16.806991669999999</v>
      </c>
      <c r="BW61" s="6498">
        <v>18.78525994</v>
      </c>
      <c r="BX61" s="6495">
        <v>21.300872160000001</v>
      </c>
      <c r="BY61" s="6498">
        <v>14.669675110000002</v>
      </c>
      <c r="BZ61" s="6498">
        <v>15.115384939999998</v>
      </c>
      <c r="CA61" s="6498">
        <v>12.452340399999999</v>
      </c>
      <c r="CB61" s="6498">
        <v>9.8883229999999998</v>
      </c>
      <c r="CC61" s="6499">
        <f t="shared" si="85"/>
        <v>9.8883229999999998</v>
      </c>
      <c r="CD61" s="6208">
        <f t="shared" si="86"/>
        <v>0</v>
      </c>
      <c r="CE61" s="6500">
        <f t="shared" si="12"/>
        <v>-2.5640173999999991</v>
      </c>
      <c r="CF61" s="6501">
        <f t="shared" si="79"/>
        <v>-0.65747048999999969</v>
      </c>
      <c r="CG61" s="6501"/>
      <c r="CH61" s="6502">
        <f t="shared" si="80"/>
        <v>166.13257794999998</v>
      </c>
      <c r="CI61" s="6503">
        <f t="shared" si="81"/>
        <v>166.13257794999998</v>
      </c>
      <c r="CJ61" s="6504">
        <f t="shared" si="82"/>
        <v>0</v>
      </c>
      <c r="CK61" s="6505">
        <f t="shared" si="83"/>
        <v>15.839030229999963</v>
      </c>
      <c r="CL61" s="5138"/>
      <c r="CM61" s="2488"/>
      <c r="CN61" s="2504"/>
      <c r="CO61" s="2504"/>
      <c r="CP61" s="2504"/>
      <c r="CQ61" s="2504"/>
      <c r="CR61" s="2504"/>
      <c r="CS61" s="2504"/>
      <c r="CT61" s="2504"/>
      <c r="CU61" s="2504"/>
      <c r="CV61" s="2504"/>
      <c r="CW61" s="2504"/>
      <c r="CX61" s="2504"/>
      <c r="CY61" s="2504"/>
      <c r="CZ61" s="2505">
        <f t="shared" si="27"/>
        <v>0</v>
      </c>
      <c r="DB61" s="4439"/>
      <c r="DC61" s="4439"/>
      <c r="DF61" s="4439"/>
      <c r="DG61" s="4439"/>
    </row>
    <row r="62" spans="1:111" ht="16.3" customHeight="1" x14ac:dyDescent="0.55000000000000004">
      <c r="A62" s="6472"/>
      <c r="B62" s="6473" t="s">
        <v>43</v>
      </c>
      <c r="C62" s="2426"/>
      <c r="D62" s="2426"/>
      <c r="F62" s="6154">
        <v>15.807568740000001</v>
      </c>
      <c r="G62" s="6155">
        <v>15.656174010000001</v>
      </c>
      <c r="H62" s="6155">
        <v>18.299156190000001</v>
      </c>
      <c r="I62" s="6155">
        <v>19.011031849999998</v>
      </c>
      <c r="J62" s="6155">
        <v>23.66879423</v>
      </c>
      <c r="K62" s="6155">
        <v>22.87637591</v>
      </c>
      <c r="L62" s="6155">
        <v>27.241440650000001</v>
      </c>
      <c r="M62" s="6155">
        <v>23.921398079999999</v>
      </c>
      <c r="N62" s="6155">
        <v>19.618334149999999</v>
      </c>
      <c r="O62" s="6155">
        <v>34.063408019999997</v>
      </c>
      <c r="P62" s="6155">
        <v>49.401448100000003</v>
      </c>
      <c r="Q62" s="6156">
        <v>40.22943892</v>
      </c>
      <c r="R62" s="6155">
        <v>21.800728339999999</v>
      </c>
      <c r="S62" s="6155">
        <v>25.91936097</v>
      </c>
      <c r="T62" s="6155">
        <v>26.086665140000001</v>
      </c>
      <c r="U62" s="6155">
        <v>21.88674718</v>
      </c>
      <c r="V62" s="6155">
        <v>29.485148649999999</v>
      </c>
      <c r="W62" s="6155">
        <v>26.800678909999998</v>
      </c>
      <c r="X62" s="6155">
        <v>24.423401690000002</v>
      </c>
      <c r="Y62" s="6155">
        <v>24.358798270000001</v>
      </c>
      <c r="Z62" s="6155">
        <v>29.86457532</v>
      </c>
      <c r="AA62" s="6155">
        <v>34.864014220000001</v>
      </c>
      <c r="AB62" s="6155">
        <v>36.9589845</v>
      </c>
      <c r="AC62" s="6155">
        <v>57.026608039999999</v>
      </c>
      <c r="AD62" s="6154">
        <v>13.88</v>
      </c>
      <c r="AE62" s="6155">
        <v>34.796999999999997</v>
      </c>
      <c r="AF62" s="6155">
        <v>40.421999999999997</v>
      </c>
      <c r="AG62" s="6155">
        <v>34.15492776</v>
      </c>
      <c r="AH62" s="6155">
        <v>36.149872860000002</v>
      </c>
      <c r="AI62" s="6155">
        <v>35.885014810000001</v>
      </c>
      <c r="AJ62" s="6155">
        <v>34.195826390000001</v>
      </c>
      <c r="AK62" s="6155">
        <v>40.841606079999998</v>
      </c>
      <c r="AL62" s="6155">
        <v>48.167512949999995</v>
      </c>
      <c r="AM62" s="6155">
        <v>35.874090219999999</v>
      </c>
      <c r="AN62" s="6155">
        <v>26.269001469999999</v>
      </c>
      <c r="AO62" s="6157">
        <v>142.00235107999998</v>
      </c>
      <c r="AP62" s="6156"/>
      <c r="AQ62" s="6158">
        <v>10.679466099999999</v>
      </c>
      <c r="AR62" s="6159">
        <v>31.841216350000003</v>
      </c>
      <c r="AS62" s="6159">
        <v>29.512413190000004</v>
      </c>
      <c r="AT62" s="6159">
        <v>23.364959259999999</v>
      </c>
      <c r="AU62" s="6159">
        <v>26.602806840000003</v>
      </c>
      <c r="AV62" s="6159">
        <v>62.799807749999992</v>
      </c>
      <c r="AW62" s="6159">
        <v>39.640826050000001</v>
      </c>
      <c r="AX62" s="6159">
        <v>37.467097250000002</v>
      </c>
      <c r="AY62" s="6159">
        <v>68.50553330000001</v>
      </c>
      <c r="AZ62" s="6159">
        <v>87.523076189999998</v>
      </c>
      <c r="BA62" s="6159">
        <v>27.47532867</v>
      </c>
      <c r="BB62" s="6159">
        <v>76.548075170000004</v>
      </c>
      <c r="BC62" s="6160">
        <v>521.96060611999997</v>
      </c>
      <c r="BD62" s="2549">
        <f>BD63+BD64+BD65</f>
        <v>46.45241351</v>
      </c>
      <c r="BE62" s="2549">
        <f t="shared" ref="BE62:CA62" si="87">BE63+BE64+BE65</f>
        <v>16.186964039999999</v>
      </c>
      <c r="BF62" s="2549">
        <f t="shared" si="87"/>
        <v>16.945910379999997</v>
      </c>
      <c r="BG62" s="2549">
        <f t="shared" si="87"/>
        <v>21.012653220000001</v>
      </c>
      <c r="BH62" s="2549">
        <f t="shared" si="87"/>
        <v>15.72153387</v>
      </c>
      <c r="BI62" s="2549">
        <f t="shared" si="87"/>
        <v>15.48449055</v>
      </c>
      <c r="BJ62" s="2549">
        <f t="shared" si="87"/>
        <v>30.926562569999998</v>
      </c>
      <c r="BK62" s="2549">
        <f t="shared" si="87"/>
        <v>22.904374860000001</v>
      </c>
      <c r="BL62" s="2549">
        <f t="shared" si="87"/>
        <v>45.733348429999999</v>
      </c>
      <c r="BM62" s="2549">
        <f t="shared" si="87"/>
        <v>55.297539260000001</v>
      </c>
      <c r="BN62" s="2549">
        <f t="shared" si="87"/>
        <v>34.640073510000001</v>
      </c>
      <c r="BO62" s="2549">
        <f t="shared" si="87"/>
        <v>24.116262079999998</v>
      </c>
      <c r="BP62" s="6506">
        <v>345.42212627999999</v>
      </c>
      <c r="BQ62" s="6232">
        <f t="shared" si="87"/>
        <v>34.65354232</v>
      </c>
      <c r="BR62" s="6232">
        <f t="shared" si="87"/>
        <v>23.6792208</v>
      </c>
      <c r="BS62" s="6232">
        <f t="shared" si="87"/>
        <v>16.00066417</v>
      </c>
      <c r="BT62" s="6232">
        <f t="shared" si="87"/>
        <v>19.542286000000004</v>
      </c>
      <c r="BU62" s="6232">
        <f t="shared" si="87"/>
        <v>28.596062249999999</v>
      </c>
      <c r="BV62" s="6232">
        <f t="shared" si="87"/>
        <v>34.749232159999998</v>
      </c>
      <c r="BW62" s="6232">
        <f t="shared" si="87"/>
        <v>48.320244670000001</v>
      </c>
      <c r="BX62" s="6232">
        <f t="shared" si="87"/>
        <v>21.570287239999999</v>
      </c>
      <c r="BY62" s="6232">
        <f t="shared" si="87"/>
        <v>53.34040968</v>
      </c>
      <c r="BZ62" s="6232">
        <f t="shared" si="87"/>
        <v>31.012518199999999</v>
      </c>
      <c r="CA62" s="6232">
        <f t="shared" si="87"/>
        <v>65.852758309999999</v>
      </c>
      <c r="CB62" s="6232">
        <v>71.012071270000007</v>
      </c>
      <c r="CC62" s="6164">
        <f t="shared" si="85"/>
        <v>71.012071270000007</v>
      </c>
      <c r="CD62" s="6208">
        <f t="shared" si="86"/>
        <v>0</v>
      </c>
      <c r="CE62" s="6166">
        <f t="shared" si="12"/>
        <v>5.1593129600000083</v>
      </c>
      <c r="CF62" s="2509">
        <f t="shared" si="79"/>
        <v>46.895809190000008</v>
      </c>
      <c r="CG62" s="2509"/>
      <c r="CH62" s="6167">
        <f t="shared" si="80"/>
        <v>448.32929707000005</v>
      </c>
      <c r="CI62" s="2558">
        <f t="shared" si="81"/>
        <v>448.32929707000005</v>
      </c>
      <c r="CJ62" s="6212">
        <f t="shared" si="82"/>
        <v>0</v>
      </c>
      <c r="CK62" s="6476">
        <f t="shared" si="83"/>
        <v>102.90717079000007</v>
      </c>
      <c r="CL62" s="5138"/>
      <c r="CM62" s="2488"/>
      <c r="CN62" s="2504"/>
      <c r="CO62" s="2504"/>
      <c r="CP62" s="2504"/>
      <c r="CQ62" s="2504"/>
      <c r="CR62" s="2504"/>
      <c r="CS62" s="2504"/>
      <c r="CT62" s="2504"/>
      <c r="CU62" s="2504"/>
      <c r="CV62" s="2504"/>
      <c r="CW62" s="2504"/>
      <c r="CX62" s="2504"/>
      <c r="CY62" s="2504"/>
      <c r="CZ62" s="2505">
        <f t="shared" si="27"/>
        <v>0</v>
      </c>
      <c r="DB62" s="4439"/>
      <c r="DC62" s="4439"/>
      <c r="DF62" s="4439"/>
      <c r="DG62" s="4439"/>
    </row>
    <row r="63" spans="1:111" ht="16.3" customHeight="1" x14ac:dyDescent="0.55000000000000004">
      <c r="A63" s="6472"/>
      <c r="B63" s="2426"/>
      <c r="C63" s="6477" t="s">
        <v>34</v>
      </c>
      <c r="D63" s="2426"/>
      <c r="F63" s="6154"/>
      <c r="G63" s="6155"/>
      <c r="H63" s="6155"/>
      <c r="I63" s="6155"/>
      <c r="J63" s="6155"/>
      <c r="K63" s="6155"/>
      <c r="L63" s="6155"/>
      <c r="M63" s="6155"/>
      <c r="N63" s="6155"/>
      <c r="O63" s="6155"/>
      <c r="P63" s="6155"/>
      <c r="Q63" s="6156"/>
      <c r="R63" s="6155"/>
      <c r="S63" s="6155"/>
      <c r="T63" s="6155"/>
      <c r="U63" s="6155"/>
      <c r="V63" s="6155"/>
      <c r="W63" s="6155"/>
      <c r="X63" s="6155"/>
      <c r="Y63" s="6155"/>
      <c r="Z63" s="6155"/>
      <c r="AA63" s="6155"/>
      <c r="AB63" s="6155"/>
      <c r="AC63" s="6155"/>
      <c r="AD63" s="6154"/>
      <c r="AE63" s="6155"/>
      <c r="AF63" s="6155"/>
      <c r="AG63" s="6155"/>
      <c r="AH63" s="6155"/>
      <c r="AI63" s="6155"/>
      <c r="AJ63" s="6155"/>
      <c r="AK63" s="6155"/>
      <c r="AL63" s="6155"/>
      <c r="AM63" s="6155"/>
      <c r="AN63" s="6155"/>
      <c r="AO63" s="6157"/>
      <c r="AP63" s="6156"/>
      <c r="AQ63" s="6158">
        <v>6.8452378600000001</v>
      </c>
      <c r="AR63" s="6159">
        <v>25.215925640000002</v>
      </c>
      <c r="AS63" s="6159">
        <v>23.329441510000002</v>
      </c>
      <c r="AT63" s="6159">
        <v>18.473232400000001</v>
      </c>
      <c r="AU63" s="6159">
        <v>21.261549580000001</v>
      </c>
      <c r="AV63" s="6159">
        <v>36.51020389</v>
      </c>
      <c r="AW63" s="6159">
        <v>31.865210059999999</v>
      </c>
      <c r="AX63" s="6159">
        <v>28.146493569999997</v>
      </c>
      <c r="AY63" s="6159">
        <v>48.284568380000003</v>
      </c>
      <c r="AZ63" s="6159">
        <v>36.55426791</v>
      </c>
      <c r="BA63" s="6159">
        <v>27.2309652</v>
      </c>
      <c r="BB63" s="6159">
        <v>19.341757600000001</v>
      </c>
      <c r="BC63" s="6160">
        <v>323.05885360000002</v>
      </c>
      <c r="BD63" s="2549">
        <v>15.36675821</v>
      </c>
      <c r="BE63" s="6474">
        <v>8.2050924599999995</v>
      </c>
      <c r="BF63" s="6474">
        <v>11.042471219999999</v>
      </c>
      <c r="BG63" s="2790">
        <v>9.9016138599999994</v>
      </c>
      <c r="BH63" s="2790">
        <v>9.2817296900000006</v>
      </c>
      <c r="BI63" s="2790">
        <v>6.8554461900000003</v>
      </c>
      <c r="BJ63" s="2790">
        <v>17.892586359999999</v>
      </c>
      <c r="BK63" s="2790">
        <v>10.8781447</v>
      </c>
      <c r="BL63" s="2790">
        <v>12.295307680000001</v>
      </c>
      <c r="BM63" s="2790">
        <v>35.29593637</v>
      </c>
      <c r="BN63" s="2790">
        <v>16.594001519999999</v>
      </c>
      <c r="BO63" s="2790">
        <v>13.849412129999999</v>
      </c>
      <c r="BP63" s="6475">
        <v>167.45850038999998</v>
      </c>
      <c r="BQ63" s="6163">
        <v>6.0935522999999998</v>
      </c>
      <c r="BR63" s="6450">
        <v>10.304066260000001</v>
      </c>
      <c r="BS63" s="6474">
        <v>9.0780226299999995</v>
      </c>
      <c r="BT63" s="6479">
        <v>7.6568158200000003</v>
      </c>
      <c r="BU63" s="6479">
        <v>15.846035990000001</v>
      </c>
      <c r="BV63" s="6163">
        <v>15.87893341</v>
      </c>
      <c r="BW63" s="2496">
        <v>7.4660656100000002</v>
      </c>
      <c r="BX63" s="6163">
        <v>5.35270869</v>
      </c>
      <c r="BY63" s="2496">
        <v>17.431917030000001</v>
      </c>
      <c r="BZ63" s="2496">
        <v>3.9416184300000001</v>
      </c>
      <c r="CA63" s="2496">
        <v>37.784167940000003</v>
      </c>
      <c r="CB63" s="2496">
        <v>17.444953040000001</v>
      </c>
      <c r="CC63" s="6164">
        <f t="shared" si="85"/>
        <v>17.444953040000001</v>
      </c>
      <c r="CD63" s="6208">
        <f t="shared" si="86"/>
        <v>0</v>
      </c>
      <c r="CE63" s="6166">
        <f t="shared" si="12"/>
        <v>-20.339214900000002</v>
      </c>
      <c r="CF63" s="2509">
        <f t="shared" si="79"/>
        <v>3.5955409100000022</v>
      </c>
      <c r="CG63" s="2509"/>
      <c r="CH63" s="6167">
        <f t="shared" si="80"/>
        <v>154.27885715000002</v>
      </c>
      <c r="CI63" s="2558">
        <f t="shared" si="81"/>
        <v>154.27885715000002</v>
      </c>
      <c r="CJ63" s="6212">
        <f t="shared" si="82"/>
        <v>0</v>
      </c>
      <c r="CK63" s="6476">
        <f t="shared" si="83"/>
        <v>-13.179643239999962</v>
      </c>
      <c r="CL63" s="5138"/>
      <c r="CM63" s="2488"/>
      <c r="CN63" s="2504"/>
      <c r="CO63" s="2504"/>
      <c r="CP63" s="2504"/>
      <c r="CQ63" s="2504"/>
      <c r="CR63" s="2504"/>
      <c r="CS63" s="2504"/>
      <c r="CT63" s="2504"/>
      <c r="CU63" s="2504"/>
      <c r="CV63" s="2504"/>
      <c r="CW63" s="2504"/>
      <c r="CX63" s="2504"/>
      <c r="CY63" s="2504"/>
      <c r="CZ63" s="2505">
        <f t="shared" si="27"/>
        <v>0</v>
      </c>
      <c r="DB63" s="4439"/>
      <c r="DC63" s="4439"/>
      <c r="DF63" s="4439"/>
      <c r="DG63" s="4439"/>
    </row>
    <row r="64" spans="1:111" ht="16.3" customHeight="1" x14ac:dyDescent="0.55000000000000004">
      <c r="A64" s="6472"/>
      <c r="B64" s="2426"/>
      <c r="C64" s="6477" t="s">
        <v>759</v>
      </c>
      <c r="D64" s="2426"/>
      <c r="F64" s="6154"/>
      <c r="G64" s="6155"/>
      <c r="H64" s="6155"/>
      <c r="I64" s="6155"/>
      <c r="J64" s="6155"/>
      <c r="K64" s="6155"/>
      <c r="L64" s="6155"/>
      <c r="M64" s="6155"/>
      <c r="N64" s="6155"/>
      <c r="O64" s="6155"/>
      <c r="P64" s="6155"/>
      <c r="Q64" s="6156"/>
      <c r="R64" s="6155"/>
      <c r="S64" s="6155"/>
      <c r="T64" s="6155"/>
      <c r="U64" s="6155"/>
      <c r="V64" s="6155"/>
      <c r="W64" s="6155"/>
      <c r="X64" s="6155"/>
      <c r="Y64" s="6155"/>
      <c r="Z64" s="6155"/>
      <c r="AA64" s="6155"/>
      <c r="AB64" s="6155"/>
      <c r="AC64" s="6155"/>
      <c r="AD64" s="6154"/>
      <c r="AE64" s="6155"/>
      <c r="AF64" s="6155"/>
      <c r="AG64" s="6155"/>
      <c r="AH64" s="6155"/>
      <c r="AI64" s="6155"/>
      <c r="AJ64" s="6155"/>
      <c r="AK64" s="6155"/>
      <c r="AL64" s="6155"/>
      <c r="AM64" s="6155"/>
      <c r="AN64" s="6155"/>
      <c r="AO64" s="6157"/>
      <c r="AP64" s="6156"/>
      <c r="AQ64" s="6158">
        <v>3.8342282399999998</v>
      </c>
      <c r="AR64" s="6159">
        <v>6.6252907100000016</v>
      </c>
      <c r="AS64" s="6159">
        <v>6.154880770000001</v>
      </c>
      <c r="AT64" s="6159">
        <v>4.8817268600000006</v>
      </c>
      <c r="AU64" s="6159">
        <v>5.3314390800000009</v>
      </c>
      <c r="AV64" s="6159">
        <v>26.281240220000001</v>
      </c>
      <c r="AW64" s="6159">
        <v>7.45416145</v>
      </c>
      <c r="AX64" s="6159">
        <v>9.0224236800000011</v>
      </c>
      <c r="AY64" s="6159">
        <v>20.21623765</v>
      </c>
      <c r="AZ64" s="6159">
        <v>50.53463919</v>
      </c>
      <c r="BA64" s="6159">
        <v>0.23881802000000008</v>
      </c>
      <c r="BB64" s="6159">
        <v>57.084023029999997</v>
      </c>
      <c r="BC64" s="6160">
        <v>197.65910890000001</v>
      </c>
      <c r="BD64" s="2549">
        <v>30.881655299999998</v>
      </c>
      <c r="BE64" s="6474">
        <v>7.7105124900000002</v>
      </c>
      <c r="BF64" s="6474">
        <v>5.8996209799999999</v>
      </c>
      <c r="BG64" s="2790">
        <v>10.740221180000001</v>
      </c>
      <c r="BH64" s="2790">
        <v>6.41471327</v>
      </c>
      <c r="BI64" s="2790">
        <v>8.5998170900000002</v>
      </c>
      <c r="BJ64" s="2790">
        <v>12.76933985</v>
      </c>
      <c r="BK64" s="2790">
        <v>11.896321070000001</v>
      </c>
      <c r="BL64" s="2790">
        <v>33.117933479999998</v>
      </c>
      <c r="BM64" s="2790">
        <v>19.795412890000001</v>
      </c>
      <c r="BN64" s="2790">
        <v>17.710271989999999</v>
      </c>
      <c r="BO64" s="2790">
        <v>9.93835449</v>
      </c>
      <c r="BP64" s="6475">
        <v>175.47417407999998</v>
      </c>
      <c r="BQ64" s="6163">
        <v>28.278400019999999</v>
      </c>
      <c r="BR64" s="6450">
        <v>12.97501727</v>
      </c>
      <c r="BS64" s="6474">
        <v>6.7345115399999997</v>
      </c>
      <c r="BT64" s="6479">
        <v>11.502810180000001</v>
      </c>
      <c r="BU64" s="6479">
        <v>12.47760626</v>
      </c>
      <c r="BV64" s="6163">
        <v>18.479928749999999</v>
      </c>
      <c r="BW64" s="2496">
        <v>39.69380906</v>
      </c>
      <c r="BX64" s="6163">
        <v>15.493478550000001</v>
      </c>
      <c r="BY64" s="2496">
        <v>35.067862570000003</v>
      </c>
      <c r="BZ64" s="2496">
        <v>26.72762977</v>
      </c>
      <c r="CA64" s="2496">
        <v>27.82298037</v>
      </c>
      <c r="CB64" s="2496">
        <v>52.578218229999997</v>
      </c>
      <c r="CC64" s="6164">
        <f t="shared" si="85"/>
        <v>52.578218229999997</v>
      </c>
      <c r="CD64" s="6208">
        <f t="shared" si="86"/>
        <v>0</v>
      </c>
      <c r="CE64" s="6166">
        <f t="shared" si="12"/>
        <v>24.755237859999998</v>
      </c>
      <c r="CF64" s="2509">
        <f t="shared" si="79"/>
        <v>42.639863739999996</v>
      </c>
      <c r="CG64" s="2509"/>
      <c r="CH64" s="6167">
        <f t="shared" si="80"/>
        <v>287.83225256999998</v>
      </c>
      <c r="CI64" s="2558">
        <f t="shared" si="81"/>
        <v>287.83225256999998</v>
      </c>
      <c r="CJ64" s="6212">
        <f t="shared" si="82"/>
        <v>0</v>
      </c>
      <c r="CK64" s="6476">
        <f t="shared" si="83"/>
        <v>112.35807849</v>
      </c>
      <c r="CL64" s="5138"/>
      <c r="CM64" s="2488"/>
      <c r="CN64" s="2504"/>
      <c r="CO64" s="2504"/>
      <c r="CP64" s="2504"/>
      <c r="CQ64" s="2504"/>
      <c r="CR64" s="2504"/>
      <c r="CS64" s="2504"/>
      <c r="CT64" s="2504"/>
      <c r="CU64" s="2504"/>
      <c r="CV64" s="2504"/>
      <c r="CW64" s="2504"/>
      <c r="CX64" s="2504"/>
      <c r="CY64" s="2504"/>
      <c r="CZ64" s="2505">
        <f t="shared" si="27"/>
        <v>0</v>
      </c>
      <c r="DB64" s="4439"/>
      <c r="DC64" s="4439"/>
      <c r="DF64" s="4439"/>
      <c r="DG64" s="4439"/>
    </row>
    <row r="65" spans="1:111" ht="16.3" customHeight="1" thickBot="1" x14ac:dyDescent="0.6">
      <c r="A65" s="6472"/>
      <c r="B65" s="6507"/>
      <c r="C65" s="6483" t="s">
        <v>750</v>
      </c>
      <c r="D65" s="6507"/>
      <c r="E65" s="6485"/>
      <c r="F65" s="6486"/>
      <c r="G65" s="6487"/>
      <c r="H65" s="6487"/>
      <c r="I65" s="6487"/>
      <c r="J65" s="6487"/>
      <c r="K65" s="6487"/>
      <c r="L65" s="6487"/>
      <c r="M65" s="6487"/>
      <c r="N65" s="6487"/>
      <c r="O65" s="6487"/>
      <c r="P65" s="6487"/>
      <c r="Q65" s="6488"/>
      <c r="R65" s="6487"/>
      <c r="S65" s="6487"/>
      <c r="T65" s="6487"/>
      <c r="U65" s="6487"/>
      <c r="V65" s="6487"/>
      <c r="W65" s="6487"/>
      <c r="X65" s="6487"/>
      <c r="Y65" s="6487"/>
      <c r="Z65" s="6487"/>
      <c r="AA65" s="6487"/>
      <c r="AB65" s="6487"/>
      <c r="AC65" s="6487"/>
      <c r="AD65" s="6486"/>
      <c r="AE65" s="6487"/>
      <c r="AF65" s="6487"/>
      <c r="AG65" s="6487"/>
      <c r="AH65" s="6487"/>
      <c r="AI65" s="6487"/>
      <c r="AJ65" s="6487"/>
      <c r="AK65" s="6487"/>
      <c r="AL65" s="6487"/>
      <c r="AM65" s="6487"/>
      <c r="AN65" s="6487"/>
      <c r="AO65" s="6487"/>
      <c r="AP65" s="6488"/>
      <c r="AQ65" s="6489">
        <v>0</v>
      </c>
      <c r="AR65" s="6490">
        <v>0</v>
      </c>
      <c r="AS65" s="6490">
        <v>2.809091E-2</v>
      </c>
      <c r="AT65" s="6490">
        <v>0.01</v>
      </c>
      <c r="AU65" s="6490">
        <v>9.8181799999999993E-3</v>
      </c>
      <c r="AV65" s="6490">
        <v>8.3636400000000003E-3</v>
      </c>
      <c r="AW65" s="6490">
        <v>0.32145454000000001</v>
      </c>
      <c r="AX65" s="6490">
        <v>0.29818</v>
      </c>
      <c r="AY65" s="6490">
        <v>4.7272700000000004E-3</v>
      </c>
      <c r="AZ65" s="6490">
        <v>0.43416908999999998</v>
      </c>
      <c r="BA65" s="6490">
        <v>5.5454499999999995E-3</v>
      </c>
      <c r="BB65" s="6490">
        <v>0.12229454000000001</v>
      </c>
      <c r="BC65" s="6491">
        <v>1.2426436199999999</v>
      </c>
      <c r="BD65" s="6492">
        <v>0.20399999999999999</v>
      </c>
      <c r="BE65" s="6493">
        <v>0.27135909000000003</v>
      </c>
      <c r="BF65" s="6493">
        <v>3.81818E-3</v>
      </c>
      <c r="BG65" s="6493">
        <v>0.37081818</v>
      </c>
      <c r="BH65" s="6493">
        <v>2.5090910000000001E-2</v>
      </c>
      <c r="BI65" s="6493">
        <v>2.922727E-2</v>
      </c>
      <c r="BJ65" s="6493">
        <v>0.26463636000000001</v>
      </c>
      <c r="BK65" s="6493">
        <v>0.12990909</v>
      </c>
      <c r="BL65" s="6493">
        <v>0.32010727</v>
      </c>
      <c r="BM65" s="6493">
        <v>0.20618999999999998</v>
      </c>
      <c r="BN65" s="6493">
        <v>0.33579999999999999</v>
      </c>
      <c r="BO65" s="6493">
        <v>0.32849546000000002</v>
      </c>
      <c r="BP65" s="6494">
        <v>2.4894518099999998</v>
      </c>
      <c r="BQ65" s="6508">
        <v>0.28159000000000001</v>
      </c>
      <c r="BR65" s="6496">
        <v>0.40013726999999999</v>
      </c>
      <c r="BS65" s="6493">
        <v>0.18812999999999999</v>
      </c>
      <c r="BT65" s="6509">
        <v>0.38266</v>
      </c>
      <c r="BU65" s="6509">
        <v>0.27242</v>
      </c>
      <c r="BV65" s="6508">
        <v>0.39036999999999999</v>
      </c>
      <c r="BW65" s="6498">
        <v>1.1603699999999999</v>
      </c>
      <c r="BX65" s="6508">
        <v>0.72409999999999997</v>
      </c>
      <c r="BY65" s="6498">
        <v>0.84063007999999995</v>
      </c>
      <c r="BZ65" s="6498">
        <v>0.34327000000000002</v>
      </c>
      <c r="CA65" s="6498">
        <v>0.24560999999999999</v>
      </c>
      <c r="CB65" s="6498">
        <v>0.9889</v>
      </c>
      <c r="CC65" s="6499">
        <f t="shared" si="85"/>
        <v>0.9889</v>
      </c>
      <c r="CD65" s="6208">
        <f t="shared" si="86"/>
        <v>0</v>
      </c>
      <c r="CE65" s="6500">
        <f t="shared" si="12"/>
        <v>0.74329000000000001</v>
      </c>
      <c r="CF65" s="6501">
        <f t="shared" si="79"/>
        <v>0.66040454000000004</v>
      </c>
      <c r="CG65" s="6501"/>
      <c r="CH65" s="6502">
        <f t="shared" si="80"/>
        <v>6.2181873500000009</v>
      </c>
      <c r="CI65" s="6503">
        <f t="shared" si="81"/>
        <v>6.2181873500000009</v>
      </c>
      <c r="CJ65" s="6504">
        <f t="shared" si="82"/>
        <v>0</v>
      </c>
      <c r="CK65" s="6505">
        <f t="shared" si="83"/>
        <v>3.7287355400000011</v>
      </c>
      <c r="CL65" s="5138"/>
      <c r="CM65" s="2488"/>
      <c r="CN65" s="2504"/>
      <c r="CO65" s="2504"/>
      <c r="CP65" s="2504"/>
      <c r="CQ65" s="2504"/>
      <c r="CR65" s="2504"/>
      <c r="CS65" s="2504"/>
      <c r="CT65" s="2504"/>
      <c r="CU65" s="2504"/>
      <c r="CV65" s="2504"/>
      <c r="CW65" s="2504"/>
      <c r="CX65" s="2504"/>
      <c r="CY65" s="2504"/>
      <c r="CZ65" s="2505">
        <f t="shared" si="27"/>
        <v>0</v>
      </c>
      <c r="DB65" s="4439"/>
      <c r="DC65" s="4439"/>
      <c r="DF65" s="4439"/>
      <c r="DG65" s="4439"/>
    </row>
    <row r="66" spans="1:111" ht="16.3" customHeight="1" x14ac:dyDescent="0.55000000000000004">
      <c r="A66" s="6472"/>
      <c r="B66" s="6473" t="s">
        <v>14</v>
      </c>
      <c r="C66" s="2426"/>
      <c r="D66" s="2426"/>
      <c r="F66" s="6154">
        <v>11.59740697</v>
      </c>
      <c r="G66" s="6155">
        <v>10.4743184</v>
      </c>
      <c r="H66" s="6155">
        <v>-6.0585149300000003</v>
      </c>
      <c r="I66" s="6155">
        <v>9.8427787700000007</v>
      </c>
      <c r="J66" s="6155">
        <v>9.8762553900000007</v>
      </c>
      <c r="K66" s="6155">
        <v>-6.10232814</v>
      </c>
      <c r="L66" s="6155">
        <v>9.9148649100000004</v>
      </c>
      <c r="M66" s="6155">
        <v>9.7911897000000003</v>
      </c>
      <c r="N66" s="6155">
        <v>-5.5602501999999996</v>
      </c>
      <c r="O66" s="6155">
        <v>9.4467308899999995</v>
      </c>
      <c r="P66" s="6155">
        <v>9.1736682900000002</v>
      </c>
      <c r="Q66" s="6156">
        <v>-6.2604693100000004</v>
      </c>
      <c r="R66" s="6155">
        <v>9.5996665100000005</v>
      </c>
      <c r="S66" s="6155">
        <v>9.4277648599999999</v>
      </c>
      <c r="T66" s="6155">
        <v>-5.2764109000000001</v>
      </c>
      <c r="U66" s="6155">
        <v>8.7969587899999997</v>
      </c>
      <c r="V66" s="6155">
        <v>8.5377280199999994</v>
      </c>
      <c r="W66" s="6155">
        <v>-5.3879820999999994</v>
      </c>
      <c r="X66" s="6155">
        <v>8.8899210899999996</v>
      </c>
      <c r="Y66" s="6155">
        <v>8.9729632300000013</v>
      </c>
      <c r="Z66" s="6155">
        <v>-4.6391661399999995</v>
      </c>
      <c r="AA66" s="6155">
        <v>8.5445409800000007</v>
      </c>
      <c r="AB66" s="6155">
        <v>8.3468630699999995</v>
      </c>
      <c r="AC66" s="6155">
        <v>-4.4352124900000005</v>
      </c>
      <c r="AD66" s="6154">
        <v>8.85</v>
      </c>
      <c r="AE66" s="6155">
        <v>8.75</v>
      </c>
      <c r="AF66" s="6155">
        <v>-3.7789999999999999</v>
      </c>
      <c r="AG66" s="6155">
        <v>8.5071564399999993</v>
      </c>
      <c r="AH66" s="6155">
        <v>8.6323701400000008</v>
      </c>
      <c r="AI66" s="6155">
        <v>-3.8660054100000001</v>
      </c>
      <c r="AJ66" s="6155">
        <v>8.5433068300000006</v>
      </c>
      <c r="AK66" s="6155">
        <v>9.7318300099999995</v>
      </c>
      <c r="AL66" s="6155">
        <v>-2.6617800899999997</v>
      </c>
      <c r="AM66" s="6155">
        <v>10.32735048</v>
      </c>
      <c r="AN66" s="6155">
        <v>10.31551048</v>
      </c>
      <c r="AO66" s="6157">
        <v>-2.7685929300000001</v>
      </c>
      <c r="AP66" s="6156"/>
      <c r="AQ66" s="6158">
        <v>10.924286359999998</v>
      </c>
      <c r="AR66" s="6159">
        <v>11.020490260000001</v>
      </c>
      <c r="AS66" s="6159">
        <v>-5.8046399899999992</v>
      </c>
      <c r="AT66" s="6159">
        <v>10.219750550000001</v>
      </c>
      <c r="AU66" s="6159">
        <v>10.169356760000001</v>
      </c>
      <c r="AV66" s="6159">
        <v>-4.0439471899999999</v>
      </c>
      <c r="AW66" s="6159">
        <v>10.29573205</v>
      </c>
      <c r="AX66" s="6159">
        <v>11.114837939999999</v>
      </c>
      <c r="AY66" s="6159">
        <v>-5.2930238700000007</v>
      </c>
      <c r="AZ66" s="6159">
        <v>10.29650983</v>
      </c>
      <c r="BA66" s="6159">
        <v>10.591514500000001</v>
      </c>
      <c r="BB66" s="6159">
        <v>-5.2618351199999998</v>
      </c>
      <c r="BC66" s="6160">
        <v>64.229032079999996</v>
      </c>
      <c r="BD66" s="2549">
        <f>BD67+BD68</f>
        <v>10.579902570000002</v>
      </c>
      <c r="BE66" s="2549">
        <f t="shared" ref="BE66:BN66" si="88">BE67+BE68</f>
        <v>10.850541610000001</v>
      </c>
      <c r="BF66" s="2549">
        <f t="shared" si="88"/>
        <v>-4.1060643800000003</v>
      </c>
      <c r="BG66" s="2549">
        <f t="shared" si="88"/>
        <v>10.30689748</v>
      </c>
      <c r="BH66" s="2549">
        <f t="shared" si="88"/>
        <v>10.203261529999999</v>
      </c>
      <c r="BI66" s="2549">
        <f t="shared" si="88"/>
        <v>-4.7555993000000001</v>
      </c>
      <c r="BJ66" s="2549">
        <f t="shared" si="88"/>
        <v>11.167044820000001</v>
      </c>
      <c r="BK66" s="2549">
        <f t="shared" si="88"/>
        <v>10.868685459999998</v>
      </c>
      <c r="BL66" s="2549">
        <f t="shared" si="88"/>
        <v>-5.5745080099999997</v>
      </c>
      <c r="BM66" s="2549">
        <f t="shared" si="88"/>
        <v>9.3066427800000007</v>
      </c>
      <c r="BN66" s="2549">
        <f t="shared" si="88"/>
        <v>8.7198937000000001</v>
      </c>
      <c r="BO66" s="2790">
        <v>-6.6629301999999999</v>
      </c>
      <c r="BP66" s="6475">
        <v>60.903768059999997</v>
      </c>
      <c r="BQ66" s="2496">
        <f t="shared" ref="BQ66:CA66" si="89">BQ67+BQ68</f>
        <v>9.71511879</v>
      </c>
      <c r="BR66" s="2496">
        <f t="shared" si="89"/>
        <v>9.63802512</v>
      </c>
      <c r="BS66" s="2496">
        <f t="shared" si="89"/>
        <v>-5.9214587400000003</v>
      </c>
      <c r="BT66" s="2496">
        <f t="shared" si="89"/>
        <v>9.2180413699999999</v>
      </c>
      <c r="BU66" s="2496">
        <f t="shared" si="89"/>
        <v>9.1481607699999987</v>
      </c>
      <c r="BV66" s="2496">
        <f t="shared" si="89"/>
        <v>-6.5223598799999998</v>
      </c>
      <c r="BW66" s="2496">
        <f t="shared" si="89"/>
        <v>9.5283527200000009</v>
      </c>
      <c r="BX66" s="2496">
        <f t="shared" si="89"/>
        <v>9.9940479199999999</v>
      </c>
      <c r="BY66" s="2496">
        <f t="shared" si="89"/>
        <v>-5.9343351299999991</v>
      </c>
      <c r="BZ66" s="2496">
        <f t="shared" si="89"/>
        <v>9.7382467500000001</v>
      </c>
      <c r="CA66" s="2496">
        <f t="shared" si="89"/>
        <v>10.48295433</v>
      </c>
      <c r="CB66" s="2496">
        <v>-5.9332800799999994</v>
      </c>
      <c r="CC66" s="6164">
        <f t="shared" si="85"/>
        <v>-5.9332800799999994</v>
      </c>
      <c r="CD66" s="6208">
        <f t="shared" si="86"/>
        <v>0</v>
      </c>
      <c r="CE66" s="6166">
        <f t="shared" si="12"/>
        <v>-16.416234410000001</v>
      </c>
      <c r="CF66" s="2509">
        <f t="shared" si="79"/>
        <v>0.72965012000000051</v>
      </c>
      <c r="CG66" s="2509"/>
      <c r="CH66" s="6399">
        <f t="shared" si="80"/>
        <v>53.151513940000001</v>
      </c>
      <c r="CI66" s="2558">
        <f t="shared" si="81"/>
        <v>53.151513940000001</v>
      </c>
      <c r="CJ66" s="6212">
        <f t="shared" si="82"/>
        <v>0</v>
      </c>
      <c r="CK66" s="6476">
        <f t="shared" si="83"/>
        <v>-7.7522541199999964</v>
      </c>
      <c r="CL66" s="5138"/>
      <c r="CM66" s="2488"/>
      <c r="CN66" s="2504"/>
      <c r="CO66" s="2504"/>
      <c r="CP66" s="2504"/>
      <c r="CQ66" s="2504"/>
      <c r="CR66" s="2504"/>
      <c r="CS66" s="2504"/>
      <c r="CT66" s="2504"/>
      <c r="CU66" s="2504"/>
      <c r="CV66" s="2504"/>
      <c r="CW66" s="2504"/>
      <c r="CX66" s="2504"/>
      <c r="CY66" s="2504"/>
      <c r="CZ66" s="2505">
        <f t="shared" si="27"/>
        <v>0</v>
      </c>
      <c r="DB66" s="4439"/>
      <c r="DC66" s="4439"/>
      <c r="DF66" s="4439"/>
      <c r="DG66" s="4439"/>
    </row>
    <row r="67" spans="1:111" ht="16.3" customHeight="1" x14ac:dyDescent="0.55000000000000004">
      <c r="A67" s="6472"/>
      <c r="B67" s="6473"/>
      <c r="C67" s="2426" t="s">
        <v>751</v>
      </c>
      <c r="D67" s="2426"/>
      <c r="F67" s="6154"/>
      <c r="G67" s="6155"/>
      <c r="H67" s="6155"/>
      <c r="I67" s="6155"/>
      <c r="J67" s="6155"/>
      <c r="K67" s="6155"/>
      <c r="L67" s="6155"/>
      <c r="M67" s="6155"/>
      <c r="N67" s="6155"/>
      <c r="O67" s="6155"/>
      <c r="P67" s="6155"/>
      <c r="Q67" s="6156"/>
      <c r="R67" s="6155"/>
      <c r="S67" s="6155"/>
      <c r="T67" s="6155"/>
      <c r="U67" s="6155"/>
      <c r="V67" s="6155"/>
      <c r="W67" s="6155"/>
      <c r="X67" s="6155"/>
      <c r="Y67" s="6155"/>
      <c r="Z67" s="6155"/>
      <c r="AA67" s="6155"/>
      <c r="AB67" s="6155"/>
      <c r="AC67" s="6155"/>
      <c r="AD67" s="6154"/>
      <c r="AE67" s="6155"/>
      <c r="AF67" s="6155"/>
      <c r="AG67" s="6155"/>
      <c r="AH67" s="6155"/>
      <c r="AI67" s="6155"/>
      <c r="AJ67" s="6155"/>
      <c r="AK67" s="6155"/>
      <c r="AL67" s="6155"/>
      <c r="AM67" s="6155"/>
      <c r="AN67" s="6155"/>
      <c r="AO67" s="6157"/>
      <c r="AP67" s="6156"/>
      <c r="AQ67" s="6158">
        <v>10.067227239999999</v>
      </c>
      <c r="AR67" s="6159">
        <v>10.079497290000001</v>
      </c>
      <c r="AS67" s="6159">
        <v>-6.597503989999999</v>
      </c>
      <c r="AT67" s="6159">
        <v>9.6163084000000012</v>
      </c>
      <c r="AU67" s="6159">
        <v>9.6299869299999994</v>
      </c>
      <c r="AV67" s="6159">
        <v>-4.6677410699999999</v>
      </c>
      <c r="AW67" s="6159">
        <v>9.56110054</v>
      </c>
      <c r="AX67" s="6159">
        <v>10.153815</v>
      </c>
      <c r="AY67" s="6159">
        <v>-6.1497043800000002</v>
      </c>
      <c r="AZ67" s="6159">
        <v>9.6736028600000008</v>
      </c>
      <c r="BA67" s="6159">
        <v>10.018113420000001</v>
      </c>
      <c r="BB67" s="6159">
        <v>-5.9612163899999997</v>
      </c>
      <c r="BC67" s="6160">
        <v>55.423485850000006</v>
      </c>
      <c r="BD67" s="2549">
        <v>9.7662714000000008</v>
      </c>
      <c r="BE67" s="6474">
        <v>9.9195291399999999</v>
      </c>
      <c r="BF67" s="6474">
        <v>-4.8525513900000004</v>
      </c>
      <c r="BG67" s="2790">
        <v>9.6943936399999995</v>
      </c>
      <c r="BH67" s="2790">
        <v>9.6287925899999998</v>
      </c>
      <c r="BI67" s="2790">
        <v>-5.3636931800000003</v>
      </c>
      <c r="BJ67" s="2790">
        <v>10.381918170000001</v>
      </c>
      <c r="BK67" s="2790">
        <v>9.8843123599999991</v>
      </c>
      <c r="BL67" s="2790">
        <v>-6.4978604899999999</v>
      </c>
      <c r="BM67" s="2790">
        <v>8.5749516100000012</v>
      </c>
      <c r="BN67" s="2790">
        <v>8.1595566799999997</v>
      </c>
      <c r="BO67" s="2790">
        <v>-7.3861428299999998</v>
      </c>
      <c r="BP67" s="6475">
        <v>51.909477700000011</v>
      </c>
      <c r="BQ67" s="6163">
        <v>8.8945883099999996</v>
      </c>
      <c r="BR67" s="6450">
        <v>8.7579190600000008</v>
      </c>
      <c r="BS67" s="6474">
        <v>-6.7442278800000004</v>
      </c>
      <c r="BT67" s="6479">
        <v>8.6368534399999994</v>
      </c>
      <c r="BU67" s="6479">
        <v>8.6179002199999992</v>
      </c>
      <c r="BV67" s="6082">
        <v>-7.0925130699999999</v>
      </c>
      <c r="BW67" s="2496">
        <v>8.8066315300000007</v>
      </c>
      <c r="BX67" s="6163">
        <v>9.1612363099999996</v>
      </c>
      <c r="BY67" s="2496">
        <v>-6.7188190499999996</v>
      </c>
      <c r="BZ67" s="2496">
        <v>9.1146556000000007</v>
      </c>
      <c r="CA67" s="2496">
        <v>9.9594284999999996</v>
      </c>
      <c r="CB67" s="2496">
        <v>-6.5082547799999997</v>
      </c>
      <c r="CC67" s="6164">
        <f t="shared" si="85"/>
        <v>-6.5082547799999997</v>
      </c>
      <c r="CD67" s="6208">
        <f t="shared" si="86"/>
        <v>0</v>
      </c>
      <c r="CE67" s="6166">
        <f t="shared" si="12"/>
        <v>-16.467683279999999</v>
      </c>
      <c r="CF67" s="2509">
        <f t="shared" si="79"/>
        <v>0.87788805000000014</v>
      </c>
      <c r="CG67" s="2509"/>
      <c r="CH67" s="6399">
        <f t="shared" si="80"/>
        <v>44.885398190000004</v>
      </c>
      <c r="CI67" s="2558">
        <f t="shared" si="81"/>
        <v>44.885398190000004</v>
      </c>
      <c r="CJ67" s="6212">
        <f t="shared" si="82"/>
        <v>0</v>
      </c>
      <c r="CK67" s="6476">
        <f t="shared" si="83"/>
        <v>-7.0240795100000071</v>
      </c>
      <c r="CL67" s="5138"/>
      <c r="CM67" s="2488"/>
      <c r="CN67" s="2504"/>
      <c r="CO67" s="2504"/>
      <c r="CP67" s="2504"/>
      <c r="CQ67" s="2504"/>
      <c r="CR67" s="2504"/>
      <c r="CS67" s="2504"/>
      <c r="CT67" s="2504"/>
      <c r="CU67" s="2504"/>
      <c r="CV67" s="2504"/>
      <c r="CW67" s="2504"/>
      <c r="CX67" s="2504"/>
      <c r="CY67" s="2504"/>
      <c r="CZ67" s="2505">
        <f t="shared" si="27"/>
        <v>0</v>
      </c>
      <c r="DB67" s="4439"/>
      <c r="DC67" s="4439"/>
      <c r="DF67" s="4439"/>
      <c r="DG67" s="4439"/>
    </row>
    <row r="68" spans="1:111" ht="16.3" customHeight="1" thickBot="1" x14ac:dyDescent="0.6">
      <c r="A68" s="6472"/>
      <c r="B68" s="6507"/>
      <c r="C68" s="6483" t="s">
        <v>752</v>
      </c>
      <c r="D68" s="6507"/>
      <c r="E68" s="6485"/>
      <c r="F68" s="6486"/>
      <c r="G68" s="6487"/>
      <c r="H68" s="6487"/>
      <c r="I68" s="6487"/>
      <c r="J68" s="6487"/>
      <c r="K68" s="6487"/>
      <c r="L68" s="6487"/>
      <c r="M68" s="6487"/>
      <c r="N68" s="6487"/>
      <c r="O68" s="6487"/>
      <c r="P68" s="6487"/>
      <c r="Q68" s="6488"/>
      <c r="R68" s="6487"/>
      <c r="S68" s="6487"/>
      <c r="T68" s="6487"/>
      <c r="U68" s="6487"/>
      <c r="V68" s="6487"/>
      <c r="W68" s="6487"/>
      <c r="X68" s="6487"/>
      <c r="Y68" s="6487"/>
      <c r="Z68" s="6487"/>
      <c r="AA68" s="6487"/>
      <c r="AB68" s="6487"/>
      <c r="AC68" s="6487"/>
      <c r="AD68" s="6486"/>
      <c r="AE68" s="6487"/>
      <c r="AF68" s="6487"/>
      <c r="AG68" s="6487"/>
      <c r="AH68" s="6487"/>
      <c r="AI68" s="6487"/>
      <c r="AJ68" s="6487"/>
      <c r="AK68" s="6487"/>
      <c r="AL68" s="6487"/>
      <c r="AM68" s="6487"/>
      <c r="AN68" s="6487"/>
      <c r="AO68" s="6487"/>
      <c r="AP68" s="6488"/>
      <c r="AQ68" s="6489">
        <v>0.85705911999999995</v>
      </c>
      <c r="AR68" s="6490">
        <v>0.94099297000000004</v>
      </c>
      <c r="AS68" s="6490">
        <v>0.79286400000000001</v>
      </c>
      <c r="AT68" s="6490">
        <v>0.60344215000000001</v>
      </c>
      <c r="AU68" s="6490">
        <v>0.53936982999999994</v>
      </c>
      <c r="AV68" s="6490">
        <v>0.62379388000000002</v>
      </c>
      <c r="AW68" s="6490">
        <v>0.73463150999999993</v>
      </c>
      <c r="AX68" s="6490">
        <v>0.96102293999999999</v>
      </c>
      <c r="AY68" s="6490">
        <v>0.85668051000000001</v>
      </c>
      <c r="AZ68" s="6490">
        <v>0.62290697000000006</v>
      </c>
      <c r="BA68" s="6490">
        <v>0.57340108000000001</v>
      </c>
      <c r="BB68" s="6490">
        <v>0.69938126999999994</v>
      </c>
      <c r="BC68" s="6491">
        <v>8.8055462300000009</v>
      </c>
      <c r="BD68" s="6492">
        <v>0.81363116999999996</v>
      </c>
      <c r="BE68" s="6493">
        <v>0.93101246999999998</v>
      </c>
      <c r="BF68" s="6493">
        <v>0.74648700999999995</v>
      </c>
      <c r="BG68" s="6493">
        <v>0.61250384000000002</v>
      </c>
      <c r="BH68" s="6493">
        <v>0.57446894000000004</v>
      </c>
      <c r="BI68" s="6493">
        <v>0.60809387999999998</v>
      </c>
      <c r="BJ68" s="6493">
        <v>0.78512665000000004</v>
      </c>
      <c r="BK68" s="6493">
        <v>0.9843731</v>
      </c>
      <c r="BL68" s="6493">
        <v>0.92335248000000003</v>
      </c>
      <c r="BM68" s="6493">
        <v>0.73169116999999995</v>
      </c>
      <c r="BN68" s="6493">
        <v>0.56033701999999996</v>
      </c>
      <c r="BO68" s="6493">
        <v>0.72321263000000002</v>
      </c>
      <c r="BP68" s="6494">
        <v>8.9942903600000026</v>
      </c>
      <c r="BQ68" s="6510">
        <v>0.82053047999999995</v>
      </c>
      <c r="BR68" s="6496">
        <v>0.88010606000000002</v>
      </c>
      <c r="BS68" s="6493">
        <v>0.82276914000000001</v>
      </c>
      <c r="BT68" s="6509">
        <v>0.58118793000000002</v>
      </c>
      <c r="BU68" s="6509">
        <v>0.53026055000000005</v>
      </c>
      <c r="BV68" s="6508">
        <v>0.57015318999999998</v>
      </c>
      <c r="BW68" s="6498">
        <v>0.72172119000000001</v>
      </c>
      <c r="BX68" s="6508">
        <v>0.83281161000000004</v>
      </c>
      <c r="BY68" s="6498">
        <v>0.78448392</v>
      </c>
      <c r="BZ68" s="6498">
        <v>0.62359114999999998</v>
      </c>
      <c r="CA68" s="6498">
        <v>0.52352582999999997</v>
      </c>
      <c r="CB68" s="6498">
        <v>0.57497469999999995</v>
      </c>
      <c r="CC68" s="6499">
        <f t="shared" si="85"/>
        <v>0.57497469999999995</v>
      </c>
      <c r="CD68" s="6208">
        <f t="shared" si="86"/>
        <v>0</v>
      </c>
      <c r="CE68" s="6500">
        <f t="shared" si="12"/>
        <v>5.144886999999998E-2</v>
      </c>
      <c r="CF68" s="6501">
        <f t="shared" si="79"/>
        <v>-0.14823793000000007</v>
      </c>
      <c r="CG68" s="6501"/>
      <c r="CH68" s="6511">
        <f t="shared" si="80"/>
        <v>8.2661157500000009</v>
      </c>
      <c r="CI68" s="6503">
        <f t="shared" si="81"/>
        <v>8.2661157500000009</v>
      </c>
      <c r="CJ68" s="6504">
        <f t="shared" si="82"/>
        <v>0</v>
      </c>
      <c r="CK68" s="6505">
        <f t="shared" si="83"/>
        <v>-0.72817461000000172</v>
      </c>
      <c r="CL68" s="5138"/>
      <c r="CM68" s="2488"/>
      <c r="CN68" s="2504"/>
      <c r="CO68" s="2504"/>
      <c r="CP68" s="2504"/>
      <c r="CQ68" s="2504"/>
      <c r="CR68" s="2504"/>
      <c r="CS68" s="2504"/>
      <c r="CT68" s="2504"/>
      <c r="CU68" s="2504"/>
      <c r="CV68" s="2504"/>
      <c r="CW68" s="2504"/>
      <c r="CX68" s="2504"/>
      <c r="CY68" s="2504"/>
      <c r="CZ68" s="2505">
        <f t="shared" si="27"/>
        <v>0</v>
      </c>
      <c r="DB68" s="4439"/>
      <c r="DC68" s="4439"/>
      <c r="DF68" s="4439"/>
      <c r="DG68" s="4439"/>
    </row>
    <row r="69" spans="1:111" ht="16.3" customHeight="1" thickBot="1" x14ac:dyDescent="0.6">
      <c r="A69" s="6472"/>
      <c r="B69" s="6512" t="s">
        <v>15</v>
      </c>
      <c r="C69" s="6513"/>
      <c r="D69" s="6513"/>
      <c r="E69" s="6514"/>
      <c r="F69" s="6515">
        <v>1.8441950199999999</v>
      </c>
      <c r="G69" s="6516">
        <v>1.7908790400000001</v>
      </c>
      <c r="H69" s="6516">
        <v>17.572634610000001</v>
      </c>
      <c r="I69" s="6516">
        <v>1.69229914</v>
      </c>
      <c r="J69" s="6516">
        <v>1.6372880700000001</v>
      </c>
      <c r="K69" s="6516">
        <v>16.47322921</v>
      </c>
      <c r="L69" s="6516">
        <v>1.5614584199999999</v>
      </c>
      <c r="M69" s="6516">
        <v>1.49912241</v>
      </c>
      <c r="N69" s="6516">
        <v>15.570008489999999</v>
      </c>
      <c r="O69" s="6516">
        <v>1.28823887</v>
      </c>
      <c r="P69" s="6516">
        <v>1.2643026900000001</v>
      </c>
      <c r="Q69" s="6517">
        <v>14.820513439999999</v>
      </c>
      <c r="R69" s="6516">
        <v>1.2040128600000002</v>
      </c>
      <c r="S69" s="6516">
        <v>1.1966828500000002</v>
      </c>
      <c r="T69" s="6516">
        <v>14.52381875</v>
      </c>
      <c r="U69" s="6516">
        <v>1.1806222</v>
      </c>
      <c r="V69" s="6516">
        <v>1.1701974900000001</v>
      </c>
      <c r="W69" s="6516">
        <v>14.090148510000001</v>
      </c>
      <c r="X69" s="6516">
        <v>1.1379748700000001</v>
      </c>
      <c r="Y69" s="6516">
        <v>1.1343645500000001</v>
      </c>
      <c r="Z69" s="6516">
        <v>13.599379050000001</v>
      </c>
      <c r="AA69" s="6516">
        <v>1.11064257</v>
      </c>
      <c r="AB69" s="6516">
        <v>1.09759356</v>
      </c>
      <c r="AC69" s="6516">
        <v>12.57087042</v>
      </c>
      <c r="AD69" s="6515">
        <v>1.0900000000000001</v>
      </c>
      <c r="AE69" s="6516">
        <v>1.091</v>
      </c>
      <c r="AF69" s="6516">
        <v>1.2629999999999999</v>
      </c>
      <c r="AG69" s="6516">
        <v>1.12925963</v>
      </c>
      <c r="AH69" s="6516">
        <v>1.1194170800000001</v>
      </c>
      <c r="AI69" s="6516">
        <v>12.27241282</v>
      </c>
      <c r="AJ69" s="6516">
        <v>1.1096661800000001</v>
      </c>
      <c r="AK69" s="6516">
        <v>1.1080226399999999</v>
      </c>
      <c r="AL69" s="6516">
        <v>13.781009709999999</v>
      </c>
      <c r="AM69" s="6516">
        <v>0.69966214000000004</v>
      </c>
      <c r="AN69" s="6516">
        <v>0.70322174000000004</v>
      </c>
      <c r="AO69" s="6516">
        <v>14.550508110000001</v>
      </c>
      <c r="AP69" s="6517"/>
      <c r="AQ69" s="6518">
        <v>0.74262206999999991</v>
      </c>
      <c r="AR69" s="6519">
        <v>0.7744553999999999</v>
      </c>
      <c r="AS69" s="6519">
        <v>14.416923960000002</v>
      </c>
      <c r="AT69" s="6519">
        <v>0.78998683000000003</v>
      </c>
      <c r="AU69" s="6519">
        <v>0.79131074000000001</v>
      </c>
      <c r="AV69" s="6519">
        <v>14.503235609999999</v>
      </c>
      <c r="AW69" s="6519">
        <v>0.90104266999999993</v>
      </c>
      <c r="AX69" s="6519">
        <v>0.88435212000000007</v>
      </c>
      <c r="AY69" s="6519">
        <v>14.650685309999998</v>
      </c>
      <c r="AZ69" s="6519">
        <v>0.89288020000000001</v>
      </c>
      <c r="BA69" s="6519">
        <v>0.86426654999999997</v>
      </c>
      <c r="BB69" s="6519">
        <v>14.156612180000002</v>
      </c>
      <c r="BC69" s="6520">
        <v>64.368373640000002</v>
      </c>
      <c r="BD69" s="6521">
        <v>0.87261593999999998</v>
      </c>
      <c r="BE69" s="6522">
        <v>0.6763382</v>
      </c>
      <c r="BF69" s="6522">
        <v>14.193982180000001</v>
      </c>
      <c r="BG69" s="6522">
        <v>0.68559320000000001</v>
      </c>
      <c r="BH69" s="6522">
        <v>0.68502802000000007</v>
      </c>
      <c r="BI69" s="6522">
        <v>14.313231510000001</v>
      </c>
      <c r="BJ69" s="6522">
        <v>0.66797169000000001</v>
      </c>
      <c r="BK69" s="6522">
        <v>0.66797169000000001</v>
      </c>
      <c r="BL69" s="6522">
        <v>14.982724259999999</v>
      </c>
      <c r="BM69" s="6522">
        <v>0.66797172999999999</v>
      </c>
      <c r="BN69" s="6522">
        <v>0.66298950000000001</v>
      </c>
      <c r="BO69" s="6522">
        <v>14.58285382</v>
      </c>
      <c r="BP69" s="6523">
        <v>63.659271740000008</v>
      </c>
      <c r="BQ69" s="6524">
        <v>0.65426589999999996</v>
      </c>
      <c r="BR69" s="6525">
        <v>0.65426589999999996</v>
      </c>
      <c r="BS69" s="6522">
        <v>14.606176850000001</v>
      </c>
      <c r="BT69" s="6526">
        <v>0.64824418000000006</v>
      </c>
      <c r="BU69" s="6526">
        <v>0.64533783</v>
      </c>
      <c r="BV69" s="6527">
        <v>14.50026212</v>
      </c>
      <c r="BW69" s="6528">
        <v>0.64204667000000004</v>
      </c>
      <c r="BX69" s="6527">
        <v>0.64204667000000004</v>
      </c>
      <c r="BY69" s="6528">
        <v>14.771109919999999</v>
      </c>
      <c r="BZ69" s="6528">
        <v>0.63622778999999996</v>
      </c>
      <c r="CA69" s="6528">
        <v>0.63622778999999996</v>
      </c>
      <c r="CB69" s="6528">
        <v>14.84540185</v>
      </c>
      <c r="CC69" s="6529">
        <f t="shared" si="85"/>
        <v>14.84540185</v>
      </c>
      <c r="CD69" s="6208">
        <f t="shared" si="86"/>
        <v>0</v>
      </c>
      <c r="CE69" s="6530">
        <f t="shared" si="12"/>
        <v>14.20917406</v>
      </c>
      <c r="CF69" s="6531">
        <f t="shared" si="79"/>
        <v>0.2625480299999996</v>
      </c>
      <c r="CG69" s="6531"/>
      <c r="CH69" s="6532">
        <f t="shared" si="80"/>
        <v>63.881613469999998</v>
      </c>
      <c r="CI69" s="6533">
        <f t="shared" si="81"/>
        <v>63.881613469999998</v>
      </c>
      <c r="CJ69" s="6534">
        <f t="shared" si="82"/>
        <v>0</v>
      </c>
      <c r="CK69" s="6535">
        <f t="shared" si="83"/>
        <v>0.22234172999998947</v>
      </c>
      <c r="CL69" s="5138"/>
      <c r="CM69" s="2488"/>
      <c r="CN69" s="2504"/>
      <c r="CO69" s="2504"/>
      <c r="CP69" s="2504"/>
      <c r="CQ69" s="2504"/>
      <c r="CR69" s="2504"/>
      <c r="CS69" s="2504"/>
      <c r="CT69" s="2504"/>
      <c r="CU69" s="2504"/>
      <c r="CV69" s="2504"/>
      <c r="CW69" s="2504"/>
      <c r="CX69" s="2504"/>
      <c r="CY69" s="2504"/>
      <c r="CZ69" s="2505">
        <f t="shared" si="27"/>
        <v>0</v>
      </c>
      <c r="DB69" s="4439"/>
      <c r="DC69" s="4439"/>
      <c r="DF69" s="4439"/>
      <c r="DG69" s="4439"/>
    </row>
    <row r="70" spans="1:111" ht="16.3" customHeight="1" x14ac:dyDescent="0.55000000000000004">
      <c r="A70" s="6472"/>
      <c r="B70" s="6473" t="s">
        <v>16</v>
      </c>
      <c r="C70" s="2426"/>
      <c r="D70" s="2426"/>
      <c r="F70" s="6154">
        <v>27.660553999999991</v>
      </c>
      <c r="G70" s="6155">
        <v>18.487483529999999</v>
      </c>
      <c r="H70" s="6155">
        <v>17.471827050000009</v>
      </c>
      <c r="I70" s="6155">
        <v>16.860529660000008</v>
      </c>
      <c r="J70" s="6155">
        <v>17.028907090000015</v>
      </c>
      <c r="K70" s="6155">
        <v>18.084047309999995</v>
      </c>
      <c r="L70" s="6155">
        <v>17.787092969999989</v>
      </c>
      <c r="M70" s="6155">
        <v>18.243676670000006</v>
      </c>
      <c r="N70" s="6155">
        <v>16.812660459999996</v>
      </c>
      <c r="O70" s="6155">
        <v>16.453237200000018</v>
      </c>
      <c r="P70" s="6155">
        <v>19.021118559999998</v>
      </c>
      <c r="Q70" s="6156">
        <v>23.776860049999996</v>
      </c>
      <c r="R70" s="6155">
        <v>25.080497000000001</v>
      </c>
      <c r="S70" s="6155">
        <v>16.589971629999997</v>
      </c>
      <c r="T70" s="6155">
        <v>16.309990200000001</v>
      </c>
      <c r="U70" s="6155">
        <v>17.572574260000003</v>
      </c>
      <c r="V70" s="6155">
        <v>16.41467115</v>
      </c>
      <c r="W70" s="6155">
        <v>22.007546519999995</v>
      </c>
      <c r="X70" s="6155">
        <v>26.616913359999995</v>
      </c>
      <c r="Y70" s="6155">
        <v>19.865705930000001</v>
      </c>
      <c r="Z70" s="6155">
        <v>20.905572100000001</v>
      </c>
      <c r="AA70" s="6155">
        <v>25.726456719999998</v>
      </c>
      <c r="AB70" s="6155">
        <v>22.32758918</v>
      </c>
      <c r="AC70" s="6155">
        <v>45.154169259999996</v>
      </c>
      <c r="AD70" s="6154">
        <f>AD55-SUM(AD56:AD69)</f>
        <v>18.290000000000006</v>
      </c>
      <c r="AE70" s="6155">
        <f>AE55-SUM(AE56:AE69)</f>
        <v>19.094999999999999</v>
      </c>
      <c r="AF70" s="6155">
        <f>AF55-AF56-AF62-AF66-AF69</f>
        <v>32.573999999999991</v>
      </c>
      <c r="AG70" s="6155">
        <v>24.665246920000001</v>
      </c>
      <c r="AH70" s="6155">
        <v>21.646933910000001</v>
      </c>
      <c r="AI70" s="6155">
        <v>20.911673619999998</v>
      </c>
      <c r="AJ70" s="6155">
        <v>29.878105889999954</v>
      </c>
      <c r="AK70" s="6155">
        <v>25.182821350000054</v>
      </c>
      <c r="AL70" s="6155">
        <v>22.271546860000015</v>
      </c>
      <c r="AM70" s="6155">
        <v>24.760876939999999</v>
      </c>
      <c r="AN70" s="6155">
        <v>22.99064421000001</v>
      </c>
      <c r="AO70" s="6157">
        <v>34.386595060000005</v>
      </c>
      <c r="AP70" s="6156"/>
      <c r="AQ70" s="6158">
        <v>21.705428880000003</v>
      </c>
      <c r="AR70" s="6159">
        <v>22.274147029999998</v>
      </c>
      <c r="AS70" s="6159">
        <v>24.0317042</v>
      </c>
      <c r="AT70" s="6159">
        <v>23.141441489999998</v>
      </c>
      <c r="AU70" s="6159">
        <v>20.823820430000001</v>
      </c>
      <c r="AV70" s="6159">
        <v>23.691168639999997</v>
      </c>
      <c r="AW70" s="6159">
        <v>24.491007190000005</v>
      </c>
      <c r="AX70" s="6159">
        <v>29.984172739999998</v>
      </c>
      <c r="AY70" s="6159">
        <v>21.673296000000001</v>
      </c>
      <c r="AZ70" s="6159">
        <v>31.177397399999997</v>
      </c>
      <c r="BA70" s="6159">
        <v>29.200434000000001</v>
      </c>
      <c r="BB70" s="6159">
        <v>33.672513979999984</v>
      </c>
      <c r="BC70" s="6160">
        <v>305.86653197999993</v>
      </c>
      <c r="BD70" s="2549">
        <v>25.772777389999998</v>
      </c>
      <c r="BE70" s="6474">
        <v>28.175300730000004</v>
      </c>
      <c r="BF70" s="6474">
        <v>23.288167819999998</v>
      </c>
      <c r="BG70" s="2790">
        <v>24.295301419999998</v>
      </c>
      <c r="BH70" s="2790">
        <v>23.049770819999999</v>
      </c>
      <c r="BI70" s="2790">
        <v>24.794103979999996</v>
      </c>
      <c r="BJ70" s="2790">
        <v>36.084520089999998</v>
      </c>
      <c r="BK70" s="2790">
        <v>36.02465127</v>
      </c>
      <c r="BL70" s="2790">
        <v>33.082771619999995</v>
      </c>
      <c r="BM70" s="2790">
        <v>37.457633220000005</v>
      </c>
      <c r="BN70" s="2790">
        <v>28.92146503</v>
      </c>
      <c r="BO70" s="2790">
        <v>40.784050430000001</v>
      </c>
      <c r="BP70" s="6475">
        <v>361.73051381999994</v>
      </c>
      <c r="BQ70" s="6536">
        <v>27.117529949999994</v>
      </c>
      <c r="BR70" s="6171">
        <v>30.303052530000002</v>
      </c>
      <c r="BS70" s="6474">
        <v>24.440859979999999</v>
      </c>
      <c r="BT70" s="6478">
        <v>28.862476630000003</v>
      </c>
      <c r="BU70" s="6478">
        <v>28.879000459999997</v>
      </c>
      <c r="BV70" s="6232">
        <v>29.676162650000002</v>
      </c>
      <c r="BW70" s="2496">
        <v>36.133007460000002</v>
      </c>
      <c r="BX70" s="6232">
        <v>28.58526268</v>
      </c>
      <c r="BY70" s="2496">
        <v>38.206048460000005</v>
      </c>
      <c r="BZ70" s="2496">
        <v>27.32648064</v>
      </c>
      <c r="CA70" s="2496">
        <v>34.553813720000001</v>
      </c>
      <c r="CB70" s="2496">
        <v>51.147992049999999</v>
      </c>
      <c r="CC70" s="6164">
        <f t="shared" si="85"/>
        <v>51.147992049999999</v>
      </c>
      <c r="CD70" s="6208">
        <f t="shared" si="86"/>
        <v>0</v>
      </c>
      <c r="CE70" s="6166">
        <f t="shared" ref="CE70:CE84" si="90">CB70-CA70</f>
        <v>16.594178329999998</v>
      </c>
      <c r="CF70" s="2509">
        <f t="shared" si="79"/>
        <v>10.363941619999999</v>
      </c>
      <c r="CG70" s="2509"/>
      <c r="CH70" s="6167">
        <f t="shared" si="80"/>
        <v>385.23168721000002</v>
      </c>
      <c r="CI70" s="2558">
        <f t="shared" si="81"/>
        <v>385.23168721000002</v>
      </c>
      <c r="CJ70" s="6212">
        <f t="shared" si="82"/>
        <v>0</v>
      </c>
      <c r="CK70" s="6476">
        <f t="shared" si="83"/>
        <v>23.501173390000076</v>
      </c>
      <c r="CL70" s="5138"/>
      <c r="CM70" s="2488"/>
      <c r="CN70" s="2504"/>
      <c r="CO70" s="2504"/>
      <c r="CP70" s="2504"/>
      <c r="CQ70" s="2504"/>
      <c r="CR70" s="2504"/>
      <c r="CS70" s="2504"/>
      <c r="CT70" s="2504"/>
      <c r="CU70" s="2504"/>
      <c r="CV70" s="2504"/>
      <c r="CW70" s="2504"/>
      <c r="CX70" s="2504"/>
      <c r="CY70" s="2504"/>
      <c r="CZ70" s="2505">
        <f t="shared" si="27"/>
        <v>0</v>
      </c>
      <c r="DB70" s="4439"/>
      <c r="DC70" s="4439"/>
      <c r="DF70" s="4439"/>
      <c r="DG70" s="4439"/>
    </row>
    <row r="71" spans="1:111" ht="16.3" customHeight="1" x14ac:dyDescent="0.55000000000000004">
      <c r="A71" s="6472"/>
      <c r="B71" s="2426"/>
      <c r="C71" s="2426" t="s">
        <v>123</v>
      </c>
      <c r="D71" s="6537" t="s">
        <v>1128</v>
      </c>
      <c r="E71" s="6538"/>
      <c r="F71" s="6154">
        <v>8.9343964299999996</v>
      </c>
      <c r="G71" s="6155">
        <v>8.5207308099999999</v>
      </c>
      <c r="H71" s="6155">
        <v>7.9305403700000001</v>
      </c>
      <c r="I71" s="6155">
        <v>7.8399078400000004</v>
      </c>
      <c r="J71" s="6155">
        <v>7.63378669</v>
      </c>
      <c r="K71" s="6155">
        <v>7.2442956799999996</v>
      </c>
      <c r="L71" s="6155">
        <v>7.6686047400000001</v>
      </c>
      <c r="M71" s="6155">
        <v>7.4987103700000004</v>
      </c>
      <c r="N71" s="6155">
        <v>7.30548822</v>
      </c>
      <c r="O71" s="6155">
        <v>7.2134749899999999</v>
      </c>
      <c r="P71" s="6155">
        <v>7.16931049</v>
      </c>
      <c r="Q71" s="6156">
        <v>12.49828638</v>
      </c>
      <c r="R71" s="6155">
        <v>6.90321169</v>
      </c>
      <c r="S71" s="6155">
        <v>6.7695900599999996</v>
      </c>
      <c r="T71" s="6155">
        <v>6.6419764000000008</v>
      </c>
      <c r="U71" s="6155">
        <v>7.4492326100000001</v>
      </c>
      <c r="V71" s="6155">
        <v>6.8656929400000006</v>
      </c>
      <c r="W71" s="6155">
        <v>10.863175269999999</v>
      </c>
      <c r="X71" s="6155">
        <v>14.250370289999999</v>
      </c>
      <c r="Y71" s="6155">
        <v>7.5903317800000005</v>
      </c>
      <c r="Z71" s="6155">
        <v>8.2488507099999993</v>
      </c>
      <c r="AA71" s="6155">
        <v>12.50349503</v>
      </c>
      <c r="AB71" s="6155">
        <v>8.67832662</v>
      </c>
      <c r="AC71" s="6155">
        <v>18.17389859</v>
      </c>
      <c r="AD71" s="6539">
        <v>8.01</v>
      </c>
      <c r="AE71" s="6540">
        <v>7.9630000000000001</v>
      </c>
      <c r="AF71" s="6540">
        <v>8.7829999999999995</v>
      </c>
      <c r="AG71" s="6540">
        <v>8.9954166999999998</v>
      </c>
      <c r="AH71" s="6540">
        <v>8.6188182199999996</v>
      </c>
      <c r="AI71" s="6540">
        <v>8.3979437899999994</v>
      </c>
      <c r="AJ71" s="6155">
        <v>8.6092223299999997</v>
      </c>
      <c r="AK71" s="6155">
        <v>10.42275295</v>
      </c>
      <c r="AL71" s="6155">
        <v>9.5851020500000015</v>
      </c>
      <c r="AM71" s="6155">
        <v>9.8112929999999992</v>
      </c>
      <c r="AN71" s="6155">
        <v>9.5922288099999999</v>
      </c>
      <c r="AO71" s="6157">
        <v>15.07909424</v>
      </c>
      <c r="AP71" s="6156"/>
      <c r="AQ71" s="6158">
        <v>8.8479042600000017</v>
      </c>
      <c r="AR71" s="6159">
        <v>9.3419312100000003</v>
      </c>
      <c r="AS71" s="6159">
        <v>10.98023382</v>
      </c>
      <c r="AT71" s="6159">
        <v>10.43699181</v>
      </c>
      <c r="AU71" s="6159">
        <v>9.4584486299999995</v>
      </c>
      <c r="AV71" s="6159">
        <v>11.983378419999999</v>
      </c>
      <c r="AW71" s="6159">
        <v>10.262751290000001</v>
      </c>
      <c r="AX71" s="6159">
        <v>11.067936339999999</v>
      </c>
      <c r="AY71" s="6159">
        <v>10.375607309999999</v>
      </c>
      <c r="AZ71" s="6159">
        <v>16.877777229999996</v>
      </c>
      <c r="BA71" s="6159">
        <v>16.06811424</v>
      </c>
      <c r="BB71" s="6159">
        <v>13.643912849999998</v>
      </c>
      <c r="BC71" s="6160">
        <v>139.34498740999999</v>
      </c>
      <c r="BD71" s="2549">
        <v>11.741474290000001</v>
      </c>
      <c r="BE71" s="6474">
        <v>15.763383839999999</v>
      </c>
      <c r="BF71" s="6474">
        <v>11.145961680000001</v>
      </c>
      <c r="BG71" s="2790">
        <v>12.136766399999999</v>
      </c>
      <c r="BH71" s="2790">
        <v>11.842320480000001</v>
      </c>
      <c r="BI71" s="2790">
        <v>10.86711341</v>
      </c>
      <c r="BJ71" s="2790">
        <v>13.252516459999999</v>
      </c>
      <c r="BK71" s="2790">
        <v>24.75736719</v>
      </c>
      <c r="BL71" s="2790">
        <v>20.265320169999999</v>
      </c>
      <c r="BM71" s="2790">
        <v>20.048122200000002</v>
      </c>
      <c r="BN71" s="2790">
        <v>14.7036184</v>
      </c>
      <c r="BO71" s="2790">
        <v>21.47450632</v>
      </c>
      <c r="BP71" s="6475">
        <v>187.99847083999998</v>
      </c>
      <c r="BQ71" s="6292">
        <v>14.25933495</v>
      </c>
      <c r="BR71" s="6171">
        <v>16.11374223</v>
      </c>
      <c r="BS71" s="6474">
        <v>13.015234319999999</v>
      </c>
      <c r="BT71" s="6479">
        <v>16.231489060000001</v>
      </c>
      <c r="BU71" s="6479">
        <v>15.242258639999999</v>
      </c>
      <c r="BV71" s="6163">
        <v>16.64012511</v>
      </c>
      <c r="BW71" s="2496">
        <v>18.045363380000001</v>
      </c>
      <c r="BX71" s="6163">
        <v>15.730022440000001</v>
      </c>
      <c r="BY71" s="2496">
        <v>21.1699837</v>
      </c>
      <c r="BZ71" s="2496">
        <v>13.592907370000001</v>
      </c>
      <c r="CA71" s="2496">
        <v>19.962045929999999</v>
      </c>
      <c r="CB71" s="2496">
        <v>29.77658379</v>
      </c>
      <c r="CC71" s="6164">
        <f t="shared" si="85"/>
        <v>29.77658379</v>
      </c>
      <c r="CD71" s="6208">
        <f t="shared" si="86"/>
        <v>0</v>
      </c>
      <c r="CE71" s="6166">
        <f t="shared" si="90"/>
        <v>9.8145378600000015</v>
      </c>
      <c r="CF71" s="2509">
        <f t="shared" si="79"/>
        <v>8.3020774700000004</v>
      </c>
      <c r="CG71" s="2509"/>
      <c r="CH71" s="6399">
        <f t="shared" si="80"/>
        <v>209.77909091999999</v>
      </c>
      <c r="CI71" s="2558">
        <f t="shared" si="81"/>
        <v>209.77909091999999</v>
      </c>
      <c r="CJ71" s="6212">
        <f t="shared" si="82"/>
        <v>0</v>
      </c>
      <c r="CK71" s="6476">
        <f t="shared" si="83"/>
        <v>21.780620080000006</v>
      </c>
      <c r="CL71" s="5138"/>
      <c r="CM71" s="2488"/>
      <c r="CN71" s="2504"/>
      <c r="CO71" s="2504"/>
      <c r="CP71" s="2504"/>
      <c r="CQ71" s="2504"/>
      <c r="CR71" s="2504"/>
      <c r="CS71" s="2504"/>
      <c r="CT71" s="2504"/>
      <c r="CU71" s="2504"/>
      <c r="CV71" s="2504"/>
      <c r="CW71" s="2504"/>
      <c r="CX71" s="2504"/>
      <c r="CY71" s="2504"/>
      <c r="CZ71" s="2505">
        <f t="shared" si="27"/>
        <v>0</v>
      </c>
      <c r="DB71" s="4439"/>
      <c r="DC71" s="4439"/>
      <c r="DF71" s="4439"/>
      <c r="DG71" s="4439"/>
    </row>
    <row r="72" spans="1:111" ht="16.3" customHeight="1" x14ac:dyDescent="0.55000000000000004">
      <c r="A72" s="6472"/>
      <c r="B72" s="2426"/>
      <c r="C72" s="2426" t="s">
        <v>125</v>
      </c>
      <c r="D72" s="2426"/>
      <c r="F72" s="6154">
        <v>3.11699167</v>
      </c>
      <c r="G72" s="6155">
        <v>2.91721363</v>
      </c>
      <c r="H72" s="6155">
        <v>2.8514561600000001</v>
      </c>
      <c r="I72" s="6155">
        <v>3.0933114599999998</v>
      </c>
      <c r="J72" s="6155">
        <v>2.94197306</v>
      </c>
      <c r="K72" s="6155">
        <v>3.4009307</v>
      </c>
      <c r="L72" s="6155">
        <v>3.1239981800000001</v>
      </c>
      <c r="M72" s="6155">
        <v>3.1093338699999999</v>
      </c>
      <c r="N72" s="6155">
        <v>2.84297939</v>
      </c>
      <c r="O72" s="6155">
        <v>2.7414138000000001</v>
      </c>
      <c r="P72" s="6155">
        <v>3.39628197</v>
      </c>
      <c r="Q72" s="6156">
        <v>3.49435195</v>
      </c>
      <c r="R72" s="6155">
        <v>2.56329516</v>
      </c>
      <c r="S72" s="6155">
        <v>2.5303621299999999</v>
      </c>
      <c r="T72" s="6155">
        <v>3.0998887499999999</v>
      </c>
      <c r="U72" s="6155">
        <v>3.2353885400000002</v>
      </c>
      <c r="V72" s="6155">
        <v>3.0102144700000002</v>
      </c>
      <c r="W72" s="6155">
        <v>4.1704778999999998</v>
      </c>
      <c r="X72" s="6155">
        <v>3.5405752599999998</v>
      </c>
      <c r="Y72" s="6155">
        <v>3.4219849300000003</v>
      </c>
      <c r="Z72" s="6155">
        <v>3.4680098799999999</v>
      </c>
      <c r="AA72" s="6155">
        <v>3.07025002</v>
      </c>
      <c r="AB72" s="6155">
        <v>4.5271628899999996</v>
      </c>
      <c r="AC72" s="6155">
        <v>6.6871367400000006</v>
      </c>
      <c r="AD72" s="6154">
        <v>3.09</v>
      </c>
      <c r="AE72" s="6155">
        <v>2.9689999999999999</v>
      </c>
      <c r="AF72" s="6155">
        <v>3.8332000000000002</v>
      </c>
      <c r="AG72" s="6155">
        <v>5.0026001999999998</v>
      </c>
      <c r="AH72" s="6155">
        <v>4.29535599</v>
      </c>
      <c r="AI72" s="6155">
        <v>4.4958723699999998</v>
      </c>
      <c r="AJ72" s="6155">
        <v>11.509266800000001</v>
      </c>
      <c r="AK72" s="6155">
        <v>5.0029552300000004</v>
      </c>
      <c r="AL72" s="6155">
        <v>4.81328421</v>
      </c>
      <c r="AM72" s="6155">
        <v>5.3628275800000003</v>
      </c>
      <c r="AN72" s="6155">
        <v>5.1983239299999999</v>
      </c>
      <c r="AO72" s="6157">
        <v>9.1828933599999996</v>
      </c>
      <c r="AP72" s="6156"/>
      <c r="AQ72" s="6158">
        <v>4.7874433999999999</v>
      </c>
      <c r="AR72" s="6159">
        <v>4.7190378499999994</v>
      </c>
      <c r="AS72" s="6159">
        <v>5.1492114000000004</v>
      </c>
      <c r="AT72" s="6159">
        <v>5.5242318799999994</v>
      </c>
      <c r="AU72" s="6159">
        <v>4.6397591999999994</v>
      </c>
      <c r="AV72" s="6159">
        <v>4.8933604000000006</v>
      </c>
      <c r="AW72" s="6159">
        <v>5.455420039999999</v>
      </c>
      <c r="AX72" s="6159">
        <v>9.8074200200000003</v>
      </c>
      <c r="AY72" s="6159">
        <v>4.3297332400000004</v>
      </c>
      <c r="AZ72" s="6159">
        <v>5.1007288100000006</v>
      </c>
      <c r="BA72" s="6159">
        <v>5.1294129399999999</v>
      </c>
      <c r="BB72" s="6159">
        <v>10.385882359999998</v>
      </c>
      <c r="BC72" s="6160">
        <v>69.92164154000001</v>
      </c>
      <c r="BD72" s="2549">
        <v>4.8833468800000004</v>
      </c>
      <c r="BE72" s="6474">
        <v>4.1316232500000005</v>
      </c>
      <c r="BF72" s="6474">
        <v>4.3862072799999998</v>
      </c>
      <c r="BG72" s="2790">
        <v>4.5711065299999998</v>
      </c>
      <c r="BH72" s="2790">
        <v>3.9897305899999997</v>
      </c>
      <c r="BI72" s="2790">
        <v>4.9188130999999995</v>
      </c>
      <c r="BJ72" s="2790">
        <v>5.38334242</v>
      </c>
      <c r="BK72" s="2790">
        <v>3.8004313199999999</v>
      </c>
      <c r="BL72" s="2790">
        <v>4.1148899600000002</v>
      </c>
      <c r="BM72" s="2790">
        <v>4.8541620300000003</v>
      </c>
      <c r="BN72" s="2790">
        <v>4.2883191700000003</v>
      </c>
      <c r="BO72" s="2790">
        <v>9.9765166799999996</v>
      </c>
      <c r="BP72" s="6475">
        <v>59.29848921</v>
      </c>
      <c r="BQ72" s="6292">
        <v>4.3623994100000001</v>
      </c>
      <c r="BR72" s="6171">
        <v>4.3079148600000003</v>
      </c>
      <c r="BS72" s="6474">
        <v>4.2781094</v>
      </c>
      <c r="BT72" s="6479">
        <v>4.9214912999999996</v>
      </c>
      <c r="BU72" s="6479">
        <v>4.2729929899999997</v>
      </c>
      <c r="BV72" s="6163">
        <v>4.7569622699999998</v>
      </c>
      <c r="BW72" s="2496">
        <v>6.0612594299999998</v>
      </c>
      <c r="BX72" s="6163">
        <v>4.2144966100000003</v>
      </c>
      <c r="BY72" s="2496">
        <v>5.6789280700000004</v>
      </c>
      <c r="BZ72" s="2496">
        <v>4.3927412800000001</v>
      </c>
      <c r="CA72" s="2496">
        <v>4.8066261600000004</v>
      </c>
      <c r="CB72" s="2496">
        <v>10.477525780000001</v>
      </c>
      <c r="CC72" s="6164">
        <f t="shared" si="85"/>
        <v>10.477525780000001</v>
      </c>
      <c r="CD72" s="6208">
        <f t="shared" si="86"/>
        <v>0</v>
      </c>
      <c r="CE72" s="6166">
        <f t="shared" si="90"/>
        <v>5.6708996200000001</v>
      </c>
      <c r="CF72" s="2509">
        <f t="shared" si="79"/>
        <v>0.50100910000000098</v>
      </c>
      <c r="CG72" s="2509"/>
      <c r="CH72" s="6399">
        <f t="shared" si="80"/>
        <v>62.531447559999997</v>
      </c>
      <c r="CI72" s="2558">
        <f t="shared" si="81"/>
        <v>62.531447559999997</v>
      </c>
      <c r="CJ72" s="6212">
        <f t="shared" si="82"/>
        <v>0</v>
      </c>
      <c r="CK72" s="6476">
        <f t="shared" si="83"/>
        <v>3.232958349999997</v>
      </c>
      <c r="CL72" s="5138"/>
      <c r="CM72" s="2488"/>
      <c r="CN72" s="2504"/>
      <c r="CO72" s="2504"/>
      <c r="CP72" s="2504"/>
      <c r="CQ72" s="2504"/>
      <c r="CR72" s="2504"/>
      <c r="CS72" s="2504"/>
      <c r="CT72" s="2504"/>
      <c r="CU72" s="2504"/>
      <c r="CV72" s="2504"/>
      <c r="CW72" s="2504"/>
      <c r="CX72" s="2504"/>
      <c r="CY72" s="2504"/>
      <c r="CZ72" s="2505">
        <f t="shared" si="27"/>
        <v>0</v>
      </c>
      <c r="DB72" s="4439"/>
      <c r="DC72" s="4439"/>
      <c r="DF72" s="4439"/>
      <c r="DG72" s="4439"/>
    </row>
    <row r="73" spans="1:111" ht="16.3" customHeight="1" x14ac:dyDescent="0.55000000000000004">
      <c r="A73" s="6472"/>
      <c r="B73" s="2426"/>
      <c r="C73" s="2426" t="s">
        <v>124</v>
      </c>
      <c r="D73" s="2426"/>
      <c r="F73" s="6154">
        <v>3.1323659099999999</v>
      </c>
      <c r="G73" s="6155">
        <v>3.4545678899999999</v>
      </c>
      <c r="H73" s="6155">
        <v>3.55991765</v>
      </c>
      <c r="I73" s="6155">
        <v>3.0549493499999998</v>
      </c>
      <c r="J73" s="6155">
        <v>3.5484049999999998</v>
      </c>
      <c r="K73" s="6155">
        <v>3.2154570800000002</v>
      </c>
      <c r="L73" s="6155">
        <v>3.1850304</v>
      </c>
      <c r="M73" s="6155">
        <v>4.00344107</v>
      </c>
      <c r="N73" s="6155">
        <v>3.1647444199999999</v>
      </c>
      <c r="O73" s="6155">
        <v>3.4489373900000002</v>
      </c>
      <c r="P73" s="6155">
        <v>4.8413782899999998</v>
      </c>
      <c r="Q73" s="6156">
        <v>3.8076094999999999</v>
      </c>
      <c r="R73" s="6155">
        <v>4.2138668800000003</v>
      </c>
      <c r="S73" s="6155">
        <v>3.1981531400000001</v>
      </c>
      <c r="T73" s="6155">
        <v>3.3134862699999998</v>
      </c>
      <c r="U73" s="6155">
        <v>3.2323251499999999</v>
      </c>
      <c r="V73" s="6155">
        <v>3.2956618</v>
      </c>
      <c r="W73" s="6155">
        <v>3.5523067200000003</v>
      </c>
      <c r="X73" s="6155">
        <v>3.6172110399999999</v>
      </c>
      <c r="Y73" s="6155">
        <v>4.6127678300000001</v>
      </c>
      <c r="Z73" s="6155">
        <v>4.8668433099999993</v>
      </c>
      <c r="AA73" s="6155">
        <v>6.5011604500000004</v>
      </c>
      <c r="AB73" s="6155">
        <v>5.3065974999999996</v>
      </c>
      <c r="AC73" s="6155">
        <v>4.3862587800000004</v>
      </c>
      <c r="AD73" s="6154">
        <v>3.77</v>
      </c>
      <c r="AE73" s="6155">
        <v>4.4210000000000003</v>
      </c>
      <c r="AF73" s="6155">
        <v>5.1070000000000002</v>
      </c>
      <c r="AG73" s="6155">
        <v>4.6066191700000001</v>
      </c>
      <c r="AH73" s="6155">
        <v>4.4238296400000001</v>
      </c>
      <c r="AI73" s="6155">
        <v>4.1789888399999997</v>
      </c>
      <c r="AJ73" s="6155">
        <v>3.7948032599999997</v>
      </c>
      <c r="AK73" s="6155">
        <v>5.1500113799999996</v>
      </c>
      <c r="AL73" s="6155">
        <v>3.51426156</v>
      </c>
      <c r="AM73" s="6155">
        <v>5.4883955100000001</v>
      </c>
      <c r="AN73" s="6155">
        <v>4.0245764399999997</v>
      </c>
      <c r="AO73" s="6157">
        <v>4.0022745799999999</v>
      </c>
      <c r="AP73" s="6156"/>
      <c r="AQ73" s="6158">
        <v>3.7744305700000003</v>
      </c>
      <c r="AR73" s="6159">
        <v>4.5356723499999996</v>
      </c>
      <c r="AS73" s="6159">
        <v>3.67664262</v>
      </c>
      <c r="AT73" s="6159">
        <v>3.51404943</v>
      </c>
      <c r="AU73" s="6159">
        <v>3.2922386699999997</v>
      </c>
      <c r="AV73" s="6159">
        <v>3.2212681600000002</v>
      </c>
      <c r="AW73" s="6159">
        <v>3.2527263499999997</v>
      </c>
      <c r="AX73" s="6159">
        <v>4.4197614700000001</v>
      </c>
      <c r="AY73" s="6159">
        <v>1.70974944</v>
      </c>
      <c r="AZ73" s="6159">
        <v>5.1977551700000006</v>
      </c>
      <c r="BA73" s="6159">
        <v>3.34941852</v>
      </c>
      <c r="BB73" s="6159">
        <v>3.5357141899999998</v>
      </c>
      <c r="BC73" s="6160">
        <v>43.479426940000003</v>
      </c>
      <c r="BD73" s="2549">
        <v>4.7851869900000006</v>
      </c>
      <c r="BE73" s="6474">
        <v>3.9140838900000001</v>
      </c>
      <c r="BF73" s="6474">
        <v>3.5442021100000001</v>
      </c>
      <c r="BG73" s="2790">
        <v>3.29903082</v>
      </c>
      <c r="BH73" s="2790">
        <v>3.2925166400000001</v>
      </c>
      <c r="BI73" s="2790">
        <v>2.99564275</v>
      </c>
      <c r="BJ73" s="2790">
        <v>4.5471395799999996</v>
      </c>
      <c r="BK73" s="2790">
        <v>2.9864040999999997</v>
      </c>
      <c r="BL73" s="2790">
        <v>4.5855045199999998</v>
      </c>
      <c r="BM73" s="2790">
        <v>4.2619571599999997</v>
      </c>
      <c r="BN73" s="2790">
        <v>3.06472919</v>
      </c>
      <c r="BO73" s="2790">
        <v>3.2496453399999998</v>
      </c>
      <c r="BP73" s="6475">
        <v>44.526043090000009</v>
      </c>
      <c r="BQ73" s="6292">
        <v>2.9436073299999999</v>
      </c>
      <c r="BR73" s="6171">
        <v>5.7717226699999999</v>
      </c>
      <c r="BS73" s="6474">
        <v>2.4286420400000002</v>
      </c>
      <c r="BT73" s="6479">
        <v>3.2458543999999998</v>
      </c>
      <c r="BU73" s="6479">
        <v>3.9261589699999999</v>
      </c>
      <c r="BV73" s="6163">
        <v>3.2319973900000001</v>
      </c>
      <c r="BW73" s="2496">
        <v>4.96446071</v>
      </c>
      <c r="BX73" s="6163">
        <v>3.9632875200000002</v>
      </c>
      <c r="BY73" s="2496">
        <v>5.2455371499999996</v>
      </c>
      <c r="BZ73" s="2496">
        <v>3.9047527099999999</v>
      </c>
      <c r="CA73" s="2496">
        <v>3.6354603600000002</v>
      </c>
      <c r="CB73" s="2496">
        <v>4.0509594</v>
      </c>
      <c r="CC73" s="6164">
        <f t="shared" si="85"/>
        <v>4.0509594</v>
      </c>
      <c r="CD73" s="6208">
        <f t="shared" si="86"/>
        <v>0</v>
      </c>
      <c r="CE73" s="6166">
        <f t="shared" si="90"/>
        <v>0.41549903999999982</v>
      </c>
      <c r="CF73" s="2509">
        <f t="shared" si="79"/>
        <v>0.80131406000000016</v>
      </c>
      <c r="CG73" s="2509"/>
      <c r="CH73" s="6399">
        <f t="shared" si="80"/>
        <v>47.312440649999999</v>
      </c>
      <c r="CI73" s="2558">
        <f t="shared" si="81"/>
        <v>47.312440649999999</v>
      </c>
      <c r="CJ73" s="6212">
        <f t="shared" si="82"/>
        <v>0</v>
      </c>
      <c r="CK73" s="6476">
        <f t="shared" si="83"/>
        <v>2.7863975599999904</v>
      </c>
      <c r="CL73" s="5138"/>
      <c r="CM73" s="2488"/>
      <c r="CN73" s="2504"/>
      <c r="CO73" s="2504"/>
      <c r="CP73" s="2504"/>
      <c r="CQ73" s="2504"/>
      <c r="CR73" s="2504"/>
      <c r="CS73" s="2504"/>
      <c r="CT73" s="2504"/>
      <c r="CU73" s="2504"/>
      <c r="CV73" s="2504"/>
      <c r="CW73" s="2504"/>
      <c r="CX73" s="2504"/>
      <c r="CY73" s="2504"/>
      <c r="CZ73" s="2505">
        <f t="shared" si="27"/>
        <v>0</v>
      </c>
      <c r="DB73" s="4439"/>
      <c r="DC73" s="4439"/>
      <c r="DF73" s="4439"/>
      <c r="DG73" s="4439"/>
    </row>
    <row r="74" spans="1:111" ht="16.3" customHeight="1" x14ac:dyDescent="0.55000000000000004">
      <c r="A74" s="6472"/>
      <c r="B74" s="2426"/>
      <c r="C74" s="2426" t="s">
        <v>606</v>
      </c>
      <c r="D74" s="2426"/>
      <c r="F74" s="6154">
        <v>0.92327652999999998</v>
      </c>
      <c r="G74" s="6155">
        <v>0.18033157</v>
      </c>
      <c r="H74" s="6155">
        <v>-2.087551E-2</v>
      </c>
      <c r="I74" s="6155">
        <v>2.15739E-2</v>
      </c>
      <c r="J74" s="6155">
        <v>5.4749810000000003E-2</v>
      </c>
      <c r="K74" s="6155">
        <v>0.18775095</v>
      </c>
      <c r="L74" s="6155">
        <v>0.63029645999999995</v>
      </c>
      <c r="M74" s="6155">
        <v>6.9826079999999999E-2</v>
      </c>
      <c r="N74" s="6155">
        <v>0.17306066000000001</v>
      </c>
      <c r="O74" s="6155">
        <v>9.791503E-2</v>
      </c>
      <c r="P74" s="6155">
        <v>0.61785699000000005</v>
      </c>
      <c r="Q74" s="6156">
        <v>0.29823571999999998</v>
      </c>
      <c r="R74" s="6155">
        <v>0.13022167000000001</v>
      </c>
      <c r="S74" s="6155">
        <v>0.14420660999999999</v>
      </c>
      <c r="T74" s="6155">
        <v>7.6454720000000004E-2</v>
      </c>
      <c r="U74" s="6155">
        <v>0.20036014000000002</v>
      </c>
      <c r="V74" s="6155">
        <v>8.413364999999999E-2</v>
      </c>
      <c r="W74" s="6155">
        <v>0.23641029999999999</v>
      </c>
      <c r="X74" s="6155">
        <v>1.65595881</v>
      </c>
      <c r="Y74" s="6155">
        <v>5.2586109999999998E-2</v>
      </c>
      <c r="Z74" s="6155">
        <v>0.75991375999999999</v>
      </c>
      <c r="AA74" s="6155">
        <v>0.15550339999999999</v>
      </c>
      <c r="AB74" s="6155">
        <v>0.41205311</v>
      </c>
      <c r="AC74" s="6155">
        <v>1.3067858000000001</v>
      </c>
      <c r="AD74" s="6154">
        <v>0.28000000000000003</v>
      </c>
      <c r="AE74" s="6155">
        <v>0.14799999999999999</v>
      </c>
      <c r="AF74" s="6155">
        <v>0.20300000000000001</v>
      </c>
      <c r="AG74" s="6155">
        <v>1.8033098299999999</v>
      </c>
      <c r="AH74" s="6155">
        <v>0.34016795</v>
      </c>
      <c r="AI74" s="6155">
        <v>0.50743422999999999</v>
      </c>
      <c r="AJ74" s="6155">
        <v>1.94319412</v>
      </c>
      <c r="AK74" s="6155">
        <v>0.26952853999999998</v>
      </c>
      <c r="AL74" s="6155">
        <v>0.45912397999999999</v>
      </c>
      <c r="AM74" s="6155">
        <v>0.53810975999999999</v>
      </c>
      <c r="AN74" s="6155">
        <v>0.65527902000000005</v>
      </c>
      <c r="AO74" s="6157">
        <v>1.7074564299999999</v>
      </c>
      <c r="AP74" s="6156"/>
      <c r="AQ74" s="6158">
        <v>0.37074312999999998</v>
      </c>
      <c r="AR74" s="6159">
        <v>0.19139544</v>
      </c>
      <c r="AS74" s="6159">
        <v>0.72206608000000005</v>
      </c>
      <c r="AT74" s="6159">
        <v>0.23643315000000001</v>
      </c>
      <c r="AU74" s="6159">
        <v>0.16831767</v>
      </c>
      <c r="AV74" s="6159">
        <v>0.50467614999999999</v>
      </c>
      <c r="AW74" s="6159">
        <v>1.5878094999999999</v>
      </c>
      <c r="AX74" s="6159">
        <v>0.29247973999999999</v>
      </c>
      <c r="AY74" s="6159">
        <v>1.45254551</v>
      </c>
      <c r="AZ74" s="6159">
        <v>0.46368648999999995</v>
      </c>
      <c r="BA74" s="6159">
        <v>1.30380841</v>
      </c>
      <c r="BB74" s="6159">
        <v>1.10567628</v>
      </c>
      <c r="BC74" s="6160">
        <v>8.3996375500000013</v>
      </c>
      <c r="BD74" s="2549">
        <v>0.37373182999999999</v>
      </c>
      <c r="BE74" s="6474">
        <v>0.32404677999999998</v>
      </c>
      <c r="BF74" s="6474">
        <v>0.27160268999999998</v>
      </c>
      <c r="BG74" s="2790">
        <v>0.62228342000000003</v>
      </c>
      <c r="BH74" s="2790">
        <v>0.25575594000000001</v>
      </c>
      <c r="BI74" s="2790">
        <v>1.7132511700000002</v>
      </c>
      <c r="BJ74" s="2790">
        <v>0.66974866000000011</v>
      </c>
      <c r="BK74" s="2790">
        <v>-0.25690020000000002</v>
      </c>
      <c r="BL74" s="2790">
        <v>8.8238739999999996E-2</v>
      </c>
      <c r="BM74" s="2790">
        <v>2.9367880300000002</v>
      </c>
      <c r="BN74" s="2790">
        <v>1.6698198</v>
      </c>
      <c r="BO74" s="2790">
        <v>0.76098816000000002</v>
      </c>
      <c r="BP74" s="6475">
        <v>9.4293550199999991</v>
      </c>
      <c r="BQ74" s="6292">
        <v>0.30978331000000003</v>
      </c>
      <c r="BR74" s="6171">
        <v>0.14051783000000001</v>
      </c>
      <c r="BS74" s="6474">
        <v>0.23843495000000001</v>
      </c>
      <c r="BT74" s="6479">
        <v>0.27213748999999998</v>
      </c>
      <c r="BU74" s="6479">
        <v>0.83954355999999997</v>
      </c>
      <c r="BV74" s="6163">
        <v>0.28030896</v>
      </c>
      <c r="BW74" s="2496">
        <v>1.87003268</v>
      </c>
      <c r="BX74" s="6163">
        <v>0.32552112</v>
      </c>
      <c r="BY74" s="2496">
        <v>0.28345768999999998</v>
      </c>
      <c r="BZ74" s="2496">
        <v>0.91638863000000004</v>
      </c>
      <c r="CA74" s="2496">
        <v>1.4335829499999999</v>
      </c>
      <c r="CB74" s="2496">
        <v>1.7233251599999999</v>
      </c>
      <c r="CC74" s="6164">
        <f t="shared" si="85"/>
        <v>1.7233251599999999</v>
      </c>
      <c r="CD74" s="6208">
        <f t="shared" si="86"/>
        <v>0</v>
      </c>
      <c r="CE74" s="6166">
        <f t="shared" si="90"/>
        <v>0.28974221</v>
      </c>
      <c r="CF74" s="2509">
        <f t="shared" si="79"/>
        <v>0.96233699999999989</v>
      </c>
      <c r="CG74" s="2509"/>
      <c r="CH74" s="6399">
        <f t="shared" si="80"/>
        <v>8.633034330000001</v>
      </c>
      <c r="CI74" s="2558">
        <f t="shared" si="81"/>
        <v>8.633034330000001</v>
      </c>
      <c r="CJ74" s="6212">
        <f t="shared" si="82"/>
        <v>0</v>
      </c>
      <c r="CK74" s="6476">
        <f t="shared" si="83"/>
        <v>-0.79632068999999817</v>
      </c>
      <c r="CL74" s="5138"/>
      <c r="CM74" s="2488"/>
      <c r="CN74" s="2504"/>
      <c r="CO74" s="2504"/>
      <c r="CP74" s="2504"/>
      <c r="CQ74" s="2504"/>
      <c r="CR74" s="2504"/>
      <c r="CS74" s="2504"/>
      <c r="CT74" s="2504"/>
      <c r="CU74" s="2504"/>
      <c r="CV74" s="2504"/>
      <c r="CW74" s="2504"/>
      <c r="CX74" s="2504"/>
      <c r="CY74" s="2504"/>
      <c r="CZ74" s="2505">
        <f t="shared" si="27"/>
        <v>0</v>
      </c>
      <c r="DB74" s="4439"/>
      <c r="DC74" s="4439"/>
      <c r="DF74" s="4439"/>
      <c r="DG74" s="4439"/>
    </row>
    <row r="75" spans="1:111" ht="16.3" customHeight="1" x14ac:dyDescent="0.55000000000000004">
      <c r="A75" s="6472"/>
      <c r="B75" s="2426"/>
      <c r="C75" s="2426" t="s">
        <v>126</v>
      </c>
      <c r="D75" s="2426"/>
      <c r="F75" s="6154">
        <v>0.64366018000000003</v>
      </c>
      <c r="G75" s="6155">
        <v>0.61252481999999997</v>
      </c>
      <c r="H75" s="6155">
        <v>0.64661236</v>
      </c>
      <c r="I75" s="6155">
        <v>0.61989928999999999</v>
      </c>
      <c r="J75" s="6155">
        <v>0.62676467999999996</v>
      </c>
      <c r="K75" s="6155">
        <v>1.647472</v>
      </c>
      <c r="L75" s="6155">
        <v>0.6165484</v>
      </c>
      <c r="M75" s="6155">
        <v>0.62583138999999999</v>
      </c>
      <c r="N75" s="6155">
        <v>0.64550194999999999</v>
      </c>
      <c r="O75" s="6155">
        <v>0.61954684999999998</v>
      </c>
      <c r="P75" s="6155">
        <v>0.72992206999999998</v>
      </c>
      <c r="Q75" s="6156">
        <v>0.71998021000000001</v>
      </c>
      <c r="R75" s="6155">
        <v>0.73348996999999994</v>
      </c>
      <c r="S75" s="6155">
        <v>0.73907360999999994</v>
      </c>
      <c r="T75" s="6155">
        <v>0.72103870999999997</v>
      </c>
      <c r="U75" s="6155">
        <v>0.72859598999999997</v>
      </c>
      <c r="V75" s="6155">
        <v>0.72045862000000005</v>
      </c>
      <c r="W75" s="6155">
        <v>0.67728332999999996</v>
      </c>
      <c r="X75" s="6155">
        <v>0.71461898999999995</v>
      </c>
      <c r="Y75" s="6155">
        <v>0.72173114999999999</v>
      </c>
      <c r="Z75" s="6155">
        <v>0.72437236999999999</v>
      </c>
      <c r="AA75" s="6155">
        <v>0.71427152000000005</v>
      </c>
      <c r="AB75" s="6155">
        <v>0.68198778000000004</v>
      </c>
      <c r="AC75" s="6155">
        <v>0.68942846999999996</v>
      </c>
      <c r="AD75" s="6154">
        <v>0.66</v>
      </c>
      <c r="AE75" s="6155">
        <v>0.622</v>
      </c>
      <c r="AF75" s="6155">
        <v>0.60499999999999998</v>
      </c>
      <c r="AG75" s="6155">
        <v>0.73191967000000002</v>
      </c>
      <c r="AH75" s="6155">
        <v>0.74015154000000005</v>
      </c>
      <c r="AI75" s="6155">
        <v>0.71318017</v>
      </c>
      <c r="AJ75" s="6155">
        <v>0.70216376000000003</v>
      </c>
      <c r="AK75" s="6155">
        <v>0.71675482999999995</v>
      </c>
      <c r="AL75" s="6155">
        <v>0.77994112000000004</v>
      </c>
      <c r="AM75" s="6155">
        <v>0.74521368999999993</v>
      </c>
      <c r="AN75" s="6155">
        <v>0.72623054000000009</v>
      </c>
      <c r="AO75" s="6157">
        <v>0.74565241000000004</v>
      </c>
      <c r="AP75" s="6156"/>
      <c r="AQ75" s="6158">
        <v>0.7280886700000001</v>
      </c>
      <c r="AR75" s="6159">
        <v>0.69870352000000002</v>
      </c>
      <c r="AS75" s="6159">
        <v>0.70535837999999995</v>
      </c>
      <c r="AT75" s="6159">
        <v>0.67027694999999998</v>
      </c>
      <c r="AU75" s="6159">
        <v>0.68592184</v>
      </c>
      <c r="AV75" s="6159">
        <v>0.66882166999999992</v>
      </c>
      <c r="AW75" s="6159">
        <v>0.67242610999999997</v>
      </c>
      <c r="AX75" s="6159">
        <v>0.72176147000000002</v>
      </c>
      <c r="AY75" s="6159">
        <v>0.6901228399999999</v>
      </c>
      <c r="AZ75" s="6159">
        <v>0.67524860000000009</v>
      </c>
      <c r="BA75" s="6159">
        <v>0.67115391999999996</v>
      </c>
      <c r="BB75" s="6159">
        <v>0.65933744999999999</v>
      </c>
      <c r="BC75" s="6160">
        <v>8.2472214199999989</v>
      </c>
      <c r="BD75" s="2549">
        <v>0.67628157</v>
      </c>
      <c r="BE75" s="6474">
        <v>0.7056611599999999</v>
      </c>
      <c r="BF75" s="6474">
        <v>0.64666603</v>
      </c>
      <c r="BG75" s="2790">
        <v>0.63118426999999999</v>
      </c>
      <c r="BH75" s="2790">
        <v>0.65920035999999993</v>
      </c>
      <c r="BI75" s="2790">
        <v>0.64901308999999996</v>
      </c>
      <c r="BJ75" s="2790">
        <v>0.69913696999999997</v>
      </c>
      <c r="BK75" s="2790">
        <v>0.69358834999999996</v>
      </c>
      <c r="BL75" s="2790">
        <v>0.65433113000000009</v>
      </c>
      <c r="BM75" s="2790">
        <v>1.1674908799999999</v>
      </c>
      <c r="BN75" s="2790">
        <v>1.03954846</v>
      </c>
      <c r="BO75" s="2790">
        <v>0.71941264000000005</v>
      </c>
      <c r="BP75" s="6475">
        <v>8.9415149099999987</v>
      </c>
      <c r="BQ75" s="6292">
        <v>0.7497358300000001</v>
      </c>
      <c r="BR75" s="6171">
        <v>0.76536135000000005</v>
      </c>
      <c r="BS75" s="6474">
        <v>0.73643846000000002</v>
      </c>
      <c r="BT75" s="6479">
        <v>0.73597349000000001</v>
      </c>
      <c r="BU75" s="6479">
        <v>0.74715328999999997</v>
      </c>
      <c r="BV75" s="6163">
        <v>0.78955467999999995</v>
      </c>
      <c r="BW75" s="2496">
        <v>0.84122896999999996</v>
      </c>
      <c r="BX75" s="6163">
        <v>0.82841229000000005</v>
      </c>
      <c r="BY75" s="2496">
        <v>0.79126618999999998</v>
      </c>
      <c r="BZ75" s="2496">
        <v>0.80618352000000004</v>
      </c>
      <c r="CA75" s="2496">
        <v>0.79709525999999997</v>
      </c>
      <c r="CB75" s="2496">
        <v>0.86447074999999995</v>
      </c>
      <c r="CC75" s="6164">
        <f t="shared" si="85"/>
        <v>0.86447074999999995</v>
      </c>
      <c r="CD75" s="6208">
        <f t="shared" si="86"/>
        <v>0</v>
      </c>
      <c r="CE75" s="6166">
        <f t="shared" si="90"/>
        <v>6.7375489999999982E-2</v>
      </c>
      <c r="CF75" s="2509">
        <f t="shared" si="79"/>
        <v>0.14505810999999991</v>
      </c>
      <c r="CG75" s="2509"/>
      <c r="CH75" s="6399">
        <f t="shared" si="80"/>
        <v>9.4528740800000026</v>
      </c>
      <c r="CI75" s="2558">
        <f t="shared" si="81"/>
        <v>9.4528740800000026</v>
      </c>
      <c r="CJ75" s="6212">
        <f t="shared" si="82"/>
        <v>0</v>
      </c>
      <c r="CK75" s="6476">
        <f t="shared" si="83"/>
        <v>0.51135917000000397</v>
      </c>
      <c r="CL75" s="5138"/>
      <c r="CM75" s="2488"/>
      <c r="CN75" s="2504"/>
      <c r="CO75" s="2504"/>
      <c r="CP75" s="2504"/>
      <c r="CQ75" s="2504"/>
      <c r="CR75" s="2504"/>
      <c r="CS75" s="2504"/>
      <c r="CT75" s="2504"/>
      <c r="CU75" s="2504"/>
      <c r="CV75" s="2504"/>
      <c r="CW75" s="2504"/>
      <c r="CX75" s="2504"/>
      <c r="CY75" s="2504"/>
      <c r="CZ75" s="2505">
        <f t="shared" si="27"/>
        <v>0</v>
      </c>
      <c r="DB75" s="4439"/>
      <c r="DC75" s="4439"/>
      <c r="DF75" s="4439"/>
      <c r="DG75" s="4439"/>
    </row>
    <row r="76" spans="1:111" ht="16.3" customHeight="1" x14ac:dyDescent="0.55000000000000004">
      <c r="A76" s="6472"/>
      <c r="B76" s="2426"/>
      <c r="C76" s="2426" t="s">
        <v>607</v>
      </c>
      <c r="D76" s="2426"/>
      <c r="F76" s="6154">
        <v>0.70689469000000005</v>
      </c>
      <c r="G76" s="6155">
        <v>0.71844574999999999</v>
      </c>
      <c r="H76" s="6155">
        <v>0.70641704000000005</v>
      </c>
      <c r="I76" s="6155">
        <v>0.64720896000000006</v>
      </c>
      <c r="J76" s="6155">
        <v>0.66428392000000003</v>
      </c>
      <c r="K76" s="6155">
        <v>0.69767897000000001</v>
      </c>
      <c r="L76" s="6155">
        <v>0.74471567000000005</v>
      </c>
      <c r="M76" s="6155">
        <v>0.66495340000000003</v>
      </c>
      <c r="N76" s="6155">
        <v>0.65554509999999999</v>
      </c>
      <c r="O76" s="6155">
        <v>0.64103891000000002</v>
      </c>
      <c r="P76" s="6155">
        <v>0.67264771000000001</v>
      </c>
      <c r="Q76" s="6156">
        <v>0.80100811000000005</v>
      </c>
      <c r="R76" s="6155">
        <v>0.74633941000000004</v>
      </c>
      <c r="S76" s="6155">
        <v>0.71166649000000004</v>
      </c>
      <c r="T76" s="6155">
        <v>0.75755238999999996</v>
      </c>
      <c r="U76" s="6155">
        <v>0.72459931000000011</v>
      </c>
      <c r="V76" s="6155">
        <v>0.73461242000000004</v>
      </c>
      <c r="W76" s="6155">
        <v>0.7852480799999999</v>
      </c>
      <c r="X76" s="6155">
        <v>0.83997310000000003</v>
      </c>
      <c r="Y76" s="6155">
        <v>0.76581009</v>
      </c>
      <c r="Z76" s="6155">
        <v>0.74944796999999996</v>
      </c>
      <c r="AA76" s="6155">
        <v>0.75294244999999993</v>
      </c>
      <c r="AB76" s="6155">
        <v>0.79698427999999999</v>
      </c>
      <c r="AC76" s="6155">
        <v>0.81862465000000006</v>
      </c>
      <c r="AD76" s="6154">
        <v>0.8</v>
      </c>
      <c r="AE76" s="6155">
        <v>0.77800000000000002</v>
      </c>
      <c r="AF76" s="6155">
        <v>0.79779999999999995</v>
      </c>
      <c r="AG76" s="6155">
        <v>0.79307368</v>
      </c>
      <c r="AH76" s="6155">
        <v>0.82824701000000001</v>
      </c>
      <c r="AI76" s="6155">
        <v>0.84973697999999998</v>
      </c>
      <c r="AJ76" s="6155">
        <v>0.91515000000000002</v>
      </c>
      <c r="AK76" s="6155">
        <v>0.83909252000000001</v>
      </c>
      <c r="AL76" s="6155">
        <v>0.89576516000000006</v>
      </c>
      <c r="AM76" s="6155">
        <v>0.81517099999999998</v>
      </c>
      <c r="AN76" s="6155">
        <v>0.87540093999999991</v>
      </c>
      <c r="AO76" s="6157">
        <v>0.88182331000000003</v>
      </c>
      <c r="AP76" s="6156"/>
      <c r="AQ76" s="6158">
        <v>0.90245945000000005</v>
      </c>
      <c r="AR76" s="6159">
        <v>0.87151295000000006</v>
      </c>
      <c r="AS76" s="6159">
        <v>0.96471896999999995</v>
      </c>
      <c r="AT76" s="6159">
        <v>0.84275239999999996</v>
      </c>
      <c r="AU76" s="6159">
        <v>0.84903395999999998</v>
      </c>
      <c r="AV76" s="6159">
        <v>0.86525572999999989</v>
      </c>
      <c r="AW76" s="6159">
        <v>0.91178783999999991</v>
      </c>
      <c r="AX76" s="6159">
        <v>0.95754008000000002</v>
      </c>
      <c r="AY76" s="6159">
        <v>0.89888686000000007</v>
      </c>
      <c r="AZ76" s="6159">
        <v>0.88429378000000003</v>
      </c>
      <c r="BA76" s="6159">
        <v>0.88864018</v>
      </c>
      <c r="BB76" s="6159">
        <v>0.96801378000000005</v>
      </c>
      <c r="BC76" s="6160">
        <v>10.804895979999998</v>
      </c>
      <c r="BD76" s="2549">
        <v>1.00305092</v>
      </c>
      <c r="BE76" s="6474">
        <v>0.9088518000000001</v>
      </c>
      <c r="BF76" s="6474">
        <v>0.92488979999999998</v>
      </c>
      <c r="BG76" s="2790">
        <v>0.89238587999999996</v>
      </c>
      <c r="BH76" s="2790">
        <v>0.88310843999999999</v>
      </c>
      <c r="BI76" s="2790">
        <v>0.96327995999999994</v>
      </c>
      <c r="BJ76" s="2790">
        <v>0.99145843</v>
      </c>
      <c r="BK76" s="2790">
        <v>1.0159487300000001</v>
      </c>
      <c r="BL76" s="2790">
        <v>0.93022769999999999</v>
      </c>
      <c r="BM76" s="2790">
        <v>0.95830389999999999</v>
      </c>
      <c r="BN76" s="2790">
        <v>1.0913377799999999</v>
      </c>
      <c r="BO76" s="2790">
        <v>1.0849166299999999</v>
      </c>
      <c r="BP76" s="6475">
        <v>11.647759969999999</v>
      </c>
      <c r="BQ76" s="6292">
        <v>1.05416647</v>
      </c>
      <c r="BR76" s="6171">
        <v>1.1232548</v>
      </c>
      <c r="BS76" s="6474">
        <v>1.08055524</v>
      </c>
      <c r="BT76" s="6479">
        <v>1.0190339500000001</v>
      </c>
      <c r="BU76" s="6479">
        <v>1.0140566900000001</v>
      </c>
      <c r="BV76" s="6163">
        <v>0.99325540999999995</v>
      </c>
      <c r="BW76" s="2496">
        <v>1.11099657</v>
      </c>
      <c r="BX76" s="6163">
        <v>1.0648883</v>
      </c>
      <c r="BY76" s="2496">
        <v>1.1206714499999999</v>
      </c>
      <c r="BZ76" s="2496">
        <v>0.99567846999999998</v>
      </c>
      <c r="CA76" s="2496">
        <v>1.1094134</v>
      </c>
      <c r="CB76" s="2496">
        <v>1.1916607299999999</v>
      </c>
      <c r="CC76" s="6164">
        <f t="shared" si="85"/>
        <v>1.1916607299999999</v>
      </c>
      <c r="CD76" s="6208">
        <f t="shared" si="86"/>
        <v>0</v>
      </c>
      <c r="CE76" s="6166">
        <f t="shared" si="90"/>
        <v>8.2247329999999952E-2</v>
      </c>
      <c r="CF76" s="2509">
        <f t="shared" si="79"/>
        <v>0.10674410000000001</v>
      </c>
      <c r="CG76" s="2509"/>
      <c r="CH76" s="6399">
        <f t="shared" si="80"/>
        <v>12.87763148</v>
      </c>
      <c r="CI76" s="2558">
        <f t="shared" si="81"/>
        <v>12.87763148</v>
      </c>
      <c r="CJ76" s="6212">
        <f t="shared" si="82"/>
        <v>0</v>
      </c>
      <c r="CK76" s="6476">
        <f t="shared" si="83"/>
        <v>1.2298715100000006</v>
      </c>
      <c r="CL76" s="5138"/>
      <c r="CM76" s="2488"/>
      <c r="CN76" s="2504"/>
      <c r="CO76" s="2504"/>
      <c r="CP76" s="2504"/>
      <c r="CQ76" s="2504"/>
      <c r="CR76" s="2504"/>
      <c r="CS76" s="2504"/>
      <c r="CT76" s="2504"/>
      <c r="CU76" s="2504"/>
      <c r="CV76" s="2504"/>
      <c r="CW76" s="2504"/>
      <c r="CX76" s="2504"/>
      <c r="CY76" s="2504"/>
      <c r="CZ76" s="2505">
        <f t="shared" si="27"/>
        <v>0</v>
      </c>
      <c r="DB76" s="4439"/>
      <c r="DC76" s="4439"/>
      <c r="DF76" s="4439"/>
      <c r="DG76" s="4439"/>
    </row>
    <row r="77" spans="1:111" ht="16.3" customHeight="1" thickBot="1" x14ac:dyDescent="0.6">
      <c r="A77" s="6541"/>
      <c r="B77" s="6541"/>
      <c r="C77" s="6541" t="s">
        <v>626</v>
      </c>
      <c r="D77" s="7093" t="s">
        <v>1126</v>
      </c>
      <c r="E77" s="7094"/>
      <c r="F77" s="6542">
        <v>10.202968589999989</v>
      </c>
      <c r="G77" s="6543">
        <v>2.0836690599999992</v>
      </c>
      <c r="H77" s="6543">
        <v>1.7977589800000098</v>
      </c>
      <c r="I77" s="6543">
        <v>1.5836788600000085</v>
      </c>
      <c r="J77" s="6543">
        <v>1.5589439300000136</v>
      </c>
      <c r="K77" s="6543">
        <v>1.6904619299999948</v>
      </c>
      <c r="L77" s="6543">
        <v>1.8178991199999897</v>
      </c>
      <c r="M77" s="6543">
        <v>2.2715804900000047</v>
      </c>
      <c r="N77" s="6543">
        <v>2.025340719999996</v>
      </c>
      <c r="O77" s="6543">
        <v>1.6909102300000181</v>
      </c>
      <c r="P77" s="6543">
        <v>1.593721039999997</v>
      </c>
      <c r="Q77" s="6544">
        <v>2.1573881799999959</v>
      </c>
      <c r="R77" s="6543">
        <v>9.7900722200000008</v>
      </c>
      <c r="S77" s="6543">
        <v>2.4969195899999996</v>
      </c>
      <c r="T77" s="6543">
        <v>1.6995929599999999</v>
      </c>
      <c r="U77" s="6543">
        <v>2.00207252</v>
      </c>
      <c r="V77" s="6543">
        <v>1.70389725</v>
      </c>
      <c r="W77" s="6543">
        <v>1.72264492</v>
      </c>
      <c r="X77" s="6543">
        <v>1.9982058700000001</v>
      </c>
      <c r="Y77" s="6543">
        <v>2.7004940400000002</v>
      </c>
      <c r="Z77" s="6543">
        <v>2.0881341</v>
      </c>
      <c r="AA77" s="6543">
        <v>2.0288338500000003</v>
      </c>
      <c r="AB77" s="6543">
        <v>1.924477</v>
      </c>
      <c r="AC77" s="6543">
        <v>13.09203623</v>
      </c>
      <c r="AD77" s="6545">
        <f>AD70-SUM(AD71:AD76)</f>
        <v>1.6800000000000068</v>
      </c>
      <c r="AE77" s="6546">
        <f>AE70-SUM(AE71:AE76)</f>
        <v>2.1939999999999991</v>
      </c>
      <c r="AF77" s="6546">
        <f>AF70-SUM(AF71:AF76)</f>
        <v>13.244999999999994</v>
      </c>
      <c r="AG77" s="6546">
        <v>2.73230767</v>
      </c>
      <c r="AH77" s="6546">
        <v>2.4003635600000002</v>
      </c>
      <c r="AI77" s="6546">
        <v>1.76851724</v>
      </c>
      <c r="AJ77" s="6543">
        <v>2.4043056200000001</v>
      </c>
      <c r="AK77" s="6543">
        <v>2.7817259000000005</v>
      </c>
      <c r="AL77" s="6543">
        <v>2.2240687800000001</v>
      </c>
      <c r="AM77" s="6543">
        <v>1.9998663999999999</v>
      </c>
      <c r="AN77" s="6543">
        <v>1.9186045300000003</v>
      </c>
      <c r="AO77" s="6543">
        <v>2.7874007299999999</v>
      </c>
      <c r="AP77" s="6544"/>
      <c r="AQ77" s="6547">
        <v>2.2943594000000012</v>
      </c>
      <c r="AR77" s="6548">
        <v>1.9158937099999989</v>
      </c>
      <c r="AS77" s="6548">
        <v>1.8334729299999992</v>
      </c>
      <c r="AT77" s="6548">
        <v>1.9167058699999977</v>
      </c>
      <c r="AU77" s="6548">
        <v>1.7301004600000027</v>
      </c>
      <c r="AV77" s="6548">
        <v>1.5544081099999936</v>
      </c>
      <c r="AW77" s="6548">
        <v>2.3480860600000071</v>
      </c>
      <c r="AX77" s="6548">
        <v>2.7172736199999967</v>
      </c>
      <c r="AY77" s="6548">
        <v>2.2166508</v>
      </c>
      <c r="AZ77" s="6548">
        <v>1.9779073199999999</v>
      </c>
      <c r="BA77" s="6548">
        <v>1.7898857900000031</v>
      </c>
      <c r="BB77" s="6548">
        <v>3.373977069999988</v>
      </c>
      <c r="BC77" s="6549">
        <v>25.668721139999988</v>
      </c>
      <c r="BD77" s="6550">
        <f>BD70-BD71-BD72-BD73-BD74-BD75-BD76</f>
        <v>2.3097049099999971</v>
      </c>
      <c r="BE77" s="6550">
        <f t="shared" ref="BE77:BL77" si="91">BE70-BE71-BE72-BE73-BE74-BE75-BE76</f>
        <v>2.4276500100000034</v>
      </c>
      <c r="BF77" s="6550">
        <f t="shared" si="91"/>
        <v>2.368638229999998</v>
      </c>
      <c r="BG77" s="6550">
        <f t="shared" si="91"/>
        <v>2.1425440999999985</v>
      </c>
      <c r="BH77" s="6550">
        <f t="shared" si="91"/>
        <v>2.1271383699999982</v>
      </c>
      <c r="BI77" s="6550">
        <f t="shared" si="91"/>
        <v>2.6869904999999958</v>
      </c>
      <c r="BJ77" s="6550">
        <f t="shared" si="91"/>
        <v>10.541177569999999</v>
      </c>
      <c r="BK77" s="6550">
        <f t="shared" si="91"/>
        <v>3.0278117800000013</v>
      </c>
      <c r="BL77" s="6550">
        <f t="shared" si="91"/>
        <v>2.4442593999999969</v>
      </c>
      <c r="BM77" s="6551">
        <f>BM70-BM71-BM72-BM73-BM74-BM75-BM76</f>
        <v>3.2308090200000024</v>
      </c>
      <c r="BN77" s="6551">
        <f>BN70-BN71-BN72-BN73-BN74-BN75-BN76</f>
        <v>3.06409223</v>
      </c>
      <c r="BO77" s="6551">
        <v>3.5180646599999998</v>
      </c>
      <c r="BP77" s="6552">
        <v>39.888880779999987</v>
      </c>
      <c r="BQ77" s="6551">
        <f t="shared" ref="BQ77:CB77" si="92">BQ70-BQ71-BQ72-BQ73-BQ74-BQ75-BQ76</f>
        <v>3.4385026499999949</v>
      </c>
      <c r="BR77" s="6553">
        <f t="shared" si="92"/>
        <v>2.0805387900000021</v>
      </c>
      <c r="BS77" s="6553">
        <f t="shared" si="92"/>
        <v>2.6634455699999995</v>
      </c>
      <c r="BT77" s="6553">
        <f t="shared" si="92"/>
        <v>2.4364969400000032</v>
      </c>
      <c r="BU77" s="6553">
        <f t="shared" si="92"/>
        <v>2.8368363199999989</v>
      </c>
      <c r="BV77" s="6553">
        <f t="shared" si="92"/>
        <v>2.9839588300000033</v>
      </c>
      <c r="BW77" s="6553">
        <f t="shared" si="92"/>
        <v>3.2396657200000005</v>
      </c>
      <c r="BX77" s="6553">
        <f t="shared" si="92"/>
        <v>2.4586343999999993</v>
      </c>
      <c r="BY77" s="6553">
        <f t="shared" si="92"/>
        <v>3.9162042100000054</v>
      </c>
      <c r="BZ77" s="6553">
        <f t="shared" si="92"/>
        <v>2.7178286599999972</v>
      </c>
      <c r="CA77" s="6553">
        <f t="shared" si="92"/>
        <v>2.8095896600000021</v>
      </c>
      <c r="CB77" s="6553">
        <f t="shared" si="92"/>
        <v>3.0634664399999991</v>
      </c>
      <c r="CC77" s="6554">
        <f t="shared" si="85"/>
        <v>3.0634664399999991</v>
      </c>
      <c r="CD77" s="6555">
        <f t="shared" si="86"/>
        <v>0</v>
      </c>
      <c r="CE77" s="6556">
        <f t="shared" si="90"/>
        <v>0.25387677999999703</v>
      </c>
      <c r="CF77" s="2834">
        <f t="shared" si="79"/>
        <v>-0.45459822000000072</v>
      </c>
      <c r="CG77" s="2834"/>
      <c r="CH77" s="6557">
        <f t="shared" si="80"/>
        <v>34.645168190000007</v>
      </c>
      <c r="CI77" s="6558">
        <f t="shared" si="81"/>
        <v>34.645168190000007</v>
      </c>
      <c r="CJ77" s="6559">
        <f t="shared" si="82"/>
        <v>0</v>
      </c>
      <c r="CK77" s="6560">
        <f t="shared" si="83"/>
        <v>-5.2437125899999799</v>
      </c>
      <c r="CL77" s="5138"/>
      <c r="CM77" s="2488"/>
      <c r="CN77" s="2505"/>
      <c r="CO77" s="2505"/>
      <c r="CP77" s="2505"/>
      <c r="CQ77" s="2505"/>
      <c r="CR77" s="2505"/>
      <c r="CS77" s="2505"/>
      <c r="CT77" s="2505"/>
      <c r="CU77" s="2505"/>
      <c r="CV77" s="2505"/>
      <c r="CW77" s="2505"/>
      <c r="CX77" s="2505"/>
      <c r="CY77" s="2505"/>
      <c r="CZ77" s="2505">
        <f t="shared" si="27"/>
        <v>0</v>
      </c>
      <c r="DB77" s="4439"/>
      <c r="DC77" s="4439"/>
      <c r="DF77" s="4439"/>
      <c r="DG77" s="4439"/>
    </row>
    <row r="78" spans="1:111" ht="3.55" customHeight="1" thickBot="1" x14ac:dyDescent="0.6">
      <c r="F78" s="6561"/>
      <c r="G78" s="2685"/>
      <c r="H78" s="2685"/>
      <c r="I78" s="2685"/>
      <c r="J78" s="2685"/>
      <c r="K78" s="2685"/>
      <c r="L78" s="2685"/>
      <c r="M78" s="2685"/>
      <c r="N78" s="2685"/>
      <c r="O78" s="2685"/>
      <c r="P78" s="2685"/>
      <c r="Q78" s="2685"/>
      <c r="R78" s="2685"/>
      <c r="S78" s="2685"/>
      <c r="T78" s="2685"/>
      <c r="U78" s="2685"/>
      <c r="V78" s="2685"/>
      <c r="W78" s="2685"/>
      <c r="X78" s="2685"/>
      <c r="Y78" s="2488"/>
      <c r="Z78" s="2505"/>
      <c r="AA78" s="2505"/>
      <c r="AB78" s="2505"/>
      <c r="AC78" s="2505"/>
      <c r="AD78" s="2505"/>
      <c r="AE78" s="2505"/>
      <c r="AF78" s="2505"/>
      <c r="AG78" s="2505"/>
      <c r="AH78" s="2505"/>
      <c r="AI78" s="2505"/>
      <c r="AJ78" s="2505"/>
      <c r="AK78" s="2505"/>
      <c r="AL78" s="2505"/>
      <c r="AM78" s="2488"/>
      <c r="AN78" s="2505"/>
      <c r="AO78" s="2505"/>
      <c r="AP78" s="6562"/>
      <c r="AQ78" s="6563"/>
      <c r="AR78" s="6563"/>
      <c r="AS78" s="6563"/>
      <c r="AT78" s="6563"/>
      <c r="AU78" s="6563"/>
      <c r="AV78" s="6563"/>
      <c r="AW78" s="6563"/>
      <c r="AX78" s="6563"/>
      <c r="AY78" s="6563"/>
      <c r="AZ78" s="6563"/>
      <c r="BA78" s="6563"/>
      <c r="BB78" s="6564"/>
      <c r="BC78" s="6565"/>
      <c r="BD78" s="2506"/>
      <c r="BE78" s="2506"/>
      <c r="BF78" s="2506"/>
      <c r="BG78" s="2506"/>
      <c r="BM78" s="2493"/>
      <c r="BP78" s="3216"/>
      <c r="BQ78" s="2506"/>
      <c r="BR78" s="6566"/>
      <c r="BS78" s="2506"/>
      <c r="BT78" s="6567"/>
      <c r="BZ78" s="2493"/>
      <c r="CL78" s="5138"/>
      <c r="DB78" s="4439"/>
      <c r="DC78" s="4439"/>
      <c r="DF78" s="4439"/>
      <c r="DG78" s="4439"/>
    </row>
    <row r="79" spans="1:111" ht="16.3" customHeight="1" thickBot="1" x14ac:dyDescent="0.6">
      <c r="A79" s="6568" t="s">
        <v>17</v>
      </c>
      <c r="B79" s="6569"/>
      <c r="C79" s="6569"/>
      <c r="D79" s="6569"/>
      <c r="E79" s="6570"/>
      <c r="F79" s="6571">
        <v>-5.4226714500000002</v>
      </c>
      <c r="G79" s="6571">
        <v>7.1744012599999998</v>
      </c>
      <c r="H79" s="6571">
        <v>-5.86121772</v>
      </c>
      <c r="I79" s="6571">
        <v>10.41782416</v>
      </c>
      <c r="J79" s="6571">
        <v>10.266653679999999</v>
      </c>
      <c r="K79" s="6571">
        <v>-9.3010731900000003</v>
      </c>
      <c r="L79" s="6571">
        <v>7.9770034799999996</v>
      </c>
      <c r="M79" s="6571">
        <v>20.234601349999998</v>
      </c>
      <c r="N79" s="6571">
        <v>-9.6026562200000001</v>
      </c>
      <c r="O79" s="6571">
        <v>21.0696963</v>
      </c>
      <c r="P79" s="6571">
        <v>11.38608501</v>
      </c>
      <c r="Q79" s="6572">
        <v>-41.058729200000002</v>
      </c>
      <c r="R79" s="6571">
        <v>-4.1011476099999999</v>
      </c>
      <c r="S79" s="6571">
        <v>5.1214214499999997</v>
      </c>
      <c r="T79" s="6571">
        <v>7.3486347700000003</v>
      </c>
      <c r="U79" s="6573">
        <v>2.0895699400000001</v>
      </c>
      <c r="V79" s="6571">
        <v>7.7974752000000001</v>
      </c>
      <c r="W79" s="6571">
        <v>7.1762969400000003</v>
      </c>
      <c r="X79" s="6571">
        <v>3.9856387199999999</v>
      </c>
      <c r="Y79" s="6571">
        <v>7.4974502599999999</v>
      </c>
      <c r="Z79" s="6571">
        <v>3.0991305900000001</v>
      </c>
      <c r="AA79" s="6571">
        <v>4.6262592400000004</v>
      </c>
      <c r="AB79" s="6571">
        <v>2.2243480199999999</v>
      </c>
      <c r="AC79" s="6571">
        <v>-1.50788827</v>
      </c>
      <c r="AD79" s="6574">
        <v>3.2384211999999972</v>
      </c>
      <c r="AE79" s="6571">
        <v>8.2412659700000006</v>
      </c>
      <c r="AF79" s="6571">
        <v>23.501746969999996</v>
      </c>
      <c r="AG79" s="6571">
        <v>7.4439980500000074</v>
      </c>
      <c r="AH79" s="6571">
        <v>19.689089800000009</v>
      </c>
      <c r="AI79" s="6571">
        <v>22.467643760000001</v>
      </c>
      <c r="AJ79" s="6575">
        <v>5.4361455099999914</v>
      </c>
      <c r="AK79" s="6575">
        <v>10.433726099999992</v>
      </c>
      <c r="AL79" s="6571">
        <v>1.9865304299999964</v>
      </c>
      <c r="AM79" s="6571">
        <v>14.667946840000004</v>
      </c>
      <c r="AN79" s="6571">
        <v>-30.041296179999947</v>
      </c>
      <c r="AO79" s="6571">
        <v>-10.841575079999984</v>
      </c>
      <c r="AP79" s="6572"/>
      <c r="AQ79" s="6576">
        <v>2.6141413100000079</v>
      </c>
      <c r="AR79" s="6577">
        <v>12.37289911000002</v>
      </c>
      <c r="AS79" s="6577">
        <v>11.354914839999992</v>
      </c>
      <c r="AT79" s="6577">
        <v>10.363979950000044</v>
      </c>
      <c r="AU79" s="6577">
        <v>16.504988499999882</v>
      </c>
      <c r="AV79" s="6577">
        <v>13.311008820000097</v>
      </c>
      <c r="AW79" s="6577">
        <v>7.8640986699999758</v>
      </c>
      <c r="AX79" s="6577">
        <v>34.939480540000005</v>
      </c>
      <c r="AY79" s="6577">
        <v>2.1125077200000248</v>
      </c>
      <c r="AZ79" s="6577">
        <v>23.662705450000203</v>
      </c>
      <c r="BA79" s="6577">
        <v>-29.675148770000078</v>
      </c>
      <c r="BB79" s="6577">
        <v>-14.958755230000065</v>
      </c>
      <c r="BC79" s="6578">
        <v>90.466820910000109</v>
      </c>
      <c r="BD79" s="6579">
        <v>16.466671010000027</v>
      </c>
      <c r="BE79" s="6580">
        <v>16.881195769999948</v>
      </c>
      <c r="BF79" s="6580">
        <v>32.625952280000092</v>
      </c>
      <c r="BG79" s="6580">
        <v>27.373358809999985</v>
      </c>
      <c r="BH79" s="6580">
        <v>15.700973959999999</v>
      </c>
      <c r="BI79" s="6580">
        <v>0.99110638000001927</v>
      </c>
      <c r="BJ79" s="6580">
        <v>21.132219839999976</v>
      </c>
      <c r="BK79" s="6580">
        <v>3.62297994</v>
      </c>
      <c r="BL79" s="6580">
        <v>18.037906030000016</v>
      </c>
      <c r="BM79" s="6580">
        <v>-1.62381084</v>
      </c>
      <c r="BN79" s="6580">
        <v>2.0338100099999963</v>
      </c>
      <c r="BO79" s="6580">
        <v>-8.5543905799999997</v>
      </c>
      <c r="BP79" s="6581">
        <v>144.68797261000006</v>
      </c>
      <c r="BQ79" s="6580">
        <f t="shared" ref="BQ79:CB79" si="93">BQ5-BQ7-BQ55</f>
        <v>-3.9623293499998908</v>
      </c>
      <c r="BR79" s="6580">
        <f t="shared" si="93"/>
        <v>46.64225362000002</v>
      </c>
      <c r="BS79" s="6580">
        <f t="shared" si="93"/>
        <v>20.152693190000065</v>
      </c>
      <c r="BT79" s="6580">
        <f t="shared" si="93"/>
        <v>24.687534059999933</v>
      </c>
      <c r="BU79" s="6580">
        <f t="shared" si="93"/>
        <v>34.214966000000032</v>
      </c>
      <c r="BV79" s="6580">
        <f t="shared" si="93"/>
        <v>25.011958040000138</v>
      </c>
      <c r="BW79" s="6580">
        <f t="shared" si="93"/>
        <v>41.431333010000003</v>
      </c>
      <c r="BX79" s="6580">
        <f t="shared" si="93"/>
        <v>3.2229067300000054</v>
      </c>
      <c r="BY79" s="6580">
        <f t="shared" si="93"/>
        <v>20.448268369999965</v>
      </c>
      <c r="BZ79" s="6580">
        <f t="shared" si="93"/>
        <v>-18.306896800000004</v>
      </c>
      <c r="CA79" s="6580">
        <f t="shared" si="93"/>
        <v>-8.2478817399999684</v>
      </c>
      <c r="CB79" s="6580">
        <f t="shared" si="93"/>
        <v>-21.863471919999967</v>
      </c>
      <c r="CC79" s="6582">
        <f>HLOOKUP($E$2,$BQ$2:$CB$505,ROW()-1,0)-HLOOKUP($E$2,$CN$2:$CY$412,ROW()-1,0)</f>
        <v>-21.863471919999967</v>
      </c>
      <c r="CD79" s="6583"/>
      <c r="CE79" s="6584">
        <f>CB79-CA79</f>
        <v>-13.615590179999998</v>
      </c>
      <c r="CF79" s="2786">
        <f t="shared" ref="CF79:CF84" si="94">HLOOKUP($E$2,$BQ$2:$CB$505,ROW()-1,0)-HLOOKUP($E$2,$BD$2:$BO$412,ROW()-1,0)</f>
        <v>-13.309081339999967</v>
      </c>
      <c r="CG79" s="2786"/>
      <c r="CH79" s="6585">
        <f>SUM(BQ79:CB79)</f>
        <v>163.43133321000033</v>
      </c>
      <c r="CI79" s="6586">
        <f>CH79-SUM(CN79:CO79)</f>
        <v>163.43133321000033</v>
      </c>
      <c r="CJ79" s="6587">
        <f>IFERROR(CH79/SUM(CN79:CO79),0)</f>
        <v>0</v>
      </c>
      <c r="CK79" s="6588">
        <f t="shared" ref="CK79:CK89" si="95">CH79-SUM(BD79:BO79)</f>
        <v>18.743360600000273</v>
      </c>
      <c r="CL79" s="5138"/>
      <c r="CM79" s="2488"/>
      <c r="CN79" s="2784"/>
      <c r="CO79" s="2784"/>
      <c r="CP79" s="2784"/>
      <c r="CQ79" s="2784"/>
      <c r="CR79" s="2784"/>
      <c r="CS79" s="2784"/>
      <c r="CT79" s="2784"/>
      <c r="CU79" s="2784"/>
      <c r="CV79" s="2784"/>
      <c r="CW79" s="2784"/>
      <c r="CX79" s="2784"/>
      <c r="CY79" s="2784"/>
      <c r="CZ79" s="2785">
        <f t="shared" si="27"/>
        <v>0</v>
      </c>
      <c r="DB79" s="4439"/>
      <c r="DC79" s="4439"/>
      <c r="DF79" s="4439"/>
      <c r="DG79" s="4439"/>
    </row>
    <row r="80" spans="1:111" x14ac:dyDescent="0.55000000000000004">
      <c r="A80" s="6589"/>
      <c r="B80" s="6590" t="s">
        <v>19</v>
      </c>
      <c r="C80" s="6591"/>
      <c r="D80" s="6591"/>
      <c r="E80" s="6591"/>
      <c r="F80" s="6592">
        <v>-13.741713113866396</v>
      </c>
      <c r="G80" s="6593">
        <v>1.2177176834127474</v>
      </c>
      <c r="H80" s="6593">
        <v>-10.56160245978004</v>
      </c>
      <c r="I80" s="6593">
        <v>-2.1190571046691216</v>
      </c>
      <c r="J80" s="6593">
        <v>-4.0250099973201987</v>
      </c>
      <c r="K80" s="6593">
        <v>-18.746857254730347</v>
      </c>
      <c r="L80" s="6593">
        <v>-3.519791622019838</v>
      </c>
      <c r="M80" s="6593">
        <v>15.183379765808544</v>
      </c>
      <c r="N80" s="6593">
        <v>-16.029694667844442</v>
      </c>
      <c r="O80" s="6593">
        <v>2.5484389072509712</v>
      </c>
      <c r="P80" s="6593">
        <v>-2.4293552842058741</v>
      </c>
      <c r="Q80" s="6594">
        <v>-26.513453089042095</v>
      </c>
      <c r="R80" s="6593">
        <v>-6.766605187842468</v>
      </c>
      <c r="S80" s="6593">
        <v>-1.3366847045584773</v>
      </c>
      <c r="T80" s="6593">
        <v>3.6848657912629532</v>
      </c>
      <c r="U80" s="6593">
        <v>-6.3383246184061885</v>
      </c>
      <c r="V80" s="6593">
        <v>-3.110529946562643</v>
      </c>
      <c r="W80" s="6593">
        <v>0.80899758859209414</v>
      </c>
      <c r="X80" s="6593">
        <v>-0.52299296572851395</v>
      </c>
      <c r="Y80" s="6593">
        <v>8.1675519378861665</v>
      </c>
      <c r="Z80" s="6593">
        <v>-1.9629168583046401</v>
      </c>
      <c r="AA80" s="6593">
        <v>3.6219929679787226</v>
      </c>
      <c r="AB80" s="6593">
        <v>2.8772711783574385</v>
      </c>
      <c r="AC80" s="6593">
        <v>1.152024381337905</v>
      </c>
      <c r="AD80" s="6592">
        <v>-0.51126856879436255</v>
      </c>
      <c r="AE80" s="6593">
        <v>6.6266615685142281</v>
      </c>
      <c r="AF80" s="6593">
        <v>11.125082931895991</v>
      </c>
      <c r="AG80" s="6593">
        <v>-3.8826643030410026</v>
      </c>
      <c r="AH80" s="6593">
        <v>8.008748856886923</v>
      </c>
      <c r="AI80" s="6593">
        <v>-1.8509910739717985</v>
      </c>
      <c r="AJ80" s="6593">
        <v>-12.870427556426</v>
      </c>
      <c r="AK80" s="6593">
        <v>9.6521663287015294</v>
      </c>
      <c r="AL80" s="6593">
        <v>-8.0001140848030197</v>
      </c>
      <c r="AM80" s="6593">
        <v>6.5764013812678197</v>
      </c>
      <c r="AN80" s="6593">
        <v>-31.555112936687298</v>
      </c>
      <c r="AO80" s="6593">
        <v>-14.7988894295259</v>
      </c>
      <c r="AP80" s="6594"/>
      <c r="AQ80" s="6595">
        <v>-2.4865971917097873</v>
      </c>
      <c r="AR80" s="6596">
        <v>16.863873545639645</v>
      </c>
      <c r="AS80" s="6596">
        <v>8.7412195895893756</v>
      </c>
      <c r="AT80" s="6596">
        <v>3.6377682302271532</v>
      </c>
      <c r="AU80" s="6596">
        <v>15.464196511231293</v>
      </c>
      <c r="AV80" s="6596">
        <v>13.677927319858384</v>
      </c>
      <c r="AW80" s="6596">
        <v>-4.1613884664527188</v>
      </c>
      <c r="AX80" s="6596">
        <v>46.003314943790471</v>
      </c>
      <c r="AY80" s="6596">
        <v>-14.532940217525116</v>
      </c>
      <c r="AZ80" s="6596">
        <v>19.530456867603625</v>
      </c>
      <c r="BA80" s="6596">
        <v>-31.362217322552333</v>
      </c>
      <c r="BB80" s="6596">
        <v>-6.8309033880481174</v>
      </c>
      <c r="BC80" s="6597">
        <v>64.544710421651871</v>
      </c>
      <c r="BD80" s="6598">
        <f>BD108</f>
        <v>10.599674436788506</v>
      </c>
      <c r="BE80" s="6599">
        <f t="shared" ref="BE80:BM80" si="96">BE108</f>
        <v>10.59015720765608</v>
      </c>
      <c r="BF80" s="6599">
        <f t="shared" si="96"/>
        <v>19.143342551522174</v>
      </c>
      <c r="BG80" s="6599">
        <f t="shared" si="96"/>
        <v>3.8117258169239889</v>
      </c>
      <c r="BH80" s="6599">
        <f t="shared" si="96"/>
        <v>11.140804062993316</v>
      </c>
      <c r="BI80" s="6599">
        <f t="shared" si="96"/>
        <v>-5.3074165408016754</v>
      </c>
      <c r="BJ80" s="6599">
        <f t="shared" si="96"/>
        <v>21.608443562902071</v>
      </c>
      <c r="BK80" s="6599">
        <f t="shared" si="96"/>
        <v>-6.4021072199931659</v>
      </c>
      <c r="BL80" s="6599">
        <f t="shared" si="96"/>
        <v>-12.163202378626508</v>
      </c>
      <c r="BM80" s="6599">
        <f t="shared" si="96"/>
        <v>-9.9498159834150464</v>
      </c>
      <c r="BN80" s="6599">
        <f>BN108</f>
        <v>-11.1537898204672</v>
      </c>
      <c r="BO80" s="6599">
        <f>BO108</f>
        <v>-8.0349404720068751</v>
      </c>
      <c r="BP80" s="6600">
        <v>23.882875223475665</v>
      </c>
      <c r="BQ80" s="6601">
        <f t="shared" ref="BQ80:CB80" si="97">BQ108</f>
        <v>-18.295066779738942</v>
      </c>
      <c r="BR80" s="6601">
        <f t="shared" si="97"/>
        <v>34.361785092111376</v>
      </c>
      <c r="BS80" s="6601">
        <f t="shared" si="97"/>
        <v>11.391866476265804</v>
      </c>
      <c r="BT80" s="6601">
        <f t="shared" si="97"/>
        <v>16.529726748202631</v>
      </c>
      <c r="BU80" s="6601">
        <f t="shared" si="97"/>
        <v>36.827465569778163</v>
      </c>
      <c r="BV80" s="6601">
        <f t="shared" si="97"/>
        <v>-2.2899241677573894</v>
      </c>
      <c r="BW80" s="6601">
        <f t="shared" si="97"/>
        <v>29.869226999718901</v>
      </c>
      <c r="BX80" s="6601">
        <f t="shared" si="97"/>
        <v>3.1552801625569344</v>
      </c>
      <c r="BY80" s="6601">
        <f t="shared" si="97"/>
        <v>-1.3464367102259809</v>
      </c>
      <c r="BZ80" s="6601">
        <f t="shared" si="97"/>
        <v>-27.243653360345576</v>
      </c>
      <c r="CA80" s="6601">
        <f t="shared" si="97"/>
        <v>-15.846262022655498</v>
      </c>
      <c r="CB80" s="6601">
        <f t="shared" si="97"/>
        <v>-17.587660156621677</v>
      </c>
      <c r="CC80" s="6602"/>
      <c r="CD80" s="6603"/>
      <c r="CE80" s="6604">
        <f t="shared" si="90"/>
        <v>-1.7413981339661788</v>
      </c>
      <c r="CF80" s="6605">
        <f t="shared" si="94"/>
        <v>-9.5527196846148019</v>
      </c>
      <c r="CG80" s="6605"/>
      <c r="CH80" s="6606">
        <f t="shared" ref="CH80:CH89" si="98">SUM(BQ80:CB80)</f>
        <v>49.526347851288747</v>
      </c>
      <c r="CI80" s="6607"/>
      <c r="CJ80" s="6603"/>
      <c r="CK80" s="6608">
        <f t="shared" si="95"/>
        <v>25.643472627813082</v>
      </c>
      <c r="CL80" s="5138"/>
      <c r="CM80" s="2488"/>
      <c r="CN80" s="2488"/>
      <c r="CO80" s="2488"/>
      <c r="CP80" s="2488"/>
      <c r="CQ80" s="2488"/>
      <c r="CR80" s="2488"/>
      <c r="CS80" s="2488"/>
      <c r="CT80" s="2488"/>
      <c r="CU80" s="2488"/>
      <c r="CV80" s="2488"/>
      <c r="CW80" s="2488"/>
      <c r="CX80" s="2488"/>
      <c r="CY80" s="2488"/>
      <c r="CZ80" s="2488"/>
      <c r="DB80" s="4439"/>
      <c r="DC80" s="4439"/>
      <c r="DF80" s="4439"/>
      <c r="DG80" s="4439"/>
    </row>
    <row r="81" spans="1:111" x14ac:dyDescent="0.55000000000000004">
      <c r="A81" s="6472"/>
      <c r="B81" s="5076" t="s">
        <v>20</v>
      </c>
      <c r="F81" s="6154">
        <v>10.228244440282447</v>
      </c>
      <c r="G81" s="6155">
        <v>5.3462381322578345</v>
      </c>
      <c r="H81" s="6155">
        <v>6.4217244128019777</v>
      </c>
      <c r="I81" s="6155">
        <v>12.297980324930039</v>
      </c>
      <c r="J81" s="6155">
        <v>15.670920444371538</v>
      </c>
      <c r="K81" s="6155">
        <v>8.4672895288001602</v>
      </c>
      <c r="L81" s="6155">
        <v>9.0232164075180954</v>
      </c>
      <c r="M81" s="6155">
        <v>4.143773640688754</v>
      </c>
      <c r="N81" s="6155">
        <v>6.8783388513118551</v>
      </c>
      <c r="O81" s="6155">
        <v>16.273520387979882</v>
      </c>
      <c r="P81" s="6155">
        <v>12.80539495679251</v>
      </c>
      <c r="Q81" s="6156">
        <v>-2.71830036306477</v>
      </c>
      <c r="R81" s="6155">
        <v>3.0982039065661446</v>
      </c>
      <c r="S81" s="6155">
        <v>7.2438211840296427</v>
      </c>
      <c r="T81" s="6155">
        <v>-9.6033968637304568E-2</v>
      </c>
      <c r="U81" s="6155">
        <v>7.8899158064405812</v>
      </c>
      <c r="V81" s="6155">
        <v>9.9983949885881813</v>
      </c>
      <c r="W81" s="6155">
        <v>7.0013730625476667</v>
      </c>
      <c r="X81" s="6155">
        <v>4.0922998297469197</v>
      </c>
      <c r="Y81" s="6155">
        <v>0.33992385917567908</v>
      </c>
      <c r="Z81" s="6155">
        <v>7.1140935215959358</v>
      </c>
      <c r="AA81" s="6155">
        <v>1.0396129433859937</v>
      </c>
      <c r="AB81" s="6155">
        <v>2.9947986117892249</v>
      </c>
      <c r="AC81" s="6155">
        <v>-0.53049619421405403</v>
      </c>
      <c r="AD81" s="6154">
        <v>1.0658377306843532</v>
      </c>
      <c r="AE81" s="6155">
        <v>0.77263878660300733</v>
      </c>
      <c r="AF81" s="6155">
        <v>7.2501284310423149</v>
      </c>
      <c r="AG81" s="6155">
        <v>7.9434021758027669</v>
      </c>
      <c r="AH81" s="6155">
        <v>8.2221046846768377</v>
      </c>
      <c r="AI81" s="6155">
        <v>21.082983204198865</v>
      </c>
      <c r="AJ81" s="6155">
        <v>17.315732585432002</v>
      </c>
      <c r="AK81" s="6155">
        <v>2.2520989250618602</v>
      </c>
      <c r="AL81" s="6155">
        <v>7.6381859957628295</v>
      </c>
      <c r="AM81" s="6155">
        <v>4.9737754829937293</v>
      </c>
      <c r="AN81" s="6155">
        <v>2.46349378938474</v>
      </c>
      <c r="AO81" s="6157">
        <v>8.8861575998537798</v>
      </c>
      <c r="AP81" s="6156"/>
      <c r="AQ81" s="6158">
        <v>3.3495094888475547</v>
      </c>
      <c r="AR81" s="6159">
        <v>-3.5328889770966114</v>
      </c>
      <c r="AS81" s="6159">
        <v>-1.5637827930574897</v>
      </c>
      <c r="AT81" s="6159">
        <v>6.0888672722938182</v>
      </c>
      <c r="AU81" s="6159">
        <v>2.1924339017970436</v>
      </c>
      <c r="AV81" s="6159">
        <v>-2.5313822574605904</v>
      </c>
      <c r="AW81" s="6159">
        <v>10.055429561359166</v>
      </c>
      <c r="AX81" s="6159">
        <v>-9.7221004933971642</v>
      </c>
      <c r="AY81" s="6159">
        <v>12.886122195423118</v>
      </c>
      <c r="AZ81" s="6159">
        <v>0.4408754823698704</v>
      </c>
      <c r="BA81" s="6159">
        <v>1.2201085615672582</v>
      </c>
      <c r="BB81" s="6159">
        <v>-5.4102429990188554</v>
      </c>
      <c r="BC81" s="6160">
        <v>13.472948943627117</v>
      </c>
      <c r="BD81" s="2789">
        <f>BD126</f>
        <v>5.1388653668093438</v>
      </c>
      <c r="BE81" s="2790">
        <f t="shared" ref="BE81:BM81" si="99">BE126</f>
        <v>7.8009544691400396</v>
      </c>
      <c r="BF81" s="2790">
        <f t="shared" si="99"/>
        <v>9.8003928996034411</v>
      </c>
      <c r="BG81" s="2790">
        <f>BG126</f>
        <v>6.391802270587827</v>
      </c>
      <c r="BH81" s="2790">
        <f t="shared" si="99"/>
        <v>-2.8489680670668793</v>
      </c>
      <c r="BI81" s="2790">
        <f t="shared" si="99"/>
        <v>-6.0562523448652481</v>
      </c>
      <c r="BJ81" s="2790">
        <f t="shared" si="99"/>
        <v>4.1689742960578045</v>
      </c>
      <c r="BK81" s="2790">
        <f t="shared" si="99"/>
        <v>3.9159821815471325</v>
      </c>
      <c r="BL81" s="2790">
        <f t="shared" si="99"/>
        <v>12.204343616314599</v>
      </c>
      <c r="BM81" s="2790">
        <f t="shared" si="99"/>
        <v>-2.2668962428019599</v>
      </c>
      <c r="BN81" s="2790">
        <f>BN126</f>
        <v>8.7477696342319149</v>
      </c>
      <c r="BO81" s="2790">
        <f>BO126</f>
        <v>1.9399258010636395</v>
      </c>
      <c r="BP81" s="6475">
        <v>48.936893880621646</v>
      </c>
      <c r="BQ81" s="6082">
        <f t="shared" ref="BQ81:BR81" si="100">BQ126</f>
        <v>10.400605556515302</v>
      </c>
      <c r="BR81" s="6082">
        <f t="shared" si="100"/>
        <v>-1.283953336120522</v>
      </c>
      <c r="BS81" s="6082">
        <f t="shared" ref="BS81:CB81" si="101">BS126</f>
        <v>5.7066022764471258</v>
      </c>
      <c r="BT81" s="6082">
        <f t="shared" si="101"/>
        <v>5.5789361155570818</v>
      </c>
      <c r="BU81" s="6082">
        <f t="shared" si="101"/>
        <v>3.9745495617708571E-2</v>
      </c>
      <c r="BV81" s="6082">
        <f t="shared" si="101"/>
        <v>11.11780571335116</v>
      </c>
      <c r="BW81" s="6082">
        <f t="shared" si="101"/>
        <v>3.9280228807531898</v>
      </c>
      <c r="BX81" s="6082">
        <f t="shared" si="101"/>
        <v>-5.4545131547366612</v>
      </c>
      <c r="BY81" s="6082">
        <f t="shared" si="101"/>
        <v>6.0505012123430273</v>
      </c>
      <c r="BZ81" s="6082">
        <f t="shared" si="101"/>
        <v>-5.2185853730272767</v>
      </c>
      <c r="CA81" s="6082">
        <f t="shared" si="101"/>
        <v>-5.3573387273088589</v>
      </c>
      <c r="CB81" s="6082">
        <f t="shared" si="101"/>
        <v>3.6545042139473374</v>
      </c>
      <c r="CC81" s="6609"/>
      <c r="CD81" s="2792"/>
      <c r="CE81" s="6166">
        <f t="shared" si="90"/>
        <v>9.0118429412561962</v>
      </c>
      <c r="CF81" s="2509">
        <f t="shared" si="94"/>
        <v>1.7145784128836978</v>
      </c>
      <c r="CG81" s="2509"/>
      <c r="CH81" s="6288">
        <f t="shared" si="98"/>
        <v>29.16233287333861</v>
      </c>
      <c r="CI81" s="6610"/>
      <c r="CJ81" s="2792"/>
      <c r="CK81" s="6476">
        <f t="shared" si="95"/>
        <v>-19.774561007283037</v>
      </c>
      <c r="CL81" s="5138"/>
      <c r="CM81" s="2488"/>
      <c r="CN81" s="2488"/>
      <c r="CO81" s="2488"/>
      <c r="CP81" s="2488"/>
      <c r="CQ81" s="2488"/>
      <c r="CR81" s="2488"/>
      <c r="CS81" s="2488"/>
      <c r="CT81" s="2488"/>
      <c r="CU81" s="2488"/>
      <c r="CV81" s="2488"/>
      <c r="CW81" s="2488"/>
      <c r="CX81" s="2488"/>
      <c r="CY81" s="2488"/>
      <c r="CZ81" s="2488"/>
      <c r="DB81" s="4439"/>
      <c r="DC81" s="4439"/>
      <c r="DF81" s="4439"/>
      <c r="DG81" s="4439"/>
    </row>
    <row r="82" spans="1:111" x14ac:dyDescent="0.55000000000000004">
      <c r="A82" s="6472"/>
      <c r="B82" s="5076" t="s">
        <v>948</v>
      </c>
      <c r="F82" s="6154">
        <v>-9.3148496219172774E-2</v>
      </c>
      <c r="G82" s="6155">
        <v>-2.6743721827377072</v>
      </c>
      <c r="H82" s="6155">
        <v>-2.1573634922040767</v>
      </c>
      <c r="I82" s="6155">
        <v>0.73727152743928293</v>
      </c>
      <c r="J82" s="6155">
        <v>1.26690180553402</v>
      </c>
      <c r="K82" s="6155">
        <v>-0.13911825103508971</v>
      </c>
      <c r="L82" s="6155">
        <v>0.86206011698010754</v>
      </c>
      <c r="M82" s="6155">
        <v>-0.98747772735312656</v>
      </c>
      <c r="N82" s="6155">
        <v>-0.89444412269478335</v>
      </c>
      <c r="O82" s="6155">
        <v>1.313845125956469</v>
      </c>
      <c r="P82" s="6155">
        <v>-1.157410437054019</v>
      </c>
      <c r="Q82" s="6156">
        <v>-3.6562027946760525</v>
      </c>
      <c r="R82" s="6155">
        <v>0.63048490079719188</v>
      </c>
      <c r="S82" s="6155">
        <v>0.27290147628457895</v>
      </c>
      <c r="T82" s="6155">
        <v>2.38374725131135</v>
      </c>
      <c r="U82" s="6155">
        <v>-2.7115345482401253E-2</v>
      </c>
      <c r="V82" s="6155">
        <v>0.13210294821928911</v>
      </c>
      <c r="W82" s="6155">
        <v>-0.23672726253612503</v>
      </c>
      <c r="X82" s="6155">
        <v>-4.3393298371787521E-2</v>
      </c>
      <c r="Y82" s="6155">
        <v>-0.9759639326273194</v>
      </c>
      <c r="Z82" s="6155">
        <v>-0.21589375458594798</v>
      </c>
      <c r="AA82" s="6155">
        <v>1.6373519189214447</v>
      </c>
      <c r="AB82" s="6155">
        <v>-1.3083073727582839</v>
      </c>
      <c r="AC82" s="6155">
        <v>0.12362793722402393</v>
      </c>
      <c r="AD82" s="6154">
        <v>1.5630742269750961</v>
      </c>
      <c r="AE82" s="6155">
        <v>0.64997459365005705</v>
      </c>
      <c r="AF82" s="6155">
        <v>4.2993709159698819</v>
      </c>
      <c r="AG82" s="6155">
        <v>2.1584172820466594</v>
      </c>
      <c r="AH82" s="6155">
        <v>2.0287134964590701</v>
      </c>
      <c r="AI82" s="6155">
        <v>1.4475061298015734</v>
      </c>
      <c r="AJ82" s="6155">
        <v>0.89054087462371634</v>
      </c>
      <c r="AK82" s="6155">
        <v>-0.51996689218074454</v>
      </c>
      <c r="AL82" s="6155">
        <v>2.0298073779630594</v>
      </c>
      <c r="AM82" s="6155">
        <v>1.9882466367297429</v>
      </c>
      <c r="AN82" s="6155">
        <v>0.32675667328810132</v>
      </c>
      <c r="AO82" s="6157">
        <v>-2.762529229720136</v>
      </c>
      <c r="AP82" s="6156"/>
      <c r="AQ82" s="6158">
        <v>0.78469619264848978</v>
      </c>
      <c r="AR82" s="6159">
        <v>-1.2221504791790054</v>
      </c>
      <c r="AS82" s="6159">
        <v>3.4039179675585376</v>
      </c>
      <c r="AT82" s="6159">
        <v>0.27353711151211169</v>
      </c>
      <c r="AU82" s="6159">
        <v>5.5556863281973401E-2</v>
      </c>
      <c r="AV82" s="6159">
        <v>2.6270555680646881</v>
      </c>
      <c r="AW82" s="6159">
        <v>1.2862984462317604</v>
      </c>
      <c r="AX82" s="6159">
        <v>5.7314307837990075E-2</v>
      </c>
      <c r="AY82" s="6159">
        <v>3.9924241319515579</v>
      </c>
      <c r="AZ82" s="6159">
        <v>1.5131723841591156</v>
      </c>
      <c r="BA82" s="6159">
        <v>0.89556682460469972</v>
      </c>
      <c r="BB82" s="6159">
        <v>-1.6844151657804178</v>
      </c>
      <c r="BC82" s="6160">
        <v>11.982974152891501</v>
      </c>
      <c r="BD82" s="2789">
        <f>BD144</f>
        <v>3.1253146377582643</v>
      </c>
      <c r="BE82" s="2790">
        <f t="shared" ref="BE82:BM82" si="102">BE144</f>
        <v>2.7333906599460551</v>
      </c>
      <c r="BF82" s="2790">
        <f t="shared" si="102"/>
        <v>3.6472784727790102</v>
      </c>
      <c r="BG82" s="2790">
        <f t="shared" si="102"/>
        <v>2.1020135052927573</v>
      </c>
      <c r="BH82" s="2790">
        <f t="shared" si="102"/>
        <v>2.1612044484699653</v>
      </c>
      <c r="BI82" s="2790">
        <f t="shared" si="102"/>
        <v>1.8080794399743307</v>
      </c>
      <c r="BJ82" s="2790">
        <f t="shared" si="102"/>
        <v>2.7242758740850674</v>
      </c>
      <c r="BK82" s="2790">
        <f t="shared" si="102"/>
        <v>0.93480314936228881</v>
      </c>
      <c r="BL82" s="2790">
        <f t="shared" si="102"/>
        <v>3.6787974286770559</v>
      </c>
      <c r="BM82" s="2790">
        <f t="shared" si="102"/>
        <v>2.5442226617933494</v>
      </c>
      <c r="BN82" s="2790">
        <f>BN144</f>
        <v>2.0726069634121687</v>
      </c>
      <c r="BO82" s="2790">
        <f>BO144</f>
        <v>2.2974416429260653</v>
      </c>
      <c r="BP82" s="6475">
        <v>29.829428884476378</v>
      </c>
      <c r="BQ82" s="6082">
        <f t="shared" ref="BQ82:BR82" si="103">BQ144</f>
        <v>5.1919827007767143</v>
      </c>
      <c r="BR82" s="6082">
        <f t="shared" si="103"/>
        <v>-1.3236918023909765</v>
      </c>
      <c r="BS82" s="6082">
        <f t="shared" ref="BS82:CD82" si="104">BS144</f>
        <v>1.5846611752871356</v>
      </c>
      <c r="BT82" s="6082">
        <f t="shared" si="104"/>
        <v>1.8888801238403676</v>
      </c>
      <c r="BU82" s="6082">
        <f t="shared" si="104"/>
        <v>0.22504437500412822</v>
      </c>
      <c r="BV82" s="6082">
        <f t="shared" si="104"/>
        <v>6.220161420406189</v>
      </c>
      <c r="BW82" s="6082">
        <f t="shared" si="104"/>
        <v>4.4982364027279189</v>
      </c>
      <c r="BX82" s="6082">
        <f t="shared" si="104"/>
        <v>4.8514697981797523</v>
      </c>
      <c r="BY82" s="6082">
        <f t="shared" si="104"/>
        <v>8.3841179802830119</v>
      </c>
      <c r="BZ82" s="6082">
        <f t="shared" si="104"/>
        <v>15.911146059727248</v>
      </c>
      <c r="CA82" s="6082">
        <f t="shared" si="104"/>
        <v>5.5496322559588549</v>
      </c>
      <c r="CB82" s="6082">
        <f t="shared" si="104"/>
        <v>14.545816018263951</v>
      </c>
      <c r="CC82" s="6082">
        <f t="shared" si="104"/>
        <v>0</v>
      </c>
      <c r="CD82" s="6082">
        <f t="shared" si="104"/>
        <v>0</v>
      </c>
      <c r="CE82" s="6166">
        <f t="shared" si="90"/>
        <v>8.9961837623050958</v>
      </c>
      <c r="CF82" s="2509">
        <f t="shared" si="94"/>
        <v>12.248374375337885</v>
      </c>
      <c r="CG82" s="2509"/>
      <c r="CH82" s="6288">
        <f t="shared" si="98"/>
        <v>67.52745650806429</v>
      </c>
      <c r="CI82" s="6610"/>
      <c r="CJ82" s="2792"/>
      <c r="CK82" s="6476">
        <f t="shared" si="95"/>
        <v>37.698027623587912</v>
      </c>
      <c r="CL82" s="5138"/>
      <c r="CM82" s="2488"/>
      <c r="CN82" s="2488"/>
      <c r="CO82" s="2488"/>
      <c r="CP82" s="2488"/>
      <c r="CQ82" s="2488"/>
      <c r="CR82" s="2488"/>
      <c r="CS82" s="2488"/>
      <c r="CT82" s="2488"/>
      <c r="CU82" s="2488"/>
      <c r="CV82" s="2488"/>
      <c r="CW82" s="2488"/>
      <c r="CX82" s="2488"/>
      <c r="CY82" s="2488"/>
      <c r="CZ82" s="2488"/>
      <c r="DB82" s="4439"/>
      <c r="DC82" s="4439"/>
      <c r="DF82" s="4439"/>
      <c r="DG82" s="4439"/>
    </row>
    <row r="83" spans="1:111" x14ac:dyDescent="0.55000000000000004">
      <c r="A83" s="6472"/>
      <c r="B83" s="5076" t="s">
        <v>1019</v>
      </c>
      <c r="F83" s="6154"/>
      <c r="G83" s="6155"/>
      <c r="H83" s="6155"/>
      <c r="I83" s="6155"/>
      <c r="J83" s="6155"/>
      <c r="K83" s="6155"/>
      <c r="L83" s="6155"/>
      <c r="M83" s="6155"/>
      <c r="N83" s="6155"/>
      <c r="O83" s="6155"/>
      <c r="P83" s="6155"/>
      <c r="Q83" s="6156"/>
      <c r="R83" s="6155"/>
      <c r="S83" s="6155"/>
      <c r="T83" s="6155"/>
      <c r="U83" s="6155"/>
      <c r="V83" s="6155"/>
      <c r="W83" s="6155"/>
      <c r="X83" s="6155"/>
      <c r="Y83" s="6155"/>
      <c r="Z83" s="6155"/>
      <c r="AA83" s="6155"/>
      <c r="AB83" s="6155"/>
      <c r="AC83" s="6155"/>
      <c r="AD83" s="6154"/>
      <c r="AE83" s="6155"/>
      <c r="AF83" s="6155"/>
      <c r="AG83" s="6155"/>
      <c r="AH83" s="6155"/>
      <c r="AI83" s="6155"/>
      <c r="AJ83" s="6155"/>
      <c r="AK83" s="6155"/>
      <c r="AL83" s="6155"/>
      <c r="AM83" s="6155"/>
      <c r="AN83" s="6155"/>
      <c r="AO83" s="6157"/>
      <c r="AP83" s="6156"/>
      <c r="AQ83" s="6158"/>
      <c r="AR83" s="6159"/>
      <c r="AS83" s="6159"/>
      <c r="AT83" s="6159"/>
      <c r="AU83" s="6159"/>
      <c r="AV83" s="6159"/>
      <c r="AW83" s="6159"/>
      <c r="AX83" s="6159"/>
      <c r="AY83" s="6159"/>
      <c r="AZ83" s="6159"/>
      <c r="BA83" s="6159"/>
      <c r="BB83" s="6159"/>
      <c r="BC83" s="6160"/>
      <c r="BD83" s="2790"/>
      <c r="BE83" s="2790"/>
      <c r="BF83" s="2790"/>
      <c r="BG83" s="2790"/>
      <c r="BH83" s="2790"/>
      <c r="BI83" s="2790"/>
      <c r="BJ83" s="2790"/>
      <c r="BK83" s="2790"/>
      <c r="BL83" s="2790"/>
      <c r="BM83" s="2790"/>
      <c r="BN83" s="2790"/>
      <c r="BO83" s="2790"/>
      <c r="BP83" s="6475"/>
      <c r="BQ83" s="6082">
        <f t="shared" ref="BQ83:CB83" si="105">BQ157</f>
        <v>-4.1804479461800605</v>
      </c>
      <c r="BR83" s="6082">
        <f t="shared" si="105"/>
        <v>-1.6603434504098429</v>
      </c>
      <c r="BS83" s="6082">
        <f t="shared" si="105"/>
        <v>-3.0069197009757249</v>
      </c>
      <c r="BT83" s="6082">
        <f t="shared" si="105"/>
        <v>-5.7874243047900924</v>
      </c>
      <c r="BU83" s="6082">
        <f t="shared" si="105"/>
        <v>-5.7833196762178662</v>
      </c>
      <c r="BV83" s="6082">
        <f t="shared" si="105"/>
        <v>-2.630973999323007</v>
      </c>
      <c r="BW83" s="6082">
        <f t="shared" si="105"/>
        <v>-1.5871862364982727</v>
      </c>
      <c r="BX83" s="6082">
        <f t="shared" si="105"/>
        <v>-4.4666765965718067</v>
      </c>
      <c r="BY83" s="6082">
        <f t="shared" si="105"/>
        <v>-0.21888727900188387</v>
      </c>
      <c r="BZ83" s="6082">
        <f t="shared" si="105"/>
        <v>-7.8679388933566372</v>
      </c>
      <c r="CA83" s="6082">
        <f t="shared" si="105"/>
        <v>-4.1149204803617163</v>
      </c>
      <c r="CB83" s="6082">
        <f t="shared" si="105"/>
        <v>-6.7900874340056001</v>
      </c>
      <c r="CC83" s="6609"/>
      <c r="CD83" s="2792"/>
      <c r="CE83" s="6166">
        <f t="shared" si="90"/>
        <v>-2.6751669536438838</v>
      </c>
      <c r="CF83" s="2509">
        <f t="shared" si="94"/>
        <v>-6.7900874340056001</v>
      </c>
      <c r="CG83" s="2509"/>
      <c r="CH83" s="6611">
        <f t="shared" si="98"/>
        <v>-48.095125997692513</v>
      </c>
      <c r="CI83" s="6610"/>
      <c r="CJ83" s="2792"/>
      <c r="CK83" s="6476">
        <f t="shared" si="95"/>
        <v>-48.095125997692513</v>
      </c>
      <c r="CL83" s="5138"/>
      <c r="CM83" s="2488"/>
      <c r="CN83" s="2488"/>
      <c r="CO83" s="2488"/>
      <c r="CP83" s="2488"/>
      <c r="CQ83" s="2488"/>
      <c r="CR83" s="2488"/>
      <c r="CS83" s="2488"/>
      <c r="CT83" s="2488"/>
      <c r="CU83" s="2488"/>
      <c r="CV83" s="2488"/>
      <c r="CW83" s="2488"/>
      <c r="CX83" s="2488"/>
      <c r="CY83" s="2488"/>
      <c r="CZ83" s="2488"/>
      <c r="DB83" s="4439"/>
      <c r="DC83" s="4439"/>
      <c r="DF83" s="4439"/>
      <c r="DG83" s="4439"/>
    </row>
    <row r="84" spans="1:111" x14ac:dyDescent="0.45">
      <c r="A84" s="6472"/>
      <c r="B84" s="5831" t="s">
        <v>714</v>
      </c>
      <c r="F84" s="6612">
        <v>-1.1206639123008328</v>
      </c>
      <c r="G84" s="6613">
        <v>-0.29141808948386083</v>
      </c>
      <c r="H84" s="6613">
        <v>-0.71450147723653767</v>
      </c>
      <c r="I84" s="6613">
        <v>-1.0767711412274337</v>
      </c>
      <c r="J84" s="6613">
        <v>-7.8454297176325696E-2</v>
      </c>
      <c r="K84" s="6613">
        <v>-9.7352340167535995E-2</v>
      </c>
      <c r="L84" s="6613">
        <v>-0.38217491044973084</v>
      </c>
      <c r="M84" s="6613">
        <v>-0.31971539574080715</v>
      </c>
      <c r="N84" s="6613">
        <v>-0.76876015253042518</v>
      </c>
      <c r="O84" s="6613">
        <v>-0.21170742780505616</v>
      </c>
      <c r="P84" s="6613">
        <v>0.41095581652197316</v>
      </c>
      <c r="Q84" s="6614">
        <v>-8.6608429986223694</v>
      </c>
      <c r="R84" s="6154">
        <v>-2.0299473546572733</v>
      </c>
      <c r="S84" s="6155">
        <v>-1.8481261200451595</v>
      </c>
      <c r="T84" s="6155">
        <v>1.6435804000426084E-3</v>
      </c>
      <c r="U84" s="6155">
        <v>-0.8521046519779415</v>
      </c>
      <c r="V84" s="6155">
        <v>-1.199200829191873</v>
      </c>
      <c r="W84" s="6155">
        <v>-1.3095385830763415</v>
      </c>
      <c r="X84" s="6155">
        <v>-1.3040883935311078</v>
      </c>
      <c r="Y84" s="6155">
        <v>-1.2766345173198299</v>
      </c>
      <c r="Z84" s="6155">
        <v>-1.6482602186127744</v>
      </c>
      <c r="AA84" s="6155">
        <v>-3.0075179024374128</v>
      </c>
      <c r="AB84" s="6155">
        <v>-2.4901939158050728</v>
      </c>
      <c r="AC84" s="6155">
        <v>2.2571045570925001</v>
      </c>
      <c r="AD84" s="6154">
        <f>AD85</f>
        <v>-0.30677185708927773</v>
      </c>
      <c r="AE84" s="6155">
        <f t="shared" ref="AE84:AO84" si="106">AE85</f>
        <v>-0.6415060044638965</v>
      </c>
      <c r="AF84" s="6155">
        <f t="shared" si="106"/>
        <v>-0.42341793345528467</v>
      </c>
      <c r="AG84" s="6155">
        <f t="shared" si="106"/>
        <v>0.43328705811420604</v>
      </c>
      <c r="AH84" s="6155">
        <f t="shared" si="106"/>
        <v>0.47985356970300258</v>
      </c>
      <c r="AI84" s="6155">
        <f t="shared" si="106"/>
        <v>1.1267243856446689</v>
      </c>
      <c r="AJ84" s="6155">
        <f t="shared" si="106"/>
        <v>-0.77970488610409949</v>
      </c>
      <c r="AK84" s="6155">
        <f t="shared" si="106"/>
        <v>-1.5206837440596441</v>
      </c>
      <c r="AL84" s="6155">
        <f t="shared" si="106"/>
        <v>-0.78604090464901422</v>
      </c>
      <c r="AM84" s="6155">
        <f t="shared" si="106"/>
        <v>9.5948502337226724E-2</v>
      </c>
      <c r="AN84" s="6155">
        <f t="shared" si="106"/>
        <v>-1.8063004836115628</v>
      </c>
      <c r="AO84" s="6157">
        <f t="shared" si="106"/>
        <v>-1.0474917898442249</v>
      </c>
      <c r="AP84" s="6156"/>
      <c r="AQ84" s="6158">
        <v>-0.50042886045422619</v>
      </c>
      <c r="AR84" s="6159">
        <v>0.58803197543168828</v>
      </c>
      <c r="AS84" s="6159">
        <v>1.3153894269747688</v>
      </c>
      <c r="AT84" s="6159">
        <v>-0.71945750697486655</v>
      </c>
      <c r="AU84" s="6159">
        <v>-1.4943840542118461</v>
      </c>
      <c r="AV84" s="6159">
        <v>-0.43501724965075772</v>
      </c>
      <c r="AW84" s="6159">
        <v>-0.78456115328872678</v>
      </c>
      <c r="AX84" s="6159">
        <v>-0.79430585931079045</v>
      </c>
      <c r="AY84" s="6159">
        <v>-0.65548754025695311</v>
      </c>
      <c r="AZ84" s="6159">
        <v>-0.60096163781774825</v>
      </c>
      <c r="BA84" s="6159">
        <v>-0.58683821476182252</v>
      </c>
      <c r="BB84" s="6159">
        <v>-5.2587883574405341</v>
      </c>
      <c r="BC84" s="6160">
        <v>-9.9268090317618132</v>
      </c>
      <c r="BD84" s="6615">
        <v>-0.72234389886728523</v>
      </c>
      <c r="BE84" s="6474">
        <v>-7.0873312953665391E-2</v>
      </c>
      <c r="BF84" s="6474">
        <v>-6.3302573931821482E-2</v>
      </c>
      <c r="BG84" s="2790">
        <v>4.4105446864377269</v>
      </c>
      <c r="BH84" s="2790">
        <v>1.1340522501180068</v>
      </c>
      <c r="BI84" s="2790">
        <v>9.8189621918902716</v>
      </c>
      <c r="BJ84" s="2790">
        <v>0.7099049113445185</v>
      </c>
      <c r="BK84" s="2790">
        <v>0.73390218622014747</v>
      </c>
      <c r="BL84" s="2790">
        <v>1.1024115299354476</v>
      </c>
      <c r="BM84" s="2870">
        <v>0.27096077596603102</v>
      </c>
      <c r="BN84" s="2790">
        <v>1.3608249397337615</v>
      </c>
      <c r="BO84" s="2790">
        <v>-5.1124714678940633</v>
      </c>
      <c r="BP84" s="6475">
        <v>13.572572217999074</v>
      </c>
      <c r="BQ84" s="6082">
        <v>0.17031230864935623</v>
      </c>
      <c r="BR84" s="6171">
        <v>2.1858619987025723</v>
      </c>
      <c r="BS84" s="6450">
        <v>3.2127060216328083</v>
      </c>
      <c r="BT84" s="6616">
        <v>0.54020239189571506</v>
      </c>
      <c r="BU84" s="6616">
        <v>1.2282309662586708</v>
      </c>
      <c r="BV84" s="6616">
        <v>4.4776777662769449</v>
      </c>
      <c r="BW84" s="2496">
        <v>0.22733990294782747</v>
      </c>
      <c r="BX84" s="6163">
        <v>3.4383009917662521E-2</v>
      </c>
      <c r="BY84" s="2790">
        <v>0.13101967881001841</v>
      </c>
      <c r="BZ84" s="2790">
        <v>-0.23589660257647982</v>
      </c>
      <c r="CA84" s="2790">
        <v>-0.12994873757416625</v>
      </c>
      <c r="CB84" s="2790">
        <v>-7.1086104565269412</v>
      </c>
      <c r="CC84" s="6609"/>
      <c r="CD84" s="2792"/>
      <c r="CE84" s="6166">
        <f t="shared" si="90"/>
        <v>-6.9786617189527753</v>
      </c>
      <c r="CF84" s="2509">
        <f t="shared" si="94"/>
        <v>-1.996138988632878</v>
      </c>
      <c r="CG84" s="2509"/>
      <c r="CH84" s="6288">
        <f t="shared" si="98"/>
        <v>4.7332782484139884</v>
      </c>
      <c r="CI84" s="6610"/>
      <c r="CJ84" s="2792"/>
      <c r="CK84" s="6476">
        <f t="shared" si="95"/>
        <v>-8.8392939695850856</v>
      </c>
      <c r="CL84" s="5138"/>
      <c r="CM84" s="2488"/>
      <c r="CN84" s="2488"/>
      <c r="CO84" s="2488"/>
      <c r="CP84" s="2488"/>
      <c r="CQ84" s="2488"/>
      <c r="CR84" s="2488"/>
      <c r="CS84" s="2488"/>
      <c r="CT84" s="2488"/>
      <c r="CU84" s="2488"/>
      <c r="CV84" s="2488"/>
      <c r="CW84" s="2488"/>
      <c r="CX84" s="2488"/>
      <c r="CY84" s="2488"/>
      <c r="CZ84" s="2488"/>
      <c r="DB84" s="6617">
        <f>AVERAGE(BD84:BL84)</f>
        <v>1.894806441132594</v>
      </c>
      <c r="DC84" s="6617">
        <f>AVERAGE(BQ84:BY84)</f>
        <v>1.3564148938990639</v>
      </c>
      <c r="DF84" s="4439"/>
      <c r="DG84" s="4439"/>
    </row>
    <row r="85" spans="1:111" x14ac:dyDescent="0.55000000000000004">
      <c r="A85" s="6472"/>
      <c r="B85" s="6618" t="s">
        <v>715</v>
      </c>
      <c r="F85" s="6619">
        <v>-1.1206639123008328</v>
      </c>
      <c r="G85" s="6620">
        <v>-0.29141808948386083</v>
      </c>
      <c r="H85" s="6620">
        <v>-0.71450147723653767</v>
      </c>
      <c r="I85" s="6620">
        <v>-1.0767711412274337</v>
      </c>
      <c r="J85" s="6620">
        <v>-7.8454297176325696E-2</v>
      </c>
      <c r="K85" s="6620">
        <v>-9.7352340167535995E-2</v>
      </c>
      <c r="L85" s="6620">
        <v>-0.38217491044973084</v>
      </c>
      <c r="M85" s="6620">
        <v>-0.31971539574080715</v>
      </c>
      <c r="N85" s="6620">
        <v>-0.76876015253042518</v>
      </c>
      <c r="O85" s="6620">
        <v>-0.21170742780505616</v>
      </c>
      <c r="P85" s="6620">
        <v>0.41095581652197316</v>
      </c>
      <c r="Q85" s="6621">
        <v>-8.6608429986223694</v>
      </c>
      <c r="R85" s="6622">
        <v>-2.0299473546572733</v>
      </c>
      <c r="S85" s="6623">
        <v>-1.8481261200451595</v>
      </c>
      <c r="T85" s="6623">
        <v>1.6435804000426084E-3</v>
      </c>
      <c r="U85" s="6623">
        <v>-0.8521046519779415</v>
      </c>
      <c r="V85" s="6623">
        <v>-1.199200829191873</v>
      </c>
      <c r="W85" s="6623">
        <v>-1.3095385830763415</v>
      </c>
      <c r="X85" s="6623">
        <v>-1.3040883935311078</v>
      </c>
      <c r="Y85" s="6623">
        <v>-1.2766345173198299</v>
      </c>
      <c r="Z85" s="6623">
        <v>-1.6482602186127744</v>
      </c>
      <c r="AA85" s="6623">
        <v>-3.0075179024374128</v>
      </c>
      <c r="AB85" s="6623">
        <v>-2.4901939158050728</v>
      </c>
      <c r="AC85" s="6624">
        <v>2.2571045570925001</v>
      </c>
      <c r="AD85" s="6623">
        <v>-0.30677185708927773</v>
      </c>
      <c r="AE85" s="6623">
        <v>-0.6415060044638965</v>
      </c>
      <c r="AF85" s="6623">
        <v>-0.42341793345528467</v>
      </c>
      <c r="AG85" s="6623">
        <v>0.43328705811420604</v>
      </c>
      <c r="AH85" s="6623">
        <v>0.47985356970300258</v>
      </c>
      <c r="AI85" s="6623">
        <v>1.1267243856446689</v>
      </c>
      <c r="AJ85" s="6623">
        <v>-0.77970488610409949</v>
      </c>
      <c r="AK85" s="6623">
        <v>-1.5206837440596441</v>
      </c>
      <c r="AL85" s="6623">
        <v>-0.78604090464901422</v>
      </c>
      <c r="AM85" s="6623">
        <v>9.5948502337226724E-2</v>
      </c>
      <c r="AN85" s="6623">
        <v>-1.8063004836115628</v>
      </c>
      <c r="AO85" s="6623">
        <v>-1.0474917898442249</v>
      </c>
      <c r="AP85" s="6623"/>
      <c r="AQ85" s="6625">
        <v>-0.50042886045422619</v>
      </c>
      <c r="AR85" s="6625">
        <v>0.58803197543168828</v>
      </c>
      <c r="AS85" s="6625">
        <v>0.77538942697476876</v>
      </c>
      <c r="AT85" s="6625">
        <v>-0.20071794660193037</v>
      </c>
      <c r="AU85" s="6625">
        <v>-0.23967270840200347</v>
      </c>
      <c r="AV85" s="6625">
        <v>0.887657055161719</v>
      </c>
      <c r="AW85" s="6625">
        <v>0.77781078052469932</v>
      </c>
      <c r="AX85" s="6625">
        <v>0.4240562576152821</v>
      </c>
      <c r="AY85" s="6625">
        <v>0.80333566487353081</v>
      </c>
      <c r="AZ85" s="6625">
        <v>0.7283546548026425</v>
      </c>
      <c r="BA85" s="6625">
        <v>0.83227897971678777</v>
      </c>
      <c r="BB85" s="6625">
        <v>-2.789432935355102</v>
      </c>
      <c r="BC85" s="6625">
        <v>2.0866623442878569</v>
      </c>
      <c r="BD85" s="6623">
        <v>1.3011708403584177E-2</v>
      </c>
      <c r="BE85" s="6623">
        <v>0.73307599098701048</v>
      </c>
      <c r="BF85" s="6623">
        <v>0.78139904941605187</v>
      </c>
      <c r="BG85" s="6623">
        <v>5.1395216645941755</v>
      </c>
      <c r="BH85" s="6623">
        <v>1.6031259774022162</v>
      </c>
      <c r="BI85" s="6623">
        <v>0.3347995449565131</v>
      </c>
      <c r="BJ85" s="6623"/>
      <c r="BK85" s="6623"/>
      <c r="BL85" s="6623"/>
      <c r="BM85" s="6623"/>
      <c r="BN85" s="6626"/>
      <c r="BO85" s="6623"/>
      <c r="BP85" s="6624"/>
      <c r="BQ85" s="6627"/>
      <c r="BR85" s="6628"/>
      <c r="BS85" s="6623"/>
      <c r="BT85" s="6627"/>
      <c r="BU85" s="6623"/>
      <c r="BV85" s="6627"/>
      <c r="BW85" s="6623"/>
      <c r="BX85" s="6627"/>
      <c r="BY85" s="6623"/>
      <c r="BZ85" s="6623"/>
      <c r="CA85" s="6623"/>
      <c r="CB85" s="6623"/>
      <c r="CC85" s="6609"/>
      <c r="CD85" s="2792"/>
      <c r="CE85" s="6623"/>
      <c r="CF85" s="6623"/>
      <c r="CG85" s="6623"/>
      <c r="CH85" s="6629"/>
      <c r="CI85" s="6630"/>
      <c r="CJ85" s="6631"/>
      <c r="CK85" s="6623">
        <f t="shared" si="95"/>
        <v>-8.6049339357595507</v>
      </c>
      <c r="CL85" s="5138"/>
      <c r="CM85" s="2488"/>
      <c r="CN85" s="2488"/>
      <c r="CO85" s="2488"/>
      <c r="CP85" s="2488"/>
      <c r="CQ85" s="2488"/>
      <c r="CR85" s="2488"/>
      <c r="CS85" s="2488"/>
      <c r="CT85" s="2488"/>
      <c r="CU85" s="2488"/>
      <c r="CV85" s="2488"/>
      <c r="CW85" s="2488"/>
      <c r="CX85" s="2488"/>
      <c r="CY85" s="2488"/>
      <c r="CZ85" s="2488"/>
      <c r="DB85" s="4439"/>
      <c r="DC85" s="6617"/>
      <c r="DF85" s="4439"/>
      <c r="DG85" s="4439"/>
    </row>
    <row r="86" spans="1:111" x14ac:dyDescent="0.55000000000000004">
      <c r="A86" s="6472"/>
      <c r="B86" s="6618" t="s">
        <v>716</v>
      </c>
      <c r="F86" s="6622"/>
      <c r="G86" s="6623"/>
      <c r="H86" s="6623"/>
      <c r="I86" s="6623"/>
      <c r="J86" s="6623"/>
      <c r="K86" s="6623"/>
      <c r="L86" s="6623"/>
      <c r="M86" s="6623"/>
      <c r="N86" s="6623"/>
      <c r="O86" s="6623"/>
      <c r="P86" s="6623"/>
      <c r="Q86" s="6624"/>
      <c r="R86" s="6622"/>
      <c r="S86" s="6623"/>
      <c r="T86" s="6623"/>
      <c r="U86" s="6623"/>
      <c r="V86" s="6623"/>
      <c r="W86" s="6623"/>
      <c r="X86" s="6623"/>
      <c r="Y86" s="6623"/>
      <c r="Z86" s="6623"/>
      <c r="AA86" s="6623"/>
      <c r="AB86" s="6623"/>
      <c r="AC86" s="6624"/>
      <c r="AD86" s="6623"/>
      <c r="AE86" s="6623"/>
      <c r="AF86" s="6623"/>
      <c r="AG86" s="6623"/>
      <c r="AH86" s="6623"/>
      <c r="AI86" s="6623"/>
      <c r="AJ86" s="6623"/>
      <c r="AK86" s="6623"/>
      <c r="AL86" s="6623"/>
      <c r="AM86" s="6623"/>
      <c r="AN86" s="6623"/>
      <c r="AO86" s="6623"/>
      <c r="AP86" s="6623"/>
      <c r="AQ86" s="6625">
        <v>0</v>
      </c>
      <c r="AR86" s="6625">
        <v>0</v>
      </c>
      <c r="AS86" s="6625">
        <v>0.54</v>
      </c>
      <c r="AT86" s="6625">
        <v>-0.51873956037293623</v>
      </c>
      <c r="AU86" s="6625">
        <v>-1.2547113458098427</v>
      </c>
      <c r="AV86" s="6625">
        <v>-1.3226743048124767</v>
      </c>
      <c r="AW86" s="6625">
        <v>-1.5623719338134261</v>
      </c>
      <c r="AX86" s="6625">
        <v>-1.2183621169260725</v>
      </c>
      <c r="AY86" s="6625">
        <v>-1.4588232051304839</v>
      </c>
      <c r="AZ86" s="6625">
        <v>-1.3293162926203907</v>
      </c>
      <c r="BA86" s="6625">
        <v>-1.4191171944786103</v>
      </c>
      <c r="BB86" s="6625">
        <v>-2.4693554220854321</v>
      </c>
      <c r="BC86" s="6625">
        <v>-12.013471376049672</v>
      </c>
      <c r="BD86" s="6623">
        <v>-0.73535560727086935</v>
      </c>
      <c r="BE86" s="6623">
        <v>-0.80394930394067587</v>
      </c>
      <c r="BF86" s="6623">
        <v>-0.84470162334787335</v>
      </c>
      <c r="BG86" s="6623">
        <v>-0.72897697815644891</v>
      </c>
      <c r="BH86" s="6623">
        <v>-0.46907372728420926</v>
      </c>
      <c r="BI86" s="6623">
        <v>9.4841626469337577</v>
      </c>
      <c r="BJ86" s="6623"/>
      <c r="BK86" s="6623"/>
      <c r="BL86" s="6623"/>
      <c r="BM86" s="6623"/>
      <c r="BN86" s="6626"/>
      <c r="BO86" s="6623"/>
      <c r="BP86" s="6624"/>
      <c r="BQ86" s="6627"/>
      <c r="BR86" s="6628"/>
      <c r="BS86" s="6623"/>
      <c r="BT86" s="6627"/>
      <c r="BU86" s="6623"/>
      <c r="BV86" s="6627"/>
      <c r="BW86" s="6623"/>
      <c r="BX86" s="6627"/>
      <c r="BY86" s="6623"/>
      <c r="BZ86" s="6623"/>
      <c r="CA86" s="6623"/>
      <c r="CB86" s="6623"/>
      <c r="CC86" s="6609"/>
      <c r="CD86" s="2792"/>
      <c r="CE86" s="6623"/>
      <c r="CF86" s="6623"/>
      <c r="CG86" s="6623"/>
      <c r="CH86" s="6629"/>
      <c r="CI86" s="6630"/>
      <c r="CJ86" s="6631"/>
      <c r="CK86" s="6623">
        <f t="shared" si="95"/>
        <v>-5.9021054069336802</v>
      </c>
      <c r="CL86" s="5138"/>
      <c r="CM86" s="2488"/>
      <c r="CN86" s="2488"/>
      <c r="CO86" s="2488"/>
      <c r="CP86" s="2488"/>
      <c r="CQ86" s="2488"/>
      <c r="CR86" s="2488"/>
      <c r="CS86" s="2488"/>
      <c r="CT86" s="2488"/>
      <c r="CU86" s="2488"/>
      <c r="CV86" s="2488"/>
      <c r="CW86" s="2488"/>
      <c r="CX86" s="2488"/>
      <c r="CY86" s="2488"/>
      <c r="CZ86" s="2488"/>
      <c r="DB86" s="4439"/>
      <c r="DC86" s="6617"/>
      <c r="DF86" s="4439"/>
      <c r="DG86" s="4439"/>
    </row>
    <row r="87" spans="1:111" x14ac:dyDescent="0.55000000000000004">
      <c r="A87" s="6472"/>
      <c r="B87" s="5831" t="s">
        <v>717</v>
      </c>
      <c r="F87" s="6154">
        <v>0.73104113290486339</v>
      </c>
      <c r="G87" s="6155">
        <v>0.31627570497541413</v>
      </c>
      <c r="H87" s="6155">
        <v>-0.19300472329535626</v>
      </c>
      <c r="I87" s="6155">
        <v>1.2234479501389917</v>
      </c>
      <c r="J87" s="6155">
        <v>0.69338247252781393</v>
      </c>
      <c r="K87" s="6155">
        <v>1.252250338565742</v>
      </c>
      <c r="L87" s="6155">
        <v>1.1437703665301053</v>
      </c>
      <c r="M87" s="6155">
        <v>1.5143972904700336</v>
      </c>
      <c r="N87" s="6155">
        <v>0.17323793029449672</v>
      </c>
      <c r="O87" s="6155">
        <v>0.39357933041584509</v>
      </c>
      <c r="P87" s="6155">
        <v>0.53578491040473575</v>
      </c>
      <c r="Q87" s="6156">
        <v>0.34308822776517733</v>
      </c>
      <c r="R87" s="6632">
        <v>0.46023791283356635</v>
      </c>
      <c r="S87" s="6633">
        <v>-0.32903144357827568</v>
      </c>
      <c r="T87" s="6633">
        <v>0.9826843497094454</v>
      </c>
      <c r="U87" s="6633">
        <v>9.2058275010014637E-2</v>
      </c>
      <c r="V87" s="6633">
        <v>1.3412956931801179</v>
      </c>
      <c r="W87" s="6633">
        <v>0.46184486463383623</v>
      </c>
      <c r="X87" s="6633">
        <v>0.67116451962575618</v>
      </c>
      <c r="Y87" s="6633">
        <v>0.76388584633341705</v>
      </c>
      <c r="Z87" s="6633">
        <v>-3.1437359920289495E-2</v>
      </c>
      <c r="AA87" s="6633">
        <v>0.22608741030726381</v>
      </c>
      <c r="AB87" s="6633">
        <v>0.10711053074611648</v>
      </c>
      <c r="AC87" s="6634">
        <v>-4.2705872243990841</v>
      </c>
      <c r="AD87" s="6635">
        <v>0.66221769141195541</v>
      </c>
      <c r="AE87" s="6635">
        <v>0.18332589371618341</v>
      </c>
      <c r="AF87" s="6635">
        <v>0.83584064312434703</v>
      </c>
      <c r="AG87" s="6635">
        <v>0.24139436395548833</v>
      </c>
      <c r="AH87" s="6635">
        <v>0.57153803965994487</v>
      </c>
      <c r="AI87" s="6635">
        <v>0.33978786645715131</v>
      </c>
      <c r="AJ87" s="6635">
        <v>0.56371531102836847</v>
      </c>
      <c r="AK87" s="6635">
        <v>0.22184245522532781</v>
      </c>
      <c r="AL87" s="6635">
        <v>0.79730669741281335</v>
      </c>
      <c r="AM87" s="6635">
        <v>0.79694115329102422</v>
      </c>
      <c r="AN87" s="6635">
        <v>0.37187422625788658</v>
      </c>
      <c r="AO87" s="6635">
        <v>-1.3037240315541168</v>
      </c>
      <c r="AP87" s="6636"/>
      <c r="AQ87" s="6158">
        <v>1.6322041822213382</v>
      </c>
      <c r="AR87" s="6159">
        <v>0.95582797754380666</v>
      </c>
      <c r="AS87" s="6159">
        <v>0.69150849422899396</v>
      </c>
      <c r="AT87" s="6159">
        <v>1.3988386039514291</v>
      </c>
      <c r="AU87" s="6159">
        <v>0.83336250805577394</v>
      </c>
      <c r="AV87" s="6159">
        <v>1.4096458861975554</v>
      </c>
      <c r="AW87" s="6159">
        <v>1.4854695017608759</v>
      </c>
      <c r="AX87" s="6159">
        <v>0.7555826690398697</v>
      </c>
      <c r="AY87" s="6159">
        <v>1.5307838953816486</v>
      </c>
      <c r="AZ87" s="6159">
        <v>1.2713928867649686</v>
      </c>
      <c r="BA87" s="6159">
        <v>0.78204335410074488</v>
      </c>
      <c r="BB87" s="6159">
        <v>-0.2144671939701952</v>
      </c>
      <c r="BC87" s="6160">
        <v>12.532192765276811</v>
      </c>
      <c r="BD87" s="6615">
        <v>1.1046945049737862</v>
      </c>
      <c r="BE87" s="6474">
        <v>0.9663378103014143</v>
      </c>
      <c r="BF87" s="6474">
        <v>0.9757917997519866</v>
      </c>
      <c r="BG87" s="2790">
        <v>1.1583544177639744</v>
      </c>
      <c r="BH87" s="2790">
        <v>1.2837656897647809</v>
      </c>
      <c r="BI87" s="2790">
        <v>1.2287172923511807</v>
      </c>
      <c r="BJ87" s="2790">
        <v>1.8243893409386538</v>
      </c>
      <c r="BK87" s="2790">
        <v>0.6218323673121815</v>
      </c>
      <c r="BL87" s="2496">
        <v>1.9079856525001344</v>
      </c>
      <c r="BM87" s="2496">
        <v>1.5745781013177504</v>
      </c>
      <c r="BN87" s="2496">
        <v>0.98730429357491256</v>
      </c>
      <c r="BO87" s="2496">
        <v>-0.23599934498199507</v>
      </c>
      <c r="BP87" s="6162">
        <v>13.397751925568759</v>
      </c>
      <c r="BQ87" s="6163">
        <v>1.6118927032395238</v>
      </c>
      <c r="BR87" s="6171">
        <v>0.5261538715072388</v>
      </c>
      <c r="BS87" s="6474">
        <v>1.2262211033429191</v>
      </c>
      <c r="BT87" s="6479">
        <v>1.3594007996943811</v>
      </c>
      <c r="BU87" s="2790">
        <v>0.42258055115919502</v>
      </c>
      <c r="BV87" s="6479">
        <v>2.1567024360460638</v>
      </c>
      <c r="BW87" s="2496">
        <v>1.0085094761504396</v>
      </c>
      <c r="BX87" s="6163">
        <v>0.83478359465414176</v>
      </c>
      <c r="BY87" s="2496">
        <v>1.1988977633918594</v>
      </c>
      <c r="BZ87" s="2496">
        <v>1.0872892994405989</v>
      </c>
      <c r="CA87" s="2496">
        <v>0.60688189594154918</v>
      </c>
      <c r="CB87" s="2496">
        <v>-1.9792891675698805</v>
      </c>
      <c r="CC87" s="6609"/>
      <c r="CD87" s="2792"/>
      <c r="CE87" s="6166">
        <f t="shared" ref="CE87:CE89" si="107">CB87-CA87</f>
        <v>-2.5861710635114297</v>
      </c>
      <c r="CF87" s="2509">
        <f>HLOOKUP($E$2,$BQ$2:$CB$505,ROW()-1,0)-HLOOKUP($E$2,$BD$2:$BO$412,ROW()-1,0)</f>
        <v>-1.7432898225878855</v>
      </c>
      <c r="CG87" s="2509"/>
      <c r="CH87" s="6288">
        <f t="shared" si="98"/>
        <v>10.060024326998031</v>
      </c>
      <c r="CI87" s="6610"/>
      <c r="CJ87" s="2792"/>
      <c r="CK87" s="6476">
        <f t="shared" si="95"/>
        <v>-3.3377275985707282</v>
      </c>
      <c r="CL87" s="5138"/>
      <c r="CM87" s="2488"/>
      <c r="CN87" s="2488"/>
      <c r="CO87" s="2488"/>
      <c r="CP87" s="2488"/>
      <c r="CQ87" s="2488"/>
      <c r="CR87" s="2488"/>
      <c r="CS87" s="2488"/>
      <c r="CT87" s="2488"/>
      <c r="CU87" s="2488"/>
      <c r="CV87" s="2488"/>
      <c r="CW87" s="2488"/>
      <c r="CX87" s="2488"/>
      <c r="CY87" s="2488"/>
      <c r="CZ87" s="2488"/>
      <c r="DB87" s="6617">
        <f>AVERAGE(BD87:BL87)</f>
        <v>1.2302076528508992</v>
      </c>
      <c r="DC87" s="6617">
        <f>AVERAGE(BQ87:BY87)</f>
        <v>1.1494602554650848</v>
      </c>
      <c r="DF87" s="4439"/>
      <c r="DG87" s="4439"/>
    </row>
    <row r="88" spans="1:111" x14ac:dyDescent="0.55000000000000004">
      <c r="A88" s="6472"/>
      <c r="B88" s="5831" t="s">
        <v>803</v>
      </c>
      <c r="F88" s="6637"/>
      <c r="G88" s="6408"/>
      <c r="H88" s="6408"/>
      <c r="I88" s="6408"/>
      <c r="J88" s="6408"/>
      <c r="K88" s="6408"/>
      <c r="L88" s="6408"/>
      <c r="M88" s="6408"/>
      <c r="N88" s="6408"/>
      <c r="O88" s="6408"/>
      <c r="P88" s="6408"/>
      <c r="Q88" s="6195"/>
      <c r="R88" s="7089">
        <v>1.2931278000000099</v>
      </c>
      <c r="S88" s="7090"/>
      <c r="T88" s="7090"/>
      <c r="U88" s="7090"/>
      <c r="V88" s="7090"/>
      <c r="W88" s="7090"/>
      <c r="X88" s="7090"/>
      <c r="Y88" s="7090"/>
      <c r="Z88" s="7090"/>
      <c r="AA88" s="7090"/>
      <c r="AB88" s="7090"/>
      <c r="AC88" s="7091"/>
      <c r="AD88" s="6620">
        <v>-0.15926134</v>
      </c>
      <c r="AE88" s="6620">
        <v>6.7187966100000001</v>
      </c>
      <c r="AF88" s="6620">
        <v>-1.11852153</v>
      </c>
      <c r="AG88" s="6620">
        <v>-9.2550660000000007E-2</v>
      </c>
      <c r="AH88" s="6620">
        <v>1.18046556</v>
      </c>
      <c r="AI88" s="6620">
        <v>1.37039836</v>
      </c>
      <c r="AJ88" s="6620">
        <v>9.8078529999999997E-2</v>
      </c>
      <c r="AK88" s="6620">
        <v>-0.15587404999999999</v>
      </c>
      <c r="AL88" s="6620">
        <v>0.93791522999999999</v>
      </c>
      <c r="AM88" s="6620">
        <v>0.59571361</v>
      </c>
      <c r="AN88" s="6620">
        <v>2.1684345600000001</v>
      </c>
      <c r="AO88" s="6638">
        <v>1.1068589499999999</v>
      </c>
      <c r="AP88" s="6621"/>
      <c r="AQ88" s="6158">
        <v>-7.8743999999977624E-3</v>
      </c>
      <c r="AR88" s="6159">
        <v>0.67440203000000321</v>
      </c>
      <c r="AS88" s="6159">
        <v>0.30067865999999982</v>
      </c>
      <c r="AT88" s="6159">
        <v>0.92769116000000307</v>
      </c>
      <c r="AU88" s="6159">
        <v>2.2985116099999976</v>
      </c>
      <c r="AV88" s="6159">
        <v>-0.61010630999999871</v>
      </c>
      <c r="AW88" s="6159">
        <v>-2.022151000000065E-2</v>
      </c>
      <c r="AX88" s="6159">
        <v>1.5198015000000005</v>
      </c>
      <c r="AY88" s="6159">
        <v>1.704087069999993</v>
      </c>
      <c r="AZ88" s="6159">
        <v>3.2864707599999949</v>
      </c>
      <c r="BA88" s="6159">
        <v>-3.6726141500000007</v>
      </c>
      <c r="BB88" s="6159">
        <v>3.7491537200000038</v>
      </c>
      <c r="BC88" s="6160">
        <v>10.149980139999998</v>
      </c>
      <c r="BD88" s="6615">
        <v>-2.7794783459605501</v>
      </c>
      <c r="BE88" s="2790">
        <v>-5.1387710640898954</v>
      </c>
      <c r="BF88" s="2790">
        <v>-1.0007656797733846</v>
      </c>
      <c r="BG88" s="2790">
        <v>9.4989486314937022</v>
      </c>
      <c r="BH88" s="2790">
        <v>2.8301244757208268</v>
      </c>
      <c r="BI88" s="2790">
        <v>-0.5009836585488644</v>
      </c>
      <c r="BJ88" s="2790">
        <v>-9.9011846275281652</v>
      </c>
      <c r="BK88" s="2790">
        <v>3.8185670055514169</v>
      </c>
      <c r="BL88" s="2790">
        <v>11.307570181199258</v>
      </c>
      <c r="BM88" s="2790">
        <v>6.2031398471399211</v>
      </c>
      <c r="BN88" s="2790">
        <v>1.9093999514414317E-2</v>
      </c>
      <c r="BO88" s="2790">
        <v>0.59165326089325132</v>
      </c>
      <c r="BP88" s="6475">
        <v>14.947914025611931</v>
      </c>
      <c r="BQ88" s="6163">
        <v>1.119029695138108</v>
      </c>
      <c r="BR88" s="6082">
        <v>13.8387153766</v>
      </c>
      <c r="BS88" s="2790">
        <v>3.9969178000000015E-2</v>
      </c>
      <c r="BT88" s="6479">
        <v>4.5778121855999947</v>
      </c>
      <c r="BU88" s="2790">
        <v>1.254927810400007</v>
      </c>
      <c r="BV88" s="6479">
        <v>5.9605088709999992</v>
      </c>
      <c r="BW88" s="2496">
        <v>3.4871835841999994</v>
      </c>
      <c r="BX88" s="6163">
        <v>4.2681799159999922</v>
      </c>
      <c r="BY88" s="2790">
        <v>6.249055724399998</v>
      </c>
      <c r="BZ88" s="2790">
        <v>5.2607420701381411</v>
      </c>
      <c r="CA88" s="2790">
        <v>11.044074075999875</v>
      </c>
      <c r="CB88" s="2790">
        <v>-6.5981449374871826</v>
      </c>
      <c r="CC88" s="6609"/>
      <c r="CD88" s="2792"/>
      <c r="CE88" s="6166">
        <f t="shared" si="107"/>
        <v>-17.642219013487058</v>
      </c>
      <c r="CF88" s="2509">
        <f>HLOOKUP($E$2,$BQ$2:$CB$505,ROW()-1,0)-HLOOKUP($E$2,$BD$2:$BO$412,ROW()-1,0)</f>
        <v>-7.1897981983804335</v>
      </c>
      <c r="CG88" s="2509"/>
      <c r="CH88" s="6288">
        <f t="shared" si="98"/>
        <v>50.502053549988929</v>
      </c>
      <c r="CI88" s="6610"/>
      <c r="CJ88" s="2792"/>
      <c r="CK88" s="6476">
        <f t="shared" si="95"/>
        <v>35.554139524377</v>
      </c>
      <c r="CL88" s="5138"/>
      <c r="CM88" s="2488"/>
      <c r="CN88" s="2488"/>
      <c r="CO88" s="2488"/>
      <c r="CP88" s="2488"/>
      <c r="CQ88" s="2488"/>
      <c r="CR88" s="2488"/>
      <c r="CS88" s="2488"/>
      <c r="CT88" s="2488"/>
      <c r="CU88" s="2488"/>
      <c r="CV88" s="2488"/>
      <c r="CW88" s="2488"/>
      <c r="CX88" s="2488"/>
      <c r="CY88" s="2488"/>
      <c r="CZ88" s="2488"/>
      <c r="DB88" s="4439">
        <f>DB87+DB84</f>
        <v>3.1250140939834932</v>
      </c>
      <c r="DC88" s="4439">
        <f>DC87+DC84</f>
        <v>2.5058751493641487</v>
      </c>
      <c r="DD88" s="6617">
        <f t="shared" ref="DD88" si="108">DC88-DB88</f>
        <v>-0.61913894461934449</v>
      </c>
      <c r="DF88" s="4439"/>
      <c r="DG88" s="4439"/>
    </row>
    <row r="89" spans="1:111" ht="15.45" thickBot="1" x14ac:dyDescent="0.6">
      <c r="A89" s="6639"/>
      <c r="B89" s="6640" t="s">
        <v>1214</v>
      </c>
      <c r="C89" s="6639"/>
      <c r="D89" s="6639"/>
      <c r="E89" s="6639"/>
      <c r="F89" s="6641">
        <v>-1.4255246608009111</v>
      </c>
      <c r="G89" s="6642">
        <v>3.2608457115755787</v>
      </c>
      <c r="H89" s="6642">
        <v>1.3443926697140323</v>
      </c>
      <c r="I89" s="6642">
        <v>-0.6443263466117588</v>
      </c>
      <c r="J89" s="6642">
        <v>-3.2551876079368531</v>
      </c>
      <c r="K89" s="6642">
        <v>-3.9413241432921575E-2</v>
      </c>
      <c r="L89" s="6642">
        <v>0.84992312144126048</v>
      </c>
      <c r="M89" s="6642">
        <v>0.70024377612659838</v>
      </c>
      <c r="N89" s="6642">
        <v>1.0386659414633019</v>
      </c>
      <c r="O89" s="6642">
        <v>0.75201997620189009</v>
      </c>
      <c r="P89" s="6642">
        <v>1.2207150475406725</v>
      </c>
      <c r="Q89" s="6643">
        <v>0.14698181764010543</v>
      </c>
      <c r="R89" s="6644">
        <v>0.49485677230284209</v>
      </c>
      <c r="S89" s="6645">
        <v>1.1327027078676917</v>
      </c>
      <c r="T89" s="6645">
        <v>0.37917709595351312</v>
      </c>
      <c r="U89" s="6645">
        <v>1.3165582644159404</v>
      </c>
      <c r="V89" s="6645">
        <v>0.63906183576692499</v>
      </c>
      <c r="W89" s="6645">
        <v>0.45381183983886841</v>
      </c>
      <c r="X89" s="6645">
        <v>1.0964226782587274</v>
      </c>
      <c r="Y89" s="6645">
        <v>0.48159132655187542</v>
      </c>
      <c r="Z89" s="6645">
        <v>-0.15365572017228296</v>
      </c>
      <c r="AA89" s="6645">
        <v>1.1126918718440049</v>
      </c>
      <c r="AB89" s="6645">
        <v>4.3668987670573423E-2</v>
      </c>
      <c r="AC89" s="6646">
        <v>-0.23956172704129763</v>
      </c>
      <c r="AD89" s="6645">
        <v>0.7653319768122322</v>
      </c>
      <c r="AE89" s="6645">
        <v>0.65017113198042054</v>
      </c>
      <c r="AF89" s="6645">
        <v>0.41474198142274715</v>
      </c>
      <c r="AG89" s="6645">
        <v>0.55016147312188846</v>
      </c>
      <c r="AH89" s="6645">
        <v>0.37813115261423036</v>
      </c>
      <c r="AI89" s="6645">
        <v>0.32163324786954012</v>
      </c>
      <c r="AJ89" s="6645">
        <v>0.31628918144600526</v>
      </c>
      <c r="AK89" s="6645">
        <v>0.34826902725166264</v>
      </c>
      <c r="AL89" s="6645">
        <v>0.30738534831332642</v>
      </c>
      <c r="AM89" s="6645">
        <v>0.23663368338045648</v>
      </c>
      <c r="AN89" s="6645">
        <v>0.15799255136811174</v>
      </c>
      <c r="AO89" s="6645">
        <v>0.18490180079064802</v>
      </c>
      <c r="AP89" s="6646"/>
      <c r="AQ89" s="6647">
        <v>-0.15736810155336389</v>
      </c>
      <c r="AR89" s="6648">
        <v>-1.9541969623395072</v>
      </c>
      <c r="AS89" s="6648">
        <v>-1.5340165052941934</v>
      </c>
      <c r="AT89" s="6648">
        <v>-1.2432649210096063</v>
      </c>
      <c r="AU89" s="6648">
        <v>-2.8446888401543582</v>
      </c>
      <c r="AV89" s="6648">
        <v>-0.82711413700918257</v>
      </c>
      <c r="AW89" s="6648">
        <v>3.0722903896203135E-3</v>
      </c>
      <c r="AX89" s="6648">
        <v>-2.8801265279603712</v>
      </c>
      <c r="AY89" s="6648">
        <v>-2.8124818149742232</v>
      </c>
      <c r="AZ89" s="6648">
        <v>-1.7787012930796209</v>
      </c>
      <c r="BA89" s="6648">
        <v>3.0488021770413738</v>
      </c>
      <c r="BB89" s="6648">
        <v>0.69090815425804841</v>
      </c>
      <c r="BC89" s="6649">
        <v>-12.289176481685383</v>
      </c>
      <c r="BD89" s="6650">
        <f>BD79-BD80-BD81-BD82-BD84-BD87-BD88</f>
        <v>-5.5691502037547025E-5</v>
      </c>
      <c r="BE89" s="6551">
        <f t="shared" ref="BE89:BO89" si="109">BE79-BE80-BE81-BE82-BE84-BE87-BE88</f>
        <v>-8.0824236192711396E-14</v>
      </c>
      <c r="BF89" s="6551">
        <f t="shared" si="109"/>
        <v>0.12321481004868629</v>
      </c>
      <c r="BG89" s="6551">
        <f t="shared" si="109"/>
        <v>-3.0518499992027159E-5</v>
      </c>
      <c r="BH89" s="6551">
        <f t="shared" si="109"/>
        <v>-8.9000000178529604E-6</v>
      </c>
      <c r="BI89" s="6551">
        <f t="shared" si="109"/>
        <v>2.4757973449140991E-14</v>
      </c>
      <c r="BJ89" s="6551">
        <f t="shared" si="109"/>
        <v>-2.5835177999731229E-3</v>
      </c>
      <c r="BK89" s="6551">
        <f t="shared" si="109"/>
        <v>2.6999999969135047E-7</v>
      </c>
      <c r="BL89" s="6651">
        <f t="shared" si="109"/>
        <v>3.0198066269804258E-14</v>
      </c>
      <c r="BM89" s="6651">
        <f t="shared" si="109"/>
        <v>-4.6185277824406512E-14</v>
      </c>
      <c r="BN89" s="6651">
        <f t="shared" si="109"/>
        <v>2.4036328483134639E-14</v>
      </c>
      <c r="BO89" s="6651">
        <f t="shared" si="109"/>
        <v>-2.2093438190040615E-14</v>
      </c>
      <c r="BP89" s="6652">
        <v>0.12053645224659532</v>
      </c>
      <c r="BQ89" s="6553">
        <f t="shared" ref="BQ89:CB89" si="110">BQ79-BQ80-BQ81-BQ82-BQ84-BQ87-BQ88-BQ83</f>
        <v>1.9362411600106988E-2</v>
      </c>
      <c r="BR89" s="6553">
        <f t="shared" si="110"/>
        <v>-2.2741299998250142E-3</v>
      </c>
      <c r="BS89" s="6553">
        <f t="shared" si="110"/>
        <v>-2.4133400000030392E-3</v>
      </c>
      <c r="BT89" s="6553">
        <f t="shared" si="110"/>
        <v>-1.4477308241112041E-13</v>
      </c>
      <c r="BU89" s="6553">
        <f t="shared" si="110"/>
        <v>2.9090800002684603E-4</v>
      </c>
      <c r="BV89" s="6553">
        <f t="shared" si="110"/>
        <v>1.794120407794253E-13</v>
      </c>
      <c r="BW89" s="6553">
        <f t="shared" si="110"/>
        <v>0</v>
      </c>
      <c r="BX89" s="6553">
        <f t="shared" si="110"/>
        <v>-9.7699626167013776E-15</v>
      </c>
      <c r="BY89" s="6553">
        <f t="shared" si="110"/>
        <v>-8.5709217501062085E-14</v>
      </c>
      <c r="BZ89" s="6553">
        <f t="shared" si="110"/>
        <v>-2.1316282072803006E-14</v>
      </c>
      <c r="CA89" s="6553">
        <f t="shared" si="110"/>
        <v>-7.9936057773011271E-15</v>
      </c>
      <c r="CB89" s="6553">
        <f t="shared" si="110"/>
        <v>2.9309887850104133E-14</v>
      </c>
      <c r="CC89" s="6653"/>
      <c r="CD89" s="6653"/>
      <c r="CE89" s="6654">
        <f t="shared" si="107"/>
        <v>3.730349362740526E-14</v>
      </c>
      <c r="CF89" s="6655">
        <f>HLOOKUP($E$2,$BQ$2:$CB$505,ROW()-1,0)-HLOOKUP($E$2,$BD$2:$BO$412,ROW()-1,0)</f>
        <v>5.1403326040144748E-14</v>
      </c>
      <c r="CG89" s="6655"/>
      <c r="CH89" s="6656">
        <f t="shared" si="98"/>
        <v>1.496584960024494E-2</v>
      </c>
      <c r="CI89" s="6653"/>
      <c r="CJ89" s="6653"/>
      <c r="CK89" s="6657">
        <f t="shared" si="95"/>
        <v>-0.10557060264635038</v>
      </c>
      <c r="CL89" s="5138"/>
      <c r="CM89" s="2488"/>
      <c r="CN89" s="2488"/>
      <c r="CO89" s="2488"/>
      <c r="CP89" s="2488"/>
      <c r="CQ89" s="2488"/>
      <c r="CR89" s="2488"/>
      <c r="CS89" s="2488"/>
      <c r="CT89" s="2488"/>
      <c r="CU89" s="2488"/>
      <c r="CV89" s="2488"/>
      <c r="CW89" s="2488"/>
      <c r="CX89" s="2488"/>
      <c r="CY89" s="2488"/>
      <c r="CZ89" s="2488"/>
      <c r="DB89" s="4439"/>
      <c r="DC89" s="4439"/>
      <c r="DF89" s="4439"/>
      <c r="DG89" s="4439"/>
    </row>
    <row r="90" spans="1:111" ht="3" customHeight="1" thickBot="1" x14ac:dyDescent="0.6">
      <c r="B90" s="5076"/>
      <c r="F90" s="2426"/>
      <c r="AD90" s="6658"/>
      <c r="AO90" s="2493"/>
      <c r="AP90" s="6659"/>
      <c r="AQ90" s="6158"/>
      <c r="AR90" s="6159"/>
      <c r="AS90" s="6159"/>
      <c r="AT90" s="6159"/>
      <c r="AU90" s="6159"/>
      <c r="AV90" s="6159"/>
      <c r="AW90" s="6159"/>
      <c r="AX90" s="6159"/>
      <c r="AY90" s="6159"/>
      <c r="AZ90" s="6159"/>
      <c r="BA90" s="6159"/>
      <c r="BB90" s="6159"/>
      <c r="BC90" s="6160"/>
      <c r="BD90" s="2685"/>
      <c r="BE90" s="6448"/>
      <c r="BF90" s="6448"/>
      <c r="BG90" s="2790"/>
      <c r="BH90" s="2790"/>
      <c r="BI90" s="2685"/>
      <c r="BJ90" s="2685"/>
      <c r="BK90" s="2685"/>
      <c r="BL90" s="2685"/>
      <c r="BM90" s="2685"/>
      <c r="BN90" s="2790"/>
      <c r="BO90" s="2685"/>
      <c r="BP90" s="6449"/>
      <c r="BQ90" s="2685"/>
      <c r="BR90" s="6450"/>
      <c r="BS90" s="6448"/>
      <c r="BT90" s="6451"/>
      <c r="BU90" s="2790"/>
      <c r="BV90" s="2685"/>
      <c r="BW90" s="2685"/>
      <c r="BX90" s="2685"/>
      <c r="BY90" s="2685"/>
      <c r="BZ90" s="2685"/>
      <c r="CA90" s="2790"/>
      <c r="CB90" s="2685"/>
      <c r="CC90" s="6660"/>
      <c r="CD90" s="2691"/>
      <c r="CE90" s="6166"/>
      <c r="CF90" s="2509"/>
      <c r="CG90" s="2509"/>
      <c r="CH90" s="2509"/>
      <c r="CI90" s="2509"/>
      <c r="CJ90" s="2691"/>
      <c r="CK90" s="6661"/>
      <c r="CL90" s="5138"/>
      <c r="CM90" s="2488"/>
      <c r="CN90" s="2488"/>
      <c r="CO90" s="2488"/>
      <c r="CP90" s="2488"/>
      <c r="CQ90" s="2488"/>
      <c r="CR90" s="2488"/>
      <c r="CS90" s="2488"/>
      <c r="CT90" s="2488"/>
      <c r="CU90" s="2488"/>
      <c r="CV90" s="2488"/>
      <c r="CW90" s="2488"/>
      <c r="CX90" s="2488"/>
      <c r="CY90" s="2488"/>
      <c r="CZ90" s="2488"/>
      <c r="DB90" s="4439"/>
      <c r="DC90" s="4439"/>
      <c r="DF90" s="4439"/>
      <c r="DG90" s="4439"/>
    </row>
    <row r="91" spans="1:111" ht="16.3" customHeight="1" x14ac:dyDescent="0.55000000000000004">
      <c r="A91" s="6662" t="s">
        <v>19</v>
      </c>
      <c r="B91" s="6663" t="s">
        <v>627</v>
      </c>
      <c r="C91" s="6664"/>
      <c r="D91" s="6664"/>
      <c r="E91" s="6664"/>
      <c r="F91" s="6664"/>
      <c r="G91" s="6664"/>
      <c r="H91" s="6664"/>
      <c r="I91" s="6664"/>
      <c r="J91" s="6664"/>
      <c r="K91" s="6664"/>
      <c r="L91" s="6664"/>
      <c r="M91" s="6664"/>
      <c r="N91" s="6664"/>
      <c r="O91" s="6664"/>
      <c r="P91" s="6664"/>
      <c r="Q91" s="6664"/>
      <c r="R91" s="6664"/>
      <c r="S91" s="6664"/>
      <c r="T91" s="6664"/>
      <c r="U91" s="6664"/>
      <c r="V91" s="6664"/>
      <c r="W91" s="6664"/>
      <c r="X91" s="6664"/>
      <c r="Y91" s="6664"/>
      <c r="Z91" s="6664"/>
      <c r="AA91" s="6664"/>
      <c r="AB91" s="6664"/>
      <c r="AC91" s="6664"/>
      <c r="AD91" s="6665"/>
      <c r="AE91" s="6665"/>
      <c r="AF91" s="6665"/>
      <c r="AG91" s="6665"/>
      <c r="AH91" s="6665"/>
      <c r="AI91" s="6666"/>
      <c r="AJ91" s="6665"/>
      <c r="AK91" s="6665"/>
      <c r="AL91" s="6665"/>
      <c r="AM91" s="6665"/>
      <c r="AN91" s="6665"/>
      <c r="AO91" s="6665"/>
      <c r="AP91" s="6665"/>
      <c r="AQ91" s="6667">
        <v>35.996788391636358</v>
      </c>
      <c r="AR91" s="6667">
        <v>50.369666987272709</v>
      </c>
      <c r="AS91" s="6667">
        <v>49.413630111239669</v>
      </c>
      <c r="AT91" s="6667">
        <v>48.200246860000007</v>
      </c>
      <c r="AU91" s="6667">
        <v>49.260026492727285</v>
      </c>
      <c r="AV91" s="6667">
        <v>49.793822091818186</v>
      </c>
      <c r="AW91" s="6667">
        <v>41.980611717272723</v>
      </c>
      <c r="AX91" s="6667">
        <v>68.768329327272696</v>
      </c>
      <c r="AY91" s="6667">
        <v>26.686068297272726</v>
      </c>
      <c r="AZ91" s="6667">
        <v>54.909769006363646</v>
      </c>
      <c r="BA91" s="6667">
        <v>37.993234735454543</v>
      </c>
      <c r="BB91" s="6667">
        <v>29.687055260000001</v>
      </c>
      <c r="BC91" s="6668">
        <v>543.05924927833053</v>
      </c>
      <c r="BD91" s="6669">
        <f>BD92-BD93</f>
        <v>61.890885635332353</v>
      </c>
      <c r="BE91" s="6669">
        <f>BE92-BE93</f>
        <v>41.471593996722717</v>
      </c>
      <c r="BF91" s="6669">
        <f t="shared" ref="BF91:BM91" si="111">BF92-BF93</f>
        <v>44.534866604850748</v>
      </c>
      <c r="BG91" s="6669">
        <f t="shared" si="111"/>
        <v>43.576128032736065</v>
      </c>
      <c r="BH91" s="6669">
        <f t="shared" si="111"/>
        <v>41.450255873778104</v>
      </c>
      <c r="BI91" s="6669">
        <f t="shared" si="111"/>
        <v>35.963378769175996</v>
      </c>
      <c r="BJ91" s="6669">
        <f t="shared" si="111"/>
        <v>42.195841433048273</v>
      </c>
      <c r="BK91" s="6669">
        <f t="shared" si="111"/>
        <v>41.767027006363641</v>
      </c>
      <c r="BL91" s="6669">
        <f t="shared" si="111"/>
        <v>44.876657561022299</v>
      </c>
      <c r="BM91" s="6669">
        <f t="shared" si="111"/>
        <v>49.167865719799366</v>
      </c>
      <c r="BN91" s="6669">
        <f>BN92-BN93</f>
        <v>37.67975550785853</v>
      </c>
      <c r="BO91" s="6669">
        <v>31.205908869909081</v>
      </c>
      <c r="BP91" s="6670">
        <v>515.7801650105971</v>
      </c>
      <c r="BQ91" s="6671">
        <f t="shared" ref="BQ91:CB91" si="112">BQ92-BQ93</f>
        <v>24.067238944545437</v>
      </c>
      <c r="BR91" s="6671">
        <f t="shared" si="112"/>
        <v>68.053799269391433</v>
      </c>
      <c r="BS91" s="6671">
        <f t="shared" si="112"/>
        <v>42.949809115396675</v>
      </c>
      <c r="BT91" s="6671">
        <f t="shared" si="112"/>
        <v>50.045992181200191</v>
      </c>
      <c r="BU91" s="6671">
        <f t="shared" si="112"/>
        <v>69.60673328530072</v>
      </c>
      <c r="BV91" s="6671">
        <f t="shared" si="112"/>
        <v>35.762452230000008</v>
      </c>
      <c r="BW91" s="6671">
        <f t="shared" si="112"/>
        <v>60.673675657387378</v>
      </c>
      <c r="BX91" s="6671">
        <f t="shared" si="112"/>
        <v>43.391242504016716</v>
      </c>
      <c r="BY91" s="6671">
        <f t="shared" si="112"/>
        <v>44.822185365034755</v>
      </c>
      <c r="BZ91" s="6671">
        <f t="shared" si="112"/>
        <v>43.88236302324227</v>
      </c>
      <c r="CA91" s="6671">
        <f t="shared" si="112"/>
        <v>32.112729876430791</v>
      </c>
      <c r="CB91" s="6671">
        <f t="shared" si="112"/>
        <v>35.349547646615179</v>
      </c>
      <c r="CC91" s="6672"/>
      <c r="CD91" s="6673"/>
      <c r="CE91" s="6674">
        <f t="shared" ref="CE91:CE154" si="113">CB91-CA91</f>
        <v>3.2368177701843877</v>
      </c>
      <c r="CF91" s="2854">
        <f t="shared" ref="CF91:CF122" si="114">HLOOKUP($E$2,$BQ$2:$CB$505,ROW()-1,0)-HLOOKUP($E$2,$BD$2:$BO$412,ROW()-1,0)</f>
        <v>4.1436387767060978</v>
      </c>
      <c r="CG91" s="2854"/>
      <c r="CH91" s="6675">
        <f t="shared" ref="CH91:CH154" si="115">SUM(BQ91:CB91)</f>
        <v>550.71776909856158</v>
      </c>
      <c r="CI91" s="6676"/>
      <c r="CJ91" s="6677"/>
      <c r="CK91" s="6678">
        <f t="shared" ref="CK91:CK122" si="116">CH91-SUM(BD91:BO91)</f>
        <v>34.937604087964473</v>
      </c>
      <c r="CL91" s="5138"/>
      <c r="CM91" s="2488"/>
      <c r="CN91" s="2488"/>
      <c r="CO91" s="2488"/>
      <c r="CP91" s="2488"/>
      <c r="CQ91" s="2488"/>
      <c r="CR91" s="2488"/>
      <c r="CS91" s="2488"/>
      <c r="CT91" s="2488"/>
      <c r="CU91" s="2488"/>
      <c r="CV91" s="2488"/>
      <c r="CW91" s="2488"/>
      <c r="CX91" s="2488"/>
      <c r="CY91" s="2488"/>
      <c r="CZ91" s="2488"/>
      <c r="DB91" s="4439"/>
      <c r="DC91" s="4439"/>
      <c r="DF91" s="4439"/>
      <c r="DG91" s="4439"/>
    </row>
    <row r="92" spans="1:111" ht="16.3" customHeight="1" x14ac:dyDescent="0.55000000000000004">
      <c r="A92" s="6679"/>
      <c r="C92" s="3189" t="s">
        <v>6</v>
      </c>
      <c r="D92" s="3189"/>
      <c r="E92" s="3189"/>
      <c r="F92" s="3189"/>
      <c r="G92" s="3189"/>
      <c r="H92" s="3189"/>
      <c r="I92" s="3189"/>
      <c r="J92" s="3189"/>
      <c r="K92" s="3189"/>
      <c r="L92" s="3189"/>
      <c r="M92" s="3189"/>
      <c r="N92" s="3189"/>
      <c r="O92" s="3189"/>
      <c r="P92" s="3189"/>
      <c r="Q92" s="3189"/>
      <c r="R92" s="3189"/>
      <c r="S92" s="3189"/>
      <c r="T92" s="3189"/>
      <c r="U92" s="3189"/>
      <c r="V92" s="3189"/>
      <c r="W92" s="3189"/>
      <c r="X92" s="3189"/>
      <c r="Y92" s="3189"/>
      <c r="Z92" s="3189"/>
      <c r="AA92" s="3189"/>
      <c r="AB92" s="3189"/>
      <c r="AC92" s="3189"/>
      <c r="AD92" s="3189"/>
      <c r="AE92" s="3189"/>
      <c r="AF92" s="3189"/>
      <c r="AG92" s="3189"/>
      <c r="AH92" s="3189"/>
      <c r="AI92" s="3189"/>
      <c r="AJ92" s="3189"/>
      <c r="AK92" s="3189"/>
      <c r="AL92" s="3189"/>
      <c r="AM92" s="3189"/>
      <c r="AN92" s="3189"/>
      <c r="AO92" s="6680"/>
      <c r="AP92" s="6681"/>
      <c r="AQ92" s="6682">
        <v>65.196454645454537</v>
      </c>
      <c r="AR92" s="6682">
        <v>101.14363206363635</v>
      </c>
      <c r="AS92" s="6682">
        <v>83.760335400000002</v>
      </c>
      <c r="AT92" s="6682">
        <v>86.435154800000007</v>
      </c>
      <c r="AU92" s="6682">
        <v>88.062806490909097</v>
      </c>
      <c r="AV92" s="6682">
        <v>86.666751163636363</v>
      </c>
      <c r="AW92" s="6682">
        <v>68.686928145454544</v>
      </c>
      <c r="AX92" s="6682">
        <v>136.58719861818179</v>
      </c>
      <c r="AY92" s="6682">
        <v>53.766597872727267</v>
      </c>
      <c r="AZ92" s="6682">
        <v>99.132962363636366</v>
      </c>
      <c r="BA92" s="6682">
        <v>63.846133331818173</v>
      </c>
      <c r="BB92" s="6682">
        <v>50.37641919090909</v>
      </c>
      <c r="BC92" s="6683">
        <v>983.66137408636359</v>
      </c>
      <c r="BD92" s="2861">
        <v>119.22844173999999</v>
      </c>
      <c r="BE92" s="6414">
        <v>76.720495190452382</v>
      </c>
      <c r="BF92" s="6414">
        <v>78.067282197083799</v>
      </c>
      <c r="BG92" s="2861">
        <v>76.931196384567201</v>
      </c>
      <c r="BH92" s="2861">
        <v>76.158187668242093</v>
      </c>
      <c r="BI92" s="2861">
        <v>74.807018300410789</v>
      </c>
      <c r="BJ92" s="2861">
        <v>133.57699194930106</v>
      </c>
      <c r="BK92" s="2861">
        <v>87.913465349536054</v>
      </c>
      <c r="BL92" s="2861">
        <v>110.98873115148167</v>
      </c>
      <c r="BM92" s="2861">
        <v>88.056731837037901</v>
      </c>
      <c r="BN92" s="2861">
        <v>75.031802942764685</v>
      </c>
      <c r="BO92" s="2861">
        <v>64.713366496306492</v>
      </c>
      <c r="BP92" s="6415">
        <v>1062.1937112071842</v>
      </c>
      <c r="BQ92" s="6684">
        <v>49.550632411397075</v>
      </c>
      <c r="BR92" s="6427">
        <v>143.21312067</v>
      </c>
      <c r="BS92" s="6427">
        <v>82.077539061742797</v>
      </c>
      <c r="BT92" s="6684">
        <v>93.319227909999995</v>
      </c>
      <c r="BU92" s="6684">
        <v>120.71903759999999</v>
      </c>
      <c r="BV92" s="6684">
        <v>87.744517000000002</v>
      </c>
      <c r="BW92" s="2861">
        <v>164.43939725000001</v>
      </c>
      <c r="BX92" s="2861">
        <v>93.738236850000007</v>
      </c>
      <c r="BY92" s="2861">
        <v>110.14978865</v>
      </c>
      <c r="BZ92" s="2861">
        <v>79.773004220000004</v>
      </c>
      <c r="CA92" s="2861">
        <v>66.225831493298131</v>
      </c>
      <c r="CB92" s="2861">
        <v>63.352057251273536</v>
      </c>
      <c r="CC92" s="6609"/>
      <c r="CD92" s="2862"/>
      <c r="CE92" s="6419">
        <f t="shared" si="113"/>
        <v>-2.8737742420245951</v>
      </c>
      <c r="CF92" s="2868">
        <f t="shared" si="114"/>
        <v>-1.361309245032956</v>
      </c>
      <c r="CG92" s="2868"/>
      <c r="CH92" s="6420">
        <f t="shared" si="115"/>
        <v>1154.3023903677113</v>
      </c>
      <c r="CI92" s="6685"/>
      <c r="CJ92" s="2792"/>
      <c r="CK92" s="6686">
        <f t="shared" si="116"/>
        <v>92.108679160527117</v>
      </c>
      <c r="CL92" s="5138"/>
      <c r="CM92" s="2488"/>
      <c r="CN92" s="2488"/>
      <c r="CO92" s="2488"/>
      <c r="CP92" s="2488"/>
      <c r="CQ92" s="2488"/>
      <c r="CR92" s="2488"/>
      <c r="CS92" s="2488"/>
      <c r="CT92" s="2488"/>
      <c r="CU92" s="2488"/>
      <c r="CV92" s="2488"/>
      <c r="CW92" s="2488"/>
      <c r="CX92" s="2488"/>
      <c r="CY92" s="2488"/>
      <c r="CZ92" s="2488"/>
      <c r="DB92" s="4439"/>
      <c r="DC92" s="4439"/>
      <c r="DF92" s="4439"/>
      <c r="DG92" s="4439"/>
    </row>
    <row r="93" spans="1:111" ht="16.3" customHeight="1" x14ac:dyDescent="0.55000000000000004">
      <c r="A93" s="6679"/>
      <c r="C93" s="2441" t="s">
        <v>23</v>
      </c>
      <c r="AO93" s="6687"/>
      <c r="AP93" s="6688"/>
      <c r="AQ93" s="6564">
        <v>29.199666253818179</v>
      </c>
      <c r="AR93" s="6564">
        <v>50.773965076363638</v>
      </c>
      <c r="AS93" s="6564">
        <v>34.346705288760333</v>
      </c>
      <c r="AT93" s="6564">
        <v>38.234907939999999</v>
      </c>
      <c r="AU93" s="6564">
        <v>38.802779998181812</v>
      </c>
      <c r="AV93" s="6564">
        <v>36.872929071818177</v>
      </c>
      <c r="AW93" s="6564">
        <v>26.706316428181818</v>
      </c>
      <c r="AX93" s="6564">
        <v>67.818869290909092</v>
      </c>
      <c r="AY93" s="6564">
        <v>27.080529575454541</v>
      </c>
      <c r="AZ93" s="6564">
        <v>44.22319335727272</v>
      </c>
      <c r="BA93" s="6564">
        <v>25.85289859636363</v>
      </c>
      <c r="BB93" s="6564">
        <v>20.689363930909089</v>
      </c>
      <c r="BC93" s="6689">
        <v>440.60212480803301</v>
      </c>
      <c r="BD93" s="2790">
        <f>BD94+BD95+BD96+BD97</f>
        <v>57.337556104667641</v>
      </c>
      <c r="BE93" s="2790">
        <f t="shared" ref="BE93:BN93" si="117">BE94+BE95+BE96+BE97</f>
        <v>35.248901193729665</v>
      </c>
      <c r="BF93" s="2790">
        <f t="shared" si="117"/>
        <v>33.53241559223305</v>
      </c>
      <c r="BG93" s="2790">
        <f t="shared" si="117"/>
        <v>33.355068351831136</v>
      </c>
      <c r="BH93" s="2790">
        <f t="shared" si="117"/>
        <v>34.707931794463988</v>
      </c>
      <c r="BI93" s="2790">
        <f t="shared" si="117"/>
        <v>38.843639531234793</v>
      </c>
      <c r="BJ93" s="2790">
        <f t="shared" si="117"/>
        <v>91.381150516252788</v>
      </c>
      <c r="BK93" s="2790">
        <f t="shared" si="117"/>
        <v>46.146438343172413</v>
      </c>
      <c r="BL93" s="2790">
        <f t="shared" si="117"/>
        <v>66.112073590459374</v>
      </c>
      <c r="BM93" s="2790">
        <f t="shared" si="117"/>
        <v>38.888866117238535</v>
      </c>
      <c r="BN93" s="2790">
        <f t="shared" si="117"/>
        <v>37.352047434906154</v>
      </c>
      <c r="BO93" s="2790">
        <v>33.507457626397411</v>
      </c>
      <c r="BP93" s="6475">
        <v>546.41354619658705</v>
      </c>
      <c r="BQ93" s="6616">
        <f t="shared" ref="BQ93" si="118">(BQ94+BQ95+BQ96+BQ97)</f>
        <v>25.483393466851638</v>
      </c>
      <c r="BR93" s="6616">
        <f>(BR94+BR95+BR96+BR97)</f>
        <v>75.159321400608562</v>
      </c>
      <c r="BS93" s="6616">
        <f t="shared" ref="BS93:CB93" si="119">(BS94+BS95+BS96+BS97)</f>
        <v>39.127729946346122</v>
      </c>
      <c r="BT93" s="6616">
        <f t="shared" si="119"/>
        <v>43.273235728799804</v>
      </c>
      <c r="BU93" s="6616">
        <f t="shared" si="119"/>
        <v>51.112304314699266</v>
      </c>
      <c r="BV93" s="6616">
        <f t="shared" si="119"/>
        <v>51.982064769999994</v>
      </c>
      <c r="BW93" s="6616">
        <f t="shared" si="119"/>
        <v>103.76572159261264</v>
      </c>
      <c r="BX93" s="6616">
        <f t="shared" si="119"/>
        <v>50.34699434598329</v>
      </c>
      <c r="BY93" s="6616">
        <f t="shared" si="119"/>
        <v>65.327603284965249</v>
      </c>
      <c r="BZ93" s="6616">
        <f t="shared" si="119"/>
        <v>35.890641196757734</v>
      </c>
      <c r="CA93" s="6616">
        <f t="shared" si="119"/>
        <v>34.11310161686734</v>
      </c>
      <c r="CB93" s="6616">
        <f t="shared" si="119"/>
        <v>28.002509604658357</v>
      </c>
      <c r="CC93" s="6609"/>
      <c r="CD93" s="2862"/>
      <c r="CE93" s="6166">
        <f t="shared" si="113"/>
        <v>-6.1105920122089827</v>
      </c>
      <c r="CF93" s="2509">
        <f t="shared" si="114"/>
        <v>-5.5049480217390538</v>
      </c>
      <c r="CG93" s="2509"/>
      <c r="CH93" s="6399">
        <f t="shared" si="115"/>
        <v>603.58462126914992</v>
      </c>
      <c r="CI93" s="6685"/>
      <c r="CJ93" s="2792"/>
      <c r="CK93" s="6690">
        <f t="shared" si="116"/>
        <v>57.171075072562871</v>
      </c>
      <c r="CL93" s="5138"/>
      <c r="CM93" s="2488"/>
      <c r="CN93" s="2488"/>
      <c r="CO93" s="2488"/>
      <c r="CP93" s="2488"/>
      <c r="CQ93" s="2488"/>
      <c r="CR93" s="2488"/>
      <c r="CS93" s="2488"/>
      <c r="CT93" s="2488"/>
      <c r="CU93" s="2488"/>
      <c r="CV93" s="2488"/>
      <c r="CW93" s="2488"/>
      <c r="CX93" s="2488"/>
      <c r="CY93" s="2488"/>
      <c r="CZ93" s="2488"/>
      <c r="DB93" s="4439"/>
      <c r="DC93" s="4439"/>
      <c r="DF93" s="4439"/>
      <c r="DG93" s="4439"/>
    </row>
    <row r="94" spans="1:111" ht="16.3" customHeight="1" x14ac:dyDescent="0.55000000000000004">
      <c r="A94" s="6679"/>
      <c r="C94" s="2441" t="s">
        <v>24</v>
      </c>
      <c r="AO94" s="6687"/>
      <c r="AP94" s="6688"/>
      <c r="AQ94" s="6564">
        <v>7.7122887109090899</v>
      </c>
      <c r="AR94" s="6564">
        <v>11.901490410909091</v>
      </c>
      <c r="AS94" s="6564">
        <v>8.9812090768595034</v>
      </c>
      <c r="AT94" s="6564">
        <v>10.372193494545455</v>
      </c>
      <c r="AU94" s="6564">
        <v>10.504389683636363</v>
      </c>
      <c r="AV94" s="6564">
        <v>10.180200099999999</v>
      </c>
      <c r="AW94" s="6564">
        <v>8.4619004436363632</v>
      </c>
      <c r="AX94" s="6564">
        <v>13.97991723090909</v>
      </c>
      <c r="AY94" s="6564">
        <v>7.4819694363636362</v>
      </c>
      <c r="AZ94" s="6564">
        <v>9.3093778854545448</v>
      </c>
      <c r="BA94" s="6564">
        <v>8.1333061890909093</v>
      </c>
      <c r="BB94" s="6564">
        <v>7.2586959218181821</v>
      </c>
      <c r="BC94" s="6689">
        <v>114.27693858413225</v>
      </c>
      <c r="BD94" s="2549">
        <v>14.116456569701194</v>
      </c>
      <c r="BE94" s="6474">
        <v>8.9469693379787785</v>
      </c>
      <c r="BF94" s="6474">
        <v>12.581119418804597</v>
      </c>
      <c r="BG94" s="2790">
        <v>13.621088409517725</v>
      </c>
      <c r="BH94" s="2790">
        <v>13.050264436052398</v>
      </c>
      <c r="BI94" s="2790">
        <v>13.785375310614638</v>
      </c>
      <c r="BJ94" s="2790">
        <v>15.68372323078721</v>
      </c>
      <c r="BK94" s="2790">
        <v>12.768331665182023</v>
      </c>
      <c r="BL94" s="2790">
        <v>19.013707982428599</v>
      </c>
      <c r="BM94" s="2790">
        <v>16.064161564672929</v>
      </c>
      <c r="BN94" s="2496">
        <v>14.152064248799741</v>
      </c>
      <c r="BO94" s="2790">
        <v>13.59651703127696</v>
      </c>
      <c r="BP94" s="6475">
        <v>167.37977920581679</v>
      </c>
      <c r="BQ94" s="6691">
        <v>7.9104644652274301</v>
      </c>
      <c r="BR94" s="6450">
        <v>17.394999900912872</v>
      </c>
      <c r="BS94" s="6450">
        <v>12.084511063113663</v>
      </c>
      <c r="BT94" s="6616">
        <v>15.023257278323857</v>
      </c>
      <c r="BU94" s="6616">
        <v>22.163099175165716</v>
      </c>
      <c r="BV94" s="6616">
        <v>16.24987459444257</v>
      </c>
      <c r="BW94" s="2790">
        <v>29.468650897485755</v>
      </c>
      <c r="BX94" s="2790">
        <v>12.48779545</v>
      </c>
      <c r="BY94" s="2790">
        <v>18.268366990000001</v>
      </c>
      <c r="BZ94" s="2790">
        <v>10.045943704817908</v>
      </c>
      <c r="CA94" s="2790">
        <v>10.25515772</v>
      </c>
      <c r="CB94" s="2790">
        <v>9.1685994097887971</v>
      </c>
      <c r="CC94" s="6609"/>
      <c r="CD94" s="2862"/>
      <c r="CE94" s="6166">
        <f t="shared" si="113"/>
        <v>-1.0865583102112026</v>
      </c>
      <c r="CF94" s="2509">
        <f t="shared" si="114"/>
        <v>-4.427917621488163</v>
      </c>
      <c r="CG94" s="2509"/>
      <c r="CH94" s="6288">
        <f t="shared" si="115"/>
        <v>180.52072064927859</v>
      </c>
      <c r="CI94" s="6685"/>
      <c r="CJ94" s="2792"/>
      <c r="CK94" s="6690">
        <f t="shared" si="116"/>
        <v>13.140941443461799</v>
      </c>
      <c r="CL94" s="5138"/>
      <c r="CM94" s="2488"/>
      <c r="CN94" s="2488"/>
      <c r="CO94" s="2488"/>
      <c r="CP94" s="2488"/>
      <c r="CQ94" s="2488"/>
      <c r="CR94" s="2488"/>
      <c r="CS94" s="2488"/>
      <c r="CT94" s="2488"/>
      <c r="CU94" s="2488"/>
      <c r="CV94" s="2488"/>
      <c r="CW94" s="2488"/>
      <c r="CX94" s="2488"/>
      <c r="CY94" s="2488"/>
      <c r="CZ94" s="2488"/>
      <c r="DB94" s="4439"/>
      <c r="DC94" s="4439"/>
      <c r="DF94" s="4439"/>
      <c r="DG94" s="4439"/>
    </row>
    <row r="95" spans="1:111" ht="16.3" customHeight="1" x14ac:dyDescent="0.55000000000000004">
      <c r="A95" s="6679"/>
      <c r="C95" s="2441" t="s">
        <v>25</v>
      </c>
      <c r="AO95" s="6687"/>
      <c r="AP95" s="6688"/>
      <c r="AQ95" s="6564">
        <v>1.6747488727272726</v>
      </c>
      <c r="AR95" s="6564">
        <v>1.5234070554545456</v>
      </c>
      <c r="AS95" s="6564">
        <v>1.4427309090909091</v>
      </c>
      <c r="AT95" s="6564">
        <v>1.7052554263636364</v>
      </c>
      <c r="AU95" s="6564">
        <v>1.7315281272727272</v>
      </c>
      <c r="AV95" s="6564">
        <v>1.5730385899999999</v>
      </c>
      <c r="AW95" s="6564">
        <v>1.7928756027272725</v>
      </c>
      <c r="AX95" s="6564">
        <v>1.7078381509090912</v>
      </c>
      <c r="AY95" s="6564">
        <v>1.1906911754545453</v>
      </c>
      <c r="AZ95" s="6564">
        <v>1.2444138718181816</v>
      </c>
      <c r="BA95" s="6564">
        <v>1.4322500163636365</v>
      </c>
      <c r="BB95" s="6564">
        <v>0</v>
      </c>
      <c r="BC95" s="6689">
        <v>17.018777798181819</v>
      </c>
      <c r="BD95" s="2549">
        <v>1.9540003322298836</v>
      </c>
      <c r="BE95" s="6474">
        <v>1.4050035536981267</v>
      </c>
      <c r="BF95" s="6474">
        <v>1.558139962704383</v>
      </c>
      <c r="BG95" s="2790">
        <v>1.0748078064778677</v>
      </c>
      <c r="BH95" s="2790">
        <v>1.0649191277923999</v>
      </c>
      <c r="BI95" s="2790">
        <v>1.0751356867468416</v>
      </c>
      <c r="BJ95" s="2790">
        <v>1.5252934199758881</v>
      </c>
      <c r="BK95" s="2790">
        <v>1.2103839596955981</v>
      </c>
      <c r="BL95" s="2790">
        <v>1.2278609953337696</v>
      </c>
      <c r="BM95" s="2790">
        <v>0.22224247770551994</v>
      </c>
      <c r="BN95" s="2790">
        <v>1.3924325361194385</v>
      </c>
      <c r="BO95" s="2790">
        <v>1.5423091887568499</v>
      </c>
      <c r="BP95" s="6475">
        <v>15.252529047236566</v>
      </c>
      <c r="BQ95" s="6691">
        <v>0.98007273795483885</v>
      </c>
      <c r="BR95" s="6450">
        <v>1.1496982228085242</v>
      </c>
      <c r="BS95" s="6450">
        <v>1.0728063849721623</v>
      </c>
      <c r="BT95" s="6450">
        <v>1.1623531950213895</v>
      </c>
      <c r="BU95" s="6616">
        <v>1.2635918204426471</v>
      </c>
      <c r="BV95" s="6616">
        <v>1.1441234756098986</v>
      </c>
      <c r="BW95" s="2790">
        <v>1.7072715269450676</v>
      </c>
      <c r="BX95" s="2790">
        <v>1.3639231478014675</v>
      </c>
      <c r="BY95" s="2790">
        <v>1.3084622907097614</v>
      </c>
      <c r="BZ95" s="2790">
        <v>0.98828134104104792</v>
      </c>
      <c r="CA95" s="2790">
        <v>0.90658444595825705</v>
      </c>
      <c r="CB95" s="2790">
        <v>1.21084782668774</v>
      </c>
      <c r="CC95" s="6609"/>
      <c r="CD95" s="2862"/>
      <c r="CE95" s="6166">
        <f t="shared" si="113"/>
        <v>0.304263380729483</v>
      </c>
      <c r="CF95" s="2509">
        <f t="shared" si="114"/>
        <v>-0.33146136206910981</v>
      </c>
      <c r="CG95" s="2509"/>
      <c r="CH95" s="6288">
        <f t="shared" si="115"/>
        <v>14.258016415952801</v>
      </c>
      <c r="CI95" s="6685"/>
      <c r="CJ95" s="2792"/>
      <c r="CK95" s="6690">
        <f t="shared" si="116"/>
        <v>-0.9945126312837651</v>
      </c>
      <c r="CL95" s="5138"/>
      <c r="CM95" s="2488"/>
      <c r="CN95" s="2488"/>
      <c r="CO95" s="2488"/>
      <c r="CP95" s="2488"/>
      <c r="CQ95" s="2488"/>
      <c r="CR95" s="2488"/>
      <c r="CS95" s="2488"/>
      <c r="CT95" s="2488"/>
      <c r="CU95" s="2488"/>
      <c r="CV95" s="2488"/>
      <c r="CW95" s="2488"/>
      <c r="CX95" s="2488"/>
      <c r="CY95" s="2488"/>
      <c r="CZ95" s="2488"/>
      <c r="DB95" s="4439"/>
      <c r="DC95" s="4439"/>
      <c r="DF95" s="4439"/>
      <c r="DG95" s="4439"/>
    </row>
    <row r="96" spans="1:111" ht="16.3" customHeight="1" x14ac:dyDescent="0.55000000000000004">
      <c r="A96" s="6692"/>
      <c r="C96" s="2441" t="s">
        <v>26</v>
      </c>
      <c r="AO96" s="6687"/>
      <c r="AP96" s="6688"/>
      <c r="AQ96" s="6564">
        <v>10.689534488363636</v>
      </c>
      <c r="AR96" s="6564">
        <v>15.642738236363636</v>
      </c>
      <c r="AS96" s="6564">
        <v>10.687649021818181</v>
      </c>
      <c r="AT96" s="6564">
        <v>8.502718546363635</v>
      </c>
      <c r="AU96" s="6564">
        <v>9.1463444599999999</v>
      </c>
      <c r="AV96" s="6564">
        <v>8.3444189909090909</v>
      </c>
      <c r="AW96" s="6564">
        <v>5.2833142909090904</v>
      </c>
      <c r="AX96" s="6564">
        <v>16.273742727272726</v>
      </c>
      <c r="AY96" s="6564">
        <v>9.7530975090909084</v>
      </c>
      <c r="AZ96" s="6564">
        <v>12.161371454545455</v>
      </c>
      <c r="BA96" s="6564">
        <v>7.1786270272727259</v>
      </c>
      <c r="BB96" s="6564">
        <v>7.6757730999999998</v>
      </c>
      <c r="BC96" s="6689">
        <v>121.3393298529091</v>
      </c>
      <c r="BD96" s="2549">
        <v>11.262427875463825</v>
      </c>
      <c r="BE96" s="6474">
        <v>8.4311676020527546</v>
      </c>
      <c r="BF96" s="6474">
        <v>7.220748056178615</v>
      </c>
      <c r="BG96" s="2790">
        <v>7.7112466994719115</v>
      </c>
      <c r="BH96" s="2790">
        <v>9.0133890488009936</v>
      </c>
      <c r="BI96" s="2790">
        <v>8.8778638338733149</v>
      </c>
      <c r="BJ96" s="2790">
        <v>19.030506355489692</v>
      </c>
      <c r="BK96" s="2790">
        <v>11.539077863749338</v>
      </c>
      <c r="BL96" s="2790">
        <v>10.654472258151575</v>
      </c>
      <c r="BM96" s="2790">
        <v>7.760194693041897</v>
      </c>
      <c r="BN96" s="2790">
        <v>5.6744923318051681</v>
      </c>
      <c r="BO96" s="2790">
        <v>6.3559089699999998</v>
      </c>
      <c r="BP96" s="6475">
        <v>113.53149558807908</v>
      </c>
      <c r="BQ96" s="6691">
        <v>2.2204281809386961</v>
      </c>
      <c r="BR96" s="6450">
        <v>12.910237649614468</v>
      </c>
      <c r="BS96" s="6450">
        <v>8.4122885573511983</v>
      </c>
      <c r="BT96" s="6450">
        <v>9.0208929599999994</v>
      </c>
      <c r="BU96" s="6616">
        <v>8.2571301100000003</v>
      </c>
      <c r="BV96" s="6616">
        <v>18.533651772674812</v>
      </c>
      <c r="BW96" s="2790">
        <v>15.30004145</v>
      </c>
      <c r="BX96" s="2790">
        <v>10.21333343</v>
      </c>
      <c r="BY96" s="2790">
        <v>10.524390322437281</v>
      </c>
      <c r="BZ96" s="2790">
        <v>6.9623041145351294</v>
      </c>
      <c r="CA96" s="2790">
        <v>4.7091784299999997</v>
      </c>
      <c r="CB96" s="2790">
        <v>3.3579115499999999</v>
      </c>
      <c r="CC96" s="6609"/>
      <c r="CD96" s="2862"/>
      <c r="CE96" s="6166">
        <f t="shared" si="113"/>
        <v>-1.3512668799999998</v>
      </c>
      <c r="CF96" s="2509">
        <f t="shared" si="114"/>
        <v>-2.9979974199999999</v>
      </c>
      <c r="CG96" s="2509"/>
      <c r="CH96" s="6288">
        <f t="shared" si="115"/>
        <v>110.42178852755157</v>
      </c>
      <c r="CI96" s="6685"/>
      <c r="CJ96" s="2792"/>
      <c r="CK96" s="6690">
        <f t="shared" si="116"/>
        <v>-3.1097070605275121</v>
      </c>
      <c r="CL96" s="5138"/>
      <c r="CM96" s="2488"/>
      <c r="CN96" s="2488"/>
      <c r="CO96" s="2488"/>
      <c r="CP96" s="2488"/>
      <c r="CQ96" s="2488"/>
      <c r="CR96" s="2488"/>
      <c r="CS96" s="2488"/>
      <c r="CT96" s="2488"/>
      <c r="CU96" s="2488"/>
      <c r="CV96" s="2488"/>
      <c r="CW96" s="2488"/>
      <c r="CX96" s="2488"/>
      <c r="CY96" s="2488"/>
      <c r="CZ96" s="2488"/>
      <c r="DB96" s="4439"/>
      <c r="DC96" s="4439"/>
      <c r="DF96" s="4439"/>
      <c r="DG96" s="4439"/>
    </row>
    <row r="97" spans="1:111" ht="16.3" customHeight="1" x14ac:dyDescent="0.55000000000000004">
      <c r="A97" s="6692"/>
      <c r="C97" s="2441" t="s">
        <v>27</v>
      </c>
      <c r="AO97" s="6687"/>
      <c r="AP97" s="6688"/>
      <c r="AQ97" s="6564">
        <v>9.1230941818181819</v>
      </c>
      <c r="AR97" s="6564">
        <v>21.706329373636365</v>
      </c>
      <c r="AS97" s="6564">
        <v>13.235116280991736</v>
      </c>
      <c r="AT97" s="6564">
        <v>17.654740472727269</v>
      </c>
      <c r="AU97" s="6564">
        <v>17.420517727272724</v>
      </c>
      <c r="AV97" s="6564">
        <v>16.775271390909094</v>
      </c>
      <c r="AW97" s="6564">
        <v>11.168226090909091</v>
      </c>
      <c r="AX97" s="6564">
        <v>35.857371181818181</v>
      </c>
      <c r="AY97" s="6564">
        <v>8.6547714545454539</v>
      </c>
      <c r="AZ97" s="6564">
        <v>21.508030145454541</v>
      </c>
      <c r="BA97" s="6564">
        <v>9.108715363636362</v>
      </c>
      <c r="BB97" s="6564">
        <v>5.7548949090909085</v>
      </c>
      <c r="BC97" s="6689">
        <v>187.96707857280992</v>
      </c>
      <c r="BD97" s="2549">
        <v>30.004671327272739</v>
      </c>
      <c r="BE97" s="6474">
        <v>16.465760700000001</v>
      </c>
      <c r="BF97" s="6474">
        <v>12.172408154545455</v>
      </c>
      <c r="BG97" s="2790">
        <v>10.947925436363635</v>
      </c>
      <c r="BH97" s="2790">
        <v>11.5793591818182</v>
      </c>
      <c r="BI97" s="2790">
        <v>15.105264699999999</v>
      </c>
      <c r="BJ97" s="2790">
        <v>55.141627509999999</v>
      </c>
      <c r="BK97" s="2790">
        <v>20.628644854545456</v>
      </c>
      <c r="BL97" s="2790">
        <v>35.216032354545426</v>
      </c>
      <c r="BM97" s="2790">
        <v>14.842267381818189</v>
      </c>
      <c r="BN97" s="2790">
        <v>16.133058318181806</v>
      </c>
      <c r="BO97" s="2790">
        <v>12.0127224363636</v>
      </c>
      <c r="BP97" s="6475">
        <v>250.24974235545449</v>
      </c>
      <c r="BQ97" s="6691">
        <v>14.37242808273067</v>
      </c>
      <c r="BR97" s="6450">
        <v>43.7043856272727</v>
      </c>
      <c r="BS97" s="6450">
        <v>17.558123940909095</v>
      </c>
      <c r="BT97" s="6616">
        <v>18.066732295454553</v>
      </c>
      <c r="BU97" s="6616">
        <v>19.428483209090906</v>
      </c>
      <c r="BV97" s="6616">
        <v>16.05441492727272</v>
      </c>
      <c r="BW97" s="2790">
        <v>57.289757718181818</v>
      </c>
      <c r="BX97" s="2790">
        <v>26.281942318181823</v>
      </c>
      <c r="BY97" s="2790">
        <v>35.226383681818199</v>
      </c>
      <c r="BZ97" s="2790">
        <v>17.894112036363648</v>
      </c>
      <c r="CA97" s="2790">
        <v>18.242181020909079</v>
      </c>
      <c r="CB97" s="2790">
        <v>14.265150818181819</v>
      </c>
      <c r="CC97" s="6609"/>
      <c r="CD97" s="2862"/>
      <c r="CE97" s="6166">
        <f t="shared" si="113"/>
        <v>-3.9770302027272599</v>
      </c>
      <c r="CF97" s="2509">
        <f t="shared" si="114"/>
        <v>2.2524283818182198</v>
      </c>
      <c r="CG97" s="2509"/>
      <c r="CH97" s="6288">
        <f t="shared" si="115"/>
        <v>298.384095676367</v>
      </c>
      <c r="CI97" s="6685"/>
      <c r="CJ97" s="2792"/>
      <c r="CK97" s="6690">
        <f t="shared" si="116"/>
        <v>48.13435332091251</v>
      </c>
      <c r="CL97" s="5138"/>
      <c r="CM97" s="2488"/>
      <c r="CN97" s="2488"/>
      <c r="CO97" s="2488"/>
      <c r="CP97" s="2488"/>
      <c r="CQ97" s="2488"/>
      <c r="CR97" s="2488"/>
      <c r="CS97" s="2488"/>
      <c r="CT97" s="2488"/>
      <c r="CU97" s="2488"/>
      <c r="CV97" s="2488"/>
      <c r="CW97" s="2488"/>
      <c r="CX97" s="2488"/>
      <c r="CY97" s="2488"/>
      <c r="CZ97" s="2488"/>
      <c r="DB97" s="4439"/>
      <c r="DC97" s="4439"/>
      <c r="DF97" s="4439"/>
      <c r="DG97" s="4439"/>
    </row>
    <row r="98" spans="1:111" ht="16.3" customHeight="1" x14ac:dyDescent="0.55000000000000004">
      <c r="A98" s="6679"/>
      <c r="B98" s="2871" t="s">
        <v>628</v>
      </c>
      <c r="C98" s="2872"/>
      <c r="D98" s="2872"/>
      <c r="E98" s="2872"/>
      <c r="F98" s="2872"/>
      <c r="G98" s="2872"/>
      <c r="H98" s="2872"/>
      <c r="I98" s="2872"/>
      <c r="J98" s="2872"/>
      <c r="K98" s="2872"/>
      <c r="L98" s="2872"/>
      <c r="M98" s="2872"/>
      <c r="N98" s="2872"/>
      <c r="O98" s="2872"/>
      <c r="P98" s="2872"/>
      <c r="Q98" s="2872"/>
      <c r="R98" s="2872"/>
      <c r="S98" s="2872"/>
      <c r="T98" s="2872"/>
      <c r="U98" s="2872"/>
      <c r="V98" s="2872"/>
      <c r="W98" s="2872"/>
      <c r="X98" s="2872"/>
      <c r="Y98" s="2872"/>
      <c r="Z98" s="2872"/>
      <c r="AA98" s="2872"/>
      <c r="AB98" s="2872"/>
      <c r="AC98" s="2872"/>
      <c r="AD98" s="2872"/>
      <c r="AE98" s="2872"/>
      <c r="AF98" s="2872"/>
      <c r="AG98" s="2872"/>
      <c r="AH98" s="2872"/>
      <c r="AI98" s="2872"/>
      <c r="AJ98" s="2872"/>
      <c r="AK98" s="2872"/>
      <c r="AL98" s="2872"/>
      <c r="AM98" s="2872"/>
      <c r="AN98" s="2872"/>
      <c r="AO98" s="6693"/>
      <c r="AP98" s="6694"/>
      <c r="AQ98" s="6695">
        <v>1.6268884363650002</v>
      </c>
      <c r="AR98" s="6695">
        <v>12.795607378456992</v>
      </c>
      <c r="AS98" s="6695">
        <v>13.985665471971302</v>
      </c>
      <c r="AT98" s="6695">
        <v>9.5497499388189908</v>
      </c>
      <c r="AU98" s="6695">
        <v>9.205535530485669</v>
      </c>
      <c r="AV98" s="6695">
        <v>13.766094890825997</v>
      </c>
      <c r="AW98" s="6695">
        <v>4.3110438132727325</v>
      </c>
      <c r="AX98" s="6695">
        <v>33.39856936948491</v>
      </c>
      <c r="AY98" s="6695">
        <v>-5.3243119869090876</v>
      </c>
      <c r="AZ98" s="6695">
        <v>19.637060123515191</v>
      </c>
      <c r="BA98" s="6695">
        <v>3.4667494006161732</v>
      </c>
      <c r="BB98" s="6695">
        <v>-5.4570063733333285</v>
      </c>
      <c r="BC98" s="6696">
        <v>110.96164599357054</v>
      </c>
      <c r="BD98" s="2876">
        <f t="shared" ref="BD98:BM98" si="120">BD91+BD99-BD103</f>
        <v>29.123647944545496</v>
      </c>
      <c r="BE98" s="2876">
        <f t="shared" si="120"/>
        <v>6.9232008633333351</v>
      </c>
      <c r="BF98" s="2876">
        <f t="shared" si="120"/>
        <v>15.639741556363632</v>
      </c>
      <c r="BG98" s="2876">
        <f t="shared" si="120"/>
        <v>12.64691225</v>
      </c>
      <c r="BH98" s="2876">
        <f t="shared" si="120"/>
        <v>12.829656133333302</v>
      </c>
      <c r="BI98" s="2876">
        <f t="shared" si="120"/>
        <v>3.9152500069696998</v>
      </c>
      <c r="BJ98" s="2876">
        <f t="shared" si="120"/>
        <v>23.272802420144796</v>
      </c>
      <c r="BK98" s="2876">
        <f t="shared" si="120"/>
        <v>13.667674669841801</v>
      </c>
      <c r="BL98" s="2876">
        <f t="shared" si="120"/>
        <v>13.420852936205399</v>
      </c>
      <c r="BM98" s="2876">
        <f t="shared" si="120"/>
        <v>11.3404005787879</v>
      </c>
      <c r="BN98" s="2876">
        <f>BN91+BN99-BN103</f>
        <v>3.2220608227272791</v>
      </c>
      <c r="BO98" s="2876">
        <v>-8.1470883172727184</v>
      </c>
      <c r="BP98" s="6697">
        <v>137.8551118649799</v>
      </c>
      <c r="BQ98" s="6698">
        <f t="shared" ref="BQ98:CD98" si="121">BQ91+BQ99-BQ103</f>
        <v>-17.129187105894999</v>
      </c>
      <c r="BR98" s="6698">
        <f t="shared" si="121"/>
        <v>37.914183089090926</v>
      </c>
      <c r="BS98" s="6698">
        <f t="shared" si="121"/>
        <v>6.2293168654545497</v>
      </c>
      <c r="BT98" s="6698">
        <f t="shared" si="121"/>
        <v>14.757009073939393</v>
      </c>
      <c r="BU98" s="6698">
        <f t="shared" si="121"/>
        <v>44.567644781818181</v>
      </c>
      <c r="BV98" s="6698">
        <f t="shared" si="121"/>
        <v>10.755273862727272</v>
      </c>
      <c r="BW98" s="6698">
        <f t="shared" si="121"/>
        <v>53.943692421212113</v>
      </c>
      <c r="BX98" s="6698">
        <f t="shared" si="121"/>
        <v>10.899252217575764</v>
      </c>
      <c r="BY98" s="6698">
        <f t="shared" si="121"/>
        <v>11.225282321818192</v>
      </c>
      <c r="BZ98" s="6698">
        <f t="shared" si="121"/>
        <v>-2.7924831375757506</v>
      </c>
      <c r="CA98" s="6698">
        <f t="shared" si="121"/>
        <v>-5.2666668942424195</v>
      </c>
      <c r="CB98" s="6698">
        <f t="shared" si="121"/>
        <v>-11.751462926969694</v>
      </c>
      <c r="CC98" s="6698">
        <f t="shared" si="121"/>
        <v>0</v>
      </c>
      <c r="CD98" s="6698">
        <f t="shared" si="121"/>
        <v>0</v>
      </c>
      <c r="CE98" s="6699">
        <f t="shared" si="113"/>
        <v>-6.4847960327272745</v>
      </c>
      <c r="CF98" s="2883">
        <f t="shared" si="114"/>
        <v>-3.6043746096969755</v>
      </c>
      <c r="CG98" s="2883"/>
      <c r="CH98" s="6700">
        <f t="shared" si="115"/>
        <v>153.35185456895357</v>
      </c>
      <c r="CI98" s="6685"/>
      <c r="CJ98" s="2792"/>
      <c r="CK98" s="6701">
        <f t="shared" si="116"/>
        <v>15.496742703973666</v>
      </c>
      <c r="CL98" s="5138"/>
      <c r="CM98" s="2488"/>
      <c r="CN98" s="2488"/>
      <c r="CO98" s="2488"/>
      <c r="CP98" s="2488"/>
      <c r="CQ98" s="2488"/>
      <c r="CR98" s="2488"/>
      <c r="CS98" s="2488"/>
      <c r="CT98" s="2488"/>
      <c r="CU98" s="2488"/>
      <c r="CV98" s="2488"/>
      <c r="CW98" s="2488"/>
      <c r="CX98" s="2488"/>
      <c r="CY98" s="2488"/>
      <c r="CZ98" s="2488"/>
      <c r="DB98" s="4439"/>
      <c r="DC98" s="4439"/>
      <c r="DF98" s="4439"/>
      <c r="DG98" s="4439"/>
    </row>
    <row r="99" spans="1:111" ht="16.3" customHeight="1" x14ac:dyDescent="0.55000000000000004">
      <c r="A99" s="6692"/>
      <c r="B99" s="6702"/>
      <c r="C99" s="3189" t="s">
        <v>629</v>
      </c>
      <c r="D99" s="3189"/>
      <c r="E99" s="3189"/>
      <c r="F99" s="3189"/>
      <c r="G99" s="3189"/>
      <c r="H99" s="3189"/>
      <c r="I99" s="3189"/>
      <c r="J99" s="3189"/>
      <c r="K99" s="3189"/>
      <c r="L99" s="3189"/>
      <c r="M99" s="3189"/>
      <c r="N99" s="3189"/>
      <c r="O99" s="3189"/>
      <c r="P99" s="3189"/>
      <c r="Q99" s="3189"/>
      <c r="R99" s="3189"/>
      <c r="S99" s="3189"/>
      <c r="T99" s="3189"/>
      <c r="U99" s="3189"/>
      <c r="V99" s="3189"/>
      <c r="W99" s="3189"/>
      <c r="X99" s="3189"/>
      <c r="Y99" s="3189"/>
      <c r="Z99" s="3189"/>
      <c r="AA99" s="3189"/>
      <c r="AB99" s="3189"/>
      <c r="AC99" s="3189"/>
      <c r="AD99" s="3189"/>
      <c r="AE99" s="3189"/>
      <c r="AF99" s="3189"/>
      <c r="AG99" s="3189"/>
      <c r="AH99" s="3189"/>
      <c r="AI99" s="3189"/>
      <c r="AJ99" s="3189"/>
      <c r="AK99" s="3189"/>
      <c r="AL99" s="3189"/>
      <c r="AM99" s="3189"/>
      <c r="AN99" s="3189"/>
      <c r="AO99" s="6680"/>
      <c r="AP99" s="6681"/>
      <c r="AQ99" s="6682">
        <v>10.99738222</v>
      </c>
      <c r="AR99" s="6682">
        <v>11.072332849999999</v>
      </c>
      <c r="AS99" s="6682">
        <v>11.82284417</v>
      </c>
      <c r="AT99" s="6682">
        <v>10.918451381316661</v>
      </c>
      <c r="AU99" s="6682">
        <v>10.72711415</v>
      </c>
      <c r="AV99" s="6682">
        <v>13.64055049140293</v>
      </c>
      <c r="AW99" s="6682">
        <v>11.633982039999999</v>
      </c>
      <c r="AX99" s="6682">
        <v>10.901304058125158</v>
      </c>
      <c r="AY99" s="6682">
        <v>12.416276780884331</v>
      </c>
      <c r="AZ99" s="6682">
        <v>11.213231534903279</v>
      </c>
      <c r="BA99" s="6682">
        <v>10.29056061</v>
      </c>
      <c r="BB99" s="6682">
        <v>11.021374928923349</v>
      </c>
      <c r="BC99" s="6683">
        <v>136.65540521555567</v>
      </c>
      <c r="BD99" s="2861">
        <f t="shared" ref="BD99:BM99" si="122">BD100+BD101+BD102</f>
        <v>10.676176330000001</v>
      </c>
      <c r="BE99" s="2861">
        <f t="shared" si="122"/>
        <v>10.719565279999999</v>
      </c>
      <c r="BF99" s="2861">
        <f t="shared" si="122"/>
        <v>10.56877557</v>
      </c>
      <c r="BG99" s="2861">
        <f t="shared" si="122"/>
        <v>10.809390430000001</v>
      </c>
      <c r="BH99" s="2861">
        <f t="shared" si="122"/>
        <v>10.855186140000001</v>
      </c>
      <c r="BI99" s="2861">
        <f t="shared" si="122"/>
        <v>10.975245659999999</v>
      </c>
      <c r="BJ99" s="2861">
        <f t="shared" si="122"/>
        <v>10.34847451821101</v>
      </c>
      <c r="BK99" s="2861">
        <f t="shared" si="122"/>
        <v>10.221865093895472</v>
      </c>
      <c r="BL99" s="2861">
        <f t="shared" si="122"/>
        <v>11.253886038388274</v>
      </c>
      <c r="BM99" s="2861">
        <f t="shared" si="122"/>
        <v>11.043676143888986</v>
      </c>
      <c r="BN99" s="2861">
        <f>BN100+BN101+BN102</f>
        <v>10.76203393198368</v>
      </c>
      <c r="BO99" s="6703">
        <v>11.274253114138165</v>
      </c>
      <c r="BP99" s="6704">
        <v>129.50852825050558</v>
      </c>
      <c r="BQ99" s="6684">
        <f t="shared" ref="BQ99:CB99" si="123">BQ100+BQ101+BQ102</f>
        <v>8.85869018</v>
      </c>
      <c r="BR99" s="6684">
        <f t="shared" si="123"/>
        <v>8.8337460299999986</v>
      </c>
      <c r="BS99" s="6684">
        <f t="shared" si="123"/>
        <v>8.1935671999999986</v>
      </c>
      <c r="BT99" s="6684">
        <f t="shared" si="123"/>
        <v>8.2713145400000005</v>
      </c>
      <c r="BU99" s="6684">
        <f t="shared" si="123"/>
        <v>8.3684995400000002</v>
      </c>
      <c r="BV99" s="6684">
        <f t="shared" si="123"/>
        <v>8.4601910199999999</v>
      </c>
      <c r="BW99" s="6684">
        <f t="shared" si="123"/>
        <v>8.3609536500000008</v>
      </c>
      <c r="BX99" s="6684">
        <f t="shared" si="123"/>
        <v>7.4021241099999999</v>
      </c>
      <c r="BY99" s="6684">
        <f t="shared" si="123"/>
        <v>7.6795302699999999</v>
      </c>
      <c r="BZ99" s="6684">
        <f t="shared" si="123"/>
        <v>7.6651342999999992</v>
      </c>
      <c r="CA99" s="6684">
        <f t="shared" si="123"/>
        <v>7.7294568999999997</v>
      </c>
      <c r="CB99" s="6684">
        <f t="shared" si="123"/>
        <v>7.8826876699999993</v>
      </c>
      <c r="CC99" s="6609"/>
      <c r="CD99" s="2862"/>
      <c r="CE99" s="6419">
        <f t="shared" si="113"/>
        <v>0.15323076999999952</v>
      </c>
      <c r="CF99" s="2868">
        <f t="shared" si="114"/>
        <v>-3.3915654441381662</v>
      </c>
      <c r="CG99" s="2868"/>
      <c r="CH99" s="6705">
        <f t="shared" si="115"/>
        <v>97.705895409999997</v>
      </c>
      <c r="CI99" s="6685"/>
      <c r="CJ99" s="2792"/>
      <c r="CK99" s="6686">
        <f t="shared" si="116"/>
        <v>-31.802632840505581</v>
      </c>
      <c r="CL99" s="5138"/>
      <c r="CM99" s="2488"/>
      <c r="CN99" s="2488"/>
      <c r="CO99" s="2488"/>
      <c r="CP99" s="2488"/>
      <c r="CQ99" s="2488"/>
      <c r="CR99" s="2488"/>
      <c r="CS99" s="2488"/>
      <c r="CT99" s="2488"/>
      <c r="CU99" s="2488"/>
      <c r="CV99" s="2488"/>
      <c r="CW99" s="2488"/>
      <c r="CX99" s="2488"/>
      <c r="CY99" s="2488"/>
      <c r="CZ99" s="2488"/>
      <c r="DB99" s="4439"/>
      <c r="DC99" s="4439"/>
      <c r="DF99" s="4439"/>
      <c r="DG99" s="4439"/>
    </row>
    <row r="100" spans="1:111" ht="16.3" customHeight="1" x14ac:dyDescent="0.55000000000000004">
      <c r="A100" s="6692"/>
      <c r="B100" s="6702"/>
      <c r="C100" s="3189" t="s">
        <v>28</v>
      </c>
      <c r="D100" s="3189"/>
      <c r="E100" s="3189"/>
      <c r="F100" s="3189"/>
      <c r="G100" s="3189"/>
      <c r="H100" s="3189"/>
      <c r="I100" s="3189"/>
      <c r="J100" s="3189"/>
      <c r="K100" s="3189"/>
      <c r="L100" s="3189"/>
      <c r="M100" s="3189"/>
      <c r="N100" s="3189"/>
      <c r="O100" s="3189"/>
      <c r="P100" s="3189"/>
      <c r="Q100" s="3189"/>
      <c r="R100" s="3189"/>
      <c r="S100" s="3189"/>
      <c r="T100" s="3189"/>
      <c r="U100" s="3189"/>
      <c r="V100" s="3189"/>
      <c r="W100" s="3189"/>
      <c r="X100" s="3189"/>
      <c r="Y100" s="3189"/>
      <c r="Z100" s="3189"/>
      <c r="AA100" s="3189"/>
      <c r="AB100" s="3189"/>
      <c r="AC100" s="3189"/>
      <c r="AD100" s="3189"/>
      <c r="AE100" s="3189"/>
      <c r="AF100" s="3189"/>
      <c r="AG100" s="3189"/>
      <c r="AH100" s="3189"/>
      <c r="AI100" s="3189"/>
      <c r="AJ100" s="3189"/>
      <c r="AK100" s="3189"/>
      <c r="AL100" s="3189"/>
      <c r="AM100" s="3189"/>
      <c r="AN100" s="3189"/>
      <c r="AO100" s="6680"/>
      <c r="AP100" s="6681"/>
      <c r="AQ100" s="6682">
        <v>0.61592853999999997</v>
      </c>
      <c r="AR100" s="6682">
        <v>0.65334250000000005</v>
      </c>
      <c r="AS100" s="6682">
        <v>0.65849508000000001</v>
      </c>
      <c r="AT100" s="6682">
        <v>0.57481470000000001</v>
      </c>
      <c r="AU100" s="6682">
        <v>0.60571668000000001</v>
      </c>
      <c r="AV100" s="6682">
        <v>0.61085343999999997</v>
      </c>
      <c r="AW100" s="6682">
        <v>0.62392007000000005</v>
      </c>
      <c r="AX100" s="6682">
        <v>0.65043680000000004</v>
      </c>
      <c r="AY100" s="6682">
        <v>0.54387786000000005</v>
      </c>
      <c r="AZ100" s="6682">
        <v>0.62260415999999996</v>
      </c>
      <c r="BA100" s="6682">
        <v>0.58644728999999995</v>
      </c>
      <c r="BB100" s="6682">
        <v>0.54305241000000004</v>
      </c>
      <c r="BC100" s="6683">
        <v>7.2894895300000009</v>
      </c>
      <c r="BD100" s="2861">
        <v>0.60595882000000001</v>
      </c>
      <c r="BE100" s="6414">
        <v>0.58992409999999995</v>
      </c>
      <c r="BF100" s="6414">
        <v>0.58244088000000005</v>
      </c>
      <c r="BG100" s="2861">
        <v>0.59132483999999996</v>
      </c>
      <c r="BH100" s="2861">
        <v>0.59938886000000002</v>
      </c>
      <c r="BI100" s="2861">
        <v>0.57360551000000004</v>
      </c>
      <c r="BJ100" s="2861">
        <v>0.63982287000000004</v>
      </c>
      <c r="BK100" s="2861">
        <v>0.64003542000000002</v>
      </c>
      <c r="BL100" s="6703">
        <v>0.58477462999999996</v>
      </c>
      <c r="BM100" s="6703">
        <v>0.61689234999999998</v>
      </c>
      <c r="BN100" s="6703">
        <v>0.60579084999999999</v>
      </c>
      <c r="BO100" s="6703">
        <v>0.58299250000000002</v>
      </c>
      <c r="BP100" s="6704">
        <v>7.2129516299999992</v>
      </c>
      <c r="BQ100" s="6684">
        <v>0.55730053000000002</v>
      </c>
      <c r="BR100" s="6427">
        <v>0.64227151000000005</v>
      </c>
      <c r="BS100" s="6427">
        <v>0.60677861</v>
      </c>
      <c r="BT100" s="6684">
        <v>0.57387266000000003</v>
      </c>
      <c r="BU100" s="6684">
        <v>0.65718023999999997</v>
      </c>
      <c r="BV100" s="6684">
        <v>0.62709696000000004</v>
      </c>
      <c r="BW100" s="2861">
        <v>0.63667795999999999</v>
      </c>
      <c r="BX100" s="2861">
        <v>0.63415812000000005</v>
      </c>
      <c r="BY100" s="6703">
        <v>0.63216598000000002</v>
      </c>
      <c r="BZ100" s="6703">
        <v>0.58205907999999995</v>
      </c>
      <c r="CA100" s="6703">
        <v>0.81182807000000001</v>
      </c>
      <c r="CB100" s="6703">
        <v>0.81033728999999999</v>
      </c>
      <c r="CC100" s="6609"/>
      <c r="CD100" s="2862"/>
      <c r="CE100" s="6419">
        <f t="shared" si="113"/>
        <v>-1.4907800000000249E-3</v>
      </c>
      <c r="CF100" s="2868">
        <f t="shared" si="114"/>
        <v>0.22734478999999996</v>
      </c>
      <c r="CG100" s="2868"/>
      <c r="CH100" s="6705">
        <f t="shared" si="115"/>
        <v>7.7717270100000002</v>
      </c>
      <c r="CI100" s="6685"/>
      <c r="CJ100" s="2792"/>
      <c r="CK100" s="6686">
        <f t="shared" si="116"/>
        <v>0.55877538000000104</v>
      </c>
      <c r="CL100" s="5138"/>
      <c r="CM100" s="2488"/>
      <c r="CN100" s="2488"/>
      <c r="CO100" s="2488"/>
      <c r="CP100" s="2488"/>
      <c r="CQ100" s="2488"/>
      <c r="CR100" s="2488"/>
      <c r="CS100" s="2488"/>
      <c r="CT100" s="2488"/>
      <c r="CU100" s="2488"/>
      <c r="CV100" s="2488"/>
      <c r="CW100" s="2488"/>
      <c r="CX100" s="2488"/>
      <c r="CY100" s="2488"/>
      <c r="CZ100" s="2488"/>
      <c r="DB100" s="4439"/>
      <c r="DC100" s="4439"/>
      <c r="DF100" s="4439"/>
      <c r="DG100" s="4439"/>
    </row>
    <row r="101" spans="1:111" ht="16.3" customHeight="1" x14ac:dyDescent="0.55000000000000004">
      <c r="A101" s="6692"/>
      <c r="B101" s="6702"/>
      <c r="C101" s="3189" t="s">
        <v>29</v>
      </c>
      <c r="D101" s="3189"/>
      <c r="E101" s="3189"/>
      <c r="F101" s="3189"/>
      <c r="G101" s="3189"/>
      <c r="H101" s="3189"/>
      <c r="I101" s="3189"/>
      <c r="J101" s="3189"/>
      <c r="K101" s="3189"/>
      <c r="L101" s="3189"/>
      <c r="M101" s="3189"/>
      <c r="N101" s="3189"/>
      <c r="O101" s="3189"/>
      <c r="P101" s="3189"/>
      <c r="Q101" s="3189"/>
      <c r="R101" s="3189"/>
      <c r="S101" s="3189"/>
      <c r="T101" s="3189"/>
      <c r="U101" s="3189"/>
      <c r="V101" s="3189"/>
      <c r="W101" s="3189"/>
      <c r="X101" s="3189"/>
      <c r="Y101" s="3189"/>
      <c r="Z101" s="3189"/>
      <c r="AA101" s="3189"/>
      <c r="AB101" s="3189"/>
      <c r="AC101" s="3189"/>
      <c r="AD101" s="3189"/>
      <c r="AE101" s="3189"/>
      <c r="AF101" s="3189"/>
      <c r="AG101" s="3189"/>
      <c r="AH101" s="3189"/>
      <c r="AI101" s="3189"/>
      <c r="AJ101" s="3189"/>
      <c r="AK101" s="3189"/>
      <c r="AL101" s="3189"/>
      <c r="AM101" s="3189"/>
      <c r="AN101" s="3189"/>
      <c r="AO101" s="6680"/>
      <c r="AP101" s="6681"/>
      <c r="AQ101" s="6682">
        <v>7.5021497999999998</v>
      </c>
      <c r="AR101" s="6682">
        <v>7.3366039799999996</v>
      </c>
      <c r="AS101" s="6682">
        <v>7.4152542300000004</v>
      </c>
      <c r="AT101" s="6682">
        <v>7.1958822700000002</v>
      </c>
      <c r="AU101" s="6682">
        <v>7.4571492900000003</v>
      </c>
      <c r="AV101" s="6682">
        <v>9.3941648200000003</v>
      </c>
      <c r="AW101" s="6682">
        <v>7.0949483899999999</v>
      </c>
      <c r="AX101" s="6682">
        <v>7.0707395699999998</v>
      </c>
      <c r="AY101" s="6682">
        <v>6.9120711699999999</v>
      </c>
      <c r="AZ101" s="6682">
        <v>7.3750379199999996</v>
      </c>
      <c r="BA101" s="6682">
        <v>6.7795677999999997</v>
      </c>
      <c r="BB101" s="6682">
        <v>6.91170157</v>
      </c>
      <c r="BC101" s="6683">
        <v>88.445270809999997</v>
      </c>
      <c r="BD101" s="2861">
        <v>6.9218045699999999</v>
      </c>
      <c r="BE101" s="6414">
        <v>7.2804630799999996</v>
      </c>
      <c r="BF101" s="6414">
        <v>7.3004001499999998</v>
      </c>
      <c r="BG101" s="2861">
        <v>7.33716466</v>
      </c>
      <c r="BH101" s="2861">
        <v>7.3664455000000002</v>
      </c>
      <c r="BI101" s="2861">
        <v>7.2942487099999997</v>
      </c>
      <c r="BJ101" s="2861">
        <v>7.6143912599999997</v>
      </c>
      <c r="BK101" s="2861">
        <v>7.3701673300000001</v>
      </c>
      <c r="BL101" s="6703">
        <v>7.6268879199999997</v>
      </c>
      <c r="BM101" s="6703">
        <v>7.8481297999999997</v>
      </c>
      <c r="BN101" s="6703">
        <v>7.6142395199999999</v>
      </c>
      <c r="BO101" s="6703">
        <v>7.9160912699999999</v>
      </c>
      <c r="BP101" s="6704">
        <v>89.490433769999981</v>
      </c>
      <c r="BQ101" s="6684">
        <v>7.9090796699999997</v>
      </c>
      <c r="BR101" s="6427">
        <v>7.9434227599999998</v>
      </c>
      <c r="BS101" s="6427">
        <v>7.3950613799999996</v>
      </c>
      <c r="BT101" s="6684">
        <v>7.6139127899999997</v>
      </c>
      <c r="BU101" s="6684">
        <v>7.5951375199999998</v>
      </c>
      <c r="BV101" s="6684">
        <v>7.7439195200000004</v>
      </c>
      <c r="BW101" s="2861">
        <v>7.4637302400000003</v>
      </c>
      <c r="BX101" s="2861">
        <v>6.6503187099999996</v>
      </c>
      <c r="BY101" s="6703">
        <v>6.9000006899999997</v>
      </c>
      <c r="BZ101" s="6703">
        <v>6.8727279599999997</v>
      </c>
      <c r="CA101" s="6703">
        <v>6.8454552299999998</v>
      </c>
      <c r="CB101" s="6703">
        <v>6.8181824999999998</v>
      </c>
      <c r="CC101" s="6609"/>
      <c r="CD101" s="2862"/>
      <c r="CE101" s="6419">
        <f t="shared" si="113"/>
        <v>-2.7272729999999967E-2</v>
      </c>
      <c r="CF101" s="2868">
        <f t="shared" si="114"/>
        <v>-1.0979087700000001</v>
      </c>
      <c r="CG101" s="2868"/>
      <c r="CH101" s="6705">
        <f t="shared" si="115"/>
        <v>87.75094897000001</v>
      </c>
      <c r="CI101" s="6685"/>
      <c r="CJ101" s="2792"/>
      <c r="CK101" s="6686">
        <f t="shared" si="116"/>
        <v>-1.7394847999999712</v>
      </c>
      <c r="CL101" s="5138"/>
      <c r="CM101" s="2488"/>
      <c r="CN101" s="2488"/>
      <c r="CO101" s="2488"/>
      <c r="CP101" s="2488"/>
      <c r="CQ101" s="2488"/>
      <c r="CR101" s="2488"/>
      <c r="CS101" s="2488"/>
      <c r="CT101" s="2488"/>
      <c r="CU101" s="2488"/>
      <c r="CV101" s="2488"/>
      <c r="CW101" s="2488"/>
      <c r="CX101" s="2488"/>
      <c r="CY101" s="2488"/>
      <c r="CZ101" s="2488"/>
      <c r="DB101" s="4439"/>
      <c r="DC101" s="4439"/>
      <c r="DF101" s="4439"/>
      <c r="DG101" s="4439"/>
    </row>
    <row r="102" spans="1:111" ht="16.3" customHeight="1" x14ac:dyDescent="0.55000000000000004">
      <c r="A102" s="6692"/>
      <c r="B102" s="6702"/>
      <c r="C102" s="3189" t="s">
        <v>630</v>
      </c>
      <c r="D102" s="3189"/>
      <c r="E102" s="3189"/>
      <c r="F102" s="3189"/>
      <c r="G102" s="3189"/>
      <c r="H102" s="3189"/>
      <c r="I102" s="3189"/>
      <c r="J102" s="3189"/>
      <c r="K102" s="3189"/>
      <c r="L102" s="3189"/>
      <c r="M102" s="3189"/>
      <c r="N102" s="3189"/>
      <c r="O102" s="3189"/>
      <c r="P102" s="3189"/>
      <c r="Q102" s="3189"/>
      <c r="R102" s="3189"/>
      <c r="S102" s="3189"/>
      <c r="T102" s="3189"/>
      <c r="U102" s="3189"/>
      <c r="V102" s="3189"/>
      <c r="W102" s="3189"/>
      <c r="X102" s="3189"/>
      <c r="Y102" s="3189"/>
      <c r="Z102" s="3189"/>
      <c r="AA102" s="3189"/>
      <c r="AB102" s="3189"/>
      <c r="AC102" s="3189"/>
      <c r="AD102" s="3189"/>
      <c r="AE102" s="3189"/>
      <c r="AF102" s="3189"/>
      <c r="AG102" s="3189"/>
      <c r="AH102" s="3189"/>
      <c r="AI102" s="3189"/>
      <c r="AJ102" s="3189"/>
      <c r="AK102" s="3189"/>
      <c r="AL102" s="3189"/>
      <c r="AM102" s="3189"/>
      <c r="AN102" s="3189"/>
      <c r="AO102" s="6680"/>
      <c r="AP102" s="6681"/>
      <c r="AQ102" s="6682">
        <v>2.8793038800000001</v>
      </c>
      <c r="AR102" s="6682">
        <v>3.08238637</v>
      </c>
      <c r="AS102" s="6682">
        <v>3.74909486</v>
      </c>
      <c r="AT102" s="6682">
        <v>3.1477544113166602</v>
      </c>
      <c r="AU102" s="6682">
        <v>2.66424818</v>
      </c>
      <c r="AV102" s="6682">
        <v>3.6355322314029301</v>
      </c>
      <c r="AW102" s="6682">
        <v>3.9151135799999999</v>
      </c>
      <c r="AX102" s="6682">
        <v>3.1801276881251579</v>
      </c>
      <c r="AY102" s="6682">
        <v>4.9603277508843302</v>
      </c>
      <c r="AZ102" s="6682">
        <v>3.21558945490328</v>
      </c>
      <c r="BA102" s="6682">
        <v>2.9245455200000001</v>
      </c>
      <c r="BB102" s="6682">
        <v>3.5666209489233487</v>
      </c>
      <c r="BC102" s="6683">
        <v>40.920644875555709</v>
      </c>
      <c r="BD102" s="2861">
        <v>3.14841294</v>
      </c>
      <c r="BE102" s="6414">
        <v>2.8491781</v>
      </c>
      <c r="BF102" s="6414">
        <v>2.6859345399999999</v>
      </c>
      <c r="BG102" s="2861">
        <v>2.8809009300000001</v>
      </c>
      <c r="BH102" s="2861">
        <v>2.8893517800000001</v>
      </c>
      <c r="BI102" s="2861">
        <v>3.1073914399999998</v>
      </c>
      <c r="BJ102" s="2861">
        <v>2.0942603882110102</v>
      </c>
      <c r="BK102" s="2861">
        <v>2.211662343895473</v>
      </c>
      <c r="BL102" s="6703">
        <v>3.0422234883882733</v>
      </c>
      <c r="BM102" s="6703">
        <v>2.5786539938889859</v>
      </c>
      <c r="BN102" s="6703">
        <v>2.5420035619836803</v>
      </c>
      <c r="BO102" s="6703">
        <v>2.7751693441381655</v>
      </c>
      <c r="BP102" s="6704">
        <v>32.805142850505582</v>
      </c>
      <c r="BQ102" s="6684">
        <v>0.39230998</v>
      </c>
      <c r="BR102" s="6427">
        <v>0.24805176000000001</v>
      </c>
      <c r="BS102" s="6427">
        <v>0.19172721000000001</v>
      </c>
      <c r="BT102" s="6684">
        <v>8.352909E-2</v>
      </c>
      <c r="BU102" s="6684">
        <v>0.11618178</v>
      </c>
      <c r="BV102" s="6684">
        <v>8.9174539999999997E-2</v>
      </c>
      <c r="BW102" s="2861">
        <v>0.26054545000000001</v>
      </c>
      <c r="BX102" s="2861">
        <v>0.11764728000000001</v>
      </c>
      <c r="BY102" s="6703">
        <v>0.14736360000000001</v>
      </c>
      <c r="BZ102" s="6703">
        <v>0.21034726000000001</v>
      </c>
      <c r="CA102" s="6703">
        <v>7.2173600000000004E-2</v>
      </c>
      <c r="CB102" s="6703">
        <v>0.25416788000000001</v>
      </c>
      <c r="CC102" s="6609"/>
      <c r="CD102" s="2862"/>
      <c r="CE102" s="6419">
        <f t="shared" si="113"/>
        <v>0.18199428000000001</v>
      </c>
      <c r="CF102" s="2868">
        <f t="shared" si="114"/>
        <v>-2.5210014641381653</v>
      </c>
      <c r="CG102" s="2868"/>
      <c r="CH102" s="6705">
        <f t="shared" si="115"/>
        <v>2.1832194299999998</v>
      </c>
      <c r="CI102" s="6685"/>
      <c r="CJ102" s="2792"/>
      <c r="CK102" s="6686">
        <f t="shared" si="116"/>
        <v>-30.621923420505581</v>
      </c>
      <c r="CL102" s="5138"/>
      <c r="CM102" s="2488"/>
      <c r="CN102" s="2488"/>
      <c r="CO102" s="2488"/>
      <c r="CP102" s="2488"/>
      <c r="CQ102" s="2488"/>
      <c r="CR102" s="2488"/>
      <c r="CS102" s="2488"/>
      <c r="CT102" s="2488"/>
      <c r="CU102" s="2488"/>
      <c r="CV102" s="2488"/>
      <c r="CW102" s="2488"/>
      <c r="CX102" s="2488"/>
      <c r="CY102" s="2488"/>
      <c r="CZ102" s="2488"/>
      <c r="DB102" s="4439"/>
      <c r="DC102" s="4439"/>
      <c r="DF102" s="4439"/>
      <c r="DG102" s="4439"/>
    </row>
    <row r="103" spans="1:111" ht="16.3" customHeight="1" x14ac:dyDescent="0.55000000000000004">
      <c r="A103" s="6692"/>
      <c r="B103" s="6702"/>
      <c r="C103" s="6702" t="s">
        <v>631</v>
      </c>
      <c r="D103" s="6702"/>
      <c r="E103" s="6702"/>
      <c r="F103" s="6702"/>
      <c r="G103" s="6702"/>
      <c r="H103" s="6702"/>
      <c r="I103" s="6702"/>
      <c r="J103" s="6702"/>
      <c r="K103" s="6702"/>
      <c r="L103" s="6702"/>
      <c r="M103" s="6702"/>
      <c r="N103" s="6702"/>
      <c r="O103" s="6702"/>
      <c r="P103" s="6702"/>
      <c r="Q103" s="6702"/>
      <c r="R103" s="6702"/>
      <c r="S103" s="6702"/>
      <c r="T103" s="6702"/>
      <c r="U103" s="6702"/>
      <c r="V103" s="6702"/>
      <c r="W103" s="6702"/>
      <c r="X103" s="6702"/>
      <c r="Y103" s="6702"/>
      <c r="Z103" s="6702"/>
      <c r="AA103" s="6702"/>
      <c r="AB103" s="6702"/>
      <c r="AC103" s="6702"/>
      <c r="AD103" s="6702"/>
      <c r="AE103" s="6702"/>
      <c r="AF103" s="6702"/>
      <c r="AG103" s="6702"/>
      <c r="AH103" s="6702"/>
      <c r="AI103" s="6702"/>
      <c r="AJ103" s="6702"/>
      <c r="AK103" s="6702"/>
      <c r="AL103" s="6702"/>
      <c r="AM103" s="6702"/>
      <c r="AN103" s="6702"/>
      <c r="AO103" s="6313"/>
      <c r="AP103" s="6706"/>
      <c r="AQ103" s="6707">
        <v>45.367282175271356</v>
      </c>
      <c r="AR103" s="6707">
        <v>48.646392458815711</v>
      </c>
      <c r="AS103" s="6707">
        <v>47.250808809268364</v>
      </c>
      <c r="AT103" s="6707">
        <v>49.568948302497674</v>
      </c>
      <c r="AU103" s="6707">
        <v>50.781605112241614</v>
      </c>
      <c r="AV103" s="6707">
        <v>49.668277692395122</v>
      </c>
      <c r="AW103" s="6707">
        <v>49.30354994399999</v>
      </c>
      <c r="AX103" s="6707">
        <v>46.271064015912948</v>
      </c>
      <c r="AY103" s="6707">
        <v>44.426657065066145</v>
      </c>
      <c r="AZ103" s="6707">
        <v>46.485940417751728</v>
      </c>
      <c r="BA103" s="6707">
        <v>44.81704594483837</v>
      </c>
      <c r="BB103" s="6707">
        <v>46.16543656225668</v>
      </c>
      <c r="BC103" s="6708">
        <v>568.75300850031567</v>
      </c>
      <c r="BD103" s="2877">
        <f t="shared" ref="BD103:BN103" si="124">BD104+BD105+BD106+BD107</f>
        <v>43.443414020786861</v>
      </c>
      <c r="BE103" s="2877">
        <f t="shared" si="124"/>
        <v>45.26795841338938</v>
      </c>
      <c r="BF103" s="2877">
        <f t="shared" si="124"/>
        <v>39.463900618487116</v>
      </c>
      <c r="BG103" s="2877">
        <f t="shared" si="124"/>
        <v>41.738606212736066</v>
      </c>
      <c r="BH103" s="2877">
        <f t="shared" si="124"/>
        <v>39.475785880444803</v>
      </c>
      <c r="BI103" s="2877">
        <f t="shared" si="124"/>
        <v>43.023374422206295</v>
      </c>
      <c r="BJ103" s="2877">
        <f t="shared" si="124"/>
        <v>29.271513531114483</v>
      </c>
      <c r="BK103" s="2877">
        <f t="shared" si="124"/>
        <v>38.321217430417313</v>
      </c>
      <c r="BL103" s="2877">
        <f t="shared" si="124"/>
        <v>42.709690663205173</v>
      </c>
      <c r="BM103" s="2877">
        <f t="shared" si="124"/>
        <v>48.871141284900453</v>
      </c>
      <c r="BN103" s="2877">
        <f t="shared" si="124"/>
        <v>45.219728617114932</v>
      </c>
      <c r="BO103" s="6709">
        <v>50.627250301319961</v>
      </c>
      <c r="BP103" s="6710">
        <v>507.4335813961228</v>
      </c>
      <c r="BQ103" s="6319">
        <f t="shared" ref="BQ103:CB103" si="125">BQ104+BQ105+BQ106+BQ107</f>
        <v>50.055116230440433</v>
      </c>
      <c r="BR103" s="6319">
        <f t="shared" si="125"/>
        <v>38.973362210300508</v>
      </c>
      <c r="BS103" s="6319">
        <f t="shared" si="125"/>
        <v>44.914059449942123</v>
      </c>
      <c r="BT103" s="6319">
        <f t="shared" si="125"/>
        <v>43.560297647260796</v>
      </c>
      <c r="BU103" s="6319">
        <f t="shared" si="125"/>
        <v>33.407588043482541</v>
      </c>
      <c r="BV103" s="6319">
        <f t="shared" si="125"/>
        <v>33.467369387272733</v>
      </c>
      <c r="BW103" s="6319">
        <f t="shared" si="125"/>
        <v>15.090936886175264</v>
      </c>
      <c r="BX103" s="6319">
        <f t="shared" si="125"/>
        <v>39.894114396440955</v>
      </c>
      <c r="BY103" s="6319">
        <f t="shared" si="125"/>
        <v>41.276433313216565</v>
      </c>
      <c r="BZ103" s="6319">
        <f t="shared" si="125"/>
        <v>54.339980460818019</v>
      </c>
      <c r="CA103" s="6319">
        <f t="shared" si="125"/>
        <v>45.108853670673213</v>
      </c>
      <c r="CB103" s="6319">
        <f t="shared" si="125"/>
        <v>54.983698243584868</v>
      </c>
      <c r="CC103" s="6609"/>
      <c r="CD103" s="2862"/>
      <c r="CE103" s="6322">
        <f t="shared" si="113"/>
        <v>9.8748445729116554</v>
      </c>
      <c r="CF103" s="2892">
        <f t="shared" si="114"/>
        <v>4.3564479422649072</v>
      </c>
      <c r="CG103" s="2892"/>
      <c r="CH103" s="6324">
        <f t="shared" si="115"/>
        <v>495.07180993960804</v>
      </c>
      <c r="CI103" s="6685"/>
      <c r="CJ103" s="2792"/>
      <c r="CK103" s="6711">
        <f t="shared" si="116"/>
        <v>-12.361771456514759</v>
      </c>
      <c r="CL103" s="5138"/>
      <c r="CM103" s="2488"/>
      <c r="CN103" s="2488"/>
      <c r="CO103" s="2488"/>
      <c r="CP103" s="2488"/>
      <c r="CQ103" s="2488"/>
      <c r="CR103" s="2488"/>
      <c r="CS103" s="2488"/>
      <c r="CT103" s="2488"/>
      <c r="CU103" s="2488"/>
      <c r="CV103" s="2488"/>
      <c r="CW103" s="2488"/>
      <c r="CX103" s="2488"/>
      <c r="CY103" s="2488"/>
      <c r="CZ103" s="2488"/>
      <c r="DB103" s="4439"/>
      <c r="DC103" s="4439"/>
      <c r="DF103" s="4439"/>
      <c r="DG103" s="4439"/>
    </row>
    <row r="104" spans="1:111" ht="16.3" customHeight="1" x14ac:dyDescent="0.55000000000000004">
      <c r="A104" s="6692"/>
      <c r="B104" s="6702"/>
      <c r="C104" s="6702" t="s">
        <v>30</v>
      </c>
      <c r="D104" s="6702"/>
      <c r="E104" s="6702"/>
      <c r="F104" s="6702"/>
      <c r="G104" s="6702"/>
      <c r="H104" s="6702"/>
      <c r="I104" s="6702"/>
      <c r="J104" s="6702"/>
      <c r="K104" s="6702"/>
      <c r="L104" s="6702"/>
      <c r="M104" s="6702"/>
      <c r="N104" s="6702"/>
      <c r="O104" s="6702"/>
      <c r="P104" s="6702"/>
      <c r="Q104" s="6702"/>
      <c r="R104" s="6702"/>
      <c r="S104" s="6702"/>
      <c r="T104" s="6702"/>
      <c r="U104" s="6702"/>
      <c r="V104" s="6702"/>
      <c r="W104" s="6702"/>
      <c r="X104" s="6702"/>
      <c r="Y104" s="6702"/>
      <c r="Z104" s="6702"/>
      <c r="AA104" s="6702"/>
      <c r="AB104" s="6702"/>
      <c r="AC104" s="6702"/>
      <c r="AD104" s="6702"/>
      <c r="AE104" s="6702"/>
      <c r="AF104" s="6702"/>
      <c r="AG104" s="6702"/>
      <c r="AH104" s="6702"/>
      <c r="AI104" s="6702"/>
      <c r="AJ104" s="6702"/>
      <c r="AK104" s="6702"/>
      <c r="AL104" s="6702"/>
      <c r="AM104" s="6702"/>
      <c r="AN104" s="6702"/>
      <c r="AO104" s="6313"/>
      <c r="AP104" s="6706"/>
      <c r="AQ104" s="6707">
        <v>40.90277433</v>
      </c>
      <c r="AR104" s="6707">
        <v>41.660144199999998</v>
      </c>
      <c r="AS104" s="6707">
        <v>40.146139106666702</v>
      </c>
      <c r="AT104" s="6707">
        <v>42.939247389999998</v>
      </c>
      <c r="AU104" s="6707">
        <v>44.197656279999997</v>
      </c>
      <c r="AV104" s="6707">
        <v>42.379145549999997</v>
      </c>
      <c r="AW104" s="6707">
        <v>43.500848076666699</v>
      </c>
      <c r="AX104" s="6707">
        <v>42.659244976666699</v>
      </c>
      <c r="AY104" s="6707">
        <v>43.134280603333302</v>
      </c>
      <c r="AZ104" s="6707">
        <v>41.635822656666697</v>
      </c>
      <c r="BA104" s="6707">
        <v>61.863621076666696</v>
      </c>
      <c r="BB104" s="6707">
        <v>44.432454989999997</v>
      </c>
      <c r="BC104" s="6708">
        <v>529.45137923666675</v>
      </c>
      <c r="BD104" s="2877">
        <v>41.940790309999997</v>
      </c>
      <c r="BE104" s="6712">
        <v>40.441489330000003</v>
      </c>
      <c r="BF104" s="6712">
        <v>38.873767886666663</v>
      </c>
      <c r="BG104" s="2877">
        <v>40.651443463333344</v>
      </c>
      <c r="BH104" s="2877">
        <v>39.073042140000005</v>
      </c>
      <c r="BI104" s="2877">
        <v>43.456573456666682</v>
      </c>
      <c r="BJ104" s="2877">
        <v>40.205175166666677</v>
      </c>
      <c r="BK104" s="2877">
        <v>41.20553536666668</v>
      </c>
      <c r="BL104" s="6709">
        <v>50.728534186666671</v>
      </c>
      <c r="BM104" s="6709">
        <v>47.52978650333332</v>
      </c>
      <c r="BN104" s="6709">
        <v>42.470107859999999</v>
      </c>
      <c r="BO104" s="6709">
        <v>47.102941123333324</v>
      </c>
      <c r="BP104" s="6710">
        <v>513.67918679333332</v>
      </c>
      <c r="BQ104" s="6319">
        <v>43.986869439999978</v>
      </c>
      <c r="BR104" s="6713">
        <v>43.587940456666658</v>
      </c>
      <c r="BS104" s="6713">
        <v>42.935027156666649</v>
      </c>
      <c r="BT104" s="6319">
        <v>44.005239683333357</v>
      </c>
      <c r="BU104" s="6319">
        <v>43.650695603333361</v>
      </c>
      <c r="BV104" s="6319">
        <v>48.368716080000048</v>
      </c>
      <c r="BW104" s="2877">
        <v>42.370361273333337</v>
      </c>
      <c r="BX104" s="2877">
        <v>42.671989583333342</v>
      </c>
      <c r="BY104" s="6709">
        <v>59.435805403333362</v>
      </c>
      <c r="BZ104" s="6709">
        <v>50.189926976666648</v>
      </c>
      <c r="CA104" s="6709">
        <v>42.794669536666675</v>
      </c>
      <c r="CB104" s="6709">
        <v>47.062152726666639</v>
      </c>
      <c r="CC104" s="6609"/>
      <c r="CD104" s="2862"/>
      <c r="CE104" s="6322">
        <f t="shared" si="113"/>
        <v>4.2674831899999646</v>
      </c>
      <c r="CF104" s="2892">
        <f t="shared" si="114"/>
        <v>-4.0788396666684434E-2</v>
      </c>
      <c r="CG104" s="2892"/>
      <c r="CH104" s="6324">
        <f t="shared" si="115"/>
        <v>551.05939392000005</v>
      </c>
      <c r="CI104" s="6685"/>
      <c r="CJ104" s="2792"/>
      <c r="CK104" s="6711">
        <f t="shared" si="116"/>
        <v>37.380207126666733</v>
      </c>
      <c r="CL104" s="5138"/>
      <c r="CM104" s="2488"/>
      <c r="CN104" s="2488"/>
      <c r="CO104" s="2488"/>
      <c r="CP104" s="2488"/>
      <c r="CQ104" s="2488"/>
      <c r="CR104" s="2488"/>
      <c r="CS104" s="2488"/>
      <c r="CT104" s="2488"/>
      <c r="CU104" s="2488"/>
      <c r="CV104" s="2488"/>
      <c r="CW104" s="2488"/>
      <c r="CX104" s="2488"/>
      <c r="CY104" s="2488"/>
      <c r="CZ104" s="2488"/>
      <c r="DB104" s="4439"/>
      <c r="DC104" s="4439"/>
      <c r="DF104" s="4439"/>
      <c r="DG104" s="4439"/>
    </row>
    <row r="105" spans="1:111" ht="16.3" customHeight="1" x14ac:dyDescent="0.55000000000000004">
      <c r="A105" s="6692"/>
      <c r="B105" s="6702"/>
      <c r="C105" s="6702" t="s">
        <v>31</v>
      </c>
      <c r="D105" s="6702"/>
      <c r="E105" s="6702"/>
      <c r="F105" s="6702"/>
      <c r="G105" s="6702"/>
      <c r="H105" s="6702"/>
      <c r="I105" s="6702"/>
      <c r="J105" s="6702"/>
      <c r="K105" s="6702"/>
      <c r="L105" s="6702"/>
      <c r="M105" s="6702"/>
      <c r="N105" s="6702"/>
      <c r="O105" s="6702"/>
      <c r="P105" s="6702"/>
      <c r="Q105" s="6702"/>
      <c r="R105" s="6702"/>
      <c r="S105" s="6702"/>
      <c r="T105" s="6702"/>
      <c r="U105" s="6702"/>
      <c r="V105" s="6702"/>
      <c r="W105" s="6702"/>
      <c r="X105" s="6702"/>
      <c r="Y105" s="6702"/>
      <c r="Z105" s="6702"/>
      <c r="AA105" s="6702"/>
      <c r="AB105" s="6702"/>
      <c r="AC105" s="6702"/>
      <c r="AD105" s="6702"/>
      <c r="AE105" s="6702"/>
      <c r="AF105" s="6702"/>
      <c r="AG105" s="6702"/>
      <c r="AH105" s="6702"/>
      <c r="AI105" s="6702"/>
      <c r="AJ105" s="6702"/>
      <c r="AK105" s="6702"/>
      <c r="AL105" s="6702"/>
      <c r="AM105" s="6702"/>
      <c r="AN105" s="6702"/>
      <c r="AO105" s="6313"/>
      <c r="AP105" s="6706"/>
      <c r="AQ105" s="6707">
        <v>2.84023695</v>
      </c>
      <c r="AR105" s="6707">
        <v>2.92613302</v>
      </c>
      <c r="AS105" s="6707">
        <v>2.5941632700000001</v>
      </c>
      <c r="AT105" s="6707">
        <v>2.2921203700000001</v>
      </c>
      <c r="AU105" s="6707">
        <v>2.2610754599999998</v>
      </c>
      <c r="AV105" s="6707">
        <v>2.3711812399999999</v>
      </c>
      <c r="AW105" s="6707">
        <v>2.66894878</v>
      </c>
      <c r="AX105" s="6707">
        <v>2.90023973</v>
      </c>
      <c r="AY105" s="6707">
        <v>2.7894874600000001</v>
      </c>
      <c r="AZ105" s="6707">
        <v>2.4253176000000001</v>
      </c>
      <c r="BA105" s="6707">
        <v>2.1813859600000001</v>
      </c>
      <c r="BB105" s="6707">
        <v>2.48879888</v>
      </c>
      <c r="BC105" s="6708">
        <v>30.739088719999998</v>
      </c>
      <c r="BD105" s="2877">
        <v>2.7936989200000002</v>
      </c>
      <c r="BE105" s="6712">
        <v>2.8582768399999998</v>
      </c>
      <c r="BF105" s="6712">
        <v>2.5635109599999999</v>
      </c>
      <c r="BG105" s="2877">
        <v>2.2694242600000001</v>
      </c>
      <c r="BH105" s="2877">
        <v>2.26604319</v>
      </c>
      <c r="BI105" s="2877">
        <v>2.3186557200000002</v>
      </c>
      <c r="BJ105" s="2877">
        <v>2.5954712400000002</v>
      </c>
      <c r="BK105" s="2877">
        <v>2.8745522000000001</v>
      </c>
      <c r="BL105" s="6709">
        <v>2.8578457199999998</v>
      </c>
      <c r="BM105" s="6709">
        <v>2.4588678100000001</v>
      </c>
      <c r="BN105" s="6709">
        <v>2.1793681199999999</v>
      </c>
      <c r="BO105" s="6709">
        <v>2.3204036399999999</v>
      </c>
      <c r="BP105" s="6710">
        <v>30.356118619999997</v>
      </c>
      <c r="BQ105" s="6319">
        <v>2.6864808</v>
      </c>
      <c r="BR105" s="6713">
        <v>2.6961176500000001</v>
      </c>
      <c r="BS105" s="6713">
        <v>2.5900170899999999</v>
      </c>
      <c r="BT105" s="6319">
        <v>2.13141092</v>
      </c>
      <c r="BU105" s="6319">
        <v>1.9397916799999999</v>
      </c>
      <c r="BV105" s="6319">
        <v>2.0043192599999999</v>
      </c>
      <c r="BW105" s="2877">
        <v>2.2316486900000001</v>
      </c>
      <c r="BX105" s="2877">
        <v>2.5466134199999999</v>
      </c>
      <c r="BY105" s="6709">
        <v>2.8245133099999999</v>
      </c>
      <c r="BZ105" s="6709">
        <v>2.2491661999999999</v>
      </c>
      <c r="CA105" s="6709">
        <v>3.0637715700000001</v>
      </c>
      <c r="CB105" s="6709">
        <v>2.97196229</v>
      </c>
      <c r="CC105" s="6609"/>
      <c r="CD105" s="2862"/>
      <c r="CE105" s="6322">
        <f t="shared" si="113"/>
        <v>-9.1809280000000104E-2</v>
      </c>
      <c r="CF105" s="2892">
        <f t="shared" si="114"/>
        <v>0.65155865000000013</v>
      </c>
      <c r="CG105" s="2892"/>
      <c r="CH105" s="6349">
        <f t="shared" si="115"/>
        <v>29.93581288</v>
      </c>
      <c r="CI105" s="6685"/>
      <c r="CJ105" s="2792"/>
      <c r="CK105" s="6711">
        <f t="shared" si="116"/>
        <v>-0.42030573999999632</v>
      </c>
      <c r="CL105" s="5138"/>
      <c r="CM105" s="2488"/>
      <c r="CN105" s="2488"/>
      <c r="CO105" s="2488"/>
      <c r="CP105" s="2488"/>
      <c r="CQ105" s="2488"/>
      <c r="CR105" s="2488"/>
      <c r="CS105" s="2488"/>
      <c r="CT105" s="2488"/>
      <c r="CU105" s="2488"/>
      <c r="CV105" s="2488"/>
      <c r="CW105" s="2488"/>
      <c r="CX105" s="2488"/>
      <c r="CY105" s="2488"/>
      <c r="CZ105" s="2488"/>
      <c r="DB105" s="4439"/>
      <c r="DC105" s="4439"/>
      <c r="DF105" s="4439"/>
      <c r="DG105" s="4439"/>
    </row>
    <row r="106" spans="1:111" ht="16.3" customHeight="1" x14ac:dyDescent="0.55000000000000004">
      <c r="A106" s="6692"/>
      <c r="B106" s="6702"/>
      <c r="C106" s="6702" t="s">
        <v>32</v>
      </c>
      <c r="D106" s="6702"/>
      <c r="E106" s="6702"/>
      <c r="F106" s="6702"/>
      <c r="G106" s="6702"/>
      <c r="H106" s="6702"/>
      <c r="I106" s="6702"/>
      <c r="J106" s="6702"/>
      <c r="K106" s="6702"/>
      <c r="L106" s="6702"/>
      <c r="M106" s="6702"/>
      <c r="N106" s="6702"/>
      <c r="O106" s="6702"/>
      <c r="P106" s="6702"/>
      <c r="Q106" s="6702"/>
      <c r="R106" s="6702"/>
      <c r="S106" s="6702"/>
      <c r="T106" s="6702"/>
      <c r="U106" s="6702"/>
      <c r="V106" s="6702"/>
      <c r="W106" s="6702"/>
      <c r="X106" s="6702"/>
      <c r="Y106" s="6702"/>
      <c r="Z106" s="6702"/>
      <c r="AA106" s="6702"/>
      <c r="AB106" s="6702"/>
      <c r="AC106" s="6702"/>
      <c r="AD106" s="6702"/>
      <c r="AE106" s="6702"/>
      <c r="AF106" s="6702"/>
      <c r="AG106" s="6702"/>
      <c r="AH106" s="6702"/>
      <c r="AI106" s="6702"/>
      <c r="AJ106" s="6702"/>
      <c r="AK106" s="6702"/>
      <c r="AL106" s="6702"/>
      <c r="AM106" s="6702"/>
      <c r="AN106" s="6702"/>
      <c r="AO106" s="6313"/>
      <c r="AP106" s="6706"/>
      <c r="AQ106" s="6707">
        <v>3.1880798399999999</v>
      </c>
      <c r="AR106" s="6707">
        <v>3.2910233500000001</v>
      </c>
      <c r="AS106" s="6707">
        <v>2.9027448599999999</v>
      </c>
      <c r="AT106" s="6707">
        <v>2.8615935600000002</v>
      </c>
      <c r="AU106" s="6707">
        <v>2.5580032099999999</v>
      </c>
      <c r="AV106" s="6707">
        <v>2.5192790500000002</v>
      </c>
      <c r="AW106" s="6707">
        <v>2.6151879</v>
      </c>
      <c r="AX106" s="6707">
        <v>3.1831596700000002</v>
      </c>
      <c r="AY106" s="6707">
        <v>2.24441186</v>
      </c>
      <c r="AZ106" s="6707">
        <v>3.1891188399999999</v>
      </c>
      <c r="BA106" s="6707">
        <v>2.8159511099999999</v>
      </c>
      <c r="BB106" s="6707">
        <v>2.87401427</v>
      </c>
      <c r="BC106" s="6708">
        <v>34.242567519999994</v>
      </c>
      <c r="BD106" s="2877">
        <v>3.11475663</v>
      </c>
      <c r="BE106" s="6712">
        <v>2.4442357299999999</v>
      </c>
      <c r="BF106" s="6712">
        <v>2.6340841300000002</v>
      </c>
      <c r="BG106" s="2877">
        <v>2.6090778800000001</v>
      </c>
      <c r="BH106" s="2877">
        <v>2.5996507800000002</v>
      </c>
      <c r="BI106" s="2877">
        <v>2.3270816000000001</v>
      </c>
      <c r="BJ106" s="2877">
        <v>2.1575973799999999</v>
      </c>
      <c r="BK106" s="2877">
        <v>2.3483925000000001</v>
      </c>
      <c r="BL106" s="6709">
        <v>2.9009824900000001</v>
      </c>
      <c r="BM106" s="6709">
        <v>3.3161719399999998</v>
      </c>
      <c r="BN106" s="6709">
        <v>2.7508602099999999</v>
      </c>
      <c r="BO106" s="6709">
        <v>2.36111899</v>
      </c>
      <c r="BP106" s="6710">
        <v>31.56401026</v>
      </c>
      <c r="BQ106" s="6319">
        <v>2.11753846</v>
      </c>
      <c r="BR106" s="6713">
        <v>2.2002702699999999</v>
      </c>
      <c r="BS106" s="6713">
        <v>2.7338018599999998</v>
      </c>
      <c r="BT106" s="6319">
        <v>2.8130379300000001</v>
      </c>
      <c r="BU106" s="6319">
        <v>2.3462351300000002</v>
      </c>
      <c r="BV106" s="6319">
        <v>3.1699714399999999</v>
      </c>
      <c r="BW106" s="2877">
        <v>2.6199753600000002</v>
      </c>
      <c r="BX106" s="2877">
        <v>2.46264504</v>
      </c>
      <c r="BY106" s="6709">
        <v>3.8521421199999999</v>
      </c>
      <c r="BZ106" s="6709">
        <v>2.9170932299999999</v>
      </c>
      <c r="CA106" s="6709">
        <v>3.0184463699999999</v>
      </c>
      <c r="CB106" s="6709">
        <v>4.2301555899999999</v>
      </c>
      <c r="CC106" s="6609"/>
      <c r="CD106" s="2862"/>
      <c r="CE106" s="6322">
        <f t="shared" si="113"/>
        <v>1.2117092199999999</v>
      </c>
      <c r="CF106" s="2892">
        <f t="shared" si="114"/>
        <v>1.8690365999999998</v>
      </c>
      <c r="CG106" s="2892"/>
      <c r="CH106" s="6349">
        <f t="shared" si="115"/>
        <v>34.481312799999998</v>
      </c>
      <c r="CI106" s="6685"/>
      <c r="CJ106" s="2792"/>
      <c r="CK106" s="6711">
        <f t="shared" si="116"/>
        <v>2.9173025399999979</v>
      </c>
      <c r="CL106" s="5138"/>
      <c r="CM106" s="2488"/>
      <c r="CN106" s="2488"/>
      <c r="CO106" s="2488"/>
      <c r="CP106" s="2488"/>
      <c r="CQ106" s="2488"/>
      <c r="CR106" s="2488"/>
      <c r="CS106" s="2488"/>
      <c r="CT106" s="2488"/>
      <c r="CU106" s="2488"/>
      <c r="CV106" s="2488"/>
      <c r="CW106" s="2488"/>
      <c r="CX106" s="2488"/>
      <c r="CY106" s="2488"/>
      <c r="CZ106" s="2488"/>
      <c r="DB106" s="4439"/>
      <c r="DC106" s="4439"/>
      <c r="DF106" s="4439"/>
      <c r="DG106" s="4439"/>
    </row>
    <row r="107" spans="1:111" ht="16.3" customHeight="1" x14ac:dyDescent="0.55000000000000004">
      <c r="A107" s="6692"/>
      <c r="B107" s="2893"/>
      <c r="C107" s="2893" t="s">
        <v>632</v>
      </c>
      <c r="D107" s="2893"/>
      <c r="E107" s="6714" t="s">
        <v>633</v>
      </c>
      <c r="F107" s="6714"/>
      <c r="G107" s="6714"/>
      <c r="H107" s="6714"/>
      <c r="I107" s="6714"/>
      <c r="J107" s="6714"/>
      <c r="K107" s="6714"/>
      <c r="L107" s="6714"/>
      <c r="M107" s="6714"/>
      <c r="N107" s="6714"/>
      <c r="O107" s="6714"/>
      <c r="P107" s="6714"/>
      <c r="Q107" s="6714"/>
      <c r="R107" s="6714"/>
      <c r="S107" s="6714"/>
      <c r="T107" s="6714"/>
      <c r="U107" s="6714"/>
      <c r="V107" s="6714"/>
      <c r="W107" s="6714"/>
      <c r="X107" s="6714"/>
      <c r="Y107" s="6714"/>
      <c r="Z107" s="6714"/>
      <c r="AA107" s="6714"/>
      <c r="AB107" s="6714"/>
      <c r="AC107" s="6714"/>
      <c r="AD107" s="6714"/>
      <c r="AE107" s="6714"/>
      <c r="AF107" s="6714"/>
      <c r="AG107" s="6714"/>
      <c r="AH107" s="6714"/>
      <c r="AI107" s="6714"/>
      <c r="AJ107" s="6714"/>
      <c r="AK107" s="6714"/>
      <c r="AL107" s="6714"/>
      <c r="AM107" s="6714"/>
      <c r="AN107" s="6714"/>
      <c r="AO107" s="6715"/>
      <c r="AP107" s="6716"/>
      <c r="AQ107" s="6717">
        <v>-1.5638089447286418</v>
      </c>
      <c r="AR107" s="6717">
        <v>0.76909188881570856</v>
      </c>
      <c r="AS107" s="6717">
        <v>1.6077615726016603</v>
      </c>
      <c r="AT107" s="6717">
        <v>1.4759869824976732</v>
      </c>
      <c r="AU107" s="6717">
        <v>1.7648701622416141</v>
      </c>
      <c r="AV107" s="6717">
        <v>2.3986718523951254</v>
      </c>
      <c r="AW107" s="6717">
        <v>0.51856518733328727</v>
      </c>
      <c r="AX107" s="6717">
        <v>-2.4715803607537552</v>
      </c>
      <c r="AY107" s="6717">
        <v>-3.7415228582671531</v>
      </c>
      <c r="AZ107" s="6717">
        <v>-0.76431867891496807</v>
      </c>
      <c r="BA107" s="6717">
        <v>-22.043912201828334</v>
      </c>
      <c r="BB107" s="6717">
        <v>-3.6298315777433103</v>
      </c>
      <c r="BC107" s="6718">
        <v>-25.680026976351094</v>
      </c>
      <c r="BD107" s="2896">
        <v>-4.4058318392131355</v>
      </c>
      <c r="BE107" s="2896">
        <v>-0.47604348661062801</v>
      </c>
      <c r="BF107" s="2896">
        <v>-4.6074623581795464</v>
      </c>
      <c r="BG107" s="2896">
        <v>-3.7913393905972796</v>
      </c>
      <c r="BH107" s="2896">
        <v>-4.4629502295551973</v>
      </c>
      <c r="BI107" s="2896">
        <v>-5.0789363544603887</v>
      </c>
      <c r="BJ107" s="2896">
        <v>-15.686730255552195</v>
      </c>
      <c r="BK107" s="2896">
        <v>-8.1072626362493665</v>
      </c>
      <c r="BL107" s="6709">
        <v>-13.777671733461496</v>
      </c>
      <c r="BM107" s="6709">
        <v>-4.4336849684328641</v>
      </c>
      <c r="BN107" s="6709">
        <v>-2.1806075728850658</v>
      </c>
      <c r="BO107" s="6709">
        <v>-1.1572134520133659</v>
      </c>
      <c r="BP107" s="6710">
        <v>-68.165734277210532</v>
      </c>
      <c r="BQ107" s="6719">
        <v>1.2642275304404578</v>
      </c>
      <c r="BR107" s="6719">
        <v>-9.5109661663661456</v>
      </c>
      <c r="BS107" s="6719">
        <v>-3.3447866567245299</v>
      </c>
      <c r="BT107" s="6719">
        <v>-5.3893908860725617</v>
      </c>
      <c r="BU107" s="6719">
        <v>-14.529134369850816</v>
      </c>
      <c r="BV107" s="6719">
        <v>-20.075637392727316</v>
      </c>
      <c r="BW107" s="2896">
        <v>-32.131048437158071</v>
      </c>
      <c r="BX107" s="2896">
        <v>-7.7871336468923857</v>
      </c>
      <c r="BY107" s="6709">
        <v>-24.836027520116794</v>
      </c>
      <c r="BZ107" s="6709">
        <v>-1.0162059458486254</v>
      </c>
      <c r="CA107" s="6709">
        <v>-3.7680338059934613</v>
      </c>
      <c r="CB107" s="6709">
        <v>0.7194276369182262</v>
      </c>
      <c r="CC107" s="6609"/>
      <c r="CD107" s="2862"/>
      <c r="CE107" s="6720">
        <f t="shared" si="113"/>
        <v>4.4874614429116875</v>
      </c>
      <c r="CF107" s="6721">
        <f t="shared" si="114"/>
        <v>1.8766410889315921</v>
      </c>
      <c r="CG107" s="2903"/>
      <c r="CH107" s="6722">
        <f t="shared" si="115"/>
        <v>-120.40470966039203</v>
      </c>
      <c r="CI107" s="6685"/>
      <c r="CJ107" s="2792"/>
      <c r="CK107" s="6723">
        <f t="shared" si="116"/>
        <v>-52.238975383181497</v>
      </c>
      <c r="CL107" s="5138"/>
      <c r="CM107" s="2488"/>
      <c r="CN107" s="2488"/>
      <c r="CO107" s="2488"/>
      <c r="CP107" s="2488"/>
      <c r="CQ107" s="2488"/>
      <c r="CR107" s="2488"/>
      <c r="CS107" s="2488"/>
      <c r="CT107" s="2488"/>
      <c r="CU107" s="2488"/>
      <c r="CV107" s="2488"/>
      <c r="CW107" s="2488"/>
      <c r="CX107" s="2488"/>
      <c r="CY107" s="2488"/>
      <c r="CZ107" s="2488"/>
      <c r="DB107" s="4439"/>
      <c r="DC107" s="4439"/>
      <c r="DF107" s="4439"/>
      <c r="DG107" s="4439"/>
    </row>
    <row r="108" spans="1:111" ht="16.3" customHeight="1" x14ac:dyDescent="0.55000000000000004">
      <c r="A108" s="6692"/>
      <c r="B108" s="6724" t="s">
        <v>17</v>
      </c>
      <c r="C108" s="6725"/>
      <c r="D108" s="6725"/>
      <c r="E108" s="6725"/>
      <c r="F108" s="6725"/>
      <c r="G108" s="6725"/>
      <c r="H108" s="6725"/>
      <c r="I108" s="6725"/>
      <c r="J108" s="6725"/>
      <c r="K108" s="6725"/>
      <c r="L108" s="6725"/>
      <c r="M108" s="6725"/>
      <c r="N108" s="6725"/>
      <c r="O108" s="6725"/>
      <c r="P108" s="6725"/>
      <c r="Q108" s="6725"/>
      <c r="R108" s="6725"/>
      <c r="S108" s="6725"/>
      <c r="T108" s="6725"/>
      <c r="U108" s="6725"/>
      <c r="V108" s="6725"/>
      <c r="W108" s="6725"/>
      <c r="X108" s="6725"/>
      <c r="Y108" s="6725"/>
      <c r="Z108" s="6725"/>
      <c r="AA108" s="6725"/>
      <c r="AB108" s="6725"/>
      <c r="AC108" s="6725"/>
      <c r="AD108" s="6725"/>
      <c r="AE108" s="6725"/>
      <c r="AF108" s="6725"/>
      <c r="AG108" s="6725"/>
      <c r="AH108" s="6725"/>
      <c r="AI108" s="6725"/>
      <c r="AJ108" s="6725"/>
      <c r="AK108" s="6725"/>
      <c r="AL108" s="6725"/>
      <c r="AM108" s="6725"/>
      <c r="AN108" s="6725"/>
      <c r="AO108" s="6726"/>
      <c r="AP108" s="6727"/>
      <c r="AQ108" s="6728">
        <v>-2.4865971917097873</v>
      </c>
      <c r="AR108" s="6728">
        <v>16.863873545639645</v>
      </c>
      <c r="AS108" s="6728">
        <v>8.7412195895893756</v>
      </c>
      <c r="AT108" s="6728">
        <v>3.6377682302271532</v>
      </c>
      <c r="AU108" s="6728">
        <v>15.464196511231293</v>
      </c>
      <c r="AV108" s="6728">
        <v>13.677927319858384</v>
      </c>
      <c r="AW108" s="6728">
        <v>-4.1613884664527188</v>
      </c>
      <c r="AX108" s="6728">
        <v>46.003314943790471</v>
      </c>
      <c r="AY108" s="6728">
        <v>-14.532940217525116</v>
      </c>
      <c r="AZ108" s="6728">
        <v>19.530456867603625</v>
      </c>
      <c r="BA108" s="6728">
        <v>-31.362217322552333</v>
      </c>
      <c r="BB108" s="6728">
        <v>-6.8309033880481174</v>
      </c>
      <c r="BC108" s="6729">
        <v>64.544710421651871</v>
      </c>
      <c r="BD108" s="2909">
        <f t="shared" ref="BD108:BM108" si="126">BD98+BD109-BD111-BD110</f>
        <v>10.599674436788506</v>
      </c>
      <c r="BE108" s="2909">
        <f t="shared" si="126"/>
        <v>10.59015720765608</v>
      </c>
      <c r="BF108" s="2909">
        <f t="shared" si="126"/>
        <v>19.143342551522174</v>
      </c>
      <c r="BG108" s="2909">
        <f t="shared" si="126"/>
        <v>3.8117258169239889</v>
      </c>
      <c r="BH108" s="2909">
        <f t="shared" si="126"/>
        <v>11.140804062993316</v>
      </c>
      <c r="BI108" s="2909">
        <f t="shared" si="126"/>
        <v>-5.3074165408016754</v>
      </c>
      <c r="BJ108" s="2909">
        <f t="shared" si="126"/>
        <v>21.608443562902071</v>
      </c>
      <c r="BK108" s="2909">
        <f t="shared" si="126"/>
        <v>-6.4021072199931659</v>
      </c>
      <c r="BL108" s="2909">
        <f t="shared" si="126"/>
        <v>-12.163202378626508</v>
      </c>
      <c r="BM108" s="2909">
        <f t="shared" si="126"/>
        <v>-9.9498159834150464</v>
      </c>
      <c r="BN108" s="2909">
        <f>BN98+BN109-BN111-BN110</f>
        <v>-11.1537898204672</v>
      </c>
      <c r="BO108" s="6730">
        <v>-8.0349404720068751</v>
      </c>
      <c r="BP108" s="6731">
        <v>23.882875223475665</v>
      </c>
      <c r="BQ108" s="6732">
        <f>BQ98+BQ109-BQ111-BQ110</f>
        <v>-18.295066779738942</v>
      </c>
      <c r="BR108" s="6732">
        <f>BR98+BR109-BR111-BR110</f>
        <v>34.361785092111376</v>
      </c>
      <c r="BS108" s="6732">
        <f>BS98+BS109-BS111-BS110</f>
        <v>11.391866476265804</v>
      </c>
      <c r="BT108" s="6732">
        <f t="shared" ref="BT108:CB108" si="127">BT98+BT109-BT111-BT110</f>
        <v>16.529726748202631</v>
      </c>
      <c r="BU108" s="6732">
        <f t="shared" si="127"/>
        <v>36.827465569778163</v>
      </c>
      <c r="BV108" s="6732">
        <f t="shared" si="127"/>
        <v>-2.2899241677573894</v>
      </c>
      <c r="BW108" s="6732">
        <f t="shared" si="127"/>
        <v>29.869226999718901</v>
      </c>
      <c r="BX108" s="6732">
        <f t="shared" si="127"/>
        <v>3.1552801625569344</v>
      </c>
      <c r="BY108" s="6732">
        <f t="shared" si="127"/>
        <v>-1.3464367102259809</v>
      </c>
      <c r="BZ108" s="6732">
        <f t="shared" si="127"/>
        <v>-27.243653360345576</v>
      </c>
      <c r="CA108" s="6732">
        <f t="shared" si="127"/>
        <v>-15.846262022655498</v>
      </c>
      <c r="CB108" s="6732">
        <f t="shared" si="127"/>
        <v>-17.587660156621677</v>
      </c>
      <c r="CC108" s="6609"/>
      <c r="CD108" s="2862"/>
      <c r="CE108" s="6733">
        <f t="shared" si="113"/>
        <v>-1.7413981339661788</v>
      </c>
      <c r="CF108" s="2914">
        <f t="shared" si="114"/>
        <v>-9.5527196846148019</v>
      </c>
      <c r="CG108" s="2914"/>
      <c r="CH108" s="6734">
        <f t="shared" si="115"/>
        <v>49.526347851288747</v>
      </c>
      <c r="CI108" s="6685"/>
      <c r="CJ108" s="2792"/>
      <c r="CK108" s="6735">
        <f t="shared" si="116"/>
        <v>25.643472627813082</v>
      </c>
      <c r="CL108" s="5138"/>
      <c r="CM108" s="2488"/>
      <c r="CN108" s="2488"/>
      <c r="CO108" s="2488"/>
      <c r="CP108" s="2488"/>
      <c r="CQ108" s="2488"/>
      <c r="CR108" s="2488"/>
      <c r="CS108" s="2488"/>
      <c r="CT108" s="2488"/>
      <c r="CU108" s="2488"/>
      <c r="CV108" s="2488"/>
      <c r="CW108" s="2488"/>
      <c r="CX108" s="2488"/>
      <c r="CY108" s="2488"/>
      <c r="CZ108" s="2488"/>
      <c r="DB108" s="4439"/>
      <c r="DC108" s="4439"/>
      <c r="DF108" s="4439"/>
      <c r="DG108" s="4439"/>
    </row>
    <row r="109" spans="1:111" ht="16.3" customHeight="1" x14ac:dyDescent="0.55000000000000004">
      <c r="A109" s="6692"/>
      <c r="C109" s="3189" t="s">
        <v>634</v>
      </c>
      <c r="D109" s="3189"/>
      <c r="E109" s="6736" t="s">
        <v>1167</v>
      </c>
      <c r="F109" s="3189"/>
      <c r="G109" s="3189"/>
      <c r="H109" s="3189"/>
      <c r="I109" s="3189"/>
      <c r="J109" s="3189"/>
      <c r="K109" s="3189"/>
      <c r="L109" s="3189"/>
      <c r="M109" s="3189"/>
      <c r="N109" s="3189"/>
      <c r="O109" s="3189"/>
      <c r="P109" s="3189"/>
      <c r="Q109" s="3189"/>
      <c r="R109" s="3189"/>
      <c r="S109" s="3189"/>
      <c r="T109" s="3189"/>
      <c r="U109" s="3189"/>
      <c r="V109" s="3189"/>
      <c r="W109" s="3189"/>
      <c r="X109" s="3189"/>
      <c r="Y109" s="3189"/>
      <c r="Z109" s="3189"/>
      <c r="AA109" s="3189"/>
      <c r="AB109" s="3189"/>
      <c r="AC109" s="3189"/>
      <c r="AD109" s="3189"/>
      <c r="AE109" s="3189"/>
      <c r="AF109" s="3189"/>
      <c r="AG109" s="3189"/>
      <c r="AH109" s="3189"/>
      <c r="AI109" s="3189"/>
      <c r="AJ109" s="3189"/>
      <c r="AK109" s="3189"/>
      <c r="AL109" s="3189"/>
      <c r="AM109" s="3189"/>
      <c r="AN109" s="3189"/>
      <c r="AO109" s="6680"/>
      <c r="AP109" s="6681"/>
      <c r="AQ109" s="6682">
        <v>23.465023738822197</v>
      </c>
      <c r="AR109" s="6682">
        <v>24.833183093472702</v>
      </c>
      <c r="AS109" s="6682">
        <v>25.754234423613301</v>
      </c>
      <c r="AT109" s="6682">
        <v>25.226628505092101</v>
      </c>
      <c r="AU109" s="6682">
        <v>25.718614093600003</v>
      </c>
      <c r="AV109" s="6682">
        <v>24.9535889653854</v>
      </c>
      <c r="AW109" s="6682">
        <v>26.1647394225113</v>
      </c>
      <c r="AX109" s="6682">
        <v>26.688881658241424</v>
      </c>
      <c r="AY109" s="6682">
        <v>26.486991977000798</v>
      </c>
      <c r="AZ109" s="6682">
        <v>27.279525743142301</v>
      </c>
      <c r="BA109" s="6682">
        <v>27.114231849413301</v>
      </c>
      <c r="BB109" s="6682">
        <v>27.3766725722428</v>
      </c>
      <c r="BC109" s="6683">
        <v>311.06231604253765</v>
      </c>
      <c r="BD109" s="2861">
        <v>27.043422660047497</v>
      </c>
      <c r="BE109" s="6414">
        <v>27.4436396727465</v>
      </c>
      <c r="BF109" s="6414">
        <v>26.875110298693315</v>
      </c>
      <c r="BG109" s="2861">
        <v>27.134355040078201</v>
      </c>
      <c r="BH109" s="2861">
        <v>26.831344991859336</v>
      </c>
      <c r="BI109" s="2861">
        <v>27.084554589279733</v>
      </c>
      <c r="BJ109" s="2861">
        <v>26.955427634607325</v>
      </c>
      <c r="BK109" s="2861">
        <v>26.799676782396869</v>
      </c>
      <c r="BL109" s="6703">
        <v>26.896297586993793</v>
      </c>
      <c r="BM109" s="6703">
        <v>26.601977167736312</v>
      </c>
      <c r="BN109" s="6703">
        <v>26.369240973480601</v>
      </c>
      <c r="BO109" s="6703">
        <v>25.994727790300661</v>
      </c>
      <c r="BP109" s="6704">
        <v>322.02977518822013</v>
      </c>
      <c r="BQ109" s="6684">
        <v>23.890353636317499</v>
      </c>
      <c r="BR109" s="6427">
        <v>24.701307266805475</v>
      </c>
      <c r="BS109" s="6427">
        <v>25.050896464807803</v>
      </c>
      <c r="BT109" s="6684">
        <v>23.809409084525072</v>
      </c>
      <c r="BU109" s="6684">
        <v>23.575919609002188</v>
      </c>
      <c r="BV109" s="6684">
        <v>24.228225378433894</v>
      </c>
      <c r="BW109" s="2861">
        <v>25.571296610805973</v>
      </c>
      <c r="BX109" s="6737">
        <v>23.898729768018427</v>
      </c>
      <c r="BY109" s="6703">
        <v>24.059738179432546</v>
      </c>
      <c r="BZ109" s="6703">
        <v>23.890145548218481</v>
      </c>
      <c r="CA109" s="6703">
        <v>23.781974852221996</v>
      </c>
      <c r="CB109" s="6703">
        <v>23.735033271558866</v>
      </c>
      <c r="CC109" s="6609"/>
      <c r="CD109" s="2862"/>
      <c r="CE109" s="6419">
        <f t="shared" si="113"/>
        <v>-4.6941580663130367E-2</v>
      </c>
      <c r="CF109" s="2868">
        <f t="shared" si="114"/>
        <v>-2.2596945187417958</v>
      </c>
      <c r="CG109" s="2868"/>
      <c r="CH109" s="6420">
        <f t="shared" si="115"/>
        <v>290.19302967014818</v>
      </c>
      <c r="CI109" s="6685"/>
      <c r="CJ109" s="2792"/>
      <c r="CK109" s="6686">
        <f t="shared" si="116"/>
        <v>-31.83674551807195</v>
      </c>
      <c r="CL109" s="5138"/>
      <c r="CM109" s="2488"/>
      <c r="CN109" s="2488"/>
      <c r="CO109" s="2488"/>
      <c r="CP109" s="2488"/>
      <c r="CQ109" s="2488"/>
      <c r="CR109" s="2488"/>
      <c r="CS109" s="2488"/>
      <c r="CT109" s="2488"/>
      <c r="CU109" s="2488"/>
      <c r="CV109" s="2488"/>
      <c r="CW109" s="2488"/>
      <c r="CX109" s="2488"/>
      <c r="CY109" s="2488"/>
      <c r="CZ109" s="2488"/>
      <c r="DB109" s="4439"/>
      <c r="DC109" s="4439"/>
      <c r="DF109" s="4439"/>
      <c r="DG109" s="4439"/>
    </row>
    <row r="110" spans="1:111" ht="16.3" customHeight="1" x14ac:dyDescent="0.55000000000000004">
      <c r="A110" s="6692"/>
      <c r="C110" s="2441" t="s">
        <v>33</v>
      </c>
      <c r="AO110" s="6687"/>
      <c r="AP110" s="6688"/>
      <c r="AQ110" s="6564">
        <v>6.8707186293509785</v>
      </c>
      <c r="AR110" s="6564">
        <v>21.763091789433364</v>
      </c>
      <c r="AS110" s="6564">
        <v>10.697729272340103</v>
      </c>
      <c r="AT110" s="6564">
        <v>7.6812695056530051</v>
      </c>
      <c r="AU110" s="6564">
        <v>11.26474071946803</v>
      </c>
      <c r="AV110" s="6564">
        <v>17.072195068269483</v>
      </c>
      <c r="AW110" s="6564">
        <v>3.3574601639053814</v>
      </c>
      <c r="AX110" s="6564">
        <v>20.876343943994033</v>
      </c>
      <c r="AY110" s="6564">
        <v>15.083753950662427</v>
      </c>
      <c r="AZ110" s="6564">
        <v>13.391473535533827</v>
      </c>
      <c r="BA110" s="6564">
        <v>8.5219854392496543</v>
      </c>
      <c r="BB110" s="6564">
        <v>14.566042167432808</v>
      </c>
      <c r="BC110" s="6689">
        <v>151.14680418529309</v>
      </c>
      <c r="BD110" s="2790">
        <v>5.1365840630532258</v>
      </c>
      <c r="BE110" s="2790">
        <v>6.38261049815749</v>
      </c>
      <c r="BF110" s="2790">
        <v>0.81152591456122303</v>
      </c>
      <c r="BG110" s="2790">
        <v>8.5732787641511798</v>
      </c>
      <c r="BH110" s="2790">
        <v>11.437891542700106</v>
      </c>
      <c r="BI110" s="2790">
        <v>15.935533885172731</v>
      </c>
      <c r="BJ110" s="2790">
        <v>-2.4372523793240477</v>
      </c>
      <c r="BK110" s="2790">
        <v>19.051189786766162</v>
      </c>
      <c r="BL110" s="6738">
        <v>-1.8441595487822084</v>
      </c>
      <c r="BM110" s="6738">
        <v>8.3394300686418923</v>
      </c>
      <c r="BN110" s="6738">
        <v>10.840443371654342</v>
      </c>
      <c r="BO110" s="6738">
        <v>2.1480486985619698</v>
      </c>
      <c r="BP110" s="6739">
        <v>84.375124665314061</v>
      </c>
      <c r="BQ110" s="6616">
        <v>-2.3174159607456164</v>
      </c>
      <c r="BR110" s="6616">
        <v>22.350830104900009</v>
      </c>
      <c r="BS110" s="6616">
        <v>5.4754565719999997</v>
      </c>
      <c r="BT110" s="6616">
        <v>6.1836324183999993</v>
      </c>
      <c r="BU110" s="6616">
        <v>17.203948140599998</v>
      </c>
      <c r="BV110" s="6616">
        <v>3.9585251565000004</v>
      </c>
      <c r="BW110" s="2790">
        <v>8.4674357712999999</v>
      </c>
      <c r="BX110" s="6478">
        <v>22.935838414000006</v>
      </c>
      <c r="BY110" s="6738">
        <v>4.4023075365999995</v>
      </c>
      <c r="BZ110" s="6738">
        <v>12.249672036753742</v>
      </c>
      <c r="CA110" s="6738">
        <v>15.949710944002838</v>
      </c>
      <c r="CB110" s="6738">
        <v>11.134403105948792</v>
      </c>
      <c r="CC110" s="6609"/>
      <c r="CD110" s="2862"/>
      <c r="CE110" s="6166">
        <f t="shared" si="113"/>
        <v>-4.8153078380540464</v>
      </c>
      <c r="CF110" s="2509">
        <f t="shared" si="114"/>
        <v>8.9863544073868216</v>
      </c>
      <c r="CG110" s="2509"/>
      <c r="CH110" s="6288">
        <f t="shared" si="115"/>
        <v>127.99434424025978</v>
      </c>
      <c r="CI110" s="6685"/>
      <c r="CJ110" s="2792"/>
      <c r="CK110" s="6690">
        <f t="shared" si="116"/>
        <v>43.619219574945717</v>
      </c>
      <c r="CL110" s="5138"/>
      <c r="CM110" s="2488"/>
      <c r="CN110" s="2488"/>
      <c r="CO110" s="2488"/>
      <c r="CP110" s="2488"/>
      <c r="CQ110" s="2488"/>
      <c r="CR110" s="2488"/>
      <c r="CS110" s="2488"/>
      <c r="CT110" s="2488"/>
      <c r="CU110" s="2488"/>
      <c r="CV110" s="2488"/>
      <c r="CW110" s="2488"/>
      <c r="CX110" s="2488"/>
      <c r="CY110" s="2488"/>
      <c r="CZ110" s="2488"/>
      <c r="DB110" s="4439"/>
      <c r="DC110" s="4439"/>
      <c r="DF110" s="4439"/>
      <c r="DG110" s="4439"/>
    </row>
    <row r="111" spans="1:111" ht="16.3" customHeight="1" thickBot="1" x14ac:dyDescent="0.6">
      <c r="A111" s="6740"/>
      <c r="B111" s="3412"/>
      <c r="C111" s="3412" t="s">
        <v>67</v>
      </c>
      <c r="D111" s="3412"/>
      <c r="E111" s="6741" t="s">
        <v>635</v>
      </c>
      <c r="F111" s="6741"/>
      <c r="G111" s="6741"/>
      <c r="H111" s="6741"/>
      <c r="I111" s="6741"/>
      <c r="J111" s="6741"/>
      <c r="K111" s="6741"/>
      <c r="L111" s="6741"/>
      <c r="M111" s="6741"/>
      <c r="N111" s="6741"/>
      <c r="O111" s="6741"/>
      <c r="P111" s="6741"/>
      <c r="Q111" s="6741"/>
      <c r="R111" s="6741"/>
      <c r="S111" s="6741"/>
      <c r="T111" s="6741"/>
      <c r="U111" s="6741"/>
      <c r="V111" s="6741"/>
      <c r="W111" s="6741"/>
      <c r="X111" s="6741"/>
      <c r="Y111" s="6741"/>
      <c r="Z111" s="6741"/>
      <c r="AA111" s="6741"/>
      <c r="AB111" s="6741"/>
      <c r="AC111" s="6741"/>
      <c r="AD111" s="6741"/>
      <c r="AE111" s="6741"/>
      <c r="AF111" s="6741"/>
      <c r="AG111" s="6741"/>
      <c r="AH111" s="6741"/>
      <c r="AI111" s="6741"/>
      <c r="AJ111" s="6741"/>
      <c r="AK111" s="6741"/>
      <c r="AL111" s="6741"/>
      <c r="AM111" s="6741"/>
      <c r="AN111" s="6741"/>
      <c r="AO111" s="6742"/>
      <c r="AP111" s="6743"/>
      <c r="AQ111" s="6744">
        <v>20.707790737546006</v>
      </c>
      <c r="AR111" s="6744">
        <v>-0.9981748631433156</v>
      </c>
      <c r="AS111" s="6744">
        <v>20.300951033655121</v>
      </c>
      <c r="AT111" s="6744">
        <v>23.457340708030934</v>
      </c>
      <c r="AU111" s="6744">
        <v>8.1952123933863472</v>
      </c>
      <c r="AV111" s="6744">
        <v>7.9695614680835298</v>
      </c>
      <c r="AW111" s="6744">
        <v>31.27971153833137</v>
      </c>
      <c r="AX111" s="6744">
        <v>-6.7922078600581699</v>
      </c>
      <c r="AY111" s="6744">
        <v>20.6118662569544</v>
      </c>
      <c r="AZ111" s="6744">
        <v>13.994655463520036</v>
      </c>
      <c r="BA111" s="6744">
        <v>53.421213133332152</v>
      </c>
      <c r="BB111" s="6744">
        <v>14.18452741952478</v>
      </c>
      <c r="BC111" s="6745">
        <v>206.33244742916318</v>
      </c>
      <c r="BD111" s="6746">
        <v>40.430812104751261</v>
      </c>
      <c r="BE111" s="6746">
        <v>17.394072830266264</v>
      </c>
      <c r="BF111" s="6746">
        <v>22.559983388973549</v>
      </c>
      <c r="BG111" s="6746">
        <v>27.396262709003036</v>
      </c>
      <c r="BH111" s="6746">
        <v>17.082305519499219</v>
      </c>
      <c r="BI111" s="6746">
        <v>20.371687251878377</v>
      </c>
      <c r="BJ111" s="6746">
        <v>31.057038871174093</v>
      </c>
      <c r="BK111" s="6746">
        <v>27.818268885465677</v>
      </c>
      <c r="BL111" s="6747">
        <v>54.324512450607905</v>
      </c>
      <c r="BM111" s="6747">
        <v>39.552763661297369</v>
      </c>
      <c r="BN111" s="6747">
        <v>29.904648245020738</v>
      </c>
      <c r="BO111" s="6747">
        <v>23.734531246472848</v>
      </c>
      <c r="BP111" s="6748">
        <v>351.62688716441033</v>
      </c>
      <c r="BQ111" s="6749">
        <v>27.373649270907059</v>
      </c>
      <c r="BR111" s="6749">
        <v>5.902875158885017</v>
      </c>
      <c r="BS111" s="6749">
        <v>14.41289028199655</v>
      </c>
      <c r="BT111" s="6749">
        <v>15.853058991861838</v>
      </c>
      <c r="BU111" s="6749">
        <v>14.112150680442209</v>
      </c>
      <c r="BV111" s="6749">
        <v>33.314898252418558</v>
      </c>
      <c r="BW111" s="6746">
        <v>41.178326260999192</v>
      </c>
      <c r="BX111" s="6746">
        <v>8.7068634090372505</v>
      </c>
      <c r="BY111" s="6747">
        <v>32.229149674876723</v>
      </c>
      <c r="BZ111" s="6747">
        <v>36.091643734234566</v>
      </c>
      <c r="CA111" s="6747">
        <v>18.411859036632237</v>
      </c>
      <c r="CB111" s="6747">
        <v>18.436827395262057</v>
      </c>
      <c r="CC111" s="6609"/>
      <c r="CD111" s="2862"/>
      <c r="CE111" s="6750">
        <f t="shared" si="113"/>
        <v>2.4968358629820386E-2</v>
      </c>
      <c r="CF111" s="6751">
        <f t="shared" si="114"/>
        <v>-5.297703851210791</v>
      </c>
      <c r="CG111" s="2918"/>
      <c r="CH111" s="6752">
        <f t="shared" si="115"/>
        <v>266.02419214755326</v>
      </c>
      <c r="CI111" s="6685"/>
      <c r="CJ111" s="2792"/>
      <c r="CK111" s="6753">
        <f t="shared" si="116"/>
        <v>-85.602695016857069</v>
      </c>
      <c r="CL111" s="5138"/>
      <c r="CM111" s="2488"/>
      <c r="CN111" s="2488"/>
      <c r="CO111" s="2488"/>
      <c r="CP111" s="2488"/>
      <c r="CQ111" s="2488"/>
      <c r="CR111" s="2488"/>
      <c r="CS111" s="2488"/>
      <c r="CT111" s="2488"/>
      <c r="CU111" s="2488"/>
      <c r="CV111" s="2488"/>
      <c r="CW111" s="2488"/>
      <c r="CX111" s="2488"/>
      <c r="CY111" s="2488"/>
      <c r="CZ111" s="2488"/>
      <c r="DB111" s="4439"/>
      <c r="DC111" s="4439"/>
      <c r="DF111" s="4439"/>
      <c r="DG111" s="4439"/>
    </row>
    <row r="112" spans="1:111" ht="16.3" customHeight="1" x14ac:dyDescent="0.55000000000000004">
      <c r="A112" s="6754" t="s">
        <v>20</v>
      </c>
      <c r="B112" s="5076" t="s">
        <v>627</v>
      </c>
      <c r="AO112" s="6687"/>
      <c r="AP112" s="6688"/>
      <c r="AQ112" s="6564">
        <v>-3.6152330600000084</v>
      </c>
      <c r="AR112" s="6564">
        <v>-0.52710690999997212</v>
      </c>
      <c r="AS112" s="6564">
        <v>-6.1238774800000044</v>
      </c>
      <c r="AT112" s="6564">
        <v>0.29580194999999776</v>
      </c>
      <c r="AU112" s="6564">
        <v>-4.6834909299999907</v>
      </c>
      <c r="AV112" s="6564">
        <v>-5.6211171199999939</v>
      </c>
      <c r="AW112" s="6564">
        <v>0.8302376799999962</v>
      </c>
      <c r="AX112" s="6564">
        <v>-8.562794910000008</v>
      </c>
      <c r="AY112" s="6564">
        <v>8.4980445510774985</v>
      </c>
      <c r="AZ112" s="6564">
        <v>-3.7398697184225966</v>
      </c>
      <c r="BA112" s="6564">
        <v>-2.5592759978001993</v>
      </c>
      <c r="BB112" s="6564">
        <v>2.7416048695014013</v>
      </c>
      <c r="BC112" s="6689">
        <v>-23.06707707564388</v>
      </c>
      <c r="BD112" s="2790">
        <f>BD113-BD114</f>
        <v>-2.5344153899999924</v>
      </c>
      <c r="BE112" s="2790">
        <f t="shared" ref="BE112:BN112" si="128">BE113-BE114</f>
        <v>0.16469998745889569</v>
      </c>
      <c r="BF112" s="2790">
        <f t="shared" si="128"/>
        <v>-1.752415019910984</v>
      </c>
      <c r="BG112" s="2790">
        <f t="shared" si="128"/>
        <v>2.5355468859524493</v>
      </c>
      <c r="BH112" s="2790">
        <f t="shared" si="128"/>
        <v>-4.9890989386290414</v>
      </c>
      <c r="BI112" s="2790">
        <f t="shared" si="128"/>
        <v>-2.2428516972944905</v>
      </c>
      <c r="BJ112" s="2790">
        <f t="shared" si="128"/>
        <v>-6.9225408222472566</v>
      </c>
      <c r="BK112" s="2790">
        <f t="shared" si="128"/>
        <v>2.304333310463953</v>
      </c>
      <c r="BL112" s="2790">
        <f t="shared" si="128"/>
        <v>0.67802509851832582</v>
      </c>
      <c r="BM112" s="2790">
        <f t="shared" si="128"/>
        <v>-2.3646262470378669</v>
      </c>
      <c r="BN112" s="2790">
        <f t="shared" si="128"/>
        <v>0.79676140531638229</v>
      </c>
      <c r="BO112" s="2790">
        <v>1.5192380149688685</v>
      </c>
      <c r="BP112" s="6475">
        <v>-12.807343412440757</v>
      </c>
      <c r="BQ112" s="2790">
        <f t="shared" ref="BQ112:CD112" si="129">BQ113-BQ114</f>
        <v>0.60619465235174164</v>
      </c>
      <c r="BR112" s="2790">
        <f t="shared" si="129"/>
        <v>2.5112357700000003</v>
      </c>
      <c r="BS112" s="2790">
        <f t="shared" si="129"/>
        <v>0.67841257825719248</v>
      </c>
      <c r="BT112" s="2790">
        <f t="shared" si="129"/>
        <v>3.84803403</v>
      </c>
      <c r="BU112" s="2790">
        <f t="shared" si="129"/>
        <v>0.20899134</v>
      </c>
      <c r="BV112" s="2790">
        <f t="shared" si="129"/>
        <v>0.98819044</v>
      </c>
      <c r="BW112" s="2790">
        <f t="shared" si="129"/>
        <v>1.1889929000000001</v>
      </c>
      <c r="BX112" s="2790">
        <f t="shared" si="129"/>
        <v>0.65344815000000001</v>
      </c>
      <c r="BY112" s="2790">
        <f t="shared" si="129"/>
        <v>2.65534706</v>
      </c>
      <c r="BZ112" s="2790">
        <f t="shared" si="129"/>
        <v>-1.4519604399999999</v>
      </c>
      <c r="CA112" s="2790">
        <f t="shared" si="129"/>
        <v>0.57864136670187072</v>
      </c>
      <c r="CB112" s="2790">
        <f t="shared" si="129"/>
        <v>0.76279654872646052</v>
      </c>
      <c r="CC112" s="2790">
        <f t="shared" si="129"/>
        <v>0</v>
      </c>
      <c r="CD112" s="2790">
        <f t="shared" si="129"/>
        <v>0</v>
      </c>
      <c r="CE112" s="6166">
        <f t="shared" si="113"/>
        <v>0.1841551820245898</v>
      </c>
      <c r="CF112" s="2509">
        <f t="shared" si="114"/>
        <v>-0.75644146624240793</v>
      </c>
      <c r="CG112" s="2509"/>
      <c r="CH112" s="6288">
        <f t="shared" si="115"/>
        <v>13.228324396037262</v>
      </c>
      <c r="CI112" s="6685"/>
      <c r="CJ112" s="2792"/>
      <c r="CK112" s="6690">
        <f t="shared" si="116"/>
        <v>26.035667808478017</v>
      </c>
      <c r="CL112" s="5138"/>
      <c r="CM112" s="2488"/>
      <c r="CN112" s="2488"/>
      <c r="CO112" s="2488"/>
      <c r="CP112" s="2488"/>
      <c r="CQ112" s="2488"/>
      <c r="CR112" s="2488"/>
      <c r="CS112" s="2488"/>
      <c r="CT112" s="2488"/>
      <c r="CU112" s="2488"/>
      <c r="CV112" s="2488"/>
      <c r="CW112" s="2488"/>
      <c r="CX112" s="2488"/>
      <c r="CY112" s="2488"/>
      <c r="CZ112" s="2488"/>
      <c r="DB112" s="4439"/>
      <c r="DC112" s="4439"/>
      <c r="DF112" s="4439"/>
      <c r="DG112" s="4439"/>
    </row>
    <row r="113" spans="1:111" ht="16.3" customHeight="1" x14ac:dyDescent="0.55000000000000004">
      <c r="A113" s="6692"/>
      <c r="C113" s="3189" t="s">
        <v>6</v>
      </c>
      <c r="D113" s="3189"/>
      <c r="E113" s="3189"/>
      <c r="F113" s="3189"/>
      <c r="G113" s="3189"/>
      <c r="H113" s="3189"/>
      <c r="I113" s="3189"/>
      <c r="J113" s="3189"/>
      <c r="K113" s="3189"/>
      <c r="L113" s="3189"/>
      <c r="M113" s="3189"/>
      <c r="N113" s="3189"/>
      <c r="O113" s="3189"/>
      <c r="P113" s="3189"/>
      <c r="Q113" s="3189"/>
      <c r="R113" s="3189"/>
      <c r="S113" s="3189"/>
      <c r="T113" s="3189"/>
      <c r="U113" s="3189"/>
      <c r="V113" s="3189"/>
      <c r="W113" s="3189"/>
      <c r="X113" s="3189"/>
      <c r="Y113" s="3189"/>
      <c r="Z113" s="3189"/>
      <c r="AA113" s="3189"/>
      <c r="AB113" s="3189"/>
      <c r="AC113" s="3189"/>
      <c r="AD113" s="3189"/>
      <c r="AE113" s="3189"/>
      <c r="AF113" s="3189"/>
      <c r="AG113" s="3189"/>
      <c r="AH113" s="3189"/>
      <c r="AI113" s="3189"/>
      <c r="AJ113" s="3189"/>
      <c r="AK113" s="3189"/>
      <c r="AL113" s="3189"/>
      <c r="AM113" s="3189"/>
      <c r="AN113" s="3189"/>
      <c r="AO113" s="6680"/>
      <c r="AP113" s="6681"/>
      <c r="AQ113" s="6682">
        <v>79.726587539999997</v>
      </c>
      <c r="AR113" s="6682">
        <v>101.15128841000002</v>
      </c>
      <c r="AS113" s="6682">
        <v>75.106436419999994</v>
      </c>
      <c r="AT113" s="6682">
        <v>81.7203667</v>
      </c>
      <c r="AU113" s="6682">
        <v>74.699835210000003</v>
      </c>
      <c r="AV113" s="6682">
        <v>71.695196330000002</v>
      </c>
      <c r="AW113" s="6682">
        <v>88.783247250000002</v>
      </c>
      <c r="AX113" s="6682">
        <v>121.17300809</v>
      </c>
      <c r="AY113" s="6682">
        <v>87.086653681077493</v>
      </c>
      <c r="AZ113" s="6682">
        <v>95.300378201577402</v>
      </c>
      <c r="BA113" s="6682">
        <v>75.288409722199802</v>
      </c>
      <c r="BB113" s="6682">
        <v>64.490087519501401</v>
      </c>
      <c r="BC113" s="6683">
        <v>1016.221495074356</v>
      </c>
      <c r="BD113" s="2861">
        <v>93.681876590000002</v>
      </c>
      <c r="BE113" s="6414">
        <v>62.089300527458896</v>
      </c>
      <c r="BF113" s="6414">
        <v>49.030871930089013</v>
      </c>
      <c r="BG113" s="2861">
        <v>51.625608865952451</v>
      </c>
      <c r="BH113" s="2861">
        <v>47.577181599997331</v>
      </c>
      <c r="BI113" s="2861">
        <v>47.880170992705509</v>
      </c>
      <c r="BJ113" s="2861">
        <v>50.827455253879393</v>
      </c>
      <c r="BK113" s="2861">
        <v>30.005933840463953</v>
      </c>
      <c r="BL113" s="2861">
        <v>18.977916748518325</v>
      </c>
      <c r="BM113" s="2861">
        <v>10.944332392962133</v>
      </c>
      <c r="BN113" s="2861">
        <v>6.0690275672353193</v>
      </c>
      <c r="BO113" s="2861">
        <v>7.2124588436934935</v>
      </c>
      <c r="BP113" s="6415">
        <v>475.92213515295583</v>
      </c>
      <c r="BQ113" s="2861">
        <v>1.8922367883537916</v>
      </c>
      <c r="BR113" s="6427">
        <v>2.4818941900000002</v>
      </c>
      <c r="BS113" s="6414">
        <v>0.70588277825719248</v>
      </c>
      <c r="BT113" s="6737">
        <v>3.8676703799999999</v>
      </c>
      <c r="BU113" s="2861">
        <v>0.20809046</v>
      </c>
      <c r="BV113" s="2861">
        <v>0.95145148999999996</v>
      </c>
      <c r="BW113" s="2861">
        <v>1.18853264</v>
      </c>
      <c r="BX113" s="2861">
        <v>0.66414165999999997</v>
      </c>
      <c r="BY113" s="2861">
        <v>2.6811764299999998</v>
      </c>
      <c r="BZ113" s="2861">
        <v>-1.43874788</v>
      </c>
      <c r="CA113" s="2861">
        <v>0.55627282670187073</v>
      </c>
      <c r="CB113" s="2861">
        <v>0.80422347872646049</v>
      </c>
      <c r="CC113" s="6609"/>
      <c r="CD113" s="2862"/>
      <c r="CE113" s="6419">
        <f t="shared" si="113"/>
        <v>0.24795065202458977</v>
      </c>
      <c r="CF113" s="2868">
        <f t="shared" si="114"/>
        <v>-6.4082353649670329</v>
      </c>
      <c r="CG113" s="2868"/>
      <c r="CH113" s="6420">
        <f t="shared" si="115"/>
        <v>14.562825242039315</v>
      </c>
      <c r="CI113" s="6685"/>
      <c r="CJ113" s="2792"/>
      <c r="CK113" s="6686">
        <f t="shared" si="116"/>
        <v>-461.35930991091652</v>
      </c>
      <c r="CL113" s="5138"/>
      <c r="CM113" s="2488"/>
      <c r="CN113" s="2488"/>
      <c r="CO113" s="2488"/>
      <c r="CP113" s="2488"/>
      <c r="CQ113" s="2488"/>
      <c r="CR113" s="2488"/>
      <c r="CS113" s="2488"/>
      <c r="CT113" s="2488"/>
      <c r="CU113" s="2488"/>
      <c r="CV113" s="2488"/>
      <c r="CW113" s="2488"/>
      <c r="CX113" s="2488"/>
      <c r="CY113" s="2488"/>
      <c r="CZ113" s="2488"/>
      <c r="DB113" s="4439"/>
      <c r="DC113" s="4439"/>
      <c r="DF113" s="4439"/>
      <c r="DG113" s="4439"/>
    </row>
    <row r="114" spans="1:111" ht="16.3" customHeight="1" thickBot="1" x14ac:dyDescent="0.6">
      <c r="A114" s="6679"/>
      <c r="B114" s="2493"/>
      <c r="C114" s="2493" t="s">
        <v>34</v>
      </c>
      <c r="D114" s="2493"/>
      <c r="E114" s="2493"/>
      <c r="F114" s="2493"/>
      <c r="G114" s="2493"/>
      <c r="H114" s="2493"/>
      <c r="I114" s="2493"/>
      <c r="J114" s="2493"/>
      <c r="K114" s="2493"/>
      <c r="L114" s="2493"/>
      <c r="M114" s="2493"/>
      <c r="N114" s="2493"/>
      <c r="O114" s="2493"/>
      <c r="P114" s="2493"/>
      <c r="Q114" s="2493"/>
      <c r="R114" s="2493"/>
      <c r="S114" s="2493"/>
      <c r="T114" s="2493"/>
      <c r="U114" s="2493"/>
      <c r="V114" s="2493"/>
      <c r="W114" s="2493"/>
      <c r="X114" s="2493"/>
      <c r="Y114" s="2493"/>
      <c r="Z114" s="2493"/>
      <c r="AA114" s="2493"/>
      <c r="AB114" s="2493"/>
      <c r="AC114" s="2493"/>
      <c r="AD114" s="2493"/>
      <c r="AE114" s="2493"/>
      <c r="AF114" s="2493"/>
      <c r="AG114" s="2493"/>
      <c r="AH114" s="2493"/>
      <c r="AI114" s="2493"/>
      <c r="AJ114" s="2493"/>
      <c r="AK114" s="2493"/>
      <c r="AL114" s="2493"/>
      <c r="AM114" s="2493"/>
      <c r="AN114" s="2493"/>
      <c r="AO114" s="6687"/>
      <c r="AP114" s="6688"/>
      <c r="AQ114" s="6755">
        <v>83.341820600000005</v>
      </c>
      <c r="AR114" s="6755">
        <v>101.67839531999999</v>
      </c>
      <c r="AS114" s="6755">
        <v>81.230313899999999</v>
      </c>
      <c r="AT114" s="6755">
        <v>81.424564750000002</v>
      </c>
      <c r="AU114" s="6755">
        <v>79.383326139999994</v>
      </c>
      <c r="AV114" s="6755">
        <v>77.316313449999996</v>
      </c>
      <c r="AW114" s="6755">
        <v>87.953009570000006</v>
      </c>
      <c r="AX114" s="6755">
        <v>129.735803</v>
      </c>
      <c r="AY114" s="6755">
        <v>78.588609129999995</v>
      </c>
      <c r="AZ114" s="6755">
        <v>99.040247919999999</v>
      </c>
      <c r="BA114" s="6755">
        <v>77.847685720000001</v>
      </c>
      <c r="BB114" s="6755">
        <v>61.74848265</v>
      </c>
      <c r="BC114" s="6689">
        <v>1039.2885721499999</v>
      </c>
      <c r="BD114" s="2549">
        <v>96.216291979999994</v>
      </c>
      <c r="BE114" s="6474">
        <v>61.92460054</v>
      </c>
      <c r="BF114" s="6474">
        <v>50.783286949999997</v>
      </c>
      <c r="BG114" s="2790">
        <v>49.090061980000002</v>
      </c>
      <c r="BH114" s="2790">
        <v>52.566280538626373</v>
      </c>
      <c r="BI114" s="2790">
        <v>50.123022689999999</v>
      </c>
      <c r="BJ114" s="2790">
        <v>57.749996076126649</v>
      </c>
      <c r="BK114" s="2790">
        <v>27.70160053</v>
      </c>
      <c r="BL114" s="2790">
        <v>18.299891649999999</v>
      </c>
      <c r="BM114" s="2790">
        <v>13.30895864</v>
      </c>
      <c r="BN114" s="2790">
        <v>5.272266161918937</v>
      </c>
      <c r="BO114" s="2790">
        <v>5.6932208287246251</v>
      </c>
      <c r="BP114" s="6475">
        <v>488.72947856539662</v>
      </c>
      <c r="BQ114" s="2549">
        <v>1.28604213600205</v>
      </c>
      <c r="BR114" s="6450">
        <v>-2.9341579999999999E-2</v>
      </c>
      <c r="BS114" s="6474">
        <v>2.74702E-2</v>
      </c>
      <c r="BT114" s="6756">
        <v>1.963635E-2</v>
      </c>
      <c r="BU114" s="2790">
        <v>-9.0087999999999995E-4</v>
      </c>
      <c r="BV114" s="2790">
        <v>-3.6738949999999999E-2</v>
      </c>
      <c r="BW114" s="2790">
        <v>-4.6025999999999999E-4</v>
      </c>
      <c r="BX114" s="2790">
        <v>1.069351E-2</v>
      </c>
      <c r="BY114" s="2790">
        <v>2.5829370000000001E-2</v>
      </c>
      <c r="BZ114" s="2790">
        <v>1.321256E-2</v>
      </c>
      <c r="CA114" s="2790">
        <v>-2.2368539999999999E-2</v>
      </c>
      <c r="CB114" s="2790">
        <v>4.1426930000000001E-2</v>
      </c>
      <c r="CC114" s="6609"/>
      <c r="CD114" s="2862"/>
      <c r="CE114" s="6166">
        <f t="shared" si="113"/>
        <v>6.3795469999999993E-2</v>
      </c>
      <c r="CF114" s="2509">
        <f t="shared" si="114"/>
        <v>-5.651793898724625</v>
      </c>
      <c r="CG114" s="2509"/>
      <c r="CH114" s="6399">
        <f t="shared" si="115"/>
        <v>1.33450084600205</v>
      </c>
      <c r="CI114" s="6685"/>
      <c r="CJ114" s="2792"/>
      <c r="CK114" s="6690">
        <f t="shared" si="116"/>
        <v>-487.39497771939455</v>
      </c>
      <c r="CL114" s="5138"/>
      <c r="CM114" s="2488"/>
      <c r="CN114" s="2488"/>
      <c r="CO114" s="2488"/>
      <c r="CP114" s="2488"/>
      <c r="CQ114" s="2488"/>
      <c r="CR114" s="2488"/>
      <c r="CS114" s="2488"/>
      <c r="CT114" s="2488"/>
      <c r="CU114" s="2488"/>
      <c r="CV114" s="2488"/>
      <c r="CW114" s="2488"/>
      <c r="CX114" s="2488"/>
      <c r="CY114" s="2488"/>
      <c r="CZ114" s="2488"/>
      <c r="DB114" s="4439"/>
      <c r="DC114" s="4439"/>
      <c r="DF114" s="4439"/>
      <c r="DG114" s="4439"/>
    </row>
    <row r="115" spans="1:111" ht="16.3" customHeight="1" x14ac:dyDescent="0.55000000000000004">
      <c r="A115" s="6692"/>
      <c r="B115" s="6328" t="s">
        <v>636</v>
      </c>
      <c r="C115" s="6329"/>
      <c r="D115" s="6329"/>
      <c r="E115" s="6329"/>
      <c r="F115" s="6329"/>
      <c r="G115" s="6329"/>
      <c r="H115" s="6329"/>
      <c r="I115" s="6329"/>
      <c r="J115" s="6329"/>
      <c r="K115" s="6329"/>
      <c r="L115" s="6329"/>
      <c r="M115" s="6329"/>
      <c r="N115" s="6329"/>
      <c r="O115" s="6329"/>
      <c r="P115" s="6329"/>
      <c r="Q115" s="6329"/>
      <c r="R115" s="6329"/>
      <c r="S115" s="6329"/>
      <c r="T115" s="6329"/>
      <c r="U115" s="6329"/>
      <c r="V115" s="6329"/>
      <c r="W115" s="6329"/>
      <c r="X115" s="6329"/>
      <c r="Y115" s="6329"/>
      <c r="Z115" s="6329"/>
      <c r="AA115" s="6329"/>
      <c r="AB115" s="6329"/>
      <c r="AC115" s="6329"/>
      <c r="AD115" s="6329"/>
      <c r="AE115" s="6329"/>
      <c r="AF115" s="6329"/>
      <c r="AG115" s="6329"/>
      <c r="AH115" s="6329"/>
      <c r="AI115" s="6329"/>
      <c r="AJ115" s="6329"/>
      <c r="AK115" s="6329"/>
      <c r="AL115" s="6329"/>
      <c r="AM115" s="6329"/>
      <c r="AN115" s="6329"/>
      <c r="AO115" s="6331"/>
      <c r="AP115" s="6757"/>
      <c r="AQ115" s="6758">
        <v>0.90736443712592774</v>
      </c>
      <c r="AR115" s="6758">
        <v>0.85688383171349258</v>
      </c>
      <c r="AS115" s="6758">
        <v>1.1348422865445009</v>
      </c>
      <c r="AT115" s="6758">
        <v>-0.23625783678902579</v>
      </c>
      <c r="AU115" s="6758">
        <v>-6.7798177084490874E-2</v>
      </c>
      <c r="AV115" s="6758">
        <v>0.87869550395346963</v>
      </c>
      <c r="AW115" s="6758">
        <v>3.8137970111449704E-2</v>
      </c>
      <c r="AX115" s="6758">
        <v>0.70547168186296005</v>
      </c>
      <c r="AY115" s="6758">
        <v>3.5096274756153178E-2</v>
      </c>
      <c r="AZ115" s="6758">
        <v>1.9772362365852452</v>
      </c>
      <c r="BA115" s="6758">
        <v>-4.7883970710510724</v>
      </c>
      <c r="BB115" s="6758">
        <v>0.85042122884046023</v>
      </c>
      <c r="BC115" s="6759">
        <v>2.2916963665690702</v>
      </c>
      <c r="BD115" s="6336">
        <f>BD116-BD119</f>
        <v>1.3569093578996245</v>
      </c>
      <c r="BE115" s="6336">
        <f t="shared" ref="BE115:BM115" si="130">BE116-BE119</f>
        <v>-1.2002340054438854</v>
      </c>
      <c r="BF115" s="6336">
        <f t="shared" si="130"/>
        <v>-0.38058050563559576</v>
      </c>
      <c r="BG115" s="6336">
        <f t="shared" si="130"/>
        <v>-0.26534937896146715</v>
      </c>
      <c r="BH115" s="6336">
        <f t="shared" si="130"/>
        <v>2.4537125522847703E-3</v>
      </c>
      <c r="BI115" s="6336">
        <f t="shared" si="130"/>
        <v>-3.4260718433893693</v>
      </c>
      <c r="BJ115" s="6336">
        <f t="shared" si="130"/>
        <v>1.7049812013811945</v>
      </c>
      <c r="BK115" s="6336">
        <f t="shared" si="130"/>
        <v>5.299883238734779</v>
      </c>
      <c r="BL115" s="6336">
        <f t="shared" si="130"/>
        <v>-2.1118954556283569</v>
      </c>
      <c r="BM115" s="6336">
        <f t="shared" si="130"/>
        <v>9.1120866779228038E-2</v>
      </c>
      <c r="BN115" s="6336">
        <f>BN116-BN119</f>
        <v>5.4937236150153019</v>
      </c>
      <c r="BO115" s="6336">
        <v>-9.1471775207686967</v>
      </c>
      <c r="BP115" s="6337">
        <v>-2.5822367174649585</v>
      </c>
      <c r="BQ115" s="6336">
        <f t="shared" ref="BQ115:BZ115" si="131">BQ116-BQ119</f>
        <v>2.0820676982167576</v>
      </c>
      <c r="BR115" s="6336">
        <f t="shared" si="131"/>
        <v>2.2773975648630547</v>
      </c>
      <c r="BS115" s="6336">
        <f t="shared" si="131"/>
        <v>2.8591426706818552</v>
      </c>
      <c r="BT115" s="6336">
        <f t="shared" si="131"/>
        <v>-4.7325351176610297E-3</v>
      </c>
      <c r="BU115" s="6336">
        <f t="shared" si="131"/>
        <v>1.4331332861005812</v>
      </c>
      <c r="BV115" s="6336">
        <f t="shared" si="131"/>
        <v>-0.13042802151858979</v>
      </c>
      <c r="BW115" s="6336">
        <f t="shared" si="131"/>
        <v>1.4382754101782673</v>
      </c>
      <c r="BX115" s="6336">
        <f t="shared" si="131"/>
        <v>1.9664859524479077</v>
      </c>
      <c r="BY115" s="6336">
        <f t="shared" si="131"/>
        <v>-5.6999114860711089</v>
      </c>
      <c r="BZ115" s="6336">
        <f t="shared" si="131"/>
        <v>-1.9075047443182243</v>
      </c>
      <c r="CA115" s="6336">
        <f t="shared" ref="CA115:CD115" si="132">CA116-CA119</f>
        <v>-3.2223596408818196</v>
      </c>
      <c r="CB115" s="6336">
        <f t="shared" si="132"/>
        <v>2.2869411274236313</v>
      </c>
      <c r="CC115" s="6336">
        <f t="shared" si="132"/>
        <v>0</v>
      </c>
      <c r="CD115" s="6336">
        <f t="shared" si="132"/>
        <v>0</v>
      </c>
      <c r="CE115" s="6760">
        <f t="shared" si="113"/>
        <v>5.5093007683054509</v>
      </c>
      <c r="CF115" s="2947">
        <f t="shared" si="114"/>
        <v>11.434118648192328</v>
      </c>
      <c r="CG115" s="2947"/>
      <c r="CH115" s="6761">
        <f t="shared" si="115"/>
        <v>3.3785072820046516</v>
      </c>
      <c r="CI115" s="6685"/>
      <c r="CJ115" s="2792"/>
      <c r="CK115" s="6762">
        <f t="shared" si="116"/>
        <v>5.9607439994696101</v>
      </c>
      <c r="CL115" s="5138"/>
      <c r="CM115" s="2488"/>
      <c r="CN115" s="2488"/>
      <c r="CO115" s="2488"/>
      <c r="CP115" s="2488"/>
      <c r="CQ115" s="2488"/>
      <c r="CR115" s="2488"/>
      <c r="CS115" s="2488"/>
      <c r="CT115" s="2488"/>
      <c r="CU115" s="2488"/>
      <c r="CV115" s="2488"/>
      <c r="CW115" s="2488"/>
      <c r="CX115" s="2488"/>
      <c r="CY115" s="2488"/>
      <c r="CZ115" s="2488"/>
      <c r="DB115" s="4439"/>
      <c r="DC115" s="4439"/>
      <c r="DF115" s="4439"/>
      <c r="DG115" s="4439"/>
    </row>
    <row r="116" spans="1:111" ht="16.3" customHeight="1" x14ac:dyDescent="0.55000000000000004">
      <c r="A116" s="6692"/>
      <c r="B116" s="6702"/>
      <c r="C116" s="3189" t="s">
        <v>35</v>
      </c>
      <c r="D116" s="3189"/>
      <c r="E116" s="3189"/>
      <c r="F116" s="3189"/>
      <c r="G116" s="3189"/>
      <c r="H116" s="3189"/>
      <c r="I116" s="3189"/>
      <c r="J116" s="3189"/>
      <c r="K116" s="3189"/>
      <c r="L116" s="3189"/>
      <c r="M116" s="3189"/>
      <c r="N116" s="3189"/>
      <c r="O116" s="3189"/>
      <c r="P116" s="3189"/>
      <c r="Q116" s="3189"/>
      <c r="R116" s="3189"/>
      <c r="S116" s="3189"/>
      <c r="T116" s="3189"/>
      <c r="U116" s="3189"/>
      <c r="V116" s="3189"/>
      <c r="W116" s="3189"/>
      <c r="X116" s="3189"/>
      <c r="Y116" s="3189"/>
      <c r="Z116" s="3189"/>
      <c r="AA116" s="3189"/>
      <c r="AB116" s="3189"/>
      <c r="AC116" s="3189"/>
      <c r="AD116" s="3189"/>
      <c r="AE116" s="3189"/>
      <c r="AF116" s="3189"/>
      <c r="AG116" s="3189"/>
      <c r="AH116" s="3189"/>
      <c r="AI116" s="3189"/>
      <c r="AJ116" s="3189"/>
      <c r="AK116" s="3189"/>
      <c r="AL116" s="3189"/>
      <c r="AM116" s="3189"/>
      <c r="AN116" s="3189"/>
      <c r="AO116" s="6680"/>
      <c r="AP116" s="6681"/>
      <c r="AQ116" s="6682">
        <v>26.82</v>
      </c>
      <c r="AR116" s="6682">
        <v>26.799999999999997</v>
      </c>
      <c r="AS116" s="6682">
        <v>26.709249999999997</v>
      </c>
      <c r="AT116" s="6682">
        <v>26.559159999999999</v>
      </c>
      <c r="AU116" s="6682">
        <v>26.45233</v>
      </c>
      <c r="AV116" s="6682">
        <v>26.444949999999999</v>
      </c>
      <c r="AW116" s="6682">
        <v>26.446349999999999</v>
      </c>
      <c r="AX116" s="6682">
        <v>26.462949999999999</v>
      </c>
      <c r="AY116" s="6682">
        <v>26.45</v>
      </c>
      <c r="AZ116" s="6682">
        <v>26.462949999999999</v>
      </c>
      <c r="BA116" s="6682">
        <v>26.462949999999999</v>
      </c>
      <c r="BB116" s="6682">
        <v>26.45</v>
      </c>
      <c r="BC116" s="6683">
        <v>318.52088999999995</v>
      </c>
      <c r="BD116" s="2861">
        <f>BD117+BD118</f>
        <v>26.45</v>
      </c>
      <c r="BE116" s="2861">
        <f t="shared" ref="BE116:BM116" si="133">BE117+BE118</f>
        <v>26.45</v>
      </c>
      <c r="BF116" s="2861">
        <f t="shared" si="133"/>
        <v>26.4</v>
      </c>
      <c r="BG116" s="2861">
        <f t="shared" si="133"/>
        <v>26.4</v>
      </c>
      <c r="BH116" s="2861">
        <f t="shared" si="133"/>
        <v>26.4</v>
      </c>
      <c r="BI116" s="2861">
        <f t="shared" si="133"/>
        <v>26.4</v>
      </c>
      <c r="BJ116" s="2861">
        <f t="shared" si="133"/>
        <v>27.8570612124634</v>
      </c>
      <c r="BK116" s="2861">
        <f t="shared" si="133"/>
        <v>30.539289310000001</v>
      </c>
      <c r="BL116" s="2861">
        <f t="shared" si="133"/>
        <v>26.985879919999999</v>
      </c>
      <c r="BM116" s="2861">
        <f t="shared" si="133"/>
        <v>28.267802060000001</v>
      </c>
      <c r="BN116" s="2861">
        <f>BN117+BN118</f>
        <v>31.45268789</v>
      </c>
      <c r="BO116" s="2861">
        <v>19.037491559999999</v>
      </c>
      <c r="BP116" s="6415">
        <v>322.6402119524634</v>
      </c>
      <c r="BQ116" s="2861">
        <f t="shared" ref="BQ116:BZ116" si="134">BQ117+BQ118</f>
        <v>26.927904990000002</v>
      </c>
      <c r="BR116" s="2861">
        <f t="shared" si="134"/>
        <v>27.023409099999999</v>
      </c>
      <c r="BS116" s="2861">
        <f t="shared" si="134"/>
        <v>26.95</v>
      </c>
      <c r="BT116" s="2861">
        <f t="shared" si="134"/>
        <v>25.000194999999998</v>
      </c>
      <c r="BU116" s="2861">
        <f t="shared" si="134"/>
        <v>25</v>
      </c>
      <c r="BV116" s="2861">
        <f t="shared" si="134"/>
        <v>25.01363636</v>
      </c>
      <c r="BW116" s="2861">
        <f t="shared" si="134"/>
        <v>25</v>
      </c>
      <c r="BX116" s="2861">
        <f t="shared" si="134"/>
        <v>25</v>
      </c>
      <c r="BY116" s="2861">
        <f t="shared" si="134"/>
        <v>25</v>
      </c>
      <c r="BZ116" s="2861">
        <f t="shared" si="134"/>
        <v>25</v>
      </c>
      <c r="CA116" s="2861">
        <f t="shared" ref="CA116:CD116" si="135">CA117+CA118</f>
        <v>25</v>
      </c>
      <c r="CB116" s="2861">
        <f t="shared" si="135"/>
        <v>35.258319999999998</v>
      </c>
      <c r="CC116" s="2861">
        <f t="shared" si="135"/>
        <v>0</v>
      </c>
      <c r="CD116" s="2861">
        <f t="shared" si="135"/>
        <v>0</v>
      </c>
      <c r="CE116" s="6419">
        <f t="shared" si="113"/>
        <v>10.258319999999998</v>
      </c>
      <c r="CF116" s="2868">
        <f t="shared" si="114"/>
        <v>16.220828439999998</v>
      </c>
      <c r="CG116" s="2868"/>
      <c r="CH116" s="6420">
        <f t="shared" si="115"/>
        <v>316.17346544999998</v>
      </c>
      <c r="CI116" s="6685"/>
      <c r="CJ116" s="2792"/>
      <c r="CK116" s="6686">
        <f t="shared" si="116"/>
        <v>-6.4667465024634225</v>
      </c>
      <c r="CL116" s="5138"/>
      <c r="CM116" s="2488"/>
      <c r="CN116" s="2488"/>
      <c r="CO116" s="2488"/>
      <c r="CP116" s="2488"/>
      <c r="CQ116" s="2488"/>
      <c r="CR116" s="2488"/>
      <c r="CS116" s="2488"/>
      <c r="CT116" s="2488"/>
      <c r="CU116" s="2488"/>
      <c r="CV116" s="2488"/>
      <c r="CW116" s="2488"/>
      <c r="CX116" s="2488"/>
      <c r="CY116" s="2488"/>
      <c r="CZ116" s="2488"/>
      <c r="DB116" s="4439"/>
      <c r="DC116" s="4439"/>
      <c r="DF116" s="4439"/>
      <c r="DG116" s="4439"/>
    </row>
    <row r="117" spans="1:111" ht="16.3" customHeight="1" x14ac:dyDescent="0.55000000000000004">
      <c r="A117" s="6692"/>
      <c r="B117" s="6702"/>
      <c r="C117" s="3189" t="s">
        <v>36</v>
      </c>
      <c r="D117" s="3189"/>
      <c r="E117" s="3189"/>
      <c r="F117" s="3189"/>
      <c r="G117" s="3189"/>
      <c r="H117" s="3189"/>
      <c r="I117" s="3189"/>
      <c r="J117" s="3189"/>
      <c r="K117" s="3189"/>
      <c r="L117" s="3189"/>
      <c r="M117" s="3189"/>
      <c r="N117" s="3189"/>
      <c r="O117" s="3189"/>
      <c r="P117" s="3189"/>
      <c r="Q117" s="3189"/>
      <c r="R117" s="3189"/>
      <c r="S117" s="3189"/>
      <c r="T117" s="3189"/>
      <c r="U117" s="3189"/>
      <c r="V117" s="3189"/>
      <c r="W117" s="3189"/>
      <c r="X117" s="3189"/>
      <c r="Y117" s="3189"/>
      <c r="Z117" s="3189"/>
      <c r="AA117" s="3189"/>
      <c r="AB117" s="3189"/>
      <c r="AC117" s="3189"/>
      <c r="AD117" s="3189"/>
      <c r="AE117" s="3189"/>
      <c r="AF117" s="3189"/>
      <c r="AG117" s="3189"/>
      <c r="AH117" s="3189"/>
      <c r="AI117" s="3189"/>
      <c r="AJ117" s="3189"/>
      <c r="AK117" s="3189"/>
      <c r="AL117" s="3189"/>
      <c r="AM117" s="3189"/>
      <c r="AN117" s="3189"/>
      <c r="AO117" s="6680"/>
      <c r="AP117" s="6681"/>
      <c r="AQ117" s="6682">
        <v>26.4</v>
      </c>
      <c r="AR117" s="6682">
        <v>26.4</v>
      </c>
      <c r="AS117" s="6682">
        <v>26.4</v>
      </c>
      <c r="AT117" s="6682">
        <v>26.4</v>
      </c>
      <c r="AU117" s="6682">
        <v>26.4</v>
      </c>
      <c r="AV117" s="6682">
        <v>26.4</v>
      </c>
      <c r="AW117" s="6682">
        <v>26.4</v>
      </c>
      <c r="AX117" s="6682">
        <v>26.4</v>
      </c>
      <c r="AY117" s="6682">
        <v>26.4</v>
      </c>
      <c r="AZ117" s="6682">
        <v>26.4</v>
      </c>
      <c r="BA117" s="6682">
        <v>26.4</v>
      </c>
      <c r="BB117" s="6682">
        <v>26.4</v>
      </c>
      <c r="BC117" s="6683">
        <v>316.8</v>
      </c>
      <c r="BD117" s="2861">
        <v>26.4</v>
      </c>
      <c r="BE117" s="6414">
        <v>26.4</v>
      </c>
      <c r="BF117" s="6414">
        <v>26.4</v>
      </c>
      <c r="BG117" s="2861">
        <v>26.4</v>
      </c>
      <c r="BH117" s="2861">
        <v>26.4</v>
      </c>
      <c r="BI117" s="2861">
        <v>26.4</v>
      </c>
      <c r="BJ117" s="2861">
        <v>24</v>
      </c>
      <c r="BK117" s="2861">
        <v>24</v>
      </c>
      <c r="BL117" s="2861">
        <v>22.046813329999999</v>
      </c>
      <c r="BM117" s="2861">
        <v>23</v>
      </c>
      <c r="BN117" s="2861">
        <v>23</v>
      </c>
      <c r="BO117" s="2861">
        <v>14.02537036</v>
      </c>
      <c r="BP117" s="6415">
        <v>288.47218369000001</v>
      </c>
      <c r="BQ117" s="2861">
        <v>21.075722710000001</v>
      </c>
      <c r="BR117" s="6427">
        <v>20.128282729999999</v>
      </c>
      <c r="BS117" s="6414">
        <v>21.14748183</v>
      </c>
      <c r="BT117" s="6414">
        <v>18.730698629999999</v>
      </c>
      <c r="BU117" s="2861">
        <v>18.018645459999998</v>
      </c>
      <c r="BV117" s="2861">
        <v>18.498636359999999</v>
      </c>
      <c r="BW117" s="2861">
        <v>17.553954529999999</v>
      </c>
      <c r="BX117" s="2861">
        <v>17.43760726</v>
      </c>
      <c r="BY117" s="2861">
        <v>17.025872700000001</v>
      </c>
      <c r="BZ117" s="2861">
        <v>17.0505</v>
      </c>
      <c r="CA117" s="2861">
        <v>17.43736363</v>
      </c>
      <c r="CB117" s="2861">
        <v>27.571801819999997</v>
      </c>
      <c r="CC117" s="6609"/>
      <c r="CD117" s="2862"/>
      <c r="CE117" s="6419">
        <f t="shared" si="113"/>
        <v>10.134438189999997</v>
      </c>
      <c r="CF117" s="2868">
        <f t="shared" si="114"/>
        <v>13.546431459999997</v>
      </c>
      <c r="CG117" s="2868"/>
      <c r="CH117" s="6420">
        <f t="shared" si="115"/>
        <v>231.67656765999999</v>
      </c>
      <c r="CI117" s="6685"/>
      <c r="CJ117" s="2792"/>
      <c r="CK117" s="6686">
        <f t="shared" si="116"/>
        <v>-56.795616030000019</v>
      </c>
      <c r="CL117" s="5138"/>
      <c r="CM117" s="2488"/>
      <c r="CN117" s="2488"/>
      <c r="CO117" s="2488"/>
      <c r="CP117" s="2488"/>
      <c r="CQ117" s="2488"/>
      <c r="CR117" s="2488"/>
      <c r="CS117" s="2488"/>
      <c r="CT117" s="2488"/>
      <c r="CU117" s="2488"/>
      <c r="CV117" s="2488"/>
      <c r="CW117" s="2488"/>
      <c r="CX117" s="2488"/>
      <c r="CY117" s="2488"/>
      <c r="CZ117" s="2488"/>
      <c r="DB117" s="4439"/>
      <c r="DC117" s="4439"/>
      <c r="DF117" s="4439"/>
      <c r="DG117" s="4439"/>
    </row>
    <row r="118" spans="1:111" ht="16.3" customHeight="1" x14ac:dyDescent="0.55000000000000004">
      <c r="A118" s="6692"/>
      <c r="B118" s="6702"/>
      <c r="C118" s="3189" t="s">
        <v>939</v>
      </c>
      <c r="D118" s="3189"/>
      <c r="E118" s="3189"/>
      <c r="F118" s="3189"/>
      <c r="G118" s="3189"/>
      <c r="H118" s="3189"/>
      <c r="I118" s="3189"/>
      <c r="J118" s="3189"/>
      <c r="K118" s="3189"/>
      <c r="L118" s="3189"/>
      <c r="M118" s="3189"/>
      <c r="N118" s="3189"/>
      <c r="O118" s="3189"/>
      <c r="P118" s="3189"/>
      <c r="Q118" s="3189"/>
      <c r="R118" s="3189"/>
      <c r="S118" s="3189"/>
      <c r="T118" s="3189"/>
      <c r="U118" s="3189"/>
      <c r="V118" s="3189"/>
      <c r="W118" s="3189"/>
      <c r="X118" s="3189"/>
      <c r="Y118" s="3189"/>
      <c r="Z118" s="3189"/>
      <c r="AA118" s="3189"/>
      <c r="AB118" s="3189"/>
      <c r="AC118" s="3189"/>
      <c r="AD118" s="3189"/>
      <c r="AE118" s="3189"/>
      <c r="AF118" s="3189"/>
      <c r="AG118" s="3189"/>
      <c r="AH118" s="3189"/>
      <c r="AI118" s="3189"/>
      <c r="AJ118" s="3189"/>
      <c r="AK118" s="3189"/>
      <c r="AL118" s="3189"/>
      <c r="AM118" s="3189"/>
      <c r="AN118" s="3189"/>
      <c r="AO118" s="6680"/>
      <c r="AP118" s="6681"/>
      <c r="AQ118" s="6682">
        <v>0.42</v>
      </c>
      <c r="AR118" s="6682">
        <v>0.4</v>
      </c>
      <c r="AS118" s="6682">
        <v>0.30925000000000002</v>
      </c>
      <c r="AT118" s="6682">
        <v>0.15916</v>
      </c>
      <c r="AU118" s="6682">
        <v>5.2330000000000002E-2</v>
      </c>
      <c r="AV118" s="6682">
        <v>4.4949999999999997E-2</v>
      </c>
      <c r="AW118" s="6682">
        <v>4.6350000000000002E-2</v>
      </c>
      <c r="AX118" s="6682">
        <v>6.2950000000000006E-2</v>
      </c>
      <c r="AY118" s="6682">
        <v>0.05</v>
      </c>
      <c r="AZ118" s="6682">
        <v>6.2950000000000006E-2</v>
      </c>
      <c r="BA118" s="6682">
        <v>6.2950000000000006E-2</v>
      </c>
      <c r="BB118" s="6682">
        <v>0.05</v>
      </c>
      <c r="BC118" s="6683">
        <v>1.7208900000000005</v>
      </c>
      <c r="BD118" s="2861">
        <v>0.05</v>
      </c>
      <c r="BE118" s="6414">
        <v>0.05</v>
      </c>
      <c r="BF118" s="6414">
        <v>0</v>
      </c>
      <c r="BG118" s="2861">
        <v>0</v>
      </c>
      <c r="BH118" s="2861">
        <v>0</v>
      </c>
      <c r="BI118" s="2861">
        <v>0</v>
      </c>
      <c r="BJ118" s="2861">
        <v>3.8570612124633996</v>
      </c>
      <c r="BK118" s="2861">
        <v>6.53928931</v>
      </c>
      <c r="BL118" s="2861">
        <v>4.9390665900000004</v>
      </c>
      <c r="BM118" s="2861">
        <v>5.2678020600000002</v>
      </c>
      <c r="BN118" s="2861">
        <v>8.45268789</v>
      </c>
      <c r="BO118" s="2861">
        <v>5.0121211999999993</v>
      </c>
      <c r="BP118" s="6415">
        <v>34.168028262463402</v>
      </c>
      <c r="BQ118" s="2861">
        <v>5.8521822800000001</v>
      </c>
      <c r="BR118" s="6427">
        <v>6.8951263699999998</v>
      </c>
      <c r="BS118" s="6414">
        <v>5.8025181699999999</v>
      </c>
      <c r="BT118" s="6414">
        <v>6.2694963699999997</v>
      </c>
      <c r="BU118" s="2861">
        <v>6.9813545399999999</v>
      </c>
      <c r="BV118" s="2861">
        <v>6.5149999999999997</v>
      </c>
      <c r="BW118" s="2861">
        <v>7.4460454699999996</v>
      </c>
      <c r="BX118" s="2861">
        <v>7.5623927399999999</v>
      </c>
      <c r="BY118" s="2861">
        <v>7.9741273000000001</v>
      </c>
      <c r="BZ118" s="2861">
        <v>7.9494999999999996</v>
      </c>
      <c r="CA118" s="2861">
        <v>7.5626363699999999</v>
      </c>
      <c r="CB118" s="2861">
        <v>7.6865181800000002</v>
      </c>
      <c r="CC118" s="6609"/>
      <c r="CD118" s="2862"/>
      <c r="CE118" s="6419">
        <f t="shared" si="113"/>
        <v>0.12388181000000031</v>
      </c>
      <c r="CF118" s="2868">
        <f t="shared" si="114"/>
        <v>2.6743969800000009</v>
      </c>
      <c r="CG118" s="2868"/>
      <c r="CH118" s="6705">
        <f t="shared" si="115"/>
        <v>84.496897789999991</v>
      </c>
      <c r="CI118" s="6685"/>
      <c r="CJ118" s="2792"/>
      <c r="CK118" s="6686">
        <f t="shared" si="116"/>
        <v>50.32886952753659</v>
      </c>
      <c r="CL118" s="5138"/>
      <c r="CM118" s="2488"/>
      <c r="CN118" s="2488"/>
      <c r="CO118" s="2488"/>
      <c r="CP118" s="2488"/>
      <c r="CQ118" s="2488"/>
      <c r="CR118" s="2488"/>
      <c r="CS118" s="2488"/>
      <c r="CT118" s="2488"/>
      <c r="CU118" s="2488"/>
      <c r="CV118" s="2488"/>
      <c r="CW118" s="2488"/>
      <c r="CX118" s="2488"/>
      <c r="CY118" s="2488"/>
      <c r="CZ118" s="2488"/>
      <c r="DB118" s="4439"/>
      <c r="DC118" s="4439"/>
      <c r="DF118" s="4439"/>
      <c r="DG118" s="4439"/>
    </row>
    <row r="119" spans="1:111" ht="16.3" customHeight="1" x14ac:dyDescent="0.55000000000000004">
      <c r="A119" s="6692"/>
      <c r="B119" s="6702"/>
      <c r="C119" s="6702" t="s">
        <v>38</v>
      </c>
      <c r="D119" s="6702"/>
      <c r="E119" s="6702"/>
      <c r="F119" s="6702"/>
      <c r="G119" s="6702"/>
      <c r="H119" s="6702"/>
      <c r="I119" s="6702"/>
      <c r="J119" s="6702"/>
      <c r="K119" s="6702"/>
      <c r="L119" s="6702"/>
      <c r="M119" s="6702"/>
      <c r="N119" s="6702"/>
      <c r="O119" s="6702"/>
      <c r="P119" s="6702"/>
      <c r="Q119" s="6702"/>
      <c r="R119" s="6702"/>
      <c r="S119" s="6702"/>
      <c r="T119" s="6702"/>
      <c r="U119" s="6702"/>
      <c r="V119" s="6702"/>
      <c r="W119" s="6702"/>
      <c r="X119" s="6702"/>
      <c r="Y119" s="6702"/>
      <c r="Z119" s="6702"/>
      <c r="AA119" s="6702"/>
      <c r="AB119" s="6702"/>
      <c r="AC119" s="6702"/>
      <c r="AD119" s="6702"/>
      <c r="AE119" s="6702"/>
      <c r="AF119" s="6702"/>
      <c r="AG119" s="6702"/>
      <c r="AH119" s="6702"/>
      <c r="AI119" s="6702"/>
      <c r="AJ119" s="6702"/>
      <c r="AK119" s="6702"/>
      <c r="AL119" s="6702"/>
      <c r="AM119" s="6702"/>
      <c r="AN119" s="6702"/>
      <c r="AO119" s="6313"/>
      <c r="AP119" s="6706"/>
      <c r="AQ119" s="6707">
        <v>25.912635562874073</v>
      </c>
      <c r="AR119" s="6707">
        <v>25.943116168286505</v>
      </c>
      <c r="AS119" s="6707">
        <v>25.574407713455496</v>
      </c>
      <c r="AT119" s="6707">
        <v>26.795417836789024</v>
      </c>
      <c r="AU119" s="6707">
        <v>26.520128177084491</v>
      </c>
      <c r="AV119" s="6707">
        <v>25.566254496046529</v>
      </c>
      <c r="AW119" s="6707">
        <v>26.408212029888549</v>
      </c>
      <c r="AX119" s="6707">
        <v>25.757478318137039</v>
      </c>
      <c r="AY119" s="6707">
        <v>26.414903725243846</v>
      </c>
      <c r="AZ119" s="6707">
        <v>24.485713763414754</v>
      </c>
      <c r="BA119" s="6707">
        <v>31.251347071051072</v>
      </c>
      <c r="BB119" s="6707">
        <v>25.599578771159539</v>
      </c>
      <c r="BC119" s="6708">
        <v>316.22919363343095</v>
      </c>
      <c r="BD119" s="2877">
        <f>BD120+BD121+BD122+BD123+BD124+BD125</f>
        <v>25.093090642100375</v>
      </c>
      <c r="BE119" s="2877">
        <f t="shared" ref="BE119:BN119" si="136">BE120+BE121+BE122+BE123+BE124+BE125</f>
        <v>27.650234005443885</v>
      </c>
      <c r="BF119" s="2877">
        <f t="shared" si="136"/>
        <v>26.780580505635594</v>
      </c>
      <c r="BG119" s="2877">
        <f t="shared" si="136"/>
        <v>26.665349378961466</v>
      </c>
      <c r="BH119" s="2877">
        <f t="shared" si="136"/>
        <v>26.397546287447714</v>
      </c>
      <c r="BI119" s="2877">
        <f t="shared" si="136"/>
        <v>29.826071843389368</v>
      </c>
      <c r="BJ119" s="2877">
        <f t="shared" si="136"/>
        <v>26.152080011082205</v>
      </c>
      <c r="BK119" s="2877">
        <f t="shared" si="136"/>
        <v>25.239406071265222</v>
      </c>
      <c r="BL119" s="2877">
        <f t="shared" si="136"/>
        <v>29.097775375628355</v>
      </c>
      <c r="BM119" s="2877">
        <f t="shared" si="136"/>
        <v>28.176681193220773</v>
      </c>
      <c r="BN119" s="2877">
        <f t="shared" si="136"/>
        <v>25.958964274984698</v>
      </c>
      <c r="BO119" s="2877">
        <v>28.184669080768696</v>
      </c>
      <c r="BP119" s="6317">
        <v>325.22244866992833</v>
      </c>
      <c r="BQ119" s="2877">
        <f t="shared" ref="BQ119:CB119" si="137">BQ120+BQ121+BQ122+BQ123+BQ124+BQ125</f>
        <v>24.845837291783244</v>
      </c>
      <c r="BR119" s="2877">
        <f t="shared" si="137"/>
        <v>24.746011535136944</v>
      </c>
      <c r="BS119" s="2877">
        <f t="shared" si="137"/>
        <v>24.090857329318144</v>
      </c>
      <c r="BT119" s="2877">
        <f t="shared" si="137"/>
        <v>25.004927535117659</v>
      </c>
      <c r="BU119" s="2877">
        <f t="shared" si="137"/>
        <v>23.566866713899419</v>
      </c>
      <c r="BV119" s="2877">
        <f t="shared" si="137"/>
        <v>25.144064381518589</v>
      </c>
      <c r="BW119" s="2877">
        <f t="shared" si="137"/>
        <v>23.561724589821733</v>
      </c>
      <c r="BX119" s="2877">
        <f t="shared" si="137"/>
        <v>23.033514047552092</v>
      </c>
      <c r="BY119" s="2877">
        <f t="shared" si="137"/>
        <v>30.699911486071109</v>
      </c>
      <c r="BZ119" s="2877">
        <f t="shared" si="137"/>
        <v>26.907504744318224</v>
      </c>
      <c r="CA119" s="2877">
        <f t="shared" si="137"/>
        <v>28.22235964088182</v>
      </c>
      <c r="CB119" s="2877">
        <f t="shared" si="137"/>
        <v>32.971378872576366</v>
      </c>
      <c r="CC119" s="6609"/>
      <c r="CD119" s="2862"/>
      <c r="CE119" s="6322">
        <f t="shared" si="113"/>
        <v>4.7490192316945468</v>
      </c>
      <c r="CF119" s="2892">
        <f t="shared" si="114"/>
        <v>4.7867097918076702</v>
      </c>
      <c r="CG119" s="2892"/>
      <c r="CH119" s="6763">
        <f t="shared" si="115"/>
        <v>312.79495816799533</v>
      </c>
      <c r="CI119" s="6685"/>
      <c r="CJ119" s="2792"/>
      <c r="CK119" s="6711">
        <f t="shared" si="116"/>
        <v>-12.427490501932994</v>
      </c>
      <c r="CL119" s="5138"/>
      <c r="CM119" s="2488"/>
      <c r="CN119" s="2488"/>
      <c r="CO119" s="2488"/>
      <c r="CP119" s="2488"/>
      <c r="CQ119" s="2488"/>
      <c r="CR119" s="2488"/>
      <c r="CS119" s="2488"/>
      <c r="CT119" s="2488"/>
      <c r="CU119" s="2488"/>
      <c r="CV119" s="2488"/>
      <c r="CW119" s="2488"/>
      <c r="CX119" s="2488"/>
      <c r="CY119" s="2488"/>
      <c r="CZ119" s="2488"/>
      <c r="DB119" s="4439"/>
      <c r="DC119" s="4439"/>
      <c r="DF119" s="4439"/>
      <c r="DG119" s="4439"/>
    </row>
    <row r="120" spans="1:111" ht="16.3" customHeight="1" x14ac:dyDescent="0.55000000000000004">
      <c r="A120" s="6692"/>
      <c r="B120" s="6702"/>
      <c r="C120" s="6702" t="s">
        <v>30</v>
      </c>
      <c r="D120" s="6702"/>
      <c r="E120" s="6702"/>
      <c r="F120" s="6702"/>
      <c r="G120" s="6702"/>
      <c r="H120" s="6702"/>
      <c r="I120" s="6702"/>
      <c r="J120" s="6702"/>
      <c r="K120" s="6702"/>
      <c r="L120" s="6702"/>
      <c r="M120" s="6702"/>
      <c r="N120" s="6702"/>
      <c r="O120" s="6702"/>
      <c r="P120" s="6702"/>
      <c r="Q120" s="6702"/>
      <c r="R120" s="6702"/>
      <c r="S120" s="6702"/>
      <c r="T120" s="6702"/>
      <c r="U120" s="6702"/>
      <c r="V120" s="6702"/>
      <c r="W120" s="6702"/>
      <c r="X120" s="6702"/>
      <c r="Y120" s="6702"/>
      <c r="Z120" s="6702"/>
      <c r="AA120" s="6702"/>
      <c r="AB120" s="6702"/>
      <c r="AC120" s="6702"/>
      <c r="AD120" s="6702"/>
      <c r="AE120" s="6702"/>
      <c r="AF120" s="6702"/>
      <c r="AG120" s="6702"/>
      <c r="AH120" s="6702"/>
      <c r="AI120" s="6702"/>
      <c r="AJ120" s="6702"/>
      <c r="AK120" s="6702"/>
      <c r="AL120" s="6702"/>
      <c r="AM120" s="6702"/>
      <c r="AN120" s="6702"/>
      <c r="AO120" s="6313"/>
      <c r="AP120" s="6706"/>
      <c r="AQ120" s="6707">
        <v>18.161017801310326</v>
      </c>
      <c r="AR120" s="6707">
        <v>18.492298461170368</v>
      </c>
      <c r="AS120" s="6707">
        <v>18.130094353672604</v>
      </c>
      <c r="AT120" s="6707">
        <v>19.686150608230751</v>
      </c>
      <c r="AU120" s="6707">
        <v>18.335353298281152</v>
      </c>
      <c r="AV120" s="6707">
        <v>17.419234584628352</v>
      </c>
      <c r="AW120" s="6707">
        <v>17.926874626359499</v>
      </c>
      <c r="AX120" s="6707">
        <v>17.565155098415399</v>
      </c>
      <c r="AY120" s="6707">
        <v>18.051860600947101</v>
      </c>
      <c r="AZ120" s="6707">
        <v>17.261061261891502</v>
      </c>
      <c r="BA120" s="6707">
        <v>24.356538728380901</v>
      </c>
      <c r="BB120" s="6707">
        <v>18.601506660359199</v>
      </c>
      <c r="BC120" s="6708">
        <v>223.98714608364719</v>
      </c>
      <c r="BD120" s="2877">
        <v>17.841713280754398</v>
      </c>
      <c r="BE120" s="6712">
        <v>20.352445324141701</v>
      </c>
      <c r="BF120" s="6712">
        <v>19.271665591956502</v>
      </c>
      <c r="BG120" s="2877">
        <v>19.357516013205707</v>
      </c>
      <c r="BH120" s="2877">
        <v>18.952102974707209</v>
      </c>
      <c r="BI120" s="2877">
        <v>20.996801599790579</v>
      </c>
      <c r="BJ120" s="2877">
        <v>18.58657766613371</v>
      </c>
      <c r="BK120" s="2877">
        <v>18.614209726529008</v>
      </c>
      <c r="BL120" s="2877">
        <v>22.298754471697769</v>
      </c>
      <c r="BM120" s="2877">
        <v>21.860125468600735</v>
      </c>
      <c r="BN120" s="2877">
        <v>19.858776796245056</v>
      </c>
      <c r="BO120" s="2877">
        <v>21.291638534401709</v>
      </c>
      <c r="BP120" s="6317">
        <v>239.28232744816407</v>
      </c>
      <c r="BQ120" s="2877">
        <v>18.499502598368736</v>
      </c>
      <c r="BR120" s="6713">
        <v>17.666580611503012</v>
      </c>
      <c r="BS120" s="6712">
        <v>17.899014177053651</v>
      </c>
      <c r="BT120" s="6321">
        <v>18.631301473325518</v>
      </c>
      <c r="BU120" s="2877">
        <v>17.548396387078899</v>
      </c>
      <c r="BV120" s="2877">
        <v>18.948268203445625</v>
      </c>
      <c r="BW120" s="2877">
        <v>16.981313480285607</v>
      </c>
      <c r="BX120" s="2877">
        <v>17.064247758264955</v>
      </c>
      <c r="BY120" s="2877">
        <v>22.896992302152171</v>
      </c>
      <c r="BZ120" s="2877">
        <v>20.691386913480525</v>
      </c>
      <c r="CA120" s="2877">
        <v>21.491897175739812</v>
      </c>
      <c r="CB120" s="2877">
        <v>26.174286966985392</v>
      </c>
      <c r="CC120" s="6609"/>
      <c r="CD120" s="2862"/>
      <c r="CE120" s="6322">
        <f t="shared" si="113"/>
        <v>4.6823897912455799</v>
      </c>
      <c r="CF120" s="2892">
        <f t="shared" si="114"/>
        <v>4.8826484325836823</v>
      </c>
      <c r="CG120" s="2892"/>
      <c r="CH120" s="6349">
        <f t="shared" si="115"/>
        <v>234.4931880476839</v>
      </c>
      <c r="CI120" s="6685"/>
      <c r="CJ120" s="2792"/>
      <c r="CK120" s="6711">
        <f t="shared" si="116"/>
        <v>-4.7891394004801668</v>
      </c>
      <c r="CL120" s="5138"/>
      <c r="CM120" s="2488"/>
      <c r="CN120" s="2488"/>
      <c r="CO120" s="2488"/>
      <c r="CP120" s="2488"/>
      <c r="CQ120" s="2488"/>
      <c r="CR120" s="2488"/>
      <c r="CS120" s="2488"/>
      <c r="CT120" s="2488"/>
      <c r="CU120" s="2488"/>
      <c r="CV120" s="2488"/>
      <c r="CW120" s="2488"/>
      <c r="CX120" s="2488"/>
      <c r="CY120" s="2488"/>
      <c r="CZ120" s="2488"/>
      <c r="DB120" s="4439"/>
      <c r="DC120" s="4439"/>
      <c r="DF120" s="4439"/>
      <c r="DG120" s="4439"/>
    </row>
    <row r="121" spans="1:111" ht="16.3" customHeight="1" x14ac:dyDescent="0.55000000000000004">
      <c r="A121" s="6692"/>
      <c r="B121" s="6702"/>
      <c r="C121" s="6702" t="s">
        <v>31</v>
      </c>
      <c r="D121" s="6702"/>
      <c r="E121" s="6702"/>
      <c r="F121" s="6702"/>
      <c r="G121" s="6702"/>
      <c r="H121" s="6702"/>
      <c r="I121" s="6702"/>
      <c r="J121" s="6702"/>
      <c r="K121" s="6702"/>
      <c r="L121" s="6702"/>
      <c r="M121" s="6702"/>
      <c r="N121" s="6702"/>
      <c r="O121" s="6702"/>
      <c r="P121" s="6702"/>
      <c r="Q121" s="6702"/>
      <c r="R121" s="6702"/>
      <c r="S121" s="6702"/>
      <c r="T121" s="6702"/>
      <c r="U121" s="6702"/>
      <c r="V121" s="6702"/>
      <c r="W121" s="6702"/>
      <c r="X121" s="6702"/>
      <c r="Y121" s="6702"/>
      <c r="Z121" s="6702"/>
      <c r="AA121" s="6702"/>
      <c r="AB121" s="6702"/>
      <c r="AC121" s="6702"/>
      <c r="AD121" s="6702"/>
      <c r="AE121" s="6702"/>
      <c r="AF121" s="6702"/>
      <c r="AG121" s="6702"/>
      <c r="AH121" s="6702"/>
      <c r="AI121" s="6702"/>
      <c r="AJ121" s="6702"/>
      <c r="AK121" s="6702"/>
      <c r="AL121" s="6702"/>
      <c r="AM121" s="6702"/>
      <c r="AN121" s="6702"/>
      <c r="AO121" s="6313"/>
      <c r="AP121" s="6706"/>
      <c r="AQ121" s="6707">
        <v>3.8813741971043298</v>
      </c>
      <c r="AR121" s="6707">
        <v>3.9495419990067</v>
      </c>
      <c r="AS121" s="6707">
        <v>3.9043491229798004</v>
      </c>
      <c r="AT121" s="6707">
        <v>3.8626338209547204</v>
      </c>
      <c r="AU121" s="6707">
        <v>3.8153971337097401</v>
      </c>
      <c r="AV121" s="6707">
        <v>3.8383912199157155</v>
      </c>
      <c r="AW121" s="6707">
        <v>3.5033417418637298</v>
      </c>
      <c r="AX121" s="6707">
        <v>3.9846041755233301</v>
      </c>
      <c r="AY121" s="6707">
        <v>3.9801686644977305</v>
      </c>
      <c r="AZ121" s="6707">
        <v>3.70395673340763</v>
      </c>
      <c r="BA121" s="6707">
        <v>3.7586206551776398</v>
      </c>
      <c r="BB121" s="6707">
        <v>3.4343631264259602</v>
      </c>
      <c r="BC121" s="6708">
        <v>45.616742590567021</v>
      </c>
      <c r="BD121" s="2877">
        <v>3.5370057352378903</v>
      </c>
      <c r="BE121" s="6712">
        <v>3.6615469677585364</v>
      </c>
      <c r="BF121" s="6712">
        <v>3.4428642774974798</v>
      </c>
      <c r="BG121" s="2877">
        <v>3.5915985397283645</v>
      </c>
      <c r="BH121" s="2877">
        <v>3.4910958247858823</v>
      </c>
      <c r="BI121" s="2877">
        <v>3.5163198530500175</v>
      </c>
      <c r="BJ121" s="2877">
        <v>3.481815209566252</v>
      </c>
      <c r="BK121" s="2877">
        <v>2.9621158759178638</v>
      </c>
      <c r="BL121" s="2877">
        <v>2.7937829866539872</v>
      </c>
      <c r="BM121" s="2877">
        <v>2.516790123692128</v>
      </c>
      <c r="BN121" s="2877">
        <v>2.557718349530667</v>
      </c>
      <c r="BO121" s="2877">
        <v>2.5209715319656967</v>
      </c>
      <c r="BP121" s="6317">
        <v>38.073625275384771</v>
      </c>
      <c r="BQ121" s="2877">
        <v>2.67858501442459</v>
      </c>
      <c r="BR121" s="6713">
        <v>2.5128946773197263</v>
      </c>
      <c r="BS121" s="6712">
        <v>2.4634362158557166</v>
      </c>
      <c r="BT121" s="6354">
        <v>2.6325713705788578</v>
      </c>
      <c r="BU121" s="2877">
        <v>2.6665240794888807</v>
      </c>
      <c r="BV121" s="2877">
        <v>2.4713416071119449</v>
      </c>
      <c r="BW121" s="2877">
        <v>2.6167520520051961</v>
      </c>
      <c r="BX121" s="2877">
        <v>2.64767064322742</v>
      </c>
      <c r="BY121" s="2877">
        <v>2.8145693804611946</v>
      </c>
      <c r="BZ121" s="2877">
        <v>2.835289607405902</v>
      </c>
      <c r="CA121" s="2877">
        <v>2.8089641826439147</v>
      </c>
      <c r="CB121" s="2877">
        <v>2.7259271424475218</v>
      </c>
      <c r="CC121" s="6609"/>
      <c r="CD121" s="2862"/>
      <c r="CE121" s="6322">
        <f t="shared" si="113"/>
        <v>-8.3037040196392908E-2</v>
      </c>
      <c r="CF121" s="2892">
        <f t="shared" si="114"/>
        <v>0.20495561048182509</v>
      </c>
      <c r="CG121" s="2892"/>
      <c r="CH121" s="6349">
        <f t="shared" si="115"/>
        <v>31.874525972970865</v>
      </c>
      <c r="CI121" s="6685"/>
      <c r="CJ121" s="2792"/>
      <c r="CK121" s="6711">
        <f t="shared" si="116"/>
        <v>-6.1990993024139058</v>
      </c>
      <c r="CL121" s="5138"/>
      <c r="CM121" s="2488"/>
      <c r="CN121" s="2488"/>
      <c r="CO121" s="2488"/>
      <c r="CP121" s="2488"/>
      <c r="CQ121" s="2488"/>
      <c r="CR121" s="2488"/>
      <c r="CS121" s="2488"/>
      <c r="CT121" s="2488"/>
      <c r="CU121" s="2488"/>
      <c r="CV121" s="2488"/>
      <c r="CW121" s="2488"/>
      <c r="CX121" s="2488"/>
      <c r="CY121" s="2488"/>
      <c r="CZ121" s="2488"/>
      <c r="DB121" s="4439"/>
      <c r="DC121" s="4439"/>
      <c r="DF121" s="4439"/>
      <c r="DG121" s="4439"/>
    </row>
    <row r="122" spans="1:111" ht="16.3" customHeight="1" x14ac:dyDescent="0.55000000000000004">
      <c r="A122" s="6692"/>
      <c r="B122" s="6702"/>
      <c r="C122" s="6702" t="s">
        <v>39</v>
      </c>
      <c r="D122" s="6702"/>
      <c r="E122" s="6702"/>
      <c r="F122" s="6702"/>
      <c r="G122" s="6702"/>
      <c r="H122" s="6702"/>
      <c r="I122" s="6702"/>
      <c r="J122" s="6702"/>
      <c r="K122" s="6702"/>
      <c r="L122" s="6702"/>
      <c r="M122" s="6702"/>
      <c r="N122" s="6702"/>
      <c r="O122" s="6702"/>
      <c r="P122" s="6702"/>
      <c r="Q122" s="6702"/>
      <c r="R122" s="6702"/>
      <c r="S122" s="6702"/>
      <c r="T122" s="6702"/>
      <c r="U122" s="6702"/>
      <c r="V122" s="6702"/>
      <c r="W122" s="6702"/>
      <c r="X122" s="6702"/>
      <c r="Y122" s="6702"/>
      <c r="Z122" s="6702"/>
      <c r="AA122" s="6702"/>
      <c r="AB122" s="6702"/>
      <c r="AC122" s="6702"/>
      <c r="AD122" s="6702"/>
      <c r="AE122" s="6702"/>
      <c r="AF122" s="6702"/>
      <c r="AG122" s="6702"/>
      <c r="AH122" s="6702"/>
      <c r="AI122" s="6702"/>
      <c r="AJ122" s="6702"/>
      <c r="AK122" s="6702"/>
      <c r="AL122" s="6702"/>
      <c r="AM122" s="6702"/>
      <c r="AN122" s="6702"/>
      <c r="AO122" s="6313"/>
      <c r="AP122" s="6706"/>
      <c r="AQ122" s="6707">
        <v>1.0864503299999999</v>
      </c>
      <c r="AR122" s="6707">
        <v>1.13773967</v>
      </c>
      <c r="AS122" s="6707">
        <v>0.99871881000000007</v>
      </c>
      <c r="AT122" s="6707">
        <v>0.92475843000000002</v>
      </c>
      <c r="AU122" s="6707">
        <v>0.66422409000000004</v>
      </c>
      <c r="AV122" s="6707">
        <v>0.63256546000000002</v>
      </c>
      <c r="AW122" s="6707">
        <v>0.61284289000000003</v>
      </c>
      <c r="AX122" s="6707">
        <v>0.98170449000000004</v>
      </c>
      <c r="AY122" s="6707">
        <v>0.56685030000000003</v>
      </c>
      <c r="AZ122" s="6707">
        <v>0.7082004999999999</v>
      </c>
      <c r="BA122" s="6707">
        <v>0.69452150000000001</v>
      </c>
      <c r="BB122" s="6707">
        <v>0.68953559999999992</v>
      </c>
      <c r="BC122" s="6708">
        <v>9.6981120700000023</v>
      </c>
      <c r="BD122" s="2877">
        <v>0.97350049999999999</v>
      </c>
      <c r="BE122" s="6712">
        <v>0.97842529</v>
      </c>
      <c r="BF122" s="6712">
        <v>1.1423398499999999</v>
      </c>
      <c r="BG122" s="2877">
        <v>0.98880886999999995</v>
      </c>
      <c r="BH122" s="2877">
        <v>1.05397959</v>
      </c>
      <c r="BI122" s="2877">
        <v>0.86617261999999995</v>
      </c>
      <c r="BJ122" s="2877">
        <v>0.89476533000000003</v>
      </c>
      <c r="BK122" s="2877">
        <v>0.62096501000000004</v>
      </c>
      <c r="BL122" s="2877">
        <v>0.93722218999999996</v>
      </c>
      <c r="BM122" s="2877">
        <v>0.84337209000000002</v>
      </c>
      <c r="BN122" s="2877">
        <v>0.70128815</v>
      </c>
      <c r="BO122" s="2877">
        <v>0.59708238999999996</v>
      </c>
      <c r="BP122" s="6317">
        <v>10.597921879999999</v>
      </c>
      <c r="BQ122" s="2877">
        <v>0.81253045000000002</v>
      </c>
      <c r="BR122" s="6713">
        <v>0.97675718</v>
      </c>
      <c r="BS122" s="6712">
        <v>0.82664890000000002</v>
      </c>
      <c r="BT122" s="6321">
        <v>0.72904833999999996</v>
      </c>
      <c r="BU122" s="2877">
        <v>0.66360797000000005</v>
      </c>
      <c r="BV122" s="2877">
        <v>0.82193156000000001</v>
      </c>
      <c r="BW122" s="2877">
        <v>0.82336953999999996</v>
      </c>
      <c r="BX122" s="2877">
        <v>0.75623108999999999</v>
      </c>
      <c r="BY122" s="2877">
        <v>1.16225727</v>
      </c>
      <c r="BZ122" s="2877">
        <v>0.78414680999999997</v>
      </c>
      <c r="CA122" s="2877">
        <v>0.90320518000000005</v>
      </c>
      <c r="CB122" s="2877">
        <v>0.96528119999999995</v>
      </c>
      <c r="CC122" s="6609"/>
      <c r="CD122" s="2862"/>
      <c r="CE122" s="6322">
        <f t="shared" si="113"/>
        <v>6.2076019999999899E-2</v>
      </c>
      <c r="CF122" s="2892">
        <f t="shared" si="114"/>
        <v>0.36819880999999999</v>
      </c>
      <c r="CG122" s="2892"/>
      <c r="CH122" s="6349">
        <f t="shared" si="115"/>
        <v>10.225015489999999</v>
      </c>
      <c r="CI122" s="6685"/>
      <c r="CJ122" s="2792"/>
      <c r="CK122" s="6711">
        <f t="shared" si="116"/>
        <v>-0.3729063900000007</v>
      </c>
      <c r="CL122" s="5138"/>
      <c r="CM122" s="2488"/>
      <c r="CN122" s="2488"/>
      <c r="CO122" s="2488"/>
      <c r="CP122" s="2488"/>
      <c r="CQ122" s="2488"/>
      <c r="CR122" s="2488"/>
      <c r="CS122" s="2488"/>
      <c r="CT122" s="2488"/>
      <c r="CU122" s="2488"/>
      <c r="CV122" s="2488"/>
      <c r="CW122" s="2488"/>
      <c r="CX122" s="2488"/>
      <c r="CY122" s="2488"/>
      <c r="CZ122" s="2488"/>
      <c r="DB122" s="4439"/>
      <c r="DC122" s="4439"/>
      <c r="DF122" s="4439"/>
      <c r="DG122" s="4439"/>
    </row>
    <row r="123" spans="1:111" ht="16.3" customHeight="1" x14ac:dyDescent="0.55000000000000004">
      <c r="A123" s="6692"/>
      <c r="B123" s="6702"/>
      <c r="C123" s="6702" t="s">
        <v>24</v>
      </c>
      <c r="D123" s="6702"/>
      <c r="E123" s="6702"/>
      <c r="F123" s="6702"/>
      <c r="G123" s="6702"/>
      <c r="H123" s="6702"/>
      <c r="I123" s="6702"/>
      <c r="J123" s="6702"/>
      <c r="K123" s="6702"/>
      <c r="L123" s="6702"/>
      <c r="M123" s="6702"/>
      <c r="N123" s="6702"/>
      <c r="O123" s="6702"/>
      <c r="P123" s="6702"/>
      <c r="Q123" s="6702"/>
      <c r="R123" s="6702"/>
      <c r="S123" s="6702"/>
      <c r="T123" s="6702"/>
      <c r="U123" s="6702"/>
      <c r="V123" s="6702"/>
      <c r="W123" s="6702"/>
      <c r="X123" s="6702"/>
      <c r="Y123" s="6702"/>
      <c r="Z123" s="6702"/>
      <c r="AA123" s="6702"/>
      <c r="AB123" s="6702"/>
      <c r="AC123" s="6702"/>
      <c r="AD123" s="6702"/>
      <c r="AE123" s="6702"/>
      <c r="AF123" s="6702"/>
      <c r="AG123" s="6702"/>
      <c r="AH123" s="6702"/>
      <c r="AI123" s="6702"/>
      <c r="AJ123" s="6702"/>
      <c r="AK123" s="6702"/>
      <c r="AL123" s="6702"/>
      <c r="AM123" s="6702"/>
      <c r="AN123" s="6702"/>
      <c r="AO123" s="6313"/>
      <c r="AP123" s="6706"/>
      <c r="AQ123" s="6707">
        <v>0.86089929726960013</v>
      </c>
      <c r="AR123" s="6707">
        <v>0.46442133398744501</v>
      </c>
      <c r="AS123" s="6707">
        <v>0.61967935655462902</v>
      </c>
      <c r="AT123" s="6707">
        <v>0.48857877902557706</v>
      </c>
      <c r="AU123" s="6707">
        <v>1.8577994557200399</v>
      </c>
      <c r="AV123" s="6707">
        <v>1.8367280586891908</v>
      </c>
      <c r="AW123" s="6707">
        <v>2.4806770695648397</v>
      </c>
      <c r="AX123" s="6707">
        <v>1.30981867083911</v>
      </c>
      <c r="AY123" s="6707">
        <v>1.95486707991037</v>
      </c>
      <c r="AZ123" s="6707">
        <v>0.94998536736166106</v>
      </c>
      <c r="BA123" s="6707">
        <v>0.51756815465873096</v>
      </c>
      <c r="BB123" s="6707">
        <v>0.9226024917474841</v>
      </c>
      <c r="BC123" s="6708">
        <v>14.263625115328679</v>
      </c>
      <c r="BD123" s="2877">
        <v>0.75651683973840445</v>
      </c>
      <c r="BE123" s="6712">
        <v>0.68910140094004924</v>
      </c>
      <c r="BF123" s="6712">
        <v>0.95348727889138396</v>
      </c>
      <c r="BG123" s="2877">
        <v>0.82952300147586833</v>
      </c>
      <c r="BH123" s="2877">
        <v>0.9854176929602747</v>
      </c>
      <c r="BI123" s="2877">
        <v>2.4546600523498117</v>
      </c>
      <c r="BJ123" s="2877">
        <v>1.2051291769205361</v>
      </c>
      <c r="BK123" s="2877">
        <v>1.0299152955775039</v>
      </c>
      <c r="BL123" s="2877">
        <v>1.1657122270895446</v>
      </c>
      <c r="BM123" s="2877">
        <v>1.003891749789835</v>
      </c>
      <c r="BN123" s="2877">
        <v>0.82389975411466032</v>
      </c>
      <c r="BO123" s="2877">
        <v>1.7348195932648081</v>
      </c>
      <c r="BP123" s="6317">
        <v>13.632074063112681</v>
      </c>
      <c r="BQ123" s="2877">
        <v>0.86642615868554684</v>
      </c>
      <c r="BR123" s="6713">
        <v>1.557573199675107</v>
      </c>
      <c r="BS123" s="6712">
        <v>0.91585897776035885</v>
      </c>
      <c r="BT123" s="6354">
        <v>1.107382564165549</v>
      </c>
      <c r="BU123" s="2877">
        <v>0.76117418477698351</v>
      </c>
      <c r="BV123" s="2877">
        <v>1.0033299353068765</v>
      </c>
      <c r="BW123" s="2877">
        <v>1.1553438126633933</v>
      </c>
      <c r="BX123" s="2877">
        <v>0.64172419156461991</v>
      </c>
      <c r="BY123" s="2877">
        <v>1.8769628680207699</v>
      </c>
      <c r="BZ123" s="2877">
        <v>0.7032481900767964</v>
      </c>
      <c r="CA123" s="2877">
        <v>1.0473020986828578</v>
      </c>
      <c r="CB123" s="2877">
        <v>1.0375583207623571</v>
      </c>
      <c r="CC123" s="6609"/>
      <c r="CD123" s="2862"/>
      <c r="CE123" s="6322">
        <f t="shared" si="113"/>
        <v>-9.7437779205007402E-3</v>
      </c>
      <c r="CF123" s="2892">
        <f t="shared" ref="CF123:CF158" si="138">HLOOKUP($E$2,$BQ$2:$CB$505,ROW()-1,0)-HLOOKUP($E$2,$BD$2:$BO$412,ROW()-1,0)</f>
        <v>-0.69726127250245096</v>
      </c>
      <c r="CG123" s="2892"/>
      <c r="CH123" s="6349">
        <f t="shared" si="115"/>
        <v>12.673884502141219</v>
      </c>
      <c r="CI123" s="6685"/>
      <c r="CJ123" s="2792"/>
      <c r="CK123" s="6711">
        <f t="shared" ref="CK123:CK158" si="139">CH123-SUM(BD123:BO123)</f>
        <v>-0.95818956097146213</v>
      </c>
      <c r="CL123" s="5138"/>
      <c r="CM123" s="2488"/>
      <c r="CN123" s="2488"/>
      <c r="CO123" s="2488"/>
      <c r="CP123" s="2488"/>
      <c r="CQ123" s="2488"/>
      <c r="CR123" s="2488"/>
      <c r="CS123" s="2488"/>
      <c r="CT123" s="2488"/>
      <c r="CU123" s="2488"/>
      <c r="CV123" s="2488"/>
      <c r="CW123" s="2488"/>
      <c r="CX123" s="2488"/>
      <c r="CY123" s="2488"/>
      <c r="CZ123" s="2488"/>
      <c r="DB123" s="4439"/>
      <c r="DC123" s="4439"/>
      <c r="DF123" s="4439"/>
      <c r="DG123" s="4439"/>
    </row>
    <row r="124" spans="1:111" ht="16.3" customHeight="1" x14ac:dyDescent="0.55000000000000004">
      <c r="A124" s="6692"/>
      <c r="B124" s="6702"/>
      <c r="C124" s="6702" t="s">
        <v>40</v>
      </c>
      <c r="D124" s="6702"/>
      <c r="E124" s="6702"/>
      <c r="F124" s="6702"/>
      <c r="G124" s="6702"/>
      <c r="H124" s="6702"/>
      <c r="I124" s="6702"/>
      <c r="J124" s="6702"/>
      <c r="K124" s="6702"/>
      <c r="L124" s="6702"/>
      <c r="M124" s="6702"/>
      <c r="N124" s="6702"/>
      <c r="O124" s="6702"/>
      <c r="P124" s="6702"/>
      <c r="Q124" s="6702"/>
      <c r="R124" s="6702"/>
      <c r="S124" s="6702"/>
      <c r="T124" s="6702"/>
      <c r="U124" s="6702"/>
      <c r="V124" s="6702"/>
      <c r="W124" s="6702"/>
      <c r="X124" s="6702"/>
      <c r="Y124" s="6702"/>
      <c r="Z124" s="6702"/>
      <c r="AA124" s="6702"/>
      <c r="AB124" s="6702"/>
      <c r="AC124" s="6702"/>
      <c r="AD124" s="6702"/>
      <c r="AE124" s="6702"/>
      <c r="AF124" s="6702"/>
      <c r="AG124" s="6702"/>
      <c r="AH124" s="6702"/>
      <c r="AI124" s="6702"/>
      <c r="AJ124" s="6702"/>
      <c r="AK124" s="6702"/>
      <c r="AL124" s="6702"/>
      <c r="AM124" s="6702"/>
      <c r="AN124" s="6702"/>
      <c r="AO124" s="6313"/>
      <c r="AP124" s="6706"/>
      <c r="AQ124" s="6707">
        <v>0.49289393718981495</v>
      </c>
      <c r="AR124" s="6707">
        <v>0.46911470412199302</v>
      </c>
      <c r="AS124" s="6707">
        <v>0.49156607024846299</v>
      </c>
      <c r="AT124" s="6707">
        <v>0.40329619857797605</v>
      </c>
      <c r="AU124" s="6707">
        <v>0.415094474679093</v>
      </c>
      <c r="AV124" s="6707">
        <v>0.40707544811881102</v>
      </c>
      <c r="AW124" s="6707">
        <v>0.4522159774060201</v>
      </c>
      <c r="AX124" s="6707">
        <v>0.4839361586647401</v>
      </c>
      <c r="AY124" s="6707">
        <v>0.42889735519418204</v>
      </c>
      <c r="AZ124" s="6707">
        <v>0.430250176059497</v>
      </c>
      <c r="BA124" s="6707">
        <v>0.49183830813933499</v>
      </c>
      <c r="BB124" s="6707">
        <v>0.51931116793243703</v>
      </c>
      <c r="BC124" s="6708">
        <v>5.485489976332361</v>
      </c>
      <c r="BD124" s="2877">
        <v>0.55435428636968387</v>
      </c>
      <c r="BE124" s="6712">
        <v>0.53871502260359727</v>
      </c>
      <c r="BF124" s="6712">
        <v>0.54022350729023005</v>
      </c>
      <c r="BG124" s="2877">
        <v>0.46790295455152797</v>
      </c>
      <c r="BH124" s="2877">
        <v>0.48269048029988243</v>
      </c>
      <c r="BI124" s="2877">
        <v>0.55985799350449805</v>
      </c>
      <c r="BJ124" s="2877">
        <v>0.55153290376724584</v>
      </c>
      <c r="BK124" s="2877">
        <v>0.57994043854638788</v>
      </c>
      <c r="BL124" s="2877">
        <v>0.47004377549259335</v>
      </c>
      <c r="BM124" s="2877">
        <v>0.52024203644361156</v>
      </c>
      <c r="BN124" s="2877">
        <v>0.5850215003998549</v>
      </c>
      <c r="BO124" s="2877">
        <v>0.60789730644202067</v>
      </c>
      <c r="BP124" s="6317">
        <v>6.458422205711134</v>
      </c>
      <c r="BQ124" s="2877">
        <v>0.55879307030437153</v>
      </c>
      <c r="BR124" s="6713">
        <v>0.60220586663910081</v>
      </c>
      <c r="BS124" s="6712">
        <v>0.55589905864841982</v>
      </c>
      <c r="BT124" s="6321">
        <v>0.47462378704773767</v>
      </c>
      <c r="BU124" s="2877">
        <v>0.49490436786019226</v>
      </c>
      <c r="BV124" s="2877">
        <v>0.4669333509596803</v>
      </c>
      <c r="BW124" s="2877">
        <v>0.55268598017307502</v>
      </c>
      <c r="BX124" s="2877">
        <v>0.49138063980063468</v>
      </c>
      <c r="BY124" s="2877">
        <v>0.51686994074251236</v>
      </c>
      <c r="BZ124" s="2877">
        <v>0.46117349866054252</v>
      </c>
      <c r="CA124" s="2877">
        <v>0.5387312791207699</v>
      </c>
      <c r="CB124" s="2877">
        <v>0.63606551768663822</v>
      </c>
      <c r="CC124" s="6609"/>
      <c r="CD124" s="2862"/>
      <c r="CE124" s="6322">
        <f t="shared" si="113"/>
        <v>9.7334238565868314E-2</v>
      </c>
      <c r="CF124" s="2892">
        <f t="shared" si="138"/>
        <v>2.8168211244617547E-2</v>
      </c>
      <c r="CG124" s="2892"/>
      <c r="CH124" s="6349">
        <f t="shared" si="115"/>
        <v>6.3502663576436751</v>
      </c>
      <c r="CI124" s="6685"/>
      <c r="CJ124" s="2792"/>
      <c r="CK124" s="6711">
        <f t="shared" si="139"/>
        <v>-0.10815584806745893</v>
      </c>
      <c r="CL124" s="5138"/>
      <c r="CM124" s="2488"/>
      <c r="CN124" s="2488"/>
      <c r="CO124" s="2488"/>
      <c r="CP124" s="2488"/>
      <c r="CQ124" s="2488"/>
      <c r="CR124" s="2488"/>
      <c r="CS124" s="2488"/>
      <c r="CT124" s="2488"/>
      <c r="CU124" s="2488"/>
      <c r="CV124" s="2488"/>
      <c r="CW124" s="2488"/>
      <c r="CX124" s="2488"/>
      <c r="CY124" s="2488"/>
      <c r="CZ124" s="2488"/>
      <c r="DB124" s="4439"/>
      <c r="DC124" s="4439"/>
      <c r="DF124" s="4439"/>
      <c r="DG124" s="4439"/>
    </row>
    <row r="125" spans="1:111" ht="16.3" customHeight="1" thickBot="1" x14ac:dyDescent="0.6">
      <c r="A125" s="6692"/>
      <c r="B125" s="2948"/>
      <c r="C125" s="2948" t="s">
        <v>41</v>
      </c>
      <c r="D125" s="2948"/>
      <c r="E125" s="2948"/>
      <c r="F125" s="2948"/>
      <c r="G125" s="2948"/>
      <c r="H125" s="2948"/>
      <c r="I125" s="2948"/>
      <c r="J125" s="2948"/>
      <c r="K125" s="2948"/>
      <c r="L125" s="2948"/>
      <c r="M125" s="2948"/>
      <c r="N125" s="2948"/>
      <c r="O125" s="2948"/>
      <c r="P125" s="2948"/>
      <c r="Q125" s="2948"/>
      <c r="R125" s="2948"/>
      <c r="S125" s="2948"/>
      <c r="T125" s="2948"/>
      <c r="U125" s="2948"/>
      <c r="V125" s="2948"/>
      <c r="W125" s="2948"/>
      <c r="X125" s="2948"/>
      <c r="Y125" s="2948"/>
      <c r="Z125" s="2948"/>
      <c r="AA125" s="2948"/>
      <c r="AB125" s="2948"/>
      <c r="AC125" s="2948"/>
      <c r="AD125" s="2948"/>
      <c r="AE125" s="2948"/>
      <c r="AF125" s="2948"/>
      <c r="AG125" s="2948"/>
      <c r="AH125" s="2948"/>
      <c r="AI125" s="2948"/>
      <c r="AJ125" s="2948"/>
      <c r="AK125" s="2948"/>
      <c r="AL125" s="2948"/>
      <c r="AM125" s="2948"/>
      <c r="AN125" s="2948"/>
      <c r="AO125" s="6764"/>
      <c r="AP125" s="6765"/>
      <c r="AQ125" s="6766">
        <v>1.43</v>
      </c>
      <c r="AR125" s="6766">
        <v>1.43</v>
      </c>
      <c r="AS125" s="6766">
        <v>1.43</v>
      </c>
      <c r="AT125" s="6766">
        <v>1.43</v>
      </c>
      <c r="AU125" s="6766">
        <v>1.4322597246944597</v>
      </c>
      <c r="AV125" s="6766">
        <v>1.4322597246944597</v>
      </c>
      <c r="AW125" s="6766">
        <v>1.4322597246944597</v>
      </c>
      <c r="AX125" s="6766">
        <v>1.4322597246944599</v>
      </c>
      <c r="AY125" s="6766">
        <v>1.4322597246944599</v>
      </c>
      <c r="AZ125" s="6766">
        <v>1.4322597246944599</v>
      </c>
      <c r="BA125" s="6766">
        <v>1.4322597246944599</v>
      </c>
      <c r="BB125" s="6766">
        <v>1.4322597246944599</v>
      </c>
      <c r="BC125" s="6767">
        <v>17.178077797555677</v>
      </c>
      <c r="BD125" s="2951">
        <v>1.43</v>
      </c>
      <c r="BE125" s="2951">
        <v>1.43</v>
      </c>
      <c r="BF125" s="2951">
        <v>1.43</v>
      </c>
      <c r="BG125" s="2951">
        <v>1.43</v>
      </c>
      <c r="BH125" s="2951">
        <v>1.4322597246944595</v>
      </c>
      <c r="BI125" s="2951">
        <v>1.4322597246944595</v>
      </c>
      <c r="BJ125" s="2951">
        <v>1.4322597246944595</v>
      </c>
      <c r="BK125" s="2951">
        <v>1.4322597246944595</v>
      </c>
      <c r="BL125" s="2951">
        <v>1.4322597246944595</v>
      </c>
      <c r="BM125" s="2951">
        <v>1.4322597246944595</v>
      </c>
      <c r="BN125" s="2951">
        <v>1.4322597246944595</v>
      </c>
      <c r="BO125" s="2951">
        <v>1.4322597246944595</v>
      </c>
      <c r="BP125" s="6768">
        <v>17.178077797555677</v>
      </c>
      <c r="BQ125" s="2951">
        <v>1.43</v>
      </c>
      <c r="BR125" s="6769">
        <v>1.43</v>
      </c>
      <c r="BS125" s="2951">
        <v>1.43</v>
      </c>
      <c r="BT125" s="6770">
        <v>1.43</v>
      </c>
      <c r="BU125" s="2951">
        <v>1.4322597246944595</v>
      </c>
      <c r="BV125" s="2951">
        <v>1.4322597246944595</v>
      </c>
      <c r="BW125" s="2951">
        <v>1.4322597246944595</v>
      </c>
      <c r="BX125" s="2951">
        <v>1.4322597246944595</v>
      </c>
      <c r="BY125" s="2951">
        <v>1.4322597246944595</v>
      </c>
      <c r="BZ125" s="2951">
        <v>1.4322597246944595</v>
      </c>
      <c r="CA125" s="2951">
        <v>1.4322597246944595</v>
      </c>
      <c r="CB125" s="2951">
        <v>1.4322597246944595</v>
      </c>
      <c r="CC125" s="6609"/>
      <c r="CD125" s="2862"/>
      <c r="CE125" s="6771">
        <f t="shared" si="113"/>
        <v>0</v>
      </c>
      <c r="CF125" s="2957">
        <f t="shared" si="138"/>
        <v>0</v>
      </c>
      <c r="CG125" s="2957"/>
      <c r="CH125" s="6772">
        <f t="shared" si="115"/>
        <v>17.178077797555677</v>
      </c>
      <c r="CI125" s="6685"/>
      <c r="CJ125" s="2792"/>
      <c r="CK125" s="6773">
        <f t="shared" si="139"/>
        <v>0</v>
      </c>
      <c r="CL125" s="5138"/>
      <c r="CM125" s="2488"/>
      <c r="CN125" s="2488"/>
      <c r="CO125" s="2488"/>
      <c r="CP125" s="2488"/>
      <c r="CQ125" s="2488"/>
      <c r="CR125" s="2488"/>
      <c r="CS125" s="2488"/>
      <c r="CT125" s="2488"/>
      <c r="CU125" s="2488"/>
      <c r="CV125" s="2488"/>
      <c r="CW125" s="2488"/>
      <c r="CX125" s="2488"/>
      <c r="CY125" s="2488"/>
      <c r="CZ125" s="2488"/>
      <c r="DB125" s="4439"/>
      <c r="DC125" s="4439"/>
      <c r="DF125" s="4439"/>
      <c r="DG125" s="4439"/>
    </row>
    <row r="126" spans="1:111" ht="16.3" customHeight="1" x14ac:dyDescent="0.55000000000000004">
      <c r="A126" s="6692"/>
      <c r="B126" s="6724" t="s">
        <v>17</v>
      </c>
      <c r="C126" s="6725"/>
      <c r="D126" s="6725"/>
      <c r="E126" s="6774"/>
      <c r="F126" s="6725"/>
      <c r="G126" s="6725"/>
      <c r="H126" s="6725"/>
      <c r="I126" s="6725"/>
      <c r="J126" s="6725"/>
      <c r="K126" s="6725"/>
      <c r="L126" s="6725"/>
      <c r="M126" s="6725"/>
      <c r="N126" s="6725"/>
      <c r="O126" s="6725"/>
      <c r="P126" s="6725"/>
      <c r="Q126" s="6725"/>
      <c r="R126" s="6725"/>
      <c r="S126" s="6725"/>
      <c r="T126" s="6725"/>
      <c r="U126" s="6725"/>
      <c r="V126" s="6725"/>
      <c r="W126" s="6725"/>
      <c r="X126" s="6725"/>
      <c r="Y126" s="6725"/>
      <c r="Z126" s="6725"/>
      <c r="AA126" s="6725"/>
      <c r="AB126" s="6725"/>
      <c r="AC126" s="6725"/>
      <c r="AD126" s="6725"/>
      <c r="AE126" s="6725"/>
      <c r="AF126" s="6725"/>
      <c r="AG126" s="6725"/>
      <c r="AH126" s="6725"/>
      <c r="AI126" s="6725"/>
      <c r="AJ126" s="6725"/>
      <c r="AK126" s="6725"/>
      <c r="AL126" s="6725"/>
      <c r="AM126" s="6725"/>
      <c r="AN126" s="6725"/>
      <c r="AO126" s="6726"/>
      <c r="AP126" s="6727"/>
      <c r="AQ126" s="6775">
        <v>3.3495094888475547</v>
      </c>
      <c r="AR126" s="6775">
        <v>-3.5328889770966114</v>
      </c>
      <c r="AS126" s="6775">
        <v>-1.5637827930574897</v>
      </c>
      <c r="AT126" s="6775">
        <v>6.0888672722938182</v>
      </c>
      <c r="AU126" s="6775">
        <v>2.1924339017970436</v>
      </c>
      <c r="AV126" s="6775">
        <v>-2.5313822574605904</v>
      </c>
      <c r="AW126" s="6775">
        <v>10.055429561359166</v>
      </c>
      <c r="AX126" s="6775">
        <v>-9.7221004933971642</v>
      </c>
      <c r="AY126" s="6775">
        <v>12.886122195423118</v>
      </c>
      <c r="AZ126" s="6775">
        <v>0.4408754823698704</v>
      </c>
      <c r="BA126" s="6775">
        <v>1.2201085615672582</v>
      </c>
      <c r="BB126" s="6775">
        <v>-5.4102429990188554</v>
      </c>
      <c r="BC126" s="6776">
        <v>13.472948943627117</v>
      </c>
      <c r="BD126" s="2909">
        <f t="shared" ref="BD126:BM126" si="140">BD112+BD115+BD127-BD132-BD131</f>
        <v>5.1388653668093438</v>
      </c>
      <c r="BE126" s="2909">
        <f t="shared" si="140"/>
        <v>7.8009544691400396</v>
      </c>
      <c r="BF126" s="2909">
        <f t="shared" si="140"/>
        <v>9.8003928996034411</v>
      </c>
      <c r="BG126" s="2909">
        <f t="shared" si="140"/>
        <v>6.391802270587827</v>
      </c>
      <c r="BH126" s="2909">
        <f t="shared" si="140"/>
        <v>-2.8489680670668793</v>
      </c>
      <c r="BI126" s="2909">
        <f t="shared" si="140"/>
        <v>-6.0562523448652481</v>
      </c>
      <c r="BJ126" s="2909">
        <f t="shared" si="140"/>
        <v>4.1689742960578045</v>
      </c>
      <c r="BK126" s="2909">
        <f t="shared" si="140"/>
        <v>3.9159821815471325</v>
      </c>
      <c r="BL126" s="2909">
        <f t="shared" si="140"/>
        <v>12.204343616314599</v>
      </c>
      <c r="BM126" s="2909">
        <f t="shared" si="140"/>
        <v>-2.2668962428019599</v>
      </c>
      <c r="BN126" s="2909">
        <f>BN112+BN115+BN127-BN132-BN131</f>
        <v>8.7477696342319149</v>
      </c>
      <c r="BO126" s="2909">
        <v>1.9399258010636395</v>
      </c>
      <c r="BP126" s="6777">
        <v>48.936893880621646</v>
      </c>
      <c r="BQ126" s="2909">
        <f t="shared" ref="BQ126:CB126" si="141">BQ112+BQ115+BQ127-BQ132-BQ131</f>
        <v>10.400605556515302</v>
      </c>
      <c r="BR126" s="2909">
        <f t="shared" si="141"/>
        <v>-1.283953336120522</v>
      </c>
      <c r="BS126" s="2909">
        <f t="shared" si="141"/>
        <v>5.7066022764471258</v>
      </c>
      <c r="BT126" s="2909">
        <f t="shared" si="141"/>
        <v>5.5789361155570818</v>
      </c>
      <c r="BU126" s="2909">
        <f t="shared" si="141"/>
        <v>3.9745495617708571E-2</v>
      </c>
      <c r="BV126" s="2909">
        <f t="shared" si="141"/>
        <v>11.11780571335116</v>
      </c>
      <c r="BW126" s="2909">
        <f t="shared" si="141"/>
        <v>3.9280228807531898</v>
      </c>
      <c r="BX126" s="2909">
        <f t="shared" si="141"/>
        <v>-5.4545131547366612</v>
      </c>
      <c r="BY126" s="2909">
        <f t="shared" si="141"/>
        <v>6.0505012123430273</v>
      </c>
      <c r="BZ126" s="2909">
        <f t="shared" si="141"/>
        <v>-5.2185853730272767</v>
      </c>
      <c r="CA126" s="2909">
        <f t="shared" si="141"/>
        <v>-5.3573387273088589</v>
      </c>
      <c r="CB126" s="2909">
        <f t="shared" si="141"/>
        <v>3.6545042139473374</v>
      </c>
      <c r="CC126" s="6609"/>
      <c r="CD126" s="2862"/>
      <c r="CE126" s="6733">
        <f t="shared" si="113"/>
        <v>9.0118429412561962</v>
      </c>
      <c r="CF126" s="2914">
        <f t="shared" si="138"/>
        <v>1.7145784128836978</v>
      </c>
      <c r="CG126" s="2914"/>
      <c r="CH126" s="6734">
        <f t="shared" si="115"/>
        <v>29.16233287333861</v>
      </c>
      <c r="CI126" s="6685"/>
      <c r="CJ126" s="2792"/>
      <c r="CK126" s="6735">
        <f t="shared" si="139"/>
        <v>-19.774561007283037</v>
      </c>
      <c r="CL126" s="5138"/>
      <c r="CM126" s="2488"/>
      <c r="CN126" s="2488"/>
      <c r="CO126" s="2488"/>
      <c r="CP126" s="2488"/>
      <c r="CQ126" s="2488"/>
      <c r="CR126" s="2488"/>
      <c r="CS126" s="2488"/>
      <c r="CT126" s="2488"/>
      <c r="CU126" s="2488"/>
      <c r="CV126" s="2488"/>
      <c r="CW126" s="2488"/>
      <c r="CX126" s="2488"/>
      <c r="CY126" s="2488"/>
      <c r="CZ126" s="2488"/>
      <c r="DB126" s="4439"/>
      <c r="DC126" s="4439"/>
      <c r="DF126" s="4439"/>
      <c r="DG126" s="4439"/>
    </row>
    <row r="127" spans="1:111" ht="16.3" customHeight="1" x14ac:dyDescent="0.55000000000000004">
      <c r="A127" s="6692"/>
      <c r="C127" s="3189" t="s">
        <v>0</v>
      </c>
      <c r="D127" s="3189"/>
      <c r="E127" s="3189"/>
      <c r="F127" s="3189"/>
      <c r="G127" s="3189"/>
      <c r="H127" s="3189"/>
      <c r="I127" s="3189"/>
      <c r="J127" s="3189"/>
      <c r="K127" s="3189"/>
      <c r="L127" s="3189"/>
      <c r="M127" s="3189"/>
      <c r="N127" s="3189"/>
      <c r="O127" s="3189"/>
      <c r="P127" s="3189"/>
      <c r="Q127" s="3189"/>
      <c r="R127" s="3189"/>
      <c r="S127" s="3189"/>
      <c r="T127" s="3189"/>
      <c r="U127" s="3189"/>
      <c r="V127" s="3189"/>
      <c r="W127" s="3189"/>
      <c r="X127" s="3189"/>
      <c r="Y127" s="3189"/>
      <c r="Z127" s="3189"/>
      <c r="AA127" s="3189"/>
      <c r="AB127" s="3189"/>
      <c r="AC127" s="3189"/>
      <c r="AD127" s="3189"/>
      <c r="AE127" s="3189"/>
      <c r="AF127" s="3189"/>
      <c r="AG127" s="3189"/>
      <c r="AH127" s="3189"/>
      <c r="AI127" s="3189"/>
      <c r="AJ127" s="3189"/>
      <c r="AK127" s="3189"/>
      <c r="AL127" s="3189"/>
      <c r="AM127" s="3189"/>
      <c r="AN127" s="3189"/>
      <c r="AO127" s="6680"/>
      <c r="AP127" s="6681"/>
      <c r="AQ127" s="6778">
        <v>14.614718331177802</v>
      </c>
      <c r="AR127" s="6778">
        <v>14.209055806527299</v>
      </c>
      <c r="AS127" s="6778">
        <v>14.780465866386699</v>
      </c>
      <c r="AT127" s="6778">
        <v>14.649513024907899</v>
      </c>
      <c r="AU127" s="6778">
        <v>14.581835706400001</v>
      </c>
      <c r="AV127" s="6778">
        <v>14.243939044614601</v>
      </c>
      <c r="AW127" s="6778">
        <v>14.415164137488699</v>
      </c>
      <c r="AX127" s="6778">
        <v>14.217451471758601</v>
      </c>
      <c r="AY127" s="6778">
        <v>13.834609112999201</v>
      </c>
      <c r="AZ127" s="6778">
        <v>13.867733926857703</v>
      </c>
      <c r="BA127" s="6778">
        <v>13.5456691405867</v>
      </c>
      <c r="BB127" s="6778">
        <v>13.4163222777572</v>
      </c>
      <c r="BC127" s="6779">
        <f>SUM(AQ127:BB127)</f>
        <v>170.37647784746241</v>
      </c>
      <c r="BD127" s="2861">
        <v>13.062488629952499</v>
      </c>
      <c r="BE127" s="6414">
        <v>12.592116266194401</v>
      </c>
      <c r="BF127" s="6414">
        <v>12.397129716687598</v>
      </c>
      <c r="BG127" s="2861">
        <v>12.070754440830701</v>
      </c>
      <c r="BH127" s="2861">
        <v>11.645300551936613</v>
      </c>
      <c r="BI127" s="2861">
        <v>11.27059863287119</v>
      </c>
      <c r="BJ127" s="2861">
        <v>11.114054631143121</v>
      </c>
      <c r="BK127" s="2861">
        <v>10.797321287603133</v>
      </c>
      <c r="BL127" s="2861">
        <v>10.567151913006208</v>
      </c>
      <c r="BM127" s="2861">
        <v>10.355958002263687</v>
      </c>
      <c r="BN127" s="2861">
        <v>9.9233191365193996</v>
      </c>
      <c r="BO127" s="2861">
        <v>9.625676759699342</v>
      </c>
      <c r="BP127" s="6415">
        <v>135.42186996870788</v>
      </c>
      <c r="BQ127" s="6416">
        <v>9.0695830536824982</v>
      </c>
      <c r="BR127" s="6414">
        <v>9.0819829431945234</v>
      </c>
      <c r="BS127" s="6414">
        <v>8.5529125751921757</v>
      </c>
      <c r="BT127" s="6737">
        <v>8.0079655054749317</v>
      </c>
      <c r="BU127" s="2861">
        <v>7.6013216409978055</v>
      </c>
      <c r="BV127" s="6416">
        <v>11.278029041566105</v>
      </c>
      <c r="BW127" s="2861">
        <v>9.4702209891940257</v>
      </c>
      <c r="BX127" s="6416">
        <v>9.1583624919815758</v>
      </c>
      <c r="BY127" s="2861">
        <v>9.0414153605674557</v>
      </c>
      <c r="BZ127" s="2861">
        <v>8.8861888617815215</v>
      </c>
      <c r="CA127" s="2861">
        <v>8.7735164377780048</v>
      </c>
      <c r="CB127" s="2861">
        <v>8.7081341384411317</v>
      </c>
      <c r="CC127" s="6609"/>
      <c r="CD127" s="2862"/>
      <c r="CE127" s="6419">
        <f t="shared" si="113"/>
        <v>-6.5382299336873118E-2</v>
      </c>
      <c r="CF127" s="2868">
        <f t="shared" si="138"/>
        <v>-0.91754262125821029</v>
      </c>
      <c r="CG127" s="2868"/>
      <c r="CH127" s="6705">
        <f t="shared" si="115"/>
        <v>107.62963303985174</v>
      </c>
      <c r="CI127" s="6685"/>
      <c r="CJ127" s="2792"/>
      <c r="CK127" s="6686">
        <f t="shared" si="139"/>
        <v>-27.792236928856141</v>
      </c>
      <c r="CL127" s="5138"/>
      <c r="CM127" s="2488"/>
      <c r="CN127" s="2488"/>
      <c r="CO127" s="2488"/>
      <c r="CP127" s="2488"/>
      <c r="CQ127" s="2488"/>
      <c r="CR127" s="2488"/>
      <c r="CS127" s="2488"/>
      <c r="CT127" s="2488"/>
      <c r="CU127" s="2488"/>
      <c r="CV127" s="2488"/>
      <c r="CW127" s="2488"/>
      <c r="CX127" s="2488"/>
      <c r="CY127" s="2488"/>
      <c r="CZ127" s="2488"/>
      <c r="DB127" s="4439"/>
      <c r="DC127" s="4439"/>
      <c r="DF127" s="4439"/>
      <c r="DG127" s="4439"/>
    </row>
    <row r="128" spans="1:111" ht="16.3" customHeight="1" x14ac:dyDescent="0.55000000000000004">
      <c r="A128" s="6692"/>
      <c r="C128" s="3189" t="s">
        <v>765</v>
      </c>
      <c r="D128" s="3189"/>
      <c r="E128" s="3189"/>
      <c r="F128" s="3189"/>
      <c r="G128" s="3189"/>
      <c r="H128" s="3189"/>
      <c r="I128" s="3189"/>
      <c r="J128" s="3189"/>
      <c r="K128" s="3189"/>
      <c r="L128" s="3189"/>
      <c r="M128" s="3189"/>
      <c r="N128" s="3189"/>
      <c r="O128" s="3189"/>
      <c r="P128" s="3189"/>
      <c r="Q128" s="3189"/>
      <c r="R128" s="3189"/>
      <c r="S128" s="3189"/>
      <c r="T128" s="3189"/>
      <c r="U128" s="3189"/>
      <c r="V128" s="3189"/>
      <c r="W128" s="3189"/>
      <c r="X128" s="3189"/>
      <c r="Y128" s="3189"/>
      <c r="Z128" s="3189"/>
      <c r="AA128" s="3189"/>
      <c r="AB128" s="3189"/>
      <c r="AC128" s="3189"/>
      <c r="AD128" s="3189"/>
      <c r="AE128" s="3189"/>
      <c r="AF128" s="3189"/>
      <c r="AG128" s="3189"/>
      <c r="AH128" s="3189"/>
      <c r="AI128" s="3189"/>
      <c r="AJ128" s="3189"/>
      <c r="AK128" s="3189"/>
      <c r="AL128" s="3189"/>
      <c r="AM128" s="3189"/>
      <c r="AN128" s="3189"/>
      <c r="AO128" s="6680"/>
      <c r="AP128" s="6681"/>
      <c r="AQ128" s="6778">
        <f t="shared" ref="AQ128:BB128" si="142">AQ127-AQ129-AQ130</f>
        <v>5.8606189569611677</v>
      </c>
      <c r="AR128" s="6778">
        <f t="shared" si="142"/>
        <v>5.744155371266177</v>
      </c>
      <c r="AS128" s="6778">
        <f t="shared" si="142"/>
        <v>5.5608149126536235</v>
      </c>
      <c r="AT128" s="6778">
        <f t="shared" si="142"/>
        <v>6.0280143532057702</v>
      </c>
      <c r="AU128" s="6778">
        <f t="shared" si="142"/>
        <v>6.0751910706746646</v>
      </c>
      <c r="AV128" s="6778">
        <f t="shared" si="142"/>
        <v>5.8024794404173106</v>
      </c>
      <c r="AW128" s="6778">
        <f t="shared" si="142"/>
        <v>5.7518238532140389</v>
      </c>
      <c r="AX128" s="6778">
        <f t="shared" si="142"/>
        <v>5.5343983037315221</v>
      </c>
      <c r="AY128" s="6778">
        <f t="shared" si="142"/>
        <v>5.320814845068834</v>
      </c>
      <c r="AZ128" s="6778">
        <f t="shared" si="142"/>
        <v>5.1595599136662127</v>
      </c>
      <c r="BA128" s="6778">
        <f t="shared" si="142"/>
        <v>4.9165365163700647</v>
      </c>
      <c r="BB128" s="6778">
        <f t="shared" si="142"/>
        <v>4.834819531142112</v>
      </c>
      <c r="BC128" s="6779">
        <f>SUM(AQ128:BB128)</f>
        <v>66.5892270683715</v>
      </c>
      <c r="BD128" s="2861">
        <f>BD127-BD129-BD130</f>
        <v>4.4416927754070441</v>
      </c>
      <c r="BE128" s="2861">
        <f t="shared" ref="BE128:CA128" si="143">BE127-BE129-BE130</f>
        <v>4.0615365116489466</v>
      </c>
      <c r="BF128" s="2861">
        <f t="shared" si="143"/>
        <v>3.9274465439603254</v>
      </c>
      <c r="BG128" s="2861">
        <f t="shared" si="143"/>
        <v>3.736036322648884</v>
      </c>
      <c r="BH128" s="2861">
        <f t="shared" si="143"/>
        <v>3.45782908830025</v>
      </c>
      <c r="BI128" s="2861">
        <f t="shared" si="143"/>
        <v>3.2881079965075539</v>
      </c>
      <c r="BJ128" s="2861">
        <f t="shared" si="143"/>
        <v>3.2165849584158472</v>
      </c>
      <c r="BK128" s="2861">
        <f t="shared" si="143"/>
        <v>3.1082104330576783</v>
      </c>
      <c r="BL128" s="2861">
        <f t="shared" si="143"/>
        <v>3.088296867551664</v>
      </c>
      <c r="BM128" s="2861">
        <f t="shared" si="143"/>
        <v>3.0522343749909604</v>
      </c>
      <c r="BN128" s="2861">
        <f t="shared" si="143"/>
        <v>2.9414592365193997</v>
      </c>
      <c r="BO128" s="2861">
        <f t="shared" si="143"/>
        <v>3.0515803596993418</v>
      </c>
      <c r="BP128" s="6415">
        <v>41.371015468707903</v>
      </c>
      <c r="BQ128" s="2861">
        <f t="shared" si="143"/>
        <v>2.9294559445915898</v>
      </c>
      <c r="BR128" s="2861">
        <f t="shared" si="143"/>
        <v>2.8788210159217966</v>
      </c>
      <c r="BS128" s="2861">
        <f t="shared" si="143"/>
        <v>2.66026882973763</v>
      </c>
      <c r="BT128" s="2861">
        <f t="shared" si="143"/>
        <v>2.5262770327476596</v>
      </c>
      <c r="BU128" s="2861">
        <f t="shared" si="143"/>
        <v>2.3802389409978062</v>
      </c>
      <c r="BV128" s="2861">
        <f t="shared" si="143"/>
        <v>6.3101247052024707</v>
      </c>
      <c r="BW128" s="2861">
        <f t="shared" si="143"/>
        <v>4.7605180073758433</v>
      </c>
      <c r="BX128" s="2861">
        <f t="shared" si="143"/>
        <v>4.7224380647088484</v>
      </c>
      <c r="BY128" s="2861">
        <f t="shared" si="143"/>
        <v>4.8802453332947291</v>
      </c>
      <c r="BZ128" s="2861">
        <f t="shared" si="143"/>
        <v>4.9709158799633402</v>
      </c>
      <c r="CA128" s="2861">
        <f t="shared" si="143"/>
        <v>5.1158438377780051</v>
      </c>
      <c r="CB128" s="2861">
        <v>5.2152921929865865</v>
      </c>
      <c r="CC128" s="6609"/>
      <c r="CD128" s="2862"/>
      <c r="CE128" s="6419">
        <f t="shared" si="113"/>
        <v>9.9448355208581418E-2</v>
      </c>
      <c r="CF128" s="2868">
        <f t="shared" si="138"/>
        <v>2.1637118332872447</v>
      </c>
      <c r="CG128" s="2868"/>
      <c r="CH128" s="6705">
        <f t="shared" si="115"/>
        <v>49.350439785306314</v>
      </c>
      <c r="CI128" s="6685"/>
      <c r="CJ128" s="2792"/>
      <c r="CK128" s="6686">
        <f t="shared" si="139"/>
        <v>7.9794243165984113</v>
      </c>
      <c r="CL128" s="5138"/>
      <c r="CM128" s="2488"/>
      <c r="CN128" s="2488"/>
      <c r="CO128" s="2488"/>
      <c r="CP128" s="2488"/>
      <c r="CQ128" s="2488"/>
      <c r="CR128" s="2488"/>
      <c r="CS128" s="2488"/>
      <c r="CT128" s="2488"/>
      <c r="CU128" s="2488"/>
      <c r="CV128" s="2488"/>
      <c r="CW128" s="2488"/>
      <c r="CX128" s="2488"/>
      <c r="CY128" s="2488"/>
      <c r="CZ128" s="2488"/>
      <c r="DB128" s="4439"/>
      <c r="DC128" s="4439"/>
      <c r="DF128" s="4439"/>
      <c r="DG128" s="4439"/>
    </row>
    <row r="129" spans="1:111" ht="16.3" customHeight="1" x14ac:dyDescent="0.55000000000000004">
      <c r="A129" s="6692"/>
      <c r="C129" s="3189" t="s">
        <v>766</v>
      </c>
      <c r="D129" s="3189"/>
      <c r="E129" s="3189"/>
      <c r="F129" s="3189"/>
      <c r="G129" s="3189"/>
      <c r="H129" s="3189"/>
      <c r="I129" s="3189"/>
      <c r="J129" s="3189"/>
      <c r="K129" s="3189"/>
      <c r="L129" s="3189"/>
      <c r="M129" s="3189"/>
      <c r="N129" s="3189"/>
      <c r="O129" s="3189"/>
      <c r="P129" s="3189"/>
      <c r="Q129" s="3189"/>
      <c r="R129" s="3189"/>
      <c r="S129" s="3189"/>
      <c r="T129" s="3189"/>
      <c r="U129" s="3189"/>
      <c r="V129" s="3189"/>
      <c r="W129" s="3189"/>
      <c r="X129" s="3189"/>
      <c r="Y129" s="3189"/>
      <c r="Z129" s="3189"/>
      <c r="AA129" s="3189"/>
      <c r="AB129" s="3189"/>
      <c r="AC129" s="3189"/>
      <c r="AD129" s="3189"/>
      <c r="AE129" s="3189"/>
      <c r="AF129" s="3189"/>
      <c r="AG129" s="3189"/>
      <c r="AH129" s="3189"/>
      <c r="AI129" s="3189"/>
      <c r="AJ129" s="3189"/>
      <c r="AK129" s="3189"/>
      <c r="AL129" s="3189"/>
      <c r="AM129" s="3189"/>
      <c r="AN129" s="3189"/>
      <c r="AO129" s="6680"/>
      <c r="AP129" s="6681"/>
      <c r="AQ129" s="6778">
        <v>3.1000515100000001</v>
      </c>
      <c r="AR129" s="6778">
        <v>2.7636117900000001</v>
      </c>
      <c r="AS129" s="6778">
        <v>3.4812843400000002</v>
      </c>
      <c r="AT129" s="6778">
        <v>3.0939438099999998</v>
      </c>
      <c r="AU129" s="6778">
        <v>3.0265150099999998</v>
      </c>
      <c r="AV129" s="6778">
        <v>2.9555635100000002</v>
      </c>
      <c r="AW129" s="6778">
        <v>3.0295188099999999</v>
      </c>
      <c r="AX129" s="6778">
        <v>3.0538341099999999</v>
      </c>
      <c r="AY129" s="6778">
        <v>2.9771911599999998</v>
      </c>
      <c r="AZ129" s="6778">
        <v>3.05813866</v>
      </c>
      <c r="BA129" s="6778">
        <v>3.0312767599999999</v>
      </c>
      <c r="BB129" s="6778">
        <v>3.0075552000000001</v>
      </c>
      <c r="BC129" s="6779">
        <f>SUM(AQ129:BB129)</f>
        <v>36.578484670000002</v>
      </c>
      <c r="BD129" s="2861">
        <v>3.0532227000000001</v>
      </c>
      <c r="BE129" s="6414">
        <v>3.0219923999999998</v>
      </c>
      <c r="BF129" s="6414">
        <v>3.0165839999999999</v>
      </c>
      <c r="BG129" s="2861">
        <v>2.9668440999999999</v>
      </c>
      <c r="BH129" s="2861">
        <v>2.9032969</v>
      </c>
      <c r="BI129" s="2861">
        <v>2.8099571000000001</v>
      </c>
      <c r="BJ129" s="2861">
        <v>2.7773373000000001</v>
      </c>
      <c r="BK129" s="2861">
        <v>2.6862341999999999</v>
      </c>
      <c r="BL129" s="2861">
        <v>2.6111059999999999</v>
      </c>
      <c r="BM129" s="2861">
        <v>2.5634610000000002</v>
      </c>
      <c r="BN129" s="2861">
        <v>2.4362278000000002</v>
      </c>
      <c r="BO129" s="2861">
        <v>2.1650585454545452</v>
      </c>
      <c r="BP129" s="6415">
        <v>33.011322045454541</v>
      </c>
      <c r="BQ129" s="6416">
        <v>1.997533909090909</v>
      </c>
      <c r="BR129" s="6414">
        <v>2.0628230909090908</v>
      </c>
      <c r="BS129" s="6414">
        <v>2.0294241181818182</v>
      </c>
      <c r="BT129" s="6780">
        <v>1.8044475454545452</v>
      </c>
      <c r="BU129" s="2861">
        <v>1.7026086363636364</v>
      </c>
      <c r="BV129" s="6416">
        <v>1.5949691818181815</v>
      </c>
      <c r="BW129" s="2861">
        <v>1.4921994545454544</v>
      </c>
      <c r="BX129" s="6416">
        <v>1.4055082727272725</v>
      </c>
      <c r="BY129" s="2861">
        <v>1.3104794545454543</v>
      </c>
      <c r="BZ129" s="2861">
        <v>1.2273192727272726</v>
      </c>
      <c r="CA129" s="2861">
        <v>1.1457579090909091</v>
      </c>
      <c r="CB129" s="2861">
        <v>1.0902024545454545</v>
      </c>
      <c r="CC129" s="6609"/>
      <c r="CD129" s="2862"/>
      <c r="CE129" s="6419">
        <f t="shared" si="113"/>
        <v>-5.555545454545463E-2</v>
      </c>
      <c r="CF129" s="2868">
        <f t="shared" si="138"/>
        <v>-1.0748560909090907</v>
      </c>
      <c r="CG129" s="2868"/>
      <c r="CH129" s="6705">
        <f t="shared" si="115"/>
        <v>18.863273300000003</v>
      </c>
      <c r="CI129" s="6685"/>
      <c r="CJ129" s="2792"/>
      <c r="CK129" s="6686">
        <f t="shared" si="139"/>
        <v>-14.148048745454538</v>
      </c>
      <c r="CL129" s="5138"/>
      <c r="CM129" s="2488"/>
      <c r="CN129" s="2488"/>
      <c r="CO129" s="2488"/>
      <c r="CP129" s="2488"/>
      <c r="CQ129" s="2488"/>
      <c r="CR129" s="2488"/>
      <c r="CS129" s="2488"/>
      <c r="CT129" s="2488"/>
      <c r="CU129" s="2488"/>
      <c r="CV129" s="2488"/>
      <c r="CW129" s="2488"/>
      <c r="CX129" s="2488"/>
      <c r="CY129" s="2488"/>
      <c r="CZ129" s="2488"/>
      <c r="DB129" s="4439"/>
      <c r="DC129" s="4439"/>
      <c r="DF129" s="4439"/>
      <c r="DG129" s="4439"/>
    </row>
    <row r="130" spans="1:111" ht="16.3" customHeight="1" x14ac:dyDescent="0.55000000000000004">
      <c r="A130" s="6692"/>
      <c r="C130" s="3189" t="s">
        <v>767</v>
      </c>
      <c r="D130" s="3189"/>
      <c r="E130" s="3189"/>
      <c r="F130" s="3189"/>
      <c r="G130" s="3189"/>
      <c r="H130" s="3189"/>
      <c r="I130" s="3189"/>
      <c r="J130" s="3189"/>
      <c r="K130" s="3189"/>
      <c r="L130" s="3189"/>
      <c r="M130" s="3189"/>
      <c r="N130" s="3189"/>
      <c r="O130" s="3189"/>
      <c r="P130" s="3189"/>
      <c r="Q130" s="3189"/>
      <c r="R130" s="3189"/>
      <c r="S130" s="3189"/>
      <c r="T130" s="3189"/>
      <c r="U130" s="3189"/>
      <c r="V130" s="3189"/>
      <c r="W130" s="3189"/>
      <c r="X130" s="3189"/>
      <c r="Y130" s="3189"/>
      <c r="Z130" s="3189"/>
      <c r="AA130" s="3189"/>
      <c r="AB130" s="3189"/>
      <c r="AC130" s="3189"/>
      <c r="AD130" s="3189"/>
      <c r="AE130" s="3189"/>
      <c r="AF130" s="3189"/>
      <c r="AG130" s="3189"/>
      <c r="AH130" s="3189"/>
      <c r="AI130" s="3189"/>
      <c r="AJ130" s="3189"/>
      <c r="AK130" s="3189"/>
      <c r="AL130" s="3189"/>
      <c r="AM130" s="3189"/>
      <c r="AN130" s="3189"/>
      <c r="AO130" s="6680"/>
      <c r="AP130" s="6681"/>
      <c r="AQ130" s="6778">
        <v>5.6540478642166336</v>
      </c>
      <c r="AR130" s="6778">
        <v>5.7012886452611218</v>
      </c>
      <c r="AS130" s="6778">
        <v>5.7383666137330751</v>
      </c>
      <c r="AT130" s="6778">
        <v>5.5275548617021277</v>
      </c>
      <c r="AU130" s="6778">
        <v>5.480129625725338</v>
      </c>
      <c r="AV130" s="6778">
        <v>5.4858960941972912</v>
      </c>
      <c r="AW130" s="6778">
        <v>5.6338214742746606</v>
      </c>
      <c r="AX130" s="6778">
        <v>5.6292190580270782</v>
      </c>
      <c r="AY130" s="6778">
        <v>5.5366031079303673</v>
      </c>
      <c r="AZ130" s="6778">
        <v>5.6500353531914893</v>
      </c>
      <c r="BA130" s="6778">
        <v>5.5978558642166343</v>
      </c>
      <c r="BB130" s="6778">
        <v>5.573947546615087</v>
      </c>
      <c r="BC130" s="6779">
        <f>SUM(AQ130:BB130)</f>
        <v>67.208766109090902</v>
      </c>
      <c r="BD130" s="2861">
        <v>5.5675731545454541</v>
      </c>
      <c r="BE130" s="6414">
        <v>5.5085873545454538</v>
      </c>
      <c r="BF130" s="6414">
        <v>5.4530991727272724</v>
      </c>
      <c r="BG130" s="2861">
        <v>5.3678740181818174</v>
      </c>
      <c r="BH130" s="2861">
        <v>5.2841745636363635</v>
      </c>
      <c r="BI130" s="2861">
        <v>5.1725335363636358</v>
      </c>
      <c r="BJ130" s="2861">
        <v>5.120132372727273</v>
      </c>
      <c r="BK130" s="2861">
        <v>5.0028766545454548</v>
      </c>
      <c r="BL130" s="2861">
        <v>4.8677490454545449</v>
      </c>
      <c r="BM130" s="2861">
        <v>4.7402626272727266</v>
      </c>
      <c r="BN130" s="2861">
        <f>BN28</f>
        <v>4.5456320999999997</v>
      </c>
      <c r="BO130" s="2861">
        <v>4.4090378545454545</v>
      </c>
      <c r="BP130" s="6415">
        <v>61.039532454545444</v>
      </c>
      <c r="BQ130" s="6737">
        <v>4.1425931999999994</v>
      </c>
      <c r="BR130" s="6737">
        <v>4.140338836363636</v>
      </c>
      <c r="BS130" s="6737">
        <v>3.8632196272727271</v>
      </c>
      <c r="BT130" s="6737">
        <v>3.6772409272727269</v>
      </c>
      <c r="BU130" s="6737">
        <v>3.5184740636363632</v>
      </c>
      <c r="BV130" s="6737">
        <v>3.3729351545454542</v>
      </c>
      <c r="BW130" s="6737">
        <v>3.217503527272727</v>
      </c>
      <c r="BX130" s="6737">
        <v>3.0304161545454544</v>
      </c>
      <c r="BY130" s="6737">
        <v>2.8506905727272724</v>
      </c>
      <c r="BZ130" s="6737">
        <v>2.6879537090909089</v>
      </c>
      <c r="CA130" s="6737">
        <v>2.5119146909090908</v>
      </c>
      <c r="CB130" s="6737">
        <v>2.4026394909090905</v>
      </c>
      <c r="CC130" s="6609"/>
      <c r="CD130" s="2862"/>
      <c r="CE130" s="6419">
        <f t="shared" si="113"/>
        <v>-0.10927520000000035</v>
      </c>
      <c r="CF130" s="2868">
        <f t="shared" si="138"/>
        <v>-2.006398363636364</v>
      </c>
      <c r="CG130" s="2868"/>
      <c r="CH130" s="6705">
        <f t="shared" si="115"/>
        <v>39.415919954545451</v>
      </c>
      <c r="CI130" s="6685"/>
      <c r="CJ130" s="2792"/>
      <c r="CK130" s="6686">
        <f t="shared" si="139"/>
        <v>-21.623612499999993</v>
      </c>
      <c r="CL130" s="5138"/>
      <c r="CM130" s="2488"/>
      <c r="CN130" s="2488"/>
      <c r="CO130" s="2488"/>
      <c r="CP130" s="2488"/>
      <c r="CQ130" s="2488"/>
      <c r="CR130" s="2488"/>
      <c r="CS130" s="2488"/>
      <c r="CT130" s="2488"/>
      <c r="CU130" s="2488"/>
      <c r="CV130" s="2488"/>
      <c r="CW130" s="2488"/>
      <c r="CX130" s="2488"/>
      <c r="CY130" s="2488"/>
      <c r="CZ130" s="2488"/>
      <c r="DB130" s="4439"/>
      <c r="DC130" s="4439"/>
      <c r="DF130" s="4439"/>
      <c r="DG130" s="4439"/>
    </row>
    <row r="131" spans="1:111" ht="16.3" customHeight="1" x14ac:dyDescent="0.55000000000000004">
      <c r="A131" s="6692"/>
      <c r="C131" s="2441" t="s">
        <v>33</v>
      </c>
      <c r="AO131" s="6687"/>
      <c r="AP131" s="6688"/>
      <c r="AQ131" s="6781">
        <v>5.8901561834147484</v>
      </c>
      <c r="AR131" s="6781">
        <v>18.103499337041036</v>
      </c>
      <c r="AS131" s="6781">
        <v>9.1360570035991842</v>
      </c>
      <c r="AT131" s="6781">
        <v>6.4107008072801364</v>
      </c>
      <c r="AU131" s="6781">
        <v>9.23639709875299</v>
      </c>
      <c r="AV131" s="6781">
        <v>13.72751875348863</v>
      </c>
      <c r="AW131" s="6781">
        <v>2.7838678177841372</v>
      </c>
      <c r="AX131" s="6781">
        <v>16.930557187014237</v>
      </c>
      <c r="AY131" s="6781">
        <v>11.896822369203926</v>
      </c>
      <c r="AZ131" s="6781">
        <v>10.886278105029833</v>
      </c>
      <c r="BA131" s="6781">
        <v>6.7859400796377436</v>
      </c>
      <c r="BB131" s="6781">
        <v>25.059518654150999</v>
      </c>
      <c r="BC131" s="6782">
        <v>136.8473133963976</v>
      </c>
      <c r="BD131" s="2549">
        <v>4.3874988871912963</v>
      </c>
      <c r="BE131" s="2790">
        <v>5.4518131338428599</v>
      </c>
      <c r="BF131" s="2790">
        <v>0.6931783853543777</v>
      </c>
      <c r="BG131" s="2790">
        <v>7.3230089443791337</v>
      </c>
      <c r="BH131" s="2790">
        <v>9.7698656927230072</v>
      </c>
      <c r="BI131" s="2790">
        <v>13.611601860251707</v>
      </c>
      <c r="BJ131" s="2790">
        <v>-2.0818197406726244</v>
      </c>
      <c r="BK131" s="2790">
        <v>16.272891276196095</v>
      </c>
      <c r="BL131" s="2790">
        <v>-1.5752196145848023</v>
      </c>
      <c r="BM131" s="2790">
        <v>7.1232631836316154</v>
      </c>
      <c r="BN131" s="2790">
        <v>9.2595453799547478</v>
      </c>
      <c r="BO131" s="2790">
        <v>1.8347915966883499</v>
      </c>
      <c r="BP131" s="6475">
        <v>72.070418984955765</v>
      </c>
      <c r="BQ131" s="6691">
        <v>-1.9722689027622273</v>
      </c>
      <c r="BR131" s="6082">
        <v>19.021983068000008</v>
      </c>
      <c r="BS131" s="2790">
        <v>4.6599630400000001</v>
      </c>
      <c r="BT131" s="6478">
        <v>5.2626658879999999</v>
      </c>
      <c r="BU131" s="2790">
        <v>14.641657992000003</v>
      </c>
      <c r="BV131" s="6478">
        <v>3.36895758</v>
      </c>
      <c r="BW131" s="2790">
        <v>7.2063283160000005</v>
      </c>
      <c r="BX131" s="6478">
        <v>19.519862480000008</v>
      </c>
      <c r="BY131" s="2790">
        <v>3.7466447120000002</v>
      </c>
      <c r="BZ131" s="2790">
        <v>10.425252797237228</v>
      </c>
      <c r="CA131" s="2790">
        <v>13.574222080002416</v>
      </c>
      <c r="CB131" s="2790">
        <v>9.4760877497436518</v>
      </c>
      <c r="CC131" s="6609"/>
      <c r="CD131" s="2862"/>
      <c r="CE131" s="6166">
        <f t="shared" si="113"/>
        <v>-4.0981343302587643</v>
      </c>
      <c r="CF131" s="2509">
        <f t="shared" si="138"/>
        <v>7.6412961530553023</v>
      </c>
      <c r="CG131" s="2509"/>
      <c r="CH131" s="6288">
        <f t="shared" si="115"/>
        <v>108.93135680022108</v>
      </c>
      <c r="CI131" s="6685"/>
      <c r="CJ131" s="2792"/>
      <c r="CK131" s="6690">
        <f t="shared" si="139"/>
        <v>36.860937815265316</v>
      </c>
      <c r="CL131" s="5138"/>
      <c r="CM131" s="2488"/>
      <c r="CN131" s="2488"/>
      <c r="CO131" s="2488"/>
      <c r="CP131" s="2488"/>
      <c r="CQ131" s="2488"/>
      <c r="CR131" s="2488"/>
      <c r="CS131" s="2488"/>
      <c r="CT131" s="2488"/>
      <c r="CU131" s="2488"/>
      <c r="CV131" s="2488"/>
      <c r="CW131" s="2488"/>
      <c r="CX131" s="2488"/>
      <c r="CY131" s="2488"/>
      <c r="CZ131" s="2488"/>
      <c r="DB131" s="4439"/>
      <c r="DC131" s="4439"/>
      <c r="DF131" s="4439"/>
      <c r="DG131" s="4439"/>
    </row>
    <row r="132" spans="1:111" ht="16.3" customHeight="1" thickBot="1" x14ac:dyDescent="0.6">
      <c r="A132" s="6740"/>
      <c r="B132" s="3412"/>
      <c r="C132" s="3412" t="s">
        <v>67</v>
      </c>
      <c r="D132" s="3412"/>
      <c r="E132" s="6741" t="s">
        <v>637</v>
      </c>
      <c r="F132" s="6741"/>
      <c r="G132" s="6741"/>
      <c r="H132" s="6741"/>
      <c r="I132" s="6741"/>
      <c r="J132" s="6741"/>
      <c r="K132" s="6741"/>
      <c r="L132" s="6741"/>
      <c r="M132" s="6741"/>
      <c r="N132" s="6741"/>
      <c r="O132" s="6741"/>
      <c r="P132" s="6741"/>
      <c r="Q132" s="6741"/>
      <c r="R132" s="6741"/>
      <c r="S132" s="6741"/>
      <c r="T132" s="6741"/>
      <c r="U132" s="6741"/>
      <c r="V132" s="6741"/>
      <c r="W132" s="6741"/>
      <c r="X132" s="6741"/>
      <c r="Y132" s="6741"/>
      <c r="Z132" s="6741"/>
      <c r="AA132" s="6741"/>
      <c r="AB132" s="6741"/>
      <c r="AC132" s="6741"/>
      <c r="AD132" s="6741"/>
      <c r="AE132" s="6741"/>
      <c r="AF132" s="6741"/>
      <c r="AG132" s="6741"/>
      <c r="AH132" s="6741"/>
      <c r="AI132" s="6741"/>
      <c r="AJ132" s="6741"/>
      <c r="AK132" s="6741"/>
      <c r="AL132" s="6741"/>
      <c r="AM132" s="6741"/>
      <c r="AN132" s="6741"/>
      <c r="AO132" s="6742"/>
      <c r="AP132" s="6743"/>
      <c r="AQ132" s="6744">
        <v>2.6671840360414176</v>
      </c>
      <c r="AR132" s="6744">
        <v>-3.1777631703604925E-2</v>
      </c>
      <c r="AS132" s="6744">
        <v>2.2191564623895008</v>
      </c>
      <c r="AT132" s="6744">
        <v>2.2094890585449161</v>
      </c>
      <c r="AU132" s="6744">
        <v>-1.5982844012345137</v>
      </c>
      <c r="AV132" s="6744">
        <v>-1.6946190674599624</v>
      </c>
      <c r="AW132" s="6744">
        <v>2.4442424084568408</v>
      </c>
      <c r="AX132" s="6744">
        <v>-0.84832844999552037</v>
      </c>
      <c r="AY132" s="6744">
        <v>-2.4151946257941947</v>
      </c>
      <c r="AZ132" s="6744">
        <v>0.7779468576206483</v>
      </c>
      <c r="BA132" s="6744">
        <v>-1.8080525694695737</v>
      </c>
      <c r="BB132" s="6744">
        <v>-2.6409272790330824</v>
      </c>
      <c r="BC132" s="6745">
        <v>-0.7191652016371286</v>
      </c>
      <c r="BD132" s="6783">
        <v>2.3586183438514912</v>
      </c>
      <c r="BE132" s="6746">
        <v>-1.6961853547734886</v>
      </c>
      <c r="BF132" s="6746">
        <v>-0.22943709381680044</v>
      </c>
      <c r="BG132" s="6746">
        <v>0.62614073285472216</v>
      </c>
      <c r="BH132" s="6746">
        <v>-0.26224229979627189</v>
      </c>
      <c r="BI132" s="6746">
        <v>-1.9536744231991285</v>
      </c>
      <c r="BJ132" s="6746">
        <v>3.8093404548918794</v>
      </c>
      <c r="BK132" s="6746">
        <v>-1.7873356209413647</v>
      </c>
      <c r="BL132" s="6746">
        <v>-1.4958424458336186</v>
      </c>
      <c r="BM132" s="6746">
        <v>3.2260856811753928</v>
      </c>
      <c r="BN132" s="6746">
        <v>-1.7935108573355798</v>
      </c>
      <c r="BO132" s="6746">
        <v>-1.7769801438524748</v>
      </c>
      <c r="BP132" s="6784">
        <v>-0.97502302677524177</v>
      </c>
      <c r="BQ132" s="6783">
        <v>3.3295087504979213</v>
      </c>
      <c r="BR132" s="6749">
        <v>-3.8674134538219072</v>
      </c>
      <c r="BS132" s="6746">
        <v>1.7239025076840981</v>
      </c>
      <c r="BT132" s="6746">
        <v>1.009664996800189</v>
      </c>
      <c r="BU132" s="6746">
        <v>-5.4379572205193236</v>
      </c>
      <c r="BV132" s="6746">
        <v>-2.3509718333036442</v>
      </c>
      <c r="BW132" s="6746">
        <v>0.96313810261910326</v>
      </c>
      <c r="BX132" s="6746">
        <v>-2.287052730833862</v>
      </c>
      <c r="BY132" s="6746">
        <v>-3.8002949898466802</v>
      </c>
      <c r="BZ132" s="6746">
        <v>0.32005625325334641</v>
      </c>
      <c r="CA132" s="6746">
        <v>-2.0870851890955002</v>
      </c>
      <c r="CB132" s="6746">
        <v>-1.3727201490997665</v>
      </c>
      <c r="CC132" s="6609"/>
      <c r="CD132" s="2862"/>
      <c r="CE132" s="6785">
        <f t="shared" si="113"/>
        <v>0.71436503999573375</v>
      </c>
      <c r="CF132" s="2918">
        <f t="shared" si="138"/>
        <v>0.40425999475270835</v>
      </c>
      <c r="CG132" s="2918"/>
      <c r="CH132" s="6786">
        <f t="shared" si="115"/>
        <v>-13.857224955666025</v>
      </c>
      <c r="CI132" s="6685"/>
      <c r="CJ132" s="2792"/>
      <c r="CK132" s="6787">
        <f t="shared" si="139"/>
        <v>-12.882201928890783</v>
      </c>
      <c r="CL132" s="5138"/>
      <c r="CM132" s="2488"/>
      <c r="CN132" s="2488"/>
      <c r="CO132" s="2488"/>
      <c r="CP132" s="2488"/>
      <c r="CQ132" s="2488"/>
      <c r="CR132" s="2488"/>
      <c r="CS132" s="2488"/>
      <c r="CT132" s="2488"/>
      <c r="CU132" s="2488"/>
      <c r="CV132" s="2488"/>
      <c r="CW132" s="2488"/>
      <c r="CX132" s="2488"/>
      <c r="CY132" s="2488"/>
      <c r="CZ132" s="2488"/>
      <c r="DB132" s="4439"/>
      <c r="DC132" s="4439"/>
      <c r="DF132" s="4439"/>
      <c r="DG132" s="4439"/>
    </row>
    <row r="133" spans="1:111" ht="16.3" customHeight="1" x14ac:dyDescent="0.55000000000000004">
      <c r="A133" s="6754" t="s">
        <v>948</v>
      </c>
      <c r="B133" s="2456" t="s">
        <v>638</v>
      </c>
      <c r="C133" s="3189"/>
      <c r="D133" s="3189"/>
      <c r="E133" s="3189"/>
      <c r="F133" s="3189"/>
      <c r="G133" s="3189"/>
      <c r="H133" s="3189"/>
      <c r="I133" s="3189"/>
      <c r="J133" s="3189"/>
      <c r="K133" s="3189"/>
      <c r="L133" s="3189"/>
      <c r="M133" s="3189"/>
      <c r="N133" s="3189"/>
      <c r="O133" s="3189"/>
      <c r="P133" s="3189"/>
      <c r="Q133" s="3189"/>
      <c r="R133" s="3189"/>
      <c r="S133" s="3189"/>
      <c r="T133" s="3189"/>
      <c r="U133" s="3189"/>
      <c r="V133" s="3189"/>
      <c r="W133" s="3189"/>
      <c r="X133" s="3189"/>
      <c r="Y133" s="3189"/>
      <c r="Z133" s="3189"/>
      <c r="AA133" s="3189"/>
      <c r="AB133" s="3189"/>
      <c r="AC133" s="3189"/>
      <c r="AD133" s="3189"/>
      <c r="AE133" s="3189"/>
      <c r="AF133" s="3189"/>
      <c r="AG133" s="3189"/>
      <c r="AH133" s="3189"/>
      <c r="AI133" s="3189"/>
      <c r="AJ133" s="3189"/>
      <c r="AK133" s="3189"/>
      <c r="AL133" s="3189"/>
      <c r="AM133" s="3189"/>
      <c r="AN133" s="3189"/>
      <c r="AO133" s="6680"/>
      <c r="AP133" s="6681"/>
      <c r="AQ133" s="6778">
        <v>51.166853209999999</v>
      </c>
      <c r="AR133" s="6778">
        <v>76.878026149999997</v>
      </c>
      <c r="AS133" s="6778">
        <v>59.158128119999994</v>
      </c>
      <c r="AT133" s="6778">
        <v>41.978587140000002</v>
      </c>
      <c r="AU133" s="6778">
        <v>56.237094429999992</v>
      </c>
      <c r="AV133" s="6778">
        <v>56.115080540000001</v>
      </c>
      <c r="AW133" s="6778">
        <v>50.005751959999998</v>
      </c>
      <c r="AX133" s="6778">
        <v>106.42738208</v>
      </c>
      <c r="AY133" s="6778">
        <v>43.093059099999998</v>
      </c>
      <c r="AZ133" s="6778">
        <v>279.91024176999997</v>
      </c>
      <c r="BA133" s="6778">
        <v>83.761107299999992</v>
      </c>
      <c r="BB133" s="6778">
        <v>57.471112550000001</v>
      </c>
      <c r="BC133" s="6779">
        <v>962.20242435</v>
      </c>
      <c r="BD133" s="2861">
        <f>BD134+BD135+BD136+BD137</f>
        <v>144.55177593000002</v>
      </c>
      <c r="BE133" s="2861">
        <f t="shared" ref="BE133:BK133" si="144">BE134+BE135+BE136+BE137</f>
        <v>112.99635718000002</v>
      </c>
      <c r="BF133" s="2861">
        <f t="shared" si="144"/>
        <v>78.427457389999987</v>
      </c>
      <c r="BG133" s="2861">
        <f t="shared" si="144"/>
        <v>88.031747219999986</v>
      </c>
      <c r="BH133" s="2861">
        <f t="shared" si="144"/>
        <v>80.473403099999999</v>
      </c>
      <c r="BI133" s="2861">
        <f t="shared" si="144"/>
        <v>62.959414250000002</v>
      </c>
      <c r="BJ133" s="2861">
        <f t="shared" si="144"/>
        <v>150.83397558999999</v>
      </c>
      <c r="BK133" s="2861">
        <f t="shared" si="144"/>
        <v>103.38559555000001</v>
      </c>
      <c r="BL133" s="2861">
        <f>BL134+BL135+BL136+BL137</f>
        <v>326.82922393999996</v>
      </c>
      <c r="BM133" s="2861">
        <f>BM134+BM135+BM136+BM137</f>
        <v>247.29960561000001</v>
      </c>
      <c r="BN133" s="2861">
        <f>BN134+BN135+BN136+BN137</f>
        <v>113.64098602</v>
      </c>
      <c r="BO133" s="2861">
        <f>BO134+BO135+BO136+BO137</f>
        <v>101.10476917000001</v>
      </c>
      <c r="BP133" s="6415">
        <v>1610.53431095</v>
      </c>
      <c r="BQ133" s="2861">
        <f>BQ134+BQ135+BQ136+BQ137</f>
        <v>98.641518840000003</v>
      </c>
      <c r="BR133" s="2861">
        <f t="shared" ref="BR133:CB133" si="145">BR134+BR135+BR136+BR137</f>
        <v>225.45248805999998</v>
      </c>
      <c r="BS133" s="2861">
        <f t="shared" si="145"/>
        <v>96.966151910000008</v>
      </c>
      <c r="BT133" s="2861">
        <f t="shared" si="145"/>
        <v>102.94316917000002</v>
      </c>
      <c r="BU133" s="2861">
        <f t="shared" si="145"/>
        <v>115.26143298</v>
      </c>
      <c r="BV133" s="2861">
        <f t="shared" si="145"/>
        <v>98.587445670000008</v>
      </c>
      <c r="BW133" s="2861">
        <f t="shared" si="145"/>
        <v>220.04821280000002</v>
      </c>
      <c r="BX133" s="2861">
        <f t="shared" si="145"/>
        <v>152.26669649999999</v>
      </c>
      <c r="BY133" s="2861">
        <f t="shared" si="145"/>
        <v>343.26258101000002</v>
      </c>
      <c r="BZ133" s="2861">
        <f t="shared" si="145"/>
        <v>212.05282579999999</v>
      </c>
      <c r="CA133" s="2861">
        <f t="shared" si="145"/>
        <v>152.40701428</v>
      </c>
      <c r="CB133" s="2861">
        <f t="shared" si="145"/>
        <v>158.27465648</v>
      </c>
      <c r="CC133" s="6609"/>
      <c r="CD133" s="2862"/>
      <c r="CE133" s="6419">
        <f t="shared" si="113"/>
        <v>5.8676422000000059</v>
      </c>
      <c r="CF133" s="2868">
        <f t="shared" si="138"/>
        <v>57.169887309999993</v>
      </c>
      <c r="CG133" s="2868"/>
      <c r="CH133" s="6420">
        <f t="shared" si="115"/>
        <v>1976.1641934999998</v>
      </c>
      <c r="CI133" s="6685"/>
      <c r="CJ133" s="2792"/>
      <c r="CK133" s="6686">
        <f t="shared" si="139"/>
        <v>365.62988254999982</v>
      </c>
      <c r="CL133" s="5138"/>
      <c r="CM133" s="2488"/>
      <c r="CN133" s="2488"/>
      <c r="CO133" s="2488"/>
      <c r="CP133" s="2488"/>
      <c r="CQ133" s="2488"/>
      <c r="CR133" s="2488"/>
      <c r="CS133" s="2488"/>
      <c r="CT133" s="2488"/>
      <c r="CU133" s="2488"/>
      <c r="CV133" s="2488"/>
      <c r="CW133" s="2488"/>
      <c r="CX133" s="2488"/>
      <c r="CY133" s="2488"/>
      <c r="CZ133" s="2488"/>
      <c r="DB133" s="6617">
        <f t="shared" ref="DB133:DB145" si="146">AVERAGE(BD133:BL133)</f>
        <v>127.60988334999999</v>
      </c>
      <c r="DC133" s="6617">
        <f t="shared" ref="DC133:DC145" si="147">AVERAGE(BQ133:BY133)</f>
        <v>161.49218854888889</v>
      </c>
      <c r="DF133" s="4439"/>
      <c r="DG133" s="4439"/>
    </row>
    <row r="134" spans="1:111" ht="16.3" customHeight="1" x14ac:dyDescent="0.55000000000000004">
      <c r="A134" s="6692"/>
      <c r="B134" s="3189"/>
      <c r="C134" s="3189" t="s">
        <v>10</v>
      </c>
      <c r="D134" s="3189"/>
      <c r="E134" s="3189"/>
      <c r="F134" s="3189"/>
      <c r="G134" s="3189"/>
      <c r="H134" s="3189"/>
      <c r="I134" s="3189"/>
      <c r="J134" s="3189"/>
      <c r="K134" s="3189"/>
      <c r="L134" s="3189"/>
      <c r="M134" s="3189"/>
      <c r="N134" s="3189"/>
      <c r="O134" s="3189"/>
      <c r="P134" s="3189"/>
      <c r="Q134" s="3189"/>
      <c r="R134" s="3189"/>
      <c r="S134" s="3189"/>
      <c r="T134" s="3189"/>
      <c r="U134" s="3189"/>
      <c r="V134" s="3189"/>
      <c r="W134" s="3189"/>
      <c r="X134" s="3189"/>
      <c r="Y134" s="3189"/>
      <c r="Z134" s="3189"/>
      <c r="AA134" s="3189"/>
      <c r="AB134" s="3189"/>
      <c r="AC134" s="3189"/>
      <c r="AD134" s="3189"/>
      <c r="AE134" s="3189"/>
      <c r="AF134" s="3189"/>
      <c r="AG134" s="3189"/>
      <c r="AH134" s="3189"/>
      <c r="AI134" s="3189"/>
      <c r="AJ134" s="3189"/>
      <c r="AK134" s="3189"/>
      <c r="AL134" s="3189"/>
      <c r="AM134" s="3189"/>
      <c r="AN134" s="3189"/>
      <c r="AO134" s="6680"/>
      <c r="AP134" s="6681"/>
      <c r="AQ134" s="6778">
        <v>35.208300289999997</v>
      </c>
      <c r="AR134" s="6778">
        <v>54.624340959999998</v>
      </c>
      <c r="AS134" s="6778">
        <v>36.55788664</v>
      </c>
      <c r="AT134" s="6778">
        <v>27.19717399</v>
      </c>
      <c r="AU134" s="6778">
        <v>38.848556049999999</v>
      </c>
      <c r="AV134" s="6778">
        <v>32.830734550000003</v>
      </c>
      <c r="AW134" s="6778">
        <v>32.209519419999999</v>
      </c>
      <c r="AX134" s="6778">
        <v>76.26501863</v>
      </c>
      <c r="AY134" s="6778">
        <v>26.62974981</v>
      </c>
      <c r="AZ134" s="6778">
        <v>252.38444805</v>
      </c>
      <c r="BA134" s="6778">
        <v>65.409374990000003</v>
      </c>
      <c r="BB134" s="6778">
        <v>39.972029810000002</v>
      </c>
      <c r="BC134" s="6779">
        <v>718.1371331900001</v>
      </c>
      <c r="BD134" s="2861">
        <v>115.34696728</v>
      </c>
      <c r="BE134" s="6414">
        <v>92.381803790000006</v>
      </c>
      <c r="BF134" s="6414">
        <v>56.770690479999999</v>
      </c>
      <c r="BG134" s="2861">
        <v>60.714873619999999</v>
      </c>
      <c r="BH134" s="2861">
        <v>51.727680390000003</v>
      </c>
      <c r="BI134" s="2861">
        <v>40.41589888</v>
      </c>
      <c r="BJ134" s="2861">
        <v>118.24899814</v>
      </c>
      <c r="BK134" s="2861">
        <v>72.17084448</v>
      </c>
      <c r="BL134" s="2861">
        <v>277.51533178</v>
      </c>
      <c r="BM134" s="2861">
        <v>205.48348873</v>
      </c>
      <c r="BN134" s="2861">
        <v>88.649410230000001</v>
      </c>
      <c r="BO134" s="2861">
        <v>68.754697820000004</v>
      </c>
      <c r="BP134" s="6415">
        <v>1248.1806856200001</v>
      </c>
      <c r="BQ134" s="6416">
        <v>65.130045139999993</v>
      </c>
      <c r="BR134" s="6427">
        <v>186.68648873999999</v>
      </c>
      <c r="BS134" s="6414">
        <v>74.432348340000004</v>
      </c>
      <c r="BT134" s="2861">
        <v>78.435447730000007</v>
      </c>
      <c r="BU134" s="2861">
        <v>86.414820919999997</v>
      </c>
      <c r="BV134" s="6416">
        <v>61.379269280000003</v>
      </c>
      <c r="BW134" s="2861">
        <v>160.55033344</v>
      </c>
      <c r="BX134" s="6416">
        <v>101.614431</v>
      </c>
      <c r="BY134" s="6416">
        <v>275.30587992</v>
      </c>
      <c r="BZ134" s="2861">
        <v>151.87770745</v>
      </c>
      <c r="CA134" s="2861">
        <v>101.6927129</v>
      </c>
      <c r="CB134" s="2861">
        <v>102.49592247</v>
      </c>
      <c r="CC134" s="6609"/>
      <c r="CD134" s="2862"/>
      <c r="CE134" s="6419">
        <f t="shared" si="113"/>
        <v>0.80320956999999282</v>
      </c>
      <c r="CF134" s="2868">
        <f t="shared" si="138"/>
        <v>33.741224649999992</v>
      </c>
      <c r="CG134" s="2868"/>
      <c r="CH134" s="6420">
        <f t="shared" si="115"/>
        <v>1446.01540733</v>
      </c>
      <c r="CI134" s="6685"/>
      <c r="CJ134" s="2792"/>
      <c r="CK134" s="6686">
        <f t="shared" si="139"/>
        <v>197.83472170999994</v>
      </c>
      <c r="CL134" s="5138"/>
      <c r="CM134" s="2488"/>
      <c r="CN134" s="2488"/>
      <c r="CO134" s="2488"/>
      <c r="CP134" s="2488"/>
      <c r="CQ134" s="2488"/>
      <c r="CR134" s="2488"/>
      <c r="CS134" s="2488"/>
      <c r="CT134" s="2488"/>
      <c r="CU134" s="2488"/>
      <c r="CV134" s="2488"/>
      <c r="CW134" s="2488"/>
      <c r="CX134" s="2488"/>
      <c r="CY134" s="2488"/>
      <c r="CZ134" s="2488"/>
      <c r="DB134" s="6617">
        <f t="shared" si="146"/>
        <v>98.365898759999993</v>
      </c>
      <c r="DC134" s="6617">
        <f t="shared" si="147"/>
        <v>121.10545161222223</v>
      </c>
      <c r="DF134" s="4439"/>
      <c r="DG134" s="4439"/>
    </row>
    <row r="135" spans="1:111" ht="16.3" customHeight="1" x14ac:dyDescent="0.55000000000000004">
      <c r="A135" s="6692"/>
      <c r="B135" s="3189"/>
      <c r="C135" s="3189" t="s">
        <v>6</v>
      </c>
      <c r="D135" s="3189"/>
      <c r="E135" s="3189"/>
      <c r="F135" s="3189"/>
      <c r="G135" s="3189"/>
      <c r="H135" s="3189"/>
      <c r="I135" s="3189"/>
      <c r="J135" s="3189"/>
      <c r="K135" s="3189"/>
      <c r="L135" s="3189"/>
      <c r="M135" s="3189"/>
      <c r="N135" s="3189"/>
      <c r="O135" s="3189"/>
      <c r="P135" s="3189"/>
      <c r="Q135" s="3189"/>
      <c r="R135" s="3189"/>
      <c r="S135" s="3189"/>
      <c r="T135" s="3189"/>
      <c r="U135" s="3189"/>
      <c r="V135" s="3189"/>
      <c r="W135" s="3189"/>
      <c r="X135" s="3189"/>
      <c r="Y135" s="3189"/>
      <c r="Z135" s="3189"/>
      <c r="AA135" s="3189"/>
      <c r="AB135" s="3189"/>
      <c r="AC135" s="3189"/>
      <c r="AD135" s="3189"/>
      <c r="AE135" s="3189"/>
      <c r="AF135" s="3189"/>
      <c r="AG135" s="3189"/>
      <c r="AH135" s="3189"/>
      <c r="AI135" s="3189"/>
      <c r="AJ135" s="3189"/>
      <c r="AK135" s="3189"/>
      <c r="AL135" s="3189"/>
      <c r="AM135" s="3189"/>
      <c r="AN135" s="3189"/>
      <c r="AO135" s="6680"/>
      <c r="AP135" s="6681"/>
      <c r="AQ135" s="6778">
        <v>2.2492078100000001</v>
      </c>
      <c r="AR135" s="6778">
        <v>15.326399090000001</v>
      </c>
      <c r="AS135" s="6778">
        <v>9.97892285</v>
      </c>
      <c r="AT135" s="6778">
        <v>8.0602548600000006</v>
      </c>
      <c r="AU135" s="6778">
        <v>10.574178959999999</v>
      </c>
      <c r="AV135" s="6778">
        <v>11.279598180000001</v>
      </c>
      <c r="AW135" s="6778">
        <v>9.4175660299999997</v>
      </c>
      <c r="AX135" s="6778">
        <v>22.97286021</v>
      </c>
      <c r="AY135" s="6778">
        <v>2.5173947499999998</v>
      </c>
      <c r="AZ135" s="6778">
        <v>20.538734359999999</v>
      </c>
      <c r="BA135" s="6778">
        <v>10.85683671</v>
      </c>
      <c r="BB135" s="6778">
        <v>10.036640970000001</v>
      </c>
      <c r="BC135" s="6779">
        <v>133.80859477999999</v>
      </c>
      <c r="BD135" s="2861">
        <v>15.268876150000001</v>
      </c>
      <c r="BE135" s="6414">
        <v>9.56613617</v>
      </c>
      <c r="BF135" s="6414">
        <v>13.16603301</v>
      </c>
      <c r="BG135" s="2861">
        <v>13.42700893</v>
      </c>
      <c r="BH135" s="6961">
        <v>18.838185459999998</v>
      </c>
      <c r="BI135" s="2861">
        <v>11.711347229999999</v>
      </c>
      <c r="BJ135" s="2861">
        <v>18.233952299999999</v>
      </c>
      <c r="BK135" s="2861">
        <v>13.10290077</v>
      </c>
      <c r="BL135" s="2861">
        <v>23.172468859999999</v>
      </c>
      <c r="BM135" s="2861">
        <v>22.131848040000001</v>
      </c>
      <c r="BN135" s="2861">
        <v>17.781846250000001</v>
      </c>
      <c r="BO135" s="2861">
        <v>11.927290940000001</v>
      </c>
      <c r="BP135" s="6415">
        <v>188.32789410999999</v>
      </c>
      <c r="BQ135" s="6737">
        <v>24.539149869999999</v>
      </c>
      <c r="BR135" s="6427">
        <v>24.976993329999999</v>
      </c>
      <c r="BS135" s="6414">
        <v>8.5582727799999994</v>
      </c>
      <c r="BT135" s="2861">
        <v>10.23685229</v>
      </c>
      <c r="BU135" s="2861">
        <v>13.66836558</v>
      </c>
      <c r="BV135" s="6737">
        <v>22.24111684</v>
      </c>
      <c r="BW135" s="2861">
        <v>45.68756149</v>
      </c>
      <c r="BX135" s="6737">
        <v>35.560174449999998</v>
      </c>
      <c r="BY135" s="6737">
        <v>53.929139360000001</v>
      </c>
      <c r="BZ135" s="2861">
        <v>45.383741639999997</v>
      </c>
      <c r="CA135" s="2861">
        <v>37.088442919999999</v>
      </c>
      <c r="CB135" s="2861">
        <v>42.187588810000001</v>
      </c>
      <c r="CC135" s="6609"/>
      <c r="CD135" s="2862"/>
      <c r="CE135" s="6419">
        <f t="shared" si="113"/>
        <v>5.0991458900000026</v>
      </c>
      <c r="CF135" s="2868">
        <f t="shared" si="138"/>
        <v>30.260297870000002</v>
      </c>
      <c r="CG135" s="2868"/>
      <c r="CH135" s="6705">
        <f t="shared" si="115"/>
        <v>364.05739935999998</v>
      </c>
      <c r="CI135" s="6685"/>
      <c r="CJ135" s="2792"/>
      <c r="CK135" s="6686">
        <f t="shared" si="139"/>
        <v>175.72950524999999</v>
      </c>
      <c r="CL135" s="5138"/>
      <c r="CM135" s="2488"/>
      <c r="CN135" s="2488"/>
      <c r="CO135" s="2488"/>
      <c r="CP135" s="2488"/>
      <c r="CQ135" s="2488"/>
      <c r="CR135" s="2488"/>
      <c r="CS135" s="2488"/>
      <c r="CT135" s="2488"/>
      <c r="CU135" s="2488"/>
      <c r="CV135" s="2488"/>
      <c r="CW135" s="2488"/>
      <c r="CX135" s="2488"/>
      <c r="CY135" s="2488"/>
      <c r="CZ135" s="2488"/>
      <c r="DB135" s="6617">
        <f t="shared" si="146"/>
        <v>15.165212097777776</v>
      </c>
      <c r="DC135" s="6617">
        <f t="shared" si="147"/>
        <v>26.599736221111112</v>
      </c>
      <c r="DD135" s="6617">
        <f>DC135-DB135</f>
        <v>11.434524123333336</v>
      </c>
      <c r="DF135" s="4439"/>
      <c r="DG135" s="4439"/>
    </row>
    <row r="136" spans="1:111" ht="16.3" customHeight="1" x14ac:dyDescent="0.55000000000000004">
      <c r="A136" s="6692"/>
      <c r="B136" s="3189"/>
      <c r="C136" s="3189" t="s">
        <v>0</v>
      </c>
      <c r="D136" s="3189"/>
      <c r="E136" s="6964" t="s">
        <v>1217</v>
      </c>
      <c r="F136" s="3189"/>
      <c r="G136" s="3189"/>
      <c r="H136" s="3189"/>
      <c r="I136" s="3189"/>
      <c r="J136" s="3189"/>
      <c r="K136" s="3189"/>
      <c r="L136" s="3189"/>
      <c r="M136" s="3189"/>
      <c r="N136" s="3189"/>
      <c r="O136" s="3189"/>
      <c r="P136" s="3189"/>
      <c r="Q136" s="3189"/>
      <c r="R136" s="3189"/>
      <c r="S136" s="3189"/>
      <c r="T136" s="3189"/>
      <c r="U136" s="3189"/>
      <c r="V136" s="3189"/>
      <c r="W136" s="3189"/>
      <c r="X136" s="3189"/>
      <c r="Y136" s="3189"/>
      <c r="Z136" s="3189"/>
      <c r="AA136" s="3189"/>
      <c r="AB136" s="3189"/>
      <c r="AC136" s="3189"/>
      <c r="AD136" s="3189"/>
      <c r="AE136" s="3189"/>
      <c r="AF136" s="3189"/>
      <c r="AG136" s="3189"/>
      <c r="AH136" s="3189"/>
      <c r="AI136" s="3189"/>
      <c r="AJ136" s="3189"/>
      <c r="AK136" s="3189"/>
      <c r="AL136" s="3189"/>
      <c r="AM136" s="3189"/>
      <c r="AN136" s="3189"/>
      <c r="AO136" s="6680"/>
      <c r="AP136" s="6681"/>
      <c r="AQ136" s="6778">
        <v>5.7071177100000003</v>
      </c>
      <c r="AR136" s="6778">
        <v>5.7489088400000004</v>
      </c>
      <c r="AS136" s="6778">
        <v>5.8226918300000001</v>
      </c>
      <c r="AT136" s="6778">
        <v>5.7612517900000002</v>
      </c>
      <c r="AU136" s="6778">
        <v>5.7821658400000002</v>
      </c>
      <c r="AV136" s="6778">
        <v>5.5630937300000003</v>
      </c>
      <c r="AW136" s="6778">
        <v>5.88801738</v>
      </c>
      <c r="AX136" s="6778">
        <v>5.9146264300000011</v>
      </c>
      <c r="AY136" s="6778">
        <v>5.8894420300000005</v>
      </c>
      <c r="AZ136" s="6778">
        <v>5.9852158600000003</v>
      </c>
      <c r="BA136" s="6778">
        <v>5.9909112700000007</v>
      </c>
      <c r="BB136" s="6778">
        <v>6.0235367699999998</v>
      </c>
      <c r="BC136" s="6779">
        <v>70.076979480000006</v>
      </c>
      <c r="BD136" s="6961">
        <v>5.9703263399999997</v>
      </c>
      <c r="BE136" s="6963">
        <v>5.6551406399999999</v>
      </c>
      <c r="BF136" s="6963">
        <v>5.8670983000000003</v>
      </c>
      <c r="BG136" s="6961">
        <v>5.8223608699999998</v>
      </c>
      <c r="BH136" s="6962">
        <v>5.7668647799999997</v>
      </c>
      <c r="BI136" s="6961">
        <v>5.7274192199999998</v>
      </c>
      <c r="BJ136" s="6962">
        <v>5.7640095899999997</v>
      </c>
      <c r="BK136" s="6961">
        <v>5.7255819199999998</v>
      </c>
      <c r="BL136" s="6961">
        <v>5.6775775199999998</v>
      </c>
      <c r="BM136" s="6961">
        <v>5.6784659599999996</v>
      </c>
      <c r="BN136" s="6961">
        <v>5.5838229100000003</v>
      </c>
      <c r="BO136" s="6961">
        <v>5.4971771900000004</v>
      </c>
      <c r="BP136" s="6415">
        <v>68.735845239999989</v>
      </c>
      <c r="BQ136" s="6416">
        <v>5.2481265800000001</v>
      </c>
      <c r="BR136" s="6427">
        <v>5.3671953700000001</v>
      </c>
      <c r="BS136" s="6414">
        <v>5.1954725699999997</v>
      </c>
      <c r="BT136" s="2861">
        <v>5.0662480399999996</v>
      </c>
      <c r="BU136" s="2861">
        <v>4.9718197100000001</v>
      </c>
      <c r="BV136" s="6416">
        <v>5.0249524000000001</v>
      </c>
      <c r="BW136" s="2861">
        <v>5.0402239</v>
      </c>
      <c r="BX136" s="6416">
        <v>5.0574361100000003</v>
      </c>
      <c r="BY136" s="6416">
        <v>4.9543201100000003</v>
      </c>
      <c r="BZ136" s="2861">
        <v>4.8782752499999997</v>
      </c>
      <c r="CA136" s="2861">
        <v>4.68329182</v>
      </c>
      <c r="CB136" s="2861">
        <v>4.6386204600000003</v>
      </c>
      <c r="CC136" s="6609"/>
      <c r="CD136" s="2862"/>
      <c r="CE136" s="6419">
        <f t="shared" si="113"/>
        <v>-4.4671359999999716E-2</v>
      </c>
      <c r="CF136" s="2868">
        <f t="shared" si="138"/>
        <v>-0.8585567300000001</v>
      </c>
      <c r="CG136" s="2868"/>
      <c r="CH136" s="6705">
        <f t="shared" si="115"/>
        <v>60.125982319999991</v>
      </c>
      <c r="CI136" s="6685"/>
      <c r="CJ136" s="2792"/>
      <c r="CK136" s="6686">
        <f t="shared" si="139"/>
        <v>-8.6098629199999976</v>
      </c>
      <c r="CL136" s="5138"/>
      <c r="CM136" s="2488"/>
      <c r="CN136" s="2488"/>
      <c r="CO136" s="2488"/>
      <c r="CP136" s="2488"/>
      <c r="CQ136" s="2488"/>
      <c r="CR136" s="2488"/>
      <c r="CS136" s="2488"/>
      <c r="CT136" s="2488"/>
      <c r="CU136" s="2488"/>
      <c r="CV136" s="2488"/>
      <c r="CW136" s="2488"/>
      <c r="CX136" s="2488"/>
      <c r="CY136" s="2488"/>
      <c r="CZ136" s="2488"/>
      <c r="DB136" s="6617">
        <f t="shared" si="146"/>
        <v>5.7751532422222214</v>
      </c>
      <c r="DC136" s="6617">
        <f t="shared" si="147"/>
        <v>5.1028660877777767</v>
      </c>
      <c r="DD136" s="6617">
        <f t="shared" ref="DD136:DD145" si="148">DC136-DB136</f>
        <v>-0.67228715444444465</v>
      </c>
      <c r="DF136" s="4439"/>
      <c r="DG136" s="4439"/>
    </row>
    <row r="137" spans="1:111" ht="16.3" customHeight="1" x14ac:dyDescent="0.55000000000000004">
      <c r="A137" s="6692"/>
      <c r="B137" s="3189"/>
      <c r="C137" s="3189" t="s">
        <v>7</v>
      </c>
      <c r="D137" s="3189"/>
      <c r="E137" s="3189"/>
      <c r="F137" s="3189"/>
      <c r="G137" s="3189"/>
      <c r="H137" s="3189"/>
      <c r="I137" s="3189"/>
      <c r="J137" s="3189"/>
      <c r="K137" s="3189"/>
      <c r="L137" s="3189"/>
      <c r="M137" s="3189"/>
      <c r="N137" s="3189"/>
      <c r="O137" s="3189"/>
      <c r="P137" s="3189"/>
      <c r="Q137" s="3189"/>
      <c r="R137" s="3189"/>
      <c r="S137" s="3189"/>
      <c r="T137" s="3189"/>
      <c r="U137" s="3189"/>
      <c r="V137" s="3189"/>
      <c r="W137" s="3189"/>
      <c r="X137" s="3189"/>
      <c r="Y137" s="3189"/>
      <c r="Z137" s="3189"/>
      <c r="AA137" s="3189"/>
      <c r="AB137" s="3189"/>
      <c r="AC137" s="3189"/>
      <c r="AD137" s="3189"/>
      <c r="AE137" s="3189"/>
      <c r="AF137" s="3189"/>
      <c r="AG137" s="3189"/>
      <c r="AH137" s="3189"/>
      <c r="AI137" s="3189"/>
      <c r="AJ137" s="3189"/>
      <c r="AK137" s="3189"/>
      <c r="AL137" s="3189"/>
      <c r="AM137" s="3189"/>
      <c r="AN137" s="3189"/>
      <c r="AO137" s="6680"/>
      <c r="AP137" s="6681"/>
      <c r="AQ137" s="6778">
        <v>8.0022274000000007</v>
      </c>
      <c r="AR137" s="6778">
        <v>1.17837726</v>
      </c>
      <c r="AS137" s="6778">
        <v>6.7986267999999992</v>
      </c>
      <c r="AT137" s="6778">
        <v>0.9599065</v>
      </c>
      <c r="AU137" s="6778">
        <v>1.0321935799999999</v>
      </c>
      <c r="AV137" s="6778">
        <v>6.4416540800000011</v>
      </c>
      <c r="AW137" s="6778">
        <v>2.49064913</v>
      </c>
      <c r="AX137" s="6778">
        <v>1.2748768100000001</v>
      </c>
      <c r="AY137" s="6778">
        <v>8.0564725100000008</v>
      </c>
      <c r="AZ137" s="6778">
        <v>1.0018435000000001</v>
      </c>
      <c r="BA137" s="6778">
        <v>1.5039843300000002</v>
      </c>
      <c r="BB137" s="6778">
        <v>1.4389050000000001</v>
      </c>
      <c r="BC137" s="6779">
        <v>40.179716900000003</v>
      </c>
      <c r="BD137" s="2861">
        <v>7.9656061600000001</v>
      </c>
      <c r="BE137" s="6414">
        <v>5.3932765800000002</v>
      </c>
      <c r="BF137" s="6414">
        <v>2.6236356000000001</v>
      </c>
      <c r="BG137" s="2861">
        <v>8.0675038000000008</v>
      </c>
      <c r="BH137" s="6961">
        <v>4.1406724700000002</v>
      </c>
      <c r="BI137" s="2861">
        <v>5.1047489199999996</v>
      </c>
      <c r="BJ137" s="2861">
        <v>8.5870155599999993</v>
      </c>
      <c r="BK137" s="2861">
        <v>12.386268380000001</v>
      </c>
      <c r="BL137" s="2861">
        <v>20.46384578</v>
      </c>
      <c r="BM137" s="2861">
        <v>14.005802879999999</v>
      </c>
      <c r="BN137" s="2861">
        <v>1.62590663</v>
      </c>
      <c r="BO137" s="2861">
        <v>14.925603219999999</v>
      </c>
      <c r="BP137" s="6415">
        <v>105.28988598000001</v>
      </c>
      <c r="BQ137" s="6737">
        <v>3.72419725</v>
      </c>
      <c r="BR137" s="6427">
        <v>8.4218106200000005</v>
      </c>
      <c r="BS137" s="6414">
        <v>8.7800582200000008</v>
      </c>
      <c r="BT137" s="2861">
        <v>9.2046211099999997</v>
      </c>
      <c r="BU137" s="2861">
        <v>10.20642677</v>
      </c>
      <c r="BV137" s="6737">
        <v>9.94210715</v>
      </c>
      <c r="BW137" s="2861">
        <v>8.7700939699999996</v>
      </c>
      <c r="BX137" s="6737">
        <v>10.034654939999999</v>
      </c>
      <c r="BY137" s="6737">
        <v>9.0732416199999992</v>
      </c>
      <c r="BZ137" s="2861">
        <v>9.91310146</v>
      </c>
      <c r="CA137" s="2861">
        <v>8.9425666400000008</v>
      </c>
      <c r="CB137" s="2861">
        <v>8.9525247399999994</v>
      </c>
      <c r="CC137" s="6609"/>
      <c r="CD137" s="2862"/>
      <c r="CE137" s="6419">
        <f t="shared" si="113"/>
        <v>9.9580999999986375E-3</v>
      </c>
      <c r="CF137" s="2868">
        <f t="shared" si="138"/>
        <v>-5.9730784799999999</v>
      </c>
      <c r="CG137" s="2868"/>
      <c r="CH137" s="6705">
        <f t="shared" si="115"/>
        <v>105.96540449</v>
      </c>
      <c r="CI137" s="6685"/>
      <c r="CJ137" s="2792"/>
      <c r="CK137" s="6686">
        <f t="shared" si="139"/>
        <v>0.67551850999998919</v>
      </c>
      <c r="CL137" s="5138"/>
      <c r="CM137" s="2488"/>
      <c r="CN137" s="2488"/>
      <c r="CO137" s="2488"/>
      <c r="CP137" s="2488"/>
      <c r="CQ137" s="2488"/>
      <c r="CR137" s="2488"/>
      <c r="CS137" s="2488"/>
      <c r="CT137" s="2488"/>
      <c r="CU137" s="2488"/>
      <c r="CV137" s="2488"/>
      <c r="CW137" s="2488"/>
      <c r="CX137" s="2488"/>
      <c r="CY137" s="2488"/>
      <c r="CZ137" s="2488"/>
      <c r="DB137" s="6617">
        <f t="shared" si="146"/>
        <v>8.3036192500000006</v>
      </c>
      <c r="DC137" s="6617">
        <f t="shared" si="147"/>
        <v>8.6841346277777767</v>
      </c>
      <c r="DD137" s="6617">
        <f t="shared" si="148"/>
        <v>0.38051537777777611</v>
      </c>
      <c r="DF137" s="4439"/>
      <c r="DG137" s="4439"/>
    </row>
    <row r="138" spans="1:111" ht="16.3" customHeight="1" x14ac:dyDescent="0.55000000000000004">
      <c r="A138" s="6679"/>
      <c r="B138" s="6788" t="s">
        <v>639</v>
      </c>
      <c r="C138" s="6702"/>
      <c r="D138" s="6702"/>
      <c r="E138" s="6702"/>
      <c r="F138" s="6702"/>
      <c r="G138" s="6702"/>
      <c r="H138" s="6702"/>
      <c r="I138" s="6702"/>
      <c r="J138" s="6702"/>
      <c r="K138" s="6702"/>
      <c r="L138" s="6702"/>
      <c r="M138" s="6702"/>
      <c r="N138" s="6702"/>
      <c r="O138" s="6702"/>
      <c r="P138" s="6702"/>
      <c r="Q138" s="6702"/>
      <c r="R138" s="6702"/>
      <c r="S138" s="6702"/>
      <c r="T138" s="6702"/>
      <c r="U138" s="6702"/>
      <c r="V138" s="6702"/>
      <c r="W138" s="6702"/>
      <c r="X138" s="6702"/>
      <c r="Y138" s="6702"/>
      <c r="Z138" s="6702"/>
      <c r="AA138" s="6702"/>
      <c r="AB138" s="6702"/>
      <c r="AC138" s="6702"/>
      <c r="AD138" s="6702"/>
      <c r="AE138" s="6702"/>
      <c r="AF138" s="6702"/>
      <c r="AG138" s="6702"/>
      <c r="AH138" s="6702"/>
      <c r="AI138" s="6702"/>
      <c r="AJ138" s="6702"/>
      <c r="AK138" s="6702"/>
      <c r="AL138" s="6702"/>
      <c r="AM138" s="6702"/>
      <c r="AN138" s="6702"/>
      <c r="AO138" s="6313"/>
      <c r="AP138" s="6706"/>
      <c r="AQ138" s="6789">
        <v>49.63475887057016</v>
      </c>
      <c r="AR138" s="6789">
        <v>75.746867094350748</v>
      </c>
      <c r="AS138" s="6789">
        <v>54.590282595137829</v>
      </c>
      <c r="AT138" s="6789">
        <v>40.869292470454113</v>
      </c>
      <c r="AU138" s="6789">
        <v>54.926879153249359</v>
      </c>
      <c r="AV138" s="6789">
        <v>51.633012394155919</v>
      </c>
      <c r="AW138" s="6789">
        <v>48.371840446595968</v>
      </c>
      <c r="AX138" s="6789">
        <v>104.17797131140156</v>
      </c>
      <c r="AY138" s="6789">
        <v>37.546427047764354</v>
      </c>
      <c r="AZ138" s="6789">
        <v>277.01652745053718</v>
      </c>
      <c r="BA138" s="6789">
        <v>81.965893287902318</v>
      </c>
      <c r="BB138" s="6789">
        <v>57.205009914516829</v>
      </c>
      <c r="BC138" s="6790">
        <v>933.68476203663636</v>
      </c>
      <c r="BD138" s="2877">
        <f>BD139+BD140+BD141+BD142+BD143</f>
        <v>140.89140045234038</v>
      </c>
      <c r="BE138" s="2877">
        <f t="shared" ref="BE138:CD138" si="149">BE139+BE140+BE141+BE142+BE143</f>
        <v>109.59811125982922</v>
      </c>
      <c r="BF138" s="2877">
        <f t="shared" si="149"/>
        <v>74.695644967787516</v>
      </c>
      <c r="BG138" s="2877">
        <f t="shared" si="149"/>
        <v>85.03668384344148</v>
      </c>
      <c r="BH138" s="2877">
        <f t="shared" si="149"/>
        <v>77.120751615832106</v>
      </c>
      <c r="BI138" s="2877">
        <f t="shared" si="149"/>
        <v>59.491383363653512</v>
      </c>
      <c r="BJ138" s="2877">
        <f t="shared" si="149"/>
        <v>148.36358017209452</v>
      </c>
      <c r="BK138" s="2877">
        <f t="shared" si="149"/>
        <v>100.46629346451624</v>
      </c>
      <c r="BL138" s="2877">
        <f t="shared" si="149"/>
        <v>323.34252646432105</v>
      </c>
      <c r="BM138" s="2877">
        <f t="shared" si="149"/>
        <v>243.88669231605647</v>
      </c>
      <c r="BN138" s="2877">
        <f>BN139+BN140+BN141+BN142+BN143</f>
        <v>110.43916620537384</v>
      </c>
      <c r="BO138" s="2877">
        <f t="shared" si="149"/>
        <v>98.583572454307074</v>
      </c>
      <c r="BP138" s="6317">
        <v>1571.9158065795534</v>
      </c>
      <c r="BQ138" s="2877">
        <f t="shared" si="149"/>
        <v>93.696069752068567</v>
      </c>
      <c r="BR138" s="2877">
        <f t="shared" si="149"/>
        <v>224.39843197889095</v>
      </c>
      <c r="BS138" s="2877">
        <f t="shared" si="149"/>
        <v>94.798995354712872</v>
      </c>
      <c r="BT138" s="2877">
        <f t="shared" si="149"/>
        <v>100.39645581015965</v>
      </c>
      <c r="BU138" s="2877">
        <f t="shared" si="149"/>
        <v>113.20618135599587</v>
      </c>
      <c r="BV138" s="2877">
        <f t="shared" si="149"/>
        <v>91.946164552093819</v>
      </c>
      <c r="BW138" s="2877">
        <f t="shared" si="149"/>
        <v>214.6491853577721</v>
      </c>
      <c r="BX138" s="2877">
        <f t="shared" si="149"/>
        <v>144.97524389182024</v>
      </c>
      <c r="BY138" s="2877">
        <f t="shared" si="149"/>
        <v>334.41013244071701</v>
      </c>
      <c r="BZ138" s="2877">
        <f t="shared" si="149"/>
        <v>194.83852314061809</v>
      </c>
      <c r="CA138" s="2877">
        <f t="shared" si="149"/>
        <v>145.16060426404084</v>
      </c>
      <c r="CB138" s="2877">
        <f t="shared" si="149"/>
        <v>142.5443294930181</v>
      </c>
      <c r="CC138" s="2877">
        <f t="shared" si="149"/>
        <v>0</v>
      </c>
      <c r="CD138" s="2877">
        <f t="shared" si="149"/>
        <v>0</v>
      </c>
      <c r="CE138" s="6322">
        <f t="shared" si="113"/>
        <v>-2.616274771022745</v>
      </c>
      <c r="CF138" s="2892">
        <f t="shared" si="138"/>
        <v>43.960757038711023</v>
      </c>
      <c r="CG138" s="2892"/>
      <c r="CH138" s="6324">
        <f t="shared" si="115"/>
        <v>1895.0203173919078</v>
      </c>
      <c r="CI138" s="6685"/>
      <c r="CJ138" s="2792"/>
      <c r="CK138" s="6791">
        <f t="shared" si="139"/>
        <v>323.10451081235442</v>
      </c>
      <c r="CL138" s="5138"/>
      <c r="CM138" s="2488"/>
      <c r="CN138" s="2488"/>
      <c r="CO138" s="2488"/>
      <c r="CP138" s="2488"/>
      <c r="CQ138" s="2488"/>
      <c r="CR138" s="2488"/>
      <c r="CS138" s="2488"/>
      <c r="CT138" s="2488"/>
      <c r="CU138" s="2488"/>
      <c r="CV138" s="2488"/>
      <c r="CW138" s="2488"/>
      <c r="CX138" s="2488"/>
      <c r="CY138" s="2488"/>
      <c r="CZ138" s="2488"/>
      <c r="DB138" s="6617">
        <f t="shared" si="146"/>
        <v>124.33404173375733</v>
      </c>
      <c r="DC138" s="6617">
        <f t="shared" si="147"/>
        <v>156.9418733882479</v>
      </c>
      <c r="DD138" s="6617">
        <f t="shared" si="148"/>
        <v>32.607831654490568</v>
      </c>
      <c r="DF138" s="4439"/>
      <c r="DG138" s="4439"/>
    </row>
    <row r="139" spans="1:111" ht="16.3" customHeight="1" x14ac:dyDescent="0.55000000000000004">
      <c r="A139" s="6692"/>
      <c r="B139" s="6702"/>
      <c r="C139" s="6702" t="s">
        <v>42</v>
      </c>
      <c r="D139" s="6702"/>
      <c r="E139" s="6702"/>
      <c r="F139" s="6702"/>
      <c r="G139" s="6702"/>
      <c r="H139" s="6702"/>
      <c r="I139" s="6702"/>
      <c r="J139" s="6702"/>
      <c r="K139" s="6702"/>
      <c r="L139" s="6702"/>
      <c r="M139" s="6702"/>
      <c r="N139" s="6702"/>
      <c r="O139" s="6702"/>
      <c r="P139" s="6702"/>
      <c r="Q139" s="6702"/>
      <c r="R139" s="6702"/>
      <c r="S139" s="6702"/>
      <c r="T139" s="6702"/>
      <c r="U139" s="6702"/>
      <c r="V139" s="6702"/>
      <c r="W139" s="6702"/>
      <c r="X139" s="6702"/>
      <c r="Y139" s="6702"/>
      <c r="Z139" s="6702"/>
      <c r="AA139" s="6702"/>
      <c r="AB139" s="6702"/>
      <c r="AC139" s="6702"/>
      <c r="AD139" s="6702"/>
      <c r="AE139" s="6702"/>
      <c r="AF139" s="6702"/>
      <c r="AG139" s="6702"/>
      <c r="AH139" s="6702"/>
      <c r="AI139" s="6702"/>
      <c r="AJ139" s="6702"/>
      <c r="AK139" s="6702"/>
      <c r="AL139" s="6702"/>
      <c r="AM139" s="6702"/>
      <c r="AN139" s="6702"/>
      <c r="AO139" s="6313"/>
      <c r="AP139" s="6706"/>
      <c r="AQ139" s="6789">
        <v>36.414721419999999</v>
      </c>
      <c r="AR139" s="6789">
        <v>56.320880109999997</v>
      </c>
      <c r="AS139" s="6789">
        <v>37.291514909999997</v>
      </c>
      <c r="AT139" s="6789">
        <v>27.424001780000005</v>
      </c>
      <c r="AU139" s="6789">
        <v>38.862341440000002</v>
      </c>
      <c r="AV139" s="6789">
        <v>32.591596860000003</v>
      </c>
      <c r="AW139" s="6789">
        <v>30.071764430000002</v>
      </c>
      <c r="AX139" s="6789">
        <v>80.984551330000002</v>
      </c>
      <c r="AY139" s="6789">
        <v>25.690076479999998</v>
      </c>
      <c r="AZ139" s="6789">
        <v>251.32561953000001</v>
      </c>
      <c r="BA139" s="6789">
        <v>65.242637590000001</v>
      </c>
      <c r="BB139" s="6789">
        <v>42.499253390000007</v>
      </c>
      <c r="BC139" s="6790">
        <v>724.71895927000003</v>
      </c>
      <c r="BD139" s="2877">
        <v>122.06218429</v>
      </c>
      <c r="BE139" s="6712">
        <v>94.090007009999994</v>
      </c>
      <c r="BF139" s="6712">
        <v>59.492538969999998</v>
      </c>
      <c r="BG139" s="2877">
        <v>68.457306340000002</v>
      </c>
      <c r="BH139" s="2877">
        <v>62.504822529999998</v>
      </c>
      <c r="BI139" s="2877">
        <v>44.748742759999999</v>
      </c>
      <c r="BJ139" s="2877">
        <v>128.90437893999999</v>
      </c>
      <c r="BK139" s="2877">
        <v>81.467261559999997</v>
      </c>
      <c r="BL139" s="2877">
        <v>286.22700034000002</v>
      </c>
      <c r="BM139" s="2877">
        <v>216.52106198999999</v>
      </c>
      <c r="BN139" s="2877">
        <v>93.27709892</v>
      </c>
      <c r="BO139" s="2877">
        <v>74.109502410000005</v>
      </c>
      <c r="BP139" s="6317">
        <v>1331.8619060600001</v>
      </c>
      <c r="BQ139" s="6321">
        <v>57.113328750000001</v>
      </c>
      <c r="BR139" s="6713">
        <v>206.81805313999999</v>
      </c>
      <c r="BS139" s="6712">
        <v>78.186720859999994</v>
      </c>
      <c r="BT139" s="2877">
        <v>83.066149379999999</v>
      </c>
      <c r="BU139" s="2877">
        <v>94.202627809999996</v>
      </c>
      <c r="BV139" s="6321">
        <v>67.409114290000005</v>
      </c>
      <c r="BW139" s="2877">
        <v>178.45651955</v>
      </c>
      <c r="BX139" s="6321">
        <v>116.93925818</v>
      </c>
      <c r="BY139" s="6321">
        <v>292.76027227999998</v>
      </c>
      <c r="BZ139" s="2877">
        <v>161.95740606999999</v>
      </c>
      <c r="CA139" s="2877">
        <v>113.76619307</v>
      </c>
      <c r="CB139" s="2877">
        <v>113.95089716</v>
      </c>
      <c r="CC139" s="6609"/>
      <c r="CD139" s="2862"/>
      <c r="CE139" s="6322">
        <f t="shared" si="113"/>
        <v>0.18470408999999677</v>
      </c>
      <c r="CF139" s="2892">
        <f t="shared" si="138"/>
        <v>39.841394749999992</v>
      </c>
      <c r="CG139" s="2892"/>
      <c r="CH139" s="6324">
        <f t="shared" si="115"/>
        <v>1564.6265405400002</v>
      </c>
      <c r="CI139" s="6685"/>
      <c r="CJ139" s="2792"/>
      <c r="CK139" s="6791">
        <f t="shared" si="139"/>
        <v>232.76463448000004</v>
      </c>
      <c r="CL139" s="5138"/>
      <c r="CM139" s="2488"/>
      <c r="CN139" s="2488"/>
      <c r="CO139" s="2488"/>
      <c r="CP139" s="2488"/>
      <c r="CQ139" s="2488"/>
      <c r="CR139" s="2488"/>
      <c r="CS139" s="2488"/>
      <c r="CT139" s="2488"/>
      <c r="CU139" s="2488"/>
      <c r="CV139" s="2488"/>
      <c r="CW139" s="2488"/>
      <c r="CX139" s="2488"/>
      <c r="CY139" s="2488"/>
      <c r="CZ139" s="2488"/>
      <c r="DB139" s="6617">
        <f t="shared" si="146"/>
        <v>105.32824919333333</v>
      </c>
      <c r="DC139" s="6617">
        <f t="shared" si="147"/>
        <v>130.5502271377778</v>
      </c>
      <c r="DD139" s="6617">
        <f t="shared" si="148"/>
        <v>25.221977944444461</v>
      </c>
      <c r="DF139" s="4439"/>
      <c r="DG139" s="4439"/>
    </row>
    <row r="140" spans="1:111" ht="16.3" customHeight="1" x14ac:dyDescent="0.55000000000000004">
      <c r="A140" s="6692"/>
      <c r="B140" s="6702"/>
      <c r="C140" s="6702" t="s">
        <v>13</v>
      </c>
      <c r="D140" s="6702"/>
      <c r="E140" s="6702"/>
      <c r="F140" s="6702"/>
      <c r="G140" s="6702"/>
      <c r="H140" s="6702"/>
      <c r="I140" s="6702"/>
      <c r="J140" s="6702"/>
      <c r="K140" s="6702"/>
      <c r="L140" s="6702"/>
      <c r="M140" s="6702"/>
      <c r="N140" s="6702"/>
      <c r="O140" s="6702"/>
      <c r="P140" s="6702"/>
      <c r="Q140" s="6702"/>
      <c r="R140" s="6702"/>
      <c r="S140" s="6702"/>
      <c r="T140" s="6702"/>
      <c r="U140" s="6702"/>
      <c r="V140" s="6702"/>
      <c r="W140" s="6702"/>
      <c r="X140" s="6702"/>
      <c r="Y140" s="6702"/>
      <c r="Z140" s="6702"/>
      <c r="AA140" s="6702"/>
      <c r="AB140" s="6702"/>
      <c r="AC140" s="6702"/>
      <c r="AD140" s="6702"/>
      <c r="AE140" s="6702"/>
      <c r="AF140" s="6702"/>
      <c r="AG140" s="6702"/>
      <c r="AH140" s="6702"/>
      <c r="AI140" s="6702"/>
      <c r="AJ140" s="6702"/>
      <c r="AK140" s="6702"/>
      <c r="AL140" s="6702"/>
      <c r="AM140" s="6702"/>
      <c r="AN140" s="6702"/>
      <c r="AO140" s="6313"/>
      <c r="AP140" s="6706"/>
      <c r="AQ140" s="6789">
        <v>3.5266881483137298</v>
      </c>
      <c r="AR140" s="6789">
        <v>3.3823871343507492</v>
      </c>
      <c r="AS140" s="6789">
        <v>3.9015063731387301</v>
      </c>
      <c r="AT140" s="6789">
        <v>3.5788583504769402</v>
      </c>
      <c r="AU140" s="6789">
        <v>3.4772751932493602</v>
      </c>
      <c r="AV140" s="6789">
        <v>3.34012307415591</v>
      </c>
      <c r="AW140" s="6789">
        <v>3.6182492465959601</v>
      </c>
      <c r="AX140" s="6789">
        <v>3.2880030213537004</v>
      </c>
      <c r="AY140" s="6789">
        <v>3.55859430655042</v>
      </c>
      <c r="AZ140" s="6789">
        <v>3.1870540677978703</v>
      </c>
      <c r="BA140" s="6789">
        <v>4.9536811879699805</v>
      </c>
      <c r="BB140" s="6789">
        <v>3.4301117595133541</v>
      </c>
      <c r="BC140" s="6790">
        <v>43.242531863466695</v>
      </c>
      <c r="BD140" s="2877">
        <v>3.57972680768889</v>
      </c>
      <c r="BE140" s="6712">
        <v>3.81622271473125</v>
      </c>
      <c r="BF140" s="6712">
        <v>3.955707938681098</v>
      </c>
      <c r="BG140" s="2877">
        <v>3.6042858675223459</v>
      </c>
      <c r="BH140" s="2877">
        <v>3.5178997769946028</v>
      </c>
      <c r="BI140" s="2877">
        <v>3.830631887665366</v>
      </c>
      <c r="BJ140" s="2877">
        <v>3.7433027836629265</v>
      </c>
      <c r="BK140" s="2877">
        <v>4.0968767356758278</v>
      </c>
      <c r="BL140" s="2877">
        <v>4.9835758998819104</v>
      </c>
      <c r="BM140" s="2877">
        <v>5.6456677034498348</v>
      </c>
      <c r="BN140" s="2877">
        <v>4.2150196607861483</v>
      </c>
      <c r="BO140" s="2877">
        <v>4.9849847038996309</v>
      </c>
      <c r="BP140" s="6317">
        <v>49.973902480639836</v>
      </c>
      <c r="BQ140" s="6792">
        <v>5.2826852723842883</v>
      </c>
      <c r="BR140" s="6713">
        <v>5.3600846349410238</v>
      </c>
      <c r="BS140" s="6712">
        <v>6.5251705759497467</v>
      </c>
      <c r="BT140" s="2877">
        <v>5.6544795929645764</v>
      </c>
      <c r="BU140" s="2877">
        <v>5.8535597416629503</v>
      </c>
      <c r="BV140" s="6792">
        <v>7.2227390983812407</v>
      </c>
      <c r="BW140" s="2877">
        <v>6.2698224053300855</v>
      </c>
      <c r="BX140" s="6792">
        <v>6.4951732119896439</v>
      </c>
      <c r="BY140" s="6792">
        <v>8.2098937229167674</v>
      </c>
      <c r="BZ140" s="2877">
        <v>7.5163638016713561</v>
      </c>
      <c r="CA140" s="2877">
        <v>6.0939590159528585</v>
      </c>
      <c r="CB140" s="2877">
        <v>6.5753651575194585</v>
      </c>
      <c r="CC140" s="6609"/>
      <c r="CD140" s="2862"/>
      <c r="CE140" s="6322">
        <f t="shared" si="113"/>
        <v>0.4814061415666</v>
      </c>
      <c r="CF140" s="2892">
        <f t="shared" si="138"/>
        <v>1.5903804536198276</v>
      </c>
      <c r="CG140" s="2892"/>
      <c r="CH140" s="6349">
        <f t="shared" si="115"/>
        <v>77.059296231664007</v>
      </c>
      <c r="CI140" s="6685"/>
      <c r="CJ140" s="2792"/>
      <c r="CK140" s="6711">
        <f t="shared" si="139"/>
        <v>27.085393751024171</v>
      </c>
      <c r="CL140" s="5138"/>
      <c r="CM140" s="2488"/>
      <c r="CN140" s="2488"/>
      <c r="CO140" s="2488"/>
      <c r="CP140" s="2488"/>
      <c r="CQ140" s="2488"/>
      <c r="CR140" s="2488"/>
      <c r="CS140" s="2488"/>
      <c r="CT140" s="2488"/>
      <c r="CU140" s="2488"/>
      <c r="CV140" s="2488"/>
      <c r="CW140" s="2488"/>
      <c r="CX140" s="2488"/>
      <c r="CY140" s="2488"/>
      <c r="CZ140" s="2488"/>
      <c r="DB140" s="6617">
        <f t="shared" si="146"/>
        <v>3.9031367125004683</v>
      </c>
      <c r="DC140" s="6617">
        <f t="shared" si="147"/>
        <v>6.319289806280036</v>
      </c>
      <c r="DD140" s="6617">
        <f t="shared" si="148"/>
        <v>2.4161530937795677</v>
      </c>
      <c r="DF140" s="4439"/>
      <c r="DG140" s="4439"/>
    </row>
    <row r="141" spans="1:111" ht="16.3" customHeight="1" x14ac:dyDescent="0.55000000000000004">
      <c r="A141" s="6692"/>
      <c r="B141" s="6702"/>
      <c r="C141" s="6702" t="s">
        <v>43</v>
      </c>
      <c r="D141" s="6702"/>
      <c r="E141" s="6702"/>
      <c r="F141" s="6702"/>
      <c r="G141" s="6702"/>
      <c r="H141" s="6702"/>
      <c r="I141" s="6702"/>
      <c r="J141" s="6702"/>
      <c r="K141" s="6702"/>
      <c r="L141" s="6702"/>
      <c r="M141" s="6702"/>
      <c r="N141" s="6702"/>
      <c r="O141" s="6702"/>
      <c r="P141" s="6702"/>
      <c r="Q141" s="6702"/>
      <c r="R141" s="6702"/>
      <c r="S141" s="6702"/>
      <c r="T141" s="6702"/>
      <c r="U141" s="6702"/>
      <c r="V141" s="6702"/>
      <c r="W141" s="6702"/>
      <c r="X141" s="6702"/>
      <c r="Y141" s="6702"/>
      <c r="Z141" s="6702"/>
      <c r="AA141" s="6702"/>
      <c r="AB141" s="6702"/>
      <c r="AC141" s="6702"/>
      <c r="AD141" s="6702"/>
      <c r="AE141" s="6702"/>
      <c r="AF141" s="6702"/>
      <c r="AG141" s="6702"/>
      <c r="AH141" s="6702"/>
      <c r="AI141" s="6702"/>
      <c r="AJ141" s="6702"/>
      <c r="AK141" s="6702"/>
      <c r="AL141" s="6702"/>
      <c r="AM141" s="6702"/>
      <c r="AN141" s="6702"/>
      <c r="AO141" s="6313"/>
      <c r="AP141" s="6706"/>
      <c r="AQ141" s="6789">
        <v>7.4910464799999996</v>
      </c>
      <c r="AR141" s="6789">
        <v>13.30617608</v>
      </c>
      <c r="AS141" s="6789">
        <v>10.734154109999999</v>
      </c>
      <c r="AT141" s="6789">
        <v>7.6458743699999987</v>
      </c>
      <c r="AU141" s="6789">
        <v>10.148498350000001</v>
      </c>
      <c r="AV141" s="6789">
        <v>13.152694970000001</v>
      </c>
      <c r="AW141" s="6789">
        <v>11.851735140000001</v>
      </c>
      <c r="AX141" s="6789">
        <v>17.408956459999999</v>
      </c>
      <c r="AY141" s="6789">
        <v>5.9732480900000011</v>
      </c>
      <c r="AZ141" s="6789">
        <v>12.925305470000001</v>
      </c>
      <c r="BA141" s="6789">
        <v>9.4191761300000003</v>
      </c>
      <c r="BB141" s="6789">
        <v>8.8166653099999994</v>
      </c>
      <c r="BC141" s="6790">
        <v>128.87353095999998</v>
      </c>
      <c r="BD141" s="2877">
        <v>10.26687454</v>
      </c>
      <c r="BE141" s="6712">
        <v>8.1647662800000003</v>
      </c>
      <c r="BF141" s="6712">
        <v>7.9585889500000002</v>
      </c>
      <c r="BG141" s="2877">
        <v>9.7027041700000005</v>
      </c>
      <c r="BH141" s="2877">
        <v>7.7180759800000001</v>
      </c>
      <c r="BI141" s="2877">
        <v>7.8509883399999998</v>
      </c>
      <c r="BJ141" s="2877">
        <v>11.38444011</v>
      </c>
      <c r="BK141" s="2877">
        <v>10.35797213</v>
      </c>
      <c r="BL141" s="2877">
        <v>18.299290710000001</v>
      </c>
      <c r="BM141" s="2877">
        <v>16.074361450000001</v>
      </c>
      <c r="BN141" s="2877">
        <v>8.8465039999999995</v>
      </c>
      <c r="BO141" s="2877">
        <v>15.83271416</v>
      </c>
      <c r="BP141" s="6317">
        <v>132.45728081999999</v>
      </c>
      <c r="BQ141" s="6354">
        <v>25.454600750000001</v>
      </c>
      <c r="BR141" s="6713">
        <v>8.2220748399999994</v>
      </c>
      <c r="BS141" s="6712">
        <v>6.4922947300000002</v>
      </c>
      <c r="BT141" s="2877">
        <v>7.7515103500000002</v>
      </c>
      <c r="BU141" s="2877">
        <v>8.2240039899999999</v>
      </c>
      <c r="BV141" s="6354">
        <v>12.360798989999999</v>
      </c>
      <c r="BW141" s="2877">
        <v>23.16849667</v>
      </c>
      <c r="BX141" s="6354">
        <v>15.795286730000001</v>
      </c>
      <c r="BY141" s="6354">
        <v>24.3217356</v>
      </c>
      <c r="BZ141" s="2877">
        <v>20.486568599999998</v>
      </c>
      <c r="CA141" s="2877">
        <v>19.8131792</v>
      </c>
      <c r="CB141" s="2877">
        <v>17.390366159999999</v>
      </c>
      <c r="CC141" s="6609"/>
      <c r="CD141" s="2862"/>
      <c r="CE141" s="6322">
        <f t="shared" si="113"/>
        <v>-2.4228130400000012</v>
      </c>
      <c r="CF141" s="2892">
        <f t="shared" si="138"/>
        <v>1.5576519999999991</v>
      </c>
      <c r="CG141" s="2892"/>
      <c r="CH141" s="6349">
        <f t="shared" si="115"/>
        <v>189.48091661000001</v>
      </c>
      <c r="CI141" s="6685"/>
      <c r="CJ141" s="2792"/>
      <c r="CK141" s="6711">
        <f t="shared" si="139"/>
        <v>57.023635790000014</v>
      </c>
      <c r="CL141" s="5138"/>
      <c r="CM141" s="2488"/>
      <c r="CN141" s="2488"/>
      <c r="CO141" s="2488"/>
      <c r="CP141" s="2488"/>
      <c r="CQ141" s="2488"/>
      <c r="CR141" s="2488"/>
      <c r="CS141" s="2488"/>
      <c r="CT141" s="2488"/>
      <c r="CU141" s="2488"/>
      <c r="CV141" s="2488"/>
      <c r="CW141" s="2488"/>
      <c r="CX141" s="2488"/>
      <c r="CY141" s="2488"/>
      <c r="CZ141" s="2488"/>
      <c r="DB141" s="6617">
        <f t="shared" si="146"/>
        <v>10.189300134444444</v>
      </c>
      <c r="DC141" s="6617">
        <f t="shared" si="147"/>
        <v>14.643422516666666</v>
      </c>
      <c r="DD141" s="6617">
        <f t="shared" si="148"/>
        <v>4.4541223822222218</v>
      </c>
      <c r="DF141" s="4439"/>
      <c r="DG141" s="4439"/>
    </row>
    <row r="142" spans="1:111" ht="16.3" customHeight="1" x14ac:dyDescent="0.55000000000000004">
      <c r="A142" s="6692"/>
      <c r="B142" s="6702"/>
      <c r="C142" s="6702" t="s">
        <v>14</v>
      </c>
      <c r="D142" s="6702"/>
      <c r="E142" s="6702"/>
      <c r="F142" s="6702"/>
      <c r="G142" s="6702"/>
      <c r="H142" s="6702"/>
      <c r="I142" s="6702"/>
      <c r="J142" s="6702"/>
      <c r="K142" s="6702"/>
      <c r="L142" s="6702"/>
      <c r="M142" s="6702"/>
      <c r="N142" s="6702"/>
      <c r="O142" s="6702"/>
      <c r="P142" s="6702"/>
      <c r="Q142" s="6702"/>
      <c r="R142" s="6702"/>
      <c r="S142" s="6702"/>
      <c r="T142" s="6702"/>
      <c r="U142" s="6702"/>
      <c r="V142" s="6702"/>
      <c r="W142" s="6702"/>
      <c r="X142" s="6702"/>
      <c r="Y142" s="6702"/>
      <c r="Z142" s="6702"/>
      <c r="AA142" s="6702"/>
      <c r="AB142" s="6702"/>
      <c r="AC142" s="6702"/>
      <c r="AD142" s="6702"/>
      <c r="AE142" s="6702"/>
      <c r="AF142" s="6702"/>
      <c r="AG142" s="6702"/>
      <c r="AH142" s="6702"/>
      <c r="AI142" s="6702"/>
      <c r="AJ142" s="6702"/>
      <c r="AK142" s="6702"/>
      <c r="AL142" s="6702"/>
      <c r="AM142" s="6702"/>
      <c r="AN142" s="6702"/>
      <c r="AO142" s="6313"/>
      <c r="AP142" s="6706"/>
      <c r="AQ142" s="6789">
        <v>0.49313038999999997</v>
      </c>
      <c r="AR142" s="6789">
        <v>0.50020286000000003</v>
      </c>
      <c r="AS142" s="6789">
        <v>0.49844843999999999</v>
      </c>
      <c r="AT142" s="6789">
        <v>0.49329475</v>
      </c>
      <c r="AU142" s="6789">
        <v>0.44048179999999992</v>
      </c>
      <c r="AV142" s="6789">
        <v>0.44105418999999996</v>
      </c>
      <c r="AW142" s="6789">
        <v>0.44445643000000001</v>
      </c>
      <c r="AX142" s="6789">
        <v>0.44599298999999992</v>
      </c>
      <c r="AY142" s="6789">
        <v>0.44759874999999999</v>
      </c>
      <c r="AZ142" s="6789">
        <v>0.44420254999999997</v>
      </c>
      <c r="BA142" s="6789">
        <v>0.44231526999999998</v>
      </c>
      <c r="BB142" s="6789">
        <v>0.21392091642775379</v>
      </c>
      <c r="BC142" s="6790">
        <v>5.3050993364277534</v>
      </c>
      <c r="BD142" s="2877">
        <v>0.44683133700714606</v>
      </c>
      <c r="BE142" s="6712">
        <v>0.49963260747940896</v>
      </c>
      <c r="BF142" s="6712">
        <v>0.50127540106994639</v>
      </c>
      <c r="BG142" s="2877">
        <v>0.49650142713854983</v>
      </c>
      <c r="BH142" s="2877">
        <v>0.51080717937556253</v>
      </c>
      <c r="BI142" s="2877">
        <v>0.51404783497852757</v>
      </c>
      <c r="BJ142" s="2877">
        <v>0.47719612785435622</v>
      </c>
      <c r="BK142" s="2877">
        <v>0.3678615715560894</v>
      </c>
      <c r="BL142" s="2877">
        <v>0.27487597810385966</v>
      </c>
      <c r="BM142" s="2877">
        <v>0.22321967072683291</v>
      </c>
      <c r="BN142" s="2877">
        <v>0.20018515760265237</v>
      </c>
      <c r="BO142" s="2877">
        <v>0.19999336000000001</v>
      </c>
      <c r="BP142" s="6317">
        <v>4.7124276528929316</v>
      </c>
      <c r="BQ142" s="6792">
        <v>0.22968309000000001</v>
      </c>
      <c r="BR142" s="6713">
        <v>0.38513278000000001</v>
      </c>
      <c r="BS142" s="6712">
        <v>0.40296744000000001</v>
      </c>
      <c r="BT142" s="2877">
        <v>0.42084356000000001</v>
      </c>
      <c r="BU142" s="2877">
        <v>0.52421439999999997</v>
      </c>
      <c r="BV142" s="6792">
        <v>0.54788767000000005</v>
      </c>
      <c r="BW142" s="2877">
        <v>0.61919712999999998</v>
      </c>
      <c r="BX142" s="6792">
        <v>0.32183969000000001</v>
      </c>
      <c r="BY142" s="6792">
        <v>0.63149904000000001</v>
      </c>
      <c r="BZ142" s="2877">
        <v>0.62321895999999999</v>
      </c>
      <c r="CA142" s="2877">
        <v>0.61045470000000002</v>
      </c>
      <c r="CB142" s="2877">
        <v>0.48561493999999999</v>
      </c>
      <c r="CC142" s="6609"/>
      <c r="CD142" s="2862"/>
      <c r="CE142" s="6322">
        <f t="shared" si="113"/>
        <v>-0.12483976000000002</v>
      </c>
      <c r="CF142" s="2892">
        <f t="shared" si="138"/>
        <v>0.28562157999999999</v>
      </c>
      <c r="CG142" s="2892"/>
      <c r="CH142" s="6349">
        <f t="shared" si="115"/>
        <v>5.8025533999999999</v>
      </c>
      <c r="CI142" s="6685"/>
      <c r="CJ142" s="2792"/>
      <c r="CK142" s="6711">
        <f t="shared" si="139"/>
        <v>1.0901257471070682</v>
      </c>
      <c r="CL142" s="5138"/>
      <c r="CM142" s="2488"/>
      <c r="CN142" s="2488"/>
      <c r="CO142" s="2488"/>
      <c r="CP142" s="2488"/>
      <c r="CQ142" s="2488"/>
      <c r="CR142" s="2488"/>
      <c r="CS142" s="2488"/>
      <c r="CT142" s="2488"/>
      <c r="CU142" s="2488"/>
      <c r="CV142" s="2488"/>
      <c r="CW142" s="2488"/>
      <c r="CX142" s="2488"/>
      <c r="CY142" s="2488"/>
      <c r="CZ142" s="2488"/>
      <c r="DB142" s="6617">
        <f t="shared" si="146"/>
        <v>0.45433660717371638</v>
      </c>
      <c r="DC142" s="6617">
        <f t="shared" si="147"/>
        <v>0.4536960888888889</v>
      </c>
      <c r="DD142" s="6617">
        <f t="shared" si="148"/>
        <v>-6.4051828482747375E-4</v>
      </c>
      <c r="DF142" s="4439"/>
      <c r="DG142" s="4439"/>
    </row>
    <row r="143" spans="1:111" ht="16.3" customHeight="1" x14ac:dyDescent="0.55000000000000004">
      <c r="A143" s="6692"/>
      <c r="B143" s="6702"/>
      <c r="C143" s="6702" t="s">
        <v>16</v>
      </c>
      <c r="D143" s="6702"/>
      <c r="E143" s="6702"/>
      <c r="F143" s="6702"/>
      <c r="G143" s="6702"/>
      <c r="H143" s="6702"/>
      <c r="I143" s="6702"/>
      <c r="J143" s="6702"/>
      <c r="K143" s="6702"/>
      <c r="L143" s="6702"/>
      <c r="M143" s="6702"/>
      <c r="N143" s="6702"/>
      <c r="O143" s="6702"/>
      <c r="P143" s="6702"/>
      <c r="Q143" s="6702"/>
      <c r="R143" s="6702"/>
      <c r="S143" s="6702"/>
      <c r="T143" s="6702"/>
      <c r="U143" s="6702"/>
      <c r="V143" s="6702"/>
      <c r="W143" s="6702"/>
      <c r="X143" s="6702"/>
      <c r="Y143" s="6702"/>
      <c r="Z143" s="6702"/>
      <c r="AA143" s="6702"/>
      <c r="AB143" s="6702"/>
      <c r="AC143" s="6702"/>
      <c r="AD143" s="6702"/>
      <c r="AE143" s="6702"/>
      <c r="AF143" s="6702"/>
      <c r="AG143" s="6702"/>
      <c r="AH143" s="6702"/>
      <c r="AI143" s="6702"/>
      <c r="AJ143" s="6702"/>
      <c r="AK143" s="6702"/>
      <c r="AL143" s="6702"/>
      <c r="AM143" s="6702"/>
      <c r="AN143" s="6702"/>
      <c r="AO143" s="6313"/>
      <c r="AP143" s="6706"/>
      <c r="AQ143" s="6789">
        <v>1.7091724322564301</v>
      </c>
      <c r="AR143" s="6789">
        <v>2.23722091</v>
      </c>
      <c r="AS143" s="6789">
        <v>2.1646587619991098</v>
      </c>
      <c r="AT143" s="6789">
        <v>1.72726321997717</v>
      </c>
      <c r="AU143" s="6789">
        <v>1.9982823700000001</v>
      </c>
      <c r="AV143" s="6789">
        <v>2.1075433000000001</v>
      </c>
      <c r="AW143" s="6789">
        <v>2.3856351999999998</v>
      </c>
      <c r="AX143" s="6789">
        <v>2.05046751004787</v>
      </c>
      <c r="AY143" s="6789">
        <v>1.8769094212139401</v>
      </c>
      <c r="AZ143" s="6789">
        <v>9.1343458327392995</v>
      </c>
      <c r="BA143" s="6789">
        <v>1.9080831099323499</v>
      </c>
      <c r="BB143" s="6789">
        <v>2.245058538575722</v>
      </c>
      <c r="BC143" s="6790">
        <v>31.544640606741893</v>
      </c>
      <c r="BD143" s="2877">
        <v>4.5357834776443395</v>
      </c>
      <c r="BE143" s="6712">
        <v>3.0274826476185699</v>
      </c>
      <c r="BF143" s="6712">
        <v>2.7875337080364573</v>
      </c>
      <c r="BG143" s="2877">
        <v>2.7758860387805675</v>
      </c>
      <c r="BH143" s="2877">
        <v>2.8691461494619537</v>
      </c>
      <c r="BI143" s="2877">
        <v>2.5469725410096156</v>
      </c>
      <c r="BJ143" s="2877">
        <v>3.8542622105772071</v>
      </c>
      <c r="BK143" s="2877">
        <v>4.1763214672843052</v>
      </c>
      <c r="BL143" s="2877">
        <v>13.557783536335316</v>
      </c>
      <c r="BM143" s="2877">
        <v>5.4223815018798254</v>
      </c>
      <c r="BN143" s="2877">
        <v>3.9003584669850437</v>
      </c>
      <c r="BO143" s="2877">
        <v>3.4563778204074578</v>
      </c>
      <c r="BP143" s="6317">
        <v>52.910289566020666</v>
      </c>
      <c r="BQ143" s="6792">
        <v>5.6157718896842805</v>
      </c>
      <c r="BR143" s="6713">
        <v>3.6130865839499426</v>
      </c>
      <c r="BS143" s="6712">
        <v>3.1918417487631343</v>
      </c>
      <c r="BT143" s="2877">
        <v>3.5034729271950824</v>
      </c>
      <c r="BU143" s="2877">
        <v>4.4017754143329171</v>
      </c>
      <c r="BV143" s="6792">
        <v>4.4056245037125681</v>
      </c>
      <c r="BW143" s="2877">
        <v>6.1351496024420165</v>
      </c>
      <c r="BX143" s="6792">
        <v>5.4236860798306159</v>
      </c>
      <c r="BY143" s="6792">
        <v>8.4867317978002745</v>
      </c>
      <c r="BZ143" s="2877">
        <v>4.2549657089467283</v>
      </c>
      <c r="CA143" s="2877">
        <v>4.8768182780879936</v>
      </c>
      <c r="CB143" s="2877">
        <v>4.1420860754986473</v>
      </c>
      <c r="CC143" s="6609"/>
      <c r="CD143" s="2862"/>
      <c r="CE143" s="6322">
        <f t="shared" si="113"/>
        <v>-0.73473220258934635</v>
      </c>
      <c r="CF143" s="2892">
        <f t="shared" si="138"/>
        <v>0.68570825509118949</v>
      </c>
      <c r="CG143" s="2892"/>
      <c r="CH143" s="6349">
        <f t="shared" si="115"/>
        <v>58.051010610244198</v>
      </c>
      <c r="CI143" s="6685"/>
      <c r="CJ143" s="2792"/>
      <c r="CK143" s="6711">
        <f t="shared" si="139"/>
        <v>5.1407210442235325</v>
      </c>
      <c r="CL143" s="5138"/>
      <c r="CM143" s="2488"/>
      <c r="CN143" s="2488"/>
      <c r="CO143" s="2488"/>
      <c r="CP143" s="2488"/>
      <c r="CQ143" s="2488"/>
      <c r="CR143" s="2488"/>
      <c r="CS143" s="2488"/>
      <c r="CT143" s="2488"/>
      <c r="CU143" s="2488"/>
      <c r="CV143" s="2488"/>
      <c r="CW143" s="2488"/>
      <c r="CX143" s="2488"/>
      <c r="CY143" s="2488"/>
      <c r="CZ143" s="2488"/>
      <c r="DB143" s="6617">
        <f t="shared" si="146"/>
        <v>4.4590190863053705</v>
      </c>
      <c r="DC143" s="6617">
        <f t="shared" si="147"/>
        <v>4.9752378386345368</v>
      </c>
      <c r="DD143" s="6617">
        <f t="shared" si="148"/>
        <v>0.51621875232916636</v>
      </c>
      <c r="DF143" s="4439"/>
      <c r="DG143" s="4439"/>
    </row>
    <row r="144" spans="1:111" ht="16.3" customHeight="1" x14ac:dyDescent="0.55000000000000004">
      <c r="A144" s="6692"/>
      <c r="B144" s="6724" t="s">
        <v>17</v>
      </c>
      <c r="C144" s="6725"/>
      <c r="D144" s="6725"/>
      <c r="E144" s="6725"/>
      <c r="F144" s="6725"/>
      <c r="G144" s="6725"/>
      <c r="H144" s="6725"/>
      <c r="I144" s="6725"/>
      <c r="J144" s="6725"/>
      <c r="K144" s="6725"/>
      <c r="L144" s="6725"/>
      <c r="M144" s="6725"/>
      <c r="N144" s="6725"/>
      <c r="O144" s="6725"/>
      <c r="P144" s="6725"/>
      <c r="Q144" s="6725"/>
      <c r="R144" s="6725"/>
      <c r="S144" s="6725"/>
      <c r="T144" s="6725"/>
      <c r="U144" s="6725"/>
      <c r="V144" s="6725"/>
      <c r="W144" s="6725"/>
      <c r="X144" s="6725"/>
      <c r="Y144" s="6725"/>
      <c r="Z144" s="6725"/>
      <c r="AA144" s="6725"/>
      <c r="AB144" s="6725"/>
      <c r="AC144" s="6725"/>
      <c r="AD144" s="6725"/>
      <c r="AE144" s="6725"/>
      <c r="AF144" s="6725"/>
      <c r="AG144" s="6725"/>
      <c r="AH144" s="6725"/>
      <c r="AI144" s="6725"/>
      <c r="AJ144" s="6725"/>
      <c r="AK144" s="6725"/>
      <c r="AL144" s="6725"/>
      <c r="AM144" s="6725"/>
      <c r="AN144" s="6725"/>
      <c r="AO144" s="6726"/>
      <c r="AP144" s="6727"/>
      <c r="AQ144" s="6793">
        <v>0.78469619264848978</v>
      </c>
      <c r="AR144" s="6793">
        <v>-1.2221504791790054</v>
      </c>
      <c r="AS144" s="6793">
        <v>3.4039179675585376</v>
      </c>
      <c r="AT144" s="6793">
        <v>0.27353711151211169</v>
      </c>
      <c r="AU144" s="6793">
        <v>5.5556863281973401E-2</v>
      </c>
      <c r="AV144" s="6793">
        <v>2.6270555680646881</v>
      </c>
      <c r="AW144" s="6793">
        <v>1.2862984462317604</v>
      </c>
      <c r="AX144" s="6793">
        <v>5.7314307837990075E-2</v>
      </c>
      <c r="AY144" s="6793">
        <v>3.9924241319515579</v>
      </c>
      <c r="AZ144" s="6793">
        <v>1.5131723841591156</v>
      </c>
      <c r="BA144" s="6793">
        <v>0.89556682460469972</v>
      </c>
      <c r="BB144" s="6793">
        <v>-1.6844151657804178</v>
      </c>
      <c r="BC144" s="6794">
        <v>11.982974152891501</v>
      </c>
      <c r="BD144" s="2909">
        <f>BD133-BD138-BD145</f>
        <v>3.1253146377582643</v>
      </c>
      <c r="BE144" s="2909">
        <f>BE133-BE138-BE145</f>
        <v>2.7333906599460551</v>
      </c>
      <c r="BF144" s="2909">
        <f t="shared" ref="BF144:BM144" si="150">BF133-BF138-BF145</f>
        <v>3.6472784727790102</v>
      </c>
      <c r="BG144" s="2909">
        <f t="shared" si="150"/>
        <v>2.1020135052927573</v>
      </c>
      <c r="BH144" s="2909">
        <f t="shared" si="150"/>
        <v>2.1612044484699653</v>
      </c>
      <c r="BI144" s="2909">
        <f t="shared" si="150"/>
        <v>1.8080794399743307</v>
      </c>
      <c r="BJ144" s="2909">
        <f t="shared" si="150"/>
        <v>2.7242758740850674</v>
      </c>
      <c r="BK144" s="2909">
        <f t="shared" si="150"/>
        <v>0.93480314936228881</v>
      </c>
      <c r="BL144" s="2909">
        <f t="shared" si="150"/>
        <v>3.6787974286770559</v>
      </c>
      <c r="BM144" s="2909">
        <f t="shared" si="150"/>
        <v>2.5442226617933494</v>
      </c>
      <c r="BN144" s="2909">
        <f>BN133-BN138-BN145</f>
        <v>2.0726069634121687</v>
      </c>
      <c r="BO144" s="2909">
        <f>BO133-BO138-BO145</f>
        <v>2.2974416429260653</v>
      </c>
      <c r="BP144" s="6777">
        <v>29.829428884476378</v>
      </c>
      <c r="BQ144" s="2909">
        <f>BQ133-BQ138-BQ145</f>
        <v>5.1919827007767143</v>
      </c>
      <c r="BR144" s="2909">
        <f>BR133-BR138-BR145</f>
        <v>-1.3236918023909765</v>
      </c>
      <c r="BS144" s="2909">
        <f t="shared" ref="BS144:CB144" si="151">BS133-BS138-BS145</f>
        <v>1.5846611752871356</v>
      </c>
      <c r="BT144" s="2909">
        <f t="shared" si="151"/>
        <v>1.8888801238403676</v>
      </c>
      <c r="BU144" s="2909">
        <f t="shared" si="151"/>
        <v>0.22504437500412822</v>
      </c>
      <c r="BV144" s="2909">
        <f t="shared" si="151"/>
        <v>6.220161420406189</v>
      </c>
      <c r="BW144" s="2909">
        <f t="shared" si="151"/>
        <v>4.4982364027279189</v>
      </c>
      <c r="BX144" s="2909">
        <f t="shared" si="151"/>
        <v>4.8514697981797523</v>
      </c>
      <c r="BY144" s="2909">
        <f t="shared" si="151"/>
        <v>8.3841179802830119</v>
      </c>
      <c r="BZ144" s="2909">
        <f t="shared" si="151"/>
        <v>15.911146059727248</v>
      </c>
      <c r="CA144" s="2909">
        <f t="shared" si="151"/>
        <v>5.5496322559588549</v>
      </c>
      <c r="CB144" s="2909">
        <f t="shared" si="151"/>
        <v>14.545816018263951</v>
      </c>
      <c r="CC144" s="6609"/>
      <c r="CD144" s="2862"/>
      <c r="CE144" s="6733">
        <f t="shared" si="113"/>
        <v>8.9961837623050958</v>
      </c>
      <c r="CF144" s="2914">
        <f t="shared" si="138"/>
        <v>12.248374375337885</v>
      </c>
      <c r="CG144" s="2914"/>
      <c r="CH144" s="6734">
        <f t="shared" si="115"/>
        <v>67.52745650806429</v>
      </c>
      <c r="CI144" s="6685"/>
      <c r="CJ144" s="2792"/>
      <c r="CK144" s="6735">
        <f t="shared" si="139"/>
        <v>37.698027623587912</v>
      </c>
      <c r="CL144" s="5138"/>
      <c r="CM144" s="2488"/>
      <c r="CN144" s="2488"/>
      <c r="CO144" s="2488"/>
      <c r="CP144" s="2488"/>
      <c r="CQ144" s="2488"/>
      <c r="CR144" s="2488"/>
      <c r="CS144" s="2488"/>
      <c r="CT144" s="2488"/>
      <c r="CU144" s="2488"/>
      <c r="CV144" s="2488"/>
      <c r="CW144" s="2488"/>
      <c r="CX144" s="2488"/>
      <c r="CY144" s="2488"/>
      <c r="CZ144" s="2488"/>
      <c r="DB144" s="6617">
        <f t="shared" si="146"/>
        <v>2.5461286240383103</v>
      </c>
      <c r="DC144" s="6617">
        <f t="shared" si="147"/>
        <v>3.5023180193460268</v>
      </c>
      <c r="DD144" s="6617">
        <f t="shared" si="148"/>
        <v>0.95618939530771652</v>
      </c>
      <c r="DF144" s="4439"/>
      <c r="DG144" s="4439"/>
    </row>
    <row r="145" spans="1:111" ht="16.3" customHeight="1" thickBot="1" x14ac:dyDescent="0.6">
      <c r="A145" s="6740"/>
      <c r="B145" s="3412"/>
      <c r="C145" s="3412" t="s">
        <v>640</v>
      </c>
      <c r="D145" s="3412"/>
      <c r="E145" s="3412"/>
      <c r="F145" s="3412"/>
      <c r="G145" s="3412"/>
      <c r="H145" s="3412"/>
      <c r="I145" s="3412"/>
      <c r="J145" s="3412"/>
      <c r="K145" s="3412"/>
      <c r="L145" s="3412"/>
      <c r="M145" s="3412"/>
      <c r="N145" s="3412"/>
      <c r="O145" s="3412"/>
      <c r="P145" s="3412"/>
      <c r="Q145" s="3412"/>
      <c r="R145" s="3412"/>
      <c r="S145" s="3412"/>
      <c r="T145" s="3412"/>
      <c r="U145" s="3412"/>
      <c r="V145" s="3412"/>
      <c r="W145" s="3412"/>
      <c r="X145" s="3412"/>
      <c r="Y145" s="3412"/>
      <c r="Z145" s="3412"/>
      <c r="AA145" s="3412"/>
      <c r="AB145" s="3412"/>
      <c r="AC145" s="3412"/>
      <c r="AD145" s="3412"/>
      <c r="AE145" s="3412"/>
      <c r="AF145" s="3412"/>
      <c r="AG145" s="3412"/>
      <c r="AH145" s="3412"/>
      <c r="AI145" s="3412"/>
      <c r="AJ145" s="3412"/>
      <c r="AK145" s="3412"/>
      <c r="AL145" s="3412"/>
      <c r="AM145" s="3412"/>
      <c r="AN145" s="3412"/>
      <c r="AO145" s="3412"/>
      <c r="AP145" s="6795"/>
      <c r="AQ145" s="6796">
        <v>0.74739814678134986</v>
      </c>
      <c r="AR145" s="6796">
        <v>2.3533095348282544</v>
      </c>
      <c r="AS145" s="6796">
        <v>1.163927557303627</v>
      </c>
      <c r="AT145" s="6796">
        <v>0.83575755803377749</v>
      </c>
      <c r="AU145" s="6796">
        <v>1.2546584134686591</v>
      </c>
      <c r="AV145" s="6796">
        <v>1.8550125777793938</v>
      </c>
      <c r="AW145" s="6796">
        <v>0.34761306717226942</v>
      </c>
      <c r="AX145" s="6796">
        <v>2.1920964607604474</v>
      </c>
      <c r="AY145" s="6796">
        <v>1.5542079202840859</v>
      </c>
      <c r="AZ145" s="6796">
        <v>1.3805419353036723</v>
      </c>
      <c r="BA145" s="6796">
        <v>0.8996471874929739</v>
      </c>
      <c r="BB145" s="6796">
        <v>1.9505178012635898</v>
      </c>
      <c r="BC145" s="6797">
        <v>16.534688160472097</v>
      </c>
      <c r="BD145" s="6746">
        <v>0.53506083990137765</v>
      </c>
      <c r="BE145" s="6746">
        <v>0.66485526022473906</v>
      </c>
      <c r="BF145" s="6746">
        <v>8.4533949433460695E-2</v>
      </c>
      <c r="BG145" s="6746">
        <v>0.89304987126574797</v>
      </c>
      <c r="BH145" s="6746">
        <v>1.1914470356979279</v>
      </c>
      <c r="BI145" s="6798">
        <v>1.6599514463721594</v>
      </c>
      <c r="BJ145" s="6798">
        <v>-0.25388045617958832</v>
      </c>
      <c r="BK145" s="6798">
        <v>1.9844989361214753</v>
      </c>
      <c r="BL145" s="6798">
        <v>-0.19209995299814664</v>
      </c>
      <c r="BM145" s="6798">
        <v>0.86869063215019704</v>
      </c>
      <c r="BN145" s="6798">
        <v>1.1292128512139938</v>
      </c>
      <c r="BO145" s="6798">
        <v>0.22375507276687201</v>
      </c>
      <c r="BP145" s="6799">
        <v>8.7890754859702156</v>
      </c>
      <c r="BQ145" s="6749">
        <v>-0.24653361284527842</v>
      </c>
      <c r="BR145" s="6800">
        <v>2.377747883500001</v>
      </c>
      <c r="BS145" s="6746">
        <v>0.58249538000000001</v>
      </c>
      <c r="BT145" s="6746">
        <v>0.65783323599999999</v>
      </c>
      <c r="BU145" s="6746">
        <v>1.8302072490000003</v>
      </c>
      <c r="BV145" s="6801">
        <v>0.4211196975</v>
      </c>
      <c r="BW145" s="6798">
        <v>0.90079103950000006</v>
      </c>
      <c r="BX145" s="6801">
        <v>2.4399828100000009</v>
      </c>
      <c r="BY145" s="6801">
        <v>0.46833058900000002</v>
      </c>
      <c r="BZ145" s="6798">
        <v>1.3031565996546535</v>
      </c>
      <c r="CA145" s="6798">
        <v>1.696777760000302</v>
      </c>
      <c r="CB145" s="6798">
        <v>1.1845109687179565</v>
      </c>
      <c r="CC145" s="6802"/>
      <c r="CD145" s="6803"/>
      <c r="CE145" s="6750">
        <f t="shared" si="113"/>
        <v>-0.51226679128234553</v>
      </c>
      <c r="CF145" s="2918">
        <f t="shared" si="138"/>
        <v>0.96075589595108446</v>
      </c>
      <c r="CG145" s="2918"/>
      <c r="CH145" s="6804">
        <f t="shared" si="115"/>
        <v>13.616419600027635</v>
      </c>
      <c r="CI145" s="6805"/>
      <c r="CJ145" s="6806"/>
      <c r="CK145" s="6787">
        <f t="shared" si="139"/>
        <v>4.8273441140574196</v>
      </c>
      <c r="CL145" s="5138"/>
      <c r="CM145" s="2488"/>
      <c r="CN145" s="2488"/>
      <c r="CO145" s="2488"/>
      <c r="CP145" s="2488"/>
      <c r="CQ145" s="2488"/>
      <c r="CR145" s="2488"/>
      <c r="CS145" s="2488"/>
      <c r="CT145" s="2488"/>
      <c r="CU145" s="2488"/>
      <c r="CV145" s="2488"/>
      <c r="CW145" s="2488"/>
      <c r="CX145" s="2488"/>
      <c r="CY145" s="2488"/>
      <c r="CZ145" s="2488"/>
      <c r="DB145" s="6617">
        <f t="shared" si="146"/>
        <v>0.72971299220435037</v>
      </c>
      <c r="DC145" s="6617">
        <f t="shared" si="147"/>
        <v>1.0479971412949693</v>
      </c>
      <c r="DD145" s="6617">
        <f t="shared" si="148"/>
        <v>0.31828414909061897</v>
      </c>
      <c r="DF145" s="4439"/>
      <c r="DG145" s="4439"/>
    </row>
    <row r="146" spans="1:111" ht="16.3" customHeight="1" x14ac:dyDescent="0.55000000000000004">
      <c r="A146" s="6754" t="s">
        <v>1019</v>
      </c>
      <c r="B146" s="2456" t="s">
        <v>638</v>
      </c>
      <c r="C146" s="3189"/>
      <c r="D146" s="3189"/>
      <c r="E146" s="3189"/>
      <c r="F146" s="3189"/>
      <c r="G146" s="3189"/>
      <c r="H146" s="3189"/>
      <c r="I146" s="3189"/>
      <c r="J146" s="3189"/>
      <c r="K146" s="3189"/>
      <c r="L146" s="3189"/>
      <c r="M146" s="3189"/>
      <c r="N146" s="3189"/>
      <c r="O146" s="3189"/>
      <c r="P146" s="3189"/>
      <c r="Q146" s="3189"/>
      <c r="R146" s="3189"/>
      <c r="S146" s="3189"/>
      <c r="T146" s="3189"/>
      <c r="U146" s="3189"/>
      <c r="V146" s="3189"/>
      <c r="W146" s="3189"/>
      <c r="X146" s="3189"/>
      <c r="Y146" s="3189"/>
      <c r="Z146" s="3189"/>
      <c r="AA146" s="3189"/>
      <c r="AB146" s="3189"/>
      <c r="AC146" s="3189"/>
      <c r="AD146" s="3189"/>
      <c r="AE146" s="3189"/>
      <c r="AF146" s="3189"/>
      <c r="AG146" s="3189"/>
      <c r="AH146" s="3189"/>
      <c r="AI146" s="3189"/>
      <c r="AJ146" s="3189"/>
      <c r="AK146" s="3189"/>
      <c r="AL146" s="3189"/>
      <c r="AM146" s="3189"/>
      <c r="AN146" s="3189"/>
      <c r="AO146" s="6680"/>
      <c r="AP146" s="6681"/>
      <c r="AQ146" s="6778"/>
      <c r="AR146" s="6778"/>
      <c r="AS146" s="6778"/>
      <c r="AT146" s="6778"/>
      <c r="AU146" s="6778"/>
      <c r="AV146" s="6778"/>
      <c r="AW146" s="6778"/>
      <c r="AX146" s="6778"/>
      <c r="AY146" s="6778"/>
      <c r="AZ146" s="6778"/>
      <c r="BA146" s="6778"/>
      <c r="BB146" s="6778"/>
      <c r="BC146" s="6779"/>
      <c r="BD146" s="2861"/>
      <c r="BE146" s="2861"/>
      <c r="BF146" s="2861"/>
      <c r="BG146" s="2861"/>
      <c r="BH146" s="2861"/>
      <c r="BI146" s="2861"/>
      <c r="BJ146" s="2861"/>
      <c r="BK146" s="2861"/>
      <c r="BL146" s="2861"/>
      <c r="BM146" s="2861"/>
      <c r="BN146" s="2861"/>
      <c r="BO146" s="2861"/>
      <c r="BP146" s="6415"/>
      <c r="BQ146" s="2861">
        <f>BQ147+BQ148+BQ149+BQ150</f>
        <v>7.0987022099999999</v>
      </c>
      <c r="BR146" s="2861">
        <f t="shared" ref="BR146:CD146" si="152">BR147+BR148+BR149+BR150</f>
        <v>13.071349269999999</v>
      </c>
      <c r="BS146" s="2861">
        <f t="shared" si="152"/>
        <v>12.81520192</v>
      </c>
      <c r="BT146" s="2861">
        <f t="shared" si="152"/>
        <v>11.667345110000001</v>
      </c>
      <c r="BU146" s="2861">
        <f t="shared" si="152"/>
        <v>13.317545079999999</v>
      </c>
      <c r="BV146" s="2861">
        <f t="shared" si="152"/>
        <v>14.4497476</v>
      </c>
      <c r="BW146" s="2861">
        <f t="shared" si="152"/>
        <v>20.791976239999997</v>
      </c>
      <c r="BX146" s="2861">
        <f t="shared" si="152"/>
        <v>15.24598319</v>
      </c>
      <c r="BY146" s="2861">
        <f t="shared" si="152"/>
        <v>20.852986529999999</v>
      </c>
      <c r="BZ146" s="2861">
        <f t="shared" si="152"/>
        <v>14.325817320000001</v>
      </c>
      <c r="CA146" s="2861">
        <f t="shared" si="152"/>
        <v>11.75729261</v>
      </c>
      <c r="CB146" s="2861">
        <f t="shared" si="152"/>
        <v>7.5182487599999988</v>
      </c>
      <c r="CC146" s="2861">
        <f t="shared" si="152"/>
        <v>0</v>
      </c>
      <c r="CD146" s="2861">
        <f t="shared" si="152"/>
        <v>0</v>
      </c>
      <c r="CE146" s="6419">
        <f t="shared" si="113"/>
        <v>-4.2390438500000016</v>
      </c>
      <c r="CF146" s="2868">
        <f t="shared" si="138"/>
        <v>7.5182487599999988</v>
      </c>
      <c r="CG146" s="2868"/>
      <c r="CH146" s="6807">
        <f t="shared" si="115"/>
        <v>162.91219584000001</v>
      </c>
      <c r="CI146" s="6685"/>
      <c r="CJ146" s="2792"/>
      <c r="CK146" s="6686">
        <f t="shared" si="139"/>
        <v>162.91219584000001</v>
      </c>
      <c r="CL146" s="5138"/>
      <c r="CM146" s="2488"/>
      <c r="CN146" s="2488"/>
      <c r="CO146" s="2488"/>
      <c r="CP146" s="2488"/>
      <c r="CQ146" s="2488"/>
      <c r="CR146" s="2488"/>
      <c r="CS146" s="2488"/>
      <c r="CT146" s="2488"/>
      <c r="CU146" s="2488"/>
      <c r="CV146" s="2488"/>
      <c r="CW146" s="2488"/>
      <c r="CX146" s="2488"/>
      <c r="CY146" s="2488"/>
      <c r="CZ146" s="2488"/>
      <c r="DB146" s="4439"/>
      <c r="DC146" s="4439"/>
      <c r="DF146" s="4439"/>
      <c r="DG146" s="4439"/>
    </row>
    <row r="147" spans="1:111" ht="16.3" customHeight="1" x14ac:dyDescent="0.55000000000000004">
      <c r="A147" s="6692"/>
      <c r="B147" s="3189"/>
      <c r="C147" s="3189" t="s">
        <v>10</v>
      </c>
      <c r="D147" s="3189"/>
      <c r="E147" s="3189"/>
      <c r="F147" s="3189"/>
      <c r="G147" s="3189"/>
      <c r="H147" s="3189"/>
      <c r="I147" s="3189"/>
      <c r="J147" s="3189"/>
      <c r="K147" s="3189"/>
      <c r="L147" s="3189"/>
      <c r="M147" s="3189"/>
      <c r="N147" s="3189"/>
      <c r="O147" s="3189"/>
      <c r="P147" s="3189"/>
      <c r="Q147" s="3189"/>
      <c r="R147" s="3189"/>
      <c r="S147" s="3189"/>
      <c r="T147" s="3189"/>
      <c r="U147" s="3189"/>
      <c r="V147" s="3189"/>
      <c r="W147" s="3189"/>
      <c r="X147" s="3189"/>
      <c r="Y147" s="3189"/>
      <c r="Z147" s="3189"/>
      <c r="AA147" s="3189"/>
      <c r="AB147" s="3189"/>
      <c r="AC147" s="3189"/>
      <c r="AD147" s="3189"/>
      <c r="AE147" s="3189"/>
      <c r="AF147" s="3189"/>
      <c r="AG147" s="3189"/>
      <c r="AH147" s="3189"/>
      <c r="AI147" s="3189"/>
      <c r="AJ147" s="3189"/>
      <c r="AK147" s="3189"/>
      <c r="AL147" s="3189"/>
      <c r="AM147" s="3189"/>
      <c r="AN147" s="3189"/>
      <c r="AO147" s="6680"/>
      <c r="AP147" s="6681"/>
      <c r="AQ147" s="6778"/>
      <c r="AR147" s="6778"/>
      <c r="AS147" s="6778"/>
      <c r="AT147" s="6778"/>
      <c r="AU147" s="6778"/>
      <c r="AV147" s="6778"/>
      <c r="AW147" s="6778"/>
      <c r="AX147" s="6778"/>
      <c r="AY147" s="6778"/>
      <c r="AZ147" s="6778"/>
      <c r="BA147" s="6778"/>
      <c r="BB147" s="6778"/>
      <c r="BC147" s="6779"/>
      <c r="BD147" s="2861"/>
      <c r="BE147" s="6414"/>
      <c r="BF147" s="6414"/>
      <c r="BG147" s="2861"/>
      <c r="BH147" s="2861"/>
      <c r="BI147" s="2861"/>
      <c r="BJ147" s="2861"/>
      <c r="BK147" s="2861"/>
      <c r="BL147" s="2861"/>
      <c r="BM147" s="2861"/>
      <c r="BN147" s="2861"/>
      <c r="BO147" s="2861"/>
      <c r="BP147" s="6415"/>
      <c r="BQ147" s="6416">
        <v>0.51711545999999997</v>
      </c>
      <c r="BR147" s="6427">
        <v>2.7941499900000002</v>
      </c>
      <c r="BS147" s="6414">
        <v>0.57386090999999995</v>
      </c>
      <c r="BT147" s="2861">
        <v>0.62865998999999995</v>
      </c>
      <c r="BU147" s="2861">
        <v>0.95185273000000004</v>
      </c>
      <c r="BV147" s="6416">
        <v>0.45255363999999998</v>
      </c>
      <c r="BW147" s="2861">
        <v>2.1738272799999998</v>
      </c>
      <c r="BX147" s="6416">
        <v>0.58194564000000004</v>
      </c>
      <c r="BY147" s="2861">
        <v>1.79600274</v>
      </c>
      <c r="BZ147" s="2861">
        <v>1.37095364</v>
      </c>
      <c r="CA147" s="2861">
        <v>0.58993726000000002</v>
      </c>
      <c r="CB147" s="2861">
        <v>0.41408726000000001</v>
      </c>
      <c r="CC147" s="6609"/>
      <c r="CD147" s="2862"/>
      <c r="CE147" s="6419">
        <f t="shared" si="113"/>
        <v>-0.17585000000000001</v>
      </c>
      <c r="CF147" s="2868">
        <f t="shared" si="138"/>
        <v>0.41408726000000001</v>
      </c>
      <c r="CG147" s="2868"/>
      <c r="CH147" s="6807">
        <f t="shared" si="115"/>
        <v>12.84494654</v>
      </c>
      <c r="CI147" s="6685"/>
      <c r="CJ147" s="2792"/>
      <c r="CK147" s="6686">
        <f t="shared" si="139"/>
        <v>12.84494654</v>
      </c>
      <c r="CL147" s="5138"/>
      <c r="CM147" s="2488"/>
      <c r="CN147" s="2488"/>
      <c r="CO147" s="2488"/>
      <c r="CP147" s="2488"/>
      <c r="CQ147" s="2488"/>
      <c r="CR147" s="2488"/>
      <c r="CS147" s="2488"/>
      <c r="CT147" s="2488"/>
      <c r="CU147" s="2488"/>
      <c r="CV147" s="2488"/>
      <c r="CW147" s="2488"/>
      <c r="CX147" s="2488"/>
      <c r="CY147" s="2488"/>
      <c r="CZ147" s="2488"/>
      <c r="DB147" s="4439"/>
      <c r="DC147" s="4439"/>
      <c r="DF147" s="4439"/>
      <c r="DG147" s="4439"/>
    </row>
    <row r="148" spans="1:111" ht="16.3" customHeight="1" x14ac:dyDescent="0.55000000000000004">
      <c r="A148" s="6692"/>
      <c r="B148" s="3189"/>
      <c r="C148" s="3189" t="s">
        <v>6</v>
      </c>
      <c r="D148" s="3189"/>
      <c r="E148" s="3189"/>
      <c r="F148" s="3189"/>
      <c r="G148" s="3189"/>
      <c r="H148" s="3189"/>
      <c r="I148" s="3189"/>
      <c r="J148" s="3189"/>
      <c r="K148" s="3189"/>
      <c r="L148" s="3189"/>
      <c r="M148" s="3189"/>
      <c r="N148" s="3189"/>
      <c r="O148" s="3189"/>
      <c r="P148" s="3189"/>
      <c r="Q148" s="3189"/>
      <c r="R148" s="3189"/>
      <c r="S148" s="3189"/>
      <c r="T148" s="3189"/>
      <c r="U148" s="3189"/>
      <c r="V148" s="3189"/>
      <c r="W148" s="3189"/>
      <c r="X148" s="3189"/>
      <c r="Y148" s="3189"/>
      <c r="Z148" s="3189"/>
      <c r="AA148" s="3189"/>
      <c r="AB148" s="3189"/>
      <c r="AC148" s="3189"/>
      <c r="AD148" s="3189"/>
      <c r="AE148" s="3189"/>
      <c r="AF148" s="3189"/>
      <c r="AG148" s="3189"/>
      <c r="AH148" s="3189"/>
      <c r="AI148" s="3189"/>
      <c r="AJ148" s="3189"/>
      <c r="AK148" s="3189"/>
      <c r="AL148" s="3189"/>
      <c r="AM148" s="3189"/>
      <c r="AN148" s="3189"/>
      <c r="AO148" s="6680"/>
      <c r="AP148" s="6681"/>
      <c r="AQ148" s="6778"/>
      <c r="AR148" s="6778"/>
      <c r="AS148" s="6778"/>
      <c r="AT148" s="6778"/>
      <c r="AU148" s="6778"/>
      <c r="AV148" s="6778"/>
      <c r="AW148" s="6778"/>
      <c r="AX148" s="6778"/>
      <c r="AY148" s="6778"/>
      <c r="AZ148" s="6778"/>
      <c r="BA148" s="6778"/>
      <c r="BB148" s="6778"/>
      <c r="BC148" s="6779"/>
      <c r="BD148" s="2861"/>
      <c r="BE148" s="6414"/>
      <c r="BF148" s="6414"/>
      <c r="BG148" s="2861"/>
      <c r="BH148" s="2861"/>
      <c r="BI148" s="2861"/>
      <c r="BJ148" s="2861"/>
      <c r="BK148" s="2861"/>
      <c r="BL148" s="2861"/>
      <c r="BM148" s="2861"/>
      <c r="BN148" s="2861"/>
      <c r="BO148" s="2861"/>
      <c r="BP148" s="6415"/>
      <c r="BQ148" s="6737">
        <v>5.3569555199999996</v>
      </c>
      <c r="BR148" s="6427">
        <v>8.7198194000000004</v>
      </c>
      <c r="BS148" s="6414">
        <v>10.45315091</v>
      </c>
      <c r="BT148" s="2861">
        <v>9.2148367800000006</v>
      </c>
      <c r="BU148" s="2861">
        <v>10.56159312</v>
      </c>
      <c r="BV148" s="6737">
        <v>11.67948518</v>
      </c>
      <c r="BW148" s="2861">
        <v>16.442858739999998</v>
      </c>
      <c r="BX148" s="6737">
        <v>12.7050526</v>
      </c>
      <c r="BY148" s="2861">
        <v>16.5944778</v>
      </c>
      <c r="BZ148" s="2861">
        <v>10.805914250000001</v>
      </c>
      <c r="CA148" s="2861">
        <v>9.0418626799999995</v>
      </c>
      <c r="CB148" s="2861">
        <v>5.2542440199999998</v>
      </c>
      <c r="CC148" s="6609"/>
      <c r="CD148" s="2862"/>
      <c r="CE148" s="6419">
        <f t="shared" si="113"/>
        <v>-3.7876186599999997</v>
      </c>
      <c r="CF148" s="2868">
        <f t="shared" si="138"/>
        <v>5.2542440199999998</v>
      </c>
      <c r="CG148" s="2868"/>
      <c r="CH148" s="6705">
        <f t="shared" si="115"/>
        <v>126.830251</v>
      </c>
      <c r="CI148" s="6685"/>
      <c r="CJ148" s="2792"/>
      <c r="CK148" s="6686">
        <f t="shared" si="139"/>
        <v>126.830251</v>
      </c>
      <c r="CL148" s="5138"/>
      <c r="CM148" s="2488"/>
      <c r="CN148" s="2488"/>
      <c r="CO148" s="2488"/>
      <c r="CP148" s="2488"/>
      <c r="CQ148" s="2488"/>
      <c r="CR148" s="2488"/>
      <c r="CS148" s="2488"/>
      <c r="CT148" s="2488"/>
      <c r="CU148" s="2488"/>
      <c r="CV148" s="2488"/>
      <c r="CW148" s="2488"/>
      <c r="CX148" s="2488"/>
      <c r="CY148" s="2488"/>
      <c r="CZ148" s="2488"/>
      <c r="DB148" s="4439"/>
      <c r="DC148" s="4439"/>
      <c r="DF148" s="4439"/>
      <c r="DG148" s="4439"/>
    </row>
    <row r="149" spans="1:111" ht="16.3" customHeight="1" x14ac:dyDescent="0.55000000000000004">
      <c r="A149" s="6692"/>
      <c r="B149" s="3189"/>
      <c r="C149" s="3189" t="s">
        <v>0</v>
      </c>
      <c r="D149" s="3189"/>
      <c r="E149" s="6964" t="s">
        <v>1217</v>
      </c>
      <c r="F149" s="3189"/>
      <c r="G149" s="3189"/>
      <c r="H149" s="3189"/>
      <c r="I149" s="3189"/>
      <c r="J149" s="3189"/>
      <c r="K149" s="3189"/>
      <c r="L149" s="3189"/>
      <c r="M149" s="3189"/>
      <c r="N149" s="3189"/>
      <c r="O149" s="3189"/>
      <c r="P149" s="3189"/>
      <c r="Q149" s="3189"/>
      <c r="R149" s="3189"/>
      <c r="S149" s="3189"/>
      <c r="T149" s="3189"/>
      <c r="U149" s="3189"/>
      <c r="V149" s="3189"/>
      <c r="W149" s="3189"/>
      <c r="X149" s="3189"/>
      <c r="Y149" s="3189"/>
      <c r="Z149" s="3189"/>
      <c r="AA149" s="3189"/>
      <c r="AB149" s="3189"/>
      <c r="AC149" s="3189"/>
      <c r="AD149" s="3189"/>
      <c r="AE149" s="3189"/>
      <c r="AF149" s="3189"/>
      <c r="AG149" s="3189"/>
      <c r="AH149" s="3189"/>
      <c r="AI149" s="3189"/>
      <c r="AJ149" s="3189"/>
      <c r="AK149" s="3189"/>
      <c r="AL149" s="3189"/>
      <c r="AM149" s="3189"/>
      <c r="AN149" s="3189"/>
      <c r="AO149" s="6680"/>
      <c r="AP149" s="6681"/>
      <c r="AQ149" s="6778"/>
      <c r="AR149" s="6778"/>
      <c r="AS149" s="6778"/>
      <c r="AT149" s="6778"/>
      <c r="AU149" s="6778"/>
      <c r="AV149" s="6778"/>
      <c r="AW149" s="6778"/>
      <c r="AX149" s="6778"/>
      <c r="AY149" s="6778"/>
      <c r="AZ149" s="6778"/>
      <c r="BA149" s="6778"/>
      <c r="BB149" s="6778"/>
      <c r="BC149" s="6779"/>
      <c r="BD149" s="2861"/>
      <c r="BE149" s="6414"/>
      <c r="BF149" s="6414"/>
      <c r="BG149" s="2861"/>
      <c r="BH149" s="2861"/>
      <c r="BI149" s="2861"/>
      <c r="BJ149" s="2861"/>
      <c r="BK149" s="2861"/>
      <c r="BL149" s="2861"/>
      <c r="BM149" s="2861"/>
      <c r="BN149" s="2861"/>
      <c r="BO149" s="2861"/>
      <c r="BP149" s="6415"/>
      <c r="BQ149" s="6416">
        <v>1.2109912300000001</v>
      </c>
      <c r="BR149" s="6427">
        <v>1.3641719800000001</v>
      </c>
      <c r="BS149" s="6414">
        <v>1.272375</v>
      </c>
      <c r="BT149" s="2861">
        <v>1.2368362399999999</v>
      </c>
      <c r="BU149" s="2861">
        <v>1.21934623</v>
      </c>
      <c r="BV149" s="6416">
        <v>1.20893378</v>
      </c>
      <c r="BW149" s="2861">
        <v>1.20399572</v>
      </c>
      <c r="BX149" s="6416">
        <v>1.1871303499999999</v>
      </c>
      <c r="BY149" s="2861">
        <v>1.19753519</v>
      </c>
      <c r="BZ149" s="2861">
        <v>1.19710483</v>
      </c>
      <c r="CA149" s="2861">
        <v>1.1588697699999999</v>
      </c>
      <c r="CB149" s="2861">
        <v>1.16898988</v>
      </c>
      <c r="CC149" s="6609"/>
      <c r="CD149" s="2862"/>
      <c r="CE149" s="6419">
        <f t="shared" si="113"/>
        <v>1.0120110000000127E-2</v>
      </c>
      <c r="CF149" s="2868">
        <f t="shared" si="138"/>
        <v>1.16898988</v>
      </c>
      <c r="CG149" s="2868"/>
      <c r="CH149" s="6705">
        <f t="shared" si="115"/>
        <v>14.626280200000002</v>
      </c>
      <c r="CI149" s="6685"/>
      <c r="CJ149" s="2792"/>
      <c r="CK149" s="6686">
        <f t="shared" si="139"/>
        <v>14.626280200000002</v>
      </c>
      <c r="CL149" s="5138"/>
      <c r="CM149" s="2488"/>
      <c r="CN149" s="2488"/>
      <c r="CO149" s="2488"/>
      <c r="CP149" s="2488"/>
      <c r="CQ149" s="2488"/>
      <c r="CR149" s="2488"/>
      <c r="CS149" s="2488"/>
      <c r="CT149" s="2488"/>
      <c r="CU149" s="2488"/>
      <c r="CV149" s="2488"/>
      <c r="CW149" s="2488"/>
      <c r="CX149" s="2488"/>
      <c r="CY149" s="2488"/>
      <c r="CZ149" s="2488"/>
      <c r="DB149" s="4439"/>
      <c r="DC149" s="4439"/>
      <c r="DF149" s="4439"/>
      <c r="DG149" s="4439"/>
    </row>
    <row r="150" spans="1:111" ht="16.3" customHeight="1" x14ac:dyDescent="0.55000000000000004">
      <c r="A150" s="6692"/>
      <c r="B150" s="3189"/>
      <c r="C150" s="3189" t="s">
        <v>7</v>
      </c>
      <c r="D150" s="3189"/>
      <c r="E150" s="3189"/>
      <c r="F150" s="3189"/>
      <c r="G150" s="3189"/>
      <c r="H150" s="3189"/>
      <c r="I150" s="3189"/>
      <c r="J150" s="3189"/>
      <c r="K150" s="3189"/>
      <c r="L150" s="3189"/>
      <c r="M150" s="3189"/>
      <c r="N150" s="3189"/>
      <c r="O150" s="3189"/>
      <c r="P150" s="3189"/>
      <c r="Q150" s="3189"/>
      <c r="R150" s="3189"/>
      <c r="S150" s="3189"/>
      <c r="T150" s="3189"/>
      <c r="U150" s="3189"/>
      <c r="V150" s="3189"/>
      <c r="W150" s="3189"/>
      <c r="X150" s="3189"/>
      <c r="Y150" s="3189"/>
      <c r="Z150" s="3189"/>
      <c r="AA150" s="3189"/>
      <c r="AB150" s="3189"/>
      <c r="AC150" s="3189"/>
      <c r="AD150" s="3189"/>
      <c r="AE150" s="3189"/>
      <c r="AF150" s="3189"/>
      <c r="AG150" s="3189"/>
      <c r="AH150" s="3189"/>
      <c r="AI150" s="3189"/>
      <c r="AJ150" s="3189"/>
      <c r="AK150" s="3189"/>
      <c r="AL150" s="3189"/>
      <c r="AM150" s="3189"/>
      <c r="AN150" s="3189"/>
      <c r="AO150" s="6680"/>
      <c r="AP150" s="6681"/>
      <c r="AQ150" s="6778"/>
      <c r="AR150" s="6778"/>
      <c r="AS150" s="6778"/>
      <c r="AT150" s="6778"/>
      <c r="AU150" s="6778"/>
      <c r="AV150" s="6778"/>
      <c r="AW150" s="6778"/>
      <c r="AX150" s="6778"/>
      <c r="AY150" s="6778"/>
      <c r="AZ150" s="6778"/>
      <c r="BA150" s="6778"/>
      <c r="BB150" s="6778"/>
      <c r="BC150" s="6779"/>
      <c r="BD150" s="2861"/>
      <c r="BE150" s="6414"/>
      <c r="BF150" s="6414"/>
      <c r="BG150" s="2861"/>
      <c r="BH150" s="2861"/>
      <c r="BI150" s="2861"/>
      <c r="BJ150" s="2861"/>
      <c r="BK150" s="2861"/>
      <c r="BL150" s="2861"/>
      <c r="BM150" s="2861"/>
      <c r="BN150" s="2861"/>
      <c r="BO150" s="2861"/>
      <c r="BP150" s="6415"/>
      <c r="BQ150" s="6737">
        <v>1.3639999999999999E-2</v>
      </c>
      <c r="BR150" s="6427">
        <v>0.19320789999999999</v>
      </c>
      <c r="BS150" s="6414">
        <v>0.51581509999999997</v>
      </c>
      <c r="BT150" s="2861">
        <v>0.58701210000000004</v>
      </c>
      <c r="BU150" s="2861">
        <v>0.58475299999999997</v>
      </c>
      <c r="BV150" s="6737">
        <v>1.1087750000000001</v>
      </c>
      <c r="BW150" s="2861">
        <v>0.97129449999999995</v>
      </c>
      <c r="BX150" s="6737">
        <v>0.77185459999999995</v>
      </c>
      <c r="BY150" s="2861">
        <v>1.2649708</v>
      </c>
      <c r="BZ150" s="2861">
        <v>0.95184460000000004</v>
      </c>
      <c r="CA150" s="2861">
        <v>0.96662289999999995</v>
      </c>
      <c r="CB150" s="2861">
        <v>0.68092759999999997</v>
      </c>
      <c r="CC150" s="6609"/>
      <c r="CD150" s="2862"/>
      <c r="CE150" s="6419">
        <f t="shared" si="113"/>
        <v>-0.28569529999999999</v>
      </c>
      <c r="CF150" s="2868">
        <f t="shared" si="138"/>
        <v>0.68092759999999997</v>
      </c>
      <c r="CG150" s="2868"/>
      <c r="CH150" s="6705">
        <f t="shared" si="115"/>
        <v>8.6107180999999997</v>
      </c>
      <c r="CI150" s="6685"/>
      <c r="CJ150" s="2792"/>
      <c r="CK150" s="6686">
        <f t="shared" si="139"/>
        <v>8.6107180999999997</v>
      </c>
      <c r="CL150" s="5138"/>
      <c r="CM150" s="2488"/>
      <c r="CN150" s="2488"/>
      <c r="CO150" s="2488"/>
      <c r="CP150" s="2488"/>
      <c r="CQ150" s="2488"/>
      <c r="CR150" s="2488"/>
      <c r="CS150" s="2488"/>
      <c r="CT150" s="2488"/>
      <c r="CU150" s="2488"/>
      <c r="CV150" s="2488"/>
      <c r="CW150" s="2488"/>
      <c r="CX150" s="2488"/>
      <c r="CY150" s="2488"/>
      <c r="CZ150" s="2488"/>
      <c r="DB150" s="4439"/>
      <c r="DC150" s="4439"/>
      <c r="DF150" s="4439"/>
      <c r="DG150" s="4439"/>
    </row>
    <row r="151" spans="1:111" ht="16.3" customHeight="1" x14ac:dyDescent="0.55000000000000004">
      <c r="A151" s="6679"/>
      <c r="B151" s="6788" t="s">
        <v>639</v>
      </c>
      <c r="C151" s="6702"/>
      <c r="D151" s="6702"/>
      <c r="E151" s="6702"/>
      <c r="F151" s="6702"/>
      <c r="G151" s="6702"/>
      <c r="H151" s="6702"/>
      <c r="I151" s="6702"/>
      <c r="J151" s="6702"/>
      <c r="K151" s="6702"/>
      <c r="L151" s="6702"/>
      <c r="M151" s="6702"/>
      <c r="N151" s="6702"/>
      <c r="O151" s="6702"/>
      <c r="P151" s="6702"/>
      <c r="Q151" s="6702"/>
      <c r="R151" s="6702"/>
      <c r="S151" s="6702"/>
      <c r="T151" s="6702"/>
      <c r="U151" s="6702"/>
      <c r="V151" s="6702"/>
      <c r="W151" s="6702"/>
      <c r="X151" s="6702"/>
      <c r="Y151" s="6702"/>
      <c r="Z151" s="6702"/>
      <c r="AA151" s="6702"/>
      <c r="AB151" s="6702"/>
      <c r="AC151" s="6702"/>
      <c r="AD151" s="6702"/>
      <c r="AE151" s="6702"/>
      <c r="AF151" s="6702"/>
      <c r="AG151" s="6702"/>
      <c r="AH151" s="6702"/>
      <c r="AI151" s="6702"/>
      <c r="AJ151" s="6702"/>
      <c r="AK151" s="6702"/>
      <c r="AL151" s="6702"/>
      <c r="AM151" s="6702"/>
      <c r="AN151" s="6702"/>
      <c r="AO151" s="6313"/>
      <c r="AP151" s="6706"/>
      <c r="AQ151" s="6789"/>
      <c r="AR151" s="6789"/>
      <c r="AS151" s="6789"/>
      <c r="AT151" s="6789"/>
      <c r="AU151" s="6789"/>
      <c r="AV151" s="6789"/>
      <c r="AW151" s="6789"/>
      <c r="AX151" s="6789"/>
      <c r="AY151" s="6789"/>
      <c r="AZ151" s="6789"/>
      <c r="BA151" s="6789"/>
      <c r="BB151" s="6789"/>
      <c r="BC151" s="6790"/>
      <c r="BD151" s="2877"/>
      <c r="BE151" s="2877"/>
      <c r="BF151" s="2877"/>
      <c r="BG151" s="2877"/>
      <c r="BH151" s="2877"/>
      <c r="BI151" s="2877"/>
      <c r="BJ151" s="2877"/>
      <c r="BK151" s="2877"/>
      <c r="BL151" s="2877"/>
      <c r="BM151" s="2877"/>
      <c r="BN151" s="2877"/>
      <c r="BO151" s="2877"/>
      <c r="BP151" s="6317"/>
      <c r="BQ151" s="2877">
        <f>BQ152+BQ153+BQ154+BQ155+BQ156</f>
        <v>11.377763601318172</v>
      </c>
      <c r="BR151" s="2877">
        <f t="shared" ref="BR151:CD151" si="153">BR152+BR153+BR154+BR155+BR156</f>
        <v>13.780593567009841</v>
      </c>
      <c r="BS151" s="2877">
        <f t="shared" si="153"/>
        <v>15.589123468975725</v>
      </c>
      <c r="BT151" s="2877">
        <f t="shared" si="153"/>
        <v>17.191636120390093</v>
      </c>
      <c r="BU151" s="2877">
        <f t="shared" si="153"/>
        <v>18.368781856617865</v>
      </c>
      <c r="BV151" s="2877">
        <f t="shared" si="153"/>
        <v>16.912273720323007</v>
      </c>
      <c r="BW151" s="2877">
        <f t="shared" si="153"/>
        <v>22.018846060698269</v>
      </c>
      <c r="BX151" s="2877">
        <f t="shared" si="153"/>
        <v>18.736666662571807</v>
      </c>
      <c r="BY151" s="2877">
        <f t="shared" si="153"/>
        <v>20.884541573401883</v>
      </c>
      <c r="BZ151" s="2877">
        <f t="shared" si="153"/>
        <v>21.672493573494776</v>
      </c>
      <c r="CA151" s="2877">
        <f t="shared" si="153"/>
        <v>15.193501986361596</v>
      </c>
      <c r="CB151" s="2877">
        <f t="shared" si="153"/>
        <v>13.834531806518417</v>
      </c>
      <c r="CC151" s="2877">
        <f t="shared" si="153"/>
        <v>0</v>
      </c>
      <c r="CD151" s="2877">
        <f t="shared" si="153"/>
        <v>0</v>
      </c>
      <c r="CE151" s="6322">
        <f t="shared" si="113"/>
        <v>-1.3589701798431797</v>
      </c>
      <c r="CF151" s="2892">
        <f t="shared" si="138"/>
        <v>13.834531806518417</v>
      </c>
      <c r="CG151" s="2892"/>
      <c r="CH151" s="6763">
        <f t="shared" si="115"/>
        <v>205.56075399768142</v>
      </c>
      <c r="CI151" s="6808"/>
      <c r="CJ151" s="6809"/>
      <c r="CK151" s="6810">
        <f t="shared" si="139"/>
        <v>205.56075399768142</v>
      </c>
      <c r="CL151" s="5138"/>
      <c r="CM151" s="2488"/>
      <c r="CN151" s="2488"/>
      <c r="CO151" s="2488"/>
      <c r="CP151" s="2488"/>
      <c r="CQ151" s="2488"/>
      <c r="CR151" s="2488"/>
      <c r="CS151" s="2488"/>
      <c r="CT151" s="2488"/>
      <c r="CU151" s="2488"/>
      <c r="CV151" s="2488"/>
      <c r="CW151" s="2488"/>
      <c r="CX151" s="2488"/>
      <c r="CY151" s="2488"/>
      <c r="CZ151" s="2488"/>
      <c r="DB151" s="4439"/>
      <c r="DC151" s="4439"/>
      <c r="DF151" s="4439"/>
      <c r="DG151" s="4439"/>
    </row>
    <row r="152" spans="1:111" ht="16.3" customHeight="1" x14ac:dyDescent="0.55000000000000004">
      <c r="A152" s="6692"/>
      <c r="B152" s="6702"/>
      <c r="C152" s="6702" t="s">
        <v>42</v>
      </c>
      <c r="D152" s="6702"/>
      <c r="E152" s="6702"/>
      <c r="F152" s="6702"/>
      <c r="G152" s="6702"/>
      <c r="H152" s="6702"/>
      <c r="I152" s="6702"/>
      <c r="J152" s="6702"/>
      <c r="K152" s="6702"/>
      <c r="L152" s="6702"/>
      <c r="M152" s="6702"/>
      <c r="N152" s="6702"/>
      <c r="O152" s="6702"/>
      <c r="P152" s="6702"/>
      <c r="Q152" s="6702"/>
      <c r="R152" s="6702"/>
      <c r="S152" s="6702"/>
      <c r="T152" s="6702"/>
      <c r="U152" s="6702"/>
      <c r="V152" s="6702"/>
      <c r="W152" s="6702"/>
      <c r="X152" s="6702"/>
      <c r="Y152" s="6702"/>
      <c r="Z152" s="6702"/>
      <c r="AA152" s="6702"/>
      <c r="AB152" s="6702"/>
      <c r="AC152" s="6702"/>
      <c r="AD152" s="6702"/>
      <c r="AE152" s="6702"/>
      <c r="AF152" s="6702"/>
      <c r="AG152" s="6702"/>
      <c r="AH152" s="6702"/>
      <c r="AI152" s="6702"/>
      <c r="AJ152" s="6702"/>
      <c r="AK152" s="6702"/>
      <c r="AL152" s="6702"/>
      <c r="AM152" s="6702"/>
      <c r="AN152" s="6702"/>
      <c r="AO152" s="6313"/>
      <c r="AP152" s="6706"/>
      <c r="AQ152" s="6789"/>
      <c r="AR152" s="6789"/>
      <c r="AS152" s="6789"/>
      <c r="AT152" s="6789"/>
      <c r="AU152" s="6789"/>
      <c r="AV152" s="6789"/>
      <c r="AW152" s="6789"/>
      <c r="AX152" s="6789"/>
      <c r="AY152" s="6789"/>
      <c r="AZ152" s="6789"/>
      <c r="BA152" s="6789"/>
      <c r="BB152" s="6789"/>
      <c r="BC152" s="6790"/>
      <c r="BD152" s="2877"/>
      <c r="BE152" s="6712"/>
      <c r="BF152" s="6712"/>
      <c r="BG152" s="2877"/>
      <c r="BH152" s="2877"/>
      <c r="BI152" s="2877"/>
      <c r="BJ152" s="2877"/>
      <c r="BK152" s="2877"/>
      <c r="BL152" s="2877"/>
      <c r="BM152" s="2877"/>
      <c r="BN152" s="2877"/>
      <c r="BO152" s="2877"/>
      <c r="BP152" s="6317"/>
      <c r="BQ152" s="6321">
        <v>0.71640910000000002</v>
      </c>
      <c r="BR152" s="6713">
        <v>3.86542545</v>
      </c>
      <c r="BS152" s="6712">
        <v>0.82601363999999999</v>
      </c>
      <c r="BT152" s="2877">
        <v>0.90711724999999999</v>
      </c>
      <c r="BU152" s="2877">
        <v>1.2053418199999999</v>
      </c>
      <c r="BV152" s="6321">
        <v>0.59914451000000002</v>
      </c>
      <c r="BW152" s="2877">
        <v>2.9047527099999999</v>
      </c>
      <c r="BX152" s="6321">
        <v>0.81159183999999995</v>
      </c>
      <c r="BY152" s="2877">
        <v>2.3104917399999998</v>
      </c>
      <c r="BZ152" s="2877">
        <v>1.75646718</v>
      </c>
      <c r="CA152" s="2877">
        <v>0.89533362999999999</v>
      </c>
      <c r="CB152" s="2877">
        <v>0.54819454000000001</v>
      </c>
      <c r="CC152" s="6609"/>
      <c r="CD152" s="2862"/>
      <c r="CE152" s="6322">
        <f t="shared" si="113"/>
        <v>-0.34713908999999998</v>
      </c>
      <c r="CF152" s="2892">
        <f t="shared" si="138"/>
        <v>0.54819454000000001</v>
      </c>
      <c r="CG152" s="2892"/>
      <c r="CH152" s="6763">
        <f t="shared" si="115"/>
        <v>17.346283410000002</v>
      </c>
      <c r="CI152" s="6808"/>
      <c r="CJ152" s="6809"/>
      <c r="CK152" s="6810">
        <f t="shared" si="139"/>
        <v>17.346283410000002</v>
      </c>
      <c r="CL152" s="5138"/>
      <c r="CM152" s="2488"/>
      <c r="CN152" s="2488"/>
      <c r="CO152" s="2488"/>
      <c r="CP152" s="2488"/>
      <c r="CQ152" s="2488"/>
      <c r="CR152" s="2488"/>
      <c r="CS152" s="2488"/>
      <c r="CT152" s="2488"/>
      <c r="CU152" s="2488"/>
      <c r="CV152" s="2488"/>
      <c r="CW152" s="2488"/>
      <c r="CX152" s="2488"/>
      <c r="CY152" s="2488"/>
      <c r="CZ152" s="2488"/>
      <c r="DB152" s="4439"/>
      <c r="DC152" s="4439"/>
      <c r="DF152" s="4439"/>
      <c r="DG152" s="4439"/>
    </row>
    <row r="153" spans="1:111" ht="16.3" customHeight="1" x14ac:dyDescent="0.55000000000000004">
      <c r="A153" s="6692"/>
      <c r="B153" s="6702"/>
      <c r="C153" s="6702" t="s">
        <v>13</v>
      </c>
      <c r="D153" s="6702"/>
      <c r="E153" s="6702"/>
      <c r="F153" s="6702"/>
      <c r="G153" s="6702"/>
      <c r="H153" s="6702"/>
      <c r="I153" s="6702"/>
      <c r="J153" s="6702"/>
      <c r="K153" s="6702"/>
      <c r="L153" s="6702"/>
      <c r="M153" s="6702"/>
      <c r="N153" s="6702"/>
      <c r="O153" s="6702"/>
      <c r="P153" s="6702"/>
      <c r="Q153" s="6702"/>
      <c r="R153" s="6702"/>
      <c r="S153" s="6702"/>
      <c r="T153" s="6702"/>
      <c r="U153" s="6702"/>
      <c r="V153" s="6702"/>
      <c r="W153" s="6702"/>
      <c r="X153" s="6702"/>
      <c r="Y153" s="6702"/>
      <c r="Z153" s="6702"/>
      <c r="AA153" s="6702"/>
      <c r="AB153" s="6702"/>
      <c r="AC153" s="6702"/>
      <c r="AD153" s="6702"/>
      <c r="AE153" s="6702"/>
      <c r="AF153" s="6702"/>
      <c r="AG153" s="6702"/>
      <c r="AH153" s="6702"/>
      <c r="AI153" s="6702"/>
      <c r="AJ153" s="6702"/>
      <c r="AK153" s="6702"/>
      <c r="AL153" s="6702"/>
      <c r="AM153" s="6702"/>
      <c r="AN153" s="6702"/>
      <c r="AO153" s="6313"/>
      <c r="AP153" s="6706"/>
      <c r="AQ153" s="6789"/>
      <c r="AR153" s="6789"/>
      <c r="AS153" s="6789"/>
      <c r="AT153" s="6789"/>
      <c r="AU153" s="6789"/>
      <c r="AV153" s="6789"/>
      <c r="AW153" s="6789"/>
      <c r="AX153" s="6789"/>
      <c r="AY153" s="6789"/>
      <c r="AZ153" s="6789"/>
      <c r="BA153" s="6789"/>
      <c r="BB153" s="6789"/>
      <c r="BC153" s="6790"/>
      <c r="BD153" s="2877"/>
      <c r="BE153" s="6712"/>
      <c r="BF153" s="6712"/>
      <c r="BG153" s="2877"/>
      <c r="BH153" s="2877"/>
      <c r="BI153" s="2877"/>
      <c r="BJ153" s="2877"/>
      <c r="BK153" s="2877"/>
      <c r="BL153" s="2877"/>
      <c r="BM153" s="2877"/>
      <c r="BN153" s="2877"/>
      <c r="BO153" s="2877"/>
      <c r="BP153" s="6317"/>
      <c r="BQ153" s="6792">
        <v>7.3742112366550181</v>
      </c>
      <c r="BR153" s="6713">
        <v>6.1842758501032948</v>
      </c>
      <c r="BS153" s="6712">
        <v>8.633835737464036</v>
      </c>
      <c r="BT153" s="2877">
        <v>8.7132750325769859</v>
      </c>
      <c r="BU153" s="2877">
        <v>8.1466078764875434</v>
      </c>
      <c r="BV153" s="6792">
        <v>8.6000436793512218</v>
      </c>
      <c r="BW153" s="2877">
        <v>8.8017744779932148</v>
      </c>
      <c r="BX153" s="6792">
        <v>7.3255081503693411</v>
      </c>
      <c r="BY153" s="2877">
        <v>9.7684181164490109</v>
      </c>
      <c r="BZ153" s="2877">
        <v>8.7357335278501385</v>
      </c>
      <c r="CA153" s="2877">
        <v>7.6546251625611461</v>
      </c>
      <c r="CB153" s="2877">
        <v>6.669158479669087</v>
      </c>
      <c r="CC153" s="6609"/>
      <c r="CD153" s="2862"/>
      <c r="CE153" s="6322">
        <f t="shared" si="113"/>
        <v>-0.98546668289205908</v>
      </c>
      <c r="CF153" s="2892">
        <f t="shared" si="138"/>
        <v>6.669158479669087</v>
      </c>
      <c r="CG153" s="2892"/>
      <c r="CH153" s="6349">
        <f t="shared" si="115"/>
        <v>96.607467327530046</v>
      </c>
      <c r="CI153" s="6685"/>
      <c r="CJ153" s="2792"/>
      <c r="CK153" s="6711">
        <f t="shared" si="139"/>
        <v>96.607467327530046</v>
      </c>
      <c r="CL153" s="5138"/>
      <c r="CM153" s="2488"/>
      <c r="CN153" s="2488"/>
      <c r="CO153" s="2488"/>
      <c r="CP153" s="2488"/>
      <c r="CQ153" s="2488"/>
      <c r="CR153" s="2488"/>
      <c r="CS153" s="2488"/>
      <c r="CT153" s="2488"/>
      <c r="CU153" s="2488"/>
      <c r="CV153" s="2488"/>
      <c r="CW153" s="2488"/>
      <c r="CX153" s="2488"/>
      <c r="CY153" s="2488"/>
      <c r="CZ153" s="2488"/>
      <c r="DB153" s="4439"/>
      <c r="DC153" s="4439"/>
      <c r="DF153" s="4439"/>
      <c r="DG153" s="4439"/>
    </row>
    <row r="154" spans="1:111" ht="16.3" customHeight="1" x14ac:dyDescent="0.55000000000000004">
      <c r="A154" s="6692"/>
      <c r="B154" s="6702"/>
      <c r="C154" s="6702" t="s">
        <v>43</v>
      </c>
      <c r="D154" s="6702"/>
      <c r="E154" s="6702"/>
      <c r="F154" s="6702"/>
      <c r="G154" s="6702"/>
      <c r="H154" s="6702"/>
      <c r="I154" s="6702"/>
      <c r="J154" s="6702"/>
      <c r="K154" s="6702"/>
      <c r="L154" s="6702"/>
      <c r="M154" s="6702"/>
      <c r="N154" s="6702"/>
      <c r="O154" s="6702"/>
      <c r="P154" s="6702"/>
      <c r="Q154" s="6702"/>
      <c r="R154" s="6702"/>
      <c r="S154" s="6702"/>
      <c r="T154" s="6702"/>
      <c r="U154" s="6702"/>
      <c r="V154" s="6702"/>
      <c r="W154" s="6702"/>
      <c r="X154" s="6702"/>
      <c r="Y154" s="6702"/>
      <c r="Z154" s="6702"/>
      <c r="AA154" s="6702"/>
      <c r="AB154" s="6702"/>
      <c r="AC154" s="6702"/>
      <c r="AD154" s="6702"/>
      <c r="AE154" s="6702"/>
      <c r="AF154" s="6702"/>
      <c r="AG154" s="6702"/>
      <c r="AH154" s="6702"/>
      <c r="AI154" s="6702"/>
      <c r="AJ154" s="6702"/>
      <c r="AK154" s="6702"/>
      <c r="AL154" s="6702"/>
      <c r="AM154" s="6702"/>
      <c r="AN154" s="6702"/>
      <c r="AO154" s="6313"/>
      <c r="AP154" s="6706"/>
      <c r="AQ154" s="6789"/>
      <c r="AR154" s="6789"/>
      <c r="AS154" s="6789"/>
      <c r="AT154" s="6789"/>
      <c r="AU154" s="6789"/>
      <c r="AV154" s="6789"/>
      <c r="AW154" s="6789"/>
      <c r="AX154" s="6789"/>
      <c r="AY154" s="6789"/>
      <c r="AZ154" s="6789"/>
      <c r="BA154" s="6789"/>
      <c r="BB154" s="6789"/>
      <c r="BC154" s="6790"/>
      <c r="BD154" s="2877"/>
      <c r="BE154" s="6712"/>
      <c r="BF154" s="6712"/>
      <c r="BG154" s="2877"/>
      <c r="BH154" s="2877"/>
      <c r="BI154" s="2877"/>
      <c r="BJ154" s="2877"/>
      <c r="BK154" s="2877"/>
      <c r="BL154" s="2877"/>
      <c r="BM154" s="2877"/>
      <c r="BN154" s="2877"/>
      <c r="BO154" s="2877"/>
      <c r="BP154" s="6317"/>
      <c r="BQ154" s="6354">
        <v>2.6425338200000001</v>
      </c>
      <c r="BR154" s="6713">
        <v>2.6303095500000002</v>
      </c>
      <c r="BS154" s="6712">
        <v>4.6336322699999997</v>
      </c>
      <c r="BT154" s="2877">
        <v>6.5126472</v>
      </c>
      <c r="BU154" s="2877">
        <v>7.9611752999999998</v>
      </c>
      <c r="BV154" s="6354">
        <v>6.6979291500000002</v>
      </c>
      <c r="BW154" s="2877">
        <v>9.1818255400000002</v>
      </c>
      <c r="BX154" s="6354">
        <v>9.6723374399999997</v>
      </c>
      <c r="BY154" s="2877">
        <v>7.8907824</v>
      </c>
      <c r="BZ154" s="2877">
        <v>10.26141917</v>
      </c>
      <c r="CA154" s="2877">
        <v>5.8026807600000003</v>
      </c>
      <c r="CB154" s="2877">
        <v>5.64206159</v>
      </c>
      <c r="CC154" s="6609"/>
      <c r="CD154" s="2862"/>
      <c r="CE154" s="6322">
        <f t="shared" si="113"/>
        <v>-0.16061917000000037</v>
      </c>
      <c r="CF154" s="2892">
        <f t="shared" si="138"/>
        <v>5.64206159</v>
      </c>
      <c r="CG154" s="2892"/>
      <c r="CH154" s="6349">
        <f t="shared" si="115"/>
        <v>79.52933419</v>
      </c>
      <c r="CI154" s="6685"/>
      <c r="CJ154" s="2792"/>
      <c r="CK154" s="6711">
        <f t="shared" si="139"/>
        <v>79.52933419</v>
      </c>
      <c r="CL154" s="5138"/>
      <c r="CM154" s="2488"/>
      <c r="CN154" s="2488"/>
      <c r="CO154" s="2488"/>
      <c r="CP154" s="2488"/>
      <c r="CQ154" s="2488"/>
      <c r="CR154" s="2488"/>
      <c r="CS154" s="2488"/>
      <c r="CT154" s="2488"/>
      <c r="CU154" s="2488"/>
      <c r="CV154" s="2488"/>
      <c r="CW154" s="2488"/>
      <c r="CX154" s="2488"/>
      <c r="CY154" s="2488"/>
      <c r="CZ154" s="2488"/>
      <c r="DB154" s="4439"/>
      <c r="DC154" s="4439"/>
      <c r="DF154" s="4439"/>
      <c r="DG154" s="4439"/>
    </row>
    <row r="155" spans="1:111" ht="16.3" customHeight="1" x14ac:dyDescent="0.55000000000000004">
      <c r="A155" s="6692"/>
      <c r="B155" s="6702"/>
      <c r="C155" s="6702" t="s">
        <v>14</v>
      </c>
      <c r="D155" s="6702"/>
      <c r="E155" s="6702"/>
      <c r="F155" s="6702"/>
      <c r="G155" s="6702"/>
      <c r="H155" s="6702"/>
      <c r="I155" s="6702"/>
      <c r="J155" s="6702"/>
      <c r="K155" s="6702"/>
      <c r="L155" s="6702"/>
      <c r="M155" s="6702"/>
      <c r="N155" s="6702"/>
      <c r="O155" s="6702"/>
      <c r="P155" s="6702"/>
      <c r="Q155" s="6702"/>
      <c r="R155" s="6702"/>
      <c r="S155" s="6702"/>
      <c r="T155" s="6702"/>
      <c r="U155" s="6702"/>
      <c r="V155" s="6702"/>
      <c r="W155" s="6702"/>
      <c r="X155" s="6702"/>
      <c r="Y155" s="6702"/>
      <c r="Z155" s="6702"/>
      <c r="AA155" s="6702"/>
      <c r="AB155" s="6702"/>
      <c r="AC155" s="6702"/>
      <c r="AD155" s="6702"/>
      <c r="AE155" s="6702"/>
      <c r="AF155" s="6702"/>
      <c r="AG155" s="6702"/>
      <c r="AH155" s="6702"/>
      <c r="AI155" s="6702"/>
      <c r="AJ155" s="6702"/>
      <c r="AK155" s="6702"/>
      <c r="AL155" s="6702"/>
      <c r="AM155" s="6702"/>
      <c r="AN155" s="6702"/>
      <c r="AO155" s="6313"/>
      <c r="AP155" s="6706"/>
      <c r="AQ155" s="6789"/>
      <c r="AR155" s="6789"/>
      <c r="AS155" s="6789"/>
      <c r="AT155" s="6789"/>
      <c r="AU155" s="6789"/>
      <c r="AV155" s="6789"/>
      <c r="AW155" s="6789"/>
      <c r="AX155" s="6789"/>
      <c r="AY155" s="6789"/>
      <c r="AZ155" s="6789"/>
      <c r="BA155" s="6789"/>
      <c r="BB155" s="6789"/>
      <c r="BC155" s="6790"/>
      <c r="BD155" s="2877"/>
      <c r="BE155" s="6712"/>
      <c r="BF155" s="6712"/>
      <c r="BG155" s="2877"/>
      <c r="BH155" s="2877"/>
      <c r="BI155" s="2877"/>
      <c r="BJ155" s="2877"/>
      <c r="BK155" s="2877"/>
      <c r="BL155" s="2877"/>
      <c r="BM155" s="2877"/>
      <c r="BN155" s="2877"/>
      <c r="BO155" s="2877"/>
      <c r="BP155" s="6317"/>
      <c r="BQ155" s="6792">
        <v>7.5349150000000004E-2</v>
      </c>
      <c r="BR155" s="6713">
        <v>0.37832009</v>
      </c>
      <c r="BS155" s="6712">
        <v>0.55641194999999999</v>
      </c>
      <c r="BT155" s="2877">
        <v>0.23169349</v>
      </c>
      <c r="BU155" s="2877">
        <v>0.25822068999999997</v>
      </c>
      <c r="BV155" s="6792">
        <v>0.27509021</v>
      </c>
      <c r="BW155" s="2877">
        <v>0.24734115000000001</v>
      </c>
      <c r="BX155" s="6792">
        <v>0.24730915000000001</v>
      </c>
      <c r="BY155" s="2877">
        <v>0.25919152847777055</v>
      </c>
      <c r="BZ155" s="2877">
        <v>0.25126404004073188</v>
      </c>
      <c r="CA155" s="2877">
        <v>0.24879911033969149</v>
      </c>
      <c r="CB155" s="2877">
        <v>0.21061056649238558</v>
      </c>
      <c r="CC155" s="6609"/>
      <c r="CD155" s="2862"/>
      <c r="CE155" s="6322">
        <f t="shared" ref="CE155:CE158" si="154">CB155-CA155</f>
        <v>-3.8188543847305911E-2</v>
      </c>
      <c r="CF155" s="2892">
        <f t="shared" si="138"/>
        <v>0.21061056649238558</v>
      </c>
      <c r="CG155" s="2892"/>
      <c r="CH155" s="6349">
        <f t="shared" ref="CH155:CH158" si="155">SUM(BQ155:CB155)</f>
        <v>3.2396011253505792</v>
      </c>
      <c r="CI155" s="6685"/>
      <c r="CJ155" s="2792"/>
      <c r="CK155" s="6711">
        <f t="shared" si="139"/>
        <v>3.2396011253505792</v>
      </c>
      <c r="CL155" s="5138"/>
      <c r="CM155" s="2488"/>
      <c r="CN155" s="2488"/>
      <c r="CO155" s="2488"/>
      <c r="CP155" s="2488"/>
      <c r="CQ155" s="2488"/>
      <c r="CR155" s="2488"/>
      <c r="CS155" s="2488"/>
      <c r="CT155" s="2488"/>
      <c r="CU155" s="2488"/>
      <c r="CV155" s="2488"/>
      <c r="CW155" s="2488"/>
      <c r="CX155" s="2488"/>
      <c r="CY155" s="2488"/>
      <c r="CZ155" s="2488"/>
      <c r="DB155" s="4439"/>
      <c r="DC155" s="4439"/>
      <c r="DF155" s="4439"/>
      <c r="DG155" s="4439"/>
    </row>
    <row r="156" spans="1:111" ht="16.3" customHeight="1" x14ac:dyDescent="0.55000000000000004">
      <c r="A156" s="6692"/>
      <c r="B156" s="6702"/>
      <c r="C156" s="6702" t="s">
        <v>16</v>
      </c>
      <c r="D156" s="6702"/>
      <c r="E156" s="6702"/>
      <c r="F156" s="6702"/>
      <c r="G156" s="6702"/>
      <c r="H156" s="6702"/>
      <c r="I156" s="6702"/>
      <c r="J156" s="6702"/>
      <c r="K156" s="6702"/>
      <c r="L156" s="6702"/>
      <c r="M156" s="6702"/>
      <c r="N156" s="6702"/>
      <c r="O156" s="6702"/>
      <c r="P156" s="6702"/>
      <c r="Q156" s="6702"/>
      <c r="R156" s="6702"/>
      <c r="S156" s="6702"/>
      <c r="T156" s="6702"/>
      <c r="U156" s="6702"/>
      <c r="V156" s="6702"/>
      <c r="W156" s="6702"/>
      <c r="X156" s="6702"/>
      <c r="Y156" s="6702"/>
      <c r="Z156" s="6702"/>
      <c r="AA156" s="6702"/>
      <c r="AB156" s="6702"/>
      <c r="AC156" s="6702"/>
      <c r="AD156" s="6702"/>
      <c r="AE156" s="6702"/>
      <c r="AF156" s="6702"/>
      <c r="AG156" s="6702"/>
      <c r="AH156" s="6702"/>
      <c r="AI156" s="6702"/>
      <c r="AJ156" s="6702"/>
      <c r="AK156" s="6702"/>
      <c r="AL156" s="6702"/>
      <c r="AM156" s="6702"/>
      <c r="AN156" s="6702"/>
      <c r="AO156" s="6313"/>
      <c r="AP156" s="6706"/>
      <c r="AQ156" s="6789"/>
      <c r="AR156" s="6789"/>
      <c r="AS156" s="6789"/>
      <c r="AT156" s="6789"/>
      <c r="AU156" s="6789"/>
      <c r="AV156" s="6789"/>
      <c r="AW156" s="6789"/>
      <c r="AX156" s="6789"/>
      <c r="AY156" s="6789"/>
      <c r="AZ156" s="6789"/>
      <c r="BA156" s="6789"/>
      <c r="BB156" s="6789"/>
      <c r="BC156" s="6790"/>
      <c r="BD156" s="2877"/>
      <c r="BE156" s="6712"/>
      <c r="BF156" s="6712"/>
      <c r="BG156" s="2877"/>
      <c r="BH156" s="2877"/>
      <c r="BI156" s="2877"/>
      <c r="BJ156" s="2877"/>
      <c r="BK156" s="2877"/>
      <c r="BL156" s="2877"/>
      <c r="BM156" s="2877"/>
      <c r="BN156" s="2877"/>
      <c r="BO156" s="2877"/>
      <c r="BP156" s="6317"/>
      <c r="BQ156" s="6792">
        <v>0.56926029466315398</v>
      </c>
      <c r="BR156" s="6713">
        <v>0.72226262690654608</v>
      </c>
      <c r="BS156" s="6712">
        <v>0.93922987151169135</v>
      </c>
      <c r="BT156" s="2877">
        <v>0.82690314781310681</v>
      </c>
      <c r="BU156" s="2877">
        <v>0.7974361701303232</v>
      </c>
      <c r="BV156" s="6792">
        <v>0.7400661709717874</v>
      </c>
      <c r="BW156" s="2877">
        <v>0.88315218270505402</v>
      </c>
      <c r="BX156" s="6792">
        <v>0.67992008220246525</v>
      </c>
      <c r="BY156" s="2877">
        <v>0.6556577884750997</v>
      </c>
      <c r="BZ156" s="2877">
        <v>0.66760965560390861</v>
      </c>
      <c r="CA156" s="2877">
        <v>0.59206332346075896</v>
      </c>
      <c r="CB156" s="2877">
        <v>0.76450663035694288</v>
      </c>
      <c r="CC156" s="6609"/>
      <c r="CD156" s="2862"/>
      <c r="CE156" s="6322">
        <f t="shared" si="154"/>
        <v>0.17244330689618392</v>
      </c>
      <c r="CF156" s="2892">
        <f t="shared" si="138"/>
        <v>0.76450663035694288</v>
      </c>
      <c r="CG156" s="2892"/>
      <c r="CH156" s="6349">
        <f t="shared" si="155"/>
        <v>8.8380679448008372</v>
      </c>
      <c r="CI156" s="6685"/>
      <c r="CJ156" s="2792"/>
      <c r="CK156" s="6711">
        <f t="shared" si="139"/>
        <v>8.8380679448008372</v>
      </c>
      <c r="CL156" s="5138"/>
      <c r="CM156" s="2488"/>
      <c r="CN156" s="2488"/>
      <c r="CO156" s="2488"/>
      <c r="CP156" s="2488"/>
      <c r="CQ156" s="2488"/>
      <c r="CR156" s="2488"/>
      <c r="CS156" s="2488"/>
      <c r="CT156" s="2488"/>
      <c r="CU156" s="2488"/>
      <c r="CV156" s="2488"/>
      <c r="CW156" s="2488"/>
      <c r="CX156" s="2488"/>
      <c r="CY156" s="2488"/>
      <c r="CZ156" s="2488"/>
      <c r="DB156" s="4439"/>
      <c r="DC156" s="4439"/>
      <c r="DF156" s="4439"/>
      <c r="DG156" s="4439"/>
    </row>
    <row r="157" spans="1:111" ht="16.3" customHeight="1" x14ac:dyDescent="0.55000000000000004">
      <c r="A157" s="6692"/>
      <c r="B157" s="6724" t="s">
        <v>17</v>
      </c>
      <c r="C157" s="6725"/>
      <c r="D157" s="6725"/>
      <c r="E157" s="6725"/>
      <c r="F157" s="6725"/>
      <c r="G157" s="6725"/>
      <c r="H157" s="6725"/>
      <c r="I157" s="6725"/>
      <c r="J157" s="6725"/>
      <c r="K157" s="6725"/>
      <c r="L157" s="6725"/>
      <c r="M157" s="6725"/>
      <c r="N157" s="6725"/>
      <c r="O157" s="6725"/>
      <c r="P157" s="6725"/>
      <c r="Q157" s="6725"/>
      <c r="R157" s="6725"/>
      <c r="S157" s="6725"/>
      <c r="T157" s="6725"/>
      <c r="U157" s="6725"/>
      <c r="V157" s="6725"/>
      <c r="W157" s="6725"/>
      <c r="X157" s="6725"/>
      <c r="Y157" s="6725"/>
      <c r="Z157" s="6725"/>
      <c r="AA157" s="6725"/>
      <c r="AB157" s="6725"/>
      <c r="AC157" s="6725"/>
      <c r="AD157" s="6725"/>
      <c r="AE157" s="6725"/>
      <c r="AF157" s="6725"/>
      <c r="AG157" s="6725"/>
      <c r="AH157" s="6725"/>
      <c r="AI157" s="6725"/>
      <c r="AJ157" s="6725"/>
      <c r="AK157" s="6725"/>
      <c r="AL157" s="6725"/>
      <c r="AM157" s="6725"/>
      <c r="AN157" s="6725"/>
      <c r="AO157" s="6726"/>
      <c r="AP157" s="6727"/>
      <c r="AQ157" s="6793"/>
      <c r="AR157" s="6793"/>
      <c r="AS157" s="6793"/>
      <c r="AT157" s="6793"/>
      <c r="AU157" s="6793"/>
      <c r="AV157" s="6793"/>
      <c r="AW157" s="6793"/>
      <c r="AX157" s="6793"/>
      <c r="AY157" s="6793"/>
      <c r="AZ157" s="6793"/>
      <c r="BA157" s="6793"/>
      <c r="BB157" s="6793"/>
      <c r="BC157" s="6794"/>
      <c r="BD157" s="2909"/>
      <c r="BE157" s="2909"/>
      <c r="BF157" s="2909"/>
      <c r="BG157" s="2909"/>
      <c r="BH157" s="2909"/>
      <c r="BI157" s="2909"/>
      <c r="BJ157" s="2909"/>
      <c r="BK157" s="2909"/>
      <c r="BL157" s="2909"/>
      <c r="BM157" s="2909"/>
      <c r="BN157" s="2909"/>
      <c r="BO157" s="2909"/>
      <c r="BP157" s="6777"/>
      <c r="BQ157" s="2909">
        <f>BQ146-BQ151-BQ158</f>
        <v>-4.1804479461800605</v>
      </c>
      <c r="BR157" s="2909">
        <f t="shared" ref="BR157:CB157" si="156">BR146-BR151-BR158</f>
        <v>-1.6603434504098429</v>
      </c>
      <c r="BS157" s="2909">
        <f t="shared" si="156"/>
        <v>-3.0069197009757249</v>
      </c>
      <c r="BT157" s="2909">
        <f t="shared" si="156"/>
        <v>-5.7874243047900924</v>
      </c>
      <c r="BU157" s="2909">
        <f t="shared" si="156"/>
        <v>-5.7833196762178662</v>
      </c>
      <c r="BV157" s="2909">
        <f t="shared" si="156"/>
        <v>-2.630973999323007</v>
      </c>
      <c r="BW157" s="2909">
        <f t="shared" si="156"/>
        <v>-1.5871862364982727</v>
      </c>
      <c r="BX157" s="2909">
        <f t="shared" si="156"/>
        <v>-4.4666765965718067</v>
      </c>
      <c r="BY157" s="2909">
        <f t="shared" si="156"/>
        <v>-0.21888727900188387</v>
      </c>
      <c r="BZ157" s="2909">
        <f t="shared" si="156"/>
        <v>-7.8679388933566372</v>
      </c>
      <c r="CA157" s="2909">
        <f t="shared" si="156"/>
        <v>-4.1149204803617163</v>
      </c>
      <c r="CB157" s="2909">
        <f t="shared" si="156"/>
        <v>-6.7900874340056001</v>
      </c>
      <c r="CC157" s="6609"/>
      <c r="CD157" s="2862"/>
      <c r="CE157" s="6733">
        <f t="shared" si="154"/>
        <v>-2.6751669536438838</v>
      </c>
      <c r="CF157" s="2914">
        <f t="shared" si="138"/>
        <v>-6.7900874340056001</v>
      </c>
      <c r="CG157" s="2914"/>
      <c r="CH157" s="6811">
        <f t="shared" si="155"/>
        <v>-48.095125997692513</v>
      </c>
      <c r="CI157" s="6685"/>
      <c r="CJ157" s="2792"/>
      <c r="CK157" s="6735">
        <f t="shared" si="139"/>
        <v>-48.095125997692513</v>
      </c>
      <c r="CL157" s="5138"/>
      <c r="CM157" s="2488"/>
      <c r="CN157" s="2488"/>
      <c r="CO157" s="2488"/>
      <c r="CP157" s="2488"/>
      <c r="CQ157" s="2488"/>
      <c r="CR157" s="2488"/>
      <c r="CS157" s="2488"/>
      <c r="CT157" s="2488"/>
      <c r="CU157" s="2488"/>
      <c r="CV157" s="2488"/>
      <c r="CW157" s="2488"/>
      <c r="CX157" s="2488"/>
      <c r="CY157" s="2488"/>
      <c r="CZ157" s="2488"/>
      <c r="DB157" s="4439"/>
      <c r="DC157" s="4439"/>
      <c r="DF157" s="4439"/>
      <c r="DG157" s="4439"/>
    </row>
    <row r="158" spans="1:111" ht="16.3" customHeight="1" thickBot="1" x14ac:dyDescent="0.6">
      <c r="A158" s="6740"/>
      <c r="B158" s="3412"/>
      <c r="C158" s="3412" t="s">
        <v>640</v>
      </c>
      <c r="D158" s="3412"/>
      <c r="E158" s="3412"/>
      <c r="F158" s="3412"/>
      <c r="G158" s="3412"/>
      <c r="H158" s="3412"/>
      <c r="I158" s="3412"/>
      <c r="J158" s="3412"/>
      <c r="K158" s="3412"/>
      <c r="L158" s="3412"/>
      <c r="M158" s="3412"/>
      <c r="N158" s="3412"/>
      <c r="O158" s="3412"/>
      <c r="P158" s="3412"/>
      <c r="Q158" s="3412"/>
      <c r="R158" s="3412"/>
      <c r="S158" s="3412"/>
      <c r="T158" s="3412"/>
      <c r="U158" s="3412"/>
      <c r="V158" s="3412"/>
      <c r="W158" s="3412"/>
      <c r="X158" s="3412"/>
      <c r="Y158" s="3412"/>
      <c r="Z158" s="3412"/>
      <c r="AA158" s="3412"/>
      <c r="AB158" s="3412"/>
      <c r="AC158" s="3412"/>
      <c r="AD158" s="3412"/>
      <c r="AE158" s="3412"/>
      <c r="AF158" s="3412"/>
      <c r="AG158" s="3412"/>
      <c r="AH158" s="3412"/>
      <c r="AI158" s="3412"/>
      <c r="AJ158" s="3412"/>
      <c r="AK158" s="3412"/>
      <c r="AL158" s="3412"/>
      <c r="AM158" s="3412"/>
      <c r="AN158" s="3412"/>
      <c r="AO158" s="3412"/>
      <c r="AP158" s="6795"/>
      <c r="AQ158" s="6796"/>
      <c r="AR158" s="6796"/>
      <c r="AS158" s="6796"/>
      <c r="AT158" s="6796"/>
      <c r="AU158" s="6796"/>
      <c r="AV158" s="6796"/>
      <c r="AW158" s="6796"/>
      <c r="AX158" s="6796"/>
      <c r="AY158" s="6796"/>
      <c r="AZ158" s="6796"/>
      <c r="BA158" s="6796"/>
      <c r="BB158" s="6796"/>
      <c r="BC158" s="6797"/>
      <c r="BD158" s="6746"/>
      <c r="BE158" s="6746"/>
      <c r="BF158" s="6746"/>
      <c r="BG158" s="6746"/>
      <c r="BH158" s="6746"/>
      <c r="BI158" s="6798"/>
      <c r="BJ158" s="6798"/>
      <c r="BK158" s="6798"/>
      <c r="BL158" s="6798"/>
      <c r="BM158" s="6798"/>
      <c r="BN158" s="6798"/>
      <c r="BO158" s="6798"/>
      <c r="BP158" s="6799"/>
      <c r="BQ158" s="6749">
        <v>-9.8613445138111364E-2</v>
      </c>
      <c r="BR158" s="6800">
        <v>0.9510991534000004</v>
      </c>
      <c r="BS158" s="6746">
        <v>0.23299815200000001</v>
      </c>
      <c r="BT158" s="6746">
        <v>0.2631332944</v>
      </c>
      <c r="BU158" s="6746">
        <v>0.73208289959999995</v>
      </c>
      <c r="BV158" s="6801">
        <v>0.16844787900000002</v>
      </c>
      <c r="BW158" s="6798">
        <v>0.36031641580000001</v>
      </c>
      <c r="BX158" s="6801">
        <v>0.97599312400000016</v>
      </c>
      <c r="BY158" s="6798">
        <v>0.18733223560000001</v>
      </c>
      <c r="BZ158" s="6798">
        <v>0.52126263986186139</v>
      </c>
      <c r="CA158" s="6798">
        <v>0.6787111040001208</v>
      </c>
      <c r="CB158" s="6798">
        <v>0.47380438748718262</v>
      </c>
      <c r="CC158" s="6802"/>
      <c r="CD158" s="6803"/>
      <c r="CE158" s="6750">
        <f t="shared" si="154"/>
        <v>-0.20490671651293818</v>
      </c>
      <c r="CF158" s="2918">
        <f t="shared" si="138"/>
        <v>0.47380438748718262</v>
      </c>
      <c r="CG158" s="2918"/>
      <c r="CH158" s="6804">
        <f t="shared" si="155"/>
        <v>5.4465678400110535</v>
      </c>
      <c r="CI158" s="6805"/>
      <c r="CJ158" s="6806"/>
      <c r="CK158" s="6787">
        <f t="shared" si="139"/>
        <v>5.4465678400110535</v>
      </c>
      <c r="CL158" s="5138"/>
      <c r="CM158" s="2488"/>
      <c r="CN158" s="2488"/>
      <c r="CO158" s="2488"/>
      <c r="CP158" s="2488"/>
      <c r="CQ158" s="2488"/>
      <c r="CR158" s="2488"/>
      <c r="CS158" s="2488"/>
      <c r="CT158" s="2488"/>
      <c r="CU158" s="2488"/>
      <c r="CV158" s="2488"/>
      <c r="CW158" s="2488"/>
      <c r="CX158" s="2488"/>
      <c r="CY158" s="2488"/>
      <c r="CZ158" s="2488"/>
      <c r="DB158" s="4439"/>
      <c r="DC158" s="4439"/>
      <c r="DF158" s="4439"/>
      <c r="DG158" s="4439"/>
    </row>
    <row r="159" spans="1:111" x14ac:dyDescent="0.55000000000000004">
      <c r="AQ159" s="6812"/>
      <c r="BD159" s="6813"/>
      <c r="BE159" s="6813"/>
      <c r="BF159" s="6813"/>
      <c r="BG159" s="6813"/>
      <c r="BH159" s="6813"/>
      <c r="BI159" s="6813"/>
      <c r="BJ159" s="6813"/>
      <c r="BK159" s="6813"/>
      <c r="BL159" s="6813"/>
      <c r="BM159" s="6813"/>
      <c r="BO159" s="6813"/>
      <c r="BP159" s="6813"/>
      <c r="BQ159" s="6813"/>
      <c r="BS159" s="6813"/>
      <c r="BT159" s="6813"/>
      <c r="BU159" s="6813"/>
      <c r="BV159" s="6813"/>
      <c r="BW159" s="6813"/>
      <c r="BX159" s="6813"/>
      <c r="BY159" s="6813"/>
      <c r="BZ159" s="6813"/>
      <c r="CB159" s="6813"/>
      <c r="DB159" s="4439"/>
      <c r="DC159" s="4439"/>
      <c r="DF159" s="4439"/>
      <c r="DG159" s="4439"/>
    </row>
    <row r="166" spans="1:85" ht="27.45" thickBot="1" x14ac:dyDescent="0.6">
      <c r="A166" s="6814" t="s">
        <v>718</v>
      </c>
      <c r="F166" s="3311"/>
      <c r="G166" s="3311"/>
      <c r="H166" s="3311"/>
      <c r="I166" s="3311">
        <v>1000000</v>
      </c>
      <c r="J166" s="3311">
        <v>21227.5</v>
      </c>
      <c r="K166" s="3311">
        <v>2797.8</v>
      </c>
      <c r="L166" s="3311">
        <v>-9071.2999999999993</v>
      </c>
      <c r="M166" s="3311" t="e">
        <f>J166/SUM($AH$2:$AI$2)</f>
        <v>#DIV/0!</v>
      </c>
      <c r="N166" s="3311" t="e">
        <f>K166/SUM($AH$2:$AI$2)</f>
        <v>#DIV/0!</v>
      </c>
      <c r="O166" s="3311" t="e">
        <f>$AJ$2*M166</f>
        <v>#DIV/0!</v>
      </c>
      <c r="P166" s="3311" t="e">
        <f>$AJ$2*N166</f>
        <v>#DIV/0!</v>
      </c>
      <c r="Q166" s="3311"/>
      <c r="R166" s="3311"/>
      <c r="S166" s="3311"/>
      <c r="T166" s="3311"/>
      <c r="U166" s="3311">
        <v>1000000</v>
      </c>
      <c r="V166" s="3311">
        <v>21227.5</v>
      </c>
      <c r="W166" s="3311">
        <v>2797.8</v>
      </c>
      <c r="X166" s="3311">
        <v>-9071.2999999999993</v>
      </c>
      <c r="Y166" s="3311" t="e">
        <f>V166/SUM($AH$2:$AI$2)</f>
        <v>#DIV/0!</v>
      </c>
      <c r="Z166" s="3311" t="e">
        <f>W166/SUM($AH$2:$AI$2)</f>
        <v>#DIV/0!</v>
      </c>
      <c r="AA166" s="3311" t="e">
        <f>$AJ$2*Y166</f>
        <v>#DIV/0!</v>
      </c>
      <c r="AB166" s="3311" t="e">
        <f>$AJ$2*Z166</f>
        <v>#DIV/0!</v>
      </c>
      <c r="AC166" s="3311"/>
      <c r="AD166" s="3311"/>
      <c r="AE166" s="3311">
        <v>1000000</v>
      </c>
      <c r="AF166" s="3311"/>
      <c r="AG166" s="3311">
        <v>1000000</v>
      </c>
      <c r="AH166" s="3311">
        <v>21227.5</v>
      </c>
      <c r="AI166" s="3311">
        <v>2797.8</v>
      </c>
      <c r="AJ166" s="3311">
        <v>-9071.2999999999993</v>
      </c>
      <c r="AK166" s="3311" t="e">
        <f>AH166/SUM($AH$2:$AI$2)</f>
        <v>#DIV/0!</v>
      </c>
      <c r="AL166" s="3311" t="e">
        <f>AI166/SUM($AH$2:$AI$2)</f>
        <v>#DIV/0!</v>
      </c>
      <c r="AM166" s="3311" t="e">
        <f>$AJ$2*AK166</f>
        <v>#DIV/0!</v>
      </c>
      <c r="AN166" s="3311" t="e">
        <f>$AJ$2*AL166</f>
        <v>#DIV/0!</v>
      </c>
      <c r="AO166" s="3311"/>
      <c r="AP166" s="6080"/>
      <c r="AS166" s="2488"/>
      <c r="AU166" s="2488"/>
      <c r="AV166" s="2488"/>
      <c r="AW166" s="4518"/>
      <c r="AY166" s="2488"/>
      <c r="AZ166" s="4518"/>
      <c r="BD166" s="3053"/>
      <c r="BQ166" s="3053"/>
    </row>
    <row r="167" spans="1:85" ht="21.9" thickBot="1" x14ac:dyDescent="0.6">
      <c r="B167" s="2450"/>
      <c r="C167" s="2450"/>
      <c r="D167" s="2450"/>
      <c r="E167" s="6089"/>
      <c r="F167" s="6090" t="s">
        <v>684</v>
      </c>
      <c r="G167" s="6091"/>
      <c r="H167" s="6091"/>
      <c r="I167" s="6092"/>
      <c r="J167" s="6092"/>
      <c r="K167" s="6092"/>
      <c r="L167" s="6092"/>
      <c r="M167" s="6093">
        <f>M169-M171-M178</f>
        <v>-1</v>
      </c>
      <c r="N167" s="6092"/>
      <c r="O167" s="6092"/>
      <c r="P167" s="6092"/>
      <c r="Q167" s="6094"/>
      <c r="R167" s="6095" t="s">
        <v>685</v>
      </c>
      <c r="S167" s="6096"/>
      <c r="T167" s="6096"/>
      <c r="U167" s="6096"/>
      <c r="V167" s="6096"/>
      <c r="W167" s="6096"/>
      <c r="X167" s="6096"/>
      <c r="Y167" s="6815">
        <f>Y169-Y171-Y178</f>
        <v>-1</v>
      </c>
      <c r="Z167" s="6096"/>
      <c r="AA167" s="6096"/>
      <c r="AB167" s="6096"/>
      <c r="AC167" s="6096"/>
      <c r="AD167" s="6098" t="s">
        <v>686</v>
      </c>
      <c r="AE167" s="6099"/>
      <c r="AF167" s="6099"/>
      <c r="AG167" s="6099"/>
      <c r="AH167" s="6099"/>
      <c r="AI167" s="6099"/>
      <c r="AJ167" s="6099"/>
      <c r="AK167" s="6100">
        <f>AK169-AK171-AK178</f>
        <v>-1</v>
      </c>
      <c r="AL167" s="6099"/>
      <c r="AM167" s="6101"/>
      <c r="AN167" s="6101"/>
      <c r="AO167" s="6101"/>
      <c r="AP167" s="6101"/>
      <c r="AQ167" s="6816" t="s">
        <v>687</v>
      </c>
      <c r="AR167" s="6103"/>
      <c r="AS167" s="6103"/>
      <c r="AT167" s="6103"/>
      <c r="AU167" s="6103"/>
      <c r="AV167" s="6103"/>
      <c r="AW167" s="6103"/>
      <c r="AX167" s="6103"/>
      <c r="AY167" s="6103"/>
      <c r="AZ167" s="6103"/>
      <c r="BA167" s="6103"/>
      <c r="BB167" s="6103"/>
      <c r="BC167" s="6104"/>
      <c r="BD167" s="7092" t="s">
        <v>1</v>
      </c>
      <c r="BE167" s="7092"/>
      <c r="BF167" s="7092"/>
      <c r="BG167" s="7092"/>
      <c r="BH167" s="7092"/>
      <c r="BI167" s="7092"/>
      <c r="BJ167" s="7092"/>
      <c r="BK167" s="7092"/>
      <c r="BL167" s="7092"/>
      <c r="BM167" s="7092"/>
      <c r="BN167" s="7092"/>
      <c r="BO167" s="7092"/>
      <c r="BP167" s="7092"/>
      <c r="BQ167" s="7092"/>
      <c r="BR167" s="7092"/>
      <c r="BS167" s="7092"/>
      <c r="BT167" s="7092"/>
      <c r="BU167" s="7092"/>
      <c r="BV167" s="7092"/>
      <c r="BW167" s="7092"/>
      <c r="BX167" s="7092"/>
      <c r="BY167" s="7092"/>
      <c r="BZ167" s="7092"/>
      <c r="CA167" s="7092"/>
      <c r="CB167" s="7092"/>
      <c r="CC167" s="7092"/>
      <c r="CD167" s="7092"/>
      <c r="CE167" s="7092"/>
      <c r="CF167" s="7092"/>
      <c r="CG167" s="5229"/>
    </row>
    <row r="168" spans="1:85" ht="16.75" thickBot="1" x14ac:dyDescent="0.6">
      <c r="A168" s="7081" t="s">
        <v>127</v>
      </c>
      <c r="B168" s="7082"/>
      <c r="C168" s="7082"/>
      <c r="D168" s="7083"/>
      <c r="E168" s="6112" t="s">
        <v>128</v>
      </c>
      <c r="F168" s="6817" t="s">
        <v>688</v>
      </c>
      <c r="G168" s="6818" t="s">
        <v>689</v>
      </c>
      <c r="H168" s="6818" t="s">
        <v>690</v>
      </c>
      <c r="I168" s="6818" t="s">
        <v>691</v>
      </c>
      <c r="J168" s="6818" t="s">
        <v>692</v>
      </c>
      <c r="K168" s="6818" t="s">
        <v>693</v>
      </c>
      <c r="L168" s="6818" t="s">
        <v>694</v>
      </c>
      <c r="M168" s="6818" t="s">
        <v>695</v>
      </c>
      <c r="N168" s="6818" t="s">
        <v>696</v>
      </c>
      <c r="O168" s="6818" t="s">
        <v>697</v>
      </c>
      <c r="P168" s="6818" t="s">
        <v>698</v>
      </c>
      <c r="Q168" s="6819" t="s">
        <v>699</v>
      </c>
      <c r="R168" s="6820" t="s">
        <v>700</v>
      </c>
      <c r="S168" s="6820" t="s">
        <v>701</v>
      </c>
      <c r="T168" s="6820" t="s">
        <v>702</v>
      </c>
      <c r="U168" s="6820" t="s">
        <v>703</v>
      </c>
      <c r="V168" s="6820" t="s">
        <v>704</v>
      </c>
      <c r="W168" s="6820" t="s">
        <v>705</v>
      </c>
      <c r="X168" s="6820" t="s">
        <v>706</v>
      </c>
      <c r="Y168" s="6820" t="s">
        <v>707</v>
      </c>
      <c r="Z168" s="6820" t="s">
        <v>708</v>
      </c>
      <c r="AA168" s="6820" t="s">
        <v>709</v>
      </c>
      <c r="AB168" s="6820" t="s">
        <v>710</v>
      </c>
      <c r="AC168" s="6820" t="s">
        <v>711</v>
      </c>
      <c r="AD168" s="6821" t="s">
        <v>500</v>
      </c>
      <c r="AE168" s="6822" t="s">
        <v>381</v>
      </c>
      <c r="AF168" s="6822" t="s">
        <v>382</v>
      </c>
      <c r="AG168" s="6822" t="s">
        <v>383</v>
      </c>
      <c r="AH168" s="6822" t="s">
        <v>384</v>
      </c>
      <c r="AI168" s="6822" t="s">
        <v>385</v>
      </c>
      <c r="AJ168" s="6822" t="s">
        <v>386</v>
      </c>
      <c r="AK168" s="6822" t="s">
        <v>387</v>
      </c>
      <c r="AL168" s="6822" t="s">
        <v>388</v>
      </c>
      <c r="AM168" s="6822" t="s">
        <v>389</v>
      </c>
      <c r="AN168" s="6822" t="s">
        <v>390</v>
      </c>
      <c r="AO168" s="6822" t="s">
        <v>391</v>
      </c>
      <c r="AP168" s="6822"/>
      <c r="AQ168" s="6823" t="s">
        <v>581</v>
      </c>
      <c r="AR168" s="6824" t="s">
        <v>582</v>
      </c>
      <c r="AS168" s="6824" t="s">
        <v>583</v>
      </c>
      <c r="AT168" s="6824" t="s">
        <v>584</v>
      </c>
      <c r="AU168" s="6824" t="s">
        <v>585</v>
      </c>
      <c r="AV168" s="6824" t="s">
        <v>586</v>
      </c>
      <c r="AW168" s="6824" t="s">
        <v>587</v>
      </c>
      <c r="AX168" s="6824" t="s">
        <v>588</v>
      </c>
      <c r="AY168" s="6824" t="s">
        <v>589</v>
      </c>
      <c r="AZ168" s="6824" t="s">
        <v>590</v>
      </c>
      <c r="BA168" s="6824" t="s">
        <v>591</v>
      </c>
      <c r="BB168" s="6824" t="s">
        <v>592</v>
      </c>
      <c r="BC168" s="6825" t="s">
        <v>593</v>
      </c>
      <c r="BD168" s="6826" t="s">
        <v>2</v>
      </c>
      <c r="BE168" s="6826" t="s">
        <v>3</v>
      </c>
      <c r="BF168" s="6826" t="s">
        <v>159</v>
      </c>
      <c r="BG168" s="6826" t="s">
        <v>358</v>
      </c>
      <c r="BH168" s="6826" t="s">
        <v>359</v>
      </c>
      <c r="BI168" s="6826" t="s">
        <v>649</v>
      </c>
      <c r="BJ168" s="6826" t="s">
        <v>712</v>
      </c>
      <c r="BK168" s="6826" t="s">
        <v>713</v>
      </c>
      <c r="BL168" s="6826" t="s">
        <v>363</v>
      </c>
      <c r="BM168" s="6826" t="s">
        <v>364</v>
      </c>
      <c r="BN168" s="6827" t="s">
        <v>365</v>
      </c>
      <c r="BO168" s="6826" t="s">
        <v>366</v>
      </c>
      <c r="BP168" s="6826"/>
      <c r="BQ168" s="6126" t="s">
        <v>1021</v>
      </c>
      <c r="BR168" s="6127" t="s">
        <v>1022</v>
      </c>
      <c r="BS168" s="6126" t="s">
        <v>1024</v>
      </c>
      <c r="BT168" s="6126" t="s">
        <v>1025</v>
      </c>
      <c r="BU168" s="6126" t="s">
        <v>1026</v>
      </c>
      <c r="BV168" s="6126" t="s">
        <v>1027</v>
      </c>
      <c r="BW168" s="6126" t="s">
        <v>1028</v>
      </c>
      <c r="BX168" s="6126" t="s">
        <v>1029</v>
      </c>
      <c r="BY168" s="6126" t="s">
        <v>1030</v>
      </c>
      <c r="BZ168" s="6126" t="s">
        <v>1031</v>
      </c>
      <c r="CA168" s="6126" t="s">
        <v>1032</v>
      </c>
      <c r="CB168" s="6126" t="s">
        <v>1033</v>
      </c>
      <c r="CC168" s="6826" t="s">
        <v>8</v>
      </c>
      <c r="CD168" s="6826" t="s">
        <v>9</v>
      </c>
      <c r="CE168" s="6828" t="s">
        <v>133</v>
      </c>
      <c r="CF168" s="6829" t="s">
        <v>463</v>
      </c>
      <c r="CG168" s="6830"/>
    </row>
    <row r="169" spans="1:85" x14ac:dyDescent="0.55000000000000004">
      <c r="A169" s="6831" t="s">
        <v>1211</v>
      </c>
      <c r="B169" s="4102"/>
      <c r="C169" s="4102"/>
      <c r="D169" s="4102"/>
      <c r="E169" s="4102"/>
      <c r="F169" s="6832" t="b">
        <f t="shared" ref="F169:AO169" si="157">ROUND(F5,1)=ROUND(F11+F12+F50+F53,1)</f>
        <v>1</v>
      </c>
      <c r="G169" s="6833" t="b">
        <f t="shared" si="157"/>
        <v>1</v>
      </c>
      <c r="H169" s="6833" t="b">
        <f t="shared" si="157"/>
        <v>1</v>
      </c>
      <c r="I169" s="6833" t="b">
        <f t="shared" si="157"/>
        <v>1</v>
      </c>
      <c r="J169" s="6833" t="b">
        <f t="shared" si="157"/>
        <v>1</v>
      </c>
      <c r="K169" s="6833" t="b">
        <f t="shared" si="157"/>
        <v>1</v>
      </c>
      <c r="L169" s="6833" t="b">
        <f t="shared" si="157"/>
        <v>1</v>
      </c>
      <c r="M169" s="6833" t="b">
        <f t="shared" si="157"/>
        <v>1</v>
      </c>
      <c r="N169" s="6833" t="b">
        <f t="shared" si="157"/>
        <v>1</v>
      </c>
      <c r="O169" s="6833" t="b">
        <f t="shared" si="157"/>
        <v>1</v>
      </c>
      <c r="P169" s="6833" t="b">
        <f t="shared" si="157"/>
        <v>1</v>
      </c>
      <c r="Q169" s="6834" t="b">
        <f t="shared" si="157"/>
        <v>1</v>
      </c>
      <c r="R169" s="6134" t="b">
        <f t="shared" si="157"/>
        <v>1</v>
      </c>
      <c r="S169" s="6134" t="b">
        <f t="shared" si="157"/>
        <v>1</v>
      </c>
      <c r="T169" s="6134" t="b">
        <f t="shared" si="157"/>
        <v>1</v>
      </c>
      <c r="U169" s="6134" t="b">
        <f t="shared" si="157"/>
        <v>1</v>
      </c>
      <c r="V169" s="6134" t="b">
        <f t="shared" si="157"/>
        <v>1</v>
      </c>
      <c r="W169" s="6134" t="b">
        <f t="shared" si="157"/>
        <v>1</v>
      </c>
      <c r="X169" s="6134" t="b">
        <f t="shared" si="157"/>
        <v>1</v>
      </c>
      <c r="Y169" s="6134" t="b">
        <f t="shared" si="157"/>
        <v>1</v>
      </c>
      <c r="Z169" s="6134" t="b">
        <f t="shared" si="157"/>
        <v>1</v>
      </c>
      <c r="AA169" s="6134" t="b">
        <f t="shared" si="157"/>
        <v>1</v>
      </c>
      <c r="AB169" s="6134" t="b">
        <f t="shared" si="157"/>
        <v>1</v>
      </c>
      <c r="AC169" s="6134" t="b">
        <f t="shared" si="157"/>
        <v>1</v>
      </c>
      <c r="AD169" s="6133" t="b">
        <f t="shared" si="157"/>
        <v>1</v>
      </c>
      <c r="AE169" s="6134" t="b">
        <f t="shared" si="157"/>
        <v>1</v>
      </c>
      <c r="AF169" s="6134" t="b">
        <f t="shared" si="157"/>
        <v>1</v>
      </c>
      <c r="AG169" s="6134" t="b">
        <f t="shared" si="157"/>
        <v>1</v>
      </c>
      <c r="AH169" s="6134" t="b">
        <f t="shared" si="157"/>
        <v>1</v>
      </c>
      <c r="AI169" s="6136" t="b">
        <f t="shared" si="157"/>
        <v>1</v>
      </c>
      <c r="AJ169" s="6134" t="b">
        <f t="shared" si="157"/>
        <v>1</v>
      </c>
      <c r="AK169" s="6134" t="b">
        <f t="shared" si="157"/>
        <v>1</v>
      </c>
      <c r="AL169" s="6134" t="b">
        <f t="shared" si="157"/>
        <v>1</v>
      </c>
      <c r="AM169" s="6134" t="b">
        <f t="shared" si="157"/>
        <v>1</v>
      </c>
      <c r="AN169" s="6134" t="b">
        <f t="shared" si="157"/>
        <v>1</v>
      </c>
      <c r="AO169" s="6134" t="b">
        <f t="shared" si="157"/>
        <v>1</v>
      </c>
      <c r="AP169" s="6157"/>
      <c r="AQ169" s="6835" t="b">
        <f t="shared" ref="AQ169:BO169" si="158">ROUND(AQ5,1)=ROUND(AQ11+AQ12+AQ50+AQ53,1)</f>
        <v>1</v>
      </c>
      <c r="AR169" s="6836" t="b">
        <f t="shared" si="158"/>
        <v>1</v>
      </c>
      <c r="AS169" s="6836" t="b">
        <f t="shared" si="158"/>
        <v>1</v>
      </c>
      <c r="AT169" s="6836" t="b">
        <f t="shared" si="158"/>
        <v>1</v>
      </c>
      <c r="AU169" s="6836" t="b">
        <f t="shared" si="158"/>
        <v>1</v>
      </c>
      <c r="AV169" s="6836" t="b">
        <f t="shared" si="158"/>
        <v>1</v>
      </c>
      <c r="AW169" s="6836" t="b">
        <f t="shared" si="158"/>
        <v>1</v>
      </c>
      <c r="AX169" s="6836" t="b">
        <f t="shared" si="158"/>
        <v>1</v>
      </c>
      <c r="AY169" s="6836" t="b">
        <f t="shared" si="158"/>
        <v>1</v>
      </c>
      <c r="AZ169" s="6836" t="b">
        <f t="shared" si="158"/>
        <v>1</v>
      </c>
      <c r="BA169" s="6836" t="b">
        <f t="shared" si="158"/>
        <v>1</v>
      </c>
      <c r="BB169" s="6836" t="b">
        <f t="shared" si="158"/>
        <v>1</v>
      </c>
      <c r="BC169" s="6837" t="b">
        <f t="shared" si="158"/>
        <v>1</v>
      </c>
      <c r="BD169" s="6838" t="b">
        <f t="shared" si="158"/>
        <v>1</v>
      </c>
      <c r="BE169" s="6838" t="b">
        <f t="shared" si="158"/>
        <v>1</v>
      </c>
      <c r="BF169" s="6838" t="b">
        <f t="shared" si="158"/>
        <v>1</v>
      </c>
      <c r="BG169" s="6838" t="b">
        <f t="shared" si="158"/>
        <v>1</v>
      </c>
      <c r="BH169" s="6838" t="b">
        <f t="shared" si="158"/>
        <v>1</v>
      </c>
      <c r="BI169" s="6838" t="b">
        <f t="shared" si="158"/>
        <v>1</v>
      </c>
      <c r="BJ169" s="6838" t="b">
        <f t="shared" si="158"/>
        <v>1</v>
      </c>
      <c r="BK169" s="6838" t="b">
        <f t="shared" si="158"/>
        <v>1</v>
      </c>
      <c r="BL169" s="6838" t="b">
        <f t="shared" si="158"/>
        <v>1</v>
      </c>
      <c r="BM169" s="6838" t="b">
        <f t="shared" si="158"/>
        <v>1</v>
      </c>
      <c r="BN169" s="6838" t="b">
        <f t="shared" si="158"/>
        <v>1</v>
      </c>
      <c r="BO169" s="6838" t="b">
        <f t="shared" si="158"/>
        <v>1</v>
      </c>
      <c r="BP169" s="6838"/>
      <c r="BQ169" s="6838" t="b">
        <f t="shared" ref="BQ169:CC169" si="159">ROUND(BQ5,1)=ROUND(BQ11+BQ12+BQ50+BQ53,1)</f>
        <v>1</v>
      </c>
      <c r="BR169" s="6839" t="b">
        <f t="shared" si="159"/>
        <v>1</v>
      </c>
      <c r="BS169" s="6838" t="b">
        <f t="shared" si="159"/>
        <v>1</v>
      </c>
      <c r="BT169" s="6838" t="b">
        <f t="shared" si="159"/>
        <v>1</v>
      </c>
      <c r="BU169" s="6838" t="b">
        <f t="shared" si="159"/>
        <v>1</v>
      </c>
      <c r="BV169" s="6838" t="b">
        <f t="shared" si="159"/>
        <v>1</v>
      </c>
      <c r="BW169" s="6838" t="b">
        <f t="shared" si="159"/>
        <v>1</v>
      </c>
      <c r="BX169" s="6838" t="b">
        <f t="shared" si="159"/>
        <v>1</v>
      </c>
      <c r="BY169" s="6838" t="b">
        <f t="shared" si="159"/>
        <v>1</v>
      </c>
      <c r="BZ169" s="6838" t="b">
        <f t="shared" si="159"/>
        <v>1</v>
      </c>
      <c r="CA169" s="6838" t="b">
        <f t="shared" si="159"/>
        <v>1</v>
      </c>
      <c r="CB169" s="6838" t="b">
        <f t="shared" si="159"/>
        <v>1</v>
      </c>
      <c r="CC169" s="5413" t="b">
        <f t="shared" si="159"/>
        <v>1</v>
      </c>
      <c r="CD169" s="6840"/>
      <c r="CE169" s="6841" t="b">
        <f>ROUND(CE5,1)=ROUND(CE11+CE12+CE50+CE53,1)</f>
        <v>1</v>
      </c>
      <c r="CF169" s="6842" t="b">
        <f>ROUND(CF5,1)=ROUND(CF11+CF12+CF50+CF53,1)</f>
        <v>1</v>
      </c>
      <c r="CG169" s="6843"/>
    </row>
    <row r="170" spans="1:85" x14ac:dyDescent="0.55000000000000004">
      <c r="A170" s="5841" t="s">
        <v>625</v>
      </c>
      <c r="F170" s="6154" t="b">
        <f t="shared" ref="F170:AO170" si="160">F6=F11+F53</f>
        <v>1</v>
      </c>
      <c r="G170" s="6155" t="b">
        <f t="shared" si="160"/>
        <v>1</v>
      </c>
      <c r="H170" s="6155" t="b">
        <f t="shared" si="160"/>
        <v>1</v>
      </c>
      <c r="I170" s="6155" t="b">
        <f t="shared" si="160"/>
        <v>1</v>
      </c>
      <c r="J170" s="6155" t="b">
        <f t="shared" si="160"/>
        <v>1</v>
      </c>
      <c r="K170" s="6155" t="b">
        <f t="shared" si="160"/>
        <v>1</v>
      </c>
      <c r="L170" s="6155" t="b">
        <f t="shared" si="160"/>
        <v>1</v>
      </c>
      <c r="M170" s="6155" t="b">
        <f t="shared" si="160"/>
        <v>1</v>
      </c>
      <c r="N170" s="6155" t="b">
        <f t="shared" si="160"/>
        <v>1</v>
      </c>
      <c r="O170" s="6155" t="b">
        <f t="shared" si="160"/>
        <v>1</v>
      </c>
      <c r="P170" s="6155" t="b">
        <f t="shared" si="160"/>
        <v>1</v>
      </c>
      <c r="Q170" s="6156" t="b">
        <f t="shared" si="160"/>
        <v>1</v>
      </c>
      <c r="R170" s="6155" t="b">
        <f t="shared" si="160"/>
        <v>1</v>
      </c>
      <c r="S170" s="6155" t="b">
        <f t="shared" si="160"/>
        <v>1</v>
      </c>
      <c r="T170" s="6155" t="b">
        <f t="shared" si="160"/>
        <v>1</v>
      </c>
      <c r="U170" s="6155" t="b">
        <f t="shared" si="160"/>
        <v>1</v>
      </c>
      <c r="V170" s="6155" t="b">
        <f t="shared" si="160"/>
        <v>1</v>
      </c>
      <c r="W170" s="6155" t="b">
        <f t="shared" si="160"/>
        <v>1</v>
      </c>
      <c r="X170" s="6155" t="b">
        <f t="shared" si="160"/>
        <v>1</v>
      </c>
      <c r="Y170" s="6155" t="b">
        <f t="shared" si="160"/>
        <v>1</v>
      </c>
      <c r="Z170" s="6155" t="b">
        <f t="shared" si="160"/>
        <v>1</v>
      </c>
      <c r="AA170" s="6155" t="b">
        <f t="shared" si="160"/>
        <v>1</v>
      </c>
      <c r="AB170" s="6155" t="b">
        <f t="shared" si="160"/>
        <v>1</v>
      </c>
      <c r="AC170" s="6155" t="b">
        <f t="shared" si="160"/>
        <v>1</v>
      </c>
      <c r="AD170" s="6154" t="b">
        <f t="shared" si="160"/>
        <v>1</v>
      </c>
      <c r="AE170" s="6155" t="b">
        <f t="shared" si="160"/>
        <v>1</v>
      </c>
      <c r="AF170" s="6155" t="b">
        <f t="shared" si="160"/>
        <v>1</v>
      </c>
      <c r="AG170" s="6155" t="b">
        <f t="shared" si="160"/>
        <v>1</v>
      </c>
      <c r="AH170" s="6155" t="b">
        <f t="shared" si="160"/>
        <v>1</v>
      </c>
      <c r="AI170" s="6155" t="b">
        <f t="shared" si="160"/>
        <v>1</v>
      </c>
      <c r="AJ170" s="6155" t="b">
        <f t="shared" si="160"/>
        <v>1</v>
      </c>
      <c r="AK170" s="6155" t="b">
        <f t="shared" si="160"/>
        <v>1</v>
      </c>
      <c r="AL170" s="6155" t="b">
        <f t="shared" si="160"/>
        <v>1</v>
      </c>
      <c r="AM170" s="6155" t="b">
        <f t="shared" si="160"/>
        <v>1</v>
      </c>
      <c r="AN170" s="6155" t="b">
        <f t="shared" si="160"/>
        <v>1</v>
      </c>
      <c r="AO170" s="6157" t="b">
        <f t="shared" si="160"/>
        <v>1</v>
      </c>
      <c r="AP170" s="6157"/>
      <c r="AQ170" s="2547" t="b">
        <f t="shared" ref="AQ170:BO170" si="161">AQ6=AQ11+AQ53</f>
        <v>1</v>
      </c>
      <c r="AR170" s="6844" t="b">
        <f t="shared" si="161"/>
        <v>1</v>
      </c>
      <c r="AS170" s="6844" t="b">
        <f t="shared" si="161"/>
        <v>1</v>
      </c>
      <c r="AT170" s="6844" t="b">
        <f t="shared" si="161"/>
        <v>1</v>
      </c>
      <c r="AU170" s="6844" t="b">
        <f t="shared" si="161"/>
        <v>1</v>
      </c>
      <c r="AV170" s="6844" t="b">
        <f t="shared" si="161"/>
        <v>1</v>
      </c>
      <c r="AW170" s="6844" t="b">
        <f t="shared" si="161"/>
        <v>1</v>
      </c>
      <c r="AX170" s="6844" t="b">
        <f t="shared" si="161"/>
        <v>1</v>
      </c>
      <c r="AY170" s="6844" t="b">
        <f t="shared" si="161"/>
        <v>1</v>
      </c>
      <c r="AZ170" s="6844" t="b">
        <f t="shared" si="161"/>
        <v>1</v>
      </c>
      <c r="BA170" s="6844" t="b">
        <f t="shared" si="161"/>
        <v>1</v>
      </c>
      <c r="BB170" s="6844" t="b">
        <f t="shared" si="161"/>
        <v>1</v>
      </c>
      <c r="BC170" s="6845" t="b">
        <f t="shared" si="161"/>
        <v>1</v>
      </c>
      <c r="BD170" s="6846" t="b">
        <f t="shared" si="161"/>
        <v>1</v>
      </c>
      <c r="BE170" s="6847" t="b">
        <f t="shared" si="161"/>
        <v>1</v>
      </c>
      <c r="BF170" s="6847" t="b">
        <f t="shared" si="161"/>
        <v>1</v>
      </c>
      <c r="BG170" s="6847" t="b">
        <f t="shared" si="161"/>
        <v>1</v>
      </c>
      <c r="BH170" s="6847" t="b">
        <f t="shared" si="161"/>
        <v>1</v>
      </c>
      <c r="BI170" s="6847" t="b">
        <f t="shared" si="161"/>
        <v>1</v>
      </c>
      <c r="BJ170" s="6847" t="b">
        <f t="shared" si="161"/>
        <v>1</v>
      </c>
      <c r="BK170" s="6847" t="b">
        <f t="shared" si="161"/>
        <v>1</v>
      </c>
      <c r="BL170" s="6847" t="b">
        <f t="shared" si="161"/>
        <v>1</v>
      </c>
      <c r="BM170" s="6847" t="b">
        <f t="shared" si="161"/>
        <v>1</v>
      </c>
      <c r="BN170" s="6847" t="b">
        <f t="shared" si="161"/>
        <v>1</v>
      </c>
      <c r="BO170" s="6847" t="b">
        <f t="shared" si="161"/>
        <v>1</v>
      </c>
      <c r="BP170" s="6847"/>
      <c r="BQ170" s="6846" t="b">
        <f t="shared" ref="BQ170:CC170" si="162">BQ6=BQ11+BQ53</f>
        <v>1</v>
      </c>
      <c r="BR170" s="6848" t="b">
        <f t="shared" si="162"/>
        <v>1</v>
      </c>
      <c r="BS170" s="6847" t="b">
        <f t="shared" si="162"/>
        <v>1</v>
      </c>
      <c r="BT170" s="6847" t="b">
        <f t="shared" si="162"/>
        <v>1</v>
      </c>
      <c r="BU170" s="6847" t="b">
        <f t="shared" si="162"/>
        <v>1</v>
      </c>
      <c r="BV170" s="6847" t="b">
        <f t="shared" si="162"/>
        <v>1</v>
      </c>
      <c r="BW170" s="6847" t="b">
        <f t="shared" si="162"/>
        <v>1</v>
      </c>
      <c r="BX170" s="6847" t="b">
        <f t="shared" si="162"/>
        <v>1</v>
      </c>
      <c r="BY170" s="6847" t="b">
        <f t="shared" si="162"/>
        <v>1</v>
      </c>
      <c r="BZ170" s="6847" t="b">
        <f t="shared" si="162"/>
        <v>1</v>
      </c>
      <c r="CA170" s="6847" t="b">
        <f t="shared" si="162"/>
        <v>1</v>
      </c>
      <c r="CB170" s="6847" t="b">
        <f t="shared" si="162"/>
        <v>1</v>
      </c>
      <c r="CC170" s="6849" t="b">
        <f t="shared" si="162"/>
        <v>1</v>
      </c>
      <c r="CD170" s="2794"/>
      <c r="CE170" s="3064" t="b">
        <f>ROUND(CE6,1)=ROUND(CE11+CE53,1)</f>
        <v>1</v>
      </c>
      <c r="CF170" s="6850" t="b">
        <f>ROUND(CF6,1)=ROUND(CF11+CF53,1)</f>
        <v>1</v>
      </c>
      <c r="CG170" s="2506"/>
    </row>
    <row r="171" spans="1:85" x14ac:dyDescent="0.55000000000000004">
      <c r="A171" s="5841" t="s">
        <v>621</v>
      </c>
      <c r="F171" s="6154" t="b">
        <f t="shared" ref="F171:AO171" si="163">F7+F8=F6</f>
        <v>1</v>
      </c>
      <c r="G171" s="6155" t="b">
        <f t="shared" si="163"/>
        <v>1</v>
      </c>
      <c r="H171" s="6155" t="b">
        <f t="shared" si="163"/>
        <v>1</v>
      </c>
      <c r="I171" s="6155" t="b">
        <f t="shared" si="163"/>
        <v>1</v>
      </c>
      <c r="J171" s="6155" t="b">
        <f t="shared" si="163"/>
        <v>1</v>
      </c>
      <c r="K171" s="6155" t="b">
        <f t="shared" si="163"/>
        <v>1</v>
      </c>
      <c r="L171" s="6155" t="b">
        <f t="shared" si="163"/>
        <v>1</v>
      </c>
      <c r="M171" s="6155" t="b">
        <f t="shared" si="163"/>
        <v>1</v>
      </c>
      <c r="N171" s="6155" t="b">
        <f t="shared" si="163"/>
        <v>1</v>
      </c>
      <c r="O171" s="6155" t="b">
        <f t="shared" si="163"/>
        <v>1</v>
      </c>
      <c r="P171" s="6155" t="b">
        <f t="shared" si="163"/>
        <v>1</v>
      </c>
      <c r="Q171" s="6156" t="b">
        <f t="shared" si="163"/>
        <v>1</v>
      </c>
      <c r="R171" s="6155" t="b">
        <f t="shared" si="163"/>
        <v>1</v>
      </c>
      <c r="S171" s="6155" t="b">
        <f t="shared" si="163"/>
        <v>1</v>
      </c>
      <c r="T171" s="6155" t="b">
        <f t="shared" si="163"/>
        <v>1</v>
      </c>
      <c r="U171" s="6155" t="b">
        <f t="shared" si="163"/>
        <v>1</v>
      </c>
      <c r="V171" s="6155" t="b">
        <f t="shared" si="163"/>
        <v>1</v>
      </c>
      <c r="W171" s="6155" t="b">
        <f t="shared" si="163"/>
        <v>1</v>
      </c>
      <c r="X171" s="6155" t="b">
        <f t="shared" si="163"/>
        <v>1</v>
      </c>
      <c r="Y171" s="6155" t="b">
        <f t="shared" si="163"/>
        <v>1</v>
      </c>
      <c r="Z171" s="6155" t="b">
        <f t="shared" si="163"/>
        <v>1</v>
      </c>
      <c r="AA171" s="6155" t="b">
        <f t="shared" si="163"/>
        <v>1</v>
      </c>
      <c r="AB171" s="6155" t="b">
        <f t="shared" si="163"/>
        <v>1</v>
      </c>
      <c r="AC171" s="6155" t="b">
        <f t="shared" si="163"/>
        <v>1</v>
      </c>
      <c r="AD171" s="6154" t="b">
        <f t="shared" si="163"/>
        <v>1</v>
      </c>
      <c r="AE171" s="6155" t="b">
        <f t="shared" si="163"/>
        <v>1</v>
      </c>
      <c r="AF171" s="6155" t="b">
        <f t="shared" si="163"/>
        <v>1</v>
      </c>
      <c r="AG171" s="6155" t="b">
        <f t="shared" si="163"/>
        <v>1</v>
      </c>
      <c r="AH171" s="6155" t="b">
        <f t="shared" si="163"/>
        <v>1</v>
      </c>
      <c r="AI171" s="6155" t="b">
        <f t="shared" si="163"/>
        <v>1</v>
      </c>
      <c r="AJ171" s="6155" t="b">
        <f t="shared" si="163"/>
        <v>1</v>
      </c>
      <c r="AK171" s="6155" t="b">
        <f t="shared" si="163"/>
        <v>1</v>
      </c>
      <c r="AL171" s="6155" t="b">
        <f t="shared" si="163"/>
        <v>1</v>
      </c>
      <c r="AM171" s="6155" t="b">
        <f t="shared" si="163"/>
        <v>1</v>
      </c>
      <c r="AN171" s="6155" t="b">
        <f t="shared" si="163"/>
        <v>1</v>
      </c>
      <c r="AO171" s="6157" t="b">
        <f t="shared" si="163"/>
        <v>1</v>
      </c>
      <c r="AP171" s="6157"/>
      <c r="AQ171" s="2547" t="b">
        <f t="shared" ref="AQ171:BO171" si="164">AQ7+AQ8=AQ6</f>
        <v>1</v>
      </c>
      <c r="AR171" s="6844" t="b">
        <f t="shared" si="164"/>
        <v>1</v>
      </c>
      <c r="AS171" s="6844" t="b">
        <f t="shared" si="164"/>
        <v>1</v>
      </c>
      <c r="AT171" s="6844" t="b">
        <f t="shared" si="164"/>
        <v>1</v>
      </c>
      <c r="AU171" s="6844" t="b">
        <f t="shared" si="164"/>
        <v>1</v>
      </c>
      <c r="AV171" s="6844" t="b">
        <f t="shared" si="164"/>
        <v>1</v>
      </c>
      <c r="AW171" s="6844" t="b">
        <f t="shared" si="164"/>
        <v>1</v>
      </c>
      <c r="AX171" s="6844" t="b">
        <f t="shared" si="164"/>
        <v>1</v>
      </c>
      <c r="AY171" s="6844" t="b">
        <f t="shared" si="164"/>
        <v>1</v>
      </c>
      <c r="AZ171" s="6844" t="b">
        <f t="shared" si="164"/>
        <v>1</v>
      </c>
      <c r="BA171" s="6844" t="b">
        <f t="shared" si="164"/>
        <v>1</v>
      </c>
      <c r="BB171" s="6844" t="b">
        <f t="shared" si="164"/>
        <v>1</v>
      </c>
      <c r="BC171" s="6851" t="b">
        <f t="shared" si="164"/>
        <v>1</v>
      </c>
      <c r="BD171" s="6846" t="b">
        <f t="shared" si="164"/>
        <v>1</v>
      </c>
      <c r="BE171" s="6847" t="b">
        <f t="shared" si="164"/>
        <v>1</v>
      </c>
      <c r="BF171" s="6847" t="b">
        <f t="shared" si="164"/>
        <v>1</v>
      </c>
      <c r="BG171" s="6847" t="b">
        <f t="shared" si="164"/>
        <v>1</v>
      </c>
      <c r="BH171" s="6847" t="b">
        <f t="shared" si="164"/>
        <v>1</v>
      </c>
      <c r="BI171" s="6847" t="b">
        <f t="shared" si="164"/>
        <v>1</v>
      </c>
      <c r="BJ171" s="6847" t="b">
        <f t="shared" si="164"/>
        <v>1</v>
      </c>
      <c r="BK171" s="6847" t="b">
        <f t="shared" si="164"/>
        <v>1</v>
      </c>
      <c r="BL171" s="6847" t="b">
        <f t="shared" si="164"/>
        <v>1</v>
      </c>
      <c r="BM171" s="6847" t="b">
        <f t="shared" si="164"/>
        <v>1</v>
      </c>
      <c r="BN171" s="6847" t="b">
        <f t="shared" si="164"/>
        <v>1</v>
      </c>
      <c r="BO171" s="6847" t="b">
        <f t="shared" si="164"/>
        <v>1</v>
      </c>
      <c r="BP171" s="6847"/>
      <c r="BQ171" s="6846" t="b">
        <f t="shared" ref="BQ171:CC171" si="165">BQ7+BQ8=BQ6</f>
        <v>1</v>
      </c>
      <c r="BR171" s="6848" t="b">
        <f t="shared" si="165"/>
        <v>1</v>
      </c>
      <c r="BS171" s="6847" t="b">
        <f t="shared" si="165"/>
        <v>1</v>
      </c>
      <c r="BT171" s="6847" t="b">
        <f t="shared" si="165"/>
        <v>1</v>
      </c>
      <c r="BU171" s="6847" t="b">
        <f t="shared" si="165"/>
        <v>1</v>
      </c>
      <c r="BV171" s="6847" t="b">
        <f t="shared" si="165"/>
        <v>1</v>
      </c>
      <c r="BW171" s="6847" t="b">
        <f t="shared" si="165"/>
        <v>1</v>
      </c>
      <c r="BX171" s="6847" t="b">
        <f t="shared" si="165"/>
        <v>1</v>
      </c>
      <c r="BY171" s="6847" t="b">
        <f t="shared" si="165"/>
        <v>1</v>
      </c>
      <c r="BZ171" s="6847" t="b">
        <f t="shared" si="165"/>
        <v>1</v>
      </c>
      <c r="CA171" s="6847" t="b">
        <f t="shared" si="165"/>
        <v>1</v>
      </c>
      <c r="CB171" s="6847" t="b">
        <f t="shared" si="165"/>
        <v>1</v>
      </c>
      <c r="CC171" s="6849" t="b">
        <f t="shared" si="165"/>
        <v>0</v>
      </c>
      <c r="CD171" s="2794"/>
      <c r="CE171" s="3064" t="b">
        <f>CE7+CE8=CE6</f>
        <v>1</v>
      </c>
      <c r="CF171" s="6850" t="b">
        <f>CF7+CF8=CF6</f>
        <v>1</v>
      </c>
      <c r="CG171" s="2506"/>
    </row>
    <row r="172" spans="1:85" x14ac:dyDescent="0.55000000000000004">
      <c r="A172" s="5841"/>
      <c r="B172" s="5076" t="s">
        <v>1200</v>
      </c>
      <c r="F172" s="6154" t="b">
        <f t="shared" ref="F172:AO172" si="166">ROUND(F13+F21+F38,1)=ROUND(F12,1)</f>
        <v>1</v>
      </c>
      <c r="G172" s="6155" t="b">
        <f t="shared" si="166"/>
        <v>1</v>
      </c>
      <c r="H172" s="6155" t="b">
        <f t="shared" si="166"/>
        <v>1</v>
      </c>
      <c r="I172" s="6155" t="b">
        <f t="shared" si="166"/>
        <v>1</v>
      </c>
      <c r="J172" s="6155" t="b">
        <f t="shared" si="166"/>
        <v>1</v>
      </c>
      <c r="K172" s="6155" t="b">
        <f t="shared" si="166"/>
        <v>1</v>
      </c>
      <c r="L172" s="6852" t="b">
        <f t="shared" si="166"/>
        <v>1</v>
      </c>
      <c r="M172" s="6852" t="b">
        <f t="shared" si="166"/>
        <v>1</v>
      </c>
      <c r="N172" s="6852" t="b">
        <f t="shared" si="166"/>
        <v>1</v>
      </c>
      <c r="O172" s="6852" t="b">
        <f t="shared" si="166"/>
        <v>1</v>
      </c>
      <c r="P172" s="6852" t="b">
        <f t="shared" si="166"/>
        <v>1</v>
      </c>
      <c r="Q172" s="6853" t="b">
        <f t="shared" si="166"/>
        <v>1</v>
      </c>
      <c r="R172" s="6233" t="b">
        <f t="shared" si="166"/>
        <v>1</v>
      </c>
      <c r="S172" s="6233" t="b">
        <f t="shared" si="166"/>
        <v>1</v>
      </c>
      <c r="T172" s="6233" t="b">
        <f t="shared" si="166"/>
        <v>1</v>
      </c>
      <c r="U172" s="6233" t="b">
        <f t="shared" si="166"/>
        <v>1</v>
      </c>
      <c r="V172" s="6233" t="b">
        <f t="shared" si="166"/>
        <v>1</v>
      </c>
      <c r="W172" s="6233" t="b">
        <f t="shared" si="166"/>
        <v>1</v>
      </c>
      <c r="X172" s="6233" t="b">
        <f t="shared" si="166"/>
        <v>1</v>
      </c>
      <c r="Y172" s="6233" t="b">
        <f t="shared" si="166"/>
        <v>1</v>
      </c>
      <c r="Z172" s="6233" t="b">
        <f t="shared" si="166"/>
        <v>1</v>
      </c>
      <c r="AA172" s="6233" t="b">
        <f t="shared" si="166"/>
        <v>1</v>
      </c>
      <c r="AB172" s="6233" t="b">
        <f t="shared" si="166"/>
        <v>1</v>
      </c>
      <c r="AC172" s="6233" t="b">
        <f t="shared" si="166"/>
        <v>1</v>
      </c>
      <c r="AD172" s="6154" t="b">
        <f t="shared" si="166"/>
        <v>1</v>
      </c>
      <c r="AE172" s="6155" t="b">
        <f t="shared" si="166"/>
        <v>1</v>
      </c>
      <c r="AF172" s="6155" t="b">
        <f t="shared" si="166"/>
        <v>1</v>
      </c>
      <c r="AG172" s="6155" t="b">
        <f t="shared" si="166"/>
        <v>1</v>
      </c>
      <c r="AH172" s="6155" t="b">
        <f t="shared" si="166"/>
        <v>1</v>
      </c>
      <c r="AI172" s="6155" t="b">
        <f t="shared" si="166"/>
        <v>1</v>
      </c>
      <c r="AJ172" s="6233" t="b">
        <f t="shared" si="166"/>
        <v>1</v>
      </c>
      <c r="AK172" s="6233" t="b">
        <f t="shared" si="166"/>
        <v>1</v>
      </c>
      <c r="AL172" s="6233" t="b">
        <f t="shared" si="166"/>
        <v>1</v>
      </c>
      <c r="AM172" s="6233" t="b">
        <f t="shared" si="166"/>
        <v>1</v>
      </c>
      <c r="AN172" s="6233" t="b">
        <f t="shared" si="166"/>
        <v>1</v>
      </c>
      <c r="AO172" s="6233" t="b">
        <f t="shared" si="166"/>
        <v>1</v>
      </c>
      <c r="AP172" s="6233"/>
      <c r="AQ172" s="2547" t="b">
        <f t="shared" ref="AQ172:BO172" si="167">ROUND(AQ13+AQ21+AQ38,1)=ROUND(AQ12,1)</f>
        <v>1</v>
      </c>
      <c r="AR172" s="6844" t="b">
        <f t="shared" si="167"/>
        <v>1</v>
      </c>
      <c r="AS172" s="6844" t="b">
        <f t="shared" si="167"/>
        <v>1</v>
      </c>
      <c r="AT172" s="6844" t="b">
        <f t="shared" si="167"/>
        <v>1</v>
      </c>
      <c r="AU172" s="6844" t="b">
        <f t="shared" si="167"/>
        <v>1</v>
      </c>
      <c r="AV172" s="6844" t="b">
        <f t="shared" si="167"/>
        <v>1</v>
      </c>
      <c r="AW172" s="6844" t="b">
        <f t="shared" si="167"/>
        <v>1</v>
      </c>
      <c r="AX172" s="6844" t="b">
        <f t="shared" si="167"/>
        <v>1</v>
      </c>
      <c r="AY172" s="6844" t="b">
        <f t="shared" si="167"/>
        <v>1</v>
      </c>
      <c r="AZ172" s="6844" t="b">
        <f t="shared" si="167"/>
        <v>1</v>
      </c>
      <c r="BA172" s="6844" t="b">
        <f t="shared" si="167"/>
        <v>1</v>
      </c>
      <c r="BB172" s="6844" t="b">
        <f t="shared" si="167"/>
        <v>1</v>
      </c>
      <c r="BC172" s="6845" t="b">
        <f t="shared" si="167"/>
        <v>1</v>
      </c>
      <c r="BD172" s="6846" t="b">
        <f t="shared" si="167"/>
        <v>1</v>
      </c>
      <c r="BE172" s="6847" t="b">
        <f t="shared" si="167"/>
        <v>1</v>
      </c>
      <c r="BF172" s="6847" t="b">
        <f t="shared" si="167"/>
        <v>1</v>
      </c>
      <c r="BG172" s="6847" t="b">
        <f t="shared" si="167"/>
        <v>1</v>
      </c>
      <c r="BH172" s="6847" t="b">
        <f t="shared" si="167"/>
        <v>1</v>
      </c>
      <c r="BI172" s="6847" t="b">
        <f t="shared" si="167"/>
        <v>1</v>
      </c>
      <c r="BJ172" s="6847" t="b">
        <f t="shared" si="167"/>
        <v>1</v>
      </c>
      <c r="BK172" s="6847" t="b">
        <f t="shared" si="167"/>
        <v>1</v>
      </c>
      <c r="BL172" s="6847" t="b">
        <f t="shared" si="167"/>
        <v>1</v>
      </c>
      <c r="BM172" s="6847" t="b">
        <f t="shared" si="167"/>
        <v>1</v>
      </c>
      <c r="BN172" s="6847" t="b">
        <f t="shared" si="167"/>
        <v>1</v>
      </c>
      <c r="BO172" s="6847" t="b">
        <f t="shared" si="167"/>
        <v>1</v>
      </c>
      <c r="BP172" s="6847"/>
      <c r="BQ172" s="6846" t="b">
        <f>ROUND(BQ13+BQ21+BQ38,1)=ROUND(BQ12,1)</f>
        <v>1</v>
      </c>
      <c r="BR172" s="6848" t="b">
        <f t="shared" ref="BR172:CC172" si="168">ROUND(BR13+BR21+BR38,1)=ROUND(BR12,1)</f>
        <v>1</v>
      </c>
      <c r="BS172" s="6847" t="b">
        <f t="shared" si="168"/>
        <v>1</v>
      </c>
      <c r="BT172" s="6847" t="b">
        <f>ROUND(BT13+BT21+BT38,1)=ROUND(BT12,1)</f>
        <v>1</v>
      </c>
      <c r="BU172" s="6847" t="b">
        <f t="shared" si="168"/>
        <v>1</v>
      </c>
      <c r="BV172" s="6847" t="b">
        <f t="shared" si="168"/>
        <v>1</v>
      </c>
      <c r="BW172" s="6847" t="b">
        <f t="shared" si="168"/>
        <v>1</v>
      </c>
      <c r="BX172" s="6847" t="b">
        <f t="shared" si="168"/>
        <v>1</v>
      </c>
      <c r="BY172" s="6847" t="b">
        <f t="shared" si="168"/>
        <v>1</v>
      </c>
      <c r="BZ172" s="6847" t="b">
        <f t="shared" si="168"/>
        <v>1</v>
      </c>
      <c r="CA172" s="6847" t="b">
        <f t="shared" si="168"/>
        <v>1</v>
      </c>
      <c r="CB172" s="6847" t="b">
        <f t="shared" si="168"/>
        <v>1</v>
      </c>
      <c r="CC172" s="6849" t="b">
        <f t="shared" si="168"/>
        <v>0</v>
      </c>
      <c r="CD172" s="2794"/>
      <c r="CE172" s="2499" t="b">
        <f>ROUND(CE13+CE21+CE38,1)=ROUND(CE12,1)</f>
        <v>1</v>
      </c>
      <c r="CF172" s="6854" t="b">
        <f>ROUND(CF13+CF21+CF38,1)=ROUND(CF12,1)</f>
        <v>1</v>
      </c>
      <c r="CG172" s="2509"/>
    </row>
    <row r="173" spans="1:85" ht="15.45" thickBot="1" x14ac:dyDescent="0.6">
      <c r="A173" s="5841"/>
      <c r="C173" s="5076" t="s">
        <v>6</v>
      </c>
      <c r="F173" s="6154" t="b">
        <f t="shared" ref="F173:AO173" si="169">F13=F14+F15</f>
        <v>1</v>
      </c>
      <c r="G173" s="6155" t="b">
        <f t="shared" si="169"/>
        <v>1</v>
      </c>
      <c r="H173" s="6155" t="b">
        <f t="shared" si="169"/>
        <v>1</v>
      </c>
      <c r="I173" s="6155" t="b">
        <f t="shared" si="169"/>
        <v>1</v>
      </c>
      <c r="J173" s="6155" t="b">
        <f t="shared" si="169"/>
        <v>1</v>
      </c>
      <c r="K173" s="6155" t="b">
        <f t="shared" si="169"/>
        <v>1</v>
      </c>
      <c r="L173" s="6155" t="b">
        <f t="shared" si="169"/>
        <v>1</v>
      </c>
      <c r="M173" s="6155" t="b">
        <f t="shared" si="169"/>
        <v>1</v>
      </c>
      <c r="N173" s="6155" t="b">
        <f t="shared" si="169"/>
        <v>1</v>
      </c>
      <c r="O173" s="6155" t="b">
        <f t="shared" si="169"/>
        <v>1</v>
      </c>
      <c r="P173" s="6155" t="b">
        <f t="shared" si="169"/>
        <v>1</v>
      </c>
      <c r="Q173" s="6156" t="b">
        <f t="shared" si="169"/>
        <v>1</v>
      </c>
      <c r="R173" s="6155" t="b">
        <f t="shared" si="169"/>
        <v>1</v>
      </c>
      <c r="S173" s="6155" t="b">
        <f t="shared" si="169"/>
        <v>1</v>
      </c>
      <c r="T173" s="6155" t="b">
        <f t="shared" si="169"/>
        <v>1</v>
      </c>
      <c r="U173" s="6155" t="b">
        <f t="shared" si="169"/>
        <v>1</v>
      </c>
      <c r="V173" s="6155" t="b">
        <f t="shared" si="169"/>
        <v>1</v>
      </c>
      <c r="W173" s="6155" t="b">
        <f t="shared" si="169"/>
        <v>1</v>
      </c>
      <c r="X173" s="6155" t="b">
        <f t="shared" si="169"/>
        <v>1</v>
      </c>
      <c r="Y173" s="6155" t="b">
        <f t="shared" si="169"/>
        <v>1</v>
      </c>
      <c r="Z173" s="6155" t="b">
        <f t="shared" si="169"/>
        <v>1</v>
      </c>
      <c r="AA173" s="6155" t="b">
        <f t="shared" si="169"/>
        <v>1</v>
      </c>
      <c r="AB173" s="6155" t="b">
        <f t="shared" si="169"/>
        <v>1</v>
      </c>
      <c r="AC173" s="6155" t="b">
        <f t="shared" si="169"/>
        <v>1</v>
      </c>
      <c r="AD173" s="6154" t="b">
        <f t="shared" si="169"/>
        <v>1</v>
      </c>
      <c r="AE173" s="6155" t="b">
        <f t="shared" si="169"/>
        <v>1</v>
      </c>
      <c r="AF173" s="6155" t="b">
        <f t="shared" si="169"/>
        <v>1</v>
      </c>
      <c r="AG173" s="6155" t="b">
        <f t="shared" si="169"/>
        <v>1</v>
      </c>
      <c r="AH173" s="6155" t="b">
        <f t="shared" si="169"/>
        <v>1</v>
      </c>
      <c r="AI173" s="6155" t="b">
        <f t="shared" si="169"/>
        <v>1</v>
      </c>
      <c r="AJ173" s="6155" t="b">
        <f t="shared" si="169"/>
        <v>1</v>
      </c>
      <c r="AK173" s="6155" t="b">
        <f t="shared" si="169"/>
        <v>1</v>
      </c>
      <c r="AL173" s="6155" t="b">
        <f t="shared" si="169"/>
        <v>1</v>
      </c>
      <c r="AM173" s="6155" t="b">
        <f t="shared" si="169"/>
        <v>1</v>
      </c>
      <c r="AN173" s="6155" t="b">
        <f t="shared" si="169"/>
        <v>1</v>
      </c>
      <c r="AO173" s="6157" t="b">
        <f t="shared" si="169"/>
        <v>1</v>
      </c>
      <c r="AP173" s="6157"/>
      <c r="AQ173" s="2547" t="b">
        <f t="shared" ref="AQ173:BO173" si="170">AQ13=AQ14+AQ15</f>
        <v>1</v>
      </c>
      <c r="AR173" s="6844" t="b">
        <f t="shared" si="170"/>
        <v>1</v>
      </c>
      <c r="AS173" s="6844" t="b">
        <f t="shared" si="170"/>
        <v>1</v>
      </c>
      <c r="AT173" s="6844" t="b">
        <f t="shared" si="170"/>
        <v>1</v>
      </c>
      <c r="AU173" s="6844" t="b">
        <f t="shared" si="170"/>
        <v>1</v>
      </c>
      <c r="AV173" s="6844" t="b">
        <f t="shared" si="170"/>
        <v>1</v>
      </c>
      <c r="AW173" s="6844" t="b">
        <f t="shared" si="170"/>
        <v>1</v>
      </c>
      <c r="AX173" s="6844" t="b">
        <f t="shared" si="170"/>
        <v>1</v>
      </c>
      <c r="AY173" s="6844" t="b">
        <f t="shared" si="170"/>
        <v>1</v>
      </c>
      <c r="AZ173" s="6844" t="b">
        <f t="shared" si="170"/>
        <v>1</v>
      </c>
      <c r="BA173" s="6844" t="b">
        <f t="shared" si="170"/>
        <v>1</v>
      </c>
      <c r="BB173" s="6844" t="b">
        <f t="shared" si="170"/>
        <v>1</v>
      </c>
      <c r="BC173" s="6845" t="b">
        <f t="shared" si="170"/>
        <v>1</v>
      </c>
      <c r="BD173" s="6846" t="b">
        <f t="shared" si="170"/>
        <v>1</v>
      </c>
      <c r="BE173" s="6847" t="b">
        <f t="shared" si="170"/>
        <v>1</v>
      </c>
      <c r="BF173" s="6847" t="b">
        <f t="shared" si="170"/>
        <v>1</v>
      </c>
      <c r="BG173" s="6847" t="b">
        <f t="shared" si="170"/>
        <v>1</v>
      </c>
      <c r="BH173" s="6847" t="b">
        <f t="shared" si="170"/>
        <v>1</v>
      </c>
      <c r="BI173" s="6847" t="b">
        <f t="shared" si="170"/>
        <v>1</v>
      </c>
      <c r="BJ173" s="6847" t="b">
        <f t="shared" si="170"/>
        <v>1</v>
      </c>
      <c r="BK173" s="6847" t="b">
        <f t="shared" si="170"/>
        <v>1</v>
      </c>
      <c r="BL173" s="6847" t="b">
        <f t="shared" si="170"/>
        <v>1</v>
      </c>
      <c r="BM173" s="6847" t="b">
        <f t="shared" si="170"/>
        <v>1</v>
      </c>
      <c r="BN173" s="6847" t="b">
        <f t="shared" si="170"/>
        <v>1</v>
      </c>
      <c r="BO173" s="6847" t="b">
        <f t="shared" si="170"/>
        <v>1</v>
      </c>
      <c r="BP173" s="6847"/>
      <c r="BQ173" s="6846" t="b">
        <f t="shared" ref="BQ173:CB173" si="171">BQ13=BQ14+BQ15</f>
        <v>1</v>
      </c>
      <c r="BR173" s="6848" t="b">
        <f t="shared" si="171"/>
        <v>1</v>
      </c>
      <c r="BS173" s="6847" t="b">
        <f t="shared" si="171"/>
        <v>1</v>
      </c>
      <c r="BT173" s="6847" t="b">
        <f t="shared" si="171"/>
        <v>1</v>
      </c>
      <c r="BU173" s="6847" t="b">
        <f t="shared" si="171"/>
        <v>1</v>
      </c>
      <c r="BV173" s="6847" t="b">
        <f t="shared" si="171"/>
        <v>1</v>
      </c>
      <c r="BW173" s="6847" t="b">
        <f t="shared" si="171"/>
        <v>1</v>
      </c>
      <c r="BX173" s="6847" t="b">
        <f t="shared" si="171"/>
        <v>1</v>
      </c>
      <c r="BY173" s="6847" t="b">
        <f t="shared" si="171"/>
        <v>1</v>
      </c>
      <c r="BZ173" s="6847" t="b">
        <f t="shared" si="171"/>
        <v>1</v>
      </c>
      <c r="CA173" s="6847" t="b">
        <f t="shared" si="171"/>
        <v>1</v>
      </c>
      <c r="CB173" s="6847" t="b">
        <f t="shared" si="171"/>
        <v>1</v>
      </c>
      <c r="CC173" s="6849" t="b">
        <f>ROUND(CC13,1)=ROUND(CC14+CC15,1)</f>
        <v>0</v>
      </c>
      <c r="CD173" s="2794"/>
      <c r="CE173" s="2499" t="b">
        <f>CE13=CE14+CE15</f>
        <v>1</v>
      </c>
      <c r="CF173" s="6854" t="b">
        <f>ROUND(CF13,1)=ROUND(CF14+CF15,1)</f>
        <v>1</v>
      </c>
      <c r="CG173" s="2509"/>
    </row>
    <row r="174" spans="1:85" ht="15.45" thickBot="1" x14ac:dyDescent="0.6">
      <c r="A174" s="5841"/>
      <c r="C174" s="6855" t="s">
        <v>0</v>
      </c>
      <c r="D174" s="6294"/>
      <c r="E174" s="6294"/>
      <c r="F174" s="6295" t="b">
        <f t="shared" ref="F174:AO174" si="172">ROUND(SUM(F25:F37),1)=ROUND(F21,1)</f>
        <v>1</v>
      </c>
      <c r="G174" s="6296" t="b">
        <f t="shared" si="172"/>
        <v>1</v>
      </c>
      <c r="H174" s="6296" t="b">
        <f t="shared" si="172"/>
        <v>1</v>
      </c>
      <c r="I174" s="6296" t="b">
        <f t="shared" si="172"/>
        <v>1</v>
      </c>
      <c r="J174" s="6296" t="b">
        <f t="shared" si="172"/>
        <v>1</v>
      </c>
      <c r="K174" s="6296" t="b">
        <f t="shared" si="172"/>
        <v>1</v>
      </c>
      <c r="L174" s="6296" t="b">
        <f t="shared" si="172"/>
        <v>1</v>
      </c>
      <c r="M174" s="6296" t="b">
        <f t="shared" si="172"/>
        <v>1</v>
      </c>
      <c r="N174" s="6296" t="b">
        <f t="shared" si="172"/>
        <v>1</v>
      </c>
      <c r="O174" s="6296" t="b">
        <f t="shared" si="172"/>
        <v>1</v>
      </c>
      <c r="P174" s="6296" t="b">
        <f t="shared" si="172"/>
        <v>1</v>
      </c>
      <c r="Q174" s="6297" t="b">
        <f t="shared" si="172"/>
        <v>1</v>
      </c>
      <c r="R174" s="6296" t="b">
        <f t="shared" si="172"/>
        <v>1</v>
      </c>
      <c r="S174" s="6296" t="b">
        <f t="shared" si="172"/>
        <v>1</v>
      </c>
      <c r="T174" s="6296" t="b">
        <f t="shared" si="172"/>
        <v>1</v>
      </c>
      <c r="U174" s="6296" t="b">
        <f t="shared" si="172"/>
        <v>1</v>
      </c>
      <c r="V174" s="6296" t="b">
        <f t="shared" si="172"/>
        <v>1</v>
      </c>
      <c r="W174" s="6296" t="b">
        <f t="shared" si="172"/>
        <v>1</v>
      </c>
      <c r="X174" s="6296" t="b">
        <f t="shared" si="172"/>
        <v>1</v>
      </c>
      <c r="Y174" s="6296" t="b">
        <f t="shared" si="172"/>
        <v>1</v>
      </c>
      <c r="Z174" s="6296" t="b">
        <f t="shared" si="172"/>
        <v>1</v>
      </c>
      <c r="AA174" s="6296" t="b">
        <f t="shared" si="172"/>
        <v>1</v>
      </c>
      <c r="AB174" s="6296" t="b">
        <f t="shared" si="172"/>
        <v>1</v>
      </c>
      <c r="AC174" s="6296" t="b">
        <f t="shared" si="172"/>
        <v>1</v>
      </c>
      <c r="AD174" s="6295" t="b">
        <f t="shared" si="172"/>
        <v>1</v>
      </c>
      <c r="AE174" s="6296" t="b">
        <f t="shared" si="172"/>
        <v>1</v>
      </c>
      <c r="AF174" s="6296" t="b">
        <f t="shared" si="172"/>
        <v>1</v>
      </c>
      <c r="AG174" s="6296" t="b">
        <f t="shared" si="172"/>
        <v>1</v>
      </c>
      <c r="AH174" s="6296" t="b">
        <f t="shared" si="172"/>
        <v>1</v>
      </c>
      <c r="AI174" s="6296" t="b">
        <f t="shared" si="172"/>
        <v>1</v>
      </c>
      <c r="AJ174" s="6296" t="b">
        <f t="shared" si="172"/>
        <v>1</v>
      </c>
      <c r="AK174" s="6296" t="b">
        <f t="shared" si="172"/>
        <v>1</v>
      </c>
      <c r="AL174" s="6296" t="b">
        <f t="shared" si="172"/>
        <v>1</v>
      </c>
      <c r="AM174" s="6296" t="b">
        <f t="shared" si="172"/>
        <v>1</v>
      </c>
      <c r="AN174" s="6296" t="b">
        <f t="shared" si="172"/>
        <v>1</v>
      </c>
      <c r="AO174" s="6296" t="b">
        <f t="shared" si="172"/>
        <v>1</v>
      </c>
      <c r="AP174" s="6296"/>
      <c r="AQ174" s="6856" t="b">
        <f t="shared" ref="AQ174:BO174" si="173">ROUND(SUM(AQ25:AQ33),1)=ROUND(AQ21,1)</f>
        <v>1</v>
      </c>
      <c r="AR174" s="6857" t="b">
        <f t="shared" si="173"/>
        <v>1</v>
      </c>
      <c r="AS174" s="6857" t="b">
        <f t="shared" si="173"/>
        <v>1</v>
      </c>
      <c r="AT174" s="6857" t="b">
        <f t="shared" si="173"/>
        <v>1</v>
      </c>
      <c r="AU174" s="6857" t="b">
        <f t="shared" si="173"/>
        <v>1</v>
      </c>
      <c r="AV174" s="6857" t="b">
        <f t="shared" si="173"/>
        <v>1</v>
      </c>
      <c r="AW174" s="6857" t="b">
        <f t="shared" si="173"/>
        <v>1</v>
      </c>
      <c r="AX174" s="6857" t="b">
        <f t="shared" si="173"/>
        <v>1</v>
      </c>
      <c r="AY174" s="6857" t="b">
        <f t="shared" si="173"/>
        <v>1</v>
      </c>
      <c r="AZ174" s="6857" t="b">
        <f t="shared" si="173"/>
        <v>1</v>
      </c>
      <c r="BA174" s="6857" t="b">
        <f t="shared" si="173"/>
        <v>1</v>
      </c>
      <c r="BB174" s="6857" t="b">
        <f t="shared" si="173"/>
        <v>1</v>
      </c>
      <c r="BC174" s="6858" t="b">
        <f t="shared" si="173"/>
        <v>1</v>
      </c>
      <c r="BD174" s="6859" t="b">
        <f t="shared" si="173"/>
        <v>1</v>
      </c>
      <c r="BE174" s="6859" t="b">
        <f t="shared" si="173"/>
        <v>1</v>
      </c>
      <c r="BF174" s="6859" t="b">
        <f t="shared" si="173"/>
        <v>1</v>
      </c>
      <c r="BG174" s="6859" t="b">
        <f t="shared" si="173"/>
        <v>1</v>
      </c>
      <c r="BH174" s="6859" t="b">
        <f t="shared" si="173"/>
        <v>1</v>
      </c>
      <c r="BI174" s="6859" t="b">
        <f t="shared" si="173"/>
        <v>1</v>
      </c>
      <c r="BJ174" s="6859" t="b">
        <f t="shared" si="173"/>
        <v>1</v>
      </c>
      <c r="BK174" s="6859" t="b">
        <f t="shared" si="173"/>
        <v>1</v>
      </c>
      <c r="BL174" s="6859" t="b">
        <f t="shared" si="173"/>
        <v>1</v>
      </c>
      <c r="BM174" s="6859" t="b">
        <f t="shared" si="173"/>
        <v>1</v>
      </c>
      <c r="BN174" s="6859" t="b">
        <f t="shared" si="173"/>
        <v>1</v>
      </c>
      <c r="BO174" s="6859" t="b">
        <f t="shared" si="173"/>
        <v>1</v>
      </c>
      <c r="BP174" s="6859"/>
      <c r="BQ174" s="6859" t="b">
        <f t="shared" ref="BQ174:CB174" si="174">ROUND(SUM(BQ25:BQ33),1)=ROUND(BQ21,1)</f>
        <v>1</v>
      </c>
      <c r="BR174" s="6860" t="b">
        <f t="shared" si="174"/>
        <v>1</v>
      </c>
      <c r="BS174" s="6859" t="b">
        <f t="shared" si="174"/>
        <v>1</v>
      </c>
      <c r="BT174" s="6859" t="b">
        <f t="shared" si="174"/>
        <v>1</v>
      </c>
      <c r="BU174" s="6859" t="b">
        <f t="shared" si="174"/>
        <v>1</v>
      </c>
      <c r="BV174" s="6859" t="b">
        <f t="shared" si="174"/>
        <v>1</v>
      </c>
      <c r="BW174" s="6859" t="b">
        <f t="shared" si="174"/>
        <v>1</v>
      </c>
      <c r="BX174" s="6859" t="b">
        <f t="shared" si="174"/>
        <v>1</v>
      </c>
      <c r="BY174" s="6859" t="b">
        <f t="shared" si="174"/>
        <v>1</v>
      </c>
      <c r="BZ174" s="6859" t="b">
        <f t="shared" si="174"/>
        <v>1</v>
      </c>
      <c r="CA174" s="6859" t="b">
        <f t="shared" si="174"/>
        <v>1</v>
      </c>
      <c r="CB174" s="6859" t="b">
        <f t="shared" si="174"/>
        <v>1</v>
      </c>
      <c r="CC174" s="6861"/>
      <c r="CD174" s="6862"/>
      <c r="CE174" s="6863" t="b">
        <f>ROUND(SUM(CE25:CE33),1)=ROUND(CE21,1)</f>
        <v>1</v>
      </c>
      <c r="CF174" s="6864" t="b">
        <f>ROUND(SUM(CF25:CF33),1)=ROUND(CF21,1)</f>
        <v>1</v>
      </c>
      <c r="CG174" s="2892"/>
    </row>
    <row r="175" spans="1:85" x14ac:dyDescent="0.55000000000000004">
      <c r="A175" s="5841"/>
      <c r="C175" s="5076" t="s">
        <v>7</v>
      </c>
      <c r="F175" s="6154" t="b">
        <f>F38=SUM(F39:F44)</f>
        <v>1</v>
      </c>
      <c r="G175" s="6155" t="b">
        <f t="shared" ref="G175:BO175" si="175">G38=SUM(G39:G44)</f>
        <v>1</v>
      </c>
      <c r="H175" s="6155" t="b">
        <f t="shared" si="175"/>
        <v>1</v>
      </c>
      <c r="I175" s="6155" t="b">
        <f t="shared" si="175"/>
        <v>1</v>
      </c>
      <c r="J175" s="6155" t="b">
        <f t="shared" si="175"/>
        <v>1</v>
      </c>
      <c r="K175" s="6155" t="b">
        <f t="shared" si="175"/>
        <v>1</v>
      </c>
      <c r="L175" s="6155" t="b">
        <f t="shared" si="175"/>
        <v>1</v>
      </c>
      <c r="M175" s="6155" t="b">
        <f t="shared" si="175"/>
        <v>1</v>
      </c>
      <c r="N175" s="6155" t="b">
        <f t="shared" si="175"/>
        <v>1</v>
      </c>
      <c r="O175" s="6155" t="b">
        <f t="shared" si="175"/>
        <v>1</v>
      </c>
      <c r="P175" s="6155" t="b">
        <f t="shared" si="175"/>
        <v>1</v>
      </c>
      <c r="Q175" s="6156" t="b">
        <f t="shared" si="175"/>
        <v>1</v>
      </c>
      <c r="R175" s="6155" t="b">
        <f t="shared" si="175"/>
        <v>1</v>
      </c>
      <c r="S175" s="6155" t="b">
        <f t="shared" si="175"/>
        <v>1</v>
      </c>
      <c r="T175" s="6155" t="b">
        <f t="shared" si="175"/>
        <v>1</v>
      </c>
      <c r="U175" s="6155" t="b">
        <f t="shared" si="175"/>
        <v>1</v>
      </c>
      <c r="V175" s="6155" t="b">
        <f t="shared" si="175"/>
        <v>1</v>
      </c>
      <c r="W175" s="6155" t="b">
        <f t="shared" si="175"/>
        <v>1</v>
      </c>
      <c r="X175" s="6155" t="b">
        <f t="shared" si="175"/>
        <v>1</v>
      </c>
      <c r="Y175" s="6155" t="b">
        <f t="shared" si="175"/>
        <v>1</v>
      </c>
      <c r="Z175" s="6155" t="b">
        <f t="shared" si="175"/>
        <v>1</v>
      </c>
      <c r="AA175" s="6155" t="b">
        <f t="shared" si="175"/>
        <v>1</v>
      </c>
      <c r="AB175" s="6155" t="b">
        <f t="shared" si="175"/>
        <v>1</v>
      </c>
      <c r="AC175" s="6155" t="b">
        <f t="shared" si="175"/>
        <v>1</v>
      </c>
      <c r="AD175" s="6154" t="b">
        <f t="shared" si="175"/>
        <v>1</v>
      </c>
      <c r="AE175" s="6155" t="b">
        <f t="shared" si="175"/>
        <v>1</v>
      </c>
      <c r="AF175" s="6155" t="b">
        <f t="shared" si="175"/>
        <v>1</v>
      </c>
      <c r="AG175" s="6155" t="b">
        <f t="shared" si="175"/>
        <v>1</v>
      </c>
      <c r="AH175" s="6155" t="b">
        <f t="shared" si="175"/>
        <v>1</v>
      </c>
      <c r="AI175" s="6155" t="b">
        <f t="shared" si="175"/>
        <v>1</v>
      </c>
      <c r="AJ175" s="6155" t="b">
        <f t="shared" si="175"/>
        <v>1</v>
      </c>
      <c r="AK175" s="6155" t="b">
        <f t="shared" si="175"/>
        <v>1</v>
      </c>
      <c r="AL175" s="6155" t="b">
        <f t="shared" si="175"/>
        <v>1</v>
      </c>
      <c r="AM175" s="6155" t="b">
        <f t="shared" si="175"/>
        <v>1</v>
      </c>
      <c r="AN175" s="6155" t="b">
        <f t="shared" si="175"/>
        <v>1</v>
      </c>
      <c r="AO175" s="6157" t="b">
        <f t="shared" si="175"/>
        <v>1</v>
      </c>
      <c r="AP175" s="6157"/>
      <c r="AQ175" s="2547" t="b">
        <f>ROUND(AQ38,1)=ROUND(SUM(AQ39:AQ44),1)</f>
        <v>1</v>
      </c>
      <c r="AR175" s="6844" t="b">
        <f t="shared" si="175"/>
        <v>1</v>
      </c>
      <c r="AS175" s="6844" t="b">
        <f t="shared" si="175"/>
        <v>1</v>
      </c>
      <c r="AT175" s="6844" t="b">
        <f t="shared" si="175"/>
        <v>1</v>
      </c>
      <c r="AU175" s="6844" t="b">
        <f t="shared" si="175"/>
        <v>1</v>
      </c>
      <c r="AV175" s="6844" t="b">
        <f t="shared" si="175"/>
        <v>1</v>
      </c>
      <c r="AW175" s="6844" t="b">
        <f t="shared" si="175"/>
        <v>1</v>
      </c>
      <c r="AX175" s="6844" t="b">
        <f t="shared" si="175"/>
        <v>1</v>
      </c>
      <c r="AY175" s="6844" t="b">
        <f t="shared" si="175"/>
        <v>1</v>
      </c>
      <c r="AZ175" s="6844" t="b">
        <f t="shared" si="175"/>
        <v>1</v>
      </c>
      <c r="BA175" s="6844" t="b">
        <f t="shared" si="175"/>
        <v>1</v>
      </c>
      <c r="BB175" s="6844" t="b">
        <f t="shared" si="175"/>
        <v>1</v>
      </c>
      <c r="BC175" s="6845" t="b">
        <f t="shared" si="175"/>
        <v>1</v>
      </c>
      <c r="BD175" s="6846" t="b">
        <f t="shared" si="175"/>
        <v>1</v>
      </c>
      <c r="BE175" s="6847" t="b">
        <f t="shared" si="175"/>
        <v>1</v>
      </c>
      <c r="BF175" s="6847" t="b">
        <f t="shared" si="175"/>
        <v>1</v>
      </c>
      <c r="BG175" s="6847" t="b">
        <f t="shared" si="175"/>
        <v>1</v>
      </c>
      <c r="BH175" s="6847" t="b">
        <f t="shared" si="175"/>
        <v>1</v>
      </c>
      <c r="BI175" s="6847" t="b">
        <f t="shared" si="175"/>
        <v>1</v>
      </c>
      <c r="BJ175" s="6847" t="b">
        <f t="shared" si="175"/>
        <v>1</v>
      </c>
      <c r="BK175" s="6847" t="b">
        <f t="shared" si="175"/>
        <v>1</v>
      </c>
      <c r="BL175" s="6847" t="b">
        <f t="shared" si="175"/>
        <v>1</v>
      </c>
      <c r="BM175" s="6847" t="b">
        <f t="shared" si="175"/>
        <v>1</v>
      </c>
      <c r="BN175" s="6847" t="b">
        <f t="shared" si="175"/>
        <v>1</v>
      </c>
      <c r="BO175" s="6847" t="b">
        <f t="shared" si="175"/>
        <v>1</v>
      </c>
      <c r="BP175" s="6847"/>
      <c r="BQ175" s="6846" t="b">
        <f t="shared" ref="BQ175:CB175" si="176">BQ38=SUM(BQ39:BQ44)</f>
        <v>1</v>
      </c>
      <c r="BR175" s="6848" t="b">
        <f t="shared" si="176"/>
        <v>1</v>
      </c>
      <c r="BS175" s="6847" t="b">
        <f t="shared" si="176"/>
        <v>1</v>
      </c>
      <c r="BT175" s="6847" t="b">
        <f>BT38=SUM(BT39:BT44)</f>
        <v>1</v>
      </c>
      <c r="BU175" s="6847" t="b">
        <f t="shared" si="176"/>
        <v>1</v>
      </c>
      <c r="BV175" s="6847" t="b">
        <f t="shared" si="176"/>
        <v>1</v>
      </c>
      <c r="BW175" s="6847" t="b">
        <f t="shared" si="176"/>
        <v>1</v>
      </c>
      <c r="BX175" s="6847" t="b">
        <f t="shared" si="176"/>
        <v>1</v>
      </c>
      <c r="BY175" s="6847" t="b">
        <f t="shared" si="176"/>
        <v>1</v>
      </c>
      <c r="BZ175" s="6847" t="b">
        <f t="shared" si="176"/>
        <v>1</v>
      </c>
      <c r="CA175" s="6847" t="b">
        <f t="shared" si="176"/>
        <v>1</v>
      </c>
      <c r="CB175" s="6847" t="b">
        <f t="shared" si="176"/>
        <v>1</v>
      </c>
      <c r="CC175" s="6849" t="b">
        <f>CC38=SUM(CC39:CC44)</f>
        <v>0</v>
      </c>
      <c r="CD175" s="2794"/>
      <c r="CE175" s="2499" t="b">
        <f>CE38=SUM(CE39:CE44)</f>
        <v>1</v>
      </c>
      <c r="CF175" s="2499" t="b">
        <f>ROUND(CF38,1)=ROUND(SUM(CF39:CF44),1)</f>
        <v>1</v>
      </c>
      <c r="CG175" s="2509"/>
    </row>
    <row r="176" spans="1:85" x14ac:dyDescent="0.55000000000000004">
      <c r="A176" s="5841"/>
      <c r="B176" s="3695" t="s">
        <v>5</v>
      </c>
      <c r="C176" s="3696"/>
      <c r="D176" s="3696"/>
      <c r="E176" s="3696"/>
      <c r="F176" s="6193" t="b">
        <f t="shared" ref="F176:AO176" si="177">F45=SUM(F46:F49)</f>
        <v>1</v>
      </c>
      <c r="G176" s="6408" t="b">
        <f t="shared" si="177"/>
        <v>1</v>
      </c>
      <c r="H176" s="6408" t="b">
        <f t="shared" si="177"/>
        <v>1</v>
      </c>
      <c r="I176" s="6408" t="b">
        <f t="shared" si="177"/>
        <v>1</v>
      </c>
      <c r="J176" s="6408" t="b">
        <f t="shared" si="177"/>
        <v>1</v>
      </c>
      <c r="K176" s="6408" t="b">
        <f t="shared" si="177"/>
        <v>1</v>
      </c>
      <c r="L176" s="6408" t="b">
        <f t="shared" si="177"/>
        <v>1</v>
      </c>
      <c r="M176" s="6408" t="b">
        <f t="shared" si="177"/>
        <v>1</v>
      </c>
      <c r="N176" s="6408" t="b">
        <f t="shared" si="177"/>
        <v>1</v>
      </c>
      <c r="O176" s="6408" t="b">
        <f t="shared" si="177"/>
        <v>1</v>
      </c>
      <c r="P176" s="6408" t="b">
        <f t="shared" si="177"/>
        <v>1</v>
      </c>
      <c r="Q176" s="6195" t="b">
        <f t="shared" si="177"/>
        <v>1</v>
      </c>
      <c r="R176" s="7084"/>
      <c r="S176" s="7084"/>
      <c r="T176" s="7084"/>
      <c r="U176" s="7084"/>
      <c r="V176" s="7084"/>
      <c r="W176" s="7084"/>
      <c r="X176" s="7084"/>
      <c r="Y176" s="7084"/>
      <c r="Z176" s="7084"/>
      <c r="AA176" s="7084"/>
      <c r="AB176" s="7084"/>
      <c r="AC176" s="7085"/>
      <c r="AD176" s="6175" t="b">
        <f>ROUND(AD45,1)=ROUND(SUM(AD46:AD49),1)</f>
        <v>1</v>
      </c>
      <c r="AE176" s="6175" t="b">
        <f t="shared" si="177"/>
        <v>1</v>
      </c>
      <c r="AF176" s="6175" t="b">
        <f t="shared" si="177"/>
        <v>1</v>
      </c>
      <c r="AG176" s="6175" t="b">
        <f t="shared" si="177"/>
        <v>1</v>
      </c>
      <c r="AH176" s="6175" t="b">
        <f t="shared" si="177"/>
        <v>1</v>
      </c>
      <c r="AI176" s="6175" t="b">
        <f t="shared" si="177"/>
        <v>1</v>
      </c>
      <c r="AJ176" s="6175" t="b">
        <f t="shared" si="177"/>
        <v>1</v>
      </c>
      <c r="AK176" s="6175" t="b">
        <f t="shared" si="177"/>
        <v>1</v>
      </c>
      <c r="AL176" s="6175" t="b">
        <f t="shared" si="177"/>
        <v>1</v>
      </c>
      <c r="AM176" s="6175" t="b">
        <f t="shared" si="177"/>
        <v>1</v>
      </c>
      <c r="AN176" s="6175" t="b">
        <f t="shared" si="177"/>
        <v>1</v>
      </c>
      <c r="AO176" s="6175" t="b">
        <f t="shared" si="177"/>
        <v>1</v>
      </c>
      <c r="AP176" s="6157"/>
      <c r="AQ176" s="2547" t="b">
        <f>AQ45=SUM(AQ46:AQ49)</f>
        <v>1</v>
      </c>
      <c r="AR176" s="6844" t="b">
        <f t="shared" ref="AR176:CF176" si="178">AR45=SUM(AR46:AR49)</f>
        <v>1</v>
      </c>
      <c r="AS176" s="6844" t="b">
        <f t="shared" si="178"/>
        <v>1</v>
      </c>
      <c r="AT176" s="6844" t="b">
        <f t="shared" si="178"/>
        <v>1</v>
      </c>
      <c r="AU176" s="6844" t="b">
        <f t="shared" si="178"/>
        <v>1</v>
      </c>
      <c r="AV176" s="6844" t="b">
        <f t="shared" si="178"/>
        <v>1</v>
      </c>
      <c r="AW176" s="6844" t="b">
        <f t="shared" si="178"/>
        <v>1</v>
      </c>
      <c r="AX176" s="6844" t="b">
        <f t="shared" si="178"/>
        <v>1</v>
      </c>
      <c r="AY176" s="6844" t="b">
        <f t="shared" si="178"/>
        <v>1</v>
      </c>
      <c r="AZ176" s="6844" t="b">
        <f t="shared" si="178"/>
        <v>1</v>
      </c>
      <c r="BA176" s="6844" t="b">
        <f t="shared" si="178"/>
        <v>1</v>
      </c>
      <c r="BB176" s="6844" t="b">
        <f t="shared" si="178"/>
        <v>1</v>
      </c>
      <c r="BC176" s="6851" t="b">
        <f t="shared" si="178"/>
        <v>1</v>
      </c>
      <c r="BD176" s="6865" t="b">
        <f t="shared" si="178"/>
        <v>1</v>
      </c>
      <c r="BE176" s="6866" t="b">
        <f t="shared" si="178"/>
        <v>1</v>
      </c>
      <c r="BF176" s="6866" t="b">
        <f t="shared" si="178"/>
        <v>1</v>
      </c>
      <c r="BG176" s="6866" t="b">
        <f t="shared" si="178"/>
        <v>1</v>
      </c>
      <c r="BH176" s="6866" t="b">
        <f t="shared" si="178"/>
        <v>1</v>
      </c>
      <c r="BI176" s="6866" t="b">
        <f t="shared" si="178"/>
        <v>1</v>
      </c>
      <c r="BJ176" s="6866" t="b">
        <f t="shared" si="178"/>
        <v>1</v>
      </c>
      <c r="BK176" s="6866" t="b">
        <f t="shared" si="178"/>
        <v>1</v>
      </c>
      <c r="BL176" s="6866" t="b">
        <f t="shared" si="178"/>
        <v>1</v>
      </c>
      <c r="BM176" s="6866" t="b">
        <f t="shared" si="178"/>
        <v>1</v>
      </c>
      <c r="BN176" s="6866" t="b">
        <f t="shared" si="178"/>
        <v>1</v>
      </c>
      <c r="BO176" s="6866" t="b">
        <f t="shared" si="178"/>
        <v>1</v>
      </c>
      <c r="BP176" s="6866"/>
      <c r="BQ176" s="6865" t="b">
        <f>BQ45=SUM(BQ46:BQ49)</f>
        <v>1</v>
      </c>
      <c r="BR176" s="6867" t="b">
        <f t="shared" ref="BR176" si="179">BR45=SUM(BR46:BR49)</f>
        <v>1</v>
      </c>
      <c r="BS176" s="6866" t="b">
        <f>ROUND(BS45,1)=ROUND(SUM(BS46:BS49),1)</f>
        <v>1</v>
      </c>
      <c r="BT176" s="6866" t="b">
        <f>ROUND(BT45,1)=ROUND(SUM(BT46:BT49),1)</f>
        <v>1</v>
      </c>
      <c r="BU176" s="6866" t="b">
        <f t="shared" ref="BU176:CB176" si="180">ROUND(BU45,1)=ROUND(SUM(BU46:BU49),1)</f>
        <v>1</v>
      </c>
      <c r="BV176" s="6866" t="b">
        <f t="shared" si="180"/>
        <v>1</v>
      </c>
      <c r="BW176" s="6866" t="b">
        <f t="shared" si="180"/>
        <v>1</v>
      </c>
      <c r="BX176" s="6866" t="b">
        <f t="shared" si="180"/>
        <v>1</v>
      </c>
      <c r="BY176" s="6866" t="b">
        <f t="shared" si="180"/>
        <v>1</v>
      </c>
      <c r="BZ176" s="6866" t="b">
        <f t="shared" si="180"/>
        <v>1</v>
      </c>
      <c r="CA176" s="6866" t="b">
        <f t="shared" si="180"/>
        <v>1</v>
      </c>
      <c r="CB176" s="6866" t="b">
        <f t="shared" si="180"/>
        <v>1</v>
      </c>
      <c r="CC176" s="6868" t="b">
        <f t="shared" si="178"/>
        <v>1</v>
      </c>
      <c r="CD176" s="6869"/>
      <c r="CE176" s="6870" t="b">
        <f>CE45=CE45</f>
        <v>1</v>
      </c>
      <c r="CF176" s="6871" t="b">
        <f t="shared" si="178"/>
        <v>1</v>
      </c>
      <c r="CG176" s="2509"/>
    </row>
    <row r="177" spans="1:85" x14ac:dyDescent="0.55000000000000004">
      <c r="A177" s="5841"/>
      <c r="C177" s="3189" t="s">
        <v>622</v>
      </c>
      <c r="D177" s="3189"/>
      <c r="E177" s="3189"/>
      <c r="F177" s="6193" t="b">
        <f>F51+F52=F50</f>
        <v>1</v>
      </c>
      <c r="G177" s="6408" t="b">
        <f t="shared" ref="G177:BO177" si="181">G51+G52=G50</f>
        <v>1</v>
      </c>
      <c r="H177" s="6408" t="b">
        <f t="shared" si="181"/>
        <v>1</v>
      </c>
      <c r="I177" s="6408" t="b">
        <f t="shared" si="181"/>
        <v>1</v>
      </c>
      <c r="J177" s="6408" t="b">
        <f t="shared" si="181"/>
        <v>1</v>
      </c>
      <c r="K177" s="6408" t="b">
        <f t="shared" si="181"/>
        <v>1</v>
      </c>
      <c r="L177" s="6408" t="b">
        <f t="shared" si="181"/>
        <v>1</v>
      </c>
      <c r="M177" s="6408" t="b">
        <f t="shared" si="181"/>
        <v>1</v>
      </c>
      <c r="N177" s="6408" t="b">
        <f t="shared" si="181"/>
        <v>1</v>
      </c>
      <c r="O177" s="6408" t="b">
        <f t="shared" si="181"/>
        <v>1</v>
      </c>
      <c r="P177" s="6408" t="b">
        <f t="shared" si="181"/>
        <v>1</v>
      </c>
      <c r="Q177" s="6195" t="b">
        <f t="shared" si="181"/>
        <v>1</v>
      </c>
      <c r="R177" s="6408" t="b">
        <f t="shared" si="181"/>
        <v>1</v>
      </c>
      <c r="S177" s="6408" t="b">
        <f t="shared" si="181"/>
        <v>1</v>
      </c>
      <c r="T177" s="6408" t="b">
        <f t="shared" si="181"/>
        <v>1</v>
      </c>
      <c r="U177" s="6408" t="b">
        <f t="shared" si="181"/>
        <v>1</v>
      </c>
      <c r="V177" s="6408" t="b">
        <f t="shared" si="181"/>
        <v>1</v>
      </c>
      <c r="W177" s="6408" t="b">
        <f t="shared" si="181"/>
        <v>1</v>
      </c>
      <c r="X177" s="6408" t="b">
        <f t="shared" si="181"/>
        <v>1</v>
      </c>
      <c r="Y177" s="6408" t="b">
        <f t="shared" si="181"/>
        <v>1</v>
      </c>
      <c r="Z177" s="6408" t="b">
        <f t="shared" si="181"/>
        <v>1</v>
      </c>
      <c r="AA177" s="6408" t="b">
        <f t="shared" si="181"/>
        <v>1</v>
      </c>
      <c r="AB177" s="6408" t="b">
        <f t="shared" si="181"/>
        <v>1</v>
      </c>
      <c r="AC177" s="6195" t="b">
        <f t="shared" si="181"/>
        <v>1</v>
      </c>
      <c r="AD177" s="6408" t="b">
        <f t="shared" si="181"/>
        <v>1</v>
      </c>
      <c r="AE177" s="6408" t="b">
        <f t="shared" si="181"/>
        <v>1</v>
      </c>
      <c r="AF177" s="6408" t="b">
        <f t="shared" si="181"/>
        <v>1</v>
      </c>
      <c r="AG177" s="6408" t="b">
        <f t="shared" si="181"/>
        <v>1</v>
      </c>
      <c r="AH177" s="6408" t="b">
        <f t="shared" si="181"/>
        <v>1</v>
      </c>
      <c r="AI177" s="6408" t="b">
        <f t="shared" si="181"/>
        <v>1</v>
      </c>
      <c r="AJ177" s="6408" t="b">
        <f t="shared" si="181"/>
        <v>1</v>
      </c>
      <c r="AK177" s="6408" t="b">
        <f t="shared" si="181"/>
        <v>1</v>
      </c>
      <c r="AL177" s="6408" t="b">
        <f t="shared" si="181"/>
        <v>1</v>
      </c>
      <c r="AM177" s="6408" t="b">
        <f t="shared" si="181"/>
        <v>1</v>
      </c>
      <c r="AN177" s="6408" t="b">
        <f t="shared" si="181"/>
        <v>1</v>
      </c>
      <c r="AO177" s="6408" t="b">
        <f t="shared" si="181"/>
        <v>1</v>
      </c>
      <c r="AP177" s="6194"/>
      <c r="AQ177" s="2859" t="b">
        <f t="shared" si="181"/>
        <v>1</v>
      </c>
      <c r="AR177" s="6872" t="b">
        <f t="shared" si="181"/>
        <v>1</v>
      </c>
      <c r="AS177" s="6872" t="b">
        <f t="shared" si="181"/>
        <v>1</v>
      </c>
      <c r="AT177" s="6872" t="b">
        <f t="shared" si="181"/>
        <v>1</v>
      </c>
      <c r="AU177" s="6872" t="b">
        <f t="shared" si="181"/>
        <v>1</v>
      </c>
      <c r="AV177" s="6872" t="b">
        <f t="shared" si="181"/>
        <v>1</v>
      </c>
      <c r="AW177" s="6872" t="b">
        <f t="shared" si="181"/>
        <v>1</v>
      </c>
      <c r="AX177" s="6872" t="b">
        <f t="shared" si="181"/>
        <v>1</v>
      </c>
      <c r="AY177" s="6872" t="b">
        <f t="shared" si="181"/>
        <v>1</v>
      </c>
      <c r="AZ177" s="6872" t="b">
        <f t="shared" si="181"/>
        <v>1</v>
      </c>
      <c r="BA177" s="6872" t="b">
        <f t="shared" si="181"/>
        <v>1</v>
      </c>
      <c r="BB177" s="6872" t="b">
        <f t="shared" si="181"/>
        <v>1</v>
      </c>
      <c r="BC177" s="6873" t="b">
        <f t="shared" si="181"/>
        <v>1</v>
      </c>
      <c r="BD177" s="6874" t="b">
        <f t="shared" si="181"/>
        <v>1</v>
      </c>
      <c r="BE177" s="6874" t="b">
        <f t="shared" si="181"/>
        <v>1</v>
      </c>
      <c r="BF177" s="6874" t="b">
        <f t="shared" si="181"/>
        <v>1</v>
      </c>
      <c r="BG177" s="6874" t="b">
        <f t="shared" si="181"/>
        <v>1</v>
      </c>
      <c r="BH177" s="6874" t="b">
        <f t="shared" si="181"/>
        <v>1</v>
      </c>
      <c r="BI177" s="6874" t="b">
        <f t="shared" si="181"/>
        <v>1</v>
      </c>
      <c r="BJ177" s="6874" t="b">
        <f t="shared" si="181"/>
        <v>1</v>
      </c>
      <c r="BK177" s="6874" t="b">
        <f t="shared" si="181"/>
        <v>1</v>
      </c>
      <c r="BL177" s="6874" t="b">
        <f t="shared" si="181"/>
        <v>1</v>
      </c>
      <c r="BM177" s="6874" t="b">
        <f t="shared" si="181"/>
        <v>1</v>
      </c>
      <c r="BN177" s="6874" t="b">
        <f t="shared" si="181"/>
        <v>1</v>
      </c>
      <c r="BO177" s="6874" t="b">
        <f t="shared" si="181"/>
        <v>1</v>
      </c>
      <c r="BP177" s="6874"/>
      <c r="BQ177" s="6874" t="b">
        <f t="shared" ref="BQ177:CB177" si="182">BQ51+BQ52=BQ50</f>
        <v>1</v>
      </c>
      <c r="BR177" s="6875" t="b">
        <f t="shared" si="182"/>
        <v>1</v>
      </c>
      <c r="BS177" s="6874" t="b">
        <f t="shared" si="182"/>
        <v>1</v>
      </c>
      <c r="BT177" s="6874" t="b">
        <f t="shared" si="182"/>
        <v>1</v>
      </c>
      <c r="BU177" s="6874" t="b">
        <f t="shared" si="182"/>
        <v>1</v>
      </c>
      <c r="BV177" s="6874" t="b">
        <f t="shared" si="182"/>
        <v>1</v>
      </c>
      <c r="BW177" s="6874" t="b">
        <f t="shared" si="182"/>
        <v>1</v>
      </c>
      <c r="BX177" s="6874" t="b">
        <f t="shared" si="182"/>
        <v>1</v>
      </c>
      <c r="BY177" s="6874" t="b">
        <f t="shared" si="182"/>
        <v>1</v>
      </c>
      <c r="BZ177" s="6874" t="b">
        <f t="shared" si="182"/>
        <v>1</v>
      </c>
      <c r="CA177" s="6874" t="b">
        <f t="shared" si="182"/>
        <v>1</v>
      </c>
      <c r="CB177" s="6874" t="b">
        <f t="shared" si="182"/>
        <v>1</v>
      </c>
      <c r="CC177" s="6876" t="b">
        <f>CC51+CC52=CC50</f>
        <v>1</v>
      </c>
      <c r="CD177" s="2794"/>
      <c r="CE177" s="2863" t="b">
        <f>CE51+CE52=CE50</f>
        <v>1</v>
      </c>
      <c r="CF177" s="6877" t="b">
        <f>CF51+CF52=CF50</f>
        <v>1</v>
      </c>
      <c r="CG177" s="2868"/>
    </row>
    <row r="178" spans="1:85" x14ac:dyDescent="0.55000000000000004">
      <c r="A178" s="6878" t="s">
        <v>624</v>
      </c>
      <c r="B178" s="6455"/>
      <c r="C178" s="6455"/>
      <c r="D178" s="6455"/>
      <c r="E178" s="6455"/>
      <c r="F178" s="6456" t="b">
        <f>ROUND(F55,1)=ROUND(SUM(F56:F70),1)</f>
        <v>1</v>
      </c>
      <c r="G178" s="6457" t="b">
        <f t="shared" ref="G178:AO178" si="183">ROUND(G55,1)=ROUND(SUM(G56:G70),1)</f>
        <v>1</v>
      </c>
      <c r="H178" s="6457" t="b">
        <f t="shared" si="183"/>
        <v>1</v>
      </c>
      <c r="I178" s="6457" t="b">
        <f t="shared" si="183"/>
        <v>1</v>
      </c>
      <c r="J178" s="6457" t="b">
        <f t="shared" si="183"/>
        <v>1</v>
      </c>
      <c r="K178" s="6457" t="b">
        <f t="shared" si="183"/>
        <v>1</v>
      </c>
      <c r="L178" s="6457" t="b">
        <f t="shared" si="183"/>
        <v>1</v>
      </c>
      <c r="M178" s="6457" t="b">
        <f t="shared" si="183"/>
        <v>1</v>
      </c>
      <c r="N178" s="6457" t="b">
        <f t="shared" si="183"/>
        <v>1</v>
      </c>
      <c r="O178" s="6457" t="b">
        <f t="shared" si="183"/>
        <v>1</v>
      </c>
      <c r="P178" s="6457" t="b">
        <f t="shared" si="183"/>
        <v>1</v>
      </c>
      <c r="Q178" s="6458" t="b">
        <f t="shared" si="183"/>
        <v>1</v>
      </c>
      <c r="R178" s="6457" t="b">
        <f t="shared" si="183"/>
        <v>1</v>
      </c>
      <c r="S178" s="6457" t="b">
        <f t="shared" si="183"/>
        <v>1</v>
      </c>
      <c r="T178" s="6457" t="b">
        <f t="shared" si="183"/>
        <v>1</v>
      </c>
      <c r="U178" s="6457" t="b">
        <f t="shared" si="183"/>
        <v>1</v>
      </c>
      <c r="V178" s="6457" t="b">
        <f t="shared" si="183"/>
        <v>1</v>
      </c>
      <c r="W178" s="6457" t="b">
        <f t="shared" si="183"/>
        <v>1</v>
      </c>
      <c r="X178" s="6457" t="b">
        <f t="shared" si="183"/>
        <v>1</v>
      </c>
      <c r="Y178" s="6457" t="b">
        <f t="shared" si="183"/>
        <v>1</v>
      </c>
      <c r="Z178" s="6457" t="b">
        <f t="shared" si="183"/>
        <v>1</v>
      </c>
      <c r="AA178" s="6457" t="b">
        <f t="shared" si="183"/>
        <v>1</v>
      </c>
      <c r="AB178" s="6457" t="b">
        <f t="shared" si="183"/>
        <v>1</v>
      </c>
      <c r="AC178" s="6457" t="b">
        <f t="shared" si="183"/>
        <v>1</v>
      </c>
      <c r="AD178" s="6456" t="b">
        <f t="shared" si="183"/>
        <v>1</v>
      </c>
      <c r="AE178" s="6457" t="b">
        <f t="shared" si="183"/>
        <v>1</v>
      </c>
      <c r="AF178" s="6457" t="b">
        <f t="shared" si="183"/>
        <v>1</v>
      </c>
      <c r="AG178" s="6457" t="b">
        <f t="shared" si="183"/>
        <v>1</v>
      </c>
      <c r="AH178" s="6457" t="b">
        <f t="shared" si="183"/>
        <v>1</v>
      </c>
      <c r="AI178" s="6459" t="b">
        <f t="shared" si="183"/>
        <v>1</v>
      </c>
      <c r="AJ178" s="6457" t="b">
        <f t="shared" si="183"/>
        <v>1</v>
      </c>
      <c r="AK178" s="6457" t="b">
        <f t="shared" si="183"/>
        <v>1</v>
      </c>
      <c r="AL178" s="6457" t="b">
        <f t="shared" si="183"/>
        <v>1</v>
      </c>
      <c r="AM178" s="6457" t="b">
        <f t="shared" si="183"/>
        <v>1</v>
      </c>
      <c r="AN178" s="6457" t="b">
        <f t="shared" si="183"/>
        <v>1</v>
      </c>
      <c r="AO178" s="6460" t="b">
        <f t="shared" si="183"/>
        <v>1</v>
      </c>
      <c r="AP178" s="6460"/>
      <c r="AQ178" s="6879" t="b">
        <f t="shared" ref="AQ178:BC178" si="184">ROUND(AQ55,1)=ROUND(SUM(AQ56,AQ62,AQ66,AQ69,AQ70),1)</f>
        <v>1</v>
      </c>
      <c r="AR178" s="6879" t="b">
        <f t="shared" si="184"/>
        <v>1</v>
      </c>
      <c r="AS178" s="6879" t="b">
        <f t="shared" si="184"/>
        <v>1</v>
      </c>
      <c r="AT178" s="6879" t="b">
        <f t="shared" si="184"/>
        <v>1</v>
      </c>
      <c r="AU178" s="6879" t="b">
        <f t="shared" si="184"/>
        <v>1</v>
      </c>
      <c r="AV178" s="6879" t="b">
        <f t="shared" si="184"/>
        <v>1</v>
      </c>
      <c r="AW178" s="6879" t="b">
        <f t="shared" si="184"/>
        <v>1</v>
      </c>
      <c r="AX178" s="6879" t="b">
        <f t="shared" si="184"/>
        <v>1</v>
      </c>
      <c r="AY178" s="6879" t="b">
        <f t="shared" si="184"/>
        <v>1</v>
      </c>
      <c r="AZ178" s="6879" t="b">
        <f t="shared" si="184"/>
        <v>1</v>
      </c>
      <c r="BA178" s="6879" t="b">
        <f t="shared" si="184"/>
        <v>1</v>
      </c>
      <c r="BB178" s="6879" t="b">
        <f t="shared" si="184"/>
        <v>1</v>
      </c>
      <c r="BC178" s="6879" t="b">
        <f t="shared" si="184"/>
        <v>1</v>
      </c>
      <c r="BD178" s="6879" t="b">
        <f t="shared" ref="BD178:BO178" si="185">ROUND(BD55,1)=ROUND(SUM(BD56,BD62,BD66,BD69,BD70),1)</f>
        <v>1</v>
      </c>
      <c r="BE178" s="6879" t="b">
        <f t="shared" si="185"/>
        <v>1</v>
      </c>
      <c r="BF178" s="6879" t="b">
        <f t="shared" si="185"/>
        <v>1</v>
      </c>
      <c r="BG178" s="6879" t="b">
        <f t="shared" si="185"/>
        <v>1</v>
      </c>
      <c r="BH178" s="6879" t="b">
        <f t="shared" si="185"/>
        <v>1</v>
      </c>
      <c r="BI178" s="6879" t="b">
        <f t="shared" si="185"/>
        <v>1</v>
      </c>
      <c r="BJ178" s="6879" t="b">
        <f t="shared" si="185"/>
        <v>1</v>
      </c>
      <c r="BK178" s="6879" t="b">
        <f t="shared" si="185"/>
        <v>1</v>
      </c>
      <c r="BL178" s="6879" t="b">
        <f t="shared" si="185"/>
        <v>1</v>
      </c>
      <c r="BM178" s="6879" t="b">
        <f t="shared" si="185"/>
        <v>1</v>
      </c>
      <c r="BN178" s="6879" t="b">
        <f t="shared" si="185"/>
        <v>1</v>
      </c>
      <c r="BO178" s="6879" t="b">
        <f t="shared" si="185"/>
        <v>1</v>
      </c>
      <c r="BP178" s="6879"/>
      <c r="BQ178" s="6879" t="b">
        <f>ROUND(BQ55,1)=ROUND(SUM(BQ56,BQ62,BQ66,BQ69,BQ70),1)</f>
        <v>1</v>
      </c>
      <c r="BR178" s="6880" t="b">
        <f t="shared" ref="BR178:BY178" si="186">ROUND(BR55,1)=ROUND(SUM(BR56,BR62,BR66,BR69,BR70),1)</f>
        <v>1</v>
      </c>
      <c r="BS178" s="6879" t="b">
        <f t="shared" si="186"/>
        <v>1</v>
      </c>
      <c r="BT178" s="6879" t="b">
        <f t="shared" si="186"/>
        <v>1</v>
      </c>
      <c r="BU178" s="6879" t="b">
        <f t="shared" si="186"/>
        <v>1</v>
      </c>
      <c r="BV178" s="6879" t="b">
        <f t="shared" si="186"/>
        <v>1</v>
      </c>
      <c r="BW178" s="6879" t="b">
        <f t="shared" si="186"/>
        <v>1</v>
      </c>
      <c r="BX178" s="6879" t="b">
        <f t="shared" si="186"/>
        <v>1</v>
      </c>
      <c r="BY178" s="6879" t="b">
        <f t="shared" si="186"/>
        <v>1</v>
      </c>
      <c r="BZ178" s="6879" t="b">
        <f>ROUND(BZ55,1)=ROUND(SUM(BZ56,BZ62,BZ66,BZ69,BZ70),1)</f>
        <v>1</v>
      </c>
      <c r="CA178" s="6879" t="b">
        <f>ROUND(CA55,1)=ROUND(SUM(CA56,CA62,CA66,CA69,CA70),1)</f>
        <v>1</v>
      </c>
      <c r="CB178" s="6879" t="b">
        <f>ROUND(CB55,1)=ROUND(SUM(CB56,CB62,CB66,CB69,CB70),1)</f>
        <v>1</v>
      </c>
      <c r="CC178" s="6879" t="b">
        <f>ROUND(CC55,1)=ROUND(SUM(CC56,CC62,CC66,CC69,CC70),1)</f>
        <v>1</v>
      </c>
      <c r="CD178" s="2794"/>
      <c r="CE178" s="6879" t="b">
        <f>ROUND(CE55,1)=ROUND(SUM(CE56,CE62,CE66,CE69,CE70),1)</f>
        <v>1</v>
      </c>
      <c r="CF178" s="6879" t="b">
        <f>ROUND(CF55,1)=ROUND(SUM(CF56,CF62,CF66,CF69,CF70),1)</f>
        <v>1</v>
      </c>
      <c r="CG178" s="2606"/>
    </row>
    <row r="179" spans="1:85" ht="15.45" thickBot="1" x14ac:dyDescent="0.6">
      <c r="A179" s="5841"/>
      <c r="B179" s="2441" t="s">
        <v>16</v>
      </c>
      <c r="F179" s="6154" t="b">
        <f t="shared" ref="F179:CC179" si="187">ROUND(F70,1)=ROUND(SUM(F71:F77),1)</f>
        <v>1</v>
      </c>
      <c r="G179" s="6155" t="b">
        <f t="shared" si="187"/>
        <v>1</v>
      </c>
      <c r="H179" s="6155" t="b">
        <f t="shared" si="187"/>
        <v>1</v>
      </c>
      <c r="I179" s="6155" t="b">
        <f t="shared" si="187"/>
        <v>1</v>
      </c>
      <c r="J179" s="6155" t="b">
        <f t="shared" si="187"/>
        <v>1</v>
      </c>
      <c r="K179" s="6155" t="b">
        <f t="shared" si="187"/>
        <v>1</v>
      </c>
      <c r="L179" s="6155" t="b">
        <f t="shared" si="187"/>
        <v>1</v>
      </c>
      <c r="M179" s="6155" t="b">
        <f t="shared" si="187"/>
        <v>1</v>
      </c>
      <c r="N179" s="6155" t="b">
        <f t="shared" si="187"/>
        <v>1</v>
      </c>
      <c r="O179" s="6155" t="b">
        <f t="shared" si="187"/>
        <v>1</v>
      </c>
      <c r="P179" s="6155" t="b">
        <f t="shared" si="187"/>
        <v>1</v>
      </c>
      <c r="Q179" s="6156" t="b">
        <f t="shared" si="187"/>
        <v>1</v>
      </c>
      <c r="R179" s="6155" t="b">
        <f t="shared" si="187"/>
        <v>1</v>
      </c>
      <c r="S179" s="6155" t="b">
        <f t="shared" si="187"/>
        <v>1</v>
      </c>
      <c r="T179" s="6155" t="b">
        <f t="shared" si="187"/>
        <v>1</v>
      </c>
      <c r="U179" s="6155" t="b">
        <f t="shared" si="187"/>
        <v>1</v>
      </c>
      <c r="V179" s="6155" t="b">
        <f t="shared" si="187"/>
        <v>1</v>
      </c>
      <c r="W179" s="6155" t="b">
        <f t="shared" si="187"/>
        <v>1</v>
      </c>
      <c r="X179" s="6155" t="b">
        <f t="shared" si="187"/>
        <v>1</v>
      </c>
      <c r="Y179" s="6155" t="b">
        <f t="shared" si="187"/>
        <v>1</v>
      </c>
      <c r="Z179" s="6155" t="b">
        <f t="shared" si="187"/>
        <v>1</v>
      </c>
      <c r="AA179" s="6155" t="b">
        <f t="shared" si="187"/>
        <v>1</v>
      </c>
      <c r="AB179" s="6155" t="b">
        <f t="shared" si="187"/>
        <v>1</v>
      </c>
      <c r="AC179" s="6155" t="b">
        <f t="shared" si="187"/>
        <v>1</v>
      </c>
      <c r="AD179" s="6154" t="b">
        <f t="shared" si="187"/>
        <v>1</v>
      </c>
      <c r="AE179" s="6155" t="b">
        <f t="shared" si="187"/>
        <v>1</v>
      </c>
      <c r="AF179" s="6155" t="b">
        <f t="shared" si="187"/>
        <v>1</v>
      </c>
      <c r="AG179" s="6155" t="b">
        <f t="shared" si="187"/>
        <v>1</v>
      </c>
      <c r="AH179" s="6155" t="b">
        <f t="shared" si="187"/>
        <v>1</v>
      </c>
      <c r="AI179" s="6155" t="b">
        <f t="shared" si="187"/>
        <v>1</v>
      </c>
      <c r="AJ179" s="6155" t="b">
        <f t="shared" si="187"/>
        <v>1</v>
      </c>
      <c r="AK179" s="6155" t="b">
        <f t="shared" si="187"/>
        <v>1</v>
      </c>
      <c r="AL179" s="6155" t="b">
        <f t="shared" si="187"/>
        <v>1</v>
      </c>
      <c r="AM179" s="6155" t="b">
        <f t="shared" si="187"/>
        <v>1</v>
      </c>
      <c r="AN179" s="6155" t="b">
        <f t="shared" si="187"/>
        <v>1</v>
      </c>
      <c r="AO179" s="6157" t="b">
        <f t="shared" si="187"/>
        <v>1</v>
      </c>
      <c r="AP179" s="6157"/>
      <c r="AQ179" s="2547" t="b">
        <f t="shared" si="187"/>
        <v>1</v>
      </c>
      <c r="AR179" s="6844" t="b">
        <f t="shared" si="187"/>
        <v>1</v>
      </c>
      <c r="AS179" s="6844" t="b">
        <f t="shared" si="187"/>
        <v>1</v>
      </c>
      <c r="AT179" s="6844" t="b">
        <f t="shared" si="187"/>
        <v>1</v>
      </c>
      <c r="AU179" s="6844" t="b">
        <f t="shared" si="187"/>
        <v>1</v>
      </c>
      <c r="AV179" s="6844" t="b">
        <f t="shared" si="187"/>
        <v>1</v>
      </c>
      <c r="AW179" s="6844" t="b">
        <f t="shared" si="187"/>
        <v>1</v>
      </c>
      <c r="AX179" s="6844" t="b">
        <f t="shared" si="187"/>
        <v>1</v>
      </c>
      <c r="AY179" s="6844" t="b">
        <f t="shared" si="187"/>
        <v>1</v>
      </c>
      <c r="AZ179" s="6844" t="b">
        <f t="shared" si="187"/>
        <v>1</v>
      </c>
      <c r="BA179" s="6844" t="b">
        <f t="shared" si="187"/>
        <v>1</v>
      </c>
      <c r="BB179" s="6844" t="b">
        <f t="shared" si="187"/>
        <v>1</v>
      </c>
      <c r="BC179" s="6845" t="b">
        <f t="shared" si="187"/>
        <v>1</v>
      </c>
      <c r="BD179" s="6846" t="b">
        <f t="shared" si="187"/>
        <v>1</v>
      </c>
      <c r="BE179" s="6881" t="b">
        <f t="shared" si="187"/>
        <v>1</v>
      </c>
      <c r="BF179" s="6881" t="b">
        <f t="shared" si="187"/>
        <v>1</v>
      </c>
      <c r="BG179" s="6881" t="b">
        <f t="shared" si="187"/>
        <v>1</v>
      </c>
      <c r="BH179" s="6881" t="b">
        <f t="shared" si="187"/>
        <v>1</v>
      </c>
      <c r="BI179" s="6881" t="b">
        <f t="shared" si="187"/>
        <v>1</v>
      </c>
      <c r="BJ179" s="6881" t="b">
        <f t="shared" si="187"/>
        <v>1</v>
      </c>
      <c r="BK179" s="6881" t="b">
        <f t="shared" si="187"/>
        <v>1</v>
      </c>
      <c r="BL179" s="6881" t="b">
        <f t="shared" si="187"/>
        <v>1</v>
      </c>
      <c r="BM179" s="6881" t="b">
        <f t="shared" si="187"/>
        <v>1</v>
      </c>
      <c r="BN179" s="6881" t="b">
        <f t="shared" si="187"/>
        <v>1</v>
      </c>
      <c r="BO179" s="6881" t="b">
        <f>ROUND(BO70,1)=ROUND(SUM(BO71:BO77),1)</f>
        <v>1</v>
      </c>
      <c r="BP179" s="6881"/>
      <c r="BQ179" s="6846" t="b">
        <f t="shared" ref="BQ179:CA179" si="188">ROUND(BQ70,1)=ROUND(SUM(BQ71:BQ77),1)</f>
        <v>1</v>
      </c>
      <c r="BR179" s="6882" t="b">
        <f t="shared" si="188"/>
        <v>1</v>
      </c>
      <c r="BS179" s="6881" t="b">
        <f t="shared" si="188"/>
        <v>1</v>
      </c>
      <c r="BT179" s="6881" t="b">
        <f t="shared" si="188"/>
        <v>1</v>
      </c>
      <c r="BU179" s="6881" t="b">
        <f t="shared" si="188"/>
        <v>1</v>
      </c>
      <c r="BV179" s="6881" t="b">
        <f t="shared" si="188"/>
        <v>1</v>
      </c>
      <c r="BW179" s="6881" t="b">
        <f t="shared" si="188"/>
        <v>1</v>
      </c>
      <c r="BX179" s="6881" t="b">
        <f t="shared" si="188"/>
        <v>1</v>
      </c>
      <c r="BY179" s="6881" t="b">
        <f t="shared" si="188"/>
        <v>1</v>
      </c>
      <c r="BZ179" s="6881" t="b">
        <f t="shared" si="188"/>
        <v>1</v>
      </c>
      <c r="CA179" s="6881" t="b">
        <f t="shared" si="188"/>
        <v>1</v>
      </c>
      <c r="CB179" s="6881" t="b">
        <f>ROUND(CB70,1)=ROUND(SUM(CB71:CB77),1)</f>
        <v>1</v>
      </c>
      <c r="CC179" s="6849" t="b">
        <f t="shared" si="187"/>
        <v>1</v>
      </c>
      <c r="CD179" s="2794"/>
      <c r="CE179" s="2499" t="b">
        <f>ROUND(CE70,1)=ROUND(SUM(CE71:CE77),1)</f>
        <v>1</v>
      </c>
      <c r="CF179" s="6854" t="b">
        <f>ROUND(CF70,1)=ROUND(SUM(CF71:CF77),1)</f>
        <v>1</v>
      </c>
      <c r="CG179" s="2509"/>
    </row>
    <row r="180" spans="1:85" ht="15.45" thickBot="1" x14ac:dyDescent="0.6">
      <c r="A180" s="6883" t="s">
        <v>17</v>
      </c>
      <c r="B180" s="6569"/>
      <c r="C180" s="6569"/>
      <c r="D180" s="6569"/>
      <c r="E180" s="6569"/>
      <c r="F180" s="6574" t="b">
        <f>ROUND(SUM(F80:F84,F87,F89),1)=ROUND(F79,1)</f>
        <v>1</v>
      </c>
      <c r="G180" s="6571" t="b">
        <f t="shared" ref="G180:AO180" si="189">ROUND(SUM(G80:G84,G87,G89),1)=ROUND(G79,1)</f>
        <v>1</v>
      </c>
      <c r="H180" s="6571" t="b">
        <f t="shared" si="189"/>
        <v>1</v>
      </c>
      <c r="I180" s="6571" t="b">
        <f t="shared" si="189"/>
        <v>1</v>
      </c>
      <c r="J180" s="6571" t="b">
        <f t="shared" si="189"/>
        <v>1</v>
      </c>
      <c r="K180" s="6571" t="b">
        <f t="shared" si="189"/>
        <v>1</v>
      </c>
      <c r="L180" s="6571" t="b">
        <f t="shared" si="189"/>
        <v>1</v>
      </c>
      <c r="M180" s="6571" t="b">
        <f t="shared" si="189"/>
        <v>1</v>
      </c>
      <c r="N180" s="6571" t="b">
        <f t="shared" si="189"/>
        <v>1</v>
      </c>
      <c r="O180" s="6571" t="b">
        <f t="shared" si="189"/>
        <v>1</v>
      </c>
      <c r="P180" s="6571" t="b">
        <f t="shared" si="189"/>
        <v>1</v>
      </c>
      <c r="Q180" s="6572" t="b">
        <f t="shared" si="189"/>
        <v>1</v>
      </c>
      <c r="R180" s="6571" t="b">
        <f t="shared" si="189"/>
        <v>1</v>
      </c>
      <c r="S180" s="6571" t="b">
        <f t="shared" si="189"/>
        <v>1</v>
      </c>
      <c r="T180" s="6571" t="b">
        <f t="shared" si="189"/>
        <v>1</v>
      </c>
      <c r="U180" s="6573" t="b">
        <f t="shared" si="189"/>
        <v>1</v>
      </c>
      <c r="V180" s="6571" t="b">
        <f t="shared" si="189"/>
        <v>1</v>
      </c>
      <c r="W180" s="6571" t="b">
        <f t="shared" si="189"/>
        <v>1</v>
      </c>
      <c r="X180" s="6571" t="b">
        <f t="shared" si="189"/>
        <v>1</v>
      </c>
      <c r="Y180" s="6571" t="b">
        <f t="shared" si="189"/>
        <v>1</v>
      </c>
      <c r="Z180" s="6571" t="b">
        <f t="shared" si="189"/>
        <v>1</v>
      </c>
      <c r="AA180" s="6571" t="b">
        <f t="shared" si="189"/>
        <v>1</v>
      </c>
      <c r="AB180" s="6571" t="b">
        <f t="shared" si="189"/>
        <v>1</v>
      </c>
      <c r="AC180" s="6571" t="b">
        <f t="shared" si="189"/>
        <v>1</v>
      </c>
      <c r="AD180" s="6574" t="b">
        <f t="shared" si="189"/>
        <v>1</v>
      </c>
      <c r="AE180" s="6571" t="b">
        <f>ROUND(SUM(AE80:AE84,AE87,AE89),1)=ROUND(AE79,1)</f>
        <v>1</v>
      </c>
      <c r="AF180" s="6571" t="b">
        <f t="shared" si="189"/>
        <v>1</v>
      </c>
      <c r="AG180" s="6571" t="b">
        <f t="shared" si="189"/>
        <v>1</v>
      </c>
      <c r="AH180" s="6571" t="b">
        <f t="shared" si="189"/>
        <v>1</v>
      </c>
      <c r="AI180" s="6571" t="b">
        <f t="shared" si="189"/>
        <v>1</v>
      </c>
      <c r="AJ180" s="6575" t="b">
        <f t="shared" si="189"/>
        <v>1</v>
      </c>
      <c r="AK180" s="6575" t="b">
        <f t="shared" si="189"/>
        <v>1</v>
      </c>
      <c r="AL180" s="6571" t="b">
        <f t="shared" si="189"/>
        <v>1</v>
      </c>
      <c r="AM180" s="6571" t="b">
        <f t="shared" si="189"/>
        <v>1</v>
      </c>
      <c r="AN180" s="6571" t="b">
        <f t="shared" si="189"/>
        <v>1</v>
      </c>
      <c r="AO180" s="6571" t="b">
        <f t="shared" si="189"/>
        <v>1</v>
      </c>
      <c r="AP180" s="6571"/>
      <c r="AQ180" s="6884" t="b">
        <f>ROUND(SUM(AQ80:AQ84,AQ87:AQ89),1)=ROUND(AQ79,1)</f>
        <v>1</v>
      </c>
      <c r="AR180" s="6885" t="b">
        <f t="shared" ref="AR180:BO180" si="190">ROUND(SUM(AR80:AR84,AR87:AR89),1)=ROUND(AR79,1)</f>
        <v>1</v>
      </c>
      <c r="AS180" s="6885" t="b">
        <f t="shared" si="190"/>
        <v>1</v>
      </c>
      <c r="AT180" s="6885" t="b">
        <f t="shared" si="190"/>
        <v>1</v>
      </c>
      <c r="AU180" s="6885" t="b">
        <f t="shared" si="190"/>
        <v>1</v>
      </c>
      <c r="AV180" s="6885" t="b">
        <f t="shared" si="190"/>
        <v>1</v>
      </c>
      <c r="AW180" s="6885" t="b">
        <f t="shared" si="190"/>
        <v>1</v>
      </c>
      <c r="AX180" s="6885" t="b">
        <f t="shared" si="190"/>
        <v>1</v>
      </c>
      <c r="AY180" s="6885" t="b">
        <f t="shared" si="190"/>
        <v>1</v>
      </c>
      <c r="AZ180" s="6885" t="b">
        <f t="shared" si="190"/>
        <v>1</v>
      </c>
      <c r="BA180" s="6885" t="b">
        <f t="shared" si="190"/>
        <v>1</v>
      </c>
      <c r="BB180" s="6885" t="b">
        <f t="shared" si="190"/>
        <v>1</v>
      </c>
      <c r="BC180" s="6886" t="b">
        <f t="shared" si="190"/>
        <v>1</v>
      </c>
      <c r="BD180" s="6887" t="b">
        <f t="shared" si="190"/>
        <v>1</v>
      </c>
      <c r="BE180" s="6888" t="b">
        <f t="shared" si="190"/>
        <v>1</v>
      </c>
      <c r="BF180" s="6888" t="b">
        <f>ROUND(SUM(BF80:BF84,BF87:BF89),1)=ROUND(BF79,1)</f>
        <v>1</v>
      </c>
      <c r="BG180" s="6888" t="b">
        <f t="shared" si="190"/>
        <v>1</v>
      </c>
      <c r="BH180" s="6888" t="b">
        <f t="shared" si="190"/>
        <v>1</v>
      </c>
      <c r="BI180" s="6888" t="b">
        <f t="shared" si="190"/>
        <v>1</v>
      </c>
      <c r="BJ180" s="6888" t="b">
        <f t="shared" si="190"/>
        <v>1</v>
      </c>
      <c r="BK180" s="6888" t="b">
        <f t="shared" si="190"/>
        <v>1</v>
      </c>
      <c r="BL180" s="6888" t="b">
        <f t="shared" si="190"/>
        <v>1</v>
      </c>
      <c r="BM180" s="6888" t="b">
        <f t="shared" si="190"/>
        <v>1</v>
      </c>
      <c r="BN180" s="6888" t="b">
        <f t="shared" si="190"/>
        <v>1</v>
      </c>
      <c r="BO180" s="6888" t="b">
        <f t="shared" si="190"/>
        <v>1</v>
      </c>
      <c r="BP180" s="6888"/>
      <c r="BQ180" s="6887" t="b">
        <f>ROUND(SUM(BQ80:BQ84,BQ87:BQ89),1)=ROUND(BQ79,1)</f>
        <v>1</v>
      </c>
      <c r="BR180" s="6889" t="b">
        <f>ROUND(SUM(BR80:BR84,BR87:BR89),1)=ROUND(BR79,1)</f>
        <v>1</v>
      </c>
      <c r="BS180" s="6888" t="b">
        <f>ROUND(SUM(BS80:BS84,BS87:BS89),1)=ROUND(BS79,1)</f>
        <v>1</v>
      </c>
      <c r="BT180" s="6888" t="b">
        <f t="shared" ref="BT180:CB180" si="191">ROUND(SUM(BT80:BT84,BT87:BT89),1)=ROUND(BT79,1)</f>
        <v>1</v>
      </c>
      <c r="BU180" s="6888" t="b">
        <f t="shared" si="191"/>
        <v>1</v>
      </c>
      <c r="BV180" s="6888" t="b">
        <f t="shared" si="191"/>
        <v>1</v>
      </c>
      <c r="BW180" s="6888" t="b">
        <f t="shared" si="191"/>
        <v>1</v>
      </c>
      <c r="BX180" s="6888" t="b">
        <f>ROUND(SUM(BX80:BX84,BX87:BX89),1)=ROUND(BX79,1)</f>
        <v>1</v>
      </c>
      <c r="BY180" s="6888" t="b">
        <f t="shared" si="191"/>
        <v>1</v>
      </c>
      <c r="BZ180" s="6888" t="b">
        <f t="shared" si="191"/>
        <v>1</v>
      </c>
      <c r="CA180" s="6888" t="b">
        <f t="shared" si="191"/>
        <v>1</v>
      </c>
      <c r="CB180" s="6888" t="b">
        <f t="shared" si="191"/>
        <v>1</v>
      </c>
      <c r="CC180" s="6890"/>
      <c r="CD180" s="6891"/>
      <c r="CE180" s="6892" t="b">
        <f>ROUND(SUM(CE80:CE84,CE87:CE89),1)=ROUND(CE79,1)</f>
        <v>1</v>
      </c>
      <c r="CF180" s="6893" t="b">
        <f>ROUND(SUM(CF80:CF84,CF87:CF89),1)=ROUND(CF79,1)</f>
        <v>1</v>
      </c>
      <c r="CG180" s="2914"/>
    </row>
    <row r="181" spans="1:85" x14ac:dyDescent="0.55000000000000004">
      <c r="A181" s="6894" t="s">
        <v>19</v>
      </c>
      <c r="B181" s="6663" t="s">
        <v>627</v>
      </c>
      <c r="C181" s="6664"/>
      <c r="D181" s="6664"/>
      <c r="E181" s="6664"/>
      <c r="F181" s="6895" t="b">
        <f>F91=F92+F93</f>
        <v>1</v>
      </c>
      <c r="G181" s="6664" t="b">
        <f t="shared" ref="G181:R181" si="192">G91=G92+G93</f>
        <v>1</v>
      </c>
      <c r="H181" s="6664" t="b">
        <f t="shared" si="192"/>
        <v>1</v>
      </c>
      <c r="I181" s="6664" t="b">
        <f t="shared" si="192"/>
        <v>1</v>
      </c>
      <c r="J181" s="6664" t="b">
        <f t="shared" si="192"/>
        <v>1</v>
      </c>
      <c r="K181" s="6664" t="b">
        <f t="shared" si="192"/>
        <v>1</v>
      </c>
      <c r="L181" s="6664" t="b">
        <f t="shared" si="192"/>
        <v>1</v>
      </c>
      <c r="M181" s="6664" t="b">
        <f t="shared" si="192"/>
        <v>1</v>
      </c>
      <c r="N181" s="6664" t="b">
        <f t="shared" si="192"/>
        <v>1</v>
      </c>
      <c r="O181" s="6664" t="b">
        <f t="shared" si="192"/>
        <v>1</v>
      </c>
      <c r="P181" s="6664" t="b">
        <f t="shared" si="192"/>
        <v>1</v>
      </c>
      <c r="Q181" s="6896" t="b">
        <f t="shared" si="192"/>
        <v>1</v>
      </c>
      <c r="R181" s="6664" t="b">
        <f t="shared" si="192"/>
        <v>1</v>
      </c>
      <c r="S181" s="6664" t="b">
        <f>S91=S92-S93</f>
        <v>1</v>
      </c>
      <c r="T181" s="6664" t="b">
        <f t="shared" ref="T181:CF181" si="193">T91=T92-T93</f>
        <v>1</v>
      </c>
      <c r="U181" s="6664" t="b">
        <f t="shared" si="193"/>
        <v>1</v>
      </c>
      <c r="V181" s="6664" t="b">
        <f t="shared" si="193"/>
        <v>1</v>
      </c>
      <c r="W181" s="6664" t="b">
        <f t="shared" si="193"/>
        <v>1</v>
      </c>
      <c r="X181" s="6664" t="b">
        <f t="shared" si="193"/>
        <v>1</v>
      </c>
      <c r="Y181" s="6664" t="b">
        <f t="shared" si="193"/>
        <v>1</v>
      </c>
      <c r="Z181" s="6664" t="b">
        <f t="shared" si="193"/>
        <v>1</v>
      </c>
      <c r="AA181" s="6664" t="b">
        <f t="shared" si="193"/>
        <v>1</v>
      </c>
      <c r="AB181" s="6664" t="b">
        <f t="shared" si="193"/>
        <v>1</v>
      </c>
      <c r="AC181" s="6664" t="b">
        <f t="shared" si="193"/>
        <v>1</v>
      </c>
      <c r="AD181" s="6897" t="b">
        <f t="shared" si="193"/>
        <v>1</v>
      </c>
      <c r="AE181" s="6897" t="b">
        <f t="shared" si="193"/>
        <v>1</v>
      </c>
      <c r="AF181" s="6897" t="b">
        <f t="shared" si="193"/>
        <v>1</v>
      </c>
      <c r="AG181" s="6897" t="b">
        <f t="shared" si="193"/>
        <v>1</v>
      </c>
      <c r="AH181" s="6897" t="b">
        <f t="shared" si="193"/>
        <v>1</v>
      </c>
      <c r="AI181" s="6898" t="b">
        <f t="shared" si="193"/>
        <v>1</v>
      </c>
      <c r="AJ181" s="6897" t="b">
        <f t="shared" si="193"/>
        <v>1</v>
      </c>
      <c r="AK181" s="6897" t="b">
        <f t="shared" si="193"/>
        <v>1</v>
      </c>
      <c r="AL181" s="6897" t="b">
        <f t="shared" si="193"/>
        <v>1</v>
      </c>
      <c r="AM181" s="6897" t="b">
        <f t="shared" si="193"/>
        <v>1</v>
      </c>
      <c r="AN181" s="6897" t="b">
        <f t="shared" si="193"/>
        <v>1</v>
      </c>
      <c r="AO181" s="6897" t="b">
        <f t="shared" si="193"/>
        <v>1</v>
      </c>
      <c r="AP181" s="6897"/>
      <c r="AQ181" s="6899" t="b">
        <f t="shared" si="193"/>
        <v>1</v>
      </c>
      <c r="AR181" s="6899" t="b">
        <f t="shared" si="193"/>
        <v>1</v>
      </c>
      <c r="AS181" s="6899" t="b">
        <f t="shared" si="193"/>
        <v>1</v>
      </c>
      <c r="AT181" s="6899" t="b">
        <f t="shared" si="193"/>
        <v>1</v>
      </c>
      <c r="AU181" s="6899" t="b">
        <f t="shared" si="193"/>
        <v>1</v>
      </c>
      <c r="AV181" s="6899" t="b">
        <f t="shared" si="193"/>
        <v>1</v>
      </c>
      <c r="AW181" s="6899" t="b">
        <f t="shared" si="193"/>
        <v>1</v>
      </c>
      <c r="AX181" s="6899" t="b">
        <f t="shared" si="193"/>
        <v>1</v>
      </c>
      <c r="AY181" s="6899" t="b">
        <f t="shared" si="193"/>
        <v>1</v>
      </c>
      <c r="AZ181" s="6899" t="b">
        <f t="shared" si="193"/>
        <v>1</v>
      </c>
      <c r="BA181" s="6899" t="b">
        <f t="shared" si="193"/>
        <v>1</v>
      </c>
      <c r="BB181" s="6899" t="b">
        <f t="shared" si="193"/>
        <v>1</v>
      </c>
      <c r="BC181" s="6900" t="b">
        <f t="shared" si="193"/>
        <v>1</v>
      </c>
      <c r="BD181" s="6901" t="b">
        <f t="shared" si="193"/>
        <v>1</v>
      </c>
      <c r="BE181" s="6901" t="b">
        <f t="shared" si="193"/>
        <v>1</v>
      </c>
      <c r="BF181" s="6901" t="b">
        <f t="shared" si="193"/>
        <v>1</v>
      </c>
      <c r="BG181" s="6901" t="b">
        <f t="shared" si="193"/>
        <v>1</v>
      </c>
      <c r="BH181" s="6901" t="b">
        <f t="shared" si="193"/>
        <v>1</v>
      </c>
      <c r="BI181" s="6901" t="b">
        <f t="shared" si="193"/>
        <v>1</v>
      </c>
      <c r="BJ181" s="6901" t="b">
        <f t="shared" si="193"/>
        <v>1</v>
      </c>
      <c r="BK181" s="6901" t="b">
        <f t="shared" si="193"/>
        <v>1</v>
      </c>
      <c r="BL181" s="6901" t="b">
        <f t="shared" si="193"/>
        <v>1</v>
      </c>
      <c r="BM181" s="6901" t="b">
        <f t="shared" si="193"/>
        <v>1</v>
      </c>
      <c r="BN181" s="6901" t="b">
        <f t="shared" si="193"/>
        <v>1</v>
      </c>
      <c r="BO181" s="6901" t="b">
        <f t="shared" si="193"/>
        <v>1</v>
      </c>
      <c r="BP181" s="6901"/>
      <c r="BQ181" s="6901" t="b">
        <f t="shared" ref="BQ181:CB181" si="194">BQ91=BQ92-BQ93</f>
        <v>1</v>
      </c>
      <c r="BR181" s="6902" t="b">
        <f t="shared" si="194"/>
        <v>1</v>
      </c>
      <c r="BS181" s="6901" t="b">
        <f t="shared" si="194"/>
        <v>1</v>
      </c>
      <c r="BT181" s="6901" t="b">
        <f t="shared" si="194"/>
        <v>1</v>
      </c>
      <c r="BU181" s="6901" t="b">
        <f t="shared" si="194"/>
        <v>1</v>
      </c>
      <c r="BV181" s="6901" t="b">
        <f t="shared" si="194"/>
        <v>1</v>
      </c>
      <c r="BW181" s="6901" t="b">
        <f t="shared" si="194"/>
        <v>1</v>
      </c>
      <c r="BX181" s="6901" t="b">
        <f t="shared" si="194"/>
        <v>1</v>
      </c>
      <c r="BY181" s="6901" t="b">
        <f t="shared" si="194"/>
        <v>1</v>
      </c>
      <c r="BZ181" s="6901" t="b">
        <f t="shared" si="194"/>
        <v>1</v>
      </c>
      <c r="CA181" s="6901" t="b">
        <f t="shared" si="194"/>
        <v>1</v>
      </c>
      <c r="CB181" s="6901" t="b">
        <f t="shared" si="194"/>
        <v>1</v>
      </c>
      <c r="CC181" s="6903"/>
      <c r="CD181" s="6904"/>
      <c r="CE181" s="6905" t="b">
        <f t="shared" si="193"/>
        <v>1</v>
      </c>
      <c r="CF181" s="6906" t="b">
        <f t="shared" si="193"/>
        <v>1</v>
      </c>
      <c r="CG181" s="2509"/>
    </row>
    <row r="182" spans="1:85" x14ac:dyDescent="0.55000000000000004">
      <c r="A182" s="6907"/>
      <c r="C182" s="2441" t="s">
        <v>23</v>
      </c>
      <c r="F182" s="5841" t="b">
        <f>SUM(F94:F97)=F93</f>
        <v>1</v>
      </c>
      <c r="G182" s="2441" t="b">
        <f t="shared" ref="G182:BO182" si="195">SUM(G94:G97)=G93</f>
        <v>1</v>
      </c>
      <c r="H182" s="2441" t="b">
        <f t="shared" si="195"/>
        <v>1</v>
      </c>
      <c r="I182" s="2441" t="b">
        <f t="shared" si="195"/>
        <v>1</v>
      </c>
      <c r="J182" s="2441" t="b">
        <f t="shared" si="195"/>
        <v>1</v>
      </c>
      <c r="K182" s="2441" t="b">
        <f t="shared" si="195"/>
        <v>1</v>
      </c>
      <c r="L182" s="2441" t="b">
        <f t="shared" si="195"/>
        <v>1</v>
      </c>
      <c r="M182" s="2441" t="b">
        <f t="shared" si="195"/>
        <v>1</v>
      </c>
      <c r="N182" s="2441" t="b">
        <f t="shared" si="195"/>
        <v>1</v>
      </c>
      <c r="O182" s="2441" t="b">
        <f t="shared" si="195"/>
        <v>1</v>
      </c>
      <c r="P182" s="2441" t="b">
        <f t="shared" si="195"/>
        <v>1</v>
      </c>
      <c r="Q182" s="3216" t="b">
        <f t="shared" si="195"/>
        <v>1</v>
      </c>
      <c r="R182" s="2441" t="b">
        <f t="shared" si="195"/>
        <v>1</v>
      </c>
      <c r="S182" s="2441" t="b">
        <f t="shared" si="195"/>
        <v>1</v>
      </c>
      <c r="T182" s="2441" t="b">
        <f t="shared" si="195"/>
        <v>1</v>
      </c>
      <c r="U182" s="2441" t="b">
        <f t="shared" si="195"/>
        <v>1</v>
      </c>
      <c r="V182" s="2441" t="b">
        <f t="shared" si="195"/>
        <v>1</v>
      </c>
      <c r="W182" s="2441" t="b">
        <f t="shared" si="195"/>
        <v>1</v>
      </c>
      <c r="X182" s="2441" t="b">
        <f t="shared" si="195"/>
        <v>1</v>
      </c>
      <c r="Y182" s="2441" t="b">
        <f t="shared" si="195"/>
        <v>1</v>
      </c>
      <c r="Z182" s="2441" t="b">
        <f t="shared" si="195"/>
        <v>1</v>
      </c>
      <c r="AA182" s="2441" t="b">
        <f t="shared" si="195"/>
        <v>1</v>
      </c>
      <c r="AB182" s="2441" t="b">
        <f t="shared" si="195"/>
        <v>1</v>
      </c>
      <c r="AC182" s="2441" t="b">
        <f t="shared" si="195"/>
        <v>1</v>
      </c>
      <c r="AD182" s="2441" t="b">
        <f t="shared" si="195"/>
        <v>1</v>
      </c>
      <c r="AE182" s="2441" t="b">
        <f t="shared" si="195"/>
        <v>1</v>
      </c>
      <c r="AF182" s="2441" t="b">
        <f t="shared" si="195"/>
        <v>1</v>
      </c>
      <c r="AG182" s="2441" t="b">
        <f t="shared" si="195"/>
        <v>1</v>
      </c>
      <c r="AH182" s="2441" t="b">
        <f t="shared" si="195"/>
        <v>1</v>
      </c>
      <c r="AI182" s="2441" t="b">
        <f t="shared" si="195"/>
        <v>1</v>
      </c>
      <c r="AJ182" s="2441" t="b">
        <f t="shared" si="195"/>
        <v>1</v>
      </c>
      <c r="AK182" s="2441" t="b">
        <f t="shared" si="195"/>
        <v>1</v>
      </c>
      <c r="AL182" s="2441" t="b">
        <f t="shared" si="195"/>
        <v>1</v>
      </c>
      <c r="AM182" s="2441" t="b">
        <f t="shared" si="195"/>
        <v>1</v>
      </c>
      <c r="AN182" s="2441" t="b">
        <f t="shared" si="195"/>
        <v>1</v>
      </c>
      <c r="AO182" s="6687" t="b">
        <f t="shared" si="195"/>
        <v>1</v>
      </c>
      <c r="AP182" s="6687"/>
      <c r="AQ182" s="3423" t="b">
        <f t="shared" si="195"/>
        <v>1</v>
      </c>
      <c r="AR182" s="3423" t="b">
        <f t="shared" si="195"/>
        <v>1</v>
      </c>
      <c r="AS182" s="3423" t="b">
        <f t="shared" si="195"/>
        <v>1</v>
      </c>
      <c r="AT182" s="3423" t="b">
        <f t="shared" si="195"/>
        <v>1</v>
      </c>
      <c r="AU182" s="3423" t="b">
        <f t="shared" si="195"/>
        <v>1</v>
      </c>
      <c r="AV182" s="3423" t="b">
        <f t="shared" si="195"/>
        <v>1</v>
      </c>
      <c r="AW182" s="3423" t="b">
        <f t="shared" si="195"/>
        <v>1</v>
      </c>
      <c r="AX182" s="3423" t="b">
        <f t="shared" si="195"/>
        <v>1</v>
      </c>
      <c r="AY182" s="3423" t="b">
        <f t="shared" si="195"/>
        <v>1</v>
      </c>
      <c r="AZ182" s="3423" t="b">
        <f t="shared" si="195"/>
        <v>1</v>
      </c>
      <c r="BA182" s="3423" t="b">
        <f t="shared" si="195"/>
        <v>1</v>
      </c>
      <c r="BB182" s="3423" t="b">
        <f t="shared" si="195"/>
        <v>1</v>
      </c>
      <c r="BC182" s="6908" t="b">
        <f t="shared" si="195"/>
        <v>1</v>
      </c>
      <c r="BD182" s="6881" t="b">
        <f t="shared" si="195"/>
        <v>1</v>
      </c>
      <c r="BE182" s="6881" t="b">
        <f t="shared" si="195"/>
        <v>1</v>
      </c>
      <c r="BF182" s="6881" t="b">
        <f t="shared" si="195"/>
        <v>1</v>
      </c>
      <c r="BG182" s="6881" t="b">
        <f t="shared" si="195"/>
        <v>1</v>
      </c>
      <c r="BH182" s="6881" t="b">
        <f t="shared" si="195"/>
        <v>1</v>
      </c>
      <c r="BI182" s="6881" t="b">
        <f t="shared" si="195"/>
        <v>1</v>
      </c>
      <c r="BJ182" s="6881" t="b">
        <f t="shared" si="195"/>
        <v>1</v>
      </c>
      <c r="BK182" s="6881" t="b">
        <f t="shared" si="195"/>
        <v>1</v>
      </c>
      <c r="BL182" s="6881" t="b">
        <f t="shared" si="195"/>
        <v>1</v>
      </c>
      <c r="BM182" s="6881" t="b">
        <f t="shared" si="195"/>
        <v>1</v>
      </c>
      <c r="BN182" s="6881" t="b">
        <f t="shared" si="195"/>
        <v>1</v>
      </c>
      <c r="BO182" s="6881" t="b">
        <f t="shared" si="195"/>
        <v>1</v>
      </c>
      <c r="BP182" s="6881"/>
      <c r="BQ182" s="6881" t="b">
        <f t="shared" ref="BQ182:CB182" si="196">SUM(BQ94:BQ97)=BQ93</f>
        <v>1</v>
      </c>
      <c r="BR182" s="6882" t="b">
        <f t="shared" si="196"/>
        <v>1</v>
      </c>
      <c r="BS182" s="6881" t="b">
        <f t="shared" si="196"/>
        <v>1</v>
      </c>
      <c r="BT182" s="6881" t="b">
        <f t="shared" si="196"/>
        <v>1</v>
      </c>
      <c r="BU182" s="6881" t="b">
        <f t="shared" si="196"/>
        <v>1</v>
      </c>
      <c r="BV182" s="6881" t="b">
        <f t="shared" si="196"/>
        <v>1</v>
      </c>
      <c r="BW182" s="6881" t="b">
        <f t="shared" si="196"/>
        <v>1</v>
      </c>
      <c r="BX182" s="6881" t="b">
        <f t="shared" si="196"/>
        <v>1</v>
      </c>
      <c r="BY182" s="6881" t="b">
        <f t="shared" si="196"/>
        <v>1</v>
      </c>
      <c r="BZ182" s="6881" t="b">
        <f t="shared" si="196"/>
        <v>1</v>
      </c>
      <c r="CA182" s="6881" t="b">
        <f t="shared" si="196"/>
        <v>1</v>
      </c>
      <c r="CB182" s="6881" t="b">
        <f t="shared" si="196"/>
        <v>1</v>
      </c>
      <c r="CC182" s="6909"/>
      <c r="CD182" s="6910"/>
      <c r="CE182" s="2499" t="b">
        <f>ROUND(SUM(CE94:CE97),1)=ROUND(CE93,1)</f>
        <v>1</v>
      </c>
      <c r="CF182" s="6854" t="b">
        <f>ROUND(SUM(CF94:CF97),1)=ROUND(CF93,1)</f>
        <v>1</v>
      </c>
      <c r="CG182" s="2509"/>
    </row>
    <row r="183" spans="1:85" x14ac:dyDescent="0.55000000000000004">
      <c r="A183" s="6907"/>
      <c r="B183" s="2871" t="s">
        <v>628</v>
      </c>
      <c r="C183" s="2872"/>
      <c r="D183" s="2872"/>
      <c r="E183" s="2872"/>
      <c r="F183" s="2872"/>
      <c r="G183" s="2872"/>
      <c r="H183" s="2872"/>
      <c r="I183" s="2872"/>
      <c r="J183" s="2872"/>
      <c r="K183" s="2872"/>
      <c r="L183" s="2872"/>
      <c r="M183" s="2872"/>
      <c r="N183" s="2872"/>
      <c r="O183" s="2872"/>
      <c r="P183" s="2872"/>
      <c r="Q183" s="6911"/>
      <c r="R183" s="2872"/>
      <c r="S183" s="2872"/>
      <c r="T183" s="2872"/>
      <c r="U183" s="2872"/>
      <c r="V183" s="2872"/>
      <c r="W183" s="2872"/>
      <c r="X183" s="2872"/>
      <c r="Y183" s="2872"/>
      <c r="Z183" s="2872"/>
      <c r="AA183" s="2872"/>
      <c r="AB183" s="2872"/>
      <c r="AC183" s="2872"/>
      <c r="AD183" s="2872"/>
      <c r="AE183" s="2872"/>
      <c r="AF183" s="2872"/>
      <c r="AG183" s="2872"/>
      <c r="AH183" s="2872"/>
      <c r="AI183" s="2872"/>
      <c r="AJ183" s="2872"/>
      <c r="AK183" s="2872"/>
      <c r="AL183" s="2872"/>
      <c r="AM183" s="2872"/>
      <c r="AN183" s="2872"/>
      <c r="AO183" s="6693"/>
      <c r="AP183" s="6693"/>
      <c r="AQ183" s="6912"/>
      <c r="AR183" s="6912"/>
      <c r="AS183" s="6912"/>
      <c r="AT183" s="6912"/>
      <c r="AU183" s="6912"/>
      <c r="AV183" s="6912"/>
      <c r="AW183" s="6912"/>
      <c r="AX183" s="6912"/>
      <c r="AY183" s="6912"/>
      <c r="AZ183" s="6912"/>
      <c r="BA183" s="6912"/>
      <c r="BB183" s="6912"/>
      <c r="BC183" s="6913"/>
      <c r="BD183" s="6914"/>
      <c r="BE183" s="6914"/>
      <c r="BF183" s="6914"/>
      <c r="BG183" s="6914"/>
      <c r="BH183" s="6914"/>
      <c r="BI183" s="6914"/>
      <c r="BJ183" s="6915"/>
      <c r="BK183" s="6916"/>
      <c r="BL183" s="6916"/>
      <c r="BM183" s="6916"/>
      <c r="BN183" s="6916"/>
      <c r="BO183" s="6916"/>
      <c r="BP183" s="6916"/>
      <c r="BQ183" s="6914"/>
      <c r="BR183" s="6917"/>
      <c r="BS183" s="6914"/>
      <c r="BT183" s="6914"/>
      <c r="BU183" s="6914"/>
      <c r="BV183" s="6914"/>
      <c r="BW183" s="6915"/>
      <c r="BX183" s="6916"/>
      <c r="BY183" s="6916"/>
      <c r="BZ183" s="6916"/>
      <c r="CA183" s="6916"/>
      <c r="CB183" s="6916"/>
      <c r="CC183" s="6909"/>
      <c r="CD183" s="6910"/>
      <c r="CE183" s="2878"/>
      <c r="CF183" s="6918"/>
      <c r="CG183" s="2892"/>
    </row>
    <row r="184" spans="1:85" x14ac:dyDescent="0.55000000000000004">
      <c r="A184" s="5841"/>
      <c r="B184" s="6702"/>
      <c r="C184" s="3189" t="s">
        <v>629</v>
      </c>
      <c r="D184" s="3189"/>
      <c r="E184" s="3189"/>
      <c r="F184" s="3189" t="b">
        <f t="shared" ref="F184:BJ184" si="197">ROUND(SUM(F100:F102),1)=ROUND(F99,1)</f>
        <v>1</v>
      </c>
      <c r="G184" s="3189" t="b">
        <f t="shared" si="197"/>
        <v>1</v>
      </c>
      <c r="H184" s="3189" t="b">
        <f t="shared" si="197"/>
        <v>1</v>
      </c>
      <c r="I184" s="3189" t="b">
        <f t="shared" si="197"/>
        <v>1</v>
      </c>
      <c r="J184" s="3189" t="b">
        <f t="shared" si="197"/>
        <v>1</v>
      </c>
      <c r="K184" s="3189" t="b">
        <f t="shared" si="197"/>
        <v>1</v>
      </c>
      <c r="L184" s="3189" t="b">
        <f t="shared" si="197"/>
        <v>1</v>
      </c>
      <c r="M184" s="3189" t="b">
        <f t="shared" si="197"/>
        <v>1</v>
      </c>
      <c r="N184" s="3189" t="b">
        <f t="shared" si="197"/>
        <v>1</v>
      </c>
      <c r="O184" s="3189" t="b">
        <f t="shared" si="197"/>
        <v>1</v>
      </c>
      <c r="P184" s="3189" t="b">
        <f t="shared" si="197"/>
        <v>1</v>
      </c>
      <c r="Q184" s="6919" t="b">
        <f t="shared" si="197"/>
        <v>1</v>
      </c>
      <c r="R184" s="3189" t="b">
        <f t="shared" si="197"/>
        <v>1</v>
      </c>
      <c r="S184" s="3189" t="b">
        <f t="shared" si="197"/>
        <v>1</v>
      </c>
      <c r="T184" s="3189" t="b">
        <f t="shared" si="197"/>
        <v>1</v>
      </c>
      <c r="U184" s="3189" t="b">
        <f t="shared" si="197"/>
        <v>1</v>
      </c>
      <c r="V184" s="3189" t="b">
        <f t="shared" si="197"/>
        <v>1</v>
      </c>
      <c r="W184" s="3189" t="b">
        <f t="shared" si="197"/>
        <v>1</v>
      </c>
      <c r="X184" s="3189" t="b">
        <f t="shared" si="197"/>
        <v>1</v>
      </c>
      <c r="Y184" s="3189" t="b">
        <f t="shared" si="197"/>
        <v>1</v>
      </c>
      <c r="Z184" s="3189" t="b">
        <f t="shared" si="197"/>
        <v>1</v>
      </c>
      <c r="AA184" s="3189" t="b">
        <f t="shared" si="197"/>
        <v>1</v>
      </c>
      <c r="AB184" s="3189" t="b">
        <f t="shared" si="197"/>
        <v>1</v>
      </c>
      <c r="AC184" s="3189" t="b">
        <f t="shared" si="197"/>
        <v>1</v>
      </c>
      <c r="AD184" s="3189" t="b">
        <f t="shared" si="197"/>
        <v>1</v>
      </c>
      <c r="AE184" s="3189" t="b">
        <f t="shared" si="197"/>
        <v>1</v>
      </c>
      <c r="AF184" s="3189" t="b">
        <f t="shared" si="197"/>
        <v>1</v>
      </c>
      <c r="AG184" s="3189" t="b">
        <f t="shared" si="197"/>
        <v>1</v>
      </c>
      <c r="AH184" s="3189" t="b">
        <f t="shared" si="197"/>
        <v>1</v>
      </c>
      <c r="AI184" s="3189" t="b">
        <f t="shared" si="197"/>
        <v>1</v>
      </c>
      <c r="AJ184" s="3189" t="b">
        <f t="shared" si="197"/>
        <v>1</v>
      </c>
      <c r="AK184" s="3189" t="b">
        <f t="shared" si="197"/>
        <v>1</v>
      </c>
      <c r="AL184" s="3189" t="b">
        <f t="shared" si="197"/>
        <v>1</v>
      </c>
      <c r="AM184" s="3189" t="b">
        <f t="shared" si="197"/>
        <v>1</v>
      </c>
      <c r="AN184" s="3189" t="b">
        <f t="shared" si="197"/>
        <v>1</v>
      </c>
      <c r="AO184" s="6680" t="b">
        <f t="shared" si="197"/>
        <v>1</v>
      </c>
      <c r="AP184" s="6680"/>
      <c r="AQ184" s="6872" t="b">
        <f t="shared" si="197"/>
        <v>1</v>
      </c>
      <c r="AR184" s="6872" t="b">
        <f t="shared" si="197"/>
        <v>1</v>
      </c>
      <c r="AS184" s="6872" t="b">
        <f t="shared" si="197"/>
        <v>1</v>
      </c>
      <c r="AT184" s="6872" t="b">
        <f t="shared" si="197"/>
        <v>1</v>
      </c>
      <c r="AU184" s="6872" t="b">
        <f t="shared" si="197"/>
        <v>1</v>
      </c>
      <c r="AV184" s="6872" t="b">
        <f t="shared" si="197"/>
        <v>1</v>
      </c>
      <c r="AW184" s="6872" t="b">
        <f t="shared" si="197"/>
        <v>1</v>
      </c>
      <c r="AX184" s="6872" t="b">
        <f t="shared" si="197"/>
        <v>1</v>
      </c>
      <c r="AY184" s="6872" t="b">
        <f t="shared" si="197"/>
        <v>1</v>
      </c>
      <c r="AZ184" s="6872" t="b">
        <f t="shared" si="197"/>
        <v>1</v>
      </c>
      <c r="BA184" s="6872" t="b">
        <f t="shared" si="197"/>
        <v>1</v>
      </c>
      <c r="BB184" s="6872" t="b">
        <f t="shared" si="197"/>
        <v>1</v>
      </c>
      <c r="BC184" s="6920" t="b">
        <f t="shared" si="197"/>
        <v>1</v>
      </c>
      <c r="BD184" s="6874" t="b">
        <f t="shared" si="197"/>
        <v>1</v>
      </c>
      <c r="BE184" s="6874" t="b">
        <f t="shared" si="197"/>
        <v>1</v>
      </c>
      <c r="BF184" s="6874" t="b">
        <f t="shared" si="197"/>
        <v>1</v>
      </c>
      <c r="BG184" s="6874" t="b">
        <f t="shared" si="197"/>
        <v>1</v>
      </c>
      <c r="BH184" s="6874" t="b">
        <f t="shared" si="197"/>
        <v>1</v>
      </c>
      <c r="BI184" s="6874" t="b">
        <f t="shared" si="197"/>
        <v>1</v>
      </c>
      <c r="BJ184" s="6921" t="b">
        <f t="shared" si="197"/>
        <v>1</v>
      </c>
      <c r="BK184" s="6921" t="b">
        <f>SUM(BK100:BK102)=BK99</f>
        <v>1</v>
      </c>
      <c r="BL184" s="6921" t="b">
        <f>SUM(BL100:BL102)=BL99</f>
        <v>1</v>
      </c>
      <c r="BM184" s="6921" t="b">
        <f>SUM(BM100:BM102)=BM99</f>
        <v>1</v>
      </c>
      <c r="BN184" s="6921" t="b">
        <f>SUM(BN100:BN102)=BN99</f>
        <v>1</v>
      </c>
      <c r="BO184" s="6921" t="b">
        <f>SUM(BO100:BO102)=BO99</f>
        <v>1</v>
      </c>
      <c r="BP184" s="6921"/>
      <c r="BQ184" s="6874" t="b">
        <f t="shared" ref="BQ184:BW184" si="198">ROUND(SUM(BQ100:BQ102),1)=ROUND(BQ99,1)</f>
        <v>1</v>
      </c>
      <c r="BR184" s="6875" t="b">
        <f t="shared" si="198"/>
        <v>1</v>
      </c>
      <c r="BS184" s="6874" t="b">
        <f t="shared" si="198"/>
        <v>1</v>
      </c>
      <c r="BT184" s="6874" t="b">
        <f t="shared" si="198"/>
        <v>1</v>
      </c>
      <c r="BU184" s="6874" t="b">
        <f t="shared" si="198"/>
        <v>1</v>
      </c>
      <c r="BV184" s="6874" t="b">
        <f t="shared" si="198"/>
        <v>1</v>
      </c>
      <c r="BW184" s="6921" t="b">
        <f t="shared" si="198"/>
        <v>1</v>
      </c>
      <c r="BX184" s="6921" t="b">
        <f>SUM(BX100:BX102)=BX99</f>
        <v>1</v>
      </c>
      <c r="BY184" s="6921" t="b">
        <f>SUM(BY100:BY102)=BY99</f>
        <v>1</v>
      </c>
      <c r="BZ184" s="6921" t="b">
        <f>SUM(BZ100:BZ102)=BZ99</f>
        <v>1</v>
      </c>
      <c r="CA184" s="6921" t="b">
        <f>SUM(CA100:CA102)=CA99</f>
        <v>1</v>
      </c>
      <c r="CB184" s="6921" t="b">
        <f>SUM(CB100:CB102)=CB99</f>
        <v>1</v>
      </c>
      <c r="CC184" s="6909"/>
      <c r="CD184" s="6910"/>
      <c r="CE184" s="2863" t="b">
        <f>ROUND(SUM(CE100:CE102),1)=ROUND(CE99,1)</f>
        <v>1</v>
      </c>
      <c r="CF184" s="6877" t="b">
        <f>ROUND(SUM(CF100:CF102),1)=ROUND(CF99,1)</f>
        <v>1</v>
      </c>
      <c r="CG184" s="2868"/>
    </row>
    <row r="185" spans="1:85" x14ac:dyDescent="0.55000000000000004">
      <c r="A185" s="5841"/>
      <c r="B185" s="6702"/>
      <c r="C185" s="6702" t="s">
        <v>631</v>
      </c>
      <c r="D185" s="6702"/>
      <c r="E185" s="6702"/>
      <c r="F185" s="6702" t="b">
        <f>SUM(F104:F107)=F103</f>
        <v>1</v>
      </c>
      <c r="G185" s="6702" t="b">
        <f t="shared" ref="G185:BO185" si="199">SUM(G104:G107)=G103</f>
        <v>1</v>
      </c>
      <c r="H185" s="6702" t="b">
        <f t="shared" si="199"/>
        <v>1</v>
      </c>
      <c r="I185" s="6702" t="b">
        <f t="shared" si="199"/>
        <v>1</v>
      </c>
      <c r="J185" s="6702" t="b">
        <f t="shared" si="199"/>
        <v>1</v>
      </c>
      <c r="K185" s="6702" t="b">
        <f t="shared" si="199"/>
        <v>1</v>
      </c>
      <c r="L185" s="6702" t="b">
        <f t="shared" si="199"/>
        <v>1</v>
      </c>
      <c r="M185" s="6702" t="b">
        <f t="shared" si="199"/>
        <v>1</v>
      </c>
      <c r="N185" s="6702" t="b">
        <f t="shared" si="199"/>
        <v>1</v>
      </c>
      <c r="O185" s="6702" t="b">
        <f t="shared" si="199"/>
        <v>1</v>
      </c>
      <c r="P185" s="6702" t="b">
        <f t="shared" si="199"/>
        <v>1</v>
      </c>
      <c r="Q185" s="6922" t="b">
        <f t="shared" si="199"/>
        <v>1</v>
      </c>
      <c r="R185" s="6702" t="b">
        <f t="shared" si="199"/>
        <v>1</v>
      </c>
      <c r="S185" s="6702" t="b">
        <f t="shared" si="199"/>
        <v>1</v>
      </c>
      <c r="T185" s="6702" t="b">
        <f t="shared" si="199"/>
        <v>1</v>
      </c>
      <c r="U185" s="6702" t="b">
        <f t="shared" si="199"/>
        <v>1</v>
      </c>
      <c r="V185" s="6702" t="b">
        <f t="shared" si="199"/>
        <v>1</v>
      </c>
      <c r="W185" s="6702" t="b">
        <f t="shared" si="199"/>
        <v>1</v>
      </c>
      <c r="X185" s="6702" t="b">
        <f t="shared" si="199"/>
        <v>1</v>
      </c>
      <c r="Y185" s="6702" t="b">
        <f t="shared" si="199"/>
        <v>1</v>
      </c>
      <c r="Z185" s="6702" t="b">
        <f t="shared" si="199"/>
        <v>1</v>
      </c>
      <c r="AA185" s="6702" t="b">
        <f t="shared" si="199"/>
        <v>1</v>
      </c>
      <c r="AB185" s="6702" t="b">
        <f t="shared" si="199"/>
        <v>1</v>
      </c>
      <c r="AC185" s="6702" t="b">
        <f t="shared" si="199"/>
        <v>1</v>
      </c>
      <c r="AD185" s="6702" t="b">
        <f t="shared" si="199"/>
        <v>1</v>
      </c>
      <c r="AE185" s="6702" t="b">
        <f t="shared" si="199"/>
        <v>1</v>
      </c>
      <c r="AF185" s="6702" t="b">
        <f t="shared" si="199"/>
        <v>1</v>
      </c>
      <c r="AG185" s="6702" t="b">
        <f t="shared" si="199"/>
        <v>1</v>
      </c>
      <c r="AH185" s="6702" t="b">
        <f t="shared" si="199"/>
        <v>1</v>
      </c>
      <c r="AI185" s="6702" t="b">
        <f t="shared" si="199"/>
        <v>1</v>
      </c>
      <c r="AJ185" s="6702" t="b">
        <f t="shared" si="199"/>
        <v>1</v>
      </c>
      <c r="AK185" s="6702" t="b">
        <f t="shared" si="199"/>
        <v>1</v>
      </c>
      <c r="AL185" s="6702" t="b">
        <f t="shared" si="199"/>
        <v>1</v>
      </c>
      <c r="AM185" s="6702" t="b">
        <f t="shared" si="199"/>
        <v>1</v>
      </c>
      <c r="AN185" s="6702" t="b">
        <f t="shared" si="199"/>
        <v>1</v>
      </c>
      <c r="AO185" s="6313" t="b">
        <f t="shared" si="199"/>
        <v>1</v>
      </c>
      <c r="AP185" s="6313"/>
      <c r="AQ185" s="6923" t="b">
        <f t="shared" si="199"/>
        <v>1</v>
      </c>
      <c r="AR185" s="6923" t="b">
        <f t="shared" si="199"/>
        <v>1</v>
      </c>
      <c r="AS185" s="6923" t="b">
        <f t="shared" si="199"/>
        <v>1</v>
      </c>
      <c r="AT185" s="6923" t="b">
        <f t="shared" si="199"/>
        <v>1</v>
      </c>
      <c r="AU185" s="6923" t="b">
        <f t="shared" si="199"/>
        <v>1</v>
      </c>
      <c r="AV185" s="6923" t="b">
        <f t="shared" si="199"/>
        <v>1</v>
      </c>
      <c r="AW185" s="6923" t="b">
        <f t="shared" si="199"/>
        <v>1</v>
      </c>
      <c r="AX185" s="6923" t="b">
        <f t="shared" si="199"/>
        <v>1</v>
      </c>
      <c r="AY185" s="6923" t="b">
        <f t="shared" si="199"/>
        <v>1</v>
      </c>
      <c r="AZ185" s="6923" t="b">
        <f t="shared" si="199"/>
        <v>1</v>
      </c>
      <c r="BA185" s="6923" t="b">
        <f t="shared" si="199"/>
        <v>1</v>
      </c>
      <c r="BB185" s="6923" t="b">
        <f t="shared" si="199"/>
        <v>1</v>
      </c>
      <c r="BC185" s="6924" t="b">
        <f t="shared" si="199"/>
        <v>1</v>
      </c>
      <c r="BD185" s="6925" t="b">
        <f t="shared" si="199"/>
        <v>1</v>
      </c>
      <c r="BE185" s="6925" t="b">
        <f t="shared" si="199"/>
        <v>1</v>
      </c>
      <c r="BF185" s="6925" t="b">
        <f t="shared" si="199"/>
        <v>1</v>
      </c>
      <c r="BG185" s="6925" t="b">
        <f t="shared" si="199"/>
        <v>1</v>
      </c>
      <c r="BH185" s="6925" t="b">
        <f t="shared" si="199"/>
        <v>1</v>
      </c>
      <c r="BI185" s="6925" t="b">
        <f t="shared" si="199"/>
        <v>1</v>
      </c>
      <c r="BJ185" s="6916" t="b">
        <f t="shared" si="199"/>
        <v>1</v>
      </c>
      <c r="BK185" s="6916" t="b">
        <f t="shared" si="199"/>
        <v>1</v>
      </c>
      <c r="BL185" s="6916" t="b">
        <f t="shared" si="199"/>
        <v>1</v>
      </c>
      <c r="BM185" s="6916" t="b">
        <f t="shared" si="199"/>
        <v>1</v>
      </c>
      <c r="BN185" s="6916" t="b">
        <f t="shared" si="199"/>
        <v>1</v>
      </c>
      <c r="BO185" s="6916" t="b">
        <f t="shared" si="199"/>
        <v>1</v>
      </c>
      <c r="BP185" s="6916"/>
      <c r="BQ185" s="6925" t="b">
        <f t="shared" ref="BQ185:CB185" si="200">SUM(BQ104:BQ107)=BQ103</f>
        <v>1</v>
      </c>
      <c r="BR185" s="6926" t="b">
        <f t="shared" si="200"/>
        <v>1</v>
      </c>
      <c r="BS185" s="6925" t="b">
        <f t="shared" si="200"/>
        <v>1</v>
      </c>
      <c r="BT185" s="6925" t="b">
        <f t="shared" si="200"/>
        <v>1</v>
      </c>
      <c r="BU185" s="6925" t="b">
        <f t="shared" si="200"/>
        <v>1</v>
      </c>
      <c r="BV185" s="6925" t="b">
        <f t="shared" si="200"/>
        <v>1</v>
      </c>
      <c r="BW185" s="6916" t="b">
        <f t="shared" si="200"/>
        <v>1</v>
      </c>
      <c r="BX185" s="6916" t="b">
        <f t="shared" si="200"/>
        <v>1</v>
      </c>
      <c r="BY185" s="6916" t="b">
        <f t="shared" si="200"/>
        <v>1</v>
      </c>
      <c r="BZ185" s="6916" t="b">
        <f t="shared" si="200"/>
        <v>1</v>
      </c>
      <c r="CA185" s="6916" t="b">
        <f t="shared" si="200"/>
        <v>1</v>
      </c>
      <c r="CB185" s="6916" t="b">
        <f t="shared" si="200"/>
        <v>1</v>
      </c>
      <c r="CC185" s="6909"/>
      <c r="CD185" s="6910"/>
      <c r="CE185" s="2888" t="b">
        <f>ROUND(SUM(CE104:CE107),1)=ROUND(CE103,1)</f>
        <v>1</v>
      </c>
      <c r="CF185" s="6927" t="b">
        <f>ROUND(SUM(CF104:CF107),1)=ROUND(CF103,1)</f>
        <v>1</v>
      </c>
      <c r="CG185" s="2892"/>
    </row>
    <row r="186" spans="1:85" x14ac:dyDescent="0.55000000000000004">
      <c r="A186" s="6928" t="s">
        <v>20</v>
      </c>
      <c r="B186" s="5076" t="s">
        <v>627</v>
      </c>
      <c r="F186" s="3423" t="b">
        <f t="shared" ref="F186:BB186" si="201">ROUND(F113-F114,1)=ROUND(F112,1)</f>
        <v>1</v>
      </c>
      <c r="G186" s="3423" t="b">
        <f t="shared" si="201"/>
        <v>1</v>
      </c>
      <c r="H186" s="3423" t="b">
        <f t="shared" si="201"/>
        <v>1</v>
      </c>
      <c r="I186" s="3423" t="b">
        <f t="shared" si="201"/>
        <v>1</v>
      </c>
      <c r="J186" s="3423" t="b">
        <f t="shared" si="201"/>
        <v>1</v>
      </c>
      <c r="K186" s="3423" t="b">
        <f t="shared" si="201"/>
        <v>1</v>
      </c>
      <c r="L186" s="3423" t="b">
        <f t="shared" si="201"/>
        <v>1</v>
      </c>
      <c r="M186" s="3423" t="b">
        <f t="shared" si="201"/>
        <v>1</v>
      </c>
      <c r="N186" s="3423" t="b">
        <f t="shared" si="201"/>
        <v>1</v>
      </c>
      <c r="O186" s="3423" t="b">
        <f t="shared" si="201"/>
        <v>1</v>
      </c>
      <c r="P186" s="3423" t="b">
        <f t="shared" si="201"/>
        <v>1</v>
      </c>
      <c r="Q186" s="3423" t="b">
        <f t="shared" si="201"/>
        <v>1</v>
      </c>
      <c r="R186" s="2494" t="b">
        <f t="shared" si="201"/>
        <v>1</v>
      </c>
      <c r="S186" s="3423" t="b">
        <f t="shared" si="201"/>
        <v>1</v>
      </c>
      <c r="T186" s="3423" t="b">
        <f t="shared" si="201"/>
        <v>1</v>
      </c>
      <c r="U186" s="3423" t="b">
        <f t="shared" si="201"/>
        <v>1</v>
      </c>
      <c r="V186" s="3423" t="b">
        <f t="shared" si="201"/>
        <v>1</v>
      </c>
      <c r="W186" s="3423" t="b">
        <f t="shared" si="201"/>
        <v>1</v>
      </c>
      <c r="X186" s="3423" t="b">
        <f t="shared" si="201"/>
        <v>1</v>
      </c>
      <c r="Y186" s="3423" t="b">
        <f t="shared" si="201"/>
        <v>1</v>
      </c>
      <c r="Z186" s="3423" t="b">
        <f t="shared" si="201"/>
        <v>1</v>
      </c>
      <c r="AA186" s="3423" t="b">
        <f t="shared" si="201"/>
        <v>1</v>
      </c>
      <c r="AB186" s="3423" t="b">
        <f t="shared" si="201"/>
        <v>1</v>
      </c>
      <c r="AC186" s="3423" t="b">
        <f t="shared" si="201"/>
        <v>1</v>
      </c>
      <c r="AD186" s="3423" t="b">
        <f t="shared" si="201"/>
        <v>1</v>
      </c>
      <c r="AE186" s="3423" t="b">
        <f t="shared" si="201"/>
        <v>1</v>
      </c>
      <c r="AF186" s="3423" t="b">
        <f t="shared" si="201"/>
        <v>1</v>
      </c>
      <c r="AG186" s="3423" t="b">
        <f t="shared" si="201"/>
        <v>1</v>
      </c>
      <c r="AH186" s="3423" t="b">
        <f t="shared" si="201"/>
        <v>1</v>
      </c>
      <c r="AI186" s="3423" t="b">
        <f t="shared" si="201"/>
        <v>1</v>
      </c>
      <c r="AJ186" s="3423" t="b">
        <f t="shared" si="201"/>
        <v>1</v>
      </c>
      <c r="AK186" s="3423" t="b">
        <f t="shared" si="201"/>
        <v>1</v>
      </c>
      <c r="AL186" s="3423" t="b">
        <f t="shared" si="201"/>
        <v>1</v>
      </c>
      <c r="AM186" s="3423" t="b">
        <f t="shared" si="201"/>
        <v>1</v>
      </c>
      <c r="AN186" s="3423" t="b">
        <f t="shared" si="201"/>
        <v>1</v>
      </c>
      <c r="AO186" s="3423" t="b">
        <f t="shared" si="201"/>
        <v>1</v>
      </c>
      <c r="AP186" s="6929"/>
      <c r="AQ186" s="3423" t="b">
        <f t="shared" si="201"/>
        <v>1</v>
      </c>
      <c r="AR186" s="3423" t="b">
        <f t="shared" si="201"/>
        <v>1</v>
      </c>
      <c r="AS186" s="3423" t="b">
        <f t="shared" si="201"/>
        <v>1</v>
      </c>
      <c r="AT186" s="3423" t="b">
        <f t="shared" si="201"/>
        <v>1</v>
      </c>
      <c r="AU186" s="3423" t="b">
        <f t="shared" si="201"/>
        <v>1</v>
      </c>
      <c r="AV186" s="3423" t="b">
        <f t="shared" si="201"/>
        <v>1</v>
      </c>
      <c r="AW186" s="3423" t="b">
        <f t="shared" si="201"/>
        <v>1</v>
      </c>
      <c r="AX186" s="3423" t="b">
        <f t="shared" si="201"/>
        <v>1</v>
      </c>
      <c r="AY186" s="3423" t="b">
        <f t="shared" si="201"/>
        <v>1</v>
      </c>
      <c r="AZ186" s="3423" t="b">
        <f t="shared" si="201"/>
        <v>1</v>
      </c>
      <c r="BA186" s="3423" t="b">
        <f t="shared" si="201"/>
        <v>1</v>
      </c>
      <c r="BB186" s="3423" t="b">
        <f t="shared" si="201"/>
        <v>1</v>
      </c>
      <c r="BC186" s="6908" t="b">
        <f>ROUND(BC113-BC114,1)=ROUND(BC112,1)</f>
        <v>1</v>
      </c>
      <c r="BD186" s="6881" t="b">
        <f t="shared" ref="BD186:CF186" si="202">ROUND(BD113-BD114,1)=ROUND(BD112,1)</f>
        <v>1</v>
      </c>
      <c r="BE186" s="6881" t="b">
        <f t="shared" si="202"/>
        <v>1</v>
      </c>
      <c r="BF186" s="6881" t="b">
        <f t="shared" si="202"/>
        <v>1</v>
      </c>
      <c r="BG186" s="6881" t="b">
        <f t="shared" si="202"/>
        <v>1</v>
      </c>
      <c r="BH186" s="6881" t="b">
        <f t="shared" si="202"/>
        <v>1</v>
      </c>
      <c r="BI186" s="6881" t="b">
        <f t="shared" si="202"/>
        <v>1</v>
      </c>
      <c r="BJ186" s="6881" t="b">
        <f t="shared" si="202"/>
        <v>1</v>
      </c>
      <c r="BK186" s="6881" t="b">
        <f t="shared" si="202"/>
        <v>1</v>
      </c>
      <c r="BL186" s="6881" t="b">
        <f t="shared" si="202"/>
        <v>1</v>
      </c>
      <c r="BM186" s="6881" t="b">
        <f t="shared" si="202"/>
        <v>1</v>
      </c>
      <c r="BN186" s="6881" t="b">
        <f t="shared" si="202"/>
        <v>1</v>
      </c>
      <c r="BO186" s="6881" t="b">
        <f t="shared" si="202"/>
        <v>1</v>
      </c>
      <c r="BP186" s="6881"/>
      <c r="BQ186" s="6881" t="b">
        <f t="shared" ref="BQ186:CB186" si="203">ROUND(BQ113-BQ114,1)=ROUND(BQ112,1)</f>
        <v>1</v>
      </c>
      <c r="BR186" s="6882" t="b">
        <f t="shared" si="203"/>
        <v>1</v>
      </c>
      <c r="BS186" s="6881" t="b">
        <f t="shared" si="203"/>
        <v>1</v>
      </c>
      <c r="BT186" s="6881" t="b">
        <f t="shared" si="203"/>
        <v>1</v>
      </c>
      <c r="BU186" s="6881" t="b">
        <f t="shared" si="203"/>
        <v>1</v>
      </c>
      <c r="BV186" s="6881" t="b">
        <f t="shared" si="203"/>
        <v>1</v>
      </c>
      <c r="BW186" s="6881" t="b">
        <f t="shared" si="203"/>
        <v>1</v>
      </c>
      <c r="BX186" s="6881" t="b">
        <f t="shared" si="203"/>
        <v>1</v>
      </c>
      <c r="BY186" s="6881" t="b">
        <f t="shared" si="203"/>
        <v>1</v>
      </c>
      <c r="BZ186" s="6881" t="b">
        <f t="shared" si="203"/>
        <v>1</v>
      </c>
      <c r="CA186" s="6881" t="b">
        <f t="shared" si="203"/>
        <v>1</v>
      </c>
      <c r="CB186" s="6881" t="b">
        <f t="shared" si="203"/>
        <v>1</v>
      </c>
      <c r="CC186" s="6909"/>
      <c r="CD186" s="6910"/>
      <c r="CE186" s="2499" t="b">
        <f t="shared" si="202"/>
        <v>1</v>
      </c>
      <c r="CF186" s="6854" t="b">
        <f t="shared" si="202"/>
        <v>1</v>
      </c>
      <c r="CG186" s="2509"/>
    </row>
    <row r="187" spans="1:85" x14ac:dyDescent="0.55000000000000004">
      <c r="A187" s="5841"/>
      <c r="B187" s="6788" t="s">
        <v>636</v>
      </c>
      <c r="C187" s="6702"/>
      <c r="D187" s="6702"/>
      <c r="E187" s="6702"/>
      <c r="F187" s="6930" t="b">
        <f>ROUND(F116-F119,1)=ROUND(F115,1)</f>
        <v>1</v>
      </c>
      <c r="G187" s="6702" t="b">
        <f t="shared" ref="G187:CF187" si="204">ROUND(G116-G119,1)=ROUND(G115,1)</f>
        <v>1</v>
      </c>
      <c r="H187" s="6702" t="b">
        <f t="shared" si="204"/>
        <v>1</v>
      </c>
      <c r="I187" s="6702" t="b">
        <f t="shared" si="204"/>
        <v>1</v>
      </c>
      <c r="J187" s="6702" t="b">
        <f t="shared" si="204"/>
        <v>1</v>
      </c>
      <c r="K187" s="6702" t="b">
        <f t="shared" si="204"/>
        <v>1</v>
      </c>
      <c r="L187" s="6702" t="b">
        <f t="shared" si="204"/>
        <v>1</v>
      </c>
      <c r="M187" s="6702" t="b">
        <f t="shared" si="204"/>
        <v>1</v>
      </c>
      <c r="N187" s="6702" t="b">
        <f t="shared" si="204"/>
        <v>1</v>
      </c>
      <c r="O187" s="6702" t="b">
        <f t="shared" si="204"/>
        <v>1</v>
      </c>
      <c r="P187" s="6702" t="b">
        <f t="shared" si="204"/>
        <v>1</v>
      </c>
      <c r="Q187" s="6922" t="b">
        <f t="shared" si="204"/>
        <v>1</v>
      </c>
      <c r="R187" s="6702" t="b">
        <f t="shared" si="204"/>
        <v>1</v>
      </c>
      <c r="S187" s="6702" t="b">
        <f t="shared" si="204"/>
        <v>1</v>
      </c>
      <c r="T187" s="6702" t="b">
        <f t="shared" si="204"/>
        <v>1</v>
      </c>
      <c r="U187" s="6702" t="b">
        <f t="shared" si="204"/>
        <v>1</v>
      </c>
      <c r="V187" s="6702" t="b">
        <f t="shared" si="204"/>
        <v>1</v>
      </c>
      <c r="W187" s="6702" t="b">
        <f t="shared" si="204"/>
        <v>1</v>
      </c>
      <c r="X187" s="6702" t="b">
        <f t="shared" si="204"/>
        <v>1</v>
      </c>
      <c r="Y187" s="6702" t="b">
        <f t="shared" si="204"/>
        <v>1</v>
      </c>
      <c r="Z187" s="6702" t="b">
        <f t="shared" si="204"/>
        <v>1</v>
      </c>
      <c r="AA187" s="6702" t="b">
        <f t="shared" si="204"/>
        <v>1</v>
      </c>
      <c r="AB187" s="6702" t="b">
        <f t="shared" si="204"/>
        <v>1</v>
      </c>
      <c r="AC187" s="6702" t="b">
        <f t="shared" si="204"/>
        <v>1</v>
      </c>
      <c r="AD187" s="6702" t="b">
        <f t="shared" si="204"/>
        <v>1</v>
      </c>
      <c r="AE187" s="6702" t="b">
        <f t="shared" si="204"/>
        <v>1</v>
      </c>
      <c r="AF187" s="6702" t="b">
        <f t="shared" si="204"/>
        <v>1</v>
      </c>
      <c r="AG187" s="6702" t="b">
        <f t="shared" si="204"/>
        <v>1</v>
      </c>
      <c r="AH187" s="6702" t="b">
        <f t="shared" si="204"/>
        <v>1</v>
      </c>
      <c r="AI187" s="6702" t="b">
        <f t="shared" si="204"/>
        <v>1</v>
      </c>
      <c r="AJ187" s="6702" t="b">
        <f t="shared" si="204"/>
        <v>1</v>
      </c>
      <c r="AK187" s="6702" t="b">
        <f t="shared" si="204"/>
        <v>1</v>
      </c>
      <c r="AL187" s="6702" t="b">
        <f t="shared" si="204"/>
        <v>1</v>
      </c>
      <c r="AM187" s="6702" t="b">
        <f t="shared" si="204"/>
        <v>1</v>
      </c>
      <c r="AN187" s="6702" t="b">
        <f t="shared" si="204"/>
        <v>1</v>
      </c>
      <c r="AO187" s="6313" t="b">
        <f t="shared" si="204"/>
        <v>1</v>
      </c>
      <c r="AP187" s="6313"/>
      <c r="AQ187" s="6923" t="b">
        <f t="shared" si="204"/>
        <v>1</v>
      </c>
      <c r="AR187" s="6923" t="b">
        <f t="shared" si="204"/>
        <v>1</v>
      </c>
      <c r="AS187" s="6923" t="b">
        <f t="shared" si="204"/>
        <v>1</v>
      </c>
      <c r="AT187" s="6923" t="b">
        <f t="shared" si="204"/>
        <v>1</v>
      </c>
      <c r="AU187" s="6923" t="b">
        <f t="shared" si="204"/>
        <v>1</v>
      </c>
      <c r="AV187" s="6923" t="b">
        <f t="shared" si="204"/>
        <v>1</v>
      </c>
      <c r="AW187" s="6923" t="b">
        <f t="shared" si="204"/>
        <v>1</v>
      </c>
      <c r="AX187" s="6923" t="b">
        <f t="shared" si="204"/>
        <v>1</v>
      </c>
      <c r="AY187" s="6923" t="b">
        <f t="shared" si="204"/>
        <v>1</v>
      </c>
      <c r="AZ187" s="6923" t="b">
        <f t="shared" si="204"/>
        <v>1</v>
      </c>
      <c r="BA187" s="6923" t="b">
        <f t="shared" si="204"/>
        <v>1</v>
      </c>
      <c r="BB187" s="6923" t="b">
        <f t="shared" si="204"/>
        <v>1</v>
      </c>
      <c r="BC187" s="6924" t="b">
        <f t="shared" si="204"/>
        <v>1</v>
      </c>
      <c r="BD187" s="6925" t="b">
        <f t="shared" si="204"/>
        <v>1</v>
      </c>
      <c r="BE187" s="6925" t="b">
        <f t="shared" si="204"/>
        <v>1</v>
      </c>
      <c r="BF187" s="6925" t="b">
        <f t="shared" si="204"/>
        <v>1</v>
      </c>
      <c r="BG187" s="6925" t="b">
        <f t="shared" si="204"/>
        <v>1</v>
      </c>
      <c r="BH187" s="6925" t="b">
        <f t="shared" si="204"/>
        <v>1</v>
      </c>
      <c r="BI187" s="6925" t="b">
        <f t="shared" si="204"/>
        <v>1</v>
      </c>
      <c r="BJ187" s="6925" t="b">
        <f t="shared" si="204"/>
        <v>1</v>
      </c>
      <c r="BK187" s="6925" t="b">
        <f t="shared" si="204"/>
        <v>1</v>
      </c>
      <c r="BL187" s="6925" t="b">
        <f t="shared" si="204"/>
        <v>1</v>
      </c>
      <c r="BM187" s="6925" t="b">
        <f t="shared" si="204"/>
        <v>1</v>
      </c>
      <c r="BN187" s="6925" t="b">
        <f t="shared" si="204"/>
        <v>1</v>
      </c>
      <c r="BO187" s="6925" t="b">
        <f t="shared" si="204"/>
        <v>1</v>
      </c>
      <c r="BP187" s="6925"/>
      <c r="BQ187" s="6925" t="b">
        <f t="shared" ref="BQ187:CB187" si="205">ROUND(BQ116-BQ119,1)=ROUND(BQ115,1)</f>
        <v>1</v>
      </c>
      <c r="BR187" s="6926" t="b">
        <f t="shared" si="205"/>
        <v>1</v>
      </c>
      <c r="BS187" s="6925" t="b">
        <f t="shared" si="205"/>
        <v>1</v>
      </c>
      <c r="BT187" s="6925" t="b">
        <f t="shared" si="205"/>
        <v>1</v>
      </c>
      <c r="BU187" s="6925" t="b">
        <f t="shared" si="205"/>
        <v>1</v>
      </c>
      <c r="BV187" s="6925" t="b">
        <f t="shared" si="205"/>
        <v>1</v>
      </c>
      <c r="BW187" s="6925" t="b">
        <f t="shared" si="205"/>
        <v>1</v>
      </c>
      <c r="BX187" s="6925" t="b">
        <f t="shared" si="205"/>
        <v>1</v>
      </c>
      <c r="BY187" s="6925" t="b">
        <f t="shared" si="205"/>
        <v>1</v>
      </c>
      <c r="BZ187" s="6925" t="b">
        <f t="shared" si="205"/>
        <v>1</v>
      </c>
      <c r="CA187" s="6925" t="b">
        <f t="shared" si="205"/>
        <v>1</v>
      </c>
      <c r="CB187" s="6925" t="b">
        <f t="shared" si="205"/>
        <v>1</v>
      </c>
      <c r="CC187" s="6909"/>
      <c r="CD187" s="6910"/>
      <c r="CE187" s="2888" t="b">
        <f t="shared" si="204"/>
        <v>1</v>
      </c>
      <c r="CF187" s="6927" t="b">
        <f t="shared" si="204"/>
        <v>1</v>
      </c>
      <c r="CG187" s="2892"/>
    </row>
    <row r="188" spans="1:85" x14ac:dyDescent="0.55000000000000004">
      <c r="A188" s="5841"/>
      <c r="B188" s="6702"/>
      <c r="C188" s="3189" t="s">
        <v>35</v>
      </c>
      <c r="D188" s="3189"/>
      <c r="E188" s="3189"/>
      <c r="F188" s="6931" t="b">
        <f t="shared" ref="F188:BJ188" si="206">ROUND(F119,1)=ROUND(SUM(F120:F125),1)</f>
        <v>1</v>
      </c>
      <c r="G188" s="3189" t="b">
        <f t="shared" si="206"/>
        <v>1</v>
      </c>
      <c r="H188" s="3189" t="b">
        <f t="shared" si="206"/>
        <v>1</v>
      </c>
      <c r="I188" s="3189" t="b">
        <f t="shared" si="206"/>
        <v>1</v>
      </c>
      <c r="J188" s="3189" t="b">
        <f t="shared" si="206"/>
        <v>1</v>
      </c>
      <c r="K188" s="3189" t="b">
        <f t="shared" si="206"/>
        <v>1</v>
      </c>
      <c r="L188" s="3189" t="b">
        <f t="shared" si="206"/>
        <v>1</v>
      </c>
      <c r="M188" s="3189" t="b">
        <f t="shared" si="206"/>
        <v>1</v>
      </c>
      <c r="N188" s="3189" t="b">
        <f t="shared" si="206"/>
        <v>1</v>
      </c>
      <c r="O188" s="3189" t="b">
        <f t="shared" si="206"/>
        <v>1</v>
      </c>
      <c r="P188" s="3189" t="b">
        <f t="shared" si="206"/>
        <v>1</v>
      </c>
      <c r="Q188" s="6919" t="b">
        <f t="shared" si="206"/>
        <v>1</v>
      </c>
      <c r="R188" s="3189" t="b">
        <f t="shared" si="206"/>
        <v>1</v>
      </c>
      <c r="S188" s="3189" t="b">
        <f t="shared" si="206"/>
        <v>1</v>
      </c>
      <c r="T188" s="3189" t="b">
        <f t="shared" si="206"/>
        <v>1</v>
      </c>
      <c r="U188" s="3189" t="b">
        <f t="shared" si="206"/>
        <v>1</v>
      </c>
      <c r="V188" s="3189" t="b">
        <f t="shared" si="206"/>
        <v>1</v>
      </c>
      <c r="W188" s="3189" t="b">
        <f t="shared" si="206"/>
        <v>1</v>
      </c>
      <c r="X188" s="3189" t="b">
        <f t="shared" si="206"/>
        <v>1</v>
      </c>
      <c r="Y188" s="3189" t="b">
        <f t="shared" si="206"/>
        <v>1</v>
      </c>
      <c r="Z188" s="3189" t="b">
        <f t="shared" si="206"/>
        <v>1</v>
      </c>
      <c r="AA188" s="3189" t="b">
        <f t="shared" si="206"/>
        <v>1</v>
      </c>
      <c r="AB188" s="3189" t="b">
        <f t="shared" si="206"/>
        <v>1</v>
      </c>
      <c r="AC188" s="3189" t="b">
        <f t="shared" si="206"/>
        <v>1</v>
      </c>
      <c r="AD188" s="3189" t="b">
        <f t="shared" si="206"/>
        <v>1</v>
      </c>
      <c r="AE188" s="3189" t="b">
        <f t="shared" si="206"/>
        <v>1</v>
      </c>
      <c r="AF188" s="3189" t="b">
        <f t="shared" si="206"/>
        <v>1</v>
      </c>
      <c r="AG188" s="3189" t="b">
        <f t="shared" si="206"/>
        <v>1</v>
      </c>
      <c r="AH188" s="3189" t="b">
        <f t="shared" si="206"/>
        <v>1</v>
      </c>
      <c r="AI188" s="3189" t="b">
        <f t="shared" si="206"/>
        <v>1</v>
      </c>
      <c r="AJ188" s="3189" t="b">
        <f t="shared" si="206"/>
        <v>1</v>
      </c>
      <c r="AK188" s="3189" t="b">
        <f t="shared" si="206"/>
        <v>1</v>
      </c>
      <c r="AL188" s="3189" t="b">
        <f t="shared" si="206"/>
        <v>1</v>
      </c>
      <c r="AM188" s="3189" t="b">
        <f t="shared" si="206"/>
        <v>1</v>
      </c>
      <c r="AN188" s="3189" t="b">
        <f t="shared" si="206"/>
        <v>1</v>
      </c>
      <c r="AO188" s="6680" t="b">
        <f t="shared" si="206"/>
        <v>1</v>
      </c>
      <c r="AP188" s="6680"/>
      <c r="AQ188" s="6872" t="b">
        <f t="shared" si="206"/>
        <v>1</v>
      </c>
      <c r="AR188" s="6872" t="b">
        <f t="shared" si="206"/>
        <v>1</v>
      </c>
      <c r="AS188" s="6872" t="b">
        <f t="shared" si="206"/>
        <v>1</v>
      </c>
      <c r="AT188" s="6872" t="b">
        <f t="shared" si="206"/>
        <v>1</v>
      </c>
      <c r="AU188" s="6872" t="b">
        <f t="shared" si="206"/>
        <v>1</v>
      </c>
      <c r="AV188" s="6872" t="b">
        <f t="shared" si="206"/>
        <v>1</v>
      </c>
      <c r="AW188" s="6872" t="b">
        <f t="shared" si="206"/>
        <v>1</v>
      </c>
      <c r="AX188" s="6872" t="b">
        <f t="shared" si="206"/>
        <v>1</v>
      </c>
      <c r="AY188" s="6872" t="b">
        <f t="shared" si="206"/>
        <v>1</v>
      </c>
      <c r="AZ188" s="6872" t="b">
        <f t="shared" si="206"/>
        <v>1</v>
      </c>
      <c r="BA188" s="6872" t="b">
        <f t="shared" si="206"/>
        <v>1</v>
      </c>
      <c r="BB188" s="6872" t="b">
        <f t="shared" si="206"/>
        <v>1</v>
      </c>
      <c r="BC188" s="6920" t="b">
        <f t="shared" si="206"/>
        <v>1</v>
      </c>
      <c r="BD188" s="6874" t="b">
        <f t="shared" si="206"/>
        <v>1</v>
      </c>
      <c r="BE188" s="6874" t="b">
        <f t="shared" si="206"/>
        <v>1</v>
      </c>
      <c r="BF188" s="6874" t="b">
        <f t="shared" si="206"/>
        <v>1</v>
      </c>
      <c r="BG188" s="6874" t="b">
        <f t="shared" si="206"/>
        <v>1</v>
      </c>
      <c r="BH188" s="6874" t="b">
        <f t="shared" si="206"/>
        <v>1</v>
      </c>
      <c r="BI188" s="6874" t="b">
        <f t="shared" si="206"/>
        <v>1</v>
      </c>
      <c r="BJ188" s="6874" t="b">
        <f t="shared" si="206"/>
        <v>1</v>
      </c>
      <c r="BK188" s="6874" t="b">
        <f>BK119=SUM(BK120:BK125)</f>
        <v>1</v>
      </c>
      <c r="BL188" s="6874" t="b">
        <f>BL119=SUM(BL120:BL125)</f>
        <v>1</v>
      </c>
      <c r="BM188" s="6874" t="b">
        <f>BM119=SUM(BM120:BM125)</f>
        <v>1</v>
      </c>
      <c r="BN188" s="6874" t="b">
        <f>BN119=SUM(BN120:BN125)</f>
        <v>1</v>
      </c>
      <c r="BO188" s="6874" t="b">
        <f>BO119=SUM(BO120:BO125)</f>
        <v>1</v>
      </c>
      <c r="BP188" s="6874"/>
      <c r="BQ188" s="6874" t="b">
        <f t="shared" ref="BQ188:BW188" si="207">ROUND(BQ119,1)=ROUND(SUM(BQ120:BQ125),1)</f>
        <v>1</v>
      </c>
      <c r="BR188" s="6875" t="b">
        <f t="shared" si="207"/>
        <v>1</v>
      </c>
      <c r="BS188" s="6874" t="b">
        <f t="shared" si="207"/>
        <v>1</v>
      </c>
      <c r="BT188" s="6874" t="b">
        <f t="shared" si="207"/>
        <v>1</v>
      </c>
      <c r="BU188" s="6874" t="b">
        <f t="shared" si="207"/>
        <v>1</v>
      </c>
      <c r="BV188" s="6874" t="b">
        <f t="shared" si="207"/>
        <v>1</v>
      </c>
      <c r="BW188" s="6874" t="b">
        <f t="shared" si="207"/>
        <v>1</v>
      </c>
      <c r="BX188" s="6874" t="b">
        <f>BX119=SUM(BX120:BX125)</f>
        <v>1</v>
      </c>
      <c r="BY188" s="6874" t="b">
        <f>BY119=SUM(BY120:BY125)</f>
        <v>1</v>
      </c>
      <c r="BZ188" s="6874" t="b">
        <f>BZ119=SUM(BZ120:BZ125)</f>
        <v>1</v>
      </c>
      <c r="CA188" s="6874" t="b">
        <f>CA119=SUM(CA120:CA125)</f>
        <v>1</v>
      </c>
      <c r="CB188" s="6874" t="b">
        <f>CB119=SUM(CB120:CB125)</f>
        <v>1</v>
      </c>
      <c r="CC188" s="6909"/>
      <c r="CD188" s="6910"/>
      <c r="CE188" s="2863" t="b">
        <f>ROUND(CE119,1)=ROUND(SUM(CE120:CE125),1)</f>
        <v>1</v>
      </c>
      <c r="CF188" s="6877" t="b">
        <f>ROUND(CF119,1)=ROUND(SUM(CF120:CF125),1)</f>
        <v>1</v>
      </c>
      <c r="CG188" s="2868"/>
    </row>
    <row r="189" spans="1:85" x14ac:dyDescent="0.55000000000000004">
      <c r="A189" s="5841"/>
      <c r="B189" s="6702"/>
      <c r="C189" s="6702" t="s">
        <v>38</v>
      </c>
      <c r="D189" s="6702"/>
      <c r="E189" s="6702"/>
      <c r="F189" s="6930" t="b">
        <f t="shared" ref="F189:BJ189" si="208">ROUND(F119,1)=ROUND(SUM(F120:F125),1)</f>
        <v>1</v>
      </c>
      <c r="G189" s="6702" t="b">
        <f t="shared" si="208"/>
        <v>1</v>
      </c>
      <c r="H189" s="6702" t="b">
        <f t="shared" si="208"/>
        <v>1</v>
      </c>
      <c r="I189" s="6702" t="b">
        <f t="shared" si="208"/>
        <v>1</v>
      </c>
      <c r="J189" s="6702" t="b">
        <f t="shared" si="208"/>
        <v>1</v>
      </c>
      <c r="K189" s="6702" t="b">
        <f t="shared" si="208"/>
        <v>1</v>
      </c>
      <c r="L189" s="6702" t="b">
        <f t="shared" si="208"/>
        <v>1</v>
      </c>
      <c r="M189" s="6702" t="b">
        <f t="shared" si="208"/>
        <v>1</v>
      </c>
      <c r="N189" s="6702" t="b">
        <f t="shared" si="208"/>
        <v>1</v>
      </c>
      <c r="O189" s="6702" t="b">
        <f t="shared" si="208"/>
        <v>1</v>
      </c>
      <c r="P189" s="6702" t="b">
        <f t="shared" si="208"/>
        <v>1</v>
      </c>
      <c r="Q189" s="6922" t="b">
        <f t="shared" si="208"/>
        <v>1</v>
      </c>
      <c r="R189" s="6702" t="b">
        <f t="shared" si="208"/>
        <v>1</v>
      </c>
      <c r="S189" s="6702" t="b">
        <f t="shared" si="208"/>
        <v>1</v>
      </c>
      <c r="T189" s="6702" t="b">
        <f t="shared" si="208"/>
        <v>1</v>
      </c>
      <c r="U189" s="6702" t="b">
        <f t="shared" si="208"/>
        <v>1</v>
      </c>
      <c r="V189" s="6702" t="b">
        <f t="shared" si="208"/>
        <v>1</v>
      </c>
      <c r="W189" s="6702" t="b">
        <f t="shared" si="208"/>
        <v>1</v>
      </c>
      <c r="X189" s="6702" t="b">
        <f t="shared" si="208"/>
        <v>1</v>
      </c>
      <c r="Y189" s="6702" t="b">
        <f t="shared" si="208"/>
        <v>1</v>
      </c>
      <c r="Z189" s="6702" t="b">
        <f t="shared" si="208"/>
        <v>1</v>
      </c>
      <c r="AA189" s="6702" t="b">
        <f t="shared" si="208"/>
        <v>1</v>
      </c>
      <c r="AB189" s="6702" t="b">
        <f t="shared" si="208"/>
        <v>1</v>
      </c>
      <c r="AC189" s="6702" t="b">
        <f t="shared" si="208"/>
        <v>1</v>
      </c>
      <c r="AD189" s="6702" t="b">
        <f t="shared" si="208"/>
        <v>1</v>
      </c>
      <c r="AE189" s="6702" t="b">
        <f t="shared" si="208"/>
        <v>1</v>
      </c>
      <c r="AF189" s="6702" t="b">
        <f t="shared" si="208"/>
        <v>1</v>
      </c>
      <c r="AG189" s="6702" t="b">
        <f t="shared" si="208"/>
        <v>1</v>
      </c>
      <c r="AH189" s="6702" t="b">
        <f t="shared" si="208"/>
        <v>1</v>
      </c>
      <c r="AI189" s="6702" t="b">
        <f t="shared" si="208"/>
        <v>1</v>
      </c>
      <c r="AJ189" s="6702" t="b">
        <f t="shared" si="208"/>
        <v>1</v>
      </c>
      <c r="AK189" s="6702" t="b">
        <f t="shared" si="208"/>
        <v>1</v>
      </c>
      <c r="AL189" s="6702" t="b">
        <f t="shared" si="208"/>
        <v>1</v>
      </c>
      <c r="AM189" s="6702" t="b">
        <f t="shared" si="208"/>
        <v>1</v>
      </c>
      <c r="AN189" s="6702" t="b">
        <f t="shared" si="208"/>
        <v>1</v>
      </c>
      <c r="AO189" s="6313" t="b">
        <f t="shared" si="208"/>
        <v>1</v>
      </c>
      <c r="AP189" s="6313"/>
      <c r="AQ189" s="6923" t="b">
        <f t="shared" si="208"/>
        <v>1</v>
      </c>
      <c r="AR189" s="6923" t="b">
        <f t="shared" si="208"/>
        <v>1</v>
      </c>
      <c r="AS189" s="6923" t="b">
        <f t="shared" si="208"/>
        <v>1</v>
      </c>
      <c r="AT189" s="6923" t="b">
        <f t="shared" si="208"/>
        <v>1</v>
      </c>
      <c r="AU189" s="6923" t="b">
        <f t="shared" si="208"/>
        <v>1</v>
      </c>
      <c r="AV189" s="6923" t="b">
        <f t="shared" si="208"/>
        <v>1</v>
      </c>
      <c r="AW189" s="6923" t="b">
        <f t="shared" si="208"/>
        <v>1</v>
      </c>
      <c r="AX189" s="6923" t="b">
        <f t="shared" si="208"/>
        <v>1</v>
      </c>
      <c r="AY189" s="6923" t="b">
        <f t="shared" si="208"/>
        <v>1</v>
      </c>
      <c r="AZ189" s="6923" t="b">
        <f t="shared" si="208"/>
        <v>1</v>
      </c>
      <c r="BA189" s="6923" t="b">
        <f t="shared" si="208"/>
        <v>1</v>
      </c>
      <c r="BB189" s="6923" t="b">
        <f t="shared" si="208"/>
        <v>1</v>
      </c>
      <c r="BC189" s="6924" t="b">
        <f t="shared" si="208"/>
        <v>1</v>
      </c>
      <c r="BD189" s="6925" t="b">
        <f t="shared" si="208"/>
        <v>1</v>
      </c>
      <c r="BE189" s="6925" t="b">
        <f t="shared" si="208"/>
        <v>1</v>
      </c>
      <c r="BF189" s="6925" t="b">
        <f t="shared" si="208"/>
        <v>1</v>
      </c>
      <c r="BG189" s="6925" t="b">
        <f t="shared" si="208"/>
        <v>1</v>
      </c>
      <c r="BH189" s="6925" t="b">
        <f t="shared" si="208"/>
        <v>1</v>
      </c>
      <c r="BI189" s="6925" t="b">
        <f t="shared" si="208"/>
        <v>1</v>
      </c>
      <c r="BJ189" s="6925" t="b">
        <f t="shared" si="208"/>
        <v>1</v>
      </c>
      <c r="BK189" s="6925" t="b">
        <f>BK119=SUM(BK120:BK125)</f>
        <v>1</v>
      </c>
      <c r="BL189" s="6925" t="b">
        <f>BL119=SUM(BL120:BL125)</f>
        <v>1</v>
      </c>
      <c r="BM189" s="6925" t="b">
        <f>BM119=SUM(BM120:BM125)</f>
        <v>1</v>
      </c>
      <c r="BN189" s="6925" t="b">
        <f>BN119=SUM(BN120:BN125)</f>
        <v>1</v>
      </c>
      <c r="BO189" s="6925" t="b">
        <f>BO119=SUM(BO120:BO125)</f>
        <v>1</v>
      </c>
      <c r="BP189" s="6925"/>
      <c r="BQ189" s="6925" t="b">
        <f t="shared" ref="BQ189:BW189" si="209">ROUND(BQ119,1)=ROUND(SUM(BQ120:BQ125),1)</f>
        <v>1</v>
      </c>
      <c r="BR189" s="6926" t="b">
        <f t="shared" si="209"/>
        <v>1</v>
      </c>
      <c r="BS189" s="6925" t="b">
        <f t="shared" si="209"/>
        <v>1</v>
      </c>
      <c r="BT189" s="6925" t="b">
        <f t="shared" si="209"/>
        <v>1</v>
      </c>
      <c r="BU189" s="6925" t="b">
        <f t="shared" si="209"/>
        <v>1</v>
      </c>
      <c r="BV189" s="6925" t="b">
        <f t="shared" si="209"/>
        <v>1</v>
      </c>
      <c r="BW189" s="6925" t="b">
        <f t="shared" si="209"/>
        <v>1</v>
      </c>
      <c r="BX189" s="6925" t="b">
        <f>BX119=SUM(BX120:BX125)</f>
        <v>1</v>
      </c>
      <c r="BY189" s="6925" t="b">
        <f>BY119=SUM(BY120:BY125)</f>
        <v>1</v>
      </c>
      <c r="BZ189" s="6925" t="b">
        <f>BZ119=SUM(BZ120:BZ125)</f>
        <v>1</v>
      </c>
      <c r="CA189" s="6925" t="b">
        <f>CA119=SUM(CA120:CA125)</f>
        <v>1</v>
      </c>
      <c r="CB189" s="6925" t="b">
        <f>CB119=SUM(CB120:CB125)</f>
        <v>1</v>
      </c>
      <c r="CC189" s="6909"/>
      <c r="CD189" s="6910"/>
      <c r="CE189" s="2888" t="b">
        <f>ROUND(CE119,1)=ROUND(SUM(CE120:CE125),1)</f>
        <v>1</v>
      </c>
      <c r="CF189" s="6927" t="b">
        <f>ROUND(CF119,1)=ROUND(SUM(CF120:CF125),1)</f>
        <v>1</v>
      </c>
      <c r="CG189" s="2892"/>
    </row>
    <row r="190" spans="1:85" x14ac:dyDescent="0.55000000000000004">
      <c r="A190" s="6928" t="s">
        <v>954</v>
      </c>
      <c r="B190" s="2456" t="s">
        <v>638</v>
      </c>
      <c r="C190" s="3189"/>
      <c r="D190" s="3189"/>
      <c r="E190" s="3189"/>
      <c r="F190" s="3189" t="b">
        <f>F133=SUM(F134:F137)</f>
        <v>1</v>
      </c>
      <c r="G190" s="3189" t="b">
        <f t="shared" ref="G190:AL190" si="210">G133=SUM(G134:G137)</f>
        <v>1</v>
      </c>
      <c r="H190" s="3189" t="b">
        <f t="shared" si="210"/>
        <v>1</v>
      </c>
      <c r="I190" s="3189" t="b">
        <f t="shared" si="210"/>
        <v>1</v>
      </c>
      <c r="J190" s="3189" t="b">
        <f t="shared" si="210"/>
        <v>1</v>
      </c>
      <c r="K190" s="3189" t="b">
        <f t="shared" si="210"/>
        <v>1</v>
      </c>
      <c r="L190" s="3189" t="b">
        <f t="shared" si="210"/>
        <v>1</v>
      </c>
      <c r="M190" s="3189" t="b">
        <f t="shared" si="210"/>
        <v>1</v>
      </c>
      <c r="N190" s="3189" t="b">
        <f t="shared" si="210"/>
        <v>1</v>
      </c>
      <c r="O190" s="3189" t="b">
        <f t="shared" si="210"/>
        <v>1</v>
      </c>
      <c r="P190" s="3189" t="b">
        <f t="shared" si="210"/>
        <v>1</v>
      </c>
      <c r="Q190" s="6919" t="b">
        <f t="shared" si="210"/>
        <v>1</v>
      </c>
      <c r="R190" s="3189" t="b">
        <f t="shared" si="210"/>
        <v>1</v>
      </c>
      <c r="S190" s="3189" t="b">
        <f t="shared" si="210"/>
        <v>1</v>
      </c>
      <c r="T190" s="3189" t="b">
        <f t="shared" si="210"/>
        <v>1</v>
      </c>
      <c r="U190" s="3189" t="b">
        <f t="shared" si="210"/>
        <v>1</v>
      </c>
      <c r="V190" s="3189" t="b">
        <f t="shared" si="210"/>
        <v>1</v>
      </c>
      <c r="W190" s="3189" t="b">
        <f t="shared" si="210"/>
        <v>1</v>
      </c>
      <c r="X190" s="3189" t="b">
        <f t="shared" si="210"/>
        <v>1</v>
      </c>
      <c r="Y190" s="3189" t="b">
        <f t="shared" si="210"/>
        <v>1</v>
      </c>
      <c r="Z190" s="3189" t="b">
        <f t="shared" si="210"/>
        <v>1</v>
      </c>
      <c r="AA190" s="3189" t="b">
        <f t="shared" si="210"/>
        <v>1</v>
      </c>
      <c r="AB190" s="3189" t="b">
        <f t="shared" si="210"/>
        <v>1</v>
      </c>
      <c r="AC190" s="3189" t="b">
        <f t="shared" si="210"/>
        <v>1</v>
      </c>
      <c r="AD190" s="3189" t="b">
        <f t="shared" si="210"/>
        <v>1</v>
      </c>
      <c r="AE190" s="3189" t="b">
        <f t="shared" si="210"/>
        <v>1</v>
      </c>
      <c r="AF190" s="3189" t="b">
        <f t="shared" si="210"/>
        <v>1</v>
      </c>
      <c r="AG190" s="3189" t="b">
        <f t="shared" si="210"/>
        <v>1</v>
      </c>
      <c r="AH190" s="3189" t="b">
        <f t="shared" si="210"/>
        <v>1</v>
      </c>
      <c r="AI190" s="3189" t="b">
        <f t="shared" si="210"/>
        <v>1</v>
      </c>
      <c r="AJ190" s="3189" t="b">
        <f t="shared" si="210"/>
        <v>1</v>
      </c>
      <c r="AK190" s="3189" t="b">
        <f t="shared" si="210"/>
        <v>1</v>
      </c>
      <c r="AL190" s="3189" t="b">
        <f t="shared" si="210"/>
        <v>1</v>
      </c>
      <c r="AM190" s="3189" t="b">
        <f t="shared" ref="AM190:BO190" si="211">AM133=SUM(AM134:AM137)</f>
        <v>1</v>
      </c>
      <c r="AN190" s="3189" t="b">
        <f t="shared" si="211"/>
        <v>1</v>
      </c>
      <c r="AO190" s="6680" t="b">
        <f t="shared" si="211"/>
        <v>1</v>
      </c>
      <c r="AP190" s="6680"/>
      <c r="AQ190" s="6932" t="b">
        <f t="shared" si="211"/>
        <v>1</v>
      </c>
      <c r="AR190" s="6932" t="b">
        <f t="shared" si="211"/>
        <v>1</v>
      </c>
      <c r="AS190" s="6932" t="b">
        <f t="shared" si="211"/>
        <v>1</v>
      </c>
      <c r="AT190" s="6932" t="b">
        <f t="shared" si="211"/>
        <v>1</v>
      </c>
      <c r="AU190" s="6932" t="b">
        <f t="shared" si="211"/>
        <v>1</v>
      </c>
      <c r="AV190" s="6932" t="b">
        <f t="shared" si="211"/>
        <v>1</v>
      </c>
      <c r="AW190" s="6932" t="b">
        <f t="shared" si="211"/>
        <v>1</v>
      </c>
      <c r="AX190" s="6932" t="b">
        <f t="shared" si="211"/>
        <v>1</v>
      </c>
      <c r="AY190" s="6932" t="b">
        <f t="shared" si="211"/>
        <v>1</v>
      </c>
      <c r="AZ190" s="6932" t="b">
        <f t="shared" si="211"/>
        <v>1</v>
      </c>
      <c r="BA190" s="6932" t="b">
        <f t="shared" si="211"/>
        <v>1</v>
      </c>
      <c r="BB190" s="6932" t="b">
        <f t="shared" si="211"/>
        <v>1</v>
      </c>
      <c r="BC190" s="6933" t="b">
        <f t="shared" si="211"/>
        <v>1</v>
      </c>
      <c r="BD190" s="6874" t="b">
        <f t="shared" si="211"/>
        <v>1</v>
      </c>
      <c r="BE190" s="6874" t="b">
        <f t="shared" si="211"/>
        <v>1</v>
      </c>
      <c r="BF190" s="6874" t="b">
        <f t="shared" si="211"/>
        <v>1</v>
      </c>
      <c r="BG190" s="6874" t="b">
        <f t="shared" si="211"/>
        <v>1</v>
      </c>
      <c r="BH190" s="6874" t="b">
        <f t="shared" si="211"/>
        <v>1</v>
      </c>
      <c r="BI190" s="6874" t="b">
        <f t="shared" si="211"/>
        <v>1</v>
      </c>
      <c r="BJ190" s="6874" t="b">
        <f t="shared" si="211"/>
        <v>1</v>
      </c>
      <c r="BK190" s="6874" t="b">
        <f t="shared" si="211"/>
        <v>1</v>
      </c>
      <c r="BL190" s="6874" t="b">
        <f t="shared" si="211"/>
        <v>1</v>
      </c>
      <c r="BM190" s="6874" t="b">
        <f t="shared" si="211"/>
        <v>1</v>
      </c>
      <c r="BN190" s="6874" t="b">
        <f t="shared" si="211"/>
        <v>1</v>
      </c>
      <c r="BO190" s="6874" t="b">
        <f t="shared" si="211"/>
        <v>1</v>
      </c>
      <c r="BP190" s="6874"/>
      <c r="BQ190" s="6874" t="b">
        <f t="shared" ref="BQ190:CB190" si="212">BQ133=SUM(BQ134:BQ137)</f>
        <v>1</v>
      </c>
      <c r="BR190" s="6875" t="b">
        <f t="shared" si="212"/>
        <v>1</v>
      </c>
      <c r="BS190" s="6874" t="b">
        <f t="shared" si="212"/>
        <v>1</v>
      </c>
      <c r="BT190" s="6874" t="b">
        <f t="shared" si="212"/>
        <v>1</v>
      </c>
      <c r="BU190" s="6874" t="b">
        <f t="shared" si="212"/>
        <v>1</v>
      </c>
      <c r="BV190" s="6874" t="b">
        <f t="shared" si="212"/>
        <v>1</v>
      </c>
      <c r="BW190" s="6874" t="b">
        <f t="shared" si="212"/>
        <v>1</v>
      </c>
      <c r="BX190" s="6874" t="b">
        <f t="shared" si="212"/>
        <v>1</v>
      </c>
      <c r="BY190" s="6874" t="b">
        <f t="shared" si="212"/>
        <v>1</v>
      </c>
      <c r="BZ190" s="6874" t="b">
        <f t="shared" si="212"/>
        <v>1</v>
      </c>
      <c r="CA190" s="6874" t="b">
        <f t="shared" si="212"/>
        <v>1</v>
      </c>
      <c r="CB190" s="6874" t="b">
        <f t="shared" si="212"/>
        <v>1</v>
      </c>
      <c r="CC190" s="6909"/>
      <c r="CD190" s="6910"/>
      <c r="CE190" s="2863" t="b">
        <f>ROUND(CE133,1)=ROUND(SUM(CE134:CE137),1)</f>
        <v>1</v>
      </c>
      <c r="CF190" s="6877" t="b">
        <f>CF133=SUM(CF134:CF137)</f>
        <v>1</v>
      </c>
      <c r="CG190" s="2868"/>
    </row>
    <row r="191" spans="1:85" ht="15.45" thickBot="1" x14ac:dyDescent="0.6">
      <c r="A191" s="6934"/>
      <c r="B191" s="6935" t="s">
        <v>639</v>
      </c>
      <c r="C191" s="6358"/>
      <c r="D191" s="6358"/>
      <c r="E191" s="6358"/>
      <c r="F191" s="6358" t="b">
        <f t="shared" ref="F191:BN191" si="213">F138=SUM(F139:F143)</f>
        <v>1</v>
      </c>
      <c r="G191" s="6358" t="b">
        <f t="shared" si="213"/>
        <v>1</v>
      </c>
      <c r="H191" s="6358" t="b">
        <f t="shared" si="213"/>
        <v>1</v>
      </c>
      <c r="I191" s="6358" t="b">
        <f t="shared" si="213"/>
        <v>1</v>
      </c>
      <c r="J191" s="6358" t="b">
        <f t="shared" si="213"/>
        <v>1</v>
      </c>
      <c r="K191" s="6358" t="b">
        <f t="shared" si="213"/>
        <v>1</v>
      </c>
      <c r="L191" s="6358" t="b">
        <f t="shared" si="213"/>
        <v>1</v>
      </c>
      <c r="M191" s="6358" t="b">
        <f t="shared" si="213"/>
        <v>1</v>
      </c>
      <c r="N191" s="6358" t="b">
        <f t="shared" si="213"/>
        <v>1</v>
      </c>
      <c r="O191" s="6358" t="b">
        <f t="shared" si="213"/>
        <v>1</v>
      </c>
      <c r="P191" s="6358" t="b">
        <f t="shared" si="213"/>
        <v>1</v>
      </c>
      <c r="Q191" s="6936" t="b">
        <f t="shared" si="213"/>
        <v>1</v>
      </c>
      <c r="R191" s="6358" t="b">
        <f t="shared" si="213"/>
        <v>1</v>
      </c>
      <c r="S191" s="6358" t="b">
        <f t="shared" si="213"/>
        <v>1</v>
      </c>
      <c r="T191" s="6358" t="b">
        <f t="shared" si="213"/>
        <v>1</v>
      </c>
      <c r="U191" s="6358" t="b">
        <f t="shared" si="213"/>
        <v>1</v>
      </c>
      <c r="V191" s="6358" t="b">
        <f t="shared" si="213"/>
        <v>1</v>
      </c>
      <c r="W191" s="6358" t="b">
        <f t="shared" si="213"/>
        <v>1</v>
      </c>
      <c r="X191" s="6358" t="b">
        <f t="shared" si="213"/>
        <v>1</v>
      </c>
      <c r="Y191" s="6358" t="b">
        <f t="shared" si="213"/>
        <v>1</v>
      </c>
      <c r="Z191" s="6358" t="b">
        <f t="shared" si="213"/>
        <v>1</v>
      </c>
      <c r="AA191" s="6358" t="b">
        <f t="shared" si="213"/>
        <v>1</v>
      </c>
      <c r="AB191" s="6358" t="b">
        <f t="shared" si="213"/>
        <v>1</v>
      </c>
      <c r="AC191" s="6358" t="b">
        <f t="shared" si="213"/>
        <v>1</v>
      </c>
      <c r="AD191" s="6358" t="b">
        <f t="shared" si="213"/>
        <v>1</v>
      </c>
      <c r="AE191" s="6358" t="b">
        <f t="shared" si="213"/>
        <v>1</v>
      </c>
      <c r="AF191" s="6358" t="b">
        <f t="shared" si="213"/>
        <v>1</v>
      </c>
      <c r="AG191" s="6358" t="b">
        <f t="shared" si="213"/>
        <v>1</v>
      </c>
      <c r="AH191" s="6358" t="b">
        <f t="shared" si="213"/>
        <v>1</v>
      </c>
      <c r="AI191" s="6358" t="b">
        <f t="shared" si="213"/>
        <v>1</v>
      </c>
      <c r="AJ191" s="6358" t="b">
        <f t="shared" si="213"/>
        <v>1</v>
      </c>
      <c r="AK191" s="6358" t="b">
        <f t="shared" si="213"/>
        <v>1</v>
      </c>
      <c r="AL191" s="6358" t="b">
        <f t="shared" si="213"/>
        <v>1</v>
      </c>
      <c r="AM191" s="6358" t="b">
        <f t="shared" si="213"/>
        <v>1</v>
      </c>
      <c r="AN191" s="6358" t="b">
        <f t="shared" si="213"/>
        <v>1</v>
      </c>
      <c r="AO191" s="6363" t="b">
        <f t="shared" si="213"/>
        <v>1</v>
      </c>
      <c r="AP191" s="6363"/>
      <c r="AQ191" s="6937" t="b">
        <f t="shared" si="213"/>
        <v>1</v>
      </c>
      <c r="AR191" s="6937" t="b">
        <f t="shared" si="213"/>
        <v>1</v>
      </c>
      <c r="AS191" s="6937" t="b">
        <f t="shared" si="213"/>
        <v>1</v>
      </c>
      <c r="AT191" s="6937" t="b">
        <f t="shared" si="213"/>
        <v>1</v>
      </c>
      <c r="AU191" s="6937" t="b">
        <f t="shared" si="213"/>
        <v>1</v>
      </c>
      <c r="AV191" s="6937" t="b">
        <f t="shared" si="213"/>
        <v>1</v>
      </c>
      <c r="AW191" s="6937" t="b">
        <f t="shared" si="213"/>
        <v>1</v>
      </c>
      <c r="AX191" s="6937" t="b">
        <f t="shared" si="213"/>
        <v>1</v>
      </c>
      <c r="AY191" s="6937" t="b">
        <f t="shared" si="213"/>
        <v>1</v>
      </c>
      <c r="AZ191" s="6937" t="b">
        <f t="shared" si="213"/>
        <v>1</v>
      </c>
      <c r="BA191" s="6937" t="b">
        <f t="shared" si="213"/>
        <v>1</v>
      </c>
      <c r="BB191" s="6937" t="b">
        <f t="shared" si="213"/>
        <v>1</v>
      </c>
      <c r="BC191" s="6938" t="b">
        <f t="shared" si="213"/>
        <v>1</v>
      </c>
      <c r="BD191" s="6939" t="b">
        <f t="shared" si="213"/>
        <v>1</v>
      </c>
      <c r="BE191" s="6939" t="b">
        <f t="shared" si="213"/>
        <v>1</v>
      </c>
      <c r="BF191" s="6939" t="b">
        <f t="shared" si="213"/>
        <v>1</v>
      </c>
      <c r="BG191" s="6939" t="b">
        <f t="shared" si="213"/>
        <v>1</v>
      </c>
      <c r="BH191" s="6939" t="b">
        <f t="shared" si="213"/>
        <v>1</v>
      </c>
      <c r="BI191" s="6939" t="b">
        <f t="shared" si="213"/>
        <v>1</v>
      </c>
      <c r="BJ191" s="6939" t="b">
        <f t="shared" si="213"/>
        <v>1</v>
      </c>
      <c r="BK191" s="6939" t="b">
        <f t="shared" si="213"/>
        <v>1</v>
      </c>
      <c r="BL191" s="6939" t="b">
        <f t="shared" si="213"/>
        <v>1</v>
      </c>
      <c r="BM191" s="6939" t="b">
        <f t="shared" si="213"/>
        <v>1</v>
      </c>
      <c r="BN191" s="6939" t="b">
        <f t="shared" si="213"/>
        <v>1</v>
      </c>
      <c r="BO191" s="6939" t="b">
        <f>BO138=SUM(BO139:BO143)</f>
        <v>1</v>
      </c>
      <c r="BP191" s="6939"/>
      <c r="BQ191" s="6939" t="b">
        <f t="shared" ref="BQ191:CA191" si="214">BQ138=SUM(BQ139:BQ143)</f>
        <v>1</v>
      </c>
      <c r="BR191" s="6940" t="b">
        <f t="shared" si="214"/>
        <v>1</v>
      </c>
      <c r="BS191" s="6939" t="b">
        <f t="shared" si="214"/>
        <v>1</v>
      </c>
      <c r="BT191" s="6939" t="b">
        <f t="shared" si="214"/>
        <v>1</v>
      </c>
      <c r="BU191" s="6939" t="b">
        <f t="shared" si="214"/>
        <v>1</v>
      </c>
      <c r="BV191" s="6939" t="b">
        <f t="shared" si="214"/>
        <v>1</v>
      </c>
      <c r="BW191" s="6939" t="b">
        <f t="shared" si="214"/>
        <v>1</v>
      </c>
      <c r="BX191" s="6939" t="b">
        <f t="shared" si="214"/>
        <v>1</v>
      </c>
      <c r="BY191" s="6939" t="b">
        <f t="shared" si="214"/>
        <v>1</v>
      </c>
      <c r="BZ191" s="6939" t="b">
        <f t="shared" si="214"/>
        <v>1</v>
      </c>
      <c r="CA191" s="6939" t="b">
        <f t="shared" si="214"/>
        <v>1</v>
      </c>
      <c r="CB191" s="6939" t="b">
        <f>CB138=SUM(CB139:CB143)</f>
        <v>1</v>
      </c>
      <c r="CC191" s="6941"/>
      <c r="CD191" s="6942"/>
      <c r="CE191" s="6943" t="b">
        <f>ROUND(CE138,1)=ROUND(SUM(CE139:CE143),1)</f>
        <v>1</v>
      </c>
      <c r="CF191" s="6944" t="b">
        <f>ROUND(CF138,1)=ROUND(SUM(CF139:CF143),1)</f>
        <v>1</v>
      </c>
      <c r="CG191" s="2892"/>
    </row>
  </sheetData>
  <mergeCells count="8">
    <mergeCell ref="A168:D168"/>
    <mergeCell ref="R176:AC176"/>
    <mergeCell ref="CH3:CK3"/>
    <mergeCell ref="A4:D4"/>
    <mergeCell ref="R45:AC45"/>
    <mergeCell ref="R88:AC88"/>
    <mergeCell ref="BD167:CF167"/>
    <mergeCell ref="D77:E77"/>
  </mergeCells>
  <phoneticPr fontId="1" type="noConversion"/>
  <conditionalFormatting sqref="F181:AC181 CE184:CG191 F184:BP191">
    <cfRule type="cellIs" dxfId="19" priority="7" operator="equal">
      <formula>FALSE</formula>
    </cfRule>
  </conditionalFormatting>
  <conditionalFormatting sqref="F176:Q176 AD176:BP176 F169:BP175 F177:BP182 CE169:CG182 CC175:CC179 CC169:CC173">
    <cfRule type="cellIs" dxfId="18" priority="6" operator="equal">
      <formula>FALSE</formula>
    </cfRule>
  </conditionalFormatting>
  <conditionalFormatting sqref="BO26:BP27">
    <cfRule type="containsBlanks" dxfId="17" priority="4">
      <formula>LEN(TRIM(BO26))=0</formula>
    </cfRule>
  </conditionalFormatting>
  <conditionalFormatting sqref="BQ184:CB191">
    <cfRule type="cellIs" dxfId="16" priority="3" operator="equal">
      <formula>FALSE</formula>
    </cfRule>
  </conditionalFormatting>
  <conditionalFormatting sqref="BQ169:CB182">
    <cfRule type="cellIs" dxfId="15" priority="2" operator="equal">
      <formula>FALSE</formula>
    </cfRule>
  </conditionalFormatting>
  <pageMargins left="0.23622047244094491" right="0.23622047244094491" top="0.74803149606299213" bottom="0.74803149606299213" header="0.31496062992125984" footer="0.31496062992125984"/>
  <pageSetup paperSize="9" scale="28" fitToWidth="0" pageOrder="overThenDown" orientation="landscape" r:id="rId1"/>
  <colBreaks count="1" manualBreakCount="1">
    <brk id="83" max="157" man="1"/>
  </colBreaks>
  <ignoredErrors>
    <ignoredError sqref="CJ8 CI85:CJ86 CJ20 CI37:CJ37 CJ51 CJ16 CJ17 CJ18 CJ19 CI22:CJ22 CI23:CJ23 CI24:CJ24 CI25:CJ25 CI26:CJ26 CI27:CJ27 CI28:CJ28 CI29:CJ29 CI30:CJ30 CI31:CJ31 CI32:CJ32 CI33:CJ33 CI34:CJ34 CI35:CJ35 CI36:CJ36 CI80:CJ80 CI81:CJ81 CI82:CJ82 CI84:CJ84 CI90:CK90 CI87:CJ87 CI88:CJ88 CI89:CJ89 CI145:CJ145 CI91:CJ91 CI92:CJ92 CI93:CJ93 CI94:CJ94 CI95:CJ95 CI96:CJ96 CI97:CJ97 CI98:CJ98 CI99:CJ99 CI100:CJ100 CI101:CJ101 CI102:CJ102 CI103:CJ103 CI104:CJ104 CI105:CJ105 CI106:CJ106 CI107:CJ107 CI108:CJ108 CI109:CJ109 CI110:CJ110 CI111:CJ111 CI112:CJ112 CI113:CJ113 CI114:CJ114 CI115:CJ115 CI116:CJ116 CI117:CJ117 CI118:CJ118 CI119:CJ119 CI120:CJ120 CI121:CJ121 CI122:CJ122 CI123:CJ123 CI124:CJ124 CI125:CJ125 CI126:CJ126 CI127:CJ127 CI128:CJ128 CI129:CJ129 CI130:CJ130 CI131:CJ131 CI132:CJ132 CI135:CJ135 CI136:CJ136 CI137:CJ137 CI138:CJ138 CI139:CJ139 CI140:CJ140 CI141:CJ141 CI142:CJ142 CI143:CJ143 CI144:CJ14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6608-F032-4244-BC96-D458BE4B0578}">
  <sheetPr codeName="Sheet20">
    <tabColor theme="7" tint="0.79998168889431442"/>
  </sheetPr>
  <dimension ref="A1:BO355"/>
  <sheetViews>
    <sheetView showGridLines="0" zoomScale="55" zoomScaleNormal="55" workbookViewId="0">
      <pane xSplit="4" ySplit="3" topLeftCell="AV4" activePane="bottomRight" state="frozen"/>
      <selection activeCell="K16" sqref="K16:O16"/>
      <selection pane="topRight" activeCell="K16" sqref="K16:O16"/>
      <selection pane="bottomLeft" activeCell="K16" sqref="K16:O16"/>
      <selection pane="bottomRight" activeCell="BR6" sqref="BR6"/>
    </sheetView>
  </sheetViews>
  <sheetFormatPr defaultRowHeight="17.600000000000001" outlineLevelCol="1" x14ac:dyDescent="0.55000000000000004"/>
  <cols>
    <col min="1" max="1" width="15.5703125" customWidth="1"/>
    <col min="2" max="2" width="7.140625" customWidth="1"/>
    <col min="3" max="3" width="12.42578125" customWidth="1"/>
    <col min="4" max="4" width="12.42578125" hidden="1" customWidth="1"/>
    <col min="5" max="16" width="10.35546875" hidden="1" customWidth="1" outlineLevel="1"/>
    <col min="17" max="17" width="10.35546875" customWidth="1" collapsed="1"/>
    <col min="18" max="18" width="10.35546875" customWidth="1"/>
    <col min="19" max="29" width="10.35546875" customWidth="1" outlineLevel="1"/>
    <col min="30" max="30" width="14.35546875" customWidth="1" outlineLevel="1"/>
    <col min="31" max="31" width="12" customWidth="1"/>
    <col min="32" max="32" width="10.35546875" customWidth="1"/>
    <col min="33" max="33" width="1.92578125" style="190" customWidth="1"/>
    <col min="34" max="38" width="10.35546875" customWidth="1" outlineLevel="1"/>
    <col min="39" max="39" width="10.5" customWidth="1" outlineLevel="1"/>
    <col min="40" max="41" width="10.85546875" customWidth="1" outlineLevel="1"/>
    <col min="42" max="42" width="10" customWidth="1" outlineLevel="1"/>
    <col min="43" max="43" width="11.7109375" customWidth="1" outlineLevel="1"/>
    <col min="44" max="44" width="10.92578125" customWidth="1" outlineLevel="1"/>
    <col min="45" max="45" width="15.2109375" customWidth="1" outlineLevel="1"/>
    <col min="46" max="47" width="10.92578125" bestFit="1" customWidth="1"/>
    <col min="48" max="48" width="1.92578125" style="190" customWidth="1"/>
    <col min="49" max="54" width="12.2109375" customWidth="1" outlineLevel="1"/>
    <col min="55" max="56" width="10.85546875" customWidth="1" outlineLevel="1"/>
    <col min="57" max="57" width="10.7109375" customWidth="1" outlineLevel="1"/>
    <col min="58" max="58" width="11.7109375" customWidth="1" outlineLevel="1"/>
    <col min="59" max="59" width="10.92578125" customWidth="1" outlineLevel="1"/>
    <col min="60" max="60" width="10.5703125" customWidth="1" outlineLevel="1"/>
    <col min="61" max="62" width="10.92578125" bestFit="1" customWidth="1"/>
    <col min="64" max="66" width="14.42578125" customWidth="1"/>
    <col min="67" max="67" width="13.7109375" customWidth="1"/>
  </cols>
  <sheetData>
    <row r="1" spans="1:67" x14ac:dyDescent="0.55000000000000004">
      <c r="AH1" s="317"/>
      <c r="AI1" s="317"/>
      <c r="AJ1" s="317"/>
      <c r="AK1" s="317"/>
      <c r="AL1" s="317"/>
      <c r="AW1" s="317"/>
      <c r="AX1" s="317"/>
      <c r="AY1" s="317"/>
      <c r="AZ1" s="317"/>
      <c r="BA1" s="317"/>
      <c r="BN1" s="318" t="s">
        <v>473</v>
      </c>
    </row>
    <row r="2" spans="1:67" x14ac:dyDescent="0.55000000000000004">
      <c r="A2" s="196">
        <f>'2-(1) 수수료 기준_가입자(무선)'!A1</f>
        <v>12.000999999999999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42"/>
      <c r="P2" s="3"/>
      <c r="Q2" s="3"/>
      <c r="R2" s="3"/>
      <c r="S2" s="782">
        <v>1.0009999999999999</v>
      </c>
      <c r="T2" s="782">
        <v>2.0009999999999999</v>
      </c>
      <c r="U2" s="782">
        <v>3.0009999999999999</v>
      </c>
      <c r="V2" s="782">
        <v>4.0010000000000003</v>
      </c>
      <c r="W2" s="782">
        <v>5.0010000000000003</v>
      </c>
      <c r="X2" s="782">
        <v>6.0010000000000003</v>
      </c>
      <c r="Y2" s="782">
        <v>7.0010000000000003</v>
      </c>
      <c r="Z2" s="782">
        <v>8.0009999999999994</v>
      </c>
      <c r="AA2" s="782">
        <v>9.0009999999999994</v>
      </c>
      <c r="AB2" s="782">
        <v>10.000999999999999</v>
      </c>
      <c r="AC2" s="782">
        <v>11.000999999999999</v>
      </c>
      <c r="AD2" s="782">
        <v>12.000999999999999</v>
      </c>
      <c r="AE2" s="3"/>
      <c r="AF2" s="3"/>
      <c r="AG2" s="754"/>
      <c r="AH2" s="782">
        <v>1.0009999999999999</v>
      </c>
      <c r="AI2" s="782">
        <v>2.0009999999999999</v>
      </c>
      <c r="AJ2" s="782">
        <v>3.0009999999999999</v>
      </c>
      <c r="AK2" s="782">
        <v>4.0010000000000003</v>
      </c>
      <c r="AL2" s="782">
        <v>5.0010000000000003</v>
      </c>
      <c r="AM2" s="782">
        <v>6.0010000000000003</v>
      </c>
      <c r="AN2" s="782">
        <v>7.0010000000000003</v>
      </c>
      <c r="AO2" s="782">
        <v>8.0009999999999994</v>
      </c>
      <c r="AP2" s="782">
        <v>9.0009999999999994</v>
      </c>
      <c r="AQ2" s="782">
        <v>10.000999999999999</v>
      </c>
      <c r="AR2" s="782">
        <v>11.000999999999999</v>
      </c>
      <c r="AS2" s="782">
        <v>12.000999999999999</v>
      </c>
      <c r="AV2" s="754"/>
      <c r="AW2" s="782">
        <v>1.0009999999999999</v>
      </c>
      <c r="AX2" s="782">
        <v>2.0009999999999999</v>
      </c>
      <c r="AY2" s="782">
        <v>3.0009999999999999</v>
      </c>
      <c r="AZ2" s="782">
        <v>4.0010000000000003</v>
      </c>
      <c r="BA2" s="782">
        <v>5.0010000000000003</v>
      </c>
      <c r="BB2" s="782">
        <v>6.0010000000000003</v>
      </c>
      <c r="BC2" s="782">
        <v>7.0010000000000003</v>
      </c>
      <c r="BD2" s="782">
        <v>8.0009999999999994</v>
      </c>
      <c r="BE2" s="782">
        <v>9.0009999999999994</v>
      </c>
      <c r="BF2" s="782">
        <v>10.000999999999999</v>
      </c>
      <c r="BG2" s="782">
        <v>11.000999999999999</v>
      </c>
      <c r="BH2" s="782">
        <v>12.000999999999999</v>
      </c>
    </row>
    <row r="3" spans="1:67" ht="18" thickBot="1" x14ac:dyDescent="0.6">
      <c r="A3" s="3" t="s">
        <v>157</v>
      </c>
      <c r="B3" s="4"/>
      <c r="C3" s="4"/>
      <c r="D3" s="38" t="s">
        <v>499</v>
      </c>
      <c r="E3" s="6" t="s">
        <v>500</v>
      </c>
      <c r="F3" s="443" t="s">
        <v>501</v>
      </c>
      <c r="G3" s="443" t="s">
        <v>502</v>
      </c>
      <c r="H3" s="443" t="s">
        <v>503</v>
      </c>
      <c r="I3" s="443" t="s">
        <v>504</v>
      </c>
      <c r="J3" s="443" t="s">
        <v>505</v>
      </c>
      <c r="K3" s="443" t="s">
        <v>506</v>
      </c>
      <c r="L3" s="443" t="s">
        <v>507</v>
      </c>
      <c r="M3" s="443" t="s">
        <v>508</v>
      </c>
      <c r="N3" s="443" t="s">
        <v>509</v>
      </c>
      <c r="O3" s="443" t="s">
        <v>510</v>
      </c>
      <c r="P3" s="443" t="s">
        <v>511</v>
      </c>
      <c r="Q3" s="443" t="s">
        <v>526</v>
      </c>
      <c r="R3" s="443" t="s">
        <v>527</v>
      </c>
      <c r="S3" s="6" t="s">
        <v>512</v>
      </c>
      <c r="T3" s="443" t="s">
        <v>513</v>
      </c>
      <c r="U3" s="443" t="s">
        <v>514</v>
      </c>
      <c r="V3" s="443" t="s">
        <v>515</v>
      </c>
      <c r="W3" s="443" t="s">
        <v>516</v>
      </c>
      <c r="X3" s="443" t="s">
        <v>517</v>
      </c>
      <c r="Y3" s="443" t="s">
        <v>518</v>
      </c>
      <c r="Z3" s="443" t="s">
        <v>519</v>
      </c>
      <c r="AA3" s="443" t="s">
        <v>520</v>
      </c>
      <c r="AB3" s="443" t="s">
        <v>521</v>
      </c>
      <c r="AC3" s="443" t="s">
        <v>522</v>
      </c>
      <c r="AD3" s="443" t="s">
        <v>523</v>
      </c>
      <c r="AE3" s="443" t="s">
        <v>530</v>
      </c>
      <c r="AF3" s="443" t="s">
        <v>531</v>
      </c>
      <c r="AG3" s="755"/>
      <c r="AH3" s="6" t="s">
        <v>524</v>
      </c>
      <c r="AI3" s="443" t="s">
        <v>3</v>
      </c>
      <c r="AJ3" s="443" t="s">
        <v>525</v>
      </c>
      <c r="AK3" s="443" t="s">
        <v>358</v>
      </c>
      <c r="AL3" s="443" t="s">
        <v>359</v>
      </c>
      <c r="AM3" s="443" t="s">
        <v>360</v>
      </c>
      <c r="AN3" s="443" t="s">
        <v>361</v>
      </c>
      <c r="AO3" s="443" t="s">
        <v>362</v>
      </c>
      <c r="AP3" s="443" t="s">
        <v>363</v>
      </c>
      <c r="AQ3" s="443" t="s">
        <v>364</v>
      </c>
      <c r="AR3" s="443" t="s">
        <v>365</v>
      </c>
      <c r="AS3" s="443" t="s">
        <v>366</v>
      </c>
      <c r="AT3" s="443" t="s">
        <v>528</v>
      </c>
      <c r="AU3" s="443" t="s">
        <v>529</v>
      </c>
      <c r="AV3" s="755"/>
      <c r="AW3" s="6" t="s">
        <v>1021</v>
      </c>
      <c r="AX3" s="443" t="s">
        <v>1023</v>
      </c>
      <c r="AY3" s="443" t="s">
        <v>1024</v>
      </c>
      <c r="AZ3" s="443" t="s">
        <v>1025</v>
      </c>
      <c r="BA3" s="443" t="s">
        <v>1026</v>
      </c>
      <c r="BB3" s="443" t="s">
        <v>1027</v>
      </c>
      <c r="BC3" s="443" t="s">
        <v>1028</v>
      </c>
      <c r="BD3" s="443" t="s">
        <v>1029</v>
      </c>
      <c r="BE3" s="443" t="s">
        <v>1030</v>
      </c>
      <c r="BF3" s="443" t="s">
        <v>1031</v>
      </c>
      <c r="BG3" s="443" t="s">
        <v>1032</v>
      </c>
      <c r="BH3" s="443" t="s">
        <v>1033</v>
      </c>
      <c r="BI3" s="443" t="s">
        <v>1034</v>
      </c>
      <c r="BJ3" s="443" t="s">
        <v>1035</v>
      </c>
      <c r="BL3" s="316" t="s">
        <v>464</v>
      </c>
      <c r="BM3" s="316" t="s">
        <v>465</v>
      </c>
      <c r="BN3" s="319" t="s">
        <v>471</v>
      </c>
      <c r="BO3" s="316" t="s">
        <v>133</v>
      </c>
    </row>
    <row r="4" spans="1:67" x14ac:dyDescent="0.55000000000000004">
      <c r="A4" s="7095" t="s">
        <v>400</v>
      </c>
      <c r="B4" s="41" t="s">
        <v>44</v>
      </c>
      <c r="C4" s="16"/>
      <c r="D4" s="444">
        <f>D13+D23</f>
        <v>1799300</v>
      </c>
      <c r="E4" s="445">
        <f>E13+E23</f>
        <v>1782553</v>
      </c>
      <c r="F4" s="444">
        <f t="shared" ref="F4:P4" si="0">F13+F23</f>
        <v>1798072</v>
      </c>
      <c r="G4" s="444">
        <f t="shared" si="0"/>
        <v>1800011</v>
      </c>
      <c r="H4" s="444">
        <f t="shared" si="0"/>
        <v>1804393</v>
      </c>
      <c r="I4" s="444">
        <f t="shared" si="0"/>
        <v>1810221</v>
      </c>
      <c r="J4" s="444">
        <f t="shared" si="0"/>
        <v>1862310</v>
      </c>
      <c r="K4" s="444">
        <f t="shared" si="0"/>
        <v>1864291</v>
      </c>
      <c r="L4" s="444">
        <f t="shared" si="0"/>
        <v>1860439</v>
      </c>
      <c r="M4" s="444">
        <f t="shared" si="0"/>
        <v>1901176</v>
      </c>
      <c r="N4" s="444">
        <f t="shared" si="0"/>
        <v>1911711</v>
      </c>
      <c r="O4" s="444">
        <f t="shared" si="0"/>
        <v>1912051</v>
      </c>
      <c r="P4" s="444">
        <f t="shared" si="0"/>
        <v>1934596</v>
      </c>
      <c r="Q4" s="444">
        <f>P4</f>
        <v>1934596</v>
      </c>
      <c r="R4" s="444">
        <f>AVERAGE(E4:P4)</f>
        <v>1853485.3333333333</v>
      </c>
      <c r="S4" s="445">
        <f>S13+S23</f>
        <v>1918519</v>
      </c>
      <c r="T4" s="444">
        <f t="shared" ref="T4:AD4" si="1">T13+T23</f>
        <v>1920181</v>
      </c>
      <c r="U4" s="444">
        <f t="shared" si="1"/>
        <v>1938092</v>
      </c>
      <c r="V4" s="444">
        <f t="shared" si="1"/>
        <v>1942400</v>
      </c>
      <c r="W4" s="444">
        <f t="shared" si="1"/>
        <v>1939416</v>
      </c>
      <c r="X4" s="444">
        <f t="shared" si="1"/>
        <v>1936240</v>
      </c>
      <c r="Y4" s="444">
        <f t="shared" si="1"/>
        <v>1931322</v>
      </c>
      <c r="Z4" s="444">
        <f t="shared" si="1"/>
        <v>1927955</v>
      </c>
      <c r="AA4" s="444">
        <f t="shared" si="1"/>
        <v>1923583</v>
      </c>
      <c r="AB4" s="444">
        <f t="shared" si="1"/>
        <v>1923969</v>
      </c>
      <c r="AC4" s="444">
        <f t="shared" si="1"/>
        <v>1918160</v>
      </c>
      <c r="AD4" s="444">
        <f t="shared" si="1"/>
        <v>1911006</v>
      </c>
      <c r="AE4" s="444">
        <f>AD4</f>
        <v>1911006</v>
      </c>
      <c r="AF4" s="444">
        <f>AVERAGE(S4:AD4)</f>
        <v>1927570.25</v>
      </c>
      <c r="AG4" s="444"/>
      <c r="AH4" s="2344">
        <v>1911765</v>
      </c>
      <c r="AI4" s="2263">
        <v>1907527</v>
      </c>
      <c r="AJ4" s="2263">
        <v>1900105</v>
      </c>
      <c r="AK4" s="2263">
        <v>1891951</v>
      </c>
      <c r="AL4" s="2263">
        <v>1884591</v>
      </c>
      <c r="AM4" s="2263">
        <v>1880855</v>
      </c>
      <c r="AN4" s="2263">
        <v>1878067</v>
      </c>
      <c r="AO4" s="2263">
        <v>1874881</v>
      </c>
      <c r="AP4" s="2263">
        <v>1870904</v>
      </c>
      <c r="AQ4" s="2263">
        <v>1855279</v>
      </c>
      <c r="AR4" s="2263">
        <v>1839193</v>
      </c>
      <c r="AS4" s="444">
        <v>1822479</v>
      </c>
      <c r="AT4" s="444">
        <f>INDEX($AH4:$AS4, 1, MATCH(0, $AH4:$AS4, -1))</f>
        <v>1822479</v>
      </c>
      <c r="AU4" s="444">
        <f>AVERAGE(AH4:AS4)</f>
        <v>1876466.4166666667</v>
      </c>
      <c r="AV4" s="444"/>
      <c r="AW4" s="445">
        <v>1803580</v>
      </c>
      <c r="AX4" s="444">
        <v>1790204</v>
      </c>
      <c r="AY4" s="444">
        <v>1775190</v>
      </c>
      <c r="AZ4" s="2263">
        <v>1765612</v>
      </c>
      <c r="BA4" s="444">
        <v>1782731</v>
      </c>
      <c r="BB4" s="444">
        <v>1768469</v>
      </c>
      <c r="BC4" s="444">
        <v>1759997</v>
      </c>
      <c r="BD4" s="444">
        <v>1735190</v>
      </c>
      <c r="BE4" s="444">
        <v>1717237</v>
      </c>
      <c r="BF4" s="444">
        <v>1693616</v>
      </c>
      <c r="BG4" s="444">
        <v>1672289</v>
      </c>
      <c r="BH4" s="444">
        <v>1647799</v>
      </c>
      <c r="BI4" s="444">
        <f>INDEX($AW4:$BH4, 1, MATCH(0, $AW4:$BH4, -1))</f>
        <v>1647799</v>
      </c>
      <c r="BJ4" s="444">
        <f>AVERAGE(AW4:BH4)</f>
        <v>1742659.5</v>
      </c>
      <c r="BL4" s="317">
        <f>HLOOKUP($A$2,$AW$2:$BH$400,ROW()-1,0)-HLOOKUP($A$2,$AH$2:$AS$400,ROW()-1,0)</f>
        <v>-174680</v>
      </c>
      <c r="BM4" s="317">
        <f>BJ4-AU4</f>
        <v>-133806.91666666674</v>
      </c>
      <c r="BN4" s="759">
        <f>HLOOKUP($A$2,$AW$2:$BH$400,ROW()-1,0)-HLOOKUP($A$2,$AH$2:$AS$400,ROW()-1,0)</f>
        <v>-174680</v>
      </c>
      <c r="BO4" s="594">
        <f>HLOOKUP($A$2,$AW$2:$BH$400,ROW()-1,0)-HLOOKUP(ROUND((VALUE($A$2)-1),3),$AW$2:$BH$400,ROW()-1,0)</f>
        <v>-24490</v>
      </c>
    </row>
    <row r="5" spans="1:67" x14ac:dyDescent="0.55000000000000004">
      <c r="A5" s="7096"/>
      <c r="B5" s="446" t="s">
        <v>57</v>
      </c>
      <c r="C5" s="447"/>
      <c r="D5" s="286">
        <f t="shared" ref="D5:P5" si="2">D14+D24</f>
        <v>0</v>
      </c>
      <c r="E5" s="285">
        <f t="shared" si="2"/>
        <v>50955</v>
      </c>
      <c r="F5" s="286">
        <f t="shared" si="2"/>
        <v>60715</v>
      </c>
      <c r="G5" s="286">
        <f t="shared" si="2"/>
        <v>55334</v>
      </c>
      <c r="H5" s="286">
        <f t="shared" si="2"/>
        <v>55246</v>
      </c>
      <c r="I5" s="286">
        <f>I14+I24</f>
        <v>57823</v>
      </c>
      <c r="J5" s="286">
        <f t="shared" si="2"/>
        <v>55801</v>
      </c>
      <c r="K5" s="286">
        <f t="shared" si="2"/>
        <v>49956</v>
      </c>
      <c r="L5" s="286">
        <f t="shared" si="2"/>
        <v>64094</v>
      </c>
      <c r="M5" s="286">
        <f t="shared" si="2"/>
        <v>47731</v>
      </c>
      <c r="N5" s="286">
        <f t="shared" si="2"/>
        <v>71376</v>
      </c>
      <c r="O5" s="286">
        <f t="shared" si="2"/>
        <v>49014</v>
      </c>
      <c r="P5" s="286">
        <f t="shared" si="2"/>
        <v>39837</v>
      </c>
      <c r="Q5" s="286">
        <f>SUM(E5:P5)</f>
        <v>657882</v>
      </c>
      <c r="R5" s="286">
        <f>Q5/12</f>
        <v>54823.5</v>
      </c>
      <c r="S5" s="285">
        <v>44833</v>
      </c>
      <c r="T5" s="286">
        <v>58018</v>
      </c>
      <c r="U5" s="286">
        <v>45975</v>
      </c>
      <c r="V5" s="286">
        <v>42289</v>
      </c>
      <c r="W5" s="286">
        <v>46787</v>
      </c>
      <c r="X5" s="286">
        <v>43236</v>
      </c>
      <c r="Y5" s="286">
        <v>42744</v>
      </c>
      <c r="Z5" s="286">
        <v>62567</v>
      </c>
      <c r="AA5" s="286">
        <v>39419</v>
      </c>
      <c r="AB5" s="286">
        <v>70467</v>
      </c>
      <c r="AC5" s="286">
        <v>41324</v>
      </c>
      <c r="AD5" s="286">
        <v>34632</v>
      </c>
      <c r="AE5" s="286">
        <f>SUM(S5:AD5)</f>
        <v>572291</v>
      </c>
      <c r="AF5" s="286">
        <f>AE5/12</f>
        <v>47690.916666666664</v>
      </c>
      <c r="AG5" s="286"/>
      <c r="AH5" s="1530">
        <v>60465</v>
      </c>
      <c r="AI5" s="1529">
        <v>44118</v>
      </c>
      <c r="AJ5" s="1529">
        <v>46236</v>
      </c>
      <c r="AK5" s="1529">
        <v>47834</v>
      </c>
      <c r="AL5" s="1529">
        <v>49112</v>
      </c>
      <c r="AM5" s="1529">
        <v>44044</v>
      </c>
      <c r="AN5" s="1529">
        <v>61054.999999999993</v>
      </c>
      <c r="AO5" s="1529">
        <v>47733</v>
      </c>
      <c r="AP5" s="1529">
        <v>67427</v>
      </c>
      <c r="AQ5" s="1529">
        <v>61530</v>
      </c>
      <c r="AR5" s="1529">
        <v>48015</v>
      </c>
      <c r="AS5" s="286">
        <v>41108</v>
      </c>
      <c r="AT5" s="286">
        <f>SUM(AH5:AS5)</f>
        <v>618677</v>
      </c>
      <c r="AU5" s="286">
        <f t="shared" ref="AU5:AU38" si="3">AVERAGE(AH5:AS5)</f>
        <v>51556.416666666664</v>
      </c>
      <c r="AV5" s="286"/>
      <c r="AW5" s="285">
        <v>38822</v>
      </c>
      <c r="AX5" s="1529">
        <v>74843</v>
      </c>
      <c r="AY5" s="1529">
        <v>50688</v>
      </c>
      <c r="AZ5" s="1529">
        <v>64086</v>
      </c>
      <c r="BA5" s="1529">
        <v>98908</v>
      </c>
      <c r="BB5" s="1529">
        <v>63565</v>
      </c>
      <c r="BC5" s="1529">
        <v>95972</v>
      </c>
      <c r="BD5" s="1529">
        <v>57549</v>
      </c>
      <c r="BE5" s="1529">
        <v>76227</v>
      </c>
      <c r="BF5" s="286">
        <v>62495</v>
      </c>
      <c r="BG5" s="286">
        <v>52601</v>
      </c>
      <c r="BH5" s="1529">
        <v>52735</v>
      </c>
      <c r="BI5" s="286">
        <f t="shared" ref="BI5:BI12" si="4">SUM(AW5:BH5)</f>
        <v>788491</v>
      </c>
      <c r="BJ5" s="286">
        <f t="shared" ref="BJ5:BJ38" si="5">AVERAGE(AW5:BH5)</f>
        <v>65707.583333333328</v>
      </c>
      <c r="BL5" s="317">
        <f t="shared" ref="BL5:BL38" si="6">HLOOKUP($A$2,$AW$2:$BH$400,ROW()-1,0)-HLOOKUP($A$2,$AH$2:$AS$400,ROW()-1,0)</f>
        <v>11627</v>
      </c>
      <c r="BM5" s="317">
        <f>BJ5-AU5</f>
        <v>14151.166666666664</v>
      </c>
      <c r="BN5" s="317">
        <f>BI5-SUM(AH5:AR5)</f>
        <v>210922</v>
      </c>
      <c r="BO5" s="594">
        <f t="shared" ref="BO5:BO38" si="7">HLOOKUP($A$2,$AW$2:$BH$400,ROW()-1,0)-HLOOKUP(ROUND((VALUE($A$2)-1),3),$AW$2:$BH$400,ROW()-1,0)</f>
        <v>134</v>
      </c>
    </row>
    <row r="6" spans="1:67" x14ac:dyDescent="0.55000000000000004">
      <c r="A6" s="7096"/>
      <c r="C6" t="s">
        <v>47</v>
      </c>
      <c r="D6" s="448"/>
      <c r="E6" s="287">
        <v>19297</v>
      </c>
      <c r="F6" s="288">
        <v>19144</v>
      </c>
      <c r="G6" s="288">
        <v>20698</v>
      </c>
      <c r="H6" s="288">
        <v>17541</v>
      </c>
      <c r="I6" s="288">
        <v>19365</v>
      </c>
      <c r="J6" s="288">
        <v>17053</v>
      </c>
      <c r="K6" s="288">
        <v>16148</v>
      </c>
      <c r="L6" s="288">
        <v>16035</v>
      </c>
      <c r="M6" s="288">
        <v>18739</v>
      </c>
      <c r="N6" s="288">
        <v>21559</v>
      </c>
      <c r="O6" s="288">
        <v>17952</v>
      </c>
      <c r="P6" s="288">
        <v>14762</v>
      </c>
      <c r="Q6" s="288">
        <f t="shared" ref="Q6:Q12" si="8">SUM(E6:P6)</f>
        <v>218293</v>
      </c>
      <c r="R6" s="288">
        <f t="shared" ref="R6:R12" si="9">Q6/12</f>
        <v>18191.083333333332</v>
      </c>
      <c r="S6" s="287">
        <v>16090</v>
      </c>
      <c r="T6" s="288">
        <v>17248</v>
      </c>
      <c r="U6" s="288">
        <v>16498</v>
      </c>
      <c r="V6" s="288">
        <v>13932</v>
      </c>
      <c r="W6" s="288">
        <v>16998</v>
      </c>
      <c r="X6" s="288">
        <v>15967</v>
      </c>
      <c r="Y6" s="288">
        <v>16709</v>
      </c>
      <c r="Z6" s="288">
        <v>18212</v>
      </c>
      <c r="AA6" s="288">
        <v>15262</v>
      </c>
      <c r="AB6" s="288">
        <v>17402</v>
      </c>
      <c r="AC6" s="288">
        <v>14939</v>
      </c>
      <c r="AD6" s="288">
        <v>13084</v>
      </c>
      <c r="AE6" s="288">
        <f t="shared" ref="AE6:AE12" si="10">SUM(S6:AD6)</f>
        <v>192341</v>
      </c>
      <c r="AF6" s="288">
        <f t="shared" ref="AF6:AF12" si="11">AE6/12</f>
        <v>16028.416666666666</v>
      </c>
      <c r="AG6" s="288"/>
      <c r="AH6" s="1528">
        <v>21158</v>
      </c>
      <c r="AI6" s="1527">
        <v>18812</v>
      </c>
      <c r="AJ6" s="1527">
        <v>21166</v>
      </c>
      <c r="AK6" s="1527">
        <v>20382</v>
      </c>
      <c r="AL6" s="1527">
        <v>23263</v>
      </c>
      <c r="AM6" s="1527">
        <v>21034</v>
      </c>
      <c r="AN6" s="1527">
        <v>21255</v>
      </c>
      <c r="AO6" s="1527">
        <v>19773</v>
      </c>
      <c r="AP6" s="1527">
        <v>18965</v>
      </c>
      <c r="AQ6" s="1527">
        <v>20062</v>
      </c>
      <c r="AR6" s="1527">
        <v>19262</v>
      </c>
      <c r="AS6" s="288">
        <v>0</v>
      </c>
      <c r="AT6" s="288">
        <f t="shared" ref="AT6:AT12" si="12">SUM(AH6:AS6)</f>
        <v>225132</v>
      </c>
      <c r="AU6" s="288">
        <f t="shared" si="3"/>
        <v>18761</v>
      </c>
      <c r="AV6" s="288"/>
      <c r="AW6" s="287">
        <v>17134</v>
      </c>
      <c r="AX6" s="1527">
        <v>24904</v>
      </c>
      <c r="AY6" s="1527">
        <v>21688</v>
      </c>
      <c r="AZ6" s="1527">
        <v>34019</v>
      </c>
      <c r="BA6" s="1527">
        <v>68004</v>
      </c>
      <c r="BB6" s="1527">
        <v>33265</v>
      </c>
      <c r="BC6" s="1527">
        <v>49066</v>
      </c>
      <c r="BD6" s="1527">
        <v>21066</v>
      </c>
      <c r="BE6" s="1527">
        <v>23055</v>
      </c>
      <c r="BF6" s="288">
        <v>19985</v>
      </c>
      <c r="BG6" s="288">
        <v>21481</v>
      </c>
      <c r="BH6" s="1527">
        <v>21980</v>
      </c>
      <c r="BI6" s="288">
        <f t="shared" si="4"/>
        <v>355647</v>
      </c>
      <c r="BJ6" s="288">
        <f t="shared" si="5"/>
        <v>29637.25</v>
      </c>
      <c r="BL6" s="317">
        <f>HLOOKUP($A$2,$AW$2:$BH$400,ROW()-1,0)-HLOOKUP($A$2,$AH$2:$AS$400,ROW()-1,0)</f>
        <v>21980</v>
      </c>
      <c r="BM6" s="317">
        <f t="shared" ref="BM6:BM38" si="13">BJ6-AU6</f>
        <v>10876.25</v>
      </c>
      <c r="BN6" s="317">
        <f t="shared" ref="BN6:BN12" si="14">BI6-SUM(AH6:AR6)</f>
        <v>130515</v>
      </c>
      <c r="BO6" s="594">
        <f t="shared" si="7"/>
        <v>499</v>
      </c>
    </row>
    <row r="7" spans="1:67" x14ac:dyDescent="0.55000000000000004">
      <c r="A7" s="7096"/>
      <c r="C7" t="s">
        <v>56</v>
      </c>
      <c r="D7" s="448"/>
      <c r="E7" s="287">
        <v>31658</v>
      </c>
      <c r="F7" s="288">
        <v>41571</v>
      </c>
      <c r="G7" s="288">
        <v>34636</v>
      </c>
      <c r="H7" s="288">
        <v>37705</v>
      </c>
      <c r="I7" s="288">
        <v>38458</v>
      </c>
      <c r="J7" s="288">
        <v>38748</v>
      </c>
      <c r="K7" s="288">
        <v>33808</v>
      </c>
      <c r="L7" s="288">
        <v>48059</v>
      </c>
      <c r="M7" s="288">
        <v>28992</v>
      </c>
      <c r="N7" s="288">
        <v>49817</v>
      </c>
      <c r="O7" s="288">
        <v>31062</v>
      </c>
      <c r="P7" s="288">
        <v>25075</v>
      </c>
      <c r="Q7" s="288">
        <f t="shared" si="8"/>
        <v>439589</v>
      </c>
      <c r="R7" s="288">
        <f t="shared" si="9"/>
        <v>36632.416666666664</v>
      </c>
      <c r="S7" s="287">
        <f>S16+S26</f>
        <v>28743</v>
      </c>
      <c r="T7" s="288">
        <f t="shared" ref="S7:AD11" si="15">T16+T26</f>
        <v>40770</v>
      </c>
      <c r="U7" s="288">
        <f t="shared" si="15"/>
        <v>29477</v>
      </c>
      <c r="V7" s="288">
        <f t="shared" si="15"/>
        <v>28357</v>
      </c>
      <c r="W7" s="288">
        <v>29789</v>
      </c>
      <c r="X7" s="288">
        <v>27269</v>
      </c>
      <c r="Y7" s="288">
        <v>26035</v>
      </c>
      <c r="Z7" s="288">
        <v>44355</v>
      </c>
      <c r="AA7" s="288">
        <v>24157</v>
      </c>
      <c r="AB7" s="288">
        <v>53065</v>
      </c>
      <c r="AC7" s="288">
        <v>26385</v>
      </c>
      <c r="AD7" s="288">
        <v>21548</v>
      </c>
      <c r="AE7" s="288">
        <f t="shared" si="10"/>
        <v>379950</v>
      </c>
      <c r="AF7" s="288">
        <f t="shared" si="11"/>
        <v>31662.5</v>
      </c>
      <c r="AG7" s="288"/>
      <c r="AH7" s="1528">
        <v>39132</v>
      </c>
      <c r="AI7" s="1527">
        <v>24425</v>
      </c>
      <c r="AJ7" s="1527">
        <v>25714</v>
      </c>
      <c r="AK7" s="1527">
        <v>28122</v>
      </c>
      <c r="AL7" s="1527">
        <v>26401</v>
      </c>
      <c r="AM7" s="1527">
        <v>23736</v>
      </c>
      <c r="AN7" s="1527">
        <v>40335</v>
      </c>
      <c r="AO7" s="1527">
        <v>28327</v>
      </c>
      <c r="AP7" s="1527">
        <v>48973</v>
      </c>
      <c r="AQ7" s="1527">
        <v>42189</v>
      </c>
      <c r="AR7" s="1527">
        <v>29295</v>
      </c>
      <c r="AS7" s="288">
        <v>856</v>
      </c>
      <c r="AT7" s="288">
        <f t="shared" si="12"/>
        <v>357505</v>
      </c>
      <c r="AU7" s="288">
        <f t="shared" si="3"/>
        <v>29792.083333333332</v>
      </c>
      <c r="AV7" s="288"/>
      <c r="AW7" s="287">
        <v>21688</v>
      </c>
      <c r="AX7" s="1527">
        <v>49939</v>
      </c>
      <c r="AY7" s="1527">
        <v>29000</v>
      </c>
      <c r="AZ7" s="1527">
        <v>30067</v>
      </c>
      <c r="BA7" s="1527">
        <v>30904</v>
      </c>
      <c r="BB7" s="1527">
        <v>30300</v>
      </c>
      <c r="BC7" s="1527">
        <v>46898</v>
      </c>
      <c r="BD7" s="1527">
        <v>36483</v>
      </c>
      <c r="BE7" s="1527">
        <v>53172</v>
      </c>
      <c r="BF7" s="288">
        <v>15625</v>
      </c>
      <c r="BG7" s="288">
        <v>11158</v>
      </c>
      <c r="BH7" s="1527">
        <v>10059</v>
      </c>
      <c r="BI7" s="288">
        <f t="shared" si="4"/>
        <v>365293</v>
      </c>
      <c r="BJ7" s="288">
        <f t="shared" si="5"/>
        <v>30441.083333333332</v>
      </c>
      <c r="BL7" s="317">
        <f t="shared" si="6"/>
        <v>9203</v>
      </c>
      <c r="BM7" s="317">
        <f t="shared" si="13"/>
        <v>649</v>
      </c>
      <c r="BN7" s="317">
        <f>BI7-SUM(AH7:AR7)</f>
        <v>8644</v>
      </c>
      <c r="BO7" s="594">
        <f t="shared" si="7"/>
        <v>-1099</v>
      </c>
    </row>
    <row r="8" spans="1:67" x14ac:dyDescent="0.55000000000000004">
      <c r="A8" s="7096"/>
      <c r="B8" t="s">
        <v>48</v>
      </c>
      <c r="D8" s="448"/>
      <c r="E8" s="287">
        <v>19409</v>
      </c>
      <c r="F8" s="288">
        <v>15664</v>
      </c>
      <c r="G8" s="288">
        <v>17851</v>
      </c>
      <c r="H8" s="288">
        <v>15117</v>
      </c>
      <c r="I8" s="288">
        <v>15428</v>
      </c>
      <c r="J8" s="288">
        <v>14814</v>
      </c>
      <c r="K8" s="288">
        <v>14533</v>
      </c>
      <c r="L8" s="288">
        <v>14838</v>
      </c>
      <c r="M8" s="288">
        <v>13068</v>
      </c>
      <c r="N8" s="288">
        <v>15405</v>
      </c>
      <c r="O8" s="288">
        <v>14418</v>
      </c>
      <c r="P8" s="288">
        <v>16778</v>
      </c>
      <c r="Q8" s="288">
        <f t="shared" si="8"/>
        <v>187323</v>
      </c>
      <c r="R8" s="288">
        <f t="shared" si="9"/>
        <v>15610.25</v>
      </c>
      <c r="S8" s="287">
        <f t="shared" si="15"/>
        <v>14759</v>
      </c>
      <c r="T8" s="288">
        <f t="shared" si="15"/>
        <v>14853</v>
      </c>
      <c r="U8" s="288">
        <f t="shared" si="15"/>
        <v>14862</v>
      </c>
      <c r="V8" s="288">
        <f t="shared" si="15"/>
        <v>14647</v>
      </c>
      <c r="W8" s="288">
        <f t="shared" si="15"/>
        <v>17249</v>
      </c>
      <c r="X8" s="288">
        <f t="shared" si="15"/>
        <v>16180</v>
      </c>
      <c r="Y8" s="288">
        <f t="shared" si="15"/>
        <v>17733</v>
      </c>
      <c r="Z8" s="288">
        <f t="shared" si="15"/>
        <v>19400</v>
      </c>
      <c r="AA8" s="288">
        <f t="shared" si="15"/>
        <v>15703</v>
      </c>
      <c r="AB8" s="288">
        <f t="shared" si="15"/>
        <v>18027</v>
      </c>
      <c r="AC8" s="288">
        <f t="shared" si="15"/>
        <v>16624</v>
      </c>
      <c r="AD8" s="288">
        <f t="shared" si="15"/>
        <v>16080</v>
      </c>
      <c r="AE8" s="288">
        <f t="shared" si="10"/>
        <v>196117</v>
      </c>
      <c r="AF8" s="288">
        <f t="shared" si="11"/>
        <v>16343.083333333334</v>
      </c>
      <c r="AG8" s="288"/>
      <c r="AH8" s="1528">
        <v>17406</v>
      </c>
      <c r="AI8" s="1527">
        <v>16695</v>
      </c>
      <c r="AJ8" s="1527">
        <v>17129</v>
      </c>
      <c r="AK8" s="1527">
        <v>17464</v>
      </c>
      <c r="AL8" s="1527">
        <v>18385</v>
      </c>
      <c r="AM8" s="1527">
        <v>16087</v>
      </c>
      <c r="AN8" s="1527">
        <v>17724</v>
      </c>
      <c r="AO8" s="1527">
        <v>16788</v>
      </c>
      <c r="AP8" s="1527">
        <v>15770</v>
      </c>
      <c r="AQ8" s="1527">
        <v>16883</v>
      </c>
      <c r="AR8" s="1527">
        <v>17753</v>
      </c>
      <c r="AS8" s="288">
        <v>18307</v>
      </c>
      <c r="AT8" s="288">
        <f>SUM(AH8:AS8)</f>
        <v>206391</v>
      </c>
      <c r="AU8" s="288">
        <f t="shared" si="3"/>
        <v>17199.25</v>
      </c>
      <c r="AV8" s="288"/>
      <c r="AW8" s="287">
        <v>14989</v>
      </c>
      <c r="AX8" s="1527">
        <v>18290</v>
      </c>
      <c r="AY8" s="1527">
        <v>16783</v>
      </c>
      <c r="AZ8" s="1527">
        <v>16056</v>
      </c>
      <c r="BA8" s="1527">
        <v>13653</v>
      </c>
      <c r="BB8" s="1527">
        <v>15996</v>
      </c>
      <c r="BC8" s="1527">
        <v>23615</v>
      </c>
      <c r="BD8" s="1527">
        <v>17953</v>
      </c>
      <c r="BE8" s="1527">
        <v>17962</v>
      </c>
      <c r="BF8" s="288">
        <v>17778</v>
      </c>
      <c r="BG8" s="288">
        <v>17373</v>
      </c>
      <c r="BH8" s="1527">
        <v>19584</v>
      </c>
      <c r="BI8" s="288">
        <f t="shared" si="4"/>
        <v>210032</v>
      </c>
      <c r="BJ8" s="288">
        <f t="shared" si="5"/>
        <v>17502.666666666668</v>
      </c>
      <c r="BL8" s="317">
        <f t="shared" si="6"/>
        <v>1277</v>
      </c>
      <c r="BM8" s="317">
        <f t="shared" si="13"/>
        <v>303.41666666666788</v>
      </c>
      <c r="BN8" s="317">
        <f t="shared" si="14"/>
        <v>21948</v>
      </c>
      <c r="BO8" s="594">
        <f t="shared" si="7"/>
        <v>2211</v>
      </c>
    </row>
    <row r="9" spans="1:67" x14ac:dyDescent="0.55000000000000004">
      <c r="A9" s="7096"/>
      <c r="B9" t="s">
        <v>59</v>
      </c>
      <c r="D9" s="448"/>
      <c r="E9" s="287">
        <v>1796</v>
      </c>
      <c r="F9" s="288">
        <v>739</v>
      </c>
      <c r="G9" s="288">
        <v>2968</v>
      </c>
      <c r="H9" s="288">
        <v>896</v>
      </c>
      <c r="I9" s="288">
        <v>1767</v>
      </c>
      <c r="J9" s="288">
        <v>1495</v>
      </c>
      <c r="K9" s="288">
        <v>941</v>
      </c>
      <c r="L9" s="288">
        <v>1616</v>
      </c>
      <c r="M9" s="288">
        <v>1021</v>
      </c>
      <c r="N9" s="288">
        <v>1267</v>
      </c>
      <c r="O9" s="288">
        <v>940</v>
      </c>
      <c r="P9" s="288">
        <v>2802</v>
      </c>
      <c r="Q9" s="288">
        <f t="shared" si="8"/>
        <v>18248</v>
      </c>
      <c r="R9" s="288">
        <f t="shared" si="9"/>
        <v>1520.6666666666667</v>
      </c>
      <c r="S9" s="287">
        <f t="shared" si="15"/>
        <v>918</v>
      </c>
      <c r="T9" s="288">
        <f t="shared" si="15"/>
        <v>903</v>
      </c>
      <c r="U9" s="288">
        <f t="shared" si="15"/>
        <v>1118</v>
      </c>
      <c r="V9" s="288">
        <f t="shared" si="15"/>
        <v>997</v>
      </c>
      <c r="W9" s="288">
        <f t="shared" si="15"/>
        <v>2183</v>
      </c>
      <c r="X9" s="288">
        <f t="shared" si="15"/>
        <v>1226</v>
      </c>
      <c r="Y9" s="288">
        <f t="shared" si="15"/>
        <v>1081</v>
      </c>
      <c r="Z9" s="288">
        <f t="shared" si="15"/>
        <v>1144</v>
      </c>
      <c r="AA9" s="288">
        <f t="shared" si="15"/>
        <v>1716</v>
      </c>
      <c r="AB9" s="288">
        <f t="shared" si="15"/>
        <v>1040</v>
      </c>
      <c r="AC9" s="288">
        <f t="shared" si="15"/>
        <v>1229</v>
      </c>
      <c r="AD9" s="288">
        <f t="shared" si="15"/>
        <v>2506</v>
      </c>
      <c r="AE9" s="288">
        <f t="shared" si="10"/>
        <v>16061</v>
      </c>
      <c r="AF9" s="288">
        <f t="shared" si="11"/>
        <v>1338.4166666666667</v>
      </c>
      <c r="AG9" s="288"/>
      <c r="AH9" s="1528">
        <v>976</v>
      </c>
      <c r="AI9" s="1527">
        <v>989</v>
      </c>
      <c r="AJ9" s="1527">
        <v>1322</v>
      </c>
      <c r="AK9" s="1527">
        <v>1340</v>
      </c>
      <c r="AL9" s="1527">
        <v>2189</v>
      </c>
      <c r="AM9" s="1527">
        <v>1151</v>
      </c>
      <c r="AN9" s="1527">
        <v>1186</v>
      </c>
      <c r="AO9" s="1527">
        <v>1414</v>
      </c>
      <c r="AP9" s="1527">
        <v>1505</v>
      </c>
      <c r="AQ9" s="1527">
        <v>1368</v>
      </c>
      <c r="AR9" s="1527">
        <v>1477</v>
      </c>
      <c r="AS9" s="288">
        <v>3350</v>
      </c>
      <c r="AT9" s="288">
        <f t="shared" si="12"/>
        <v>18267</v>
      </c>
      <c r="AU9" s="288">
        <f t="shared" si="3"/>
        <v>1522.25</v>
      </c>
      <c r="AV9" s="288"/>
      <c r="AW9" s="287">
        <v>1314</v>
      </c>
      <c r="AX9" s="1527">
        <v>1140</v>
      </c>
      <c r="AY9" s="1527">
        <v>1083</v>
      </c>
      <c r="AZ9" s="1527">
        <v>5069</v>
      </c>
      <c r="BA9" s="1527">
        <v>1160</v>
      </c>
      <c r="BB9" s="1527">
        <v>2042</v>
      </c>
      <c r="BC9" s="1527">
        <v>1131</v>
      </c>
      <c r="BD9" s="1527">
        <v>1265</v>
      </c>
      <c r="BE9" s="1527">
        <v>1120</v>
      </c>
      <c r="BF9" s="288">
        <v>1323</v>
      </c>
      <c r="BG9" s="288">
        <v>1250</v>
      </c>
      <c r="BH9" s="1527">
        <v>1545</v>
      </c>
      <c r="BI9" s="288">
        <f t="shared" si="4"/>
        <v>19442</v>
      </c>
      <c r="BJ9" s="288">
        <f t="shared" si="5"/>
        <v>1620.1666666666667</v>
      </c>
      <c r="BL9" s="317">
        <f t="shared" si="6"/>
        <v>-1805</v>
      </c>
      <c r="BM9" s="317">
        <f>BJ9-AU9</f>
        <v>97.916666666666742</v>
      </c>
      <c r="BN9" s="317">
        <f t="shared" si="14"/>
        <v>4525</v>
      </c>
      <c r="BO9" s="594">
        <f t="shared" si="7"/>
        <v>295</v>
      </c>
    </row>
    <row r="10" spans="1:67" x14ac:dyDescent="0.55000000000000004">
      <c r="A10" s="7096"/>
      <c r="B10" t="s">
        <v>49</v>
      </c>
      <c r="D10" s="448"/>
      <c r="E10" s="287">
        <f>E19+E29</f>
        <v>40163</v>
      </c>
      <c r="F10" s="288">
        <f t="shared" ref="F10:P11" si="16">F19+F29</f>
        <v>14222</v>
      </c>
      <c r="G10" s="288">
        <f t="shared" si="16"/>
        <v>27487</v>
      </c>
      <c r="H10" s="288">
        <f t="shared" si="16"/>
        <v>27041</v>
      </c>
      <c r="I10" s="288">
        <f t="shared" si="16"/>
        <v>26286</v>
      </c>
      <c r="J10" s="288">
        <f t="shared" si="16"/>
        <v>26784</v>
      </c>
      <c r="K10" s="288">
        <f t="shared" si="16"/>
        <v>24600</v>
      </c>
      <c r="L10" s="288">
        <f t="shared" si="16"/>
        <v>35695</v>
      </c>
      <c r="M10" s="288">
        <f>M19+M29</f>
        <v>23126</v>
      </c>
      <c r="N10" s="288">
        <f t="shared" si="16"/>
        <v>37728</v>
      </c>
      <c r="O10" s="288">
        <f t="shared" si="16"/>
        <v>24424</v>
      </c>
      <c r="P10" s="288">
        <f t="shared" si="16"/>
        <v>22286</v>
      </c>
      <c r="Q10" s="288">
        <f t="shared" si="8"/>
        <v>329842</v>
      </c>
      <c r="R10" s="288">
        <f t="shared" si="9"/>
        <v>27486.833333333332</v>
      </c>
      <c r="S10" s="287">
        <f t="shared" si="15"/>
        <v>38632</v>
      </c>
      <c r="T10" s="288">
        <f t="shared" si="15"/>
        <v>34654</v>
      </c>
      <c r="U10" s="288">
        <f t="shared" si="15"/>
        <v>27120</v>
      </c>
      <c r="V10" s="288">
        <f t="shared" si="15"/>
        <v>17663</v>
      </c>
      <c r="W10" s="288">
        <f t="shared" si="15"/>
        <v>26322</v>
      </c>
      <c r="X10" s="288">
        <f t="shared" si="15"/>
        <v>24034</v>
      </c>
      <c r="Y10" s="288">
        <f t="shared" si="15"/>
        <v>23809</v>
      </c>
      <c r="Z10" s="288">
        <f t="shared" si="15"/>
        <v>40399</v>
      </c>
      <c r="AA10" s="288">
        <f t="shared" si="15"/>
        <v>22658</v>
      </c>
      <c r="AB10" s="288">
        <f t="shared" si="15"/>
        <v>41628</v>
      </c>
      <c r="AC10" s="288">
        <f t="shared" si="15"/>
        <v>23565</v>
      </c>
      <c r="AD10" s="288">
        <f t="shared" si="15"/>
        <v>20371</v>
      </c>
      <c r="AE10" s="288">
        <f t="shared" si="10"/>
        <v>340855</v>
      </c>
      <c r="AF10" s="288">
        <f t="shared" si="11"/>
        <v>28404.583333333332</v>
      </c>
      <c r="AG10" s="288"/>
      <c r="AH10" s="1528">
        <v>36822</v>
      </c>
      <c r="AI10" s="1527">
        <v>26513</v>
      </c>
      <c r="AJ10" s="1527">
        <v>30707</v>
      </c>
      <c r="AK10" s="1527">
        <v>32391</v>
      </c>
      <c r="AL10" s="1527">
        <v>30663</v>
      </c>
      <c r="AM10" s="1527">
        <v>24954</v>
      </c>
      <c r="AN10" s="1527">
        <v>35706.999999999993</v>
      </c>
      <c r="AO10" s="1527">
        <v>24216</v>
      </c>
      <c r="AP10" s="1527">
        <v>45778</v>
      </c>
      <c r="AQ10" s="1527">
        <v>46041</v>
      </c>
      <c r="AR10" s="1527">
        <v>33123</v>
      </c>
      <c r="AS10" s="288">
        <v>30026</v>
      </c>
      <c r="AT10" s="288">
        <f t="shared" si="12"/>
        <v>396941</v>
      </c>
      <c r="AU10" s="288">
        <f t="shared" si="3"/>
        <v>33078.416666666664</v>
      </c>
      <c r="AV10" s="288"/>
      <c r="AW10" s="287">
        <v>33452</v>
      </c>
      <c r="AX10" s="1527">
        <v>58703</v>
      </c>
      <c r="AY10" s="1527">
        <v>40861</v>
      </c>
      <c r="AZ10" s="1527">
        <v>46142</v>
      </c>
      <c r="BA10" s="1527">
        <v>58250</v>
      </c>
      <c r="BB10" s="1527">
        <v>49360</v>
      </c>
      <c r="BC10" s="1527">
        <v>67006</v>
      </c>
      <c r="BD10" s="1527">
        <v>49657</v>
      </c>
      <c r="BE10" s="1527">
        <v>63821</v>
      </c>
      <c r="BF10" s="288">
        <v>52754</v>
      </c>
      <c r="BG10" s="288">
        <v>44092</v>
      </c>
      <c r="BH10" s="1527">
        <v>45806</v>
      </c>
      <c r="BI10" s="288">
        <f t="shared" si="4"/>
        <v>609904</v>
      </c>
      <c r="BJ10" s="288">
        <f t="shared" si="5"/>
        <v>50825.333333333336</v>
      </c>
      <c r="BL10" s="317">
        <f t="shared" si="6"/>
        <v>15780</v>
      </c>
      <c r="BM10" s="317">
        <f t="shared" si="13"/>
        <v>17746.916666666672</v>
      </c>
      <c r="BN10" s="317">
        <f t="shared" si="14"/>
        <v>242989</v>
      </c>
      <c r="BO10" s="594">
        <f t="shared" si="7"/>
        <v>1714</v>
      </c>
    </row>
    <row r="11" spans="1:67" x14ac:dyDescent="0.55000000000000004">
      <c r="A11" s="7096"/>
      <c r="B11" t="s">
        <v>50</v>
      </c>
      <c r="D11" s="448"/>
      <c r="E11" s="287">
        <f>E20+E30</f>
        <v>8130</v>
      </c>
      <c r="F11" s="288">
        <f t="shared" si="16"/>
        <v>15310</v>
      </c>
      <c r="G11" s="288">
        <f t="shared" si="16"/>
        <v>8057</v>
      </c>
      <c r="H11" s="288">
        <f t="shared" si="16"/>
        <v>8706</v>
      </c>
      <c r="I11" s="288">
        <f t="shared" si="16"/>
        <v>10281</v>
      </c>
      <c r="J11" s="288">
        <f t="shared" si="16"/>
        <v>7994</v>
      </c>
      <c r="K11" s="288">
        <f t="shared" si="16"/>
        <v>8842</v>
      </c>
      <c r="L11" s="288">
        <f t="shared" si="16"/>
        <v>17413</v>
      </c>
      <c r="M11" s="288">
        <f t="shared" si="16"/>
        <v>11736</v>
      </c>
      <c r="N11" s="288">
        <f t="shared" si="16"/>
        <v>7708</v>
      </c>
      <c r="O11" s="288">
        <f t="shared" si="16"/>
        <v>9832</v>
      </c>
      <c r="P11" s="288">
        <f t="shared" si="16"/>
        <v>7333</v>
      </c>
      <c r="Q11" s="288">
        <f t="shared" si="8"/>
        <v>121342</v>
      </c>
      <c r="R11" s="288">
        <f t="shared" si="9"/>
        <v>10111.833333333334</v>
      </c>
      <c r="S11" s="287">
        <f t="shared" si="15"/>
        <v>7519</v>
      </c>
      <c r="T11" s="288">
        <f t="shared" si="15"/>
        <v>6849</v>
      </c>
      <c r="U11" s="288">
        <f t="shared" si="15"/>
        <v>7657</v>
      </c>
      <c r="V11" s="288">
        <f t="shared" si="15"/>
        <v>5671</v>
      </c>
      <c r="W11" s="288">
        <f t="shared" si="15"/>
        <v>6200</v>
      </c>
      <c r="X11" s="288">
        <f t="shared" si="15"/>
        <v>6198</v>
      </c>
      <c r="Y11" s="288">
        <f t="shared" si="15"/>
        <v>6120</v>
      </c>
      <c r="Z11" s="288">
        <f t="shared" si="15"/>
        <v>6135</v>
      </c>
      <c r="AA11" s="288">
        <f t="shared" si="15"/>
        <v>5430</v>
      </c>
      <c r="AB11" s="288">
        <f t="shared" si="15"/>
        <v>10426</v>
      </c>
      <c r="AC11" s="288">
        <f t="shared" si="15"/>
        <v>6944</v>
      </c>
      <c r="AD11" s="288">
        <f t="shared" si="15"/>
        <v>5335</v>
      </c>
      <c r="AE11" s="288">
        <f>SUM(S11:AD11)-AE21</f>
        <v>58909</v>
      </c>
      <c r="AF11" s="288">
        <f t="shared" si="11"/>
        <v>4909.083333333333</v>
      </c>
      <c r="AG11" s="288"/>
      <c r="AH11" s="1528">
        <v>5780</v>
      </c>
      <c r="AI11" s="1527">
        <v>5148</v>
      </c>
      <c r="AJ11" s="1527">
        <v>5822</v>
      </c>
      <c r="AK11" s="1527">
        <v>6133</v>
      </c>
      <c r="AL11" s="1527">
        <v>7424</v>
      </c>
      <c r="AM11" s="1527">
        <v>6739</v>
      </c>
      <c r="AN11" s="1527">
        <v>10412</v>
      </c>
      <c r="AO11" s="1527">
        <v>9915</v>
      </c>
      <c r="AP11" s="1527">
        <v>9856</v>
      </c>
      <c r="AQ11" s="1527">
        <v>14231</v>
      </c>
      <c r="AR11" s="1527">
        <v>13225</v>
      </c>
      <c r="AS11" s="288">
        <v>9489</v>
      </c>
      <c r="AT11" s="288">
        <f t="shared" si="12"/>
        <v>104174</v>
      </c>
      <c r="AU11" s="288">
        <f t="shared" si="3"/>
        <v>8681.1666666666661</v>
      </c>
      <c r="AV11" s="288"/>
      <c r="AW11" s="287">
        <v>9088</v>
      </c>
      <c r="AX11" s="1527">
        <v>10466</v>
      </c>
      <c r="AY11" s="1527">
        <v>8058</v>
      </c>
      <c r="AZ11" s="1527">
        <v>11496</v>
      </c>
      <c r="BA11" s="1527">
        <v>9856</v>
      </c>
      <c r="BB11" s="1527">
        <v>12471</v>
      </c>
      <c r="BC11" s="1527">
        <v>13823</v>
      </c>
      <c r="BD11" s="1527">
        <v>14746</v>
      </c>
      <c r="BE11" s="1527">
        <v>12395</v>
      </c>
      <c r="BF11" s="288">
        <v>16509</v>
      </c>
      <c r="BG11" s="288">
        <v>14932</v>
      </c>
      <c r="BH11" s="1527">
        <v>14901</v>
      </c>
      <c r="BI11" s="288">
        <f t="shared" si="4"/>
        <v>148741</v>
      </c>
      <c r="BJ11" s="288">
        <f t="shared" si="5"/>
        <v>12395.083333333334</v>
      </c>
      <c r="BL11" s="317">
        <f t="shared" si="6"/>
        <v>5412</v>
      </c>
      <c r="BM11" s="317">
        <f t="shared" si="13"/>
        <v>3713.9166666666679</v>
      </c>
      <c r="BN11" s="317">
        <f t="shared" si="14"/>
        <v>54056</v>
      </c>
      <c r="BO11" s="594">
        <f t="shared" si="7"/>
        <v>-31</v>
      </c>
    </row>
    <row r="12" spans="1:67" ht="18" thickBot="1" x14ac:dyDescent="0.6">
      <c r="A12" s="7096"/>
      <c r="B12" s="449" t="s">
        <v>51</v>
      </c>
      <c r="C12" s="450"/>
      <c r="D12" s="290"/>
      <c r="E12" s="289">
        <f>E22+E32</f>
        <v>-16747</v>
      </c>
      <c r="F12" s="290">
        <f t="shared" ref="F12:P12" si="17">F22+F32</f>
        <v>15519</v>
      </c>
      <c r="G12" s="290">
        <f t="shared" si="17"/>
        <v>1939</v>
      </c>
      <c r="H12" s="290">
        <f t="shared" si="17"/>
        <v>4382</v>
      </c>
      <c r="I12" s="290">
        <f t="shared" si="17"/>
        <v>5828</v>
      </c>
      <c r="J12" s="290">
        <f t="shared" si="17"/>
        <v>52089</v>
      </c>
      <c r="K12" s="290">
        <f t="shared" si="17"/>
        <v>1981</v>
      </c>
      <c r="L12" s="290">
        <f t="shared" si="17"/>
        <v>-3852</v>
      </c>
      <c r="M12" s="290">
        <f t="shared" si="17"/>
        <v>40737</v>
      </c>
      <c r="N12" s="290">
        <f t="shared" si="17"/>
        <v>10535</v>
      </c>
      <c r="O12" s="290">
        <f t="shared" si="17"/>
        <v>340</v>
      </c>
      <c r="P12" s="290">
        <f t="shared" si="17"/>
        <v>22545</v>
      </c>
      <c r="Q12" s="290">
        <f t="shared" si="8"/>
        <v>135296</v>
      </c>
      <c r="R12" s="290">
        <f t="shared" si="9"/>
        <v>11274.666666666666</v>
      </c>
      <c r="S12" s="289">
        <f>S22+S32</f>
        <v>-16077</v>
      </c>
      <c r="T12" s="290">
        <f t="shared" ref="T12:AD12" si="18">T22+T32</f>
        <v>1662</v>
      </c>
      <c r="U12" s="290">
        <f t="shared" si="18"/>
        <v>17911</v>
      </c>
      <c r="V12" s="290">
        <f t="shared" si="18"/>
        <v>4308</v>
      </c>
      <c r="W12" s="290">
        <f t="shared" si="18"/>
        <v>-2984</v>
      </c>
      <c r="X12" s="290">
        <f t="shared" si="18"/>
        <v>-3176</v>
      </c>
      <c r="Y12" s="290">
        <f t="shared" si="18"/>
        <v>-4918</v>
      </c>
      <c r="Z12" s="290">
        <f t="shared" si="18"/>
        <v>-3367</v>
      </c>
      <c r="AA12" s="290">
        <f t="shared" si="18"/>
        <v>-4372</v>
      </c>
      <c r="AB12" s="290">
        <f t="shared" si="18"/>
        <v>386</v>
      </c>
      <c r="AC12" s="290">
        <f t="shared" si="18"/>
        <v>-5809</v>
      </c>
      <c r="AD12" s="290">
        <f t="shared" si="18"/>
        <v>-7154</v>
      </c>
      <c r="AE12" s="290">
        <f t="shared" si="10"/>
        <v>-23590</v>
      </c>
      <c r="AF12" s="290">
        <f t="shared" si="11"/>
        <v>-1965.8333333333333</v>
      </c>
      <c r="AG12" s="290"/>
      <c r="AH12" s="1532">
        <v>759</v>
      </c>
      <c r="AI12" s="1531">
        <v>-4238</v>
      </c>
      <c r="AJ12" s="1531">
        <v>-7422</v>
      </c>
      <c r="AK12" s="1531">
        <v>-8154</v>
      </c>
      <c r="AL12" s="1531">
        <v>-7360</v>
      </c>
      <c r="AM12" s="1531">
        <v>-3736</v>
      </c>
      <c r="AN12" s="1531">
        <v>-2788</v>
      </c>
      <c r="AO12" s="1531">
        <v>-3186</v>
      </c>
      <c r="AP12" s="1531">
        <v>-3977</v>
      </c>
      <c r="AQ12" s="1531">
        <v>-15625</v>
      </c>
      <c r="AR12" s="1531">
        <v>-16086</v>
      </c>
      <c r="AS12" s="290">
        <v>-16714</v>
      </c>
      <c r="AT12" s="290">
        <f t="shared" si="12"/>
        <v>-88527</v>
      </c>
      <c r="AU12" s="290">
        <f t="shared" si="3"/>
        <v>-7377.25</v>
      </c>
      <c r="AV12" s="290"/>
      <c r="AW12" s="289">
        <v>-18707</v>
      </c>
      <c r="AX12" s="1531">
        <v>-12616</v>
      </c>
      <c r="AY12" s="1531">
        <v>-15014</v>
      </c>
      <c r="AZ12" s="1531">
        <v>-9608</v>
      </c>
      <c r="BA12" s="1531">
        <v>17119</v>
      </c>
      <c r="BB12" s="1531">
        <v>-14262</v>
      </c>
      <c r="BC12" s="1531">
        <v>-8472</v>
      </c>
      <c r="BD12" s="1531">
        <v>-24807</v>
      </c>
      <c r="BE12" s="1531">
        <v>-17953</v>
      </c>
      <c r="BF12" s="290">
        <v>-23621</v>
      </c>
      <c r="BG12" s="290">
        <v>-21327</v>
      </c>
      <c r="BH12" s="1531">
        <v>-24490</v>
      </c>
      <c r="BI12" s="290">
        <f t="shared" si="4"/>
        <v>-173758</v>
      </c>
      <c r="BJ12" s="290">
        <f t="shared" si="5"/>
        <v>-14479.833333333334</v>
      </c>
      <c r="BL12" s="317">
        <f t="shared" si="6"/>
        <v>-7776</v>
      </c>
      <c r="BM12" s="317">
        <f t="shared" si="13"/>
        <v>-7102.5833333333339</v>
      </c>
      <c r="BN12" s="317">
        <f t="shared" si="14"/>
        <v>-101945</v>
      </c>
      <c r="BO12" s="594">
        <f t="shared" si="7"/>
        <v>-3163</v>
      </c>
    </row>
    <row r="13" spans="1:67" x14ac:dyDescent="0.55000000000000004">
      <c r="A13" s="7097" t="s">
        <v>60</v>
      </c>
      <c r="B13" s="44" t="s">
        <v>44</v>
      </c>
      <c r="C13" s="28"/>
      <c r="D13" s="451">
        <v>1042399</v>
      </c>
      <c r="E13" s="452">
        <v>1026284</v>
      </c>
      <c r="F13" s="451">
        <v>1037065</v>
      </c>
      <c r="G13" s="451">
        <v>1035726</v>
      </c>
      <c r="H13" s="451">
        <v>1034376</v>
      </c>
      <c r="I13" s="451">
        <v>1034972</v>
      </c>
      <c r="J13" s="451">
        <v>1081886</v>
      </c>
      <c r="K13" s="451">
        <v>1080522</v>
      </c>
      <c r="L13" s="451">
        <v>1082408</v>
      </c>
      <c r="M13" s="451">
        <v>1125494</v>
      </c>
      <c r="N13" s="451">
        <v>1131649</v>
      </c>
      <c r="O13" s="451">
        <v>1130938</v>
      </c>
      <c r="P13" s="451">
        <v>1154868</v>
      </c>
      <c r="Q13" s="451">
        <f>P13</f>
        <v>1154868</v>
      </c>
      <c r="R13" s="451">
        <f>AVERAGE(E13:P13)</f>
        <v>1079682.3333333333</v>
      </c>
      <c r="S13" s="452">
        <v>1138795</v>
      </c>
      <c r="T13" s="451">
        <v>1139459</v>
      </c>
      <c r="U13" s="451">
        <v>1158454</v>
      </c>
      <c r="V13" s="451">
        <v>1163489</v>
      </c>
      <c r="W13" s="451">
        <v>1162528</v>
      </c>
      <c r="X13" s="451">
        <v>1161780</v>
      </c>
      <c r="Y13" s="451">
        <v>1157182</v>
      </c>
      <c r="Z13" s="451">
        <v>1153875</v>
      </c>
      <c r="AA13" s="451">
        <v>1149004</v>
      </c>
      <c r="AB13" s="451">
        <v>1145434</v>
      </c>
      <c r="AC13" s="451">
        <v>1140093</v>
      </c>
      <c r="AD13" s="451">
        <v>1135255</v>
      </c>
      <c r="AE13" s="451">
        <f>AD13</f>
        <v>1135255</v>
      </c>
      <c r="AF13" s="451">
        <f>AVERAGE(S13:AD13)</f>
        <v>1150445.6666666667</v>
      </c>
      <c r="AG13" s="451"/>
      <c r="AH13" s="1535">
        <v>1134578</v>
      </c>
      <c r="AI13" s="1534">
        <v>1128116</v>
      </c>
      <c r="AJ13" s="1534">
        <v>1121950</v>
      </c>
      <c r="AK13" s="1534">
        <v>1115930</v>
      </c>
      <c r="AL13" s="1534">
        <v>1111051</v>
      </c>
      <c r="AM13" s="1534">
        <v>1110211</v>
      </c>
      <c r="AN13" s="1534">
        <v>1110031</v>
      </c>
      <c r="AO13" s="1534">
        <v>1115525</v>
      </c>
      <c r="AP13" s="1534">
        <v>1110720</v>
      </c>
      <c r="AQ13" s="1534">
        <v>1099002</v>
      </c>
      <c r="AR13" s="1534">
        <v>1095047</v>
      </c>
      <c r="AS13" s="451">
        <v>1089991</v>
      </c>
      <c r="AT13" s="451">
        <f>INDEX($AH13:$AS13, 1, MATCH(0, $AH13:$AS13, -1))</f>
        <v>1089991</v>
      </c>
      <c r="AU13" s="451">
        <f t="shared" si="3"/>
        <v>1111846</v>
      </c>
      <c r="AV13" s="451"/>
      <c r="AW13" s="452">
        <v>1081462</v>
      </c>
      <c r="AX13" s="451">
        <v>1074041</v>
      </c>
      <c r="AY13" s="451">
        <v>1069017</v>
      </c>
      <c r="AZ13" s="451">
        <v>1065195</v>
      </c>
      <c r="BA13" s="451">
        <v>1073219</v>
      </c>
      <c r="BB13" s="451">
        <v>1065938</v>
      </c>
      <c r="BC13" s="451">
        <v>1059309</v>
      </c>
      <c r="BD13" s="451">
        <v>1047155</v>
      </c>
      <c r="BE13" s="451">
        <v>1034025</v>
      </c>
      <c r="BF13" s="451">
        <v>1019918</v>
      </c>
      <c r="BG13" s="451">
        <v>1009458</v>
      </c>
      <c r="BH13" s="451">
        <v>996312</v>
      </c>
      <c r="BI13" s="444">
        <f>INDEX($AW13:$BH13, 1, MATCH(0, $AW13:$BH13, -1))</f>
        <v>996312</v>
      </c>
      <c r="BJ13" s="451">
        <f t="shared" si="5"/>
        <v>1049587.4166666667</v>
      </c>
      <c r="BL13" s="317">
        <f t="shared" si="6"/>
        <v>-93679</v>
      </c>
      <c r="BM13" s="317">
        <f t="shared" si="13"/>
        <v>-62258.583333333256</v>
      </c>
      <c r="BN13" s="759">
        <f>HLOOKUP($A$2,$AW$2:$BH$400,ROW()-1,0)-HLOOKUP($A$2,$AH$2:$AS$400,ROW()-1,0)</f>
        <v>-93679</v>
      </c>
      <c r="BO13" s="594">
        <f t="shared" si="7"/>
        <v>-13146</v>
      </c>
    </row>
    <row r="14" spans="1:67" x14ac:dyDescent="0.55000000000000004">
      <c r="A14" s="7098"/>
      <c r="B14" s="446" t="s">
        <v>57</v>
      </c>
      <c r="C14" s="447"/>
      <c r="D14" s="286"/>
      <c r="E14" s="285">
        <f>E15+E16</f>
        <v>26798</v>
      </c>
      <c r="F14" s="286">
        <f t="shared" ref="F14:P14" si="19">F15+F16</f>
        <v>31298</v>
      </c>
      <c r="G14" s="286">
        <f t="shared" si="19"/>
        <v>29236</v>
      </c>
      <c r="H14" s="286">
        <f t="shared" si="19"/>
        <v>27844</v>
      </c>
      <c r="I14" s="286">
        <f t="shared" si="19"/>
        <v>29187</v>
      </c>
      <c r="J14" s="286">
        <f t="shared" si="19"/>
        <v>29290</v>
      </c>
      <c r="K14" s="286">
        <f t="shared" si="19"/>
        <v>25357</v>
      </c>
      <c r="L14" s="286">
        <f t="shared" si="19"/>
        <v>36113</v>
      </c>
      <c r="M14" s="286">
        <f t="shared" si="19"/>
        <v>27466</v>
      </c>
      <c r="N14" s="286">
        <f t="shared" si="19"/>
        <v>42807</v>
      </c>
      <c r="O14" s="286">
        <f t="shared" si="19"/>
        <v>27534</v>
      </c>
      <c r="P14" s="286">
        <f t="shared" si="19"/>
        <v>21364</v>
      </c>
      <c r="Q14" s="286">
        <f>SUM(E14:P14)</f>
        <v>354294</v>
      </c>
      <c r="R14" s="286">
        <f>Q14/12</f>
        <v>29524.5</v>
      </c>
      <c r="S14" s="285">
        <v>24761</v>
      </c>
      <c r="T14" s="286">
        <v>34169</v>
      </c>
      <c r="U14" s="286">
        <v>26677</v>
      </c>
      <c r="V14" s="286">
        <v>23805</v>
      </c>
      <c r="W14" s="286">
        <v>27984</v>
      </c>
      <c r="X14" s="286">
        <v>25864</v>
      </c>
      <c r="Y14" s="286">
        <v>22587</v>
      </c>
      <c r="Z14" s="286">
        <v>34925</v>
      </c>
      <c r="AA14" s="286">
        <v>20303</v>
      </c>
      <c r="AB14" s="286">
        <v>36621</v>
      </c>
      <c r="AC14" s="286">
        <v>20971</v>
      </c>
      <c r="AD14" s="286">
        <v>17829</v>
      </c>
      <c r="AE14" s="286">
        <f>SUM(S14:AD14)</f>
        <v>316496</v>
      </c>
      <c r="AF14" s="286">
        <f>AE14/12</f>
        <v>26374.666666666668</v>
      </c>
      <c r="AG14" s="286"/>
      <c r="AH14" s="1530">
        <v>31488</v>
      </c>
      <c r="AI14" s="1529">
        <v>20437</v>
      </c>
      <c r="AJ14" s="1529">
        <v>19263</v>
      </c>
      <c r="AK14" s="1529">
        <v>19934</v>
      </c>
      <c r="AL14" s="1529">
        <v>19519</v>
      </c>
      <c r="AM14" s="1529">
        <v>18044</v>
      </c>
      <c r="AN14" s="1529">
        <v>26456.999999999993</v>
      </c>
      <c r="AO14" s="1529">
        <v>20695</v>
      </c>
      <c r="AP14" s="1529">
        <v>24729</v>
      </c>
      <c r="AQ14" s="1529">
        <v>23526</v>
      </c>
      <c r="AR14" s="1529">
        <v>18473</v>
      </c>
      <c r="AS14" s="286">
        <v>15641</v>
      </c>
      <c r="AT14" s="286">
        <f>SUM(AH14:AS14)</f>
        <v>258206</v>
      </c>
      <c r="AU14" s="286">
        <f t="shared" si="3"/>
        <v>21517.166666666668</v>
      </c>
      <c r="AV14" s="286"/>
      <c r="AW14" s="285">
        <v>13995</v>
      </c>
      <c r="AX14" s="1529">
        <v>28177</v>
      </c>
      <c r="AY14" s="1529">
        <v>20799</v>
      </c>
      <c r="AZ14" s="1529">
        <v>25119</v>
      </c>
      <c r="BA14" s="1529">
        <v>32216</v>
      </c>
      <c r="BB14" s="1529">
        <v>20183</v>
      </c>
      <c r="BC14" s="1529">
        <v>34631</v>
      </c>
      <c r="BD14" s="1529">
        <v>19510</v>
      </c>
      <c r="BE14" s="1529">
        <v>25930</v>
      </c>
      <c r="BF14" s="286">
        <v>20875</v>
      </c>
      <c r="BG14" s="286">
        <v>18871</v>
      </c>
      <c r="BH14" s="1529">
        <v>16417</v>
      </c>
      <c r="BI14" s="286">
        <f>SUM(AW14:BH14)</f>
        <v>276723</v>
      </c>
      <c r="BJ14" s="286">
        <f t="shared" si="5"/>
        <v>23060.25</v>
      </c>
      <c r="BL14" s="317">
        <f t="shared" si="6"/>
        <v>776</v>
      </c>
      <c r="BM14" s="317">
        <f t="shared" si="13"/>
        <v>1543.0833333333321</v>
      </c>
      <c r="BN14" s="317">
        <f t="shared" ref="BN14:BN22" si="20">BI14-SUM(AH14:AR14)</f>
        <v>34158</v>
      </c>
      <c r="BO14" s="594">
        <f t="shared" si="7"/>
        <v>-2454</v>
      </c>
    </row>
    <row r="15" spans="1:67" hidden="1" x14ac:dyDescent="0.55000000000000004">
      <c r="A15" s="7098"/>
      <c r="B15" s="190"/>
      <c r="C15" s="190" t="s">
        <v>47</v>
      </c>
      <c r="D15" s="448"/>
      <c r="E15" s="287">
        <v>7433</v>
      </c>
      <c r="F15" s="288">
        <v>7877</v>
      </c>
      <c r="G15" s="288">
        <v>8668</v>
      </c>
      <c r="H15" s="288">
        <v>7128</v>
      </c>
      <c r="I15" s="288">
        <v>8838</v>
      </c>
      <c r="J15" s="288">
        <v>7402</v>
      </c>
      <c r="K15" s="288">
        <v>7141</v>
      </c>
      <c r="L15" s="288">
        <v>7168</v>
      </c>
      <c r="M15" s="288">
        <v>10143</v>
      </c>
      <c r="N15" s="288">
        <v>10078</v>
      </c>
      <c r="O15" s="288">
        <v>8220</v>
      </c>
      <c r="P15" s="288">
        <v>6691</v>
      </c>
      <c r="Q15" s="288">
        <f t="shared" ref="Q15:Q22" si="21">SUM(E15:P15)</f>
        <v>96787</v>
      </c>
      <c r="R15" s="288">
        <f t="shared" ref="R15:R22" si="22">Q15/12</f>
        <v>8065.583333333333</v>
      </c>
      <c r="S15" s="1523">
        <v>8376</v>
      </c>
      <c r="T15" s="1524">
        <v>8739</v>
      </c>
      <c r="U15" s="1524">
        <v>7942</v>
      </c>
      <c r="V15" s="1524">
        <v>6048</v>
      </c>
      <c r="W15" s="1524">
        <v>7495</v>
      </c>
      <c r="X15" s="1524">
        <v>7024</v>
      </c>
      <c r="Y15" s="1524">
        <v>5492</v>
      </c>
      <c r="Z15" s="1524">
        <v>6447</v>
      </c>
      <c r="AA15" s="1524">
        <v>4186</v>
      </c>
      <c r="AB15" s="1524">
        <v>5471</v>
      </c>
      <c r="AC15" s="1524">
        <v>4505</v>
      </c>
      <c r="AD15" s="1524">
        <v>3993</v>
      </c>
      <c r="AE15" s="288">
        <f t="shared" ref="AE15:AE22" si="23">SUM(S15:AD15)</f>
        <v>75718</v>
      </c>
      <c r="AF15" s="288">
        <f t="shared" ref="AF15:AF22" si="24">AE15/12</f>
        <v>6309.833333333333</v>
      </c>
      <c r="AG15" s="288"/>
      <c r="AH15" s="2345">
        <v>10070</v>
      </c>
      <c r="AI15" s="2264">
        <v>7718</v>
      </c>
      <c r="AJ15" s="2264">
        <v>6846</v>
      </c>
      <c r="AK15" s="2264">
        <v>6141</v>
      </c>
      <c r="AL15" s="2264">
        <v>6030</v>
      </c>
      <c r="AM15" s="2264">
        <v>5517</v>
      </c>
      <c r="AN15" s="2264">
        <v>6413</v>
      </c>
      <c r="AO15" s="2264">
        <v>6943</v>
      </c>
      <c r="AP15" s="2264">
        <v>6319</v>
      </c>
      <c r="AQ15" s="2264">
        <v>5493</v>
      </c>
      <c r="AR15" s="2264">
        <v>4884</v>
      </c>
      <c r="AS15" s="1524">
        <v>0</v>
      </c>
      <c r="AT15" s="288">
        <f t="shared" ref="AT15:AT22" si="25">SUM(AH15:AS15)</f>
        <v>72374</v>
      </c>
      <c r="AU15" s="288">
        <f t="shared" si="3"/>
        <v>6031.166666666667</v>
      </c>
      <c r="AV15" s="288"/>
      <c r="AW15" s="1523">
        <v>4609</v>
      </c>
      <c r="AX15" s="2264">
        <v>6545</v>
      </c>
      <c r="AY15" s="2264">
        <v>7965</v>
      </c>
      <c r="AZ15" s="2264">
        <v>12665</v>
      </c>
      <c r="BA15" s="2264">
        <v>20653</v>
      </c>
      <c r="BB15" s="2264">
        <v>8318</v>
      </c>
      <c r="BC15" s="2264">
        <v>14672</v>
      </c>
      <c r="BD15" s="2264">
        <v>6710</v>
      </c>
      <c r="BE15" s="2264">
        <v>6567</v>
      </c>
      <c r="BF15" s="1524">
        <v>5250</v>
      </c>
      <c r="BG15" s="1524">
        <v>7713</v>
      </c>
      <c r="BH15" s="2264">
        <v>6358</v>
      </c>
      <c r="BI15" s="288">
        <f t="shared" ref="BI15:BI22" si="26">SUM(AW15:BH15)</f>
        <v>108025</v>
      </c>
      <c r="BJ15" s="288">
        <f t="shared" si="5"/>
        <v>9002.0833333333339</v>
      </c>
      <c r="BL15" s="317">
        <f t="shared" si="6"/>
        <v>6358</v>
      </c>
      <c r="BM15" s="317">
        <f t="shared" si="13"/>
        <v>2970.916666666667</v>
      </c>
      <c r="BN15" s="317">
        <f t="shared" si="20"/>
        <v>35651</v>
      </c>
      <c r="BO15" s="594">
        <f t="shared" si="7"/>
        <v>-1355</v>
      </c>
    </row>
    <row r="16" spans="1:67" hidden="1" x14ac:dyDescent="0.55000000000000004">
      <c r="A16" s="7098"/>
      <c r="B16" s="190"/>
      <c r="C16" s="247" t="s">
        <v>56</v>
      </c>
      <c r="D16" s="448"/>
      <c r="E16" s="287">
        <v>19365</v>
      </c>
      <c r="F16" s="288">
        <v>23421</v>
      </c>
      <c r="G16" s="288">
        <v>20568</v>
      </c>
      <c r="H16" s="288">
        <v>20716</v>
      </c>
      <c r="I16" s="288">
        <v>20349</v>
      </c>
      <c r="J16" s="288">
        <v>21888</v>
      </c>
      <c r="K16" s="288">
        <v>18216</v>
      </c>
      <c r="L16" s="288">
        <v>28945</v>
      </c>
      <c r="M16" s="288">
        <v>17323</v>
      </c>
      <c r="N16" s="288">
        <v>32729</v>
      </c>
      <c r="O16" s="288">
        <v>19314</v>
      </c>
      <c r="P16" s="288">
        <v>14673</v>
      </c>
      <c r="Q16" s="288">
        <f t="shared" si="21"/>
        <v>257507</v>
      </c>
      <c r="R16" s="288">
        <f t="shared" si="22"/>
        <v>21458.916666666668</v>
      </c>
      <c r="S16" s="1523">
        <f>13122+590</f>
        <v>13712</v>
      </c>
      <c r="T16" s="1524">
        <v>21528</v>
      </c>
      <c r="U16" s="1524">
        <v>16246</v>
      </c>
      <c r="V16" s="1524">
        <v>15496</v>
      </c>
      <c r="W16" s="1524">
        <f>W7-W26</f>
        <v>17352</v>
      </c>
      <c r="X16" s="1524">
        <v>15897</v>
      </c>
      <c r="Y16" s="1524">
        <f t="shared" ref="Y16:AD16" si="27">Y7-Y26</f>
        <v>14432</v>
      </c>
      <c r="Z16" s="1524">
        <f t="shared" si="27"/>
        <v>23498</v>
      </c>
      <c r="AA16" s="1524">
        <f t="shared" si="27"/>
        <v>14726</v>
      </c>
      <c r="AB16" s="1524">
        <f t="shared" si="27"/>
        <v>25332</v>
      </c>
      <c r="AC16" s="1524">
        <f t="shared" si="27"/>
        <v>14007</v>
      </c>
      <c r="AD16" s="1524">
        <f t="shared" si="27"/>
        <v>11937</v>
      </c>
      <c r="AE16" s="288">
        <f>SUM(S16:AD16)</f>
        <v>204163</v>
      </c>
      <c r="AF16" s="288">
        <f t="shared" si="24"/>
        <v>17013.583333333332</v>
      </c>
      <c r="AG16" s="288"/>
      <c r="AH16" s="2345">
        <v>22049</v>
      </c>
      <c r="AI16" s="2264">
        <v>12609</v>
      </c>
      <c r="AJ16" s="2264">
        <v>13061</v>
      </c>
      <c r="AK16" s="2264">
        <v>14463</v>
      </c>
      <c r="AL16" s="2264">
        <v>14041</v>
      </c>
      <c r="AM16" s="2264">
        <v>13252</v>
      </c>
      <c r="AN16" s="2264">
        <v>20579</v>
      </c>
      <c r="AO16" s="2264">
        <v>14118</v>
      </c>
      <c r="AP16" s="2264">
        <v>18920</v>
      </c>
      <c r="AQ16" s="2264">
        <v>18754</v>
      </c>
      <c r="AR16" s="2264">
        <v>14131</v>
      </c>
      <c r="AS16" s="1524">
        <v>856</v>
      </c>
      <c r="AT16" s="288">
        <f t="shared" si="25"/>
        <v>176833</v>
      </c>
      <c r="AU16" s="288">
        <f t="shared" si="3"/>
        <v>14736.083333333334</v>
      </c>
      <c r="AV16" s="288"/>
      <c r="AW16" s="1523">
        <v>9386</v>
      </c>
      <c r="AX16" s="2264">
        <v>21632</v>
      </c>
      <c r="AY16" s="2264">
        <v>12834</v>
      </c>
      <c r="AZ16" s="2264">
        <v>12454</v>
      </c>
      <c r="BA16" s="2264">
        <v>11563</v>
      </c>
      <c r="BB16" s="2264">
        <v>11865</v>
      </c>
      <c r="BC16" s="2264">
        <v>19959</v>
      </c>
      <c r="BD16" s="2264">
        <v>12800</v>
      </c>
      <c r="BE16" s="2264">
        <v>19363</v>
      </c>
      <c r="BF16" s="1524">
        <v>15625</v>
      </c>
      <c r="BG16" s="1524">
        <v>11158</v>
      </c>
      <c r="BH16" s="2264">
        <v>10059</v>
      </c>
      <c r="BI16" s="288">
        <f t="shared" si="26"/>
        <v>168698</v>
      </c>
      <c r="BJ16" s="288">
        <f t="shared" si="5"/>
        <v>14058.166666666666</v>
      </c>
      <c r="BL16" s="317">
        <f t="shared" si="6"/>
        <v>9203</v>
      </c>
      <c r="BM16" s="317">
        <f>BJ16-AU16</f>
        <v>-677.91666666666788</v>
      </c>
      <c r="BN16" s="317">
        <f t="shared" si="20"/>
        <v>-7279</v>
      </c>
      <c r="BO16" s="594">
        <f t="shared" si="7"/>
        <v>-1099</v>
      </c>
    </row>
    <row r="17" spans="1:67" x14ac:dyDescent="0.55000000000000004">
      <c r="A17" s="7098"/>
      <c r="B17" s="190" t="s">
        <v>48</v>
      </c>
      <c r="C17" s="190"/>
      <c r="D17" s="448"/>
      <c r="E17" s="287">
        <v>8508</v>
      </c>
      <c r="F17" s="288">
        <v>7063</v>
      </c>
      <c r="G17" s="288">
        <v>8553</v>
      </c>
      <c r="H17" s="288">
        <v>7420</v>
      </c>
      <c r="I17" s="288">
        <v>7119</v>
      </c>
      <c r="J17" s="288">
        <v>7159</v>
      </c>
      <c r="K17" s="288">
        <v>7182</v>
      </c>
      <c r="L17" s="288">
        <v>7012</v>
      </c>
      <c r="M17" s="288">
        <v>6245</v>
      </c>
      <c r="N17" s="288">
        <v>7306</v>
      </c>
      <c r="O17" s="288">
        <v>6745</v>
      </c>
      <c r="P17" s="288">
        <v>8269</v>
      </c>
      <c r="Q17" s="288">
        <f t="shared" si="21"/>
        <v>88581</v>
      </c>
      <c r="R17" s="288">
        <f t="shared" si="22"/>
        <v>7381.75</v>
      </c>
      <c r="S17" s="287">
        <v>7300</v>
      </c>
      <c r="T17" s="288">
        <v>7366</v>
      </c>
      <c r="U17" s="288">
        <v>7373</v>
      </c>
      <c r="V17" s="288">
        <v>7217</v>
      </c>
      <c r="W17" s="288">
        <v>8395</v>
      </c>
      <c r="X17" s="288">
        <v>7598</v>
      </c>
      <c r="Y17" s="288">
        <v>8786</v>
      </c>
      <c r="Z17" s="288">
        <v>9483</v>
      </c>
      <c r="AA17" s="288">
        <v>6920</v>
      </c>
      <c r="AB17" s="288">
        <v>8533</v>
      </c>
      <c r="AC17" s="288">
        <v>7682</v>
      </c>
      <c r="AD17" s="288">
        <v>7185</v>
      </c>
      <c r="AE17" s="288">
        <f t="shared" si="23"/>
        <v>93838</v>
      </c>
      <c r="AF17" s="288">
        <f t="shared" si="24"/>
        <v>7819.833333333333</v>
      </c>
      <c r="AG17" s="288"/>
      <c r="AH17" s="1528">
        <v>7988</v>
      </c>
      <c r="AI17" s="1527">
        <v>8249</v>
      </c>
      <c r="AJ17" s="1527">
        <v>7584</v>
      </c>
      <c r="AK17" s="1527">
        <v>7833</v>
      </c>
      <c r="AL17" s="1527">
        <v>7802</v>
      </c>
      <c r="AM17" s="1527">
        <v>7002</v>
      </c>
      <c r="AN17" s="1527">
        <v>7605</v>
      </c>
      <c r="AO17" s="1527">
        <v>7286</v>
      </c>
      <c r="AP17" s="1527">
        <v>6879</v>
      </c>
      <c r="AQ17" s="1527">
        <v>7341</v>
      </c>
      <c r="AR17" s="1527">
        <v>7322</v>
      </c>
      <c r="AS17" s="288">
        <v>7776</v>
      </c>
      <c r="AT17" s="288">
        <f t="shared" si="25"/>
        <v>90667</v>
      </c>
      <c r="AU17" s="288">
        <f t="shared" si="3"/>
        <v>7555.583333333333</v>
      </c>
      <c r="AV17" s="288"/>
      <c r="AW17" s="287">
        <v>6584</v>
      </c>
      <c r="AX17" s="1527">
        <v>7926</v>
      </c>
      <c r="AY17" s="1527">
        <v>7665</v>
      </c>
      <c r="AZ17" s="1527">
        <v>6992</v>
      </c>
      <c r="BA17" s="1527">
        <v>5878</v>
      </c>
      <c r="BB17" s="1527">
        <v>6308</v>
      </c>
      <c r="BC17" s="1527">
        <v>9055</v>
      </c>
      <c r="BD17" s="1527">
        <v>7814</v>
      </c>
      <c r="BE17" s="1527">
        <v>7417</v>
      </c>
      <c r="BF17" s="288">
        <v>8949</v>
      </c>
      <c r="BG17" s="288">
        <v>8666</v>
      </c>
      <c r="BH17" s="1527">
        <v>10017</v>
      </c>
      <c r="BI17" s="288">
        <f t="shared" si="26"/>
        <v>93271</v>
      </c>
      <c r="BJ17" s="288">
        <f t="shared" si="5"/>
        <v>7772.583333333333</v>
      </c>
      <c r="BL17" s="317">
        <f t="shared" si="6"/>
        <v>2241</v>
      </c>
      <c r="BM17" s="317">
        <f t="shared" si="13"/>
        <v>217</v>
      </c>
      <c r="BN17" s="317">
        <f t="shared" si="20"/>
        <v>10380</v>
      </c>
      <c r="BO17" s="594">
        <f t="shared" si="7"/>
        <v>1351</v>
      </c>
    </row>
    <row r="18" spans="1:67" x14ac:dyDescent="0.55000000000000004">
      <c r="A18" s="7098"/>
      <c r="B18" s="190" t="s">
        <v>59</v>
      </c>
      <c r="C18" s="190"/>
      <c r="D18" s="448"/>
      <c r="E18" s="287">
        <v>720</v>
      </c>
      <c r="F18" s="288">
        <v>345</v>
      </c>
      <c r="G18" s="288">
        <v>1670</v>
      </c>
      <c r="H18" s="288">
        <v>436</v>
      </c>
      <c r="I18" s="288">
        <v>697</v>
      </c>
      <c r="J18" s="288">
        <v>685</v>
      </c>
      <c r="K18" s="288">
        <v>455</v>
      </c>
      <c r="L18" s="288">
        <v>688</v>
      </c>
      <c r="M18" s="288">
        <v>510</v>
      </c>
      <c r="N18" s="288">
        <v>791</v>
      </c>
      <c r="O18" s="288">
        <v>433</v>
      </c>
      <c r="P18" s="288">
        <v>1436</v>
      </c>
      <c r="Q18" s="288">
        <f t="shared" si="21"/>
        <v>8866</v>
      </c>
      <c r="R18" s="288">
        <f t="shared" si="22"/>
        <v>738.83333333333337</v>
      </c>
      <c r="S18" s="287">
        <v>436</v>
      </c>
      <c r="T18" s="288">
        <v>432</v>
      </c>
      <c r="U18" s="288">
        <v>604</v>
      </c>
      <c r="V18" s="288">
        <v>506</v>
      </c>
      <c r="W18" s="288">
        <v>1046</v>
      </c>
      <c r="X18" s="288">
        <v>608</v>
      </c>
      <c r="Y18" s="288">
        <v>571</v>
      </c>
      <c r="Z18" s="288">
        <v>599</v>
      </c>
      <c r="AA18" s="288">
        <v>883</v>
      </c>
      <c r="AB18" s="288">
        <v>550</v>
      </c>
      <c r="AC18" s="288">
        <v>685</v>
      </c>
      <c r="AD18" s="288">
        <v>1259</v>
      </c>
      <c r="AE18" s="288">
        <f t="shared" si="23"/>
        <v>8179</v>
      </c>
      <c r="AF18" s="288">
        <f t="shared" si="24"/>
        <v>681.58333333333337</v>
      </c>
      <c r="AG18" s="288"/>
      <c r="AH18" s="1528">
        <v>511</v>
      </c>
      <c r="AI18" s="1527">
        <v>485</v>
      </c>
      <c r="AJ18" s="1527">
        <v>727</v>
      </c>
      <c r="AK18" s="1527">
        <v>787</v>
      </c>
      <c r="AL18" s="1527">
        <v>1149</v>
      </c>
      <c r="AM18" s="1527">
        <v>600</v>
      </c>
      <c r="AN18" s="1527">
        <v>619</v>
      </c>
      <c r="AO18" s="1527">
        <v>756</v>
      </c>
      <c r="AP18" s="1527">
        <v>699</v>
      </c>
      <c r="AQ18" s="1527">
        <v>689</v>
      </c>
      <c r="AR18" s="1527">
        <v>538</v>
      </c>
      <c r="AS18" s="288">
        <v>1645</v>
      </c>
      <c r="AT18" s="288">
        <f t="shared" si="25"/>
        <v>9205</v>
      </c>
      <c r="AU18" s="288">
        <f t="shared" si="3"/>
        <v>767.08333333333337</v>
      </c>
      <c r="AV18" s="288"/>
      <c r="AW18" s="287">
        <v>497</v>
      </c>
      <c r="AX18" s="1527">
        <v>485</v>
      </c>
      <c r="AY18" s="1527">
        <v>456</v>
      </c>
      <c r="AZ18" s="1527">
        <v>4399</v>
      </c>
      <c r="BA18" s="1527">
        <v>464</v>
      </c>
      <c r="BB18" s="1527">
        <v>902</v>
      </c>
      <c r="BC18" s="1527">
        <v>428</v>
      </c>
      <c r="BD18" s="1527">
        <v>512</v>
      </c>
      <c r="BE18" s="1527">
        <v>527</v>
      </c>
      <c r="BF18" s="288">
        <v>729</v>
      </c>
      <c r="BG18" s="288">
        <v>680</v>
      </c>
      <c r="BH18" s="1527">
        <v>887</v>
      </c>
      <c r="BI18" s="288">
        <f t="shared" si="26"/>
        <v>10966</v>
      </c>
      <c r="BJ18" s="288">
        <f t="shared" si="5"/>
        <v>913.83333333333337</v>
      </c>
      <c r="BL18" s="317">
        <f t="shared" si="6"/>
        <v>-758</v>
      </c>
      <c r="BM18" s="317">
        <f t="shared" si="13"/>
        <v>146.75</v>
      </c>
      <c r="BN18" s="317">
        <f t="shared" si="20"/>
        <v>3406</v>
      </c>
      <c r="BO18" s="594">
        <f t="shared" si="7"/>
        <v>207</v>
      </c>
    </row>
    <row r="19" spans="1:67" x14ac:dyDescent="0.55000000000000004">
      <c r="A19" s="7098"/>
      <c r="B19" s="190" t="s">
        <v>49</v>
      </c>
      <c r="C19" s="190"/>
      <c r="D19" s="448"/>
      <c r="E19" s="287">
        <f t="shared" ref="E19:J19" si="28">-(E22-(E14-E17-E20+E21))</f>
        <v>30149</v>
      </c>
      <c r="F19" s="288">
        <f t="shared" si="28"/>
        <v>8022</v>
      </c>
      <c r="G19" s="288">
        <f t="shared" si="28"/>
        <v>17388</v>
      </c>
      <c r="H19" s="288">
        <f t="shared" si="28"/>
        <v>17422</v>
      </c>
      <c r="I19" s="288">
        <f t="shared" si="28"/>
        <v>15569</v>
      </c>
      <c r="J19" s="288">
        <f t="shared" si="28"/>
        <v>16387</v>
      </c>
      <c r="K19" s="288">
        <f t="shared" ref="K19:P19" si="29">-(K22-(K14-K17-K20+K21))</f>
        <v>14818</v>
      </c>
      <c r="L19" s="288">
        <f t="shared" si="29"/>
        <v>22178</v>
      </c>
      <c r="M19" s="288">
        <f t="shared" si="29"/>
        <v>14226</v>
      </c>
      <c r="N19" s="288">
        <f t="shared" si="29"/>
        <v>25093</v>
      </c>
      <c r="O19" s="288">
        <f t="shared" si="29"/>
        <v>15398</v>
      </c>
      <c r="P19" s="288">
        <f t="shared" si="29"/>
        <v>14310</v>
      </c>
      <c r="Q19" s="288">
        <f t="shared" si="21"/>
        <v>210960</v>
      </c>
      <c r="R19" s="288">
        <f t="shared" si="22"/>
        <v>17580</v>
      </c>
      <c r="S19" s="287">
        <f>-(S22-(S14-S17-S20))</f>
        <v>29064</v>
      </c>
      <c r="T19" s="288">
        <f>-(T22-(T14-T17-T20))</f>
        <v>21917</v>
      </c>
      <c r="U19" s="288">
        <f>-(U22-(U14-U17-U20+U21))</f>
        <v>17184</v>
      </c>
      <c r="V19" s="288">
        <f t="shared" ref="V19:AD19" si="30">-(V22-(V14-V17-V20))</f>
        <v>8204</v>
      </c>
      <c r="W19" s="288">
        <f t="shared" si="30"/>
        <v>16819</v>
      </c>
      <c r="X19" s="288">
        <f t="shared" si="30"/>
        <v>15343</v>
      </c>
      <c r="Y19" s="288">
        <f t="shared" si="30"/>
        <v>14739</v>
      </c>
      <c r="Z19" s="288">
        <f t="shared" si="30"/>
        <v>25256</v>
      </c>
      <c r="AA19" s="288">
        <f t="shared" si="30"/>
        <v>15183</v>
      </c>
      <c r="AB19" s="288">
        <f t="shared" si="30"/>
        <v>28543</v>
      </c>
      <c r="AC19" s="288">
        <f t="shared" si="30"/>
        <v>14627</v>
      </c>
      <c r="AD19" s="288">
        <f t="shared" si="30"/>
        <v>12599</v>
      </c>
      <c r="AE19" s="288">
        <f t="shared" si="23"/>
        <v>219478</v>
      </c>
      <c r="AF19" s="288">
        <f t="shared" si="24"/>
        <v>18289.833333333332</v>
      </c>
      <c r="AG19" s="288"/>
      <c r="AH19" s="1528">
        <v>21389</v>
      </c>
      <c r="AI19" s="1527">
        <v>12757</v>
      </c>
      <c r="AJ19" s="1527">
        <v>12506</v>
      </c>
      <c r="AK19" s="1527">
        <v>13538</v>
      </c>
      <c r="AL19" s="1527">
        <v>11817.999999999998</v>
      </c>
      <c r="AM19" s="1527">
        <v>7604.9999999999982</v>
      </c>
      <c r="AN19" s="1527">
        <v>11962.999999999993</v>
      </c>
      <c r="AO19" s="1527">
        <v>2147.0000000000018</v>
      </c>
      <c r="AP19" s="1527">
        <v>16274</v>
      </c>
      <c r="AQ19" s="1527">
        <v>17268</v>
      </c>
      <c r="AR19" s="1527">
        <v>5586</v>
      </c>
      <c r="AS19" s="288">
        <v>7082</v>
      </c>
      <c r="AT19" s="288">
        <f t="shared" si="25"/>
        <v>139933</v>
      </c>
      <c r="AU19" s="288">
        <f t="shared" si="3"/>
        <v>11661.083333333334</v>
      </c>
      <c r="AV19" s="288"/>
      <c r="AW19" s="287">
        <v>9985</v>
      </c>
      <c r="AX19" s="1527">
        <v>19763</v>
      </c>
      <c r="AY19" s="1527">
        <v>13475</v>
      </c>
      <c r="AZ19" s="1527">
        <v>13572</v>
      </c>
      <c r="BA19" s="1527">
        <v>12473</v>
      </c>
      <c r="BB19" s="1527">
        <v>12539</v>
      </c>
      <c r="BC19" s="1527">
        <v>21830</v>
      </c>
      <c r="BD19" s="1527">
        <v>14351</v>
      </c>
      <c r="BE19" s="1527">
        <v>23243</v>
      </c>
      <c r="BF19" s="288">
        <v>14989</v>
      </c>
      <c r="BG19" s="288">
        <v>12970</v>
      </c>
      <c r="BH19" s="1527">
        <v>13018</v>
      </c>
      <c r="BI19" s="288">
        <f t="shared" si="26"/>
        <v>182208</v>
      </c>
      <c r="BJ19" s="288">
        <f t="shared" si="5"/>
        <v>15184</v>
      </c>
      <c r="BL19" s="317">
        <f t="shared" si="6"/>
        <v>5936</v>
      </c>
      <c r="BM19" s="317">
        <f t="shared" si="13"/>
        <v>3522.9166666666661</v>
      </c>
      <c r="BN19" s="317">
        <f t="shared" si="20"/>
        <v>49357</v>
      </c>
      <c r="BO19" s="594">
        <f t="shared" si="7"/>
        <v>48</v>
      </c>
    </row>
    <row r="20" spans="1:67" x14ac:dyDescent="0.55000000000000004">
      <c r="A20" s="7098"/>
      <c r="B20" s="190" t="s">
        <v>50</v>
      </c>
      <c r="C20" s="190"/>
      <c r="D20" s="448"/>
      <c r="E20" s="287">
        <v>4256</v>
      </c>
      <c r="F20" s="288">
        <v>5432</v>
      </c>
      <c r="G20" s="288">
        <v>4634</v>
      </c>
      <c r="H20" s="288">
        <v>4352</v>
      </c>
      <c r="I20" s="288">
        <v>5903</v>
      </c>
      <c r="J20" s="288">
        <v>4710</v>
      </c>
      <c r="K20" s="288">
        <v>4721</v>
      </c>
      <c r="L20" s="288">
        <v>5037</v>
      </c>
      <c r="M20" s="288">
        <v>4845</v>
      </c>
      <c r="N20" s="288">
        <v>4253</v>
      </c>
      <c r="O20" s="288">
        <v>6102</v>
      </c>
      <c r="P20" s="288">
        <v>3960</v>
      </c>
      <c r="Q20" s="288">
        <f t="shared" si="21"/>
        <v>58205</v>
      </c>
      <c r="R20" s="288">
        <f t="shared" si="22"/>
        <v>4850.416666666667</v>
      </c>
      <c r="S20" s="287">
        <v>4470</v>
      </c>
      <c r="T20" s="288">
        <v>4222</v>
      </c>
      <c r="U20" s="288">
        <v>4700</v>
      </c>
      <c r="V20" s="288">
        <v>3349</v>
      </c>
      <c r="W20" s="288">
        <v>3731</v>
      </c>
      <c r="X20" s="288">
        <v>3671</v>
      </c>
      <c r="Y20" s="288">
        <v>3660</v>
      </c>
      <c r="Z20" s="288">
        <v>3493</v>
      </c>
      <c r="AA20" s="288">
        <v>3071</v>
      </c>
      <c r="AB20" s="288">
        <v>3115</v>
      </c>
      <c r="AC20" s="288">
        <v>4003</v>
      </c>
      <c r="AD20" s="288">
        <v>2883</v>
      </c>
      <c r="AE20" s="288">
        <f t="shared" si="23"/>
        <v>44368</v>
      </c>
      <c r="AF20" s="288">
        <f t="shared" si="24"/>
        <v>3697.3333333333335</v>
      </c>
      <c r="AG20" s="288"/>
      <c r="AH20" s="1528">
        <v>3090</v>
      </c>
      <c r="AI20" s="1527">
        <v>2939</v>
      </c>
      <c r="AJ20" s="1527">
        <v>3413</v>
      </c>
      <c r="AK20" s="1527">
        <v>3778</v>
      </c>
      <c r="AL20" s="1527">
        <v>4768</v>
      </c>
      <c r="AM20" s="1527">
        <v>4265</v>
      </c>
      <c r="AN20" s="1527">
        <v>7069</v>
      </c>
      <c r="AO20" s="1527">
        <v>5768</v>
      </c>
      <c r="AP20" s="1527">
        <v>6381</v>
      </c>
      <c r="AQ20" s="1527">
        <v>10635</v>
      </c>
      <c r="AR20" s="1527">
        <v>9520</v>
      </c>
      <c r="AS20" s="288">
        <v>5839</v>
      </c>
      <c r="AT20" s="288">
        <f t="shared" si="25"/>
        <v>67465</v>
      </c>
      <c r="AU20" s="288">
        <f t="shared" si="3"/>
        <v>5622.083333333333</v>
      </c>
      <c r="AV20" s="288"/>
      <c r="AW20" s="287">
        <v>5763</v>
      </c>
      <c r="AX20" s="1527">
        <v>7139</v>
      </c>
      <c r="AY20" s="1527">
        <v>4676</v>
      </c>
      <c r="AZ20" s="1527">
        <v>8377</v>
      </c>
      <c r="BA20" s="1527">
        <v>5837</v>
      </c>
      <c r="BB20" s="1527">
        <v>8614</v>
      </c>
      <c r="BC20" s="1527">
        <v>10375</v>
      </c>
      <c r="BD20" s="1527">
        <v>9499</v>
      </c>
      <c r="BE20" s="1527">
        <v>8398</v>
      </c>
      <c r="BF20" s="288">
        <v>11969</v>
      </c>
      <c r="BG20" s="288">
        <v>10164</v>
      </c>
      <c r="BH20" s="1527">
        <v>9594</v>
      </c>
      <c r="BI20" s="288">
        <f t="shared" si="26"/>
        <v>100405</v>
      </c>
      <c r="BJ20" s="288">
        <f t="shared" si="5"/>
        <v>8367.0833333333339</v>
      </c>
      <c r="BL20" s="317">
        <f t="shared" si="6"/>
        <v>3755</v>
      </c>
      <c r="BM20" s="317">
        <f t="shared" si="13"/>
        <v>2745.0000000000009</v>
      </c>
      <c r="BN20" s="317">
        <f t="shared" si="20"/>
        <v>38779</v>
      </c>
      <c r="BO20" s="594">
        <f t="shared" si="7"/>
        <v>-570</v>
      </c>
    </row>
    <row r="21" spans="1:67" x14ac:dyDescent="0.55000000000000004">
      <c r="A21" s="7098"/>
      <c r="B21" t="s">
        <v>52</v>
      </c>
      <c r="D21" s="448"/>
      <c r="E21" s="287">
        <v>0</v>
      </c>
      <c r="F21" s="288">
        <v>0</v>
      </c>
      <c r="G21" s="288">
        <v>0</v>
      </c>
      <c r="H21" s="288">
        <v>0</v>
      </c>
      <c r="I21" s="288">
        <v>0</v>
      </c>
      <c r="J21" s="288">
        <v>45880</v>
      </c>
      <c r="K21" s="288">
        <v>0</v>
      </c>
      <c r="L21" s="288">
        <v>0</v>
      </c>
      <c r="M21" s="288">
        <v>40936</v>
      </c>
      <c r="N21" s="288">
        <v>0</v>
      </c>
      <c r="O21" s="288">
        <v>0</v>
      </c>
      <c r="P21" s="288">
        <v>29105</v>
      </c>
      <c r="Q21" s="288">
        <f t="shared" si="21"/>
        <v>115921</v>
      </c>
      <c r="R21" s="288">
        <f t="shared" si="22"/>
        <v>9660.0833333333339</v>
      </c>
      <c r="S21" s="287">
        <v>0</v>
      </c>
      <c r="T21" s="288">
        <v>0</v>
      </c>
      <c r="U21" s="288">
        <v>21575</v>
      </c>
      <c r="V21" s="288">
        <v>0</v>
      </c>
      <c r="W21" s="288">
        <v>0</v>
      </c>
      <c r="X21" s="288">
        <v>0</v>
      </c>
      <c r="Y21" s="288">
        <v>0</v>
      </c>
      <c r="Z21" s="288">
        <v>0</v>
      </c>
      <c r="AA21" s="288">
        <v>0</v>
      </c>
      <c r="AB21" s="288">
        <v>0</v>
      </c>
      <c r="AC21" s="288">
        <v>0</v>
      </c>
      <c r="AD21" s="288">
        <v>0</v>
      </c>
      <c r="AE21" s="288">
        <f t="shared" si="23"/>
        <v>21575</v>
      </c>
      <c r="AF21" s="288">
        <f t="shared" si="24"/>
        <v>1797.9166666666667</v>
      </c>
      <c r="AG21" s="288"/>
      <c r="AH21" s="1528">
        <v>0</v>
      </c>
      <c r="AI21" s="1527">
        <v>2096</v>
      </c>
      <c r="AJ21" s="1527">
        <v>1372</v>
      </c>
      <c r="AK21" s="1527">
        <v>239</v>
      </c>
      <c r="AL21" s="1527">
        <v>-605</v>
      </c>
      <c r="AM21" s="1527">
        <v>-551</v>
      </c>
      <c r="AN21" s="1527">
        <v>-247</v>
      </c>
      <c r="AO21" s="1527">
        <v>-409</v>
      </c>
      <c r="AP21" s="1527">
        <v>-567</v>
      </c>
      <c r="AQ21" s="1527">
        <v>-562</v>
      </c>
      <c r="AR21" s="1527">
        <v>-672</v>
      </c>
      <c r="AS21" s="1527">
        <v>-685</v>
      </c>
      <c r="AT21" s="288">
        <f t="shared" si="25"/>
        <v>-591</v>
      </c>
      <c r="AU21" s="288">
        <f t="shared" si="3"/>
        <v>-49.25</v>
      </c>
      <c r="AV21" s="288"/>
      <c r="AW21" s="287">
        <v>0</v>
      </c>
      <c r="AX21" s="1527">
        <v>10</v>
      </c>
      <c r="AY21" s="1527">
        <v>7</v>
      </c>
      <c r="AZ21" s="1527">
        <v>1</v>
      </c>
      <c r="BA21" s="1527">
        <v>4</v>
      </c>
      <c r="BB21" s="1527">
        <v>3</v>
      </c>
      <c r="BC21" s="1527">
        <v>0</v>
      </c>
      <c r="BD21" s="1527">
        <v>0</v>
      </c>
      <c r="BE21" s="1527">
        <v>2</v>
      </c>
      <c r="BF21" s="288">
        <v>0</v>
      </c>
      <c r="BG21" s="288">
        <v>0</v>
      </c>
      <c r="BH21" s="1527">
        <v>0</v>
      </c>
      <c r="BI21" s="288">
        <f t="shared" si="26"/>
        <v>27</v>
      </c>
      <c r="BJ21" s="288">
        <f t="shared" si="5"/>
        <v>2.25</v>
      </c>
      <c r="BL21" s="317">
        <f t="shared" si="6"/>
        <v>685</v>
      </c>
      <c r="BM21" s="317">
        <f t="shared" si="13"/>
        <v>51.5</v>
      </c>
      <c r="BN21" s="317">
        <f t="shared" si="20"/>
        <v>-67</v>
      </c>
      <c r="BO21" s="594">
        <f t="shared" si="7"/>
        <v>0</v>
      </c>
    </row>
    <row r="22" spans="1:67" ht="18" thickBot="1" x14ac:dyDescent="0.6">
      <c r="A22" s="7099"/>
      <c r="B22" s="86" t="s">
        <v>51</v>
      </c>
      <c r="C22" s="29"/>
      <c r="D22" s="453"/>
      <c r="E22" s="454">
        <f t="shared" ref="E22:O22" si="31">E13-D13</f>
        <v>-16115</v>
      </c>
      <c r="F22" s="453">
        <f t="shared" si="31"/>
        <v>10781</v>
      </c>
      <c r="G22" s="453">
        <f t="shared" si="31"/>
        <v>-1339</v>
      </c>
      <c r="H22" s="453">
        <f t="shared" si="31"/>
        <v>-1350</v>
      </c>
      <c r="I22" s="453">
        <f t="shared" si="31"/>
        <v>596</v>
      </c>
      <c r="J22" s="453">
        <f t="shared" si="31"/>
        <v>46914</v>
      </c>
      <c r="K22" s="453">
        <f t="shared" si="31"/>
        <v>-1364</v>
      </c>
      <c r="L22" s="453">
        <f t="shared" si="31"/>
        <v>1886</v>
      </c>
      <c r="M22" s="453">
        <f t="shared" si="31"/>
        <v>43086</v>
      </c>
      <c r="N22" s="453">
        <f t="shared" si="31"/>
        <v>6155</v>
      </c>
      <c r="O22" s="453">
        <f t="shared" si="31"/>
        <v>-711</v>
      </c>
      <c r="P22" s="453">
        <f>P13-O13</f>
        <v>23930</v>
      </c>
      <c r="Q22" s="453">
        <f t="shared" si="21"/>
        <v>112469</v>
      </c>
      <c r="R22" s="453">
        <f t="shared" si="22"/>
        <v>9372.4166666666661</v>
      </c>
      <c r="S22" s="454">
        <f>S13-P13</f>
        <v>-16073</v>
      </c>
      <c r="T22" s="453">
        <f>T13-S13</f>
        <v>664</v>
      </c>
      <c r="U22" s="453">
        <f t="shared" ref="U22:AD22" si="32">U13-T13</f>
        <v>18995</v>
      </c>
      <c r="V22" s="453">
        <f t="shared" si="32"/>
        <v>5035</v>
      </c>
      <c r="W22" s="453">
        <f t="shared" si="32"/>
        <v>-961</v>
      </c>
      <c r="X22" s="453">
        <f t="shared" si="32"/>
        <v>-748</v>
      </c>
      <c r="Y22" s="453">
        <f t="shared" si="32"/>
        <v>-4598</v>
      </c>
      <c r="Z22" s="453">
        <f t="shared" si="32"/>
        <v>-3307</v>
      </c>
      <c r="AA22" s="453">
        <f t="shared" si="32"/>
        <v>-4871</v>
      </c>
      <c r="AB22" s="453">
        <f t="shared" si="32"/>
        <v>-3570</v>
      </c>
      <c r="AC22" s="453">
        <f t="shared" si="32"/>
        <v>-5341</v>
      </c>
      <c r="AD22" s="453">
        <f t="shared" si="32"/>
        <v>-4838</v>
      </c>
      <c r="AE22" s="453">
        <f t="shared" si="23"/>
        <v>-19613</v>
      </c>
      <c r="AF22" s="453">
        <f t="shared" si="24"/>
        <v>-1634.4166666666667</v>
      </c>
      <c r="AG22" s="453"/>
      <c r="AH22" s="1536">
        <v>-677</v>
      </c>
      <c r="AI22" s="1533">
        <v>-6462</v>
      </c>
      <c r="AJ22" s="1533">
        <v>-6166</v>
      </c>
      <c r="AK22" s="1533">
        <v>-6020</v>
      </c>
      <c r="AL22" s="1533">
        <v>-4879</v>
      </c>
      <c r="AM22" s="1533">
        <v>-840</v>
      </c>
      <c r="AN22" s="1533">
        <v>-180</v>
      </c>
      <c r="AO22" s="1533">
        <v>5494</v>
      </c>
      <c r="AP22" s="1533">
        <v>-4805</v>
      </c>
      <c r="AQ22" s="1533">
        <v>-11718</v>
      </c>
      <c r="AR22" s="1533">
        <v>-3955</v>
      </c>
      <c r="AS22" s="453">
        <v>-5056</v>
      </c>
      <c r="AT22" s="453">
        <f t="shared" si="25"/>
        <v>-45264</v>
      </c>
      <c r="AU22" s="453">
        <f t="shared" si="3"/>
        <v>-3772</v>
      </c>
      <c r="AV22" s="453"/>
      <c r="AW22" s="454">
        <v>-8337</v>
      </c>
      <c r="AX22" s="1533">
        <v>-6661</v>
      </c>
      <c r="AY22" s="1533">
        <v>-5024</v>
      </c>
      <c r="AZ22" s="1533">
        <v>-3822</v>
      </c>
      <c r="BA22" s="1533">
        <v>8024</v>
      </c>
      <c r="BB22" s="1533">
        <v>-7281</v>
      </c>
      <c r="BC22" s="1533">
        <v>-6629</v>
      </c>
      <c r="BD22" s="1533">
        <v>-12154</v>
      </c>
      <c r="BE22" s="1533">
        <v>-13130</v>
      </c>
      <c r="BF22" s="453">
        <v>-14107</v>
      </c>
      <c r="BG22" s="453">
        <v>-10460</v>
      </c>
      <c r="BH22" s="1533">
        <v>-13146</v>
      </c>
      <c r="BI22" s="453">
        <f t="shared" si="26"/>
        <v>-92727</v>
      </c>
      <c r="BJ22" s="453">
        <f t="shared" si="5"/>
        <v>-7727.25</v>
      </c>
      <c r="BL22" s="317">
        <f t="shared" si="6"/>
        <v>-8090</v>
      </c>
      <c r="BM22" s="317">
        <f t="shared" si="13"/>
        <v>-3955.25</v>
      </c>
      <c r="BN22" s="317">
        <f t="shared" si="20"/>
        <v>-52519</v>
      </c>
      <c r="BO22" s="594">
        <f t="shared" si="7"/>
        <v>-2686</v>
      </c>
    </row>
    <row r="23" spans="1:67" x14ac:dyDescent="0.55000000000000004">
      <c r="A23" s="7097" t="s">
        <v>61</v>
      </c>
      <c r="B23" s="44" t="s">
        <v>44</v>
      </c>
      <c r="C23" s="28"/>
      <c r="D23" s="451">
        <v>756901</v>
      </c>
      <c r="E23" s="452">
        <v>756269</v>
      </c>
      <c r="F23" s="451">
        <v>761007</v>
      </c>
      <c r="G23" s="451">
        <v>764285</v>
      </c>
      <c r="H23" s="451">
        <v>770017</v>
      </c>
      <c r="I23" s="451">
        <v>775249</v>
      </c>
      <c r="J23" s="451">
        <v>780424</v>
      </c>
      <c r="K23" s="451">
        <v>783769</v>
      </c>
      <c r="L23" s="451">
        <v>778031</v>
      </c>
      <c r="M23" s="451">
        <v>775682</v>
      </c>
      <c r="N23" s="451">
        <v>780062</v>
      </c>
      <c r="O23" s="451">
        <v>781113</v>
      </c>
      <c r="P23" s="451">
        <v>779728</v>
      </c>
      <c r="Q23" s="451">
        <f>P23</f>
        <v>779728</v>
      </c>
      <c r="R23" s="451">
        <f>AVERAGE(E23:P23)</f>
        <v>773803</v>
      </c>
      <c r="S23" s="452">
        <v>779724</v>
      </c>
      <c r="T23" s="451">
        <v>780722</v>
      </c>
      <c r="U23" s="451">
        <v>779638</v>
      </c>
      <c r="V23" s="451">
        <v>778911</v>
      </c>
      <c r="W23" s="451">
        <v>776888</v>
      </c>
      <c r="X23" s="451">
        <v>774460</v>
      </c>
      <c r="Y23" s="451">
        <v>774140</v>
      </c>
      <c r="Z23" s="451">
        <v>774080</v>
      </c>
      <c r="AA23" s="451">
        <v>774579</v>
      </c>
      <c r="AB23" s="451">
        <v>778535</v>
      </c>
      <c r="AC23" s="451">
        <v>778067</v>
      </c>
      <c r="AD23" s="451">
        <v>775751</v>
      </c>
      <c r="AE23" s="451">
        <f>AD23</f>
        <v>775751</v>
      </c>
      <c r="AF23" s="451">
        <f>AVERAGE(S23:AD23)</f>
        <v>777124.58333333337</v>
      </c>
      <c r="AG23" s="451"/>
      <c r="AH23" s="1535">
        <v>777187</v>
      </c>
      <c r="AI23" s="1534">
        <v>779411</v>
      </c>
      <c r="AJ23" s="1534">
        <v>778155</v>
      </c>
      <c r="AK23" s="1534">
        <v>776021</v>
      </c>
      <c r="AL23" s="1534">
        <v>773540</v>
      </c>
      <c r="AM23" s="1534">
        <v>770644</v>
      </c>
      <c r="AN23" s="1534">
        <v>768036</v>
      </c>
      <c r="AO23" s="1534">
        <v>759356</v>
      </c>
      <c r="AP23" s="1534">
        <v>760184</v>
      </c>
      <c r="AQ23" s="1534">
        <v>756277</v>
      </c>
      <c r="AR23" s="1534">
        <v>744146</v>
      </c>
      <c r="AS23" s="451">
        <v>732488</v>
      </c>
      <c r="AT23" s="451">
        <f>INDEX($AH23:$AS23, 1, MATCH(0, $AH23:$AS23, -1))</f>
        <v>732488</v>
      </c>
      <c r="AU23" s="451">
        <f t="shared" si="3"/>
        <v>764620.41666666663</v>
      </c>
      <c r="AV23" s="451"/>
      <c r="AW23" s="452">
        <v>722118</v>
      </c>
      <c r="AX23" s="451">
        <v>716163</v>
      </c>
      <c r="AY23" s="451">
        <v>706173</v>
      </c>
      <c r="AZ23" s="1534">
        <v>700387</v>
      </c>
      <c r="BA23" s="451">
        <v>709512</v>
      </c>
      <c r="BB23" s="451">
        <v>702531</v>
      </c>
      <c r="BC23" s="451">
        <v>700688</v>
      </c>
      <c r="BD23" s="451">
        <v>688035</v>
      </c>
      <c r="BE23" s="451">
        <v>683212</v>
      </c>
      <c r="BF23" s="451">
        <v>673698</v>
      </c>
      <c r="BG23" s="451">
        <v>662831</v>
      </c>
      <c r="BH23" s="451">
        <v>651487</v>
      </c>
      <c r="BI23" s="444">
        <f>INDEX($AW23:$BH23, 1, MATCH(0, $AW23:$BH23, -1))</f>
        <v>651487</v>
      </c>
      <c r="BJ23" s="451">
        <f t="shared" si="5"/>
        <v>693069.58333333337</v>
      </c>
      <c r="BL23" s="317">
        <f t="shared" si="6"/>
        <v>-81001</v>
      </c>
      <c r="BM23" s="317">
        <f t="shared" si="13"/>
        <v>-71550.833333333256</v>
      </c>
      <c r="BN23" s="759">
        <f>HLOOKUP($A$2,$AW$2:$BH$400,ROW()-1,0)-HLOOKUP($A$2,$AH$2:$AS$400,ROW()-1,0)</f>
        <v>-81001</v>
      </c>
      <c r="BO23" s="594">
        <f t="shared" si="7"/>
        <v>-11344</v>
      </c>
    </row>
    <row r="24" spans="1:67" x14ac:dyDescent="0.55000000000000004">
      <c r="A24" s="7098"/>
      <c r="B24" s="446" t="s">
        <v>57</v>
      </c>
      <c r="C24" s="447"/>
      <c r="D24" s="286"/>
      <c r="E24" s="285">
        <f t="shared" ref="E24:P24" si="33">E25+E26</f>
        <v>24157</v>
      </c>
      <c r="F24" s="286">
        <f t="shared" si="33"/>
        <v>29417</v>
      </c>
      <c r="G24" s="286">
        <f t="shared" si="33"/>
        <v>26098</v>
      </c>
      <c r="H24" s="286">
        <f t="shared" si="33"/>
        <v>27402</v>
      </c>
      <c r="I24" s="286">
        <f t="shared" si="33"/>
        <v>28636</v>
      </c>
      <c r="J24" s="286">
        <f t="shared" si="33"/>
        <v>26511</v>
      </c>
      <c r="K24" s="286">
        <f t="shared" si="33"/>
        <v>24599</v>
      </c>
      <c r="L24" s="286">
        <f t="shared" si="33"/>
        <v>27981</v>
      </c>
      <c r="M24" s="286">
        <f t="shared" si="33"/>
        <v>20265</v>
      </c>
      <c r="N24" s="286">
        <f t="shared" si="33"/>
        <v>28569</v>
      </c>
      <c r="O24" s="286">
        <f t="shared" si="33"/>
        <v>21480</v>
      </c>
      <c r="P24" s="286">
        <f t="shared" si="33"/>
        <v>18473</v>
      </c>
      <c r="Q24" s="286">
        <f>SUM(E24:P24)</f>
        <v>303588</v>
      </c>
      <c r="R24" s="286">
        <f>Q24/12</f>
        <v>25299</v>
      </c>
      <c r="S24" s="285">
        <v>20072</v>
      </c>
      <c r="T24" s="286">
        <v>23849</v>
      </c>
      <c r="U24" s="286">
        <v>19298</v>
      </c>
      <c r="V24" s="286">
        <v>18484</v>
      </c>
      <c r="W24" s="286">
        <v>18803</v>
      </c>
      <c r="X24" s="286">
        <v>17372</v>
      </c>
      <c r="Y24" s="286">
        <v>20157</v>
      </c>
      <c r="Z24" s="286">
        <v>27642</v>
      </c>
      <c r="AA24" s="286">
        <v>19116</v>
      </c>
      <c r="AB24" s="286">
        <v>33846</v>
      </c>
      <c r="AC24" s="286">
        <v>20353</v>
      </c>
      <c r="AD24" s="286">
        <v>16803</v>
      </c>
      <c r="AE24" s="286">
        <f>SUM(S24:AD24)</f>
        <v>255795</v>
      </c>
      <c r="AF24" s="286">
        <f>AE24/12</f>
        <v>21316.25</v>
      </c>
      <c r="AG24" s="286"/>
      <c r="AH24" s="1530">
        <v>28977</v>
      </c>
      <c r="AI24" s="1529">
        <v>23681</v>
      </c>
      <c r="AJ24" s="1529">
        <v>26973</v>
      </c>
      <c r="AK24" s="1529">
        <v>27900</v>
      </c>
      <c r="AL24" s="1529">
        <v>29593</v>
      </c>
      <c r="AM24" s="1529">
        <v>26000</v>
      </c>
      <c r="AN24" s="1529">
        <v>34598</v>
      </c>
      <c r="AO24" s="1529">
        <v>27038</v>
      </c>
      <c r="AP24" s="1529">
        <v>42698</v>
      </c>
      <c r="AQ24" s="1529">
        <v>38004</v>
      </c>
      <c r="AR24" s="1529">
        <v>29542</v>
      </c>
      <c r="AS24" s="286">
        <v>25467</v>
      </c>
      <c r="AT24" s="286">
        <f>SUM(AH24:AS24)</f>
        <v>360471</v>
      </c>
      <c r="AU24" s="286">
        <f t="shared" si="3"/>
        <v>30039.25</v>
      </c>
      <c r="AV24" s="286"/>
      <c r="AW24" s="285">
        <v>24827</v>
      </c>
      <c r="AX24" s="1529">
        <v>46666</v>
      </c>
      <c r="AY24" s="1529">
        <v>29889</v>
      </c>
      <c r="AZ24" s="1529">
        <v>38967</v>
      </c>
      <c r="BA24" s="1529">
        <v>66692</v>
      </c>
      <c r="BB24" s="1529">
        <v>43382</v>
      </c>
      <c r="BC24" s="1529">
        <v>61341</v>
      </c>
      <c r="BD24" s="1529">
        <v>38039</v>
      </c>
      <c r="BE24" s="1529">
        <v>50297</v>
      </c>
      <c r="BF24" s="286">
        <v>41620</v>
      </c>
      <c r="BG24" s="286">
        <v>33730</v>
      </c>
      <c r="BH24" s="1529">
        <v>36318</v>
      </c>
      <c r="BI24" s="286">
        <f>SUM(AW24:BH24)</f>
        <v>511768</v>
      </c>
      <c r="BJ24" s="286">
        <f t="shared" si="5"/>
        <v>42647.333333333336</v>
      </c>
      <c r="BL24" s="317">
        <f t="shared" si="6"/>
        <v>10851</v>
      </c>
      <c r="BM24" s="317">
        <f t="shared" si="13"/>
        <v>12608.083333333336</v>
      </c>
      <c r="BN24" s="317">
        <f t="shared" ref="BN24:BN32" si="34">BI24-SUM(AH24:AR24)</f>
        <v>176764</v>
      </c>
      <c r="BO24" s="594">
        <f t="shared" si="7"/>
        <v>2588</v>
      </c>
    </row>
    <row r="25" spans="1:67" hidden="1" x14ac:dyDescent="0.55000000000000004">
      <c r="A25" s="7098"/>
      <c r="C25" t="s">
        <v>47</v>
      </c>
      <c r="D25" s="448"/>
      <c r="E25" s="287">
        <v>11864</v>
      </c>
      <c r="F25" s="288">
        <v>11267</v>
      </c>
      <c r="G25" s="288">
        <v>12030</v>
      </c>
      <c r="H25" s="288">
        <v>10413</v>
      </c>
      <c r="I25" s="288">
        <v>10527</v>
      </c>
      <c r="J25" s="288">
        <v>9651</v>
      </c>
      <c r="K25" s="288">
        <v>9007</v>
      </c>
      <c r="L25" s="288">
        <v>8867</v>
      </c>
      <c r="M25" s="288">
        <v>8596</v>
      </c>
      <c r="N25" s="288">
        <v>11481</v>
      </c>
      <c r="O25" s="288">
        <v>9732</v>
      </c>
      <c r="P25" s="288">
        <v>8071</v>
      </c>
      <c r="Q25" s="288">
        <f t="shared" ref="Q25:Q32" si="35">SUM(E25:P25)</f>
        <v>121506</v>
      </c>
      <c r="R25" s="288">
        <f t="shared" ref="R25:R32" si="36">Q25/12</f>
        <v>10125.5</v>
      </c>
      <c r="S25" s="1523">
        <f>S6-S15</f>
        <v>7714</v>
      </c>
      <c r="T25" s="1524">
        <f t="shared" ref="T25:AD25" si="37">T6-T15</f>
        <v>8509</v>
      </c>
      <c r="U25" s="1524">
        <f t="shared" si="37"/>
        <v>8556</v>
      </c>
      <c r="V25" s="1524">
        <f t="shared" si="37"/>
        <v>7884</v>
      </c>
      <c r="W25" s="1524">
        <f t="shared" si="37"/>
        <v>9503</v>
      </c>
      <c r="X25" s="1524">
        <f t="shared" si="37"/>
        <v>8943</v>
      </c>
      <c r="Y25" s="1524">
        <f t="shared" si="37"/>
        <v>11217</v>
      </c>
      <c r="Z25" s="1524">
        <f t="shared" si="37"/>
        <v>11765</v>
      </c>
      <c r="AA25" s="1524">
        <f t="shared" si="37"/>
        <v>11076</v>
      </c>
      <c r="AB25" s="1524">
        <f t="shared" si="37"/>
        <v>11931</v>
      </c>
      <c r="AC25" s="1524">
        <f t="shared" si="37"/>
        <v>10434</v>
      </c>
      <c r="AD25" s="1524">
        <f t="shared" si="37"/>
        <v>9091</v>
      </c>
      <c r="AE25" s="288">
        <f t="shared" ref="AE25:AE31" si="38">SUM(S25:AD25)</f>
        <v>116623</v>
      </c>
      <c r="AF25" s="288">
        <f t="shared" ref="AF25:AF32" si="39">AE25/12</f>
        <v>9718.5833333333339</v>
      </c>
      <c r="AG25" s="288"/>
      <c r="AH25" s="2345">
        <v>11088</v>
      </c>
      <c r="AI25" s="2264">
        <v>11094</v>
      </c>
      <c r="AJ25" s="2264">
        <v>14320</v>
      </c>
      <c r="AK25" s="2264">
        <v>14241</v>
      </c>
      <c r="AL25" s="2264">
        <v>17233</v>
      </c>
      <c r="AM25" s="2264">
        <v>15517</v>
      </c>
      <c r="AN25" s="2264">
        <v>14842</v>
      </c>
      <c r="AO25" s="2264">
        <v>12830</v>
      </c>
      <c r="AP25" s="2264">
        <v>12646</v>
      </c>
      <c r="AQ25" s="2264">
        <v>14569</v>
      </c>
      <c r="AR25" s="2264">
        <v>14378</v>
      </c>
      <c r="AS25" s="1524">
        <v>0</v>
      </c>
      <c r="AT25" s="288">
        <f t="shared" ref="AT25:AT32" si="40">SUM(AH25:AS25)</f>
        <v>152758</v>
      </c>
      <c r="AU25" s="288">
        <f t="shared" si="3"/>
        <v>12729.833333333334</v>
      </c>
      <c r="AV25" s="288"/>
      <c r="AW25" s="1523">
        <v>12525</v>
      </c>
      <c r="AX25" s="2264">
        <v>18359</v>
      </c>
      <c r="AY25" s="2264">
        <v>13723</v>
      </c>
      <c r="AZ25" s="2264">
        <v>21354</v>
      </c>
      <c r="BA25" s="2264">
        <v>47351</v>
      </c>
      <c r="BB25" s="2264">
        <v>24947</v>
      </c>
      <c r="BC25" s="2264">
        <v>34394</v>
      </c>
      <c r="BD25" s="2264">
        <v>14356</v>
      </c>
      <c r="BE25" s="2264">
        <v>16488</v>
      </c>
      <c r="BF25" s="1524">
        <v>14735</v>
      </c>
      <c r="BG25" s="1524">
        <v>13768</v>
      </c>
      <c r="BH25" s="2264">
        <v>15622</v>
      </c>
      <c r="BI25" s="288">
        <f t="shared" ref="BI25:BI32" si="41">SUM(AW25:BH25)</f>
        <v>247622</v>
      </c>
      <c r="BJ25" s="288">
        <f t="shared" si="5"/>
        <v>20635.166666666668</v>
      </c>
      <c r="BL25" s="317">
        <f t="shared" si="6"/>
        <v>15622</v>
      </c>
      <c r="BM25" s="317">
        <f t="shared" si="13"/>
        <v>7905.3333333333339</v>
      </c>
      <c r="BN25" s="317">
        <f t="shared" si="34"/>
        <v>94864</v>
      </c>
      <c r="BO25" s="594">
        <f t="shared" si="7"/>
        <v>1854</v>
      </c>
    </row>
    <row r="26" spans="1:67" hidden="1" x14ac:dyDescent="0.55000000000000004">
      <c r="A26" s="7098"/>
      <c r="C26" s="52" t="s">
        <v>56</v>
      </c>
      <c r="D26" s="448"/>
      <c r="E26" s="287">
        <v>12293</v>
      </c>
      <c r="F26" s="288">
        <v>18150</v>
      </c>
      <c r="G26" s="288">
        <v>14068</v>
      </c>
      <c r="H26" s="288">
        <v>16989</v>
      </c>
      <c r="I26" s="288">
        <v>18109</v>
      </c>
      <c r="J26" s="288">
        <v>16860</v>
      </c>
      <c r="K26" s="288">
        <v>15592</v>
      </c>
      <c r="L26" s="288">
        <v>19114</v>
      </c>
      <c r="M26" s="288">
        <v>11669</v>
      </c>
      <c r="N26" s="288">
        <v>17088</v>
      </c>
      <c r="O26" s="288">
        <v>11748</v>
      </c>
      <c r="P26" s="288">
        <v>10402</v>
      </c>
      <c r="Q26" s="288">
        <f t="shared" si="35"/>
        <v>182082</v>
      </c>
      <c r="R26" s="288">
        <f t="shared" si="36"/>
        <v>15173.5</v>
      </c>
      <c r="S26" s="1523">
        <v>15031</v>
      </c>
      <c r="T26" s="1524">
        <v>19242</v>
      </c>
      <c r="U26" s="1524">
        <v>13231</v>
      </c>
      <c r="V26" s="1524">
        <v>12861</v>
      </c>
      <c r="W26" s="1524">
        <v>12437</v>
      </c>
      <c r="X26" s="1524">
        <v>11372</v>
      </c>
      <c r="Y26" s="1524">
        <v>11603</v>
      </c>
      <c r="Z26" s="1524">
        <v>20857</v>
      </c>
      <c r="AA26" s="1524">
        <v>9431</v>
      </c>
      <c r="AB26" s="1524">
        <v>27733</v>
      </c>
      <c r="AC26" s="1524">
        <v>12378</v>
      </c>
      <c r="AD26" s="1524">
        <v>9611</v>
      </c>
      <c r="AE26" s="288">
        <f t="shared" si="38"/>
        <v>175787</v>
      </c>
      <c r="AF26" s="288">
        <f t="shared" si="39"/>
        <v>14648.916666666666</v>
      </c>
      <c r="AG26" s="288"/>
      <c r="AH26" s="2345">
        <v>17083</v>
      </c>
      <c r="AI26" s="2264">
        <v>11816</v>
      </c>
      <c r="AJ26" s="2264">
        <v>12653</v>
      </c>
      <c r="AK26" s="2264">
        <v>13659</v>
      </c>
      <c r="AL26" s="2264">
        <v>12360</v>
      </c>
      <c r="AM26" s="2264">
        <v>10484</v>
      </c>
      <c r="AN26" s="2264">
        <v>19756</v>
      </c>
      <c r="AO26" s="2264">
        <v>14209</v>
      </c>
      <c r="AP26" s="2264">
        <v>30053</v>
      </c>
      <c r="AQ26" s="2264">
        <v>23435</v>
      </c>
      <c r="AR26" s="2264">
        <v>15164</v>
      </c>
      <c r="AS26" s="1524">
        <v>0</v>
      </c>
      <c r="AT26" s="288">
        <f t="shared" si="40"/>
        <v>180672</v>
      </c>
      <c r="AU26" s="288">
        <f t="shared" si="3"/>
        <v>15056</v>
      </c>
      <c r="AV26" s="288"/>
      <c r="AW26" s="1523">
        <v>12302</v>
      </c>
      <c r="AX26" s="2264">
        <v>28307</v>
      </c>
      <c r="AY26" s="2264">
        <v>16166</v>
      </c>
      <c r="AZ26" s="2264">
        <v>17613</v>
      </c>
      <c r="BA26" s="2264">
        <v>19341</v>
      </c>
      <c r="BB26" s="2264">
        <v>18435</v>
      </c>
      <c r="BC26" s="2264">
        <v>26939</v>
      </c>
      <c r="BD26" s="2264">
        <v>23683</v>
      </c>
      <c r="BE26" s="2264">
        <v>33809</v>
      </c>
      <c r="BF26" s="1524"/>
      <c r="BG26" s="1524"/>
      <c r="BH26" s="2264"/>
      <c r="BI26" s="288">
        <f t="shared" si="41"/>
        <v>196595</v>
      </c>
      <c r="BJ26" s="288">
        <f t="shared" si="5"/>
        <v>21843.888888888891</v>
      </c>
      <c r="BL26" s="317">
        <f t="shared" si="6"/>
        <v>0</v>
      </c>
      <c r="BM26" s="317">
        <f t="shared" si="13"/>
        <v>6787.8888888888905</v>
      </c>
      <c r="BN26" s="317">
        <f t="shared" si="34"/>
        <v>15923</v>
      </c>
      <c r="BO26" s="594">
        <f t="shared" si="7"/>
        <v>0</v>
      </c>
    </row>
    <row r="27" spans="1:67" x14ac:dyDescent="0.55000000000000004">
      <c r="A27" s="7098"/>
      <c r="B27" t="s">
        <v>48</v>
      </c>
      <c r="D27" s="448"/>
      <c r="E27" s="287">
        <v>10901</v>
      </c>
      <c r="F27" s="288">
        <v>8601</v>
      </c>
      <c r="G27" s="288">
        <v>9298</v>
      </c>
      <c r="H27" s="288">
        <v>7697</v>
      </c>
      <c r="I27" s="288">
        <v>8309</v>
      </c>
      <c r="J27" s="288">
        <v>7655</v>
      </c>
      <c r="K27" s="288">
        <v>7351</v>
      </c>
      <c r="L27" s="288">
        <v>7826</v>
      </c>
      <c r="M27" s="288">
        <v>6823</v>
      </c>
      <c r="N27" s="288">
        <v>8099</v>
      </c>
      <c r="O27" s="288">
        <v>7673</v>
      </c>
      <c r="P27" s="288">
        <v>8509</v>
      </c>
      <c r="Q27" s="288">
        <f t="shared" si="35"/>
        <v>98742</v>
      </c>
      <c r="R27" s="288">
        <f t="shared" si="36"/>
        <v>8228.5</v>
      </c>
      <c r="S27" s="287">
        <v>7459</v>
      </c>
      <c r="T27" s="288">
        <v>7487</v>
      </c>
      <c r="U27" s="288">
        <v>7489</v>
      </c>
      <c r="V27" s="288">
        <v>7430</v>
      </c>
      <c r="W27" s="288">
        <v>8854</v>
      </c>
      <c r="X27" s="288">
        <v>8582</v>
      </c>
      <c r="Y27" s="288">
        <v>8947</v>
      </c>
      <c r="Z27" s="288">
        <v>9917</v>
      </c>
      <c r="AA27" s="288">
        <v>8783</v>
      </c>
      <c r="AB27" s="288">
        <v>9494</v>
      </c>
      <c r="AC27" s="288">
        <v>8942</v>
      </c>
      <c r="AD27" s="288">
        <v>8895</v>
      </c>
      <c r="AE27" s="288">
        <f t="shared" si="38"/>
        <v>102279</v>
      </c>
      <c r="AF27" s="288">
        <f t="shared" si="39"/>
        <v>8523.25</v>
      </c>
      <c r="AG27" s="288"/>
      <c r="AH27" s="1528">
        <v>9418</v>
      </c>
      <c r="AI27" s="1527">
        <v>8446</v>
      </c>
      <c r="AJ27" s="1527">
        <v>9545</v>
      </c>
      <c r="AK27" s="1527">
        <v>9631</v>
      </c>
      <c r="AL27" s="1527">
        <v>10583</v>
      </c>
      <c r="AM27" s="1527">
        <v>9085</v>
      </c>
      <c r="AN27" s="1527">
        <v>10119</v>
      </c>
      <c r="AO27" s="1527">
        <v>9502</v>
      </c>
      <c r="AP27" s="1527">
        <v>8891</v>
      </c>
      <c r="AQ27" s="1527">
        <v>9542</v>
      </c>
      <c r="AR27" s="1527">
        <v>10431</v>
      </c>
      <c r="AS27" s="288">
        <v>10531</v>
      </c>
      <c r="AT27" s="288">
        <f t="shared" si="40"/>
        <v>115724</v>
      </c>
      <c r="AU27" s="288">
        <f t="shared" si="3"/>
        <v>9643.6666666666661</v>
      </c>
      <c r="AV27" s="288"/>
      <c r="AW27" s="287">
        <v>8405</v>
      </c>
      <c r="AX27" s="1527">
        <v>10364</v>
      </c>
      <c r="AY27" s="1527">
        <v>9118</v>
      </c>
      <c r="AZ27" s="1527">
        <v>9064</v>
      </c>
      <c r="BA27" s="1527">
        <v>7775</v>
      </c>
      <c r="BB27" s="1527">
        <v>9688</v>
      </c>
      <c r="BC27" s="1527">
        <v>14560</v>
      </c>
      <c r="BD27" s="1527">
        <v>10139</v>
      </c>
      <c r="BE27" s="1527">
        <v>10545</v>
      </c>
      <c r="BF27" s="288">
        <v>8829</v>
      </c>
      <c r="BG27" s="288">
        <v>8707</v>
      </c>
      <c r="BH27" s="1527">
        <v>9567</v>
      </c>
      <c r="BI27" s="288">
        <f t="shared" si="41"/>
        <v>116761</v>
      </c>
      <c r="BJ27" s="288">
        <f t="shared" si="5"/>
        <v>9730.0833333333339</v>
      </c>
      <c r="BL27" s="317">
        <f t="shared" si="6"/>
        <v>-964</v>
      </c>
      <c r="BM27" s="317">
        <f t="shared" si="13"/>
        <v>86.416666666667879</v>
      </c>
      <c r="BN27" s="317">
        <f t="shared" si="34"/>
        <v>11568</v>
      </c>
      <c r="BO27" s="594">
        <f t="shared" si="7"/>
        <v>860</v>
      </c>
    </row>
    <row r="28" spans="1:67" x14ac:dyDescent="0.55000000000000004">
      <c r="A28" s="7098"/>
      <c r="B28" t="s">
        <v>59</v>
      </c>
      <c r="D28" s="448"/>
      <c r="E28" s="287">
        <v>1076</v>
      </c>
      <c r="F28" s="288">
        <v>394</v>
      </c>
      <c r="G28" s="288">
        <v>1298</v>
      </c>
      <c r="H28" s="288">
        <v>460</v>
      </c>
      <c r="I28" s="288">
        <v>1070</v>
      </c>
      <c r="J28" s="288">
        <v>810</v>
      </c>
      <c r="K28" s="288">
        <v>486</v>
      </c>
      <c r="L28" s="288">
        <v>928</v>
      </c>
      <c r="M28" s="288">
        <v>511</v>
      </c>
      <c r="N28" s="288">
        <v>476</v>
      </c>
      <c r="O28" s="288">
        <v>507</v>
      </c>
      <c r="P28" s="288">
        <v>1366</v>
      </c>
      <c r="Q28" s="288">
        <f t="shared" si="35"/>
        <v>9382</v>
      </c>
      <c r="R28" s="288">
        <f t="shared" si="36"/>
        <v>781.83333333333337</v>
      </c>
      <c r="S28" s="287">
        <v>482</v>
      </c>
      <c r="T28" s="288">
        <v>471</v>
      </c>
      <c r="U28" s="288">
        <v>514</v>
      </c>
      <c r="V28" s="288">
        <v>491</v>
      </c>
      <c r="W28" s="288">
        <v>1137</v>
      </c>
      <c r="X28" s="288">
        <v>618</v>
      </c>
      <c r="Y28" s="288">
        <v>510</v>
      </c>
      <c r="Z28" s="288">
        <v>545</v>
      </c>
      <c r="AA28" s="288">
        <v>833</v>
      </c>
      <c r="AB28" s="288">
        <v>490</v>
      </c>
      <c r="AC28" s="288">
        <v>544</v>
      </c>
      <c r="AD28" s="288">
        <v>1247</v>
      </c>
      <c r="AE28" s="288">
        <f t="shared" si="38"/>
        <v>7882</v>
      </c>
      <c r="AF28" s="288">
        <f t="shared" si="39"/>
        <v>656.83333333333337</v>
      </c>
      <c r="AG28" s="288"/>
      <c r="AH28" s="1528">
        <v>465</v>
      </c>
      <c r="AI28" s="1527">
        <v>504</v>
      </c>
      <c r="AJ28" s="1527">
        <v>595</v>
      </c>
      <c r="AK28" s="1527">
        <v>553</v>
      </c>
      <c r="AL28" s="1527">
        <v>1040</v>
      </c>
      <c r="AM28" s="1527">
        <v>551</v>
      </c>
      <c r="AN28" s="1527">
        <v>567</v>
      </c>
      <c r="AO28" s="1527">
        <v>658</v>
      </c>
      <c r="AP28" s="1527">
        <v>806</v>
      </c>
      <c r="AQ28" s="1527">
        <v>679</v>
      </c>
      <c r="AR28" s="1527">
        <v>939</v>
      </c>
      <c r="AS28" s="288">
        <v>1705</v>
      </c>
      <c r="AT28" s="288">
        <f t="shared" si="40"/>
        <v>9062</v>
      </c>
      <c r="AU28" s="288">
        <f t="shared" si="3"/>
        <v>755.16666666666663</v>
      </c>
      <c r="AV28" s="288"/>
      <c r="AW28" s="287">
        <v>817</v>
      </c>
      <c r="AX28" s="1527">
        <v>655</v>
      </c>
      <c r="AY28" s="1527">
        <v>627</v>
      </c>
      <c r="AZ28" s="1527">
        <v>670</v>
      </c>
      <c r="BA28" s="1527">
        <v>696</v>
      </c>
      <c r="BB28" s="1527">
        <v>1140</v>
      </c>
      <c r="BC28" s="1527">
        <v>703</v>
      </c>
      <c r="BD28" s="1527">
        <v>753</v>
      </c>
      <c r="BE28" s="1527">
        <v>593</v>
      </c>
      <c r="BF28" s="288">
        <v>594</v>
      </c>
      <c r="BG28" s="288">
        <v>570</v>
      </c>
      <c r="BH28" s="1527">
        <v>658</v>
      </c>
      <c r="BI28" s="288">
        <f t="shared" si="41"/>
        <v>8476</v>
      </c>
      <c r="BJ28" s="288">
        <f t="shared" si="5"/>
        <v>706.33333333333337</v>
      </c>
      <c r="BL28" s="317">
        <f t="shared" si="6"/>
        <v>-1047</v>
      </c>
      <c r="BM28" s="317">
        <f t="shared" si="13"/>
        <v>-48.833333333333258</v>
      </c>
      <c r="BN28" s="317">
        <f t="shared" si="34"/>
        <v>1119</v>
      </c>
      <c r="BO28" s="594">
        <f t="shared" si="7"/>
        <v>88</v>
      </c>
    </row>
    <row r="29" spans="1:67" x14ac:dyDescent="0.55000000000000004">
      <c r="A29" s="7098"/>
      <c r="B29" t="s">
        <v>49</v>
      </c>
      <c r="D29" s="448"/>
      <c r="E29" s="287">
        <f t="shared" ref="E29:P29" si="42">-(E32-(E24-E27-E30))</f>
        <v>10014</v>
      </c>
      <c r="F29" s="288">
        <f>-(F32-(F24-F27-F30-F31))</f>
        <v>6200</v>
      </c>
      <c r="G29" s="288">
        <f t="shared" si="42"/>
        <v>10099</v>
      </c>
      <c r="H29" s="288">
        <f t="shared" si="42"/>
        <v>9619</v>
      </c>
      <c r="I29" s="288">
        <f t="shared" si="42"/>
        <v>10717</v>
      </c>
      <c r="J29" s="288">
        <f t="shared" si="42"/>
        <v>10397</v>
      </c>
      <c r="K29" s="288">
        <f t="shared" si="42"/>
        <v>9782</v>
      </c>
      <c r="L29" s="288">
        <f t="shared" si="42"/>
        <v>13517</v>
      </c>
      <c r="M29" s="288">
        <f t="shared" si="42"/>
        <v>8900</v>
      </c>
      <c r="N29" s="288">
        <f t="shared" si="42"/>
        <v>12635</v>
      </c>
      <c r="O29" s="288">
        <f t="shared" si="42"/>
        <v>9026</v>
      </c>
      <c r="P29" s="288">
        <f t="shared" si="42"/>
        <v>7976</v>
      </c>
      <c r="Q29" s="288">
        <f t="shared" si="35"/>
        <v>118882</v>
      </c>
      <c r="R29" s="288">
        <f t="shared" si="36"/>
        <v>9906.8333333333339</v>
      </c>
      <c r="S29" s="287">
        <f t="shared" ref="S29:AD29" si="43">-(S32-(S24-S27-S30))</f>
        <v>9568</v>
      </c>
      <c r="T29" s="288">
        <f t="shared" si="43"/>
        <v>12737</v>
      </c>
      <c r="U29" s="288">
        <f t="shared" si="43"/>
        <v>9936</v>
      </c>
      <c r="V29" s="288">
        <f t="shared" si="43"/>
        <v>9459</v>
      </c>
      <c r="W29" s="288">
        <f t="shared" si="43"/>
        <v>9503</v>
      </c>
      <c r="X29" s="288">
        <f t="shared" si="43"/>
        <v>8691</v>
      </c>
      <c r="Y29" s="288">
        <f t="shared" si="43"/>
        <v>9070</v>
      </c>
      <c r="Z29" s="288">
        <f t="shared" si="43"/>
        <v>15143</v>
      </c>
      <c r="AA29" s="288">
        <f t="shared" si="43"/>
        <v>7475</v>
      </c>
      <c r="AB29" s="288">
        <f t="shared" si="43"/>
        <v>13085</v>
      </c>
      <c r="AC29" s="288">
        <f t="shared" si="43"/>
        <v>8938</v>
      </c>
      <c r="AD29" s="288">
        <f t="shared" si="43"/>
        <v>7772</v>
      </c>
      <c r="AE29" s="288">
        <f t="shared" si="38"/>
        <v>121377</v>
      </c>
      <c r="AF29" s="288">
        <f t="shared" si="39"/>
        <v>10114.75</v>
      </c>
      <c r="AG29" s="288"/>
      <c r="AH29" s="1528">
        <v>15433</v>
      </c>
      <c r="AI29" s="1527">
        <v>13756</v>
      </c>
      <c r="AJ29" s="1527">
        <v>18201</v>
      </c>
      <c r="AK29" s="1527">
        <v>18853</v>
      </c>
      <c r="AL29" s="1527">
        <v>18845</v>
      </c>
      <c r="AM29" s="1527">
        <v>17349</v>
      </c>
      <c r="AN29" s="1527">
        <v>23744</v>
      </c>
      <c r="AO29" s="1527">
        <v>22069</v>
      </c>
      <c r="AP29" s="1527">
        <v>29504</v>
      </c>
      <c r="AQ29" s="1527">
        <v>28773</v>
      </c>
      <c r="AR29" s="1527">
        <v>27537</v>
      </c>
      <c r="AS29" s="288">
        <v>22944</v>
      </c>
      <c r="AT29" s="288">
        <f t="shared" si="40"/>
        <v>257008</v>
      </c>
      <c r="AU29" s="288">
        <f t="shared" si="3"/>
        <v>21417.333333333332</v>
      </c>
      <c r="AV29" s="288"/>
      <c r="AW29" s="287">
        <v>23467</v>
      </c>
      <c r="AX29" s="1527">
        <v>38940</v>
      </c>
      <c r="AY29" s="1527">
        <v>27386</v>
      </c>
      <c r="AZ29" s="1527">
        <v>32570</v>
      </c>
      <c r="BA29" s="1527">
        <v>45777</v>
      </c>
      <c r="BB29" s="1527">
        <v>36821</v>
      </c>
      <c r="BC29" s="1527">
        <v>45176</v>
      </c>
      <c r="BD29" s="1527">
        <v>35306</v>
      </c>
      <c r="BE29" s="1527">
        <v>40578</v>
      </c>
      <c r="BF29" s="288">
        <v>37765</v>
      </c>
      <c r="BG29" s="288">
        <v>31122</v>
      </c>
      <c r="BH29" s="1527">
        <v>32788</v>
      </c>
      <c r="BI29" s="288">
        <f t="shared" si="41"/>
        <v>427696</v>
      </c>
      <c r="BJ29" s="288">
        <f t="shared" si="5"/>
        <v>35641.333333333336</v>
      </c>
      <c r="BL29" s="317">
        <f t="shared" si="6"/>
        <v>9844</v>
      </c>
      <c r="BM29" s="317">
        <f t="shared" si="13"/>
        <v>14224.000000000004</v>
      </c>
      <c r="BN29" s="317">
        <f t="shared" si="34"/>
        <v>193632</v>
      </c>
      <c r="BO29" s="594">
        <f t="shared" si="7"/>
        <v>1666</v>
      </c>
    </row>
    <row r="30" spans="1:67" x14ac:dyDescent="0.55000000000000004">
      <c r="A30" s="7098"/>
      <c r="B30" t="s">
        <v>50</v>
      </c>
      <c r="D30" s="448"/>
      <c r="E30" s="553">
        <v>3874</v>
      </c>
      <c r="F30" s="554">
        <v>9878</v>
      </c>
      <c r="G30" s="554">
        <v>3423</v>
      </c>
      <c r="H30" s="554">
        <v>4354</v>
      </c>
      <c r="I30" s="288">
        <v>4378</v>
      </c>
      <c r="J30" s="288">
        <v>3284</v>
      </c>
      <c r="K30" s="288">
        <v>4121</v>
      </c>
      <c r="L30" s="288">
        <v>12376</v>
      </c>
      <c r="M30" s="288">
        <v>6891</v>
      </c>
      <c r="N30" s="288">
        <v>3455</v>
      </c>
      <c r="O30" s="288">
        <v>3730</v>
      </c>
      <c r="P30" s="288">
        <v>3373</v>
      </c>
      <c r="Q30" s="288">
        <f t="shared" si="35"/>
        <v>63137</v>
      </c>
      <c r="R30" s="288">
        <f t="shared" si="36"/>
        <v>5261.416666666667</v>
      </c>
      <c r="S30" s="287">
        <v>3049</v>
      </c>
      <c r="T30" s="288">
        <v>2627</v>
      </c>
      <c r="U30" s="288">
        <v>2957</v>
      </c>
      <c r="V30" s="288">
        <v>2322</v>
      </c>
      <c r="W30" s="288">
        <v>2469</v>
      </c>
      <c r="X30" s="288">
        <v>2527</v>
      </c>
      <c r="Y30" s="288">
        <v>2460</v>
      </c>
      <c r="Z30" s="288">
        <v>2642</v>
      </c>
      <c r="AA30" s="288">
        <v>2359</v>
      </c>
      <c r="AB30" s="288">
        <v>7311</v>
      </c>
      <c r="AC30" s="288">
        <v>2941</v>
      </c>
      <c r="AD30" s="288">
        <v>2452</v>
      </c>
      <c r="AE30" s="288">
        <f t="shared" si="38"/>
        <v>36116</v>
      </c>
      <c r="AF30" s="288">
        <f t="shared" si="39"/>
        <v>3009.6666666666665</v>
      </c>
      <c r="AG30" s="288"/>
      <c r="AH30" s="1528">
        <v>2690</v>
      </c>
      <c r="AI30" s="1527">
        <v>2209</v>
      </c>
      <c r="AJ30" s="1527">
        <v>2409</v>
      </c>
      <c r="AK30" s="1527">
        <v>2355</v>
      </c>
      <c r="AL30" s="1527">
        <v>2656</v>
      </c>
      <c r="AM30" s="1527">
        <v>2474</v>
      </c>
      <c r="AN30" s="1527">
        <v>3343</v>
      </c>
      <c r="AO30" s="1527">
        <v>4147</v>
      </c>
      <c r="AP30" s="1527">
        <v>3475</v>
      </c>
      <c r="AQ30" s="1527">
        <v>3596</v>
      </c>
      <c r="AR30" s="1527">
        <v>3705</v>
      </c>
      <c r="AS30" s="288">
        <v>3650</v>
      </c>
      <c r="AT30" s="288">
        <f>SUM(AH30:AS30)</f>
        <v>36709</v>
      </c>
      <c r="AU30" s="288">
        <f t="shared" si="3"/>
        <v>3059.0833333333335</v>
      </c>
      <c r="AV30" s="288"/>
      <c r="AW30" s="287">
        <v>3325</v>
      </c>
      <c r="AX30" s="1527">
        <v>3327</v>
      </c>
      <c r="AY30" s="1527">
        <v>3382</v>
      </c>
      <c r="AZ30" s="1527">
        <v>3119</v>
      </c>
      <c r="BA30" s="1527">
        <v>4019</v>
      </c>
      <c r="BB30" s="1527">
        <v>3857</v>
      </c>
      <c r="BC30" s="1527">
        <v>3448</v>
      </c>
      <c r="BD30" s="1527">
        <v>5247</v>
      </c>
      <c r="BE30" s="1527">
        <v>3997</v>
      </c>
      <c r="BF30" s="288">
        <v>4540</v>
      </c>
      <c r="BG30" s="288">
        <v>4768</v>
      </c>
      <c r="BH30" s="1527">
        <v>5307</v>
      </c>
      <c r="BI30" s="288">
        <f t="shared" si="41"/>
        <v>48336</v>
      </c>
      <c r="BJ30" s="288">
        <f t="shared" si="5"/>
        <v>4028</v>
      </c>
      <c r="BL30" s="317">
        <f t="shared" si="6"/>
        <v>1657</v>
      </c>
      <c r="BM30" s="317">
        <f t="shared" si="13"/>
        <v>968.91666666666652</v>
      </c>
      <c r="BN30" s="317">
        <f t="shared" si="34"/>
        <v>15277</v>
      </c>
      <c r="BO30" s="594">
        <f t="shared" si="7"/>
        <v>539</v>
      </c>
    </row>
    <row r="31" spans="1:67" x14ac:dyDescent="0.55000000000000004">
      <c r="A31" s="7098"/>
      <c r="B31" t="s">
        <v>52</v>
      </c>
      <c r="D31" s="448"/>
      <c r="E31" s="287">
        <v>0</v>
      </c>
      <c r="F31" s="288">
        <v>0</v>
      </c>
      <c r="G31" s="288">
        <v>0</v>
      </c>
      <c r="H31" s="288">
        <v>0</v>
      </c>
      <c r="I31" s="288">
        <v>0</v>
      </c>
      <c r="J31" s="288">
        <v>0</v>
      </c>
      <c r="K31" s="288">
        <v>0</v>
      </c>
      <c r="L31" s="288">
        <v>0</v>
      </c>
      <c r="M31" s="288">
        <v>0</v>
      </c>
      <c r="N31" s="288">
        <v>0</v>
      </c>
      <c r="O31" s="288">
        <v>0</v>
      </c>
      <c r="P31" s="288">
        <v>0</v>
      </c>
      <c r="Q31" s="288">
        <f t="shared" si="35"/>
        <v>0</v>
      </c>
      <c r="R31" s="288">
        <f t="shared" si="36"/>
        <v>0</v>
      </c>
      <c r="S31" s="287">
        <v>0</v>
      </c>
      <c r="T31" s="288">
        <v>0</v>
      </c>
      <c r="U31" s="288">
        <v>0</v>
      </c>
      <c r="V31" s="288">
        <v>0</v>
      </c>
      <c r="W31" s="288">
        <v>0</v>
      </c>
      <c r="X31" s="288">
        <v>0</v>
      </c>
      <c r="Y31" s="288">
        <v>0</v>
      </c>
      <c r="Z31" s="288">
        <v>0</v>
      </c>
      <c r="AA31" s="288">
        <v>0</v>
      </c>
      <c r="AB31" s="288">
        <v>0</v>
      </c>
      <c r="AC31" s="288">
        <v>0</v>
      </c>
      <c r="AD31" s="288">
        <v>0</v>
      </c>
      <c r="AE31" s="288">
        <f t="shared" si="38"/>
        <v>0</v>
      </c>
      <c r="AF31" s="288">
        <f t="shared" si="39"/>
        <v>0</v>
      </c>
      <c r="AG31" s="288"/>
      <c r="AH31" s="1528">
        <v>0</v>
      </c>
      <c r="AI31" s="1527">
        <v>-2954</v>
      </c>
      <c r="AJ31" s="1527">
        <v>-1926</v>
      </c>
      <c r="AK31" s="1527">
        <v>-805</v>
      </c>
      <c r="AL31" s="1527">
        <v>-10</v>
      </c>
      <c r="AM31" s="1527">
        <v>-12</v>
      </c>
      <c r="AN31" s="1527">
        <v>0</v>
      </c>
      <c r="AO31" s="1527">
        <v>0</v>
      </c>
      <c r="AP31" s="1527">
        <v>0</v>
      </c>
      <c r="AQ31" s="1527">
        <v>0</v>
      </c>
      <c r="AR31" s="1527">
        <v>0</v>
      </c>
      <c r="AS31" s="1527">
        <v>0</v>
      </c>
      <c r="AT31" s="288">
        <f t="shared" si="40"/>
        <v>-5707</v>
      </c>
      <c r="AU31" s="288">
        <f t="shared" si="3"/>
        <v>-475.58333333333331</v>
      </c>
      <c r="AV31" s="288"/>
      <c r="AW31" s="287">
        <v>0</v>
      </c>
      <c r="AX31" s="1527">
        <v>-10</v>
      </c>
      <c r="AY31" s="1527">
        <v>-7</v>
      </c>
      <c r="AZ31" s="1527">
        <v>0</v>
      </c>
      <c r="BA31" s="1527">
        <v>-4</v>
      </c>
      <c r="BB31" s="1527">
        <v>-3</v>
      </c>
      <c r="BC31" s="1527">
        <v>0</v>
      </c>
      <c r="BD31" s="1527">
        <v>0</v>
      </c>
      <c r="BE31" s="1527">
        <v>0</v>
      </c>
      <c r="BF31" s="288">
        <v>0</v>
      </c>
      <c r="BG31" s="288">
        <v>0</v>
      </c>
      <c r="BH31" s="1527">
        <v>0</v>
      </c>
      <c r="BI31" s="288">
        <f t="shared" si="41"/>
        <v>-24</v>
      </c>
      <c r="BJ31" s="288">
        <f t="shared" si="5"/>
        <v>-2</v>
      </c>
      <c r="BL31" s="317">
        <f t="shared" si="6"/>
        <v>0</v>
      </c>
      <c r="BM31" s="317">
        <f t="shared" si="13"/>
        <v>473.58333333333331</v>
      </c>
      <c r="BN31" s="317">
        <f t="shared" si="34"/>
        <v>5683</v>
      </c>
      <c r="BO31" s="594">
        <f t="shared" si="7"/>
        <v>0</v>
      </c>
    </row>
    <row r="32" spans="1:67" x14ac:dyDescent="0.55000000000000004">
      <c r="A32" s="7099"/>
      <c r="B32" s="86" t="s">
        <v>51</v>
      </c>
      <c r="C32" s="29"/>
      <c r="D32" s="453"/>
      <c r="E32" s="454">
        <f>E23-D23</f>
        <v>-632</v>
      </c>
      <c r="F32" s="453">
        <f>F23-E23</f>
        <v>4738</v>
      </c>
      <c r="G32" s="453">
        <f t="shared" ref="G32:P32" si="44">G23-F23</f>
        <v>3278</v>
      </c>
      <c r="H32" s="453">
        <f t="shared" si="44"/>
        <v>5732</v>
      </c>
      <c r="I32" s="453">
        <f t="shared" si="44"/>
        <v>5232</v>
      </c>
      <c r="J32" s="453">
        <f t="shared" si="44"/>
        <v>5175</v>
      </c>
      <c r="K32" s="453">
        <f t="shared" si="44"/>
        <v>3345</v>
      </c>
      <c r="L32" s="453">
        <f t="shared" si="44"/>
        <v>-5738</v>
      </c>
      <c r="M32" s="453">
        <f t="shared" si="44"/>
        <v>-2349</v>
      </c>
      <c r="N32" s="453">
        <f t="shared" si="44"/>
        <v>4380</v>
      </c>
      <c r="O32" s="453">
        <f t="shared" si="44"/>
        <v>1051</v>
      </c>
      <c r="P32" s="453">
        <f t="shared" si="44"/>
        <v>-1385</v>
      </c>
      <c r="Q32" s="453">
        <f t="shared" si="35"/>
        <v>22827</v>
      </c>
      <c r="R32" s="453">
        <f t="shared" si="36"/>
        <v>1902.25</v>
      </c>
      <c r="S32" s="454">
        <f>S23-P23</f>
        <v>-4</v>
      </c>
      <c r="T32" s="453">
        <f t="shared" ref="T32:AC32" si="45">T23-S23</f>
        <v>998</v>
      </c>
      <c r="U32" s="453">
        <f t="shared" si="45"/>
        <v>-1084</v>
      </c>
      <c r="V32" s="453">
        <f t="shared" si="45"/>
        <v>-727</v>
      </c>
      <c r="W32" s="453">
        <f t="shared" si="45"/>
        <v>-2023</v>
      </c>
      <c r="X32" s="453">
        <f t="shared" si="45"/>
        <v>-2428</v>
      </c>
      <c r="Y32" s="453">
        <f t="shared" si="45"/>
        <v>-320</v>
      </c>
      <c r="Z32" s="453">
        <f t="shared" si="45"/>
        <v>-60</v>
      </c>
      <c r="AA32" s="453">
        <f t="shared" si="45"/>
        <v>499</v>
      </c>
      <c r="AB32" s="453">
        <f t="shared" si="45"/>
        <v>3956</v>
      </c>
      <c r="AC32" s="453">
        <f t="shared" si="45"/>
        <v>-468</v>
      </c>
      <c r="AD32" s="453">
        <f>AD23-AC23</f>
        <v>-2316</v>
      </c>
      <c r="AE32" s="453">
        <f>SUM(S32:AD32)</f>
        <v>-3977</v>
      </c>
      <c r="AF32" s="453">
        <f t="shared" si="39"/>
        <v>-331.41666666666669</v>
      </c>
      <c r="AG32" s="453"/>
      <c r="AH32" s="1536">
        <v>1436</v>
      </c>
      <c r="AI32" s="1533">
        <v>2224</v>
      </c>
      <c r="AJ32" s="1533">
        <v>-1256</v>
      </c>
      <c r="AK32" s="1533">
        <v>-2134</v>
      </c>
      <c r="AL32" s="1533">
        <v>-2481</v>
      </c>
      <c r="AM32" s="1533">
        <v>-2896</v>
      </c>
      <c r="AN32" s="1533">
        <v>-2608</v>
      </c>
      <c r="AO32" s="1533">
        <v>-8680</v>
      </c>
      <c r="AP32" s="1533">
        <v>828</v>
      </c>
      <c r="AQ32" s="1533">
        <v>-3907</v>
      </c>
      <c r="AR32" s="1533">
        <v>-12131</v>
      </c>
      <c r="AS32" s="453">
        <v>-11658</v>
      </c>
      <c r="AT32" s="453">
        <f t="shared" si="40"/>
        <v>-43263</v>
      </c>
      <c r="AU32" s="453">
        <f t="shared" si="3"/>
        <v>-3605.25</v>
      </c>
      <c r="AV32" s="453"/>
      <c r="AW32" s="454">
        <v>-10370</v>
      </c>
      <c r="AX32" s="1533">
        <v>-5955</v>
      </c>
      <c r="AY32" s="1533">
        <v>-9990</v>
      </c>
      <c r="AZ32" s="1533">
        <v>-5786</v>
      </c>
      <c r="BA32" s="1533">
        <v>9125</v>
      </c>
      <c r="BB32" s="1533">
        <v>-6981</v>
      </c>
      <c r="BC32" s="1533">
        <v>-1843</v>
      </c>
      <c r="BD32" s="1533">
        <v>-12653</v>
      </c>
      <c r="BE32" s="1533">
        <v>-4823</v>
      </c>
      <c r="BF32" s="453">
        <v>-9514</v>
      </c>
      <c r="BG32" s="453">
        <v>-10867</v>
      </c>
      <c r="BH32" s="1533">
        <v>-11344</v>
      </c>
      <c r="BI32" s="453">
        <f t="shared" si="41"/>
        <v>-81001</v>
      </c>
      <c r="BJ32" s="453">
        <f t="shared" si="5"/>
        <v>-6750.083333333333</v>
      </c>
      <c r="BL32" s="317">
        <f t="shared" si="6"/>
        <v>314</v>
      </c>
      <c r="BM32" s="317">
        <f t="shared" si="13"/>
        <v>-3144.833333333333</v>
      </c>
      <c r="BN32" s="317">
        <f t="shared" si="34"/>
        <v>-49396</v>
      </c>
      <c r="BO32" s="594">
        <f t="shared" si="7"/>
        <v>-477</v>
      </c>
    </row>
    <row r="33" spans="1:67" ht="2.4" customHeight="1" thickBot="1" x14ac:dyDescent="0.6">
      <c r="A33" s="52"/>
      <c r="D33" s="322"/>
      <c r="E33" s="322"/>
      <c r="F33" s="448"/>
      <c r="G33" s="448"/>
      <c r="H33" s="448"/>
      <c r="I33" s="448"/>
      <c r="J33" s="448"/>
      <c r="K33" s="448"/>
      <c r="L33" s="448"/>
      <c r="M33" s="448"/>
      <c r="N33" s="448"/>
      <c r="O33" s="448"/>
      <c r="P33" s="448"/>
      <c r="Q33" s="448"/>
      <c r="R33" s="448"/>
      <c r="S33" s="322"/>
      <c r="T33" s="448"/>
      <c r="U33" s="448"/>
      <c r="V33" s="448"/>
      <c r="W33" s="448"/>
      <c r="X33" s="448"/>
      <c r="Y33" s="448"/>
      <c r="Z33" s="448"/>
      <c r="AA33" s="448"/>
      <c r="AB33" s="448"/>
      <c r="AC33" s="448"/>
      <c r="AD33" s="448"/>
      <c r="AE33" s="448"/>
      <c r="AF33" s="448"/>
      <c r="AG33" s="448"/>
      <c r="AH33" s="322"/>
      <c r="AI33" s="448"/>
      <c r="AJ33" s="448"/>
      <c r="AK33" s="448"/>
      <c r="AL33" s="448"/>
      <c r="AM33" s="448"/>
      <c r="AN33" s="448"/>
      <c r="AO33" s="448"/>
      <c r="AP33" s="448"/>
      <c r="AQ33" s="451"/>
      <c r="AR33" s="448"/>
      <c r="AS33" s="448"/>
      <c r="AT33" s="448"/>
      <c r="AU33" s="448" t="e">
        <f t="shared" si="3"/>
        <v>#DIV/0!</v>
      </c>
      <c r="AV33" s="448"/>
      <c r="AW33" s="322"/>
      <c r="AX33" s="448"/>
      <c r="AY33" s="448"/>
      <c r="AZ33" s="448"/>
      <c r="BA33" s="448"/>
      <c r="BB33" s="448"/>
      <c r="BC33" s="448"/>
      <c r="BD33" s="1537"/>
      <c r="BE33" s="448"/>
      <c r="BF33" s="451"/>
      <c r="BG33" s="448"/>
      <c r="BH33" s="448"/>
      <c r="BI33" s="448"/>
      <c r="BJ33" s="448"/>
      <c r="BL33" s="317">
        <f t="shared" si="6"/>
        <v>0</v>
      </c>
      <c r="BM33" s="317" t="e">
        <f t="shared" si="13"/>
        <v>#DIV/0!</v>
      </c>
      <c r="BN33" s="317">
        <f t="shared" ref="BN33" si="46">BI33-AH33</f>
        <v>0</v>
      </c>
      <c r="BO33" s="594">
        <f t="shared" si="7"/>
        <v>0</v>
      </c>
    </row>
    <row r="34" spans="1:67" x14ac:dyDescent="0.55000000000000004">
      <c r="A34" s="7100" t="s">
        <v>53</v>
      </c>
      <c r="B34" s="44" t="s">
        <v>44</v>
      </c>
      <c r="C34" s="28"/>
      <c r="D34" s="451">
        <v>505344</v>
      </c>
      <c r="E34" s="452">
        <v>502982</v>
      </c>
      <c r="F34" s="451">
        <v>497847</v>
      </c>
      <c r="G34" s="451">
        <v>486092</v>
      </c>
      <c r="H34" s="451">
        <v>478715</v>
      </c>
      <c r="I34" s="451">
        <v>476087</v>
      </c>
      <c r="J34" s="451">
        <v>466804</v>
      </c>
      <c r="K34" s="451">
        <v>459112</v>
      </c>
      <c r="L34" s="451">
        <v>454681</v>
      </c>
      <c r="M34" s="451">
        <v>443137</v>
      </c>
      <c r="N34" s="451">
        <v>427592</v>
      </c>
      <c r="O34" s="451">
        <v>408463</v>
      </c>
      <c r="P34" s="451">
        <v>419278</v>
      </c>
      <c r="Q34" s="451">
        <f>P34</f>
        <v>419278</v>
      </c>
      <c r="R34" s="451">
        <f>AVERAGE(E34:P34)</f>
        <v>460065.83333333331</v>
      </c>
      <c r="S34" s="452">
        <v>411876</v>
      </c>
      <c r="T34" s="451">
        <v>406172</v>
      </c>
      <c r="U34" s="451">
        <v>394966</v>
      </c>
      <c r="V34" s="451">
        <v>397471</v>
      </c>
      <c r="W34" s="451">
        <v>397780</v>
      </c>
      <c r="X34" s="451">
        <v>398545</v>
      </c>
      <c r="Y34" s="451">
        <v>400986</v>
      </c>
      <c r="Z34" s="451">
        <v>404550</v>
      </c>
      <c r="AA34" s="451">
        <v>410132</v>
      </c>
      <c r="AB34" s="451">
        <v>413864</v>
      </c>
      <c r="AC34" s="451">
        <v>419133</v>
      </c>
      <c r="AD34" s="451">
        <v>422904</v>
      </c>
      <c r="AE34" s="451">
        <f>AD34</f>
        <v>422904</v>
      </c>
      <c r="AF34" s="451">
        <f>AVERAGE(S34:AD34)</f>
        <v>406531.58333333331</v>
      </c>
      <c r="AG34" s="451"/>
      <c r="AH34" s="452">
        <v>423790</v>
      </c>
      <c r="AI34" s="451">
        <v>407221</v>
      </c>
      <c r="AJ34" s="451">
        <v>407097</v>
      </c>
      <c r="AK34" s="451">
        <v>387183</v>
      </c>
      <c r="AL34" s="451">
        <v>374888</v>
      </c>
      <c r="AM34" s="451">
        <v>374994</v>
      </c>
      <c r="AN34" s="451">
        <v>370613</v>
      </c>
      <c r="AO34" s="451">
        <v>362922</v>
      </c>
      <c r="AP34" s="451">
        <v>360865</v>
      </c>
      <c r="AQ34" s="451">
        <v>360050</v>
      </c>
      <c r="AR34" s="451">
        <v>354868</v>
      </c>
      <c r="AS34" s="451">
        <v>356356</v>
      </c>
      <c r="AT34" s="451">
        <f>INDEX($AH34:$AS34, 1, MATCH(0, $AH34:$AS34, -1))</f>
        <v>356356</v>
      </c>
      <c r="AU34" s="451">
        <f t="shared" si="3"/>
        <v>378403.91666666669</v>
      </c>
      <c r="AV34" s="451"/>
      <c r="AW34" s="1535">
        <v>357535</v>
      </c>
      <c r="AX34" s="1534">
        <v>354197</v>
      </c>
      <c r="AY34" s="1534">
        <v>348912</v>
      </c>
      <c r="AZ34" s="1534">
        <v>353944</v>
      </c>
      <c r="BA34" s="1534">
        <v>355534</v>
      </c>
      <c r="BB34" s="1534">
        <v>351173</v>
      </c>
      <c r="BC34" s="451">
        <v>351748</v>
      </c>
      <c r="BD34" s="1534">
        <v>350150</v>
      </c>
      <c r="BE34" s="1534">
        <v>354955</v>
      </c>
      <c r="BF34" s="451">
        <v>352521</v>
      </c>
      <c r="BG34" s="451">
        <v>351881</v>
      </c>
      <c r="BH34" s="1534">
        <v>352210</v>
      </c>
      <c r="BI34" s="444">
        <f>INDEX($AW34:$BH34, 1, MATCH(0, $AW34:$BH34, -1))</f>
        <v>352210</v>
      </c>
      <c r="BJ34" s="451">
        <f t="shared" si="5"/>
        <v>352896.66666666669</v>
      </c>
      <c r="BL34" s="317">
        <f t="shared" si="6"/>
        <v>-4146</v>
      </c>
      <c r="BM34" s="317">
        <f t="shared" si="13"/>
        <v>-25507.25</v>
      </c>
      <c r="BN34" s="759">
        <f>HLOOKUP($A$2,$AW$2:$BH$400,ROW()-1,0)-HLOOKUP($A$2,$AH$2:$AS$400,ROW()-1,0)</f>
        <v>-4146</v>
      </c>
      <c r="BO34" s="594">
        <f t="shared" si="7"/>
        <v>329</v>
      </c>
    </row>
    <row r="35" spans="1:67" x14ac:dyDescent="0.55000000000000004">
      <c r="A35" s="7101"/>
      <c r="B35" t="s">
        <v>47</v>
      </c>
      <c r="E35" s="287">
        <v>10034</v>
      </c>
      <c r="F35" s="288">
        <v>12077</v>
      </c>
      <c r="G35" s="288">
        <v>12628</v>
      </c>
      <c r="H35" s="288">
        <v>9921</v>
      </c>
      <c r="I35" s="288">
        <v>10589</v>
      </c>
      <c r="J35" s="288">
        <v>9739</v>
      </c>
      <c r="K35" s="288">
        <v>10675</v>
      </c>
      <c r="L35" s="288">
        <v>7347</v>
      </c>
      <c r="M35" s="288">
        <v>6973</v>
      </c>
      <c r="N35" s="288">
        <v>6648</v>
      </c>
      <c r="O35" s="288">
        <v>8848</v>
      </c>
      <c r="P35" s="288">
        <v>21209</v>
      </c>
      <c r="Q35" s="288">
        <f>SUM(E35:P35)</f>
        <v>126688</v>
      </c>
      <c r="R35" s="288">
        <f>Q35/12</f>
        <v>10557.333333333334</v>
      </c>
      <c r="S35" s="287">
        <v>10932</v>
      </c>
      <c r="T35" s="288">
        <v>5657</v>
      </c>
      <c r="U35" s="288">
        <v>5068</v>
      </c>
      <c r="V35" s="288">
        <v>10620</v>
      </c>
      <c r="W35" s="288">
        <v>5758</v>
      </c>
      <c r="X35" s="288">
        <v>9038</v>
      </c>
      <c r="Y35" s="288">
        <v>8317</v>
      </c>
      <c r="Z35" s="288">
        <v>10015</v>
      </c>
      <c r="AA35" s="288">
        <v>11650</v>
      </c>
      <c r="AB35" s="288">
        <v>7865</v>
      </c>
      <c r="AC35" s="288">
        <v>9912</v>
      </c>
      <c r="AD35" s="288">
        <v>8568</v>
      </c>
      <c r="AE35" s="288">
        <f>SUM(S35:AD35)</f>
        <v>103400</v>
      </c>
      <c r="AF35" s="288">
        <f>AE35/12</f>
        <v>8616.6666666666661</v>
      </c>
      <c r="AG35" s="288"/>
      <c r="AH35" s="287">
        <v>10975</v>
      </c>
      <c r="AI35" s="288">
        <v>3910</v>
      </c>
      <c r="AJ35" s="288">
        <v>5347</v>
      </c>
      <c r="AK35" s="288">
        <v>2829</v>
      </c>
      <c r="AL35" s="288">
        <v>5359</v>
      </c>
      <c r="AM35" s="288">
        <v>4278</v>
      </c>
      <c r="AN35" s="288">
        <v>5171</v>
      </c>
      <c r="AO35" s="288">
        <v>5224</v>
      </c>
      <c r="AP35" s="288">
        <v>3683</v>
      </c>
      <c r="AQ35" s="288">
        <v>4845</v>
      </c>
      <c r="AR35" s="288">
        <v>5666</v>
      </c>
      <c r="AS35" s="288">
        <v>6485</v>
      </c>
      <c r="AT35" s="288">
        <f>SUM(AH35:AS35)</f>
        <v>63772</v>
      </c>
      <c r="AU35" s="288">
        <f t="shared" si="3"/>
        <v>5314.333333333333</v>
      </c>
      <c r="AV35" s="288"/>
      <c r="AW35" s="1528">
        <v>5549</v>
      </c>
      <c r="AX35" s="1527">
        <v>3086</v>
      </c>
      <c r="AY35" s="1527">
        <v>2916</v>
      </c>
      <c r="AZ35" s="1527">
        <v>11432</v>
      </c>
      <c r="BA35" s="1527">
        <v>7680</v>
      </c>
      <c r="BB35" s="1527">
        <v>7724</v>
      </c>
      <c r="BC35" s="288">
        <v>6988</v>
      </c>
      <c r="BD35" s="1527">
        <v>5537</v>
      </c>
      <c r="BE35" s="1527">
        <v>8871</v>
      </c>
      <c r="BF35" s="288">
        <v>3123</v>
      </c>
      <c r="BG35" s="288">
        <v>4673</v>
      </c>
      <c r="BH35" s="1527">
        <v>4972</v>
      </c>
      <c r="BI35" s="288">
        <f>SUM(AW35:BH35)</f>
        <v>72551</v>
      </c>
      <c r="BJ35" s="288">
        <f t="shared" si="5"/>
        <v>6045.916666666667</v>
      </c>
      <c r="BL35" s="317">
        <f t="shared" si="6"/>
        <v>-1513</v>
      </c>
      <c r="BM35" s="317">
        <f t="shared" si="13"/>
        <v>731.58333333333394</v>
      </c>
      <c r="BN35" s="317">
        <f>BI35-SUM(AH35:AR35)</f>
        <v>15264</v>
      </c>
      <c r="BO35" s="594">
        <f t="shared" si="7"/>
        <v>299</v>
      </c>
    </row>
    <row r="36" spans="1:67" x14ac:dyDescent="0.55000000000000004">
      <c r="A36" s="7101"/>
      <c r="B36" t="s">
        <v>48</v>
      </c>
      <c r="E36" s="287">
        <v>1321</v>
      </c>
      <c r="F36" s="288">
        <v>4194</v>
      </c>
      <c r="G36" s="288">
        <v>7088</v>
      </c>
      <c r="H36" s="288">
        <v>3272</v>
      </c>
      <c r="I36" s="288">
        <v>3542</v>
      </c>
      <c r="J36" s="288">
        <v>3294</v>
      </c>
      <c r="K36" s="288">
        <v>2873</v>
      </c>
      <c r="L36" s="288">
        <v>3523</v>
      </c>
      <c r="M36" s="288">
        <v>7831</v>
      </c>
      <c r="N36" s="288">
        <v>3251</v>
      </c>
      <c r="O36" s="288">
        <v>6226</v>
      </c>
      <c r="P36" s="288">
        <v>7540</v>
      </c>
      <c r="Q36" s="288">
        <f>SUM(E36:P36)</f>
        <v>53955</v>
      </c>
      <c r="R36" s="288">
        <f>Q36/12</f>
        <v>4496.25</v>
      </c>
      <c r="S36" s="287">
        <v>4705</v>
      </c>
      <c r="T36" s="288">
        <v>1384</v>
      </c>
      <c r="U36" s="288">
        <v>1404</v>
      </c>
      <c r="V36" s="288">
        <v>5086</v>
      </c>
      <c r="W36" s="288">
        <v>3148</v>
      </c>
      <c r="X36" s="288">
        <v>4591</v>
      </c>
      <c r="Y36" s="288">
        <v>2765</v>
      </c>
      <c r="Z36" s="288">
        <v>3611</v>
      </c>
      <c r="AA36" s="288">
        <v>2690</v>
      </c>
      <c r="AB36" s="288">
        <v>1570</v>
      </c>
      <c r="AC36" s="288">
        <v>1845</v>
      </c>
      <c r="AD36" s="288">
        <v>2257</v>
      </c>
      <c r="AE36" s="288">
        <f>SUM(S36:AD36)</f>
        <v>35056</v>
      </c>
      <c r="AF36" s="288">
        <f>AE36/12</f>
        <v>2921.3333333333335</v>
      </c>
      <c r="AG36" s="288"/>
      <c r="AH36" s="287">
        <v>8263</v>
      </c>
      <c r="AI36" s="288">
        <v>3358</v>
      </c>
      <c r="AJ36" s="288">
        <v>3622</v>
      </c>
      <c r="AK36" s="288">
        <v>14616</v>
      </c>
      <c r="AL36" s="288">
        <v>873</v>
      </c>
      <c r="AM36" s="288">
        <v>1313</v>
      </c>
      <c r="AN36" s="288">
        <v>4431</v>
      </c>
      <c r="AO36" s="288">
        <v>6103</v>
      </c>
      <c r="AP36" s="288">
        <v>3901</v>
      </c>
      <c r="AQ36" s="288">
        <v>2147</v>
      </c>
      <c r="AR36" s="288">
        <v>6285</v>
      </c>
      <c r="AS36" s="288">
        <v>1588</v>
      </c>
      <c r="AT36" s="288">
        <f>SUM(AH36:AS36)</f>
        <v>56500</v>
      </c>
      <c r="AU36" s="288">
        <f t="shared" si="3"/>
        <v>4708.333333333333</v>
      </c>
      <c r="AV36" s="288"/>
      <c r="AW36" s="1528">
        <v>2104</v>
      </c>
      <c r="AX36" s="1527">
        <v>3509</v>
      </c>
      <c r="AY36" s="1527">
        <v>5605</v>
      </c>
      <c r="AZ36" s="1527">
        <v>3976</v>
      </c>
      <c r="BA36" s="1527">
        <v>2630</v>
      </c>
      <c r="BB36" s="1527">
        <v>8919</v>
      </c>
      <c r="BC36" s="288">
        <v>1746</v>
      </c>
      <c r="BD36" s="1527">
        <v>4075</v>
      </c>
      <c r="BE36" s="1527">
        <v>1519</v>
      </c>
      <c r="BF36" s="288">
        <v>1638</v>
      </c>
      <c r="BG36" s="288">
        <v>1842</v>
      </c>
      <c r="BH36" s="1527">
        <v>1524</v>
      </c>
      <c r="BI36" s="288">
        <f>SUM(AW36:BH36)</f>
        <v>39087</v>
      </c>
      <c r="BJ36" s="288">
        <f t="shared" si="5"/>
        <v>3257.25</v>
      </c>
      <c r="BL36" s="317">
        <f t="shared" si="6"/>
        <v>-64</v>
      </c>
      <c r="BM36" s="317">
        <f t="shared" si="13"/>
        <v>-1451.083333333333</v>
      </c>
      <c r="BN36" s="317">
        <f>BI36-SUM(AH36:AR36)</f>
        <v>-15825</v>
      </c>
      <c r="BO36" s="594">
        <f t="shared" si="7"/>
        <v>-318</v>
      </c>
    </row>
    <row r="37" spans="1:67" x14ac:dyDescent="0.55000000000000004">
      <c r="A37" s="7101"/>
      <c r="B37" t="s">
        <v>50</v>
      </c>
      <c r="E37" s="287">
        <f t="shared" ref="E37:O37" si="47">-(E38-(E35-E36))</f>
        <v>11075</v>
      </c>
      <c r="F37" s="288">
        <f t="shared" si="47"/>
        <v>13018</v>
      </c>
      <c r="G37" s="288">
        <f t="shared" si="47"/>
        <v>17295</v>
      </c>
      <c r="H37" s="288">
        <f t="shared" si="47"/>
        <v>14026</v>
      </c>
      <c r="I37" s="288">
        <f t="shared" si="47"/>
        <v>9675</v>
      </c>
      <c r="J37" s="288">
        <f t="shared" si="47"/>
        <v>15728</v>
      </c>
      <c r="K37" s="288">
        <f t="shared" si="47"/>
        <v>15494</v>
      </c>
      <c r="L37" s="288">
        <f t="shared" si="47"/>
        <v>8255</v>
      </c>
      <c r="M37" s="288">
        <f t="shared" si="47"/>
        <v>10686</v>
      </c>
      <c r="N37" s="288">
        <f t="shared" si="47"/>
        <v>18942</v>
      </c>
      <c r="O37" s="288">
        <f t="shared" si="47"/>
        <v>21751</v>
      </c>
      <c r="P37" s="288">
        <f>-(P38-(P35-P36))</f>
        <v>2854</v>
      </c>
      <c r="Q37" s="288">
        <f>SUM(E37:P37)</f>
        <v>158799</v>
      </c>
      <c r="R37" s="288">
        <f>Q37/12</f>
        <v>13233.25</v>
      </c>
      <c r="S37" s="287">
        <f t="shared" ref="S37:AD37" si="48">-(S38-(S35-S36))</f>
        <v>13629</v>
      </c>
      <c r="T37" s="288">
        <f t="shared" si="48"/>
        <v>9977</v>
      </c>
      <c r="U37" s="288">
        <f t="shared" si="48"/>
        <v>14870</v>
      </c>
      <c r="V37" s="288">
        <f t="shared" si="48"/>
        <v>3029</v>
      </c>
      <c r="W37" s="288">
        <f t="shared" si="48"/>
        <v>2301</v>
      </c>
      <c r="X37" s="288">
        <f t="shared" si="48"/>
        <v>3682</v>
      </c>
      <c r="Y37" s="288">
        <f t="shared" si="48"/>
        <v>3111</v>
      </c>
      <c r="Z37" s="288">
        <f t="shared" si="48"/>
        <v>2840</v>
      </c>
      <c r="AA37" s="288">
        <f t="shared" si="48"/>
        <v>3378</v>
      </c>
      <c r="AB37" s="288">
        <f t="shared" si="48"/>
        <v>2563</v>
      </c>
      <c r="AC37" s="288">
        <f t="shared" si="48"/>
        <v>2798</v>
      </c>
      <c r="AD37" s="288">
        <f t="shared" si="48"/>
        <v>2540</v>
      </c>
      <c r="AE37" s="288">
        <f>SUM(S37:AD37)</f>
        <v>64718</v>
      </c>
      <c r="AF37" s="288">
        <f>AE37/12</f>
        <v>5393.166666666667</v>
      </c>
      <c r="AG37" s="288"/>
      <c r="AH37" s="287">
        <f t="shared" ref="AH37:AM37" si="49">-(AH38-(AH35-AH36))</f>
        <v>1826</v>
      </c>
      <c r="AI37" s="288">
        <f t="shared" si="49"/>
        <v>17121</v>
      </c>
      <c r="AJ37" s="288">
        <f t="shared" si="49"/>
        <v>1849</v>
      </c>
      <c r="AK37" s="288">
        <f t="shared" si="49"/>
        <v>8127</v>
      </c>
      <c r="AL37" s="288">
        <f t="shared" si="49"/>
        <v>16781</v>
      </c>
      <c r="AM37" s="288">
        <f t="shared" si="49"/>
        <v>2859</v>
      </c>
      <c r="AN37" s="288">
        <v>5121</v>
      </c>
      <c r="AO37" s="288">
        <v>6812</v>
      </c>
      <c r="AP37" s="288">
        <f>AP35-AP36-AP38</f>
        <v>1839</v>
      </c>
      <c r="AQ37" s="288">
        <v>1839</v>
      </c>
      <c r="AR37" s="288">
        <v>4565</v>
      </c>
      <c r="AS37" s="288">
        <v>3415</v>
      </c>
      <c r="AT37" s="288">
        <f>SUM(AH37:AS37)</f>
        <v>72154</v>
      </c>
      <c r="AU37" s="288">
        <f t="shared" si="3"/>
        <v>6012.833333333333</v>
      </c>
      <c r="AV37" s="288"/>
      <c r="AW37" s="1528">
        <v>4624</v>
      </c>
      <c r="AX37" s="1527">
        <v>2915</v>
      </c>
      <c r="AY37" s="1527">
        <v>2596</v>
      </c>
      <c r="AZ37" s="1527">
        <v>2424</v>
      </c>
      <c r="BA37" s="1527">
        <v>3460</v>
      </c>
      <c r="BB37" s="1527">
        <v>3166</v>
      </c>
      <c r="BC37" s="288">
        <v>4626</v>
      </c>
      <c r="BD37" s="1527">
        <v>3060</v>
      </c>
      <c r="BE37" s="1527">
        <v>2547</v>
      </c>
      <c r="BF37" s="288">
        <v>3919</v>
      </c>
      <c r="BG37" s="288">
        <v>3471</v>
      </c>
      <c r="BH37" s="1527">
        <v>3119</v>
      </c>
      <c r="BI37" s="288">
        <f>SUM(AW37:BH37)</f>
        <v>39927</v>
      </c>
      <c r="BJ37" s="288">
        <f t="shared" si="5"/>
        <v>3327.25</v>
      </c>
      <c r="BL37" s="317">
        <f t="shared" si="6"/>
        <v>-296</v>
      </c>
      <c r="BM37" s="317">
        <f t="shared" si="13"/>
        <v>-2685.583333333333</v>
      </c>
      <c r="BN37" s="317">
        <f>BI37-SUM(AH37:AR37)</f>
        <v>-28812</v>
      </c>
      <c r="BO37" s="594">
        <f t="shared" si="7"/>
        <v>-352</v>
      </c>
    </row>
    <row r="38" spans="1:67" ht="18" thickBot="1" x14ac:dyDescent="0.6">
      <c r="A38" s="7102"/>
      <c r="B38" s="46" t="s">
        <v>51</v>
      </c>
      <c r="C38" s="21"/>
      <c r="D38" s="21"/>
      <c r="E38" s="455">
        <f t="shared" ref="E38:O38" si="50">E34-D34</f>
        <v>-2362</v>
      </c>
      <c r="F38" s="456">
        <f t="shared" si="50"/>
        <v>-5135</v>
      </c>
      <c r="G38" s="456">
        <f t="shared" si="50"/>
        <v>-11755</v>
      </c>
      <c r="H38" s="456">
        <f t="shared" si="50"/>
        <v>-7377</v>
      </c>
      <c r="I38" s="456">
        <f t="shared" si="50"/>
        <v>-2628</v>
      </c>
      <c r="J38" s="456">
        <f t="shared" si="50"/>
        <v>-9283</v>
      </c>
      <c r="K38" s="456">
        <f t="shared" si="50"/>
        <v>-7692</v>
      </c>
      <c r="L38" s="456">
        <f t="shared" si="50"/>
        <v>-4431</v>
      </c>
      <c r="M38" s="456">
        <f t="shared" si="50"/>
        <v>-11544</v>
      </c>
      <c r="N38" s="456">
        <f t="shared" si="50"/>
        <v>-15545</v>
      </c>
      <c r="O38" s="456">
        <f t="shared" si="50"/>
        <v>-19129</v>
      </c>
      <c r="P38" s="456">
        <f>P34-O34</f>
        <v>10815</v>
      </c>
      <c r="Q38" s="456">
        <f>SUM(E38:P38)</f>
        <v>-86066</v>
      </c>
      <c r="R38" s="456">
        <f>Q38/12</f>
        <v>-7172.166666666667</v>
      </c>
      <c r="S38" s="455">
        <f>S34-P34</f>
        <v>-7402</v>
      </c>
      <c r="T38" s="456">
        <f>T34-S34</f>
        <v>-5704</v>
      </c>
      <c r="U38" s="456">
        <f t="shared" ref="U38:AC38" si="51">U34-T34</f>
        <v>-11206</v>
      </c>
      <c r="V38" s="456">
        <f t="shared" si="51"/>
        <v>2505</v>
      </c>
      <c r="W38" s="456">
        <f t="shared" si="51"/>
        <v>309</v>
      </c>
      <c r="X38" s="456">
        <f t="shared" si="51"/>
        <v>765</v>
      </c>
      <c r="Y38" s="456">
        <f t="shared" si="51"/>
        <v>2441</v>
      </c>
      <c r="Z38" s="456">
        <f t="shared" si="51"/>
        <v>3564</v>
      </c>
      <c r="AA38" s="456">
        <f t="shared" si="51"/>
        <v>5582</v>
      </c>
      <c r="AB38" s="456">
        <f t="shared" si="51"/>
        <v>3732</v>
      </c>
      <c r="AC38" s="456">
        <f t="shared" si="51"/>
        <v>5269</v>
      </c>
      <c r="AD38" s="456">
        <f>AD34-AC34</f>
        <v>3771</v>
      </c>
      <c r="AE38" s="456">
        <f>SUM(S38:AD38)</f>
        <v>3626</v>
      </c>
      <c r="AF38" s="456">
        <f>AE38/12</f>
        <v>302.16666666666669</v>
      </c>
      <c r="AG38" s="456"/>
      <c r="AH38" s="455">
        <f>AH34-AD34</f>
        <v>886</v>
      </c>
      <c r="AI38" s="456">
        <f>AI34-AH34</f>
        <v>-16569</v>
      </c>
      <c r="AJ38" s="456">
        <f>AJ34-AI34</f>
        <v>-124</v>
      </c>
      <c r="AK38" s="456">
        <f>AK34-AJ34</f>
        <v>-19914</v>
      </c>
      <c r="AL38" s="456">
        <f>AL34-AK34</f>
        <v>-12295</v>
      </c>
      <c r="AM38" s="456">
        <f>AM34-AL34</f>
        <v>106</v>
      </c>
      <c r="AN38" s="456">
        <v>-4381</v>
      </c>
      <c r="AO38" s="456">
        <v>-7691</v>
      </c>
      <c r="AP38" s="456">
        <f>AP34-AO34</f>
        <v>-2057</v>
      </c>
      <c r="AQ38" s="456">
        <v>-2057</v>
      </c>
      <c r="AR38" s="456">
        <v>5182</v>
      </c>
      <c r="AS38" s="1538">
        <f>AR34-AS34</f>
        <v>-1488</v>
      </c>
      <c r="AT38" s="456">
        <f>SUM(AH38:AS38)</f>
        <v>-60402</v>
      </c>
      <c r="AU38" s="456">
        <f t="shared" si="3"/>
        <v>-5033.5</v>
      </c>
      <c r="AV38" s="456"/>
      <c r="AW38" s="1539">
        <v>-1179</v>
      </c>
      <c r="AX38" s="1538">
        <v>-3338</v>
      </c>
      <c r="AY38" s="1538">
        <v>-5285</v>
      </c>
      <c r="AZ38" s="1538">
        <v>5032</v>
      </c>
      <c r="BA38" s="1538">
        <v>1590</v>
      </c>
      <c r="BB38" s="1538">
        <v>-4361</v>
      </c>
      <c r="BC38" s="456">
        <v>616</v>
      </c>
      <c r="BD38" s="1538">
        <v>-1598</v>
      </c>
      <c r="BE38" s="1538">
        <v>4805</v>
      </c>
      <c r="BF38" s="456">
        <v>-2434</v>
      </c>
      <c r="BG38" s="456">
        <v>-640</v>
      </c>
      <c r="BH38" s="1538">
        <v>329</v>
      </c>
      <c r="BI38" s="456">
        <f>SUM(AW38:BH38)</f>
        <v>-6463</v>
      </c>
      <c r="BJ38" s="456">
        <f t="shared" si="5"/>
        <v>-538.58333333333337</v>
      </c>
      <c r="BL38" s="317">
        <f t="shared" si="6"/>
        <v>1817</v>
      </c>
      <c r="BM38" s="317">
        <f t="shared" si="13"/>
        <v>4494.916666666667</v>
      </c>
      <c r="BN38" s="317">
        <f>BI38-SUM(AH38:AR38)</f>
        <v>52451</v>
      </c>
      <c r="BO38" s="594">
        <f t="shared" si="7"/>
        <v>969</v>
      </c>
    </row>
    <row r="39" spans="1:67" ht="10.3" customHeight="1" x14ac:dyDescent="0.55000000000000004">
      <c r="A39" s="52"/>
      <c r="BL39" s="317"/>
      <c r="BM39" s="317"/>
      <c r="BN39" s="317"/>
    </row>
    <row r="40" spans="1:67" ht="27" thickBot="1" x14ac:dyDescent="0.6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442">
        <f>AE20-AE21</f>
        <v>22793</v>
      </c>
      <c r="AF40" s="3"/>
      <c r="AG40" s="754"/>
      <c r="AH40" s="3"/>
      <c r="AI40" s="442"/>
      <c r="AJ40" s="442"/>
      <c r="AK40" s="442"/>
      <c r="AL40" s="442"/>
      <c r="AM40" s="442"/>
      <c r="AV40" s="754"/>
      <c r="AW40" s="3"/>
      <c r="AX40" s="442"/>
      <c r="AY40" s="442"/>
      <c r="AZ40" s="442"/>
      <c r="BA40" s="442"/>
      <c r="BB40" s="442"/>
      <c r="BL40" s="317"/>
      <c r="BM40" s="317"/>
      <c r="BN40" s="317"/>
    </row>
    <row r="41" spans="1:67" x14ac:dyDescent="0.55000000000000004">
      <c r="A41" s="3"/>
      <c r="B41" s="4"/>
      <c r="C41" s="4"/>
      <c r="D41" s="4"/>
      <c r="E41" s="7103" t="s">
        <v>1</v>
      </c>
      <c r="F41" s="7104"/>
      <c r="G41" s="7104"/>
      <c r="H41" s="7104"/>
      <c r="I41" s="7104"/>
      <c r="J41" s="7104"/>
      <c r="K41" s="7104"/>
      <c r="L41" s="7104"/>
      <c r="M41" s="7104"/>
      <c r="N41" s="7104"/>
      <c r="O41" s="7104"/>
      <c r="P41" s="7104"/>
      <c r="Q41" s="7104"/>
      <c r="R41" s="7104"/>
      <c r="S41" s="7103" t="s">
        <v>1</v>
      </c>
      <c r="T41" s="7104"/>
      <c r="U41" s="7104"/>
      <c r="V41" s="7104"/>
      <c r="W41" s="7104"/>
      <c r="X41" s="7104"/>
      <c r="Y41" s="7104"/>
      <c r="Z41" s="7104"/>
      <c r="AA41" s="7104"/>
      <c r="AB41" s="7104"/>
      <c r="AC41" s="7104"/>
      <c r="AD41" s="7104"/>
      <c r="AE41" s="7104"/>
      <c r="AF41" s="7104"/>
      <c r="AG41" s="756"/>
      <c r="AH41" s="7103" t="s">
        <v>1</v>
      </c>
      <c r="AI41" s="7104"/>
      <c r="AJ41" s="7104"/>
      <c r="AK41" s="7104"/>
      <c r="AL41" s="7104"/>
      <c r="AM41" s="7104"/>
      <c r="AN41" s="7104"/>
      <c r="AO41" s="7104"/>
      <c r="AP41" s="7104"/>
      <c r="AQ41" s="7104"/>
      <c r="AR41" s="7104"/>
      <c r="AS41" s="7104"/>
      <c r="AT41" s="7104"/>
      <c r="AU41" s="7104"/>
      <c r="AV41" s="756"/>
      <c r="AW41" s="7103" t="s">
        <v>1</v>
      </c>
      <c r="AX41" s="7104"/>
      <c r="AY41" s="7104"/>
      <c r="AZ41" s="7104"/>
      <c r="BA41" s="7104"/>
      <c r="BB41" s="7104"/>
      <c r="BC41" s="7104"/>
      <c r="BD41" s="7104"/>
      <c r="BE41" s="7104"/>
      <c r="BF41" s="7104"/>
      <c r="BG41" s="7104"/>
      <c r="BH41" s="7104"/>
      <c r="BI41" s="7104"/>
      <c r="BJ41" s="7104"/>
      <c r="BL41" s="317"/>
      <c r="BM41" s="317"/>
      <c r="BN41" s="317"/>
    </row>
    <row r="42" spans="1:67" ht="18" thickBot="1" x14ac:dyDescent="0.6">
      <c r="A42" s="3" t="s">
        <v>156</v>
      </c>
      <c r="B42" s="4"/>
      <c r="C42" s="4"/>
      <c r="D42" s="38" t="s">
        <v>499</v>
      </c>
      <c r="E42" s="109" t="s">
        <v>380</v>
      </c>
      <c r="F42" s="110" t="s">
        <v>381</v>
      </c>
      <c r="G42" s="110" t="s">
        <v>382</v>
      </c>
      <c r="H42" s="110" t="s">
        <v>383</v>
      </c>
      <c r="I42" s="110" t="s">
        <v>384</v>
      </c>
      <c r="J42" s="110" t="s">
        <v>385</v>
      </c>
      <c r="K42" s="110" t="s">
        <v>386</v>
      </c>
      <c r="L42" s="110" t="s">
        <v>387</v>
      </c>
      <c r="M42" s="110" t="s">
        <v>388</v>
      </c>
      <c r="N42" s="110" t="s">
        <v>389</v>
      </c>
      <c r="O42" s="110" t="s">
        <v>390</v>
      </c>
      <c r="P42" s="110" t="s">
        <v>391</v>
      </c>
      <c r="Q42" s="443" t="s">
        <v>526</v>
      </c>
      <c r="R42" s="443" t="s">
        <v>527</v>
      </c>
      <c r="S42" s="109" t="s">
        <v>368</v>
      </c>
      <c r="T42" s="110" t="s">
        <v>369</v>
      </c>
      <c r="U42" s="110" t="s">
        <v>370</v>
      </c>
      <c r="V42" s="110" t="s">
        <v>371</v>
      </c>
      <c r="W42" s="110" t="s">
        <v>372</v>
      </c>
      <c r="X42" s="110" t="s">
        <v>373</v>
      </c>
      <c r="Y42" s="110" t="s">
        <v>374</v>
      </c>
      <c r="Z42" s="110" t="s">
        <v>375</v>
      </c>
      <c r="AA42" s="110" t="s">
        <v>376</v>
      </c>
      <c r="AB42" s="110" t="s">
        <v>377</v>
      </c>
      <c r="AC42" s="110" t="s">
        <v>378</v>
      </c>
      <c r="AD42" s="110" t="s">
        <v>379</v>
      </c>
      <c r="AE42" s="443" t="s">
        <v>530</v>
      </c>
      <c r="AF42" s="443" t="s">
        <v>531</v>
      </c>
      <c r="AG42" s="755"/>
      <c r="AH42" s="6" t="s">
        <v>524</v>
      </c>
      <c r="AI42" s="443" t="s">
        <v>3</v>
      </c>
      <c r="AJ42" s="443" t="s">
        <v>525</v>
      </c>
      <c r="AK42" s="443" t="s">
        <v>358</v>
      </c>
      <c r="AL42" s="443" t="s">
        <v>359</v>
      </c>
      <c r="AM42" s="443" t="s">
        <v>360</v>
      </c>
      <c r="AN42" s="443" t="s">
        <v>361</v>
      </c>
      <c r="AO42" s="443" t="s">
        <v>362</v>
      </c>
      <c r="AP42" s="443" t="s">
        <v>363</v>
      </c>
      <c r="AQ42" s="443" t="s">
        <v>364</v>
      </c>
      <c r="AR42" s="443" t="s">
        <v>365</v>
      </c>
      <c r="AS42" s="443" t="s">
        <v>366</v>
      </c>
      <c r="AT42" s="443" t="s">
        <v>528</v>
      </c>
      <c r="AU42" s="443" t="s">
        <v>529</v>
      </c>
      <c r="AV42" s="755"/>
      <c r="AW42" s="6" t="s">
        <v>1021</v>
      </c>
      <c r="AX42" s="443" t="s">
        <v>1023</v>
      </c>
      <c r="AY42" s="443" t="s">
        <v>1024</v>
      </c>
      <c r="AZ42" s="443" t="s">
        <v>1025</v>
      </c>
      <c r="BA42" s="443" t="s">
        <v>1026</v>
      </c>
      <c r="BB42" s="443" t="s">
        <v>1027</v>
      </c>
      <c r="BC42" s="443" t="s">
        <v>1028</v>
      </c>
      <c r="BD42" s="443" t="s">
        <v>1029</v>
      </c>
      <c r="BE42" s="443" t="s">
        <v>1030</v>
      </c>
      <c r="BF42" s="443" t="s">
        <v>1031</v>
      </c>
      <c r="BG42" s="443" t="s">
        <v>1032</v>
      </c>
      <c r="BH42" s="443" t="s">
        <v>1033</v>
      </c>
      <c r="BI42" s="443" t="s">
        <v>1034</v>
      </c>
      <c r="BJ42" s="443" t="s">
        <v>1035</v>
      </c>
      <c r="BL42" s="317"/>
      <c r="BM42" s="317"/>
      <c r="BN42" s="317"/>
    </row>
    <row r="43" spans="1:67" x14ac:dyDescent="0.55000000000000004">
      <c r="A43" s="7095" t="s">
        <v>85</v>
      </c>
      <c r="B43" s="41" t="s">
        <v>44</v>
      </c>
      <c r="C43" s="16"/>
      <c r="D43" s="445">
        <f t="shared" ref="D43:AD48" si="52">D50+D57</f>
        <v>456790</v>
      </c>
      <c r="E43" s="445">
        <f t="shared" si="52"/>
        <v>452951</v>
      </c>
      <c r="F43" s="444">
        <f t="shared" si="52"/>
        <v>448801</v>
      </c>
      <c r="G43" s="444">
        <f t="shared" si="52"/>
        <v>444123</v>
      </c>
      <c r="H43" s="444">
        <f t="shared" si="52"/>
        <v>440952</v>
      </c>
      <c r="I43" s="444">
        <f t="shared" si="52"/>
        <v>436516</v>
      </c>
      <c r="J43" s="444">
        <f t="shared" si="52"/>
        <v>432860</v>
      </c>
      <c r="K43" s="444">
        <f t="shared" si="52"/>
        <v>428270</v>
      </c>
      <c r="L43" s="444">
        <f t="shared" si="52"/>
        <v>425181</v>
      </c>
      <c r="M43" s="444">
        <f t="shared" si="52"/>
        <v>421170</v>
      </c>
      <c r="N43" s="444">
        <f t="shared" si="52"/>
        <v>419019</v>
      </c>
      <c r="O43" s="444">
        <f>O50+O57</f>
        <v>414797</v>
      </c>
      <c r="P43" s="444">
        <f t="shared" si="52"/>
        <v>408800</v>
      </c>
      <c r="Q43" s="444">
        <f>P43</f>
        <v>408800</v>
      </c>
      <c r="R43" s="444">
        <f>AVERAGE(E43:P43)</f>
        <v>431120</v>
      </c>
      <c r="S43" s="445">
        <f t="shared" si="52"/>
        <v>402184</v>
      </c>
      <c r="T43" s="444">
        <f t="shared" si="52"/>
        <v>399062</v>
      </c>
      <c r="U43" s="444">
        <f t="shared" si="52"/>
        <v>394879</v>
      </c>
      <c r="V43" s="444">
        <f t="shared" si="52"/>
        <v>391982</v>
      </c>
      <c r="W43" s="444">
        <f t="shared" si="52"/>
        <v>388525</v>
      </c>
      <c r="X43" s="444">
        <f t="shared" si="52"/>
        <v>384625</v>
      </c>
      <c r="Y43" s="444">
        <f t="shared" si="52"/>
        <v>379225</v>
      </c>
      <c r="Z43" s="444">
        <f t="shared" si="52"/>
        <v>375195</v>
      </c>
      <c r="AA43" s="444">
        <f t="shared" si="52"/>
        <v>371169</v>
      </c>
      <c r="AB43" s="444">
        <f t="shared" si="52"/>
        <v>368957</v>
      </c>
      <c r="AC43" s="444">
        <f t="shared" si="52"/>
        <v>366653</v>
      </c>
      <c r="AD43" s="444">
        <f t="shared" si="52"/>
        <v>362563</v>
      </c>
      <c r="AE43" s="444">
        <f>AD43</f>
        <v>362563</v>
      </c>
      <c r="AF43" s="444">
        <f>AVERAGE(S43:AD43)</f>
        <v>382084.91666666669</v>
      </c>
      <c r="AG43" s="444"/>
      <c r="AH43" s="445">
        <f t="shared" ref="AH43:AM43" si="53">AH50+AH57</f>
        <v>360501</v>
      </c>
      <c r="AI43" s="444">
        <f t="shared" si="53"/>
        <v>356926</v>
      </c>
      <c r="AJ43" s="444">
        <f t="shared" si="53"/>
        <v>352957</v>
      </c>
      <c r="AK43" s="444">
        <f t="shared" si="53"/>
        <v>349972</v>
      </c>
      <c r="AL43" s="444">
        <f t="shared" si="53"/>
        <v>343827</v>
      </c>
      <c r="AM43" s="444">
        <f t="shared" si="53"/>
        <v>337664</v>
      </c>
      <c r="AN43" s="444">
        <v>332315</v>
      </c>
      <c r="AO43" s="444">
        <v>326169</v>
      </c>
      <c r="AP43" s="444">
        <f>AP50+AP57</f>
        <v>320605</v>
      </c>
      <c r="AQ43" s="444">
        <v>303537</v>
      </c>
      <c r="AR43" s="444">
        <v>298607</v>
      </c>
      <c r="AS43" s="444">
        <v>299670</v>
      </c>
      <c r="AT43" s="444">
        <f>INDEX($AH43:$AS43, 1, MATCH(0, $AH43:$AS43, -1))</f>
        <v>299670</v>
      </c>
      <c r="AU43" s="444">
        <f>AVERAGE(AH43:AS43)</f>
        <v>331895.83333333331</v>
      </c>
      <c r="AV43" s="444"/>
      <c r="AW43" s="445">
        <v>293230</v>
      </c>
      <c r="AX43" s="2263">
        <v>289323</v>
      </c>
      <c r="AY43" s="2263">
        <v>283808</v>
      </c>
      <c r="AZ43" s="2263">
        <v>279924</v>
      </c>
      <c r="BA43" s="2263">
        <v>279331</v>
      </c>
      <c r="BB43" s="2263">
        <v>275030</v>
      </c>
      <c r="BC43" s="2263">
        <v>273151</v>
      </c>
      <c r="BD43" s="2263">
        <v>269333</v>
      </c>
      <c r="BE43" s="2263">
        <v>266054</v>
      </c>
      <c r="BF43" s="2263">
        <v>260645</v>
      </c>
      <c r="BG43" s="444">
        <v>254480</v>
      </c>
      <c r="BH43" s="2263">
        <v>265343</v>
      </c>
      <c r="BI43" s="444">
        <f>INDEX($AW43:$BH43, 1, MATCH(0, $AW43:$BH43, -1))</f>
        <v>265343</v>
      </c>
      <c r="BJ43" s="444">
        <f>AVERAGE(AW43:BH43)</f>
        <v>274137.66666666669</v>
      </c>
      <c r="BL43" s="317">
        <f>HLOOKUP($A$2,$AW$2:$BH$400,ROW()-1,0)-HLOOKUP($A$2,$AH$2:$AS$400,ROW()-1,0)</f>
        <v>-34327</v>
      </c>
      <c r="BM43" s="317">
        <f t="shared" ref="BM43:BM63" si="54">BJ43-AU43</f>
        <v>-57758.166666666628</v>
      </c>
      <c r="BN43" s="759">
        <f>HLOOKUP($A$2,$AW$2:$BH$400,ROW()-1,0)-HLOOKUP($A$2,$AH$2:$AS$400,ROW()-1,0)</f>
        <v>-34327</v>
      </c>
      <c r="BO43" s="594">
        <f t="shared" ref="BO43:BO63" si="55">HLOOKUP($A$2,$AW$2:$BH$400,ROW()-1,0)-HLOOKUP(ROUND((VALUE($A$2)-1),3),$AW$2:$BH$400,ROW()-1,0)</f>
        <v>10863</v>
      </c>
    </row>
    <row r="44" spans="1:67" x14ac:dyDescent="0.55000000000000004">
      <c r="A44" s="7096"/>
      <c r="B44" s="52" t="s">
        <v>47</v>
      </c>
      <c r="E44" s="287">
        <f t="shared" si="52"/>
        <v>8835</v>
      </c>
      <c r="F44" s="288">
        <f t="shared" si="52"/>
        <v>7940</v>
      </c>
      <c r="G44" s="288">
        <f t="shared" si="52"/>
        <v>8642</v>
      </c>
      <c r="H44" s="288">
        <f t="shared" si="52"/>
        <v>9004</v>
      </c>
      <c r="I44" s="288">
        <f t="shared" si="52"/>
        <v>9187</v>
      </c>
      <c r="J44" s="288">
        <f t="shared" si="52"/>
        <v>8604</v>
      </c>
      <c r="K44" s="288">
        <f t="shared" si="52"/>
        <v>7114</v>
      </c>
      <c r="L44" s="288">
        <f t="shared" si="52"/>
        <v>8473</v>
      </c>
      <c r="M44" s="288">
        <f t="shared" si="52"/>
        <v>7793</v>
      </c>
      <c r="N44" s="288">
        <f t="shared" si="52"/>
        <v>9518</v>
      </c>
      <c r="O44" s="288">
        <f t="shared" si="52"/>
        <v>7874</v>
      </c>
      <c r="P44" s="288">
        <f t="shared" si="52"/>
        <v>6548</v>
      </c>
      <c r="Q44" s="288">
        <f t="shared" ref="Q44:Q49" si="56">SUM(E44:P44)</f>
        <v>99532</v>
      </c>
      <c r="R44" s="288">
        <f t="shared" ref="R44:R49" si="57">Q44/12</f>
        <v>8294.3333333333339</v>
      </c>
      <c r="S44" s="287">
        <f t="shared" si="52"/>
        <v>6968</v>
      </c>
      <c r="T44" s="288">
        <f t="shared" si="52"/>
        <v>8431</v>
      </c>
      <c r="U44" s="288">
        <f t="shared" si="52"/>
        <v>8004</v>
      </c>
      <c r="V44" s="288">
        <f t="shared" si="52"/>
        <v>7699</v>
      </c>
      <c r="W44" s="288">
        <f t="shared" si="52"/>
        <v>8517</v>
      </c>
      <c r="X44" s="288">
        <f t="shared" si="52"/>
        <v>8031</v>
      </c>
      <c r="Y44" s="288">
        <f t="shared" si="52"/>
        <v>6776</v>
      </c>
      <c r="Z44" s="288">
        <f t="shared" si="52"/>
        <v>9086</v>
      </c>
      <c r="AA44" s="288">
        <f t="shared" si="52"/>
        <v>7124</v>
      </c>
      <c r="AB44" s="288">
        <f t="shared" si="52"/>
        <v>8478</v>
      </c>
      <c r="AC44" s="288">
        <f t="shared" si="52"/>
        <v>7890</v>
      </c>
      <c r="AD44" s="288">
        <f t="shared" si="52"/>
        <v>5864</v>
      </c>
      <c r="AE44" s="288">
        <f t="shared" ref="AE44:AE49" si="58">SUM(S44:AD44)</f>
        <v>92868</v>
      </c>
      <c r="AF44" s="288">
        <f t="shared" ref="AF44:AF49" si="59">AE44/12</f>
        <v>7739</v>
      </c>
      <c r="AG44" s="288"/>
      <c r="AH44" s="287">
        <f t="shared" ref="AH44:AK48" si="60">AH51+AH58</f>
        <v>8054</v>
      </c>
      <c r="AI44" s="288">
        <f t="shared" si="60"/>
        <v>6503</v>
      </c>
      <c r="AJ44" s="288">
        <f t="shared" si="60"/>
        <v>7899</v>
      </c>
      <c r="AK44" s="288">
        <f t="shared" si="60"/>
        <v>7960</v>
      </c>
      <c r="AL44" s="288">
        <f t="shared" ref="AL44:AM48" si="61">AL51+AL58</f>
        <v>8817</v>
      </c>
      <c r="AM44" s="288">
        <f t="shared" si="61"/>
        <v>7854</v>
      </c>
      <c r="AN44" s="288">
        <v>9485</v>
      </c>
      <c r="AO44" s="288">
        <v>8409</v>
      </c>
      <c r="AP44" s="288">
        <f t="shared" ref="AP44:AP49" si="62">AP51+AP58</f>
        <v>8784</v>
      </c>
      <c r="AQ44" s="288">
        <v>8485</v>
      </c>
      <c r="AR44" s="288">
        <v>12778</v>
      </c>
      <c r="AS44" s="288">
        <v>7491</v>
      </c>
      <c r="AT44" s="288">
        <f t="shared" ref="AT44:AT49" si="63">SUM(AH44:AS44)</f>
        <v>102519</v>
      </c>
      <c r="AU44" s="288">
        <f t="shared" ref="AU44:AU49" si="64">AT44/12</f>
        <v>8543.25</v>
      </c>
      <c r="AV44" s="288"/>
      <c r="AW44" s="287">
        <v>6847</v>
      </c>
      <c r="AX44" s="1527">
        <v>10197</v>
      </c>
      <c r="AY44" s="1527">
        <v>8908</v>
      </c>
      <c r="AZ44" s="1527">
        <v>9832</v>
      </c>
      <c r="BA44" s="1527">
        <v>17314</v>
      </c>
      <c r="BB44" s="1527">
        <v>11650</v>
      </c>
      <c r="BC44" s="1527">
        <v>13532</v>
      </c>
      <c r="BD44" s="1527">
        <v>11128</v>
      </c>
      <c r="BE44" s="1527">
        <v>11339</v>
      </c>
      <c r="BF44" s="1527">
        <v>7545</v>
      </c>
      <c r="BG44" s="288">
        <v>7481</v>
      </c>
      <c r="BH44" s="1527">
        <v>7134</v>
      </c>
      <c r="BI44" s="288">
        <f>SUM(AW44:BH44)</f>
        <v>122907</v>
      </c>
      <c r="BJ44" s="288">
        <f t="shared" ref="BJ44:BJ49" si="65">BI44/12</f>
        <v>10242.25</v>
      </c>
      <c r="BL44" s="317">
        <f t="shared" ref="BL44:BL63" si="66">HLOOKUP($A$2,$AW$2:$BH$400,ROW()-1,0)-HLOOKUP($A$2,$AH$2:$AS$400,ROW()-1,0)</f>
        <v>-357</v>
      </c>
      <c r="BM44" s="317">
        <f t="shared" si="54"/>
        <v>1699</v>
      </c>
      <c r="BN44" s="317">
        <f t="shared" ref="BN44:BN49" si="67">BI44-SUM(AH44:AR44)</f>
        <v>27879</v>
      </c>
      <c r="BO44" s="594">
        <f t="shared" si="55"/>
        <v>-347</v>
      </c>
    </row>
    <row r="45" spans="1:67" x14ac:dyDescent="0.55000000000000004">
      <c r="A45" s="7096"/>
      <c r="B45" t="s">
        <v>48</v>
      </c>
      <c r="E45" s="287">
        <f t="shared" si="52"/>
        <v>4230</v>
      </c>
      <c r="F45" s="288">
        <f t="shared" si="52"/>
        <v>4507</v>
      </c>
      <c r="G45" s="288">
        <f t="shared" si="52"/>
        <v>5262</v>
      </c>
      <c r="H45" s="288">
        <f t="shared" si="52"/>
        <v>4561</v>
      </c>
      <c r="I45" s="288">
        <f t="shared" si="52"/>
        <v>4507</v>
      </c>
      <c r="J45" s="288">
        <f t="shared" si="52"/>
        <v>4069</v>
      </c>
      <c r="K45" s="288">
        <f t="shared" si="52"/>
        <v>3951</v>
      </c>
      <c r="L45" s="288">
        <f t="shared" si="52"/>
        <v>4483</v>
      </c>
      <c r="M45" s="288">
        <f t="shared" si="52"/>
        <v>4048</v>
      </c>
      <c r="N45" s="288">
        <f t="shared" si="52"/>
        <v>4037</v>
      </c>
      <c r="O45" s="288">
        <f t="shared" si="52"/>
        <v>4304</v>
      </c>
      <c r="P45" s="288">
        <f t="shared" si="52"/>
        <v>4164</v>
      </c>
      <c r="Q45" s="288">
        <f t="shared" si="56"/>
        <v>52123</v>
      </c>
      <c r="R45" s="288">
        <f t="shared" si="57"/>
        <v>4343.583333333333</v>
      </c>
      <c r="S45" s="287">
        <f t="shared" si="52"/>
        <v>4229</v>
      </c>
      <c r="T45" s="288">
        <f t="shared" si="52"/>
        <v>4137</v>
      </c>
      <c r="U45" s="288">
        <f t="shared" si="52"/>
        <v>4351</v>
      </c>
      <c r="V45" s="288">
        <f t="shared" si="52"/>
        <v>3551</v>
      </c>
      <c r="W45" s="288">
        <f t="shared" si="52"/>
        <v>3809</v>
      </c>
      <c r="X45" s="288">
        <f t="shared" si="52"/>
        <v>4038</v>
      </c>
      <c r="Y45" s="288">
        <f t="shared" si="52"/>
        <v>3905</v>
      </c>
      <c r="Z45" s="288">
        <f t="shared" si="52"/>
        <v>4802</v>
      </c>
      <c r="AA45" s="288">
        <f t="shared" si="52"/>
        <v>3602</v>
      </c>
      <c r="AB45" s="288">
        <f t="shared" si="52"/>
        <v>3752</v>
      </c>
      <c r="AC45" s="288">
        <f t="shared" si="52"/>
        <v>3635</v>
      </c>
      <c r="AD45" s="288">
        <f t="shared" si="52"/>
        <v>3204</v>
      </c>
      <c r="AE45" s="288">
        <f t="shared" si="58"/>
        <v>47015</v>
      </c>
      <c r="AF45" s="288">
        <f t="shared" si="59"/>
        <v>3917.9166666666665</v>
      </c>
      <c r="AG45" s="288"/>
      <c r="AH45" s="287">
        <f t="shared" si="60"/>
        <v>3793</v>
      </c>
      <c r="AI45" s="288">
        <f t="shared" si="60"/>
        <v>3825</v>
      </c>
      <c r="AJ45" s="288">
        <f t="shared" si="60"/>
        <v>4027</v>
      </c>
      <c r="AK45" s="288">
        <f t="shared" si="60"/>
        <v>3936</v>
      </c>
      <c r="AL45" s="288">
        <f t="shared" si="61"/>
        <v>3900</v>
      </c>
      <c r="AM45" s="288">
        <f t="shared" si="61"/>
        <v>3827</v>
      </c>
      <c r="AN45" s="288">
        <v>3666</v>
      </c>
      <c r="AO45" s="288">
        <v>3542</v>
      </c>
      <c r="AP45" s="288">
        <f t="shared" si="62"/>
        <v>3230</v>
      </c>
      <c r="AQ45" s="288">
        <v>3175</v>
      </c>
      <c r="AR45" s="288">
        <v>2678</v>
      </c>
      <c r="AS45" s="288">
        <v>2667</v>
      </c>
      <c r="AT45" s="288">
        <f t="shared" si="63"/>
        <v>42266</v>
      </c>
      <c r="AU45" s="288">
        <f t="shared" si="64"/>
        <v>3522.1666666666665</v>
      </c>
      <c r="AV45" s="288"/>
      <c r="AW45" s="287">
        <v>2845</v>
      </c>
      <c r="AX45" s="1527">
        <v>3689</v>
      </c>
      <c r="AY45" s="1527">
        <v>3594</v>
      </c>
      <c r="AZ45" s="1527">
        <v>3559</v>
      </c>
      <c r="BA45" s="1527">
        <v>3118</v>
      </c>
      <c r="BB45" s="1527">
        <v>3230</v>
      </c>
      <c r="BC45" s="1527">
        <v>3142</v>
      </c>
      <c r="BD45" s="1527">
        <v>2748</v>
      </c>
      <c r="BE45" s="1527">
        <v>3047</v>
      </c>
      <c r="BF45" s="1527">
        <v>3030</v>
      </c>
      <c r="BG45" s="288">
        <v>2850</v>
      </c>
      <c r="BH45" s="1527">
        <v>3051</v>
      </c>
      <c r="BI45" s="288">
        <f>SUM(AW45:BH45)</f>
        <v>37903</v>
      </c>
      <c r="BJ45" s="288">
        <f t="shared" si="65"/>
        <v>3158.5833333333335</v>
      </c>
      <c r="BL45" s="317">
        <f t="shared" si="66"/>
        <v>384</v>
      </c>
      <c r="BM45" s="317">
        <f>BJ45-AU45</f>
        <v>-363.58333333333303</v>
      </c>
      <c r="BN45" s="317">
        <f t="shared" si="67"/>
        <v>-1696</v>
      </c>
      <c r="BO45" s="594">
        <f t="shared" si="55"/>
        <v>201</v>
      </c>
    </row>
    <row r="46" spans="1:67" x14ac:dyDescent="0.55000000000000004">
      <c r="A46" s="7096"/>
      <c r="B46" s="330" t="s">
        <v>59</v>
      </c>
      <c r="E46" s="287">
        <f t="shared" si="52"/>
        <v>244</v>
      </c>
      <c r="F46" s="288">
        <f t="shared" si="52"/>
        <v>257</v>
      </c>
      <c r="G46" s="288">
        <f t="shared" si="52"/>
        <v>297</v>
      </c>
      <c r="H46" s="288">
        <f t="shared" si="52"/>
        <v>154</v>
      </c>
      <c r="I46" s="288">
        <f t="shared" si="52"/>
        <v>262</v>
      </c>
      <c r="J46" s="288">
        <f t="shared" si="52"/>
        <v>216</v>
      </c>
      <c r="K46" s="288">
        <f t="shared" si="52"/>
        <v>231</v>
      </c>
      <c r="L46" s="288">
        <f t="shared" si="52"/>
        <v>242</v>
      </c>
      <c r="M46" s="288">
        <f t="shared" si="52"/>
        <v>286</v>
      </c>
      <c r="N46" s="288">
        <f t="shared" si="52"/>
        <v>199</v>
      </c>
      <c r="O46" s="288">
        <f t="shared" si="52"/>
        <v>215</v>
      </c>
      <c r="P46" s="288">
        <f t="shared" si="52"/>
        <v>237</v>
      </c>
      <c r="Q46" s="288">
        <f t="shared" si="56"/>
        <v>2840</v>
      </c>
      <c r="R46" s="288">
        <f t="shared" si="57"/>
        <v>236.66666666666666</v>
      </c>
      <c r="S46" s="287">
        <f t="shared" si="52"/>
        <v>221</v>
      </c>
      <c r="T46" s="288">
        <f t="shared" si="52"/>
        <v>209</v>
      </c>
      <c r="U46" s="288">
        <f t="shared" si="52"/>
        <v>194</v>
      </c>
      <c r="V46" s="288">
        <f t="shared" si="52"/>
        <v>260</v>
      </c>
      <c r="W46" s="288">
        <f t="shared" si="52"/>
        <v>250</v>
      </c>
      <c r="X46" s="288">
        <f t="shared" si="52"/>
        <v>287</v>
      </c>
      <c r="Y46" s="288">
        <f t="shared" si="52"/>
        <v>263</v>
      </c>
      <c r="Z46" s="288">
        <f t="shared" si="52"/>
        <v>815</v>
      </c>
      <c r="AA46" s="288">
        <f t="shared" si="52"/>
        <v>208</v>
      </c>
      <c r="AB46" s="288">
        <f t="shared" si="52"/>
        <v>283</v>
      </c>
      <c r="AC46" s="288">
        <f t="shared" si="52"/>
        <v>309</v>
      </c>
      <c r="AD46" s="288">
        <f t="shared" si="52"/>
        <v>228</v>
      </c>
      <c r="AE46" s="288">
        <f t="shared" si="58"/>
        <v>3527</v>
      </c>
      <c r="AF46" s="288">
        <f t="shared" si="59"/>
        <v>293.91666666666669</v>
      </c>
      <c r="AG46" s="288"/>
      <c r="AH46" s="287">
        <f t="shared" si="60"/>
        <v>270</v>
      </c>
      <c r="AI46" s="288">
        <f t="shared" si="60"/>
        <v>228</v>
      </c>
      <c r="AJ46" s="288">
        <f t="shared" si="60"/>
        <v>287</v>
      </c>
      <c r="AK46" s="288">
        <f t="shared" si="60"/>
        <v>287</v>
      </c>
      <c r="AL46" s="288">
        <f t="shared" si="61"/>
        <v>306</v>
      </c>
      <c r="AM46" s="288">
        <f t="shared" si="61"/>
        <v>226</v>
      </c>
      <c r="AN46" s="288">
        <v>490</v>
      </c>
      <c r="AO46" s="288">
        <v>177</v>
      </c>
      <c r="AP46" s="288">
        <f t="shared" si="62"/>
        <v>193</v>
      </c>
      <c r="AQ46" s="288">
        <v>197</v>
      </c>
      <c r="AR46" s="288">
        <v>200</v>
      </c>
      <c r="AS46" s="288">
        <v>175</v>
      </c>
      <c r="AT46" s="288">
        <f t="shared" si="63"/>
        <v>3036</v>
      </c>
      <c r="AU46" s="288">
        <f t="shared" si="64"/>
        <v>253</v>
      </c>
      <c r="AV46" s="288"/>
      <c r="AW46" s="287">
        <v>187</v>
      </c>
      <c r="AX46" s="1527">
        <v>206</v>
      </c>
      <c r="AY46" s="1527">
        <v>269</v>
      </c>
      <c r="AZ46" s="1527">
        <v>271</v>
      </c>
      <c r="BA46" s="1527">
        <v>308</v>
      </c>
      <c r="BB46" s="1527">
        <v>209</v>
      </c>
      <c r="BC46" s="1527">
        <v>195</v>
      </c>
      <c r="BD46" s="1527">
        <v>150</v>
      </c>
      <c r="BE46" s="1527">
        <v>171</v>
      </c>
      <c r="BF46" s="1527">
        <v>158</v>
      </c>
      <c r="BG46" s="288">
        <v>108</v>
      </c>
      <c r="BH46" s="1527">
        <v>160</v>
      </c>
      <c r="BI46" s="288">
        <f t="shared" ref="BI46:BI49" si="68">SUM(AW46:BH46)</f>
        <v>2392</v>
      </c>
      <c r="BJ46" s="288">
        <f t="shared" si="65"/>
        <v>199.33333333333334</v>
      </c>
      <c r="BL46" s="317">
        <f t="shared" si="66"/>
        <v>-15</v>
      </c>
      <c r="BM46" s="317">
        <f t="shared" si="54"/>
        <v>-53.666666666666657</v>
      </c>
      <c r="BN46" s="317">
        <f t="shared" si="67"/>
        <v>-469</v>
      </c>
      <c r="BO46" s="594">
        <f t="shared" si="55"/>
        <v>52</v>
      </c>
    </row>
    <row r="47" spans="1:67" x14ac:dyDescent="0.55000000000000004">
      <c r="A47" s="7096"/>
      <c r="B47" s="447" t="s">
        <v>86</v>
      </c>
      <c r="C47" s="447"/>
      <c r="D47" s="447"/>
      <c r="E47" s="285">
        <f t="shared" si="52"/>
        <v>4605</v>
      </c>
      <c r="F47" s="286">
        <f t="shared" si="52"/>
        <v>3433</v>
      </c>
      <c r="G47" s="286">
        <f t="shared" si="52"/>
        <v>3380</v>
      </c>
      <c r="H47" s="286">
        <f t="shared" si="52"/>
        <v>4443</v>
      </c>
      <c r="I47" s="286">
        <f t="shared" si="52"/>
        <v>4680</v>
      </c>
      <c r="J47" s="286">
        <f t="shared" si="52"/>
        <v>4535</v>
      </c>
      <c r="K47" s="286">
        <f t="shared" si="52"/>
        <v>3163</v>
      </c>
      <c r="L47" s="286">
        <f t="shared" si="52"/>
        <v>3990</v>
      </c>
      <c r="M47" s="286">
        <f t="shared" si="52"/>
        <v>3745</v>
      </c>
      <c r="N47" s="286">
        <f t="shared" si="52"/>
        <v>5481</v>
      </c>
      <c r="O47" s="286">
        <f t="shared" si="52"/>
        <v>3570</v>
      </c>
      <c r="P47" s="286">
        <f t="shared" si="52"/>
        <v>2384</v>
      </c>
      <c r="Q47" s="286">
        <f t="shared" si="56"/>
        <v>47409</v>
      </c>
      <c r="R47" s="286">
        <f t="shared" si="57"/>
        <v>3950.75</v>
      </c>
      <c r="S47" s="285">
        <f t="shared" si="52"/>
        <v>2739</v>
      </c>
      <c r="T47" s="286">
        <f t="shared" si="52"/>
        <v>4294</v>
      </c>
      <c r="U47" s="286">
        <f t="shared" si="52"/>
        <v>3653</v>
      </c>
      <c r="V47" s="286">
        <f t="shared" si="52"/>
        <v>4148</v>
      </c>
      <c r="W47" s="286">
        <f t="shared" si="52"/>
        <v>4708</v>
      </c>
      <c r="X47" s="286">
        <f t="shared" si="52"/>
        <v>3993</v>
      </c>
      <c r="Y47" s="286">
        <f t="shared" si="52"/>
        <v>2871</v>
      </c>
      <c r="Z47" s="286">
        <f t="shared" si="52"/>
        <v>4284</v>
      </c>
      <c r="AA47" s="286">
        <f t="shared" si="52"/>
        <v>3522</v>
      </c>
      <c r="AB47" s="286">
        <f t="shared" si="52"/>
        <v>4726</v>
      </c>
      <c r="AC47" s="286">
        <f t="shared" si="52"/>
        <v>4255</v>
      </c>
      <c r="AD47" s="286">
        <f t="shared" si="52"/>
        <v>2660</v>
      </c>
      <c r="AE47" s="286">
        <f t="shared" si="58"/>
        <v>45853</v>
      </c>
      <c r="AF47" s="286">
        <f t="shared" si="59"/>
        <v>3821.0833333333335</v>
      </c>
      <c r="AG47" s="286"/>
      <c r="AH47" s="285">
        <f>AH54+AH61</f>
        <v>4261</v>
      </c>
      <c r="AI47" s="286">
        <f t="shared" si="60"/>
        <v>2678</v>
      </c>
      <c r="AJ47" s="286">
        <f t="shared" si="60"/>
        <v>3872</v>
      </c>
      <c r="AK47" s="286">
        <f t="shared" si="60"/>
        <v>4024</v>
      </c>
      <c r="AL47" s="286">
        <f t="shared" si="61"/>
        <v>4917</v>
      </c>
      <c r="AM47" s="286">
        <f t="shared" si="61"/>
        <v>4027</v>
      </c>
      <c r="AN47" s="286">
        <v>5819</v>
      </c>
      <c r="AO47" s="286">
        <v>4867</v>
      </c>
      <c r="AP47" s="286">
        <f t="shared" si="62"/>
        <v>5554</v>
      </c>
      <c r="AQ47" s="286">
        <v>5310</v>
      </c>
      <c r="AR47" s="286">
        <v>10100</v>
      </c>
      <c r="AS47" s="286">
        <v>4824</v>
      </c>
      <c r="AT47" s="286">
        <f t="shared" si="63"/>
        <v>60253</v>
      </c>
      <c r="AU47" s="286">
        <f t="shared" si="64"/>
        <v>5021.083333333333</v>
      </c>
      <c r="AV47" s="286"/>
      <c r="AW47" s="285">
        <v>3994</v>
      </c>
      <c r="AX47" s="1529">
        <v>6202</v>
      </c>
      <c r="AY47" s="1529">
        <v>5314</v>
      </c>
      <c r="AZ47" s="1529">
        <v>6273</v>
      </c>
      <c r="BA47" s="1529">
        <v>14196</v>
      </c>
      <c r="BB47" s="1529">
        <v>8420</v>
      </c>
      <c r="BC47" s="1529">
        <v>10390</v>
      </c>
      <c r="BD47" s="1529">
        <v>8380</v>
      </c>
      <c r="BE47" s="1529">
        <v>8292</v>
      </c>
      <c r="BF47" s="1529">
        <v>4515</v>
      </c>
      <c r="BG47" s="286">
        <v>4631</v>
      </c>
      <c r="BH47" s="1529">
        <v>7258</v>
      </c>
      <c r="BI47" s="286">
        <f t="shared" si="68"/>
        <v>87865</v>
      </c>
      <c r="BJ47" s="286">
        <f t="shared" si="65"/>
        <v>7322.083333333333</v>
      </c>
      <c r="BL47" s="317">
        <f t="shared" si="66"/>
        <v>2434</v>
      </c>
      <c r="BM47" s="317">
        <f t="shared" si="54"/>
        <v>2301</v>
      </c>
      <c r="BN47" s="317">
        <f t="shared" si="67"/>
        <v>32436</v>
      </c>
      <c r="BO47" s="594">
        <f t="shared" si="55"/>
        <v>2627</v>
      </c>
    </row>
    <row r="48" spans="1:67" x14ac:dyDescent="0.55000000000000004">
      <c r="A48" s="7096"/>
      <c r="B48" t="s">
        <v>50</v>
      </c>
      <c r="E48" s="287">
        <f t="shared" si="52"/>
        <v>8444</v>
      </c>
      <c r="F48" s="288">
        <f t="shared" si="52"/>
        <v>7583</v>
      </c>
      <c r="G48" s="288">
        <f t="shared" si="52"/>
        <v>8058</v>
      </c>
      <c r="H48" s="288">
        <f t="shared" si="52"/>
        <v>7614</v>
      </c>
      <c r="I48" s="288">
        <f t="shared" si="52"/>
        <v>9116</v>
      </c>
      <c r="J48" s="288">
        <f t="shared" si="52"/>
        <v>8191</v>
      </c>
      <c r="K48" s="288">
        <f t="shared" si="52"/>
        <v>7753</v>
      </c>
      <c r="L48" s="288">
        <f t="shared" si="52"/>
        <v>7079</v>
      </c>
      <c r="M48" s="288">
        <f t="shared" si="52"/>
        <v>7756</v>
      </c>
      <c r="N48" s="288">
        <f t="shared" si="52"/>
        <v>7632</v>
      </c>
      <c r="O48" s="288">
        <f t="shared" si="52"/>
        <v>7792</v>
      </c>
      <c r="P48" s="288">
        <f t="shared" si="52"/>
        <v>8381</v>
      </c>
      <c r="Q48" s="288">
        <f t="shared" si="56"/>
        <v>95399</v>
      </c>
      <c r="R48" s="288">
        <f t="shared" si="57"/>
        <v>7949.916666666667</v>
      </c>
      <c r="S48" s="287">
        <f t="shared" si="52"/>
        <v>9355</v>
      </c>
      <c r="T48" s="288">
        <f t="shared" si="52"/>
        <v>7416</v>
      </c>
      <c r="U48" s="288">
        <f t="shared" si="52"/>
        <v>7836</v>
      </c>
      <c r="V48" s="288">
        <f>V55+V62</f>
        <v>7045</v>
      </c>
      <c r="W48" s="288">
        <f t="shared" si="52"/>
        <v>8165</v>
      </c>
      <c r="X48" s="288">
        <f t="shared" si="52"/>
        <v>7893</v>
      </c>
      <c r="Y48" s="288">
        <f t="shared" si="52"/>
        <v>8271</v>
      </c>
      <c r="Z48" s="288">
        <f t="shared" si="52"/>
        <v>8314</v>
      </c>
      <c r="AA48" s="288">
        <f t="shared" si="52"/>
        <v>7548</v>
      </c>
      <c r="AB48" s="288">
        <f t="shared" si="52"/>
        <v>6938</v>
      </c>
      <c r="AC48" s="288">
        <f t="shared" si="52"/>
        <v>6559</v>
      </c>
      <c r="AD48" s="288">
        <f t="shared" si="52"/>
        <v>6750</v>
      </c>
      <c r="AE48" s="288">
        <f t="shared" si="58"/>
        <v>92090</v>
      </c>
      <c r="AF48" s="288">
        <f t="shared" si="59"/>
        <v>7674.166666666667</v>
      </c>
      <c r="AG48" s="288"/>
      <c r="AH48" s="287">
        <f>AH55+AH62</f>
        <v>6323</v>
      </c>
      <c r="AI48" s="288">
        <f>AI55+AI62</f>
        <v>6253</v>
      </c>
      <c r="AJ48" s="288">
        <f>AJ55+AJ62</f>
        <v>7841</v>
      </c>
      <c r="AK48" s="288">
        <f t="shared" si="60"/>
        <v>7009</v>
      </c>
      <c r="AL48" s="288">
        <f t="shared" si="61"/>
        <v>11062</v>
      </c>
      <c r="AM48" s="288">
        <f t="shared" si="61"/>
        <v>10190</v>
      </c>
      <c r="AN48" s="288">
        <v>11168</v>
      </c>
      <c r="AO48" s="288">
        <v>11013</v>
      </c>
      <c r="AP48" s="288">
        <f t="shared" si="62"/>
        <v>11118</v>
      </c>
      <c r="AQ48" s="288">
        <v>18043</v>
      </c>
      <c r="AR48" s="288">
        <v>15030</v>
      </c>
      <c r="AS48" s="288">
        <v>11137</v>
      </c>
      <c r="AT48" s="288">
        <f t="shared" si="63"/>
        <v>126187</v>
      </c>
      <c r="AU48" s="288">
        <f t="shared" si="64"/>
        <v>10515.583333333334</v>
      </c>
      <c r="AV48" s="288"/>
      <c r="AW48" s="287">
        <v>10716</v>
      </c>
      <c r="AX48" s="1527">
        <v>10556</v>
      </c>
      <c r="AY48" s="1527">
        <v>10829</v>
      </c>
      <c r="AZ48" s="1527">
        <v>10157</v>
      </c>
      <c r="BA48" s="1527">
        <v>14789</v>
      </c>
      <c r="BB48" s="1527">
        <v>12721</v>
      </c>
      <c r="BC48" s="1527">
        <v>12269</v>
      </c>
      <c r="BD48" s="1527">
        <v>12198</v>
      </c>
      <c r="BE48" s="1527">
        <v>11571</v>
      </c>
      <c r="BF48" s="1527">
        <v>9924</v>
      </c>
      <c r="BG48" s="288">
        <v>10796</v>
      </c>
      <c r="BH48" s="1527">
        <v>11913</v>
      </c>
      <c r="BI48" s="288">
        <f t="shared" si="68"/>
        <v>138439</v>
      </c>
      <c r="BJ48" s="288">
        <f t="shared" si="65"/>
        <v>11536.583333333334</v>
      </c>
      <c r="BL48" s="317">
        <f>HLOOKUP($A$2,$AW$2:$BH$400,ROW()-1,0)-HLOOKUP($A$2,$AH$2:$AS$400,ROW()-1,0)</f>
        <v>776</v>
      </c>
      <c r="BM48" s="317">
        <f t="shared" si="54"/>
        <v>1021</v>
      </c>
      <c r="BN48" s="317">
        <f t="shared" si="67"/>
        <v>23389</v>
      </c>
      <c r="BO48" s="594">
        <f t="shared" si="55"/>
        <v>1117</v>
      </c>
    </row>
    <row r="49" spans="1:67" ht="18" thickBot="1" x14ac:dyDescent="0.6">
      <c r="A49" s="7096"/>
      <c r="B49" s="449" t="s">
        <v>51</v>
      </c>
      <c r="C49" s="450"/>
      <c r="D49" s="450"/>
      <c r="E49" s="289">
        <f>E43-D43</f>
        <v>-3839</v>
      </c>
      <c r="F49" s="290">
        <f t="shared" ref="F49:AD49" si="69">F43-E43</f>
        <v>-4150</v>
      </c>
      <c r="G49" s="290">
        <f t="shared" si="69"/>
        <v>-4678</v>
      </c>
      <c r="H49" s="290">
        <f t="shared" si="69"/>
        <v>-3171</v>
      </c>
      <c r="I49" s="290">
        <f t="shared" si="69"/>
        <v>-4436</v>
      </c>
      <c r="J49" s="290">
        <f t="shared" si="69"/>
        <v>-3656</v>
      </c>
      <c r="K49" s="290">
        <f t="shared" si="69"/>
        <v>-4590</v>
      </c>
      <c r="L49" s="290">
        <f t="shared" si="69"/>
        <v>-3089</v>
      </c>
      <c r="M49" s="290">
        <f t="shared" si="69"/>
        <v>-4011</v>
      </c>
      <c r="N49" s="290">
        <f t="shared" si="69"/>
        <v>-2151</v>
      </c>
      <c r="O49" s="290">
        <f t="shared" si="69"/>
        <v>-4222</v>
      </c>
      <c r="P49" s="290">
        <f>P43-O43</f>
        <v>-5997</v>
      </c>
      <c r="Q49" s="290">
        <f t="shared" si="56"/>
        <v>-47990</v>
      </c>
      <c r="R49" s="290">
        <f t="shared" si="57"/>
        <v>-3999.1666666666665</v>
      </c>
      <c r="S49" s="289">
        <f>S43-P43</f>
        <v>-6616</v>
      </c>
      <c r="T49" s="290">
        <f t="shared" si="69"/>
        <v>-3122</v>
      </c>
      <c r="U49" s="290">
        <f t="shared" si="69"/>
        <v>-4183</v>
      </c>
      <c r="V49" s="290">
        <f t="shared" si="69"/>
        <v>-2897</v>
      </c>
      <c r="W49" s="290">
        <f t="shared" si="69"/>
        <v>-3457</v>
      </c>
      <c r="X49" s="290">
        <f t="shared" si="69"/>
        <v>-3900</v>
      </c>
      <c r="Y49" s="290">
        <f t="shared" si="69"/>
        <v>-5400</v>
      </c>
      <c r="Z49" s="290">
        <f t="shared" si="69"/>
        <v>-4030</v>
      </c>
      <c r="AA49" s="290">
        <f t="shared" si="69"/>
        <v>-4026</v>
      </c>
      <c r="AB49" s="290">
        <f t="shared" si="69"/>
        <v>-2212</v>
      </c>
      <c r="AC49" s="290">
        <f t="shared" si="69"/>
        <v>-2304</v>
      </c>
      <c r="AD49" s="290">
        <f t="shared" si="69"/>
        <v>-4090</v>
      </c>
      <c r="AE49" s="290">
        <f t="shared" si="58"/>
        <v>-46237</v>
      </c>
      <c r="AF49" s="290">
        <f t="shared" si="59"/>
        <v>-3853.0833333333335</v>
      </c>
      <c r="AG49" s="290"/>
      <c r="AH49" s="289">
        <f>AH43-AD43</f>
        <v>-2062</v>
      </c>
      <c r="AI49" s="290">
        <f>AI43-AH43</f>
        <v>-3575</v>
      </c>
      <c r="AJ49" s="290">
        <f>AJ43-AI43</f>
        <v>-3969</v>
      </c>
      <c r="AK49" s="290">
        <f>AK43-AJ43</f>
        <v>-2985</v>
      </c>
      <c r="AL49" s="290">
        <f>AL43-AK43</f>
        <v>-6145</v>
      </c>
      <c r="AM49" s="290">
        <f>AM43-AL43</f>
        <v>-6163</v>
      </c>
      <c r="AN49" s="290">
        <v>-5349</v>
      </c>
      <c r="AO49" s="290">
        <v>-6146</v>
      </c>
      <c r="AP49" s="290">
        <f t="shared" si="62"/>
        <v>-5564</v>
      </c>
      <c r="AQ49" s="290">
        <v>-12733</v>
      </c>
      <c r="AR49" s="290">
        <v>-4930</v>
      </c>
      <c r="AS49" s="290">
        <v>-6313</v>
      </c>
      <c r="AT49" s="290">
        <f t="shared" si="63"/>
        <v>-65934</v>
      </c>
      <c r="AU49" s="290">
        <f t="shared" si="64"/>
        <v>-5494.5</v>
      </c>
      <c r="AV49" s="290"/>
      <c r="AW49" s="289">
        <v>-6440</v>
      </c>
      <c r="AX49" s="1531">
        <v>-3907</v>
      </c>
      <c r="AY49" s="1531">
        <v>-5515</v>
      </c>
      <c r="AZ49" s="1531">
        <v>-3884</v>
      </c>
      <c r="BA49" s="1531">
        <v>-593</v>
      </c>
      <c r="BB49" s="290">
        <v>-4301</v>
      </c>
      <c r="BC49" s="290">
        <v>-1879</v>
      </c>
      <c r="BD49" s="290">
        <v>-3818</v>
      </c>
      <c r="BE49" s="290">
        <v>-3279</v>
      </c>
      <c r="BF49" s="290">
        <v>-5409</v>
      </c>
      <c r="BG49" s="290">
        <v>-6165</v>
      </c>
      <c r="BH49" s="290">
        <v>-4655</v>
      </c>
      <c r="BI49" s="290">
        <f t="shared" si="68"/>
        <v>-49845</v>
      </c>
      <c r="BJ49" s="290">
        <f t="shared" si="65"/>
        <v>-4153.75</v>
      </c>
      <c r="BL49" s="317">
        <f t="shared" si="66"/>
        <v>1658</v>
      </c>
      <c r="BM49" s="317">
        <f t="shared" si="54"/>
        <v>1340.75</v>
      </c>
      <c r="BN49" s="317">
        <f t="shared" si="67"/>
        <v>9776</v>
      </c>
      <c r="BO49" s="594">
        <f t="shared" si="55"/>
        <v>1510</v>
      </c>
    </row>
    <row r="50" spans="1:67" x14ac:dyDescent="0.55000000000000004">
      <c r="A50" s="7097" t="s">
        <v>87</v>
      </c>
      <c r="B50" s="44" t="s">
        <v>44</v>
      </c>
      <c r="C50" s="28"/>
      <c r="D50" s="28">
        <v>263119</v>
      </c>
      <c r="E50" s="452">
        <v>260702</v>
      </c>
      <c r="F50" s="451">
        <v>258542</v>
      </c>
      <c r="G50" s="451">
        <v>256501</v>
      </c>
      <c r="H50" s="451">
        <v>254122</v>
      </c>
      <c r="I50" s="451">
        <v>251320</v>
      </c>
      <c r="J50" s="451">
        <v>249179</v>
      </c>
      <c r="K50" s="451">
        <v>246693</v>
      </c>
      <c r="L50" s="451">
        <v>244885</v>
      </c>
      <c r="M50" s="451">
        <v>242703</v>
      </c>
      <c r="N50" s="451">
        <v>241214</v>
      </c>
      <c r="O50" s="451">
        <v>238241</v>
      </c>
      <c r="P50" s="459">
        <v>235137</v>
      </c>
      <c r="Q50" s="459">
        <f>P50</f>
        <v>235137</v>
      </c>
      <c r="R50" s="460">
        <f>AVERAGE(E50:P50)</f>
        <v>248269.91666666666</v>
      </c>
      <c r="S50" s="452">
        <v>231582</v>
      </c>
      <c r="T50" s="451">
        <v>230252</v>
      </c>
      <c r="U50" s="451">
        <v>227874</v>
      </c>
      <c r="V50" s="451">
        <v>226084</v>
      </c>
      <c r="W50" s="451">
        <v>223637</v>
      </c>
      <c r="X50" s="451">
        <v>220961</v>
      </c>
      <c r="Y50" s="451">
        <v>217327</v>
      </c>
      <c r="Z50" s="451">
        <v>214365</v>
      </c>
      <c r="AA50" s="451">
        <v>211752</v>
      </c>
      <c r="AB50" s="451">
        <v>209662</v>
      </c>
      <c r="AC50" s="451">
        <v>207811</v>
      </c>
      <c r="AD50" s="451">
        <v>204798</v>
      </c>
      <c r="AE50" s="459">
        <f>AD50</f>
        <v>204798</v>
      </c>
      <c r="AF50" s="460">
        <f>AVERAGE(S50:AD50)</f>
        <v>218842.08333333334</v>
      </c>
      <c r="AG50" s="430"/>
      <c r="AH50" s="452">
        <v>202813</v>
      </c>
      <c r="AI50" s="451">
        <v>200330</v>
      </c>
      <c r="AJ50" s="451">
        <v>197787</v>
      </c>
      <c r="AK50" s="451">
        <v>196122</v>
      </c>
      <c r="AL50" s="451">
        <v>191173</v>
      </c>
      <c r="AM50" s="451">
        <v>186288</v>
      </c>
      <c r="AN50" s="451">
        <v>182092</v>
      </c>
      <c r="AO50" s="451">
        <v>177497</v>
      </c>
      <c r="AP50" s="451">
        <v>173071</v>
      </c>
      <c r="AQ50" s="451">
        <v>165575</v>
      </c>
      <c r="AR50" s="451">
        <v>161972</v>
      </c>
      <c r="AS50" s="451">
        <v>157704</v>
      </c>
      <c r="AT50" s="459">
        <f>INDEX($AH50:$AS50, 1, MATCH(0, $AH50:$AS50, -1))</f>
        <v>157704</v>
      </c>
      <c r="AU50" s="459">
        <f>AVERAGE(AH50:AS50)</f>
        <v>182702</v>
      </c>
      <c r="AV50" s="430"/>
      <c r="AW50" s="452">
        <v>153599</v>
      </c>
      <c r="AX50" s="1534">
        <v>150408</v>
      </c>
      <c r="AY50" s="1534">
        <v>146972</v>
      </c>
      <c r="AZ50" s="1534">
        <v>144200</v>
      </c>
      <c r="BA50" s="1534">
        <v>143217</v>
      </c>
      <c r="BB50" s="1534">
        <v>140264</v>
      </c>
      <c r="BC50" s="1534">
        <v>138462</v>
      </c>
      <c r="BD50" s="1534">
        <v>135180</v>
      </c>
      <c r="BE50" s="1534">
        <v>132452</v>
      </c>
      <c r="BF50" s="1534">
        <v>128701</v>
      </c>
      <c r="BG50" s="451">
        <v>124746</v>
      </c>
      <c r="BH50" s="1534">
        <v>138462</v>
      </c>
      <c r="BI50" s="444">
        <f>INDEX($AW50:$BH50, 1, MATCH(0, $AW50:$BH50, -1))</f>
        <v>138462</v>
      </c>
      <c r="BJ50" s="459">
        <f>AVERAGE(AW50:BH50)</f>
        <v>139721.91666666666</v>
      </c>
      <c r="BL50" s="317">
        <f t="shared" si="66"/>
        <v>-19242</v>
      </c>
      <c r="BM50" s="317">
        <f t="shared" si="54"/>
        <v>-42980.083333333343</v>
      </c>
      <c r="BN50" s="759">
        <f>HLOOKUP($A$2,$AW$2:$BH$400,ROW()-1,0)-HLOOKUP($A$2,$AH$2:$AS$400,ROW()-1,0)</f>
        <v>-19242</v>
      </c>
      <c r="BO50" s="594">
        <f t="shared" si="55"/>
        <v>13716</v>
      </c>
    </row>
    <row r="51" spans="1:67" x14ac:dyDescent="0.55000000000000004">
      <c r="A51" s="7098"/>
      <c r="B51" s="52" t="s">
        <v>47</v>
      </c>
      <c r="E51" s="287">
        <v>3459</v>
      </c>
      <c r="F51" s="288">
        <v>3444</v>
      </c>
      <c r="G51" s="288">
        <v>3792</v>
      </c>
      <c r="H51" s="288">
        <v>3944</v>
      </c>
      <c r="I51" s="288">
        <v>4007</v>
      </c>
      <c r="J51" s="288">
        <v>3854</v>
      </c>
      <c r="K51" s="288">
        <v>3318</v>
      </c>
      <c r="L51" s="288">
        <v>3808</v>
      </c>
      <c r="M51" s="288">
        <v>3491</v>
      </c>
      <c r="N51" s="288">
        <v>3945</v>
      </c>
      <c r="O51" s="288">
        <v>3453</v>
      </c>
      <c r="P51" s="288">
        <v>2878</v>
      </c>
      <c r="Q51" s="288">
        <f t="shared" ref="Q51:Q56" si="70">SUM(E51:P51)</f>
        <v>43393</v>
      </c>
      <c r="R51" s="288">
        <f t="shared" ref="R51:R56" si="71">Q51/12</f>
        <v>3616.0833333333335</v>
      </c>
      <c r="S51" s="287">
        <v>3229</v>
      </c>
      <c r="T51" s="288">
        <v>3967</v>
      </c>
      <c r="U51" s="288">
        <v>3887</v>
      </c>
      <c r="V51" s="288">
        <v>3601</v>
      </c>
      <c r="W51" s="288">
        <v>3818</v>
      </c>
      <c r="X51" s="288">
        <v>3653</v>
      </c>
      <c r="Y51" s="288">
        <v>3177</v>
      </c>
      <c r="Z51" s="288">
        <v>4158</v>
      </c>
      <c r="AA51" s="288">
        <v>3270</v>
      </c>
      <c r="AB51" s="288">
        <v>3855</v>
      </c>
      <c r="AC51" s="288">
        <v>3485</v>
      </c>
      <c r="AD51" s="288">
        <v>2773</v>
      </c>
      <c r="AE51" s="288">
        <f t="shared" ref="AE51:AE56" si="72">SUM(S51:AD51)</f>
        <v>42873</v>
      </c>
      <c r="AF51" s="288">
        <f t="shared" ref="AF51:AF56" si="73">AE51/12</f>
        <v>3572.75</v>
      </c>
      <c r="AG51" s="288"/>
      <c r="AH51" s="1528">
        <v>3854</v>
      </c>
      <c r="AI51" s="288">
        <v>3103</v>
      </c>
      <c r="AJ51" s="288">
        <v>3794</v>
      </c>
      <c r="AK51" s="288">
        <v>3703</v>
      </c>
      <c r="AL51" s="288">
        <v>4011</v>
      </c>
      <c r="AM51" s="1527">
        <v>3944</v>
      </c>
      <c r="AN51" s="1527">
        <v>4327</v>
      </c>
      <c r="AO51" s="1527">
        <v>3796</v>
      </c>
      <c r="AP51" s="1527">
        <v>4147</v>
      </c>
      <c r="AQ51" s="1527">
        <v>4130</v>
      </c>
      <c r="AR51" s="1527">
        <v>8416</v>
      </c>
      <c r="AS51" s="288">
        <v>3635</v>
      </c>
      <c r="AT51" s="288">
        <f t="shared" ref="AT51:AT56" si="74">SUM(AH51:AS51)</f>
        <v>50860</v>
      </c>
      <c r="AU51" s="288">
        <f t="shared" ref="AU51:AU56" si="75">AT51/12</f>
        <v>4238.333333333333</v>
      </c>
      <c r="AV51" s="288"/>
      <c r="AW51" s="287">
        <v>3388</v>
      </c>
      <c r="AX51" s="1527">
        <v>4840</v>
      </c>
      <c r="AY51" s="1527">
        <v>4374</v>
      </c>
      <c r="AZ51" s="1527">
        <v>4830</v>
      </c>
      <c r="BA51" s="1527">
        <v>8532</v>
      </c>
      <c r="BB51" s="1527">
        <v>5784</v>
      </c>
      <c r="BC51" s="1527">
        <v>6665</v>
      </c>
      <c r="BD51" s="1527">
        <v>5417</v>
      </c>
      <c r="BE51" s="1527">
        <v>5655</v>
      </c>
      <c r="BF51" s="1527">
        <v>3747</v>
      </c>
      <c r="BG51" s="288">
        <v>3673</v>
      </c>
      <c r="BH51" s="1527">
        <v>3490</v>
      </c>
      <c r="BI51" s="288">
        <f t="shared" ref="BI51:BI56" si="76">SUM(AW51:BH51)</f>
        <v>60395</v>
      </c>
      <c r="BJ51" s="288">
        <f t="shared" ref="BJ51:BJ56" si="77">BI51/12</f>
        <v>5032.916666666667</v>
      </c>
      <c r="BL51" s="317">
        <f t="shared" si="66"/>
        <v>-145</v>
      </c>
      <c r="BM51" s="317">
        <f t="shared" si="54"/>
        <v>794.58333333333394</v>
      </c>
      <c r="BN51" s="317">
        <f t="shared" ref="BN51:BN56" si="78">BI51-SUM(AH51:AR51)</f>
        <v>13170</v>
      </c>
      <c r="BO51" s="594">
        <f t="shared" si="55"/>
        <v>-183</v>
      </c>
    </row>
    <row r="52" spans="1:67" x14ac:dyDescent="0.55000000000000004">
      <c r="A52" s="7098"/>
      <c r="B52" t="s">
        <v>48</v>
      </c>
      <c r="E52" s="287">
        <f>2273+37+135</f>
        <v>2445</v>
      </c>
      <c r="F52" s="288">
        <f>2187+22+152</f>
        <v>2361</v>
      </c>
      <c r="G52" s="288">
        <f>2466+24+145</f>
        <v>2635</v>
      </c>
      <c r="H52" s="288">
        <f>2157+28+100</f>
        <v>2285</v>
      </c>
      <c r="I52" s="288">
        <f>2164+24+151</f>
        <v>2339</v>
      </c>
      <c r="J52" s="288">
        <f>1985+54+126</f>
        <v>2165</v>
      </c>
      <c r="K52" s="288">
        <f>1946+104+123</f>
        <v>2173</v>
      </c>
      <c r="L52" s="288">
        <f>2017+131+139</f>
        <v>2287</v>
      </c>
      <c r="M52" s="288">
        <f>1720+84+124</f>
        <v>1928</v>
      </c>
      <c r="N52" s="288">
        <f>1854+116+109</f>
        <v>2079</v>
      </c>
      <c r="O52" s="288">
        <f>1881+139+112</f>
        <v>2132</v>
      </c>
      <c r="P52" s="288">
        <f>1923+143+137</f>
        <v>2203</v>
      </c>
      <c r="Q52" s="288">
        <f t="shared" si="70"/>
        <v>27032</v>
      </c>
      <c r="R52" s="288">
        <f t="shared" si="71"/>
        <v>2252.6666666666665</v>
      </c>
      <c r="S52" s="287">
        <f>1893+106+124</f>
        <v>2123</v>
      </c>
      <c r="T52" s="288">
        <f>1947+130+110</f>
        <v>2187</v>
      </c>
      <c r="U52" s="288">
        <f>2172+90+109</f>
        <v>2371</v>
      </c>
      <c r="V52" s="288">
        <f>1703+106+140</f>
        <v>1949</v>
      </c>
      <c r="W52" s="288">
        <f>1747+108+131</f>
        <v>1986</v>
      </c>
      <c r="X52" s="288">
        <f>1932+102+149</f>
        <v>2183</v>
      </c>
      <c r="Y52" s="288">
        <f>1841+125+143</f>
        <v>2109</v>
      </c>
      <c r="Z52" s="288">
        <f>1999+146+569</f>
        <v>2714</v>
      </c>
      <c r="AA52" s="288">
        <f>1748+107+114</f>
        <v>1969</v>
      </c>
      <c r="AB52" s="288">
        <f>1739+150+152</f>
        <v>2041</v>
      </c>
      <c r="AC52" s="288">
        <f>1761+173+120</f>
        <v>2054</v>
      </c>
      <c r="AD52" s="288">
        <f>1617+142+129</f>
        <v>1888</v>
      </c>
      <c r="AE52" s="288">
        <f t="shared" si="72"/>
        <v>25574</v>
      </c>
      <c r="AF52" s="288">
        <f t="shared" si="73"/>
        <v>2131.1666666666665</v>
      </c>
      <c r="AG52" s="288"/>
      <c r="AH52" s="287">
        <f>1808+185+147</f>
        <v>2140</v>
      </c>
      <c r="AI52" s="288">
        <f>1839+148+128</f>
        <v>2115</v>
      </c>
      <c r="AJ52" s="288">
        <f>1990+188+150</f>
        <v>2328</v>
      </c>
      <c r="AK52" s="288">
        <f>1808+223+140</f>
        <v>2171</v>
      </c>
      <c r="AL52" s="288">
        <f>1722+240+162</f>
        <v>2124</v>
      </c>
      <c r="AM52" s="288">
        <f>1591+239+134</f>
        <v>1964</v>
      </c>
      <c r="AN52" s="288">
        <v>1900</v>
      </c>
      <c r="AO52" s="288">
        <v>1870</v>
      </c>
      <c r="AP52" s="288">
        <f>1375+213+117</f>
        <v>1705</v>
      </c>
      <c r="AQ52" s="288">
        <v>1673</v>
      </c>
      <c r="AR52" s="288">
        <v>1309</v>
      </c>
      <c r="AS52" s="288">
        <v>1235</v>
      </c>
      <c r="AT52" s="288">
        <f t="shared" si="74"/>
        <v>22534</v>
      </c>
      <c r="AU52" s="288">
        <f t="shared" si="75"/>
        <v>1877.8333333333333</v>
      </c>
      <c r="AV52" s="288"/>
      <c r="AW52" s="287">
        <v>1347</v>
      </c>
      <c r="AX52" s="1527">
        <v>1740</v>
      </c>
      <c r="AY52" s="1527">
        <v>1600</v>
      </c>
      <c r="AZ52" s="1527">
        <v>1596</v>
      </c>
      <c r="BA52" s="1527">
        <v>1369</v>
      </c>
      <c r="BB52" s="1527">
        <v>1426</v>
      </c>
      <c r="BC52" s="1527">
        <v>1486</v>
      </c>
      <c r="BD52" s="1527">
        <v>1275</v>
      </c>
      <c r="BE52" s="1527">
        <v>1347</v>
      </c>
      <c r="BF52" s="1527">
        <v>1302</v>
      </c>
      <c r="BG52" s="288">
        <v>1135</v>
      </c>
      <c r="BH52" s="1527">
        <v>1486</v>
      </c>
      <c r="BI52" s="288">
        <f t="shared" si="76"/>
        <v>17109</v>
      </c>
      <c r="BJ52" s="288">
        <f t="shared" si="77"/>
        <v>1425.75</v>
      </c>
      <c r="BL52" s="317">
        <f t="shared" si="66"/>
        <v>251</v>
      </c>
      <c r="BM52" s="317">
        <f t="shared" si="54"/>
        <v>-452.08333333333326</v>
      </c>
      <c r="BN52" s="317">
        <f t="shared" si="78"/>
        <v>-4190</v>
      </c>
      <c r="BO52" s="594">
        <f t="shared" si="55"/>
        <v>351</v>
      </c>
    </row>
    <row r="53" spans="1:67" x14ac:dyDescent="0.55000000000000004">
      <c r="A53" s="7098"/>
      <c r="B53" s="330" t="s">
        <v>59</v>
      </c>
      <c r="E53" s="287">
        <v>135</v>
      </c>
      <c r="F53" s="288">
        <v>152</v>
      </c>
      <c r="G53" s="288">
        <v>145</v>
      </c>
      <c r="H53" s="288">
        <v>100</v>
      </c>
      <c r="I53" s="288">
        <v>151</v>
      </c>
      <c r="J53" s="288">
        <v>126</v>
      </c>
      <c r="K53" s="288">
        <v>123</v>
      </c>
      <c r="L53" s="288">
        <v>139</v>
      </c>
      <c r="M53" s="288">
        <v>124</v>
      </c>
      <c r="N53" s="288">
        <v>109</v>
      </c>
      <c r="O53" s="288">
        <v>112</v>
      </c>
      <c r="P53" s="288">
        <v>137</v>
      </c>
      <c r="Q53" s="288">
        <f t="shared" si="70"/>
        <v>1553</v>
      </c>
      <c r="R53" s="288">
        <f t="shared" si="71"/>
        <v>129.41666666666666</v>
      </c>
      <c r="S53" s="287">
        <v>124</v>
      </c>
      <c r="T53" s="288">
        <v>110</v>
      </c>
      <c r="U53" s="288">
        <v>109</v>
      </c>
      <c r="V53" s="288">
        <v>140</v>
      </c>
      <c r="W53" s="288">
        <v>131</v>
      </c>
      <c r="X53" s="288">
        <v>149</v>
      </c>
      <c r="Y53" s="288">
        <v>143</v>
      </c>
      <c r="Z53" s="288">
        <v>569</v>
      </c>
      <c r="AA53" s="288">
        <v>114</v>
      </c>
      <c r="AB53" s="288">
        <v>152</v>
      </c>
      <c r="AC53" s="288">
        <v>120</v>
      </c>
      <c r="AD53" s="288">
        <v>129</v>
      </c>
      <c r="AE53" s="288">
        <f t="shared" si="72"/>
        <v>1990</v>
      </c>
      <c r="AF53" s="288">
        <f t="shared" si="73"/>
        <v>165.83333333333334</v>
      </c>
      <c r="AG53" s="288"/>
      <c r="AH53" s="287">
        <v>147</v>
      </c>
      <c r="AI53" s="288">
        <v>128</v>
      </c>
      <c r="AJ53" s="288">
        <v>150</v>
      </c>
      <c r="AK53" s="288">
        <v>140</v>
      </c>
      <c r="AL53" s="288">
        <v>162</v>
      </c>
      <c r="AM53" s="288">
        <v>134</v>
      </c>
      <c r="AN53" s="288">
        <v>274</v>
      </c>
      <c r="AO53" s="288">
        <v>113</v>
      </c>
      <c r="AP53" s="288">
        <v>117</v>
      </c>
      <c r="AQ53" s="288">
        <v>128</v>
      </c>
      <c r="AR53" s="288">
        <v>129</v>
      </c>
      <c r="AS53" s="288">
        <v>100</v>
      </c>
      <c r="AT53" s="288">
        <f t="shared" si="74"/>
        <v>1722</v>
      </c>
      <c r="AU53" s="288">
        <f t="shared" si="75"/>
        <v>143.5</v>
      </c>
      <c r="AV53" s="288"/>
      <c r="AW53" s="287">
        <v>108</v>
      </c>
      <c r="AX53" s="1527">
        <v>132</v>
      </c>
      <c r="AY53" s="1527">
        <v>128</v>
      </c>
      <c r="AZ53" s="1527">
        <v>148</v>
      </c>
      <c r="BA53" s="1527">
        <v>143</v>
      </c>
      <c r="BB53" s="1527">
        <v>116</v>
      </c>
      <c r="BC53" s="1527">
        <v>115</v>
      </c>
      <c r="BD53" s="1527">
        <v>101</v>
      </c>
      <c r="BE53" s="1527">
        <v>114</v>
      </c>
      <c r="BF53" s="1527">
        <v>94</v>
      </c>
      <c r="BG53" s="288">
        <v>66</v>
      </c>
      <c r="BH53" s="1527">
        <v>115</v>
      </c>
      <c r="BI53" s="288">
        <f t="shared" si="76"/>
        <v>1380</v>
      </c>
      <c r="BJ53" s="288">
        <f t="shared" si="77"/>
        <v>115</v>
      </c>
      <c r="BL53" s="317">
        <f t="shared" si="66"/>
        <v>15</v>
      </c>
      <c r="BM53" s="317">
        <f t="shared" si="54"/>
        <v>-28.5</v>
      </c>
      <c r="BN53" s="317">
        <f t="shared" si="78"/>
        <v>-242</v>
      </c>
      <c r="BO53" s="594">
        <f t="shared" si="55"/>
        <v>49</v>
      </c>
    </row>
    <row r="54" spans="1:67" x14ac:dyDescent="0.55000000000000004">
      <c r="A54" s="7098"/>
      <c r="B54" s="447" t="s">
        <v>86</v>
      </c>
      <c r="C54" s="447"/>
      <c r="D54" s="447"/>
      <c r="E54" s="285">
        <f t="shared" ref="E54:AD54" si="79">E51-E52</f>
        <v>1014</v>
      </c>
      <c r="F54" s="286">
        <f t="shared" si="79"/>
        <v>1083</v>
      </c>
      <c r="G54" s="286">
        <f t="shared" si="79"/>
        <v>1157</v>
      </c>
      <c r="H54" s="286">
        <f t="shared" si="79"/>
        <v>1659</v>
      </c>
      <c r="I54" s="286">
        <f t="shared" si="79"/>
        <v>1668</v>
      </c>
      <c r="J54" s="286">
        <f t="shared" si="79"/>
        <v>1689</v>
      </c>
      <c r="K54" s="286">
        <f t="shared" si="79"/>
        <v>1145</v>
      </c>
      <c r="L54" s="286">
        <f t="shared" si="79"/>
        <v>1521</v>
      </c>
      <c r="M54" s="286">
        <f t="shared" si="79"/>
        <v>1563</v>
      </c>
      <c r="N54" s="286">
        <f t="shared" si="79"/>
        <v>1866</v>
      </c>
      <c r="O54" s="286">
        <f t="shared" si="79"/>
        <v>1321</v>
      </c>
      <c r="P54" s="286">
        <f t="shared" si="79"/>
        <v>675</v>
      </c>
      <c r="Q54" s="286">
        <f t="shared" si="70"/>
        <v>16361</v>
      </c>
      <c r="R54" s="286">
        <f t="shared" si="71"/>
        <v>1363.4166666666667</v>
      </c>
      <c r="S54" s="285">
        <f t="shared" si="79"/>
        <v>1106</v>
      </c>
      <c r="T54" s="286">
        <f t="shared" si="79"/>
        <v>1780</v>
      </c>
      <c r="U54" s="286">
        <f t="shared" si="79"/>
        <v>1516</v>
      </c>
      <c r="V54" s="286">
        <f t="shared" si="79"/>
        <v>1652</v>
      </c>
      <c r="W54" s="286">
        <f t="shared" si="79"/>
        <v>1832</v>
      </c>
      <c r="X54" s="286">
        <f t="shared" si="79"/>
        <v>1470</v>
      </c>
      <c r="Y54" s="286">
        <f t="shared" si="79"/>
        <v>1068</v>
      </c>
      <c r="Z54" s="286">
        <f t="shared" si="79"/>
        <v>1444</v>
      </c>
      <c r="AA54" s="286">
        <f t="shared" si="79"/>
        <v>1301</v>
      </c>
      <c r="AB54" s="286">
        <f t="shared" si="79"/>
        <v>1814</v>
      </c>
      <c r="AC54" s="286">
        <f t="shared" si="79"/>
        <v>1431</v>
      </c>
      <c r="AD54" s="286">
        <f t="shared" si="79"/>
        <v>885</v>
      </c>
      <c r="AE54" s="286">
        <f t="shared" si="72"/>
        <v>17299</v>
      </c>
      <c r="AF54" s="286">
        <f t="shared" si="73"/>
        <v>1441.5833333333333</v>
      </c>
      <c r="AG54" s="286"/>
      <c r="AH54" s="285">
        <f t="shared" ref="AH54:AM54" si="80">AH51-AH52</f>
        <v>1714</v>
      </c>
      <c r="AI54" s="286">
        <f t="shared" si="80"/>
        <v>988</v>
      </c>
      <c r="AJ54" s="286">
        <f t="shared" si="80"/>
        <v>1466</v>
      </c>
      <c r="AK54" s="286">
        <f t="shared" si="80"/>
        <v>1532</v>
      </c>
      <c r="AL54" s="286">
        <f t="shared" si="80"/>
        <v>1887</v>
      </c>
      <c r="AM54" s="286">
        <f t="shared" si="80"/>
        <v>1980</v>
      </c>
      <c r="AN54" s="286">
        <v>2425</v>
      </c>
      <c r="AO54" s="286">
        <v>1923.9999999999995</v>
      </c>
      <c r="AP54" s="286">
        <f>AP51-AP52</f>
        <v>2442</v>
      </c>
      <c r="AQ54" s="286">
        <v>2457</v>
      </c>
      <c r="AR54" s="286">
        <v>7107</v>
      </c>
      <c r="AS54" s="286">
        <v>2400</v>
      </c>
      <c r="AT54" s="286">
        <f t="shared" si="74"/>
        <v>28322</v>
      </c>
      <c r="AU54" s="286">
        <f t="shared" si="75"/>
        <v>2360.1666666666665</v>
      </c>
      <c r="AV54" s="286"/>
      <c r="AW54" s="285">
        <v>2041</v>
      </c>
      <c r="AX54" s="1529">
        <v>3100</v>
      </c>
      <c r="AY54" s="1529">
        <v>2774</v>
      </c>
      <c r="AZ54" s="1529">
        <v>3234</v>
      </c>
      <c r="BA54" s="1529">
        <v>7163</v>
      </c>
      <c r="BB54" s="1529">
        <v>4358</v>
      </c>
      <c r="BC54" s="1529">
        <v>5179</v>
      </c>
      <c r="BD54" s="1529">
        <v>4142</v>
      </c>
      <c r="BE54" s="1529">
        <v>4308</v>
      </c>
      <c r="BF54" s="1529">
        <v>2445</v>
      </c>
      <c r="BG54" s="286">
        <v>2538</v>
      </c>
      <c r="BH54" s="1529">
        <v>5179</v>
      </c>
      <c r="BI54" s="286">
        <f t="shared" si="76"/>
        <v>46461</v>
      </c>
      <c r="BJ54" s="286">
        <f t="shared" si="77"/>
        <v>3871.75</v>
      </c>
      <c r="BL54" s="317">
        <f t="shared" si="66"/>
        <v>2779</v>
      </c>
      <c r="BM54" s="317">
        <f t="shared" si="54"/>
        <v>1511.5833333333335</v>
      </c>
      <c r="BN54" s="317">
        <f t="shared" si="78"/>
        <v>20539</v>
      </c>
      <c r="BO54" s="594">
        <f t="shared" si="55"/>
        <v>2641</v>
      </c>
    </row>
    <row r="55" spans="1:67" x14ac:dyDescent="0.55000000000000004">
      <c r="A55" s="7098"/>
      <c r="B55" t="s">
        <v>50</v>
      </c>
      <c r="E55" s="287">
        <f t="shared" ref="E55:U55" si="81">E54-E56</f>
        <v>3431</v>
      </c>
      <c r="F55" s="288">
        <f t="shared" si="81"/>
        <v>3243</v>
      </c>
      <c r="G55" s="288">
        <f t="shared" si="81"/>
        <v>3198</v>
      </c>
      <c r="H55" s="288">
        <f t="shared" si="81"/>
        <v>4038</v>
      </c>
      <c r="I55" s="288">
        <f t="shared" si="81"/>
        <v>4470</v>
      </c>
      <c r="J55" s="288">
        <f t="shared" si="81"/>
        <v>3830</v>
      </c>
      <c r="K55" s="288">
        <f t="shared" si="81"/>
        <v>3631</v>
      </c>
      <c r="L55" s="288">
        <f t="shared" si="81"/>
        <v>3329</v>
      </c>
      <c r="M55" s="288">
        <f t="shared" si="81"/>
        <v>3745</v>
      </c>
      <c r="N55" s="288">
        <f t="shared" si="81"/>
        <v>3355</v>
      </c>
      <c r="O55" s="288">
        <f t="shared" si="81"/>
        <v>4294</v>
      </c>
      <c r="P55" s="288">
        <f t="shared" si="81"/>
        <v>3779</v>
      </c>
      <c r="Q55" s="288">
        <f t="shared" si="70"/>
        <v>44343</v>
      </c>
      <c r="R55" s="288">
        <f t="shared" si="71"/>
        <v>3695.25</v>
      </c>
      <c r="S55" s="287">
        <f t="shared" si="81"/>
        <v>4661</v>
      </c>
      <c r="T55" s="288">
        <f t="shared" si="81"/>
        <v>3110</v>
      </c>
      <c r="U55" s="288">
        <f t="shared" si="81"/>
        <v>3894</v>
      </c>
      <c r="V55" s="288">
        <f>V54-V56</f>
        <v>3442</v>
      </c>
      <c r="W55" s="288">
        <f t="shared" ref="W55:AD55" si="82">W54-W56</f>
        <v>4279</v>
      </c>
      <c r="X55" s="288">
        <f t="shared" si="82"/>
        <v>4146</v>
      </c>
      <c r="Y55" s="288">
        <f t="shared" si="82"/>
        <v>4702</v>
      </c>
      <c r="Z55" s="288">
        <f t="shared" si="82"/>
        <v>4406</v>
      </c>
      <c r="AA55" s="288">
        <f t="shared" si="82"/>
        <v>3914</v>
      </c>
      <c r="AB55" s="288">
        <f t="shared" si="82"/>
        <v>3904</v>
      </c>
      <c r="AC55" s="288">
        <f t="shared" si="82"/>
        <v>3282</v>
      </c>
      <c r="AD55" s="288">
        <f t="shared" si="82"/>
        <v>3898</v>
      </c>
      <c r="AE55" s="288">
        <f t="shared" si="72"/>
        <v>47638</v>
      </c>
      <c r="AF55" s="288">
        <f t="shared" si="73"/>
        <v>3969.8333333333335</v>
      </c>
      <c r="AG55" s="288"/>
      <c r="AH55" s="287">
        <f t="shared" ref="AH55:AM55" si="83">AH54-AH56</f>
        <v>3699</v>
      </c>
      <c r="AI55" s="288">
        <f t="shared" si="83"/>
        <v>3471</v>
      </c>
      <c r="AJ55" s="288">
        <f t="shared" si="83"/>
        <v>4009</v>
      </c>
      <c r="AK55" s="288">
        <f t="shared" si="83"/>
        <v>3197</v>
      </c>
      <c r="AL55" s="288">
        <f t="shared" si="83"/>
        <v>6836</v>
      </c>
      <c r="AM55" s="288">
        <f t="shared" si="83"/>
        <v>6865</v>
      </c>
      <c r="AN55" s="288">
        <v>6621</v>
      </c>
      <c r="AO55" s="288">
        <v>6519</v>
      </c>
      <c r="AP55" s="288">
        <f>AP54-AP56</f>
        <v>6868</v>
      </c>
      <c r="AQ55" s="288">
        <v>5725</v>
      </c>
      <c r="AR55" s="288">
        <v>10710</v>
      </c>
      <c r="AS55" s="288">
        <v>6668</v>
      </c>
      <c r="AT55" s="288">
        <f t="shared" si="74"/>
        <v>71188</v>
      </c>
      <c r="AU55" s="288">
        <f t="shared" si="75"/>
        <v>5932.333333333333</v>
      </c>
      <c r="AV55" s="288"/>
      <c r="AW55" s="287">
        <v>6146</v>
      </c>
      <c r="AX55" s="1527">
        <v>6291</v>
      </c>
      <c r="AY55" s="1527">
        <v>6210</v>
      </c>
      <c r="AZ55" s="1527">
        <v>6006</v>
      </c>
      <c r="BA55" s="1527">
        <v>8146</v>
      </c>
      <c r="BB55" s="1527">
        <v>7311</v>
      </c>
      <c r="BC55" s="1527">
        <v>6981</v>
      </c>
      <c r="BD55" s="1527">
        <v>7424</v>
      </c>
      <c r="BE55" s="1527">
        <v>7036</v>
      </c>
      <c r="BF55" s="1527">
        <v>6196</v>
      </c>
      <c r="BG55" s="288">
        <v>6493</v>
      </c>
      <c r="BH55" s="1527">
        <v>6981</v>
      </c>
      <c r="BI55" s="288">
        <f t="shared" si="76"/>
        <v>81221</v>
      </c>
      <c r="BJ55" s="288">
        <f t="shared" si="77"/>
        <v>6768.416666666667</v>
      </c>
      <c r="BL55" s="317">
        <f t="shared" si="66"/>
        <v>313</v>
      </c>
      <c r="BM55" s="317">
        <f t="shared" si="54"/>
        <v>836.08333333333394</v>
      </c>
      <c r="BN55" s="317">
        <f t="shared" si="78"/>
        <v>16701</v>
      </c>
      <c r="BO55" s="594">
        <f t="shared" si="55"/>
        <v>488</v>
      </c>
    </row>
    <row r="56" spans="1:67" ht="18" thickBot="1" x14ac:dyDescent="0.6">
      <c r="A56" s="7099"/>
      <c r="B56" s="29" t="s">
        <v>51</v>
      </c>
      <c r="C56" s="29"/>
      <c r="D56" s="29"/>
      <c r="E56" s="454">
        <f>E50-D50</f>
        <v>-2417</v>
      </c>
      <c r="F56" s="453">
        <f t="shared" ref="F56:AD56" si="84">F50-E50</f>
        <v>-2160</v>
      </c>
      <c r="G56" s="453">
        <f t="shared" si="84"/>
        <v>-2041</v>
      </c>
      <c r="H56" s="453">
        <f t="shared" si="84"/>
        <v>-2379</v>
      </c>
      <c r="I56" s="453">
        <f t="shared" si="84"/>
        <v>-2802</v>
      </c>
      <c r="J56" s="453">
        <f t="shared" si="84"/>
        <v>-2141</v>
      </c>
      <c r="K56" s="453">
        <f t="shared" si="84"/>
        <v>-2486</v>
      </c>
      <c r="L56" s="453">
        <f t="shared" si="84"/>
        <v>-1808</v>
      </c>
      <c r="M56" s="453">
        <f t="shared" si="84"/>
        <v>-2182</v>
      </c>
      <c r="N56" s="453">
        <f t="shared" si="84"/>
        <v>-1489</v>
      </c>
      <c r="O56" s="453">
        <f t="shared" si="84"/>
        <v>-2973</v>
      </c>
      <c r="P56" s="290">
        <f t="shared" si="84"/>
        <v>-3104</v>
      </c>
      <c r="Q56" s="290">
        <f t="shared" si="70"/>
        <v>-27982</v>
      </c>
      <c r="R56" s="290">
        <f t="shared" si="71"/>
        <v>-2331.8333333333335</v>
      </c>
      <c r="S56" s="289">
        <f>S50-P50</f>
        <v>-3555</v>
      </c>
      <c r="T56" s="290">
        <f t="shared" si="84"/>
        <v>-1330</v>
      </c>
      <c r="U56" s="453">
        <f t="shared" si="84"/>
        <v>-2378</v>
      </c>
      <c r="V56" s="453">
        <f t="shared" si="84"/>
        <v>-1790</v>
      </c>
      <c r="W56" s="453">
        <f t="shared" si="84"/>
        <v>-2447</v>
      </c>
      <c r="X56" s="453">
        <f t="shared" si="84"/>
        <v>-2676</v>
      </c>
      <c r="Y56" s="453">
        <f t="shared" si="84"/>
        <v>-3634</v>
      </c>
      <c r="Z56" s="453">
        <f t="shared" si="84"/>
        <v>-2962</v>
      </c>
      <c r="AA56" s="453">
        <f t="shared" si="84"/>
        <v>-2613</v>
      </c>
      <c r="AB56" s="453">
        <f t="shared" si="84"/>
        <v>-2090</v>
      </c>
      <c r="AC56" s="453">
        <f t="shared" si="84"/>
        <v>-1851</v>
      </c>
      <c r="AD56" s="453">
        <f t="shared" si="84"/>
        <v>-3013</v>
      </c>
      <c r="AE56" s="290">
        <f t="shared" si="72"/>
        <v>-30339</v>
      </c>
      <c r="AF56" s="290">
        <f t="shared" si="73"/>
        <v>-2528.25</v>
      </c>
      <c r="AG56" s="290"/>
      <c r="AH56" s="454">
        <f>AH50-AD50</f>
        <v>-1985</v>
      </c>
      <c r="AI56" s="453">
        <f>AI50-AH50</f>
        <v>-2483</v>
      </c>
      <c r="AJ56" s="453">
        <f>AJ50-AI50</f>
        <v>-2543</v>
      </c>
      <c r="AK56" s="453">
        <f>AK50-AJ50</f>
        <v>-1665</v>
      </c>
      <c r="AL56" s="453">
        <f>AL50-AK50</f>
        <v>-4949</v>
      </c>
      <c r="AM56" s="453">
        <f>AM50-AL50</f>
        <v>-4885</v>
      </c>
      <c r="AN56" s="453">
        <v>-4196</v>
      </c>
      <c r="AO56" s="453">
        <v>-4595</v>
      </c>
      <c r="AP56" s="453">
        <f>AP50-AO50</f>
        <v>-4426</v>
      </c>
      <c r="AQ56" s="453">
        <v>-3268</v>
      </c>
      <c r="AR56" s="453">
        <v>-3603</v>
      </c>
      <c r="AS56" s="453">
        <v>-4268</v>
      </c>
      <c r="AT56" s="290">
        <f t="shared" si="74"/>
        <v>-42866</v>
      </c>
      <c r="AU56" s="290">
        <f t="shared" si="75"/>
        <v>-3572.1666666666665</v>
      </c>
      <c r="AV56" s="290"/>
      <c r="AW56" s="454">
        <v>-4105</v>
      </c>
      <c r="AX56" s="1533">
        <v>-3191</v>
      </c>
      <c r="AY56" s="1533">
        <v>-3436</v>
      </c>
      <c r="AZ56" s="1533">
        <v>-2772</v>
      </c>
      <c r="BA56" s="1533">
        <v>-983</v>
      </c>
      <c r="BB56" s="1533">
        <v>-2953</v>
      </c>
      <c r="BC56" s="1533">
        <v>-1802</v>
      </c>
      <c r="BD56" s="1533">
        <v>-3282</v>
      </c>
      <c r="BE56" s="1533">
        <v>-2728</v>
      </c>
      <c r="BF56" s="1533">
        <v>-3751</v>
      </c>
      <c r="BG56" s="453">
        <v>-3955</v>
      </c>
      <c r="BH56" s="1533">
        <v>-1802</v>
      </c>
      <c r="BI56" s="290">
        <f t="shared" si="76"/>
        <v>-34760</v>
      </c>
      <c r="BJ56" s="290">
        <f t="shared" si="77"/>
        <v>-2896.6666666666665</v>
      </c>
      <c r="BL56" s="317">
        <f t="shared" si="66"/>
        <v>2466</v>
      </c>
      <c r="BM56" s="317">
        <f t="shared" si="54"/>
        <v>675.5</v>
      </c>
      <c r="BN56" s="317">
        <f t="shared" si="78"/>
        <v>3838</v>
      </c>
      <c r="BO56" s="594">
        <f t="shared" si="55"/>
        <v>2153</v>
      </c>
    </row>
    <row r="57" spans="1:67" x14ac:dyDescent="0.55000000000000004">
      <c r="A57" s="7105" t="s">
        <v>88</v>
      </c>
      <c r="B57" s="457" t="s">
        <v>44</v>
      </c>
      <c r="C57" s="458"/>
      <c r="D57" s="458">
        <v>193671</v>
      </c>
      <c r="E57" s="429">
        <v>192249</v>
      </c>
      <c r="F57" s="430">
        <v>190259</v>
      </c>
      <c r="G57" s="430">
        <v>187622</v>
      </c>
      <c r="H57" s="430">
        <v>186830</v>
      </c>
      <c r="I57" s="430">
        <v>185196</v>
      </c>
      <c r="J57" s="430">
        <v>183681</v>
      </c>
      <c r="K57" s="430">
        <v>181577</v>
      </c>
      <c r="L57" s="430">
        <v>180296</v>
      </c>
      <c r="M57" s="430">
        <v>178467</v>
      </c>
      <c r="N57" s="430">
        <v>177805</v>
      </c>
      <c r="O57" s="430">
        <v>176556</v>
      </c>
      <c r="P57" s="459">
        <v>173663</v>
      </c>
      <c r="Q57" s="459">
        <f>P57</f>
        <v>173663</v>
      </c>
      <c r="R57" s="460">
        <f>AVERAGE(E57:P57)</f>
        <v>182850.08333333334</v>
      </c>
      <c r="S57" s="461">
        <v>170602</v>
      </c>
      <c r="T57" s="462">
        <v>168810</v>
      </c>
      <c r="U57" s="430">
        <v>167005</v>
      </c>
      <c r="V57" s="430">
        <v>165898</v>
      </c>
      <c r="W57" s="430">
        <v>164888</v>
      </c>
      <c r="X57" s="430">
        <v>163664</v>
      </c>
      <c r="Y57" s="430">
        <v>161898</v>
      </c>
      <c r="Z57" s="430">
        <v>160830</v>
      </c>
      <c r="AA57" s="430">
        <v>159417</v>
      </c>
      <c r="AB57" s="430">
        <v>159295</v>
      </c>
      <c r="AC57" s="430">
        <v>158842</v>
      </c>
      <c r="AD57" s="430">
        <v>157765</v>
      </c>
      <c r="AE57" s="459">
        <f>AD57</f>
        <v>157765</v>
      </c>
      <c r="AF57" s="460">
        <f>AVERAGE(S57:AD57)</f>
        <v>163242.83333333334</v>
      </c>
      <c r="AG57" s="430"/>
      <c r="AH57" s="429">
        <v>157688</v>
      </c>
      <c r="AI57" s="430">
        <v>156596</v>
      </c>
      <c r="AJ57" s="430">
        <v>155170</v>
      </c>
      <c r="AK57" s="430">
        <v>153850</v>
      </c>
      <c r="AL57" s="430">
        <v>152654</v>
      </c>
      <c r="AM57" s="430">
        <v>151376</v>
      </c>
      <c r="AN57" s="430">
        <v>150223</v>
      </c>
      <c r="AO57" s="430">
        <v>148672</v>
      </c>
      <c r="AP57" s="430">
        <v>147534</v>
      </c>
      <c r="AQ57" s="1301">
        <v>137962</v>
      </c>
      <c r="AR57" s="430">
        <v>136635</v>
      </c>
      <c r="AS57" s="430">
        <v>141966</v>
      </c>
      <c r="AT57" s="459">
        <f>INDEX($AH57:$AS57, 1, MATCH(0, $AH57:$AS57, -1))</f>
        <v>141966</v>
      </c>
      <c r="AU57" s="459">
        <f>AVERAGE(AH57:AS57)</f>
        <v>149193.83333333334</v>
      </c>
      <c r="AV57" s="430"/>
      <c r="AW57" s="1526">
        <v>139631</v>
      </c>
      <c r="AX57" s="1525">
        <v>138915</v>
      </c>
      <c r="AY57" s="1525">
        <v>136836</v>
      </c>
      <c r="AZ57" s="1525">
        <v>135724</v>
      </c>
      <c r="BA57" s="1525">
        <v>136114</v>
      </c>
      <c r="BB57" s="1525">
        <v>134766</v>
      </c>
      <c r="BC57" s="1525">
        <v>134689</v>
      </c>
      <c r="BD57" s="1525">
        <v>134153</v>
      </c>
      <c r="BE57" s="1525">
        <v>133602</v>
      </c>
      <c r="BF57" s="2403">
        <v>131944</v>
      </c>
      <c r="BG57" s="430">
        <v>129734</v>
      </c>
      <c r="BH57" s="1525">
        <v>126881</v>
      </c>
      <c r="BI57" s="444">
        <f>INDEX($AW57:$BH57, 1, MATCH(0, $AW57:$BH57, -1))</f>
        <v>126881</v>
      </c>
      <c r="BJ57" s="459">
        <f>AVERAGE(AW57:BH57)</f>
        <v>134415.75</v>
      </c>
      <c r="BL57" s="317">
        <f t="shared" si="66"/>
        <v>-15085</v>
      </c>
      <c r="BM57" s="317">
        <f>BJ57-AU57</f>
        <v>-14778.083333333343</v>
      </c>
      <c r="BN57" s="759">
        <f>HLOOKUP($A$2,$AW$2:$BH$400,ROW()-1,0)-HLOOKUP($A$2,$AH$2:$AS$400,ROW()-1,0)</f>
        <v>-15085</v>
      </c>
      <c r="BO57" s="594">
        <f t="shared" si="55"/>
        <v>-2853</v>
      </c>
    </row>
    <row r="58" spans="1:67" x14ac:dyDescent="0.55000000000000004">
      <c r="A58" s="7098"/>
      <c r="B58" t="s">
        <v>47</v>
      </c>
      <c r="E58" s="287">
        <v>5376</v>
      </c>
      <c r="F58" s="288">
        <v>4496</v>
      </c>
      <c r="G58" s="288">
        <v>4850</v>
      </c>
      <c r="H58" s="288">
        <v>5060</v>
      </c>
      <c r="I58" s="288">
        <v>5180</v>
      </c>
      <c r="J58" s="288">
        <v>4750</v>
      </c>
      <c r="K58" s="288">
        <v>3796</v>
      </c>
      <c r="L58" s="288">
        <v>4665</v>
      </c>
      <c r="M58" s="288">
        <v>4302</v>
      </c>
      <c r="N58" s="288">
        <v>5573</v>
      </c>
      <c r="O58" s="288">
        <v>4421</v>
      </c>
      <c r="P58" s="288">
        <v>3670</v>
      </c>
      <c r="Q58" s="288">
        <f t="shared" ref="Q58:Q63" si="85">SUM(E58:P58)</f>
        <v>56139</v>
      </c>
      <c r="R58" s="288">
        <f t="shared" ref="R58:R63" si="86">Q58/12</f>
        <v>4678.25</v>
      </c>
      <c r="S58" s="287">
        <v>3739</v>
      </c>
      <c r="T58" s="288">
        <v>4464</v>
      </c>
      <c r="U58" s="288">
        <v>4117</v>
      </c>
      <c r="V58" s="288">
        <v>4098</v>
      </c>
      <c r="W58" s="288">
        <v>4699</v>
      </c>
      <c r="X58" s="288">
        <v>4378</v>
      </c>
      <c r="Y58" s="288">
        <v>3599</v>
      </c>
      <c r="Z58" s="288">
        <v>4928</v>
      </c>
      <c r="AA58" s="288">
        <v>3854</v>
      </c>
      <c r="AB58" s="288">
        <v>4623</v>
      </c>
      <c r="AC58" s="288">
        <v>4405</v>
      </c>
      <c r="AD58" s="288">
        <v>3091</v>
      </c>
      <c r="AE58" s="288">
        <f t="shared" ref="AE58:AE63" si="87">SUM(S58:AD58)</f>
        <v>49995</v>
      </c>
      <c r="AF58" s="288">
        <f t="shared" ref="AF58:AF63" si="88">AE58/12</f>
        <v>4166.25</v>
      </c>
      <c r="AG58" s="288"/>
      <c r="AH58" s="287">
        <v>4200</v>
      </c>
      <c r="AI58" s="288">
        <v>3400</v>
      </c>
      <c r="AJ58" s="288">
        <v>4105</v>
      </c>
      <c r="AK58" s="288">
        <v>4257</v>
      </c>
      <c r="AL58" s="288">
        <v>4806</v>
      </c>
      <c r="AM58" s="288">
        <v>3910</v>
      </c>
      <c r="AN58" s="288">
        <v>5160</v>
      </c>
      <c r="AO58" s="288">
        <v>4615</v>
      </c>
      <c r="AP58" s="288">
        <v>4637</v>
      </c>
      <c r="AQ58" s="288">
        <v>4355</v>
      </c>
      <c r="AR58" s="288">
        <v>4362</v>
      </c>
      <c r="AS58" s="288">
        <v>3856</v>
      </c>
      <c r="AT58" s="288">
        <f t="shared" ref="AT58:AT63" si="89">SUM(AH58:AS58)</f>
        <v>51663</v>
      </c>
      <c r="AU58" s="288">
        <f t="shared" ref="AU58:AU63" si="90">AT58/12</f>
        <v>4305.25</v>
      </c>
      <c r="AV58" s="288"/>
      <c r="AW58" s="1528">
        <v>3459</v>
      </c>
      <c r="AX58" s="1527">
        <v>5357</v>
      </c>
      <c r="AY58" s="1527">
        <v>4534</v>
      </c>
      <c r="AZ58" s="1527">
        <v>5002</v>
      </c>
      <c r="BA58" s="1527">
        <v>8782</v>
      </c>
      <c r="BB58" s="1527">
        <v>5866</v>
      </c>
      <c r="BC58" s="1527">
        <v>6867</v>
      </c>
      <c r="BD58" s="1527">
        <v>5711</v>
      </c>
      <c r="BE58" s="1527">
        <v>5684</v>
      </c>
      <c r="BF58" s="1527">
        <v>3798</v>
      </c>
      <c r="BG58" s="288">
        <v>3808</v>
      </c>
      <c r="BH58" s="1527">
        <v>3644</v>
      </c>
      <c r="BI58" s="288">
        <f t="shared" ref="BI58:BI63" si="91">SUM(AW58:BH58)</f>
        <v>62512</v>
      </c>
      <c r="BJ58" s="288">
        <f t="shared" ref="BJ58:BJ63" si="92">BI58/12</f>
        <v>5209.333333333333</v>
      </c>
      <c r="BL58" s="317">
        <f t="shared" si="66"/>
        <v>-212</v>
      </c>
      <c r="BM58" s="317">
        <f t="shared" si="54"/>
        <v>904.08333333333303</v>
      </c>
      <c r="BN58" s="317">
        <f t="shared" ref="BN58:BN63" si="93">BI58-SUM(AH58:AR58)</f>
        <v>14705</v>
      </c>
      <c r="BO58" s="594">
        <f t="shared" si="55"/>
        <v>-164</v>
      </c>
    </row>
    <row r="59" spans="1:67" x14ac:dyDescent="0.55000000000000004">
      <c r="A59" s="7098"/>
      <c r="B59" t="s">
        <v>48</v>
      </c>
      <c r="E59" s="287">
        <f>1654+22+109</f>
        <v>1785</v>
      </c>
      <c r="F59" s="288">
        <f>2031+10+105</f>
        <v>2146</v>
      </c>
      <c r="G59" s="288">
        <f>2459+16+152</f>
        <v>2627</v>
      </c>
      <c r="H59" s="288">
        <f>2204+18+54</f>
        <v>2276</v>
      </c>
      <c r="I59" s="288">
        <f>2041+16+111</f>
        <v>2168</v>
      </c>
      <c r="J59" s="288">
        <f>1787+27+90</f>
        <v>1904</v>
      </c>
      <c r="K59" s="288">
        <f>1614+56+108</f>
        <v>1778</v>
      </c>
      <c r="L59" s="288">
        <f>2009+84+103</f>
        <v>2196</v>
      </c>
      <c r="M59" s="288">
        <f>1897+61+162</f>
        <v>2120</v>
      </c>
      <c r="N59" s="288">
        <f>1790+78+90</f>
        <v>1958</v>
      </c>
      <c r="O59" s="288">
        <f>1971+98+103</f>
        <v>2172</v>
      </c>
      <c r="P59" s="288">
        <f>1779+82+100</f>
        <v>1961</v>
      </c>
      <c r="Q59" s="288">
        <f t="shared" si="85"/>
        <v>25091</v>
      </c>
      <c r="R59" s="288">
        <f t="shared" si="86"/>
        <v>2090.9166666666665</v>
      </c>
      <c r="S59" s="287">
        <f>1935+74+97</f>
        <v>2106</v>
      </c>
      <c r="T59" s="288">
        <f>1789+62+99</f>
        <v>1950</v>
      </c>
      <c r="U59" s="288">
        <f>1851+44+85</f>
        <v>1980</v>
      </c>
      <c r="V59" s="288">
        <f>1413+69+120</f>
        <v>1602</v>
      </c>
      <c r="W59" s="288">
        <f>1624+80+119</f>
        <v>1823</v>
      </c>
      <c r="X59" s="288">
        <f>1633+84+138</f>
        <v>1855</v>
      </c>
      <c r="Y59" s="288">
        <f>1604+72+120</f>
        <v>1796</v>
      </c>
      <c r="Z59" s="288">
        <f>1754+88+246</f>
        <v>2088</v>
      </c>
      <c r="AA59" s="288">
        <f>1458+81+94</f>
        <v>1633</v>
      </c>
      <c r="AB59" s="288">
        <f>1475+105+131</f>
        <v>1711</v>
      </c>
      <c r="AC59" s="288">
        <f>1301+91+189</f>
        <v>1581</v>
      </c>
      <c r="AD59" s="288">
        <f>1129+88+99</f>
        <v>1316</v>
      </c>
      <c r="AE59" s="288">
        <f t="shared" si="87"/>
        <v>21441</v>
      </c>
      <c r="AF59" s="288">
        <f t="shared" si="88"/>
        <v>1786.75</v>
      </c>
      <c r="AG59" s="288"/>
      <c r="AH59" s="287">
        <f>1413+117+123</f>
        <v>1653</v>
      </c>
      <c r="AI59" s="288">
        <f>1513+97+100</f>
        <v>1710</v>
      </c>
      <c r="AJ59" s="288">
        <f>1397+165+137</f>
        <v>1699</v>
      </c>
      <c r="AK59" s="288">
        <f>1436+182+147</f>
        <v>1765</v>
      </c>
      <c r="AL59" s="288">
        <f>1421+211+144</f>
        <v>1776</v>
      </c>
      <c r="AM59" s="288">
        <f>1565+206+92</f>
        <v>1863</v>
      </c>
      <c r="AN59" s="288">
        <v>1766</v>
      </c>
      <c r="AO59" s="288">
        <v>1672</v>
      </c>
      <c r="AP59" s="288">
        <f>1245+204+76</f>
        <v>1525</v>
      </c>
      <c r="AQ59" s="288">
        <v>1502</v>
      </c>
      <c r="AR59" s="288">
        <v>1369</v>
      </c>
      <c r="AS59" s="288">
        <v>1432</v>
      </c>
      <c r="AT59" s="288">
        <f t="shared" si="89"/>
        <v>19732</v>
      </c>
      <c r="AU59" s="288">
        <f t="shared" si="90"/>
        <v>1644.3333333333333</v>
      </c>
      <c r="AV59" s="288"/>
      <c r="AW59" s="1528">
        <v>1498</v>
      </c>
      <c r="AX59" s="1527">
        <v>1949</v>
      </c>
      <c r="AY59" s="1527">
        <v>1994</v>
      </c>
      <c r="AZ59" s="1527">
        <v>1963</v>
      </c>
      <c r="BA59" s="1527">
        <v>1749</v>
      </c>
      <c r="BB59" s="1527">
        <v>1804</v>
      </c>
      <c r="BC59" s="1527">
        <v>1656</v>
      </c>
      <c r="BD59" s="1527">
        <v>1473</v>
      </c>
      <c r="BE59" s="1527">
        <v>1700</v>
      </c>
      <c r="BF59" s="1527">
        <v>1728</v>
      </c>
      <c r="BG59" s="288">
        <v>1715</v>
      </c>
      <c r="BH59" s="1527">
        <v>1565</v>
      </c>
      <c r="BI59" s="288">
        <f t="shared" si="91"/>
        <v>20794</v>
      </c>
      <c r="BJ59" s="288">
        <f t="shared" si="92"/>
        <v>1732.8333333333333</v>
      </c>
      <c r="BL59" s="317">
        <f t="shared" si="66"/>
        <v>133</v>
      </c>
      <c r="BM59" s="317">
        <f t="shared" si="54"/>
        <v>88.5</v>
      </c>
      <c r="BN59" s="317">
        <f t="shared" si="93"/>
        <v>2494</v>
      </c>
      <c r="BO59" s="594">
        <f t="shared" si="55"/>
        <v>-150</v>
      </c>
    </row>
    <row r="60" spans="1:67" x14ac:dyDescent="0.55000000000000004">
      <c r="A60" s="7098"/>
      <c r="B60" s="330" t="s">
        <v>59</v>
      </c>
      <c r="E60" s="287">
        <v>109</v>
      </c>
      <c r="F60" s="288">
        <v>105</v>
      </c>
      <c r="G60" s="288">
        <v>152</v>
      </c>
      <c r="H60" s="288">
        <v>54</v>
      </c>
      <c r="I60" s="288">
        <v>111</v>
      </c>
      <c r="J60" s="288">
        <v>90</v>
      </c>
      <c r="K60" s="288">
        <v>108</v>
      </c>
      <c r="L60" s="288">
        <v>103</v>
      </c>
      <c r="M60" s="288">
        <v>162</v>
      </c>
      <c r="N60" s="288">
        <v>90</v>
      </c>
      <c r="O60" s="288">
        <v>103</v>
      </c>
      <c r="P60" s="288">
        <v>100</v>
      </c>
      <c r="Q60" s="288">
        <f t="shared" si="85"/>
        <v>1287</v>
      </c>
      <c r="R60" s="288">
        <f t="shared" si="86"/>
        <v>107.25</v>
      </c>
      <c r="S60" s="287">
        <v>97</v>
      </c>
      <c r="T60" s="288">
        <v>99</v>
      </c>
      <c r="U60" s="288">
        <v>85</v>
      </c>
      <c r="V60" s="288">
        <v>120</v>
      </c>
      <c r="W60" s="288">
        <v>119</v>
      </c>
      <c r="X60" s="288">
        <v>138</v>
      </c>
      <c r="Y60" s="288">
        <v>120</v>
      </c>
      <c r="Z60" s="288">
        <v>246</v>
      </c>
      <c r="AA60" s="288">
        <v>94</v>
      </c>
      <c r="AB60" s="288">
        <v>131</v>
      </c>
      <c r="AC60" s="288">
        <v>189</v>
      </c>
      <c r="AD60" s="288">
        <v>99</v>
      </c>
      <c r="AE60" s="288">
        <f t="shared" si="87"/>
        <v>1537</v>
      </c>
      <c r="AF60" s="288">
        <f t="shared" si="88"/>
        <v>128.08333333333334</v>
      </c>
      <c r="AG60" s="288"/>
      <c r="AH60" s="287">
        <v>123</v>
      </c>
      <c r="AI60" s="288">
        <v>100</v>
      </c>
      <c r="AJ60" s="288">
        <v>137</v>
      </c>
      <c r="AK60" s="288">
        <v>147</v>
      </c>
      <c r="AL60" s="288">
        <v>144</v>
      </c>
      <c r="AM60" s="288">
        <v>92</v>
      </c>
      <c r="AN60" s="288">
        <v>216</v>
      </c>
      <c r="AO60" s="288">
        <v>64</v>
      </c>
      <c r="AP60" s="288">
        <v>76</v>
      </c>
      <c r="AQ60" s="288">
        <v>69</v>
      </c>
      <c r="AR60" s="288">
        <v>71</v>
      </c>
      <c r="AS60" s="288">
        <v>75</v>
      </c>
      <c r="AT60" s="288">
        <f t="shared" si="89"/>
        <v>1314</v>
      </c>
      <c r="AU60" s="288">
        <f t="shared" si="90"/>
        <v>109.5</v>
      </c>
      <c r="AV60" s="288"/>
      <c r="AW60" s="1528">
        <v>79</v>
      </c>
      <c r="AX60" s="1527">
        <v>74</v>
      </c>
      <c r="AY60" s="1527">
        <v>141</v>
      </c>
      <c r="AZ60" s="1527">
        <v>123</v>
      </c>
      <c r="BA60" s="1527">
        <v>165</v>
      </c>
      <c r="BB60" s="1527">
        <v>93</v>
      </c>
      <c r="BC60" s="1527">
        <v>80</v>
      </c>
      <c r="BD60" s="1527">
        <v>49</v>
      </c>
      <c r="BE60" s="1527">
        <v>57</v>
      </c>
      <c r="BF60" s="1527">
        <v>64</v>
      </c>
      <c r="BG60" s="288">
        <v>42</v>
      </c>
      <c r="BH60" s="1527">
        <v>45</v>
      </c>
      <c r="BI60" s="288">
        <f t="shared" si="91"/>
        <v>1012</v>
      </c>
      <c r="BJ60" s="288">
        <f t="shared" si="92"/>
        <v>84.333333333333329</v>
      </c>
      <c r="BL60" s="317">
        <f t="shared" si="66"/>
        <v>-30</v>
      </c>
      <c r="BM60" s="317">
        <f t="shared" si="54"/>
        <v>-25.166666666666671</v>
      </c>
      <c r="BN60" s="317">
        <f t="shared" si="93"/>
        <v>-227</v>
      </c>
      <c r="BO60" s="594">
        <f t="shared" si="55"/>
        <v>3</v>
      </c>
    </row>
    <row r="61" spans="1:67" x14ac:dyDescent="0.55000000000000004">
      <c r="A61" s="7098"/>
      <c r="B61" s="447" t="s">
        <v>86</v>
      </c>
      <c r="C61" s="447"/>
      <c r="D61" s="447"/>
      <c r="E61" s="285">
        <f t="shared" ref="E61:AD61" si="94">E58-E59</f>
        <v>3591</v>
      </c>
      <c r="F61" s="286">
        <f t="shared" si="94"/>
        <v>2350</v>
      </c>
      <c r="G61" s="286">
        <f t="shared" si="94"/>
        <v>2223</v>
      </c>
      <c r="H61" s="286">
        <f t="shared" si="94"/>
        <v>2784</v>
      </c>
      <c r="I61" s="286">
        <f t="shared" si="94"/>
        <v>3012</v>
      </c>
      <c r="J61" s="286">
        <f t="shared" si="94"/>
        <v>2846</v>
      </c>
      <c r="K61" s="286">
        <f t="shared" si="94"/>
        <v>2018</v>
      </c>
      <c r="L61" s="286">
        <f t="shared" si="94"/>
        <v>2469</v>
      </c>
      <c r="M61" s="286">
        <f t="shared" si="94"/>
        <v>2182</v>
      </c>
      <c r="N61" s="286">
        <f t="shared" si="94"/>
        <v>3615</v>
      </c>
      <c r="O61" s="286">
        <f t="shared" si="94"/>
        <v>2249</v>
      </c>
      <c r="P61" s="286">
        <f t="shared" si="94"/>
        <v>1709</v>
      </c>
      <c r="Q61" s="286">
        <f t="shared" si="85"/>
        <v>31048</v>
      </c>
      <c r="R61" s="286">
        <f t="shared" si="86"/>
        <v>2587.3333333333335</v>
      </c>
      <c r="S61" s="285">
        <f t="shared" si="94"/>
        <v>1633</v>
      </c>
      <c r="T61" s="286">
        <f t="shared" si="94"/>
        <v>2514</v>
      </c>
      <c r="U61" s="286">
        <f t="shared" si="94"/>
        <v>2137</v>
      </c>
      <c r="V61" s="286">
        <f t="shared" si="94"/>
        <v>2496</v>
      </c>
      <c r="W61" s="286">
        <f t="shared" si="94"/>
        <v>2876</v>
      </c>
      <c r="X61" s="286">
        <f t="shared" si="94"/>
        <v>2523</v>
      </c>
      <c r="Y61" s="286">
        <f t="shared" si="94"/>
        <v>1803</v>
      </c>
      <c r="Z61" s="286">
        <f t="shared" si="94"/>
        <v>2840</v>
      </c>
      <c r="AA61" s="286">
        <f t="shared" si="94"/>
        <v>2221</v>
      </c>
      <c r="AB61" s="286">
        <f t="shared" si="94"/>
        <v>2912</v>
      </c>
      <c r="AC61" s="286">
        <f t="shared" si="94"/>
        <v>2824</v>
      </c>
      <c r="AD61" s="286">
        <f t="shared" si="94"/>
        <v>1775</v>
      </c>
      <c r="AE61" s="286">
        <f t="shared" si="87"/>
        <v>28554</v>
      </c>
      <c r="AF61" s="286">
        <f t="shared" si="88"/>
        <v>2379.5</v>
      </c>
      <c r="AG61" s="286"/>
      <c r="AH61" s="285">
        <f t="shared" ref="AH61:AM61" si="95">AH58-AH59</f>
        <v>2547</v>
      </c>
      <c r="AI61" s="286">
        <f t="shared" si="95"/>
        <v>1690</v>
      </c>
      <c r="AJ61" s="286">
        <f t="shared" si="95"/>
        <v>2406</v>
      </c>
      <c r="AK61" s="286">
        <f t="shared" si="95"/>
        <v>2492</v>
      </c>
      <c r="AL61" s="286">
        <f t="shared" si="95"/>
        <v>3030</v>
      </c>
      <c r="AM61" s="286">
        <f t="shared" si="95"/>
        <v>2047</v>
      </c>
      <c r="AN61" s="286">
        <v>3394</v>
      </c>
      <c r="AO61" s="286">
        <v>2943</v>
      </c>
      <c r="AP61" s="286">
        <f>AP58-AP59</f>
        <v>3112</v>
      </c>
      <c r="AQ61" s="286">
        <v>2853</v>
      </c>
      <c r="AR61" s="286">
        <v>2993</v>
      </c>
      <c r="AS61" s="286">
        <v>2424</v>
      </c>
      <c r="AT61" s="286">
        <f t="shared" si="89"/>
        <v>31931</v>
      </c>
      <c r="AU61" s="286">
        <f t="shared" si="90"/>
        <v>2660.9166666666665</v>
      </c>
      <c r="AV61" s="286"/>
      <c r="AW61" s="1530">
        <v>1953</v>
      </c>
      <c r="AX61" s="1529">
        <v>3102</v>
      </c>
      <c r="AY61" s="1529">
        <v>2540</v>
      </c>
      <c r="AZ61" s="1529">
        <v>3039</v>
      </c>
      <c r="BA61" s="1529">
        <v>7033</v>
      </c>
      <c r="BB61" s="1529">
        <v>4062</v>
      </c>
      <c r="BC61" s="1529">
        <v>5211</v>
      </c>
      <c r="BD61" s="1529">
        <v>4238</v>
      </c>
      <c r="BE61" s="1529">
        <v>3984</v>
      </c>
      <c r="BF61" s="1529">
        <v>2070</v>
      </c>
      <c r="BG61" s="286">
        <v>2093</v>
      </c>
      <c r="BH61" s="1529">
        <v>2079</v>
      </c>
      <c r="BI61" s="286">
        <f t="shared" si="91"/>
        <v>41404</v>
      </c>
      <c r="BJ61" s="286">
        <f t="shared" si="92"/>
        <v>3450.3333333333335</v>
      </c>
      <c r="BL61" s="317">
        <f t="shared" si="66"/>
        <v>-345</v>
      </c>
      <c r="BM61" s="317">
        <f t="shared" si="54"/>
        <v>789.41666666666697</v>
      </c>
      <c r="BN61" s="317">
        <f t="shared" si="93"/>
        <v>11897</v>
      </c>
      <c r="BO61" s="594">
        <f t="shared" si="55"/>
        <v>-14</v>
      </c>
    </row>
    <row r="62" spans="1:67" x14ac:dyDescent="0.55000000000000004">
      <c r="A62" s="7098"/>
      <c r="B62" t="s">
        <v>50</v>
      </c>
      <c r="E62" s="287">
        <f t="shared" ref="E62:AD62" si="96">E61-E63</f>
        <v>5013</v>
      </c>
      <c r="F62" s="288">
        <f t="shared" si="96"/>
        <v>4340</v>
      </c>
      <c r="G62" s="288">
        <f t="shared" si="96"/>
        <v>4860</v>
      </c>
      <c r="H62" s="288">
        <f t="shared" si="96"/>
        <v>3576</v>
      </c>
      <c r="I62" s="288">
        <f t="shared" si="96"/>
        <v>4646</v>
      </c>
      <c r="J62" s="288">
        <f t="shared" si="96"/>
        <v>4361</v>
      </c>
      <c r="K62" s="288">
        <f t="shared" si="96"/>
        <v>4122</v>
      </c>
      <c r="L62" s="288">
        <f t="shared" si="96"/>
        <v>3750</v>
      </c>
      <c r="M62" s="288">
        <f t="shared" si="96"/>
        <v>4011</v>
      </c>
      <c r="N62" s="288">
        <f t="shared" si="96"/>
        <v>4277</v>
      </c>
      <c r="O62" s="288">
        <f t="shared" si="96"/>
        <v>3498</v>
      </c>
      <c r="P62" s="288">
        <f t="shared" si="96"/>
        <v>4602</v>
      </c>
      <c r="Q62" s="288">
        <f t="shared" si="85"/>
        <v>51056</v>
      </c>
      <c r="R62" s="288">
        <f t="shared" si="86"/>
        <v>4254.666666666667</v>
      </c>
      <c r="S62" s="287">
        <f t="shared" si="96"/>
        <v>4694</v>
      </c>
      <c r="T62" s="288">
        <f t="shared" si="96"/>
        <v>4306</v>
      </c>
      <c r="U62" s="288">
        <f t="shared" si="96"/>
        <v>3942</v>
      </c>
      <c r="V62" s="288">
        <f t="shared" si="96"/>
        <v>3603</v>
      </c>
      <c r="W62" s="288">
        <f t="shared" si="96"/>
        <v>3886</v>
      </c>
      <c r="X62" s="288">
        <f t="shared" si="96"/>
        <v>3747</v>
      </c>
      <c r="Y62" s="288">
        <f t="shared" si="96"/>
        <v>3569</v>
      </c>
      <c r="Z62" s="288">
        <f t="shared" si="96"/>
        <v>3908</v>
      </c>
      <c r="AA62" s="288">
        <f t="shared" si="96"/>
        <v>3634</v>
      </c>
      <c r="AB62" s="288">
        <f t="shared" si="96"/>
        <v>3034</v>
      </c>
      <c r="AC62" s="288">
        <f t="shared" si="96"/>
        <v>3277</v>
      </c>
      <c r="AD62" s="288">
        <f t="shared" si="96"/>
        <v>2852</v>
      </c>
      <c r="AE62" s="288">
        <f t="shared" si="87"/>
        <v>44452</v>
      </c>
      <c r="AF62" s="288">
        <f t="shared" si="88"/>
        <v>3704.3333333333335</v>
      </c>
      <c r="AG62" s="288"/>
      <c r="AH62" s="287">
        <f t="shared" ref="AH62:AM62" si="97">AH61-AH63</f>
        <v>2624</v>
      </c>
      <c r="AI62" s="288">
        <f t="shared" si="97"/>
        <v>2782</v>
      </c>
      <c r="AJ62" s="288">
        <f t="shared" si="97"/>
        <v>3832</v>
      </c>
      <c r="AK62" s="288">
        <f t="shared" si="97"/>
        <v>3812</v>
      </c>
      <c r="AL62" s="288">
        <f t="shared" si="97"/>
        <v>4226</v>
      </c>
      <c r="AM62" s="288">
        <f t="shared" si="97"/>
        <v>3325</v>
      </c>
      <c r="AN62" s="288">
        <v>4547</v>
      </c>
      <c r="AO62" s="288">
        <v>4494</v>
      </c>
      <c r="AP62" s="288">
        <f>AP61-AP63</f>
        <v>4250</v>
      </c>
      <c r="AQ62" s="288">
        <v>12318</v>
      </c>
      <c r="AR62" s="288">
        <v>4320</v>
      </c>
      <c r="AS62" s="288">
        <v>4469</v>
      </c>
      <c r="AT62" s="288">
        <f t="shared" si="89"/>
        <v>54999</v>
      </c>
      <c r="AU62" s="288">
        <f t="shared" si="90"/>
        <v>4583.25</v>
      </c>
      <c r="AV62" s="288"/>
      <c r="AW62" s="1528">
        <v>4570</v>
      </c>
      <c r="AX62" s="1527">
        <v>4265</v>
      </c>
      <c r="AY62" s="1527">
        <v>4619</v>
      </c>
      <c r="AZ62" s="1527">
        <v>4151</v>
      </c>
      <c r="BA62" s="1527">
        <v>6643</v>
      </c>
      <c r="BB62" s="1527">
        <v>5410</v>
      </c>
      <c r="BC62" s="1527">
        <v>5288</v>
      </c>
      <c r="BD62" s="1527">
        <v>4774</v>
      </c>
      <c r="BE62" s="1527">
        <v>4535</v>
      </c>
      <c r="BF62" s="1527">
        <v>3728</v>
      </c>
      <c r="BG62" s="288">
        <v>4303</v>
      </c>
      <c r="BH62" s="1527">
        <v>4932</v>
      </c>
      <c r="BI62" s="288">
        <f t="shared" si="91"/>
        <v>57218</v>
      </c>
      <c r="BJ62" s="288">
        <f t="shared" si="92"/>
        <v>4768.166666666667</v>
      </c>
      <c r="BL62" s="317">
        <f t="shared" si="66"/>
        <v>463</v>
      </c>
      <c r="BM62" s="317">
        <f t="shared" si="54"/>
        <v>184.91666666666697</v>
      </c>
      <c r="BN62" s="317">
        <f t="shared" si="93"/>
        <v>6688</v>
      </c>
      <c r="BO62" s="594">
        <f t="shared" si="55"/>
        <v>629</v>
      </c>
    </row>
    <row r="63" spans="1:67" ht="18" thickBot="1" x14ac:dyDescent="0.6">
      <c r="A63" s="7106"/>
      <c r="B63" s="46" t="s">
        <v>51</v>
      </c>
      <c r="C63" s="21"/>
      <c r="D63" s="21"/>
      <c r="E63" s="455">
        <f>E57-D57</f>
        <v>-1422</v>
      </c>
      <c r="F63" s="456">
        <f>F57-E57</f>
        <v>-1990</v>
      </c>
      <c r="G63" s="456">
        <f t="shared" ref="G63:AC63" si="98">G57-F57</f>
        <v>-2637</v>
      </c>
      <c r="H63" s="456">
        <f t="shared" si="98"/>
        <v>-792</v>
      </c>
      <c r="I63" s="456">
        <f t="shared" si="98"/>
        <v>-1634</v>
      </c>
      <c r="J63" s="456">
        <f t="shared" si="98"/>
        <v>-1515</v>
      </c>
      <c r="K63" s="456">
        <f t="shared" si="98"/>
        <v>-2104</v>
      </c>
      <c r="L63" s="456">
        <f t="shared" si="98"/>
        <v>-1281</v>
      </c>
      <c r="M63" s="456">
        <f t="shared" si="98"/>
        <v>-1829</v>
      </c>
      <c r="N63" s="456">
        <f t="shared" si="98"/>
        <v>-662</v>
      </c>
      <c r="O63" s="456">
        <f>O57-N57</f>
        <v>-1249</v>
      </c>
      <c r="P63" s="456">
        <f>P57-O57</f>
        <v>-2893</v>
      </c>
      <c r="Q63" s="456">
        <f t="shared" si="85"/>
        <v>-20008</v>
      </c>
      <c r="R63" s="456">
        <f t="shared" si="86"/>
        <v>-1667.3333333333333</v>
      </c>
      <c r="S63" s="463">
        <f>S57-P57</f>
        <v>-3061</v>
      </c>
      <c r="T63" s="456">
        <f t="shared" si="98"/>
        <v>-1792</v>
      </c>
      <c r="U63" s="456">
        <f t="shared" si="98"/>
        <v>-1805</v>
      </c>
      <c r="V63" s="456">
        <f t="shared" si="98"/>
        <v>-1107</v>
      </c>
      <c r="W63" s="456">
        <f t="shared" si="98"/>
        <v>-1010</v>
      </c>
      <c r="X63" s="456">
        <f t="shared" si="98"/>
        <v>-1224</v>
      </c>
      <c r="Y63" s="456">
        <f t="shared" si="98"/>
        <v>-1766</v>
      </c>
      <c r="Z63" s="456">
        <f t="shared" si="98"/>
        <v>-1068</v>
      </c>
      <c r="AA63" s="456">
        <f t="shared" si="98"/>
        <v>-1413</v>
      </c>
      <c r="AB63" s="456">
        <f t="shared" si="98"/>
        <v>-122</v>
      </c>
      <c r="AC63" s="456">
        <f t="shared" si="98"/>
        <v>-453</v>
      </c>
      <c r="AD63" s="456">
        <f>AD57-AC57</f>
        <v>-1077</v>
      </c>
      <c r="AE63" s="456">
        <f t="shared" si="87"/>
        <v>-15898</v>
      </c>
      <c r="AF63" s="456">
        <f t="shared" si="88"/>
        <v>-1324.8333333333333</v>
      </c>
      <c r="AG63" s="456"/>
      <c r="AH63" s="455">
        <f>AH57-AD57</f>
        <v>-77</v>
      </c>
      <c r="AI63" s="456">
        <f>AI57-AH57</f>
        <v>-1092</v>
      </c>
      <c r="AJ63" s="456">
        <f>AJ57-AI57</f>
        <v>-1426</v>
      </c>
      <c r="AK63" s="456">
        <f>AK57-AJ57</f>
        <v>-1320</v>
      </c>
      <c r="AL63" s="456">
        <f>AL57-AK57</f>
        <v>-1196</v>
      </c>
      <c r="AM63" s="456">
        <f>AM57-AL57</f>
        <v>-1278</v>
      </c>
      <c r="AN63" s="456">
        <v>-1153</v>
      </c>
      <c r="AO63" s="456">
        <v>-1551</v>
      </c>
      <c r="AP63" s="456">
        <f>AP57-AO57</f>
        <v>-1138</v>
      </c>
      <c r="AQ63" s="456">
        <v>-9465</v>
      </c>
      <c r="AR63" s="456">
        <v>-1327</v>
      </c>
      <c r="AS63" s="456">
        <v>-2045</v>
      </c>
      <c r="AT63" s="456">
        <f t="shared" si="89"/>
        <v>-23068</v>
      </c>
      <c r="AU63" s="456">
        <f t="shared" si="90"/>
        <v>-1922.3333333333333</v>
      </c>
      <c r="AV63" s="456"/>
      <c r="AW63" s="1539">
        <v>-2335</v>
      </c>
      <c r="AX63" s="1538">
        <v>876</v>
      </c>
      <c r="AY63" s="1538">
        <v>-2079</v>
      </c>
      <c r="AZ63" s="1538">
        <v>-1112</v>
      </c>
      <c r="BA63" s="1538">
        <v>390</v>
      </c>
      <c r="BB63" s="1538">
        <v>-1348</v>
      </c>
      <c r="BC63" s="1538">
        <v>-77</v>
      </c>
      <c r="BD63" s="1538">
        <v>-536</v>
      </c>
      <c r="BE63" s="1538">
        <v>-551</v>
      </c>
      <c r="BF63" s="1538">
        <v>-1658</v>
      </c>
      <c r="BG63" s="456">
        <v>-2210</v>
      </c>
      <c r="BH63" s="1538">
        <v>-2853</v>
      </c>
      <c r="BI63" s="456">
        <f t="shared" si="91"/>
        <v>-13493</v>
      </c>
      <c r="BJ63" s="456">
        <f t="shared" si="92"/>
        <v>-1124.4166666666667</v>
      </c>
      <c r="BL63" s="317">
        <f t="shared" si="66"/>
        <v>-808</v>
      </c>
      <c r="BM63" s="317">
        <f t="shared" si="54"/>
        <v>797.91666666666652</v>
      </c>
      <c r="BN63" s="317">
        <f t="shared" si="93"/>
        <v>7530</v>
      </c>
      <c r="BO63" s="594">
        <f t="shared" si="55"/>
        <v>-643</v>
      </c>
    </row>
    <row r="64" spans="1:67" x14ac:dyDescent="0.55000000000000004">
      <c r="BL64" s="317"/>
      <c r="BM64" s="317"/>
      <c r="BN64" s="317"/>
      <c r="BO64" s="190"/>
    </row>
    <row r="65" spans="64:67" x14ac:dyDescent="0.55000000000000004">
      <c r="BL65" s="317"/>
      <c r="BM65" s="317"/>
      <c r="BN65" s="317"/>
      <c r="BO65" s="190"/>
    </row>
    <row r="66" spans="64:67" x14ac:dyDescent="0.55000000000000004">
      <c r="BL66" s="317"/>
      <c r="BM66" s="317"/>
      <c r="BN66" s="317"/>
    </row>
    <row r="67" spans="64:67" x14ac:dyDescent="0.55000000000000004">
      <c r="BL67" s="317"/>
      <c r="BM67" s="317"/>
      <c r="BN67" s="317"/>
    </row>
    <row r="68" spans="64:67" x14ac:dyDescent="0.55000000000000004">
      <c r="BL68" s="317"/>
      <c r="BM68" s="317"/>
      <c r="BN68" s="317"/>
    </row>
    <row r="69" spans="64:67" x14ac:dyDescent="0.55000000000000004">
      <c r="BL69" s="317"/>
      <c r="BM69" s="317"/>
      <c r="BN69" s="317"/>
      <c r="BO69" s="1"/>
    </row>
    <row r="70" spans="64:67" x14ac:dyDescent="0.55000000000000004">
      <c r="BL70" s="317"/>
      <c r="BM70" s="317"/>
      <c r="BN70" s="317"/>
    </row>
    <row r="71" spans="64:67" x14ac:dyDescent="0.55000000000000004">
      <c r="BL71" s="317"/>
      <c r="BM71" s="317"/>
      <c r="BN71" s="317"/>
      <c r="BO71" s="1"/>
    </row>
    <row r="72" spans="64:67" x14ac:dyDescent="0.55000000000000004">
      <c r="BL72" s="317"/>
      <c r="BM72" s="317"/>
      <c r="BN72" s="317"/>
    </row>
    <row r="73" spans="64:67" x14ac:dyDescent="0.55000000000000004">
      <c r="BL73" s="317"/>
      <c r="BM73" s="317"/>
      <c r="BN73" s="317"/>
      <c r="BO73" s="1"/>
    </row>
    <row r="74" spans="64:67" x14ac:dyDescent="0.55000000000000004">
      <c r="BL74" s="317"/>
      <c r="BM74" s="317"/>
      <c r="BN74" s="317"/>
    </row>
    <row r="75" spans="64:67" x14ac:dyDescent="0.55000000000000004">
      <c r="BL75" s="317"/>
      <c r="BM75" s="317"/>
      <c r="BN75" s="317"/>
      <c r="BO75" s="1"/>
    </row>
    <row r="76" spans="64:67" x14ac:dyDescent="0.55000000000000004">
      <c r="BL76" s="317"/>
      <c r="BM76" s="317"/>
      <c r="BN76" s="317"/>
    </row>
    <row r="77" spans="64:67" x14ac:dyDescent="0.55000000000000004">
      <c r="BL77" s="317"/>
      <c r="BM77" s="317"/>
      <c r="BN77" s="317"/>
      <c r="BO77" s="1"/>
    </row>
    <row r="78" spans="64:67" x14ac:dyDescent="0.55000000000000004">
      <c r="BL78" s="317"/>
      <c r="BM78" s="317"/>
      <c r="BN78" s="317"/>
    </row>
    <row r="79" spans="64:67" x14ac:dyDescent="0.55000000000000004">
      <c r="BL79" s="317"/>
      <c r="BM79" s="317"/>
      <c r="BN79" s="317"/>
      <c r="BO79" s="1"/>
    </row>
    <row r="80" spans="64:67" x14ac:dyDescent="0.55000000000000004">
      <c r="BL80" s="317"/>
      <c r="BM80" s="317"/>
      <c r="BN80" s="317"/>
    </row>
    <row r="81" spans="64:67" x14ac:dyDescent="0.55000000000000004">
      <c r="BL81" s="317"/>
      <c r="BM81" s="317"/>
      <c r="BN81" s="317"/>
      <c r="BO81" s="1"/>
    </row>
    <row r="82" spans="64:67" x14ac:dyDescent="0.55000000000000004">
      <c r="BL82" s="317"/>
      <c r="BM82" s="317"/>
      <c r="BN82" s="317"/>
    </row>
    <row r="83" spans="64:67" x14ac:dyDescent="0.55000000000000004">
      <c r="BL83" s="317"/>
      <c r="BM83" s="317"/>
      <c r="BN83" s="317"/>
      <c r="BO83" s="1"/>
    </row>
    <row r="84" spans="64:67" x14ac:dyDescent="0.55000000000000004">
      <c r="BL84" s="317"/>
      <c r="BM84" s="317"/>
      <c r="BN84" s="317"/>
    </row>
    <row r="85" spans="64:67" x14ac:dyDescent="0.55000000000000004">
      <c r="BL85" s="317"/>
      <c r="BM85" s="317"/>
      <c r="BN85" s="317"/>
      <c r="BO85" s="1"/>
    </row>
    <row r="86" spans="64:67" x14ac:dyDescent="0.55000000000000004">
      <c r="BL86" s="317"/>
      <c r="BM86" s="317"/>
      <c r="BN86" s="317"/>
    </row>
    <row r="87" spans="64:67" x14ac:dyDescent="0.55000000000000004">
      <c r="BL87" s="317"/>
      <c r="BM87" s="317"/>
      <c r="BN87" s="317"/>
      <c r="BO87" s="1"/>
    </row>
    <row r="88" spans="64:67" x14ac:dyDescent="0.55000000000000004">
      <c r="BL88" s="317"/>
      <c r="BM88" s="317"/>
      <c r="BN88" s="317"/>
    </row>
    <row r="89" spans="64:67" x14ac:dyDescent="0.55000000000000004">
      <c r="BL89" s="317"/>
      <c r="BM89" s="317"/>
      <c r="BN89" s="317"/>
      <c r="BO89" s="1"/>
    </row>
    <row r="90" spans="64:67" x14ac:dyDescent="0.55000000000000004">
      <c r="BL90" s="317"/>
      <c r="BM90" s="317"/>
      <c r="BN90" s="317"/>
    </row>
    <row r="91" spans="64:67" x14ac:dyDescent="0.55000000000000004">
      <c r="BL91" s="317"/>
      <c r="BM91" s="317"/>
      <c r="BN91" s="317"/>
      <c r="BO91" s="1"/>
    </row>
    <row r="92" spans="64:67" x14ac:dyDescent="0.55000000000000004">
      <c r="BL92" s="317"/>
      <c r="BM92" s="317"/>
      <c r="BN92" s="317"/>
    </row>
    <row r="93" spans="64:67" x14ac:dyDescent="0.55000000000000004">
      <c r="BL93" s="317"/>
      <c r="BM93" s="317"/>
      <c r="BN93" s="317"/>
      <c r="BO93" s="1"/>
    </row>
    <row r="94" spans="64:67" x14ac:dyDescent="0.55000000000000004">
      <c r="BL94" s="317"/>
      <c r="BM94" s="317"/>
      <c r="BN94" s="317"/>
    </row>
    <row r="95" spans="64:67" x14ac:dyDescent="0.55000000000000004">
      <c r="BL95" s="317"/>
      <c r="BM95" s="317"/>
      <c r="BN95" s="317"/>
      <c r="BO95" s="1"/>
    </row>
    <row r="96" spans="64:67" x14ac:dyDescent="0.55000000000000004">
      <c r="BL96" s="317"/>
      <c r="BM96" s="317"/>
      <c r="BN96" s="317"/>
    </row>
    <row r="97" spans="64:67" x14ac:dyDescent="0.55000000000000004">
      <c r="BL97" s="317"/>
      <c r="BM97" s="317"/>
      <c r="BN97" s="317"/>
      <c r="BO97" s="1"/>
    </row>
    <row r="98" spans="64:67" x14ac:dyDescent="0.55000000000000004">
      <c r="BL98" s="317"/>
      <c r="BM98" s="317"/>
      <c r="BN98" s="317"/>
    </row>
    <row r="99" spans="64:67" x14ac:dyDescent="0.55000000000000004">
      <c r="BL99" s="317"/>
      <c r="BM99" s="317"/>
      <c r="BN99" s="317"/>
      <c r="BO99" s="1"/>
    </row>
    <row r="100" spans="64:67" x14ac:dyDescent="0.55000000000000004">
      <c r="BL100" s="317"/>
      <c r="BM100" s="317"/>
      <c r="BN100" s="317"/>
    </row>
    <row r="101" spans="64:67" x14ac:dyDescent="0.55000000000000004">
      <c r="BL101" s="317"/>
      <c r="BM101" s="317"/>
      <c r="BN101" s="317"/>
      <c r="BO101" s="1"/>
    </row>
    <row r="102" spans="64:67" x14ac:dyDescent="0.55000000000000004">
      <c r="BL102" s="317"/>
      <c r="BM102" s="317"/>
      <c r="BN102" s="317"/>
    </row>
    <row r="103" spans="64:67" x14ac:dyDescent="0.55000000000000004">
      <c r="BL103" s="317"/>
      <c r="BM103" s="317"/>
      <c r="BN103" s="317"/>
      <c r="BO103" s="1"/>
    </row>
    <row r="104" spans="64:67" x14ac:dyDescent="0.55000000000000004">
      <c r="BL104" s="317"/>
      <c r="BM104" s="317"/>
      <c r="BN104" s="317"/>
    </row>
    <row r="105" spans="64:67" x14ac:dyDescent="0.55000000000000004">
      <c r="BL105" s="317"/>
      <c r="BM105" s="317"/>
      <c r="BN105" s="317"/>
      <c r="BO105" s="1"/>
    </row>
    <row r="106" spans="64:67" x14ac:dyDescent="0.55000000000000004">
      <c r="BL106" s="317"/>
      <c r="BM106" s="317"/>
      <c r="BN106" s="317"/>
    </row>
    <row r="107" spans="64:67" x14ac:dyDescent="0.55000000000000004">
      <c r="BL107" s="317"/>
      <c r="BM107" s="317"/>
      <c r="BN107" s="317"/>
      <c r="BO107" s="1"/>
    </row>
    <row r="108" spans="64:67" x14ac:dyDescent="0.55000000000000004">
      <c r="BL108" s="317"/>
      <c r="BM108" s="317"/>
      <c r="BN108" s="317"/>
    </row>
    <row r="109" spans="64:67" x14ac:dyDescent="0.55000000000000004">
      <c r="BL109" s="317"/>
      <c r="BM109" s="317"/>
      <c r="BN109" s="317"/>
      <c r="BO109" s="1"/>
    </row>
    <row r="110" spans="64:67" x14ac:dyDescent="0.55000000000000004">
      <c r="BL110" s="317"/>
      <c r="BM110" s="317"/>
      <c r="BN110" s="317"/>
    </row>
    <row r="111" spans="64:67" x14ac:dyDescent="0.55000000000000004">
      <c r="BL111" s="317"/>
      <c r="BM111" s="317"/>
      <c r="BN111" s="317"/>
      <c r="BO111" s="1"/>
    </row>
    <row r="112" spans="64:67" x14ac:dyDescent="0.55000000000000004">
      <c r="BL112" s="317"/>
      <c r="BM112" s="317"/>
      <c r="BN112" s="317"/>
    </row>
    <row r="113" spans="64:67" x14ac:dyDescent="0.55000000000000004">
      <c r="BL113" s="317"/>
      <c r="BM113" s="317"/>
      <c r="BN113" s="317"/>
      <c r="BO113" s="1"/>
    </row>
    <row r="114" spans="64:67" x14ac:dyDescent="0.55000000000000004">
      <c r="BL114" s="317"/>
      <c r="BM114" s="317"/>
      <c r="BN114" s="317"/>
    </row>
    <row r="115" spans="64:67" x14ac:dyDescent="0.55000000000000004">
      <c r="BL115" s="317"/>
      <c r="BM115" s="317"/>
      <c r="BN115" s="317"/>
      <c r="BO115" s="1"/>
    </row>
    <row r="116" spans="64:67" x14ac:dyDescent="0.55000000000000004">
      <c r="BL116" s="317"/>
      <c r="BM116" s="317"/>
      <c r="BN116" s="317"/>
    </row>
    <row r="117" spans="64:67" x14ac:dyDescent="0.55000000000000004">
      <c r="BL117" s="317"/>
      <c r="BM117" s="317"/>
      <c r="BN117" s="317"/>
      <c r="BO117" s="1"/>
    </row>
    <row r="118" spans="64:67" x14ac:dyDescent="0.55000000000000004">
      <c r="BL118" s="317"/>
      <c r="BM118" s="317"/>
      <c r="BN118" s="317"/>
    </row>
    <row r="119" spans="64:67" x14ac:dyDescent="0.55000000000000004">
      <c r="BL119" s="317"/>
      <c r="BM119" s="317"/>
      <c r="BN119" s="317"/>
      <c r="BO119" s="1"/>
    </row>
    <row r="120" spans="64:67" x14ac:dyDescent="0.55000000000000004">
      <c r="BL120" s="317"/>
      <c r="BM120" s="317"/>
      <c r="BN120" s="317"/>
    </row>
    <row r="121" spans="64:67" x14ac:dyDescent="0.55000000000000004">
      <c r="BL121" s="317"/>
      <c r="BM121" s="317"/>
      <c r="BN121" s="317"/>
      <c r="BO121" s="1"/>
    </row>
    <row r="122" spans="64:67" x14ac:dyDescent="0.55000000000000004">
      <c r="BL122" s="317"/>
      <c r="BM122" s="317"/>
      <c r="BN122" s="317"/>
    </row>
    <row r="123" spans="64:67" x14ac:dyDescent="0.55000000000000004">
      <c r="BL123" s="317"/>
      <c r="BM123" s="317"/>
      <c r="BN123" s="317"/>
      <c r="BO123" s="1"/>
    </row>
    <row r="124" spans="64:67" x14ac:dyDescent="0.55000000000000004">
      <c r="BL124" s="317"/>
      <c r="BM124" s="317"/>
      <c r="BN124" s="317"/>
    </row>
    <row r="125" spans="64:67" x14ac:dyDescent="0.55000000000000004">
      <c r="BL125" s="317"/>
      <c r="BM125" s="317"/>
      <c r="BN125" s="317"/>
      <c r="BO125" s="1"/>
    </row>
    <row r="126" spans="64:67" x14ac:dyDescent="0.55000000000000004">
      <c r="BL126" s="317"/>
      <c r="BM126" s="317"/>
      <c r="BN126" s="317"/>
    </row>
    <row r="127" spans="64:67" x14ac:dyDescent="0.55000000000000004">
      <c r="BL127" s="317"/>
      <c r="BM127" s="317"/>
      <c r="BN127" s="317"/>
      <c r="BO127" s="1"/>
    </row>
    <row r="128" spans="64:67" x14ac:dyDescent="0.55000000000000004">
      <c r="BL128" s="317"/>
      <c r="BM128" s="317"/>
      <c r="BN128" s="317"/>
    </row>
    <row r="129" spans="64:67" x14ac:dyDescent="0.55000000000000004">
      <c r="BL129" s="317"/>
      <c r="BM129" s="317"/>
      <c r="BN129" s="317"/>
      <c r="BO129" s="1"/>
    </row>
    <row r="130" spans="64:67" x14ac:dyDescent="0.55000000000000004">
      <c r="BL130" s="317"/>
      <c r="BM130" s="317"/>
      <c r="BN130" s="317"/>
    </row>
    <row r="131" spans="64:67" x14ac:dyDescent="0.55000000000000004">
      <c r="BL131" s="317"/>
      <c r="BM131" s="317"/>
      <c r="BN131" s="317"/>
      <c r="BO131" s="1"/>
    </row>
    <row r="132" spans="64:67" x14ac:dyDescent="0.55000000000000004">
      <c r="BL132" s="317"/>
      <c r="BM132" s="317"/>
      <c r="BN132" s="317"/>
    </row>
    <row r="133" spans="64:67" x14ac:dyDescent="0.55000000000000004">
      <c r="BL133" s="317"/>
      <c r="BM133" s="317"/>
      <c r="BN133" s="317"/>
      <c r="BO133" s="1"/>
    </row>
    <row r="134" spans="64:67" x14ac:dyDescent="0.55000000000000004">
      <c r="BL134" s="317"/>
      <c r="BM134" s="317"/>
      <c r="BN134" s="317"/>
    </row>
    <row r="135" spans="64:67" x14ac:dyDescent="0.55000000000000004">
      <c r="BL135" s="317"/>
      <c r="BM135" s="317"/>
      <c r="BN135" s="317"/>
      <c r="BO135" s="1"/>
    </row>
    <row r="136" spans="64:67" x14ac:dyDescent="0.55000000000000004">
      <c r="BL136" s="317"/>
      <c r="BM136" s="317"/>
      <c r="BN136" s="317"/>
    </row>
    <row r="137" spans="64:67" x14ac:dyDescent="0.55000000000000004">
      <c r="BL137" s="317"/>
      <c r="BM137" s="317"/>
      <c r="BN137" s="317"/>
      <c r="BO137" s="1"/>
    </row>
    <row r="138" spans="64:67" x14ac:dyDescent="0.55000000000000004">
      <c r="BL138" s="317"/>
      <c r="BM138" s="317"/>
      <c r="BN138" s="317"/>
    </row>
    <row r="139" spans="64:67" x14ac:dyDescent="0.55000000000000004">
      <c r="BL139" s="317"/>
      <c r="BM139" s="317"/>
      <c r="BN139" s="317"/>
      <c r="BO139" s="1"/>
    </row>
    <row r="140" spans="64:67" x14ac:dyDescent="0.55000000000000004">
      <c r="BL140" s="317"/>
      <c r="BM140" s="317"/>
      <c r="BN140" s="317"/>
    </row>
    <row r="141" spans="64:67" x14ac:dyDescent="0.55000000000000004">
      <c r="BL141" s="317"/>
      <c r="BM141" s="317"/>
      <c r="BN141" s="317"/>
      <c r="BO141" s="1"/>
    </row>
    <row r="142" spans="64:67" x14ac:dyDescent="0.55000000000000004">
      <c r="BL142" s="317"/>
      <c r="BM142" s="317"/>
      <c r="BN142" s="317"/>
    </row>
    <row r="143" spans="64:67" x14ac:dyDescent="0.55000000000000004">
      <c r="BL143" s="317"/>
      <c r="BM143" s="317"/>
      <c r="BN143" s="317"/>
      <c r="BO143" s="1"/>
    </row>
    <row r="144" spans="64:67" x14ac:dyDescent="0.55000000000000004">
      <c r="BL144" s="317"/>
      <c r="BM144" s="317"/>
      <c r="BN144" s="317"/>
    </row>
    <row r="145" spans="64:67" x14ac:dyDescent="0.55000000000000004">
      <c r="BL145" s="317"/>
      <c r="BM145" s="317"/>
      <c r="BN145" s="317"/>
      <c r="BO145" s="1"/>
    </row>
    <row r="146" spans="64:67" x14ac:dyDescent="0.55000000000000004">
      <c r="BL146" s="317"/>
      <c r="BM146" s="317"/>
      <c r="BN146" s="317"/>
    </row>
    <row r="147" spans="64:67" x14ac:dyDescent="0.55000000000000004">
      <c r="BL147" s="317"/>
      <c r="BM147" s="317"/>
      <c r="BN147" s="317"/>
      <c r="BO147" s="1"/>
    </row>
    <row r="148" spans="64:67" x14ac:dyDescent="0.55000000000000004">
      <c r="BL148" s="317"/>
      <c r="BM148" s="317"/>
      <c r="BN148" s="317"/>
    </row>
    <row r="149" spans="64:67" x14ac:dyDescent="0.55000000000000004">
      <c r="BL149" s="317"/>
      <c r="BM149" s="317"/>
      <c r="BN149" s="317"/>
      <c r="BO149" s="1"/>
    </row>
    <row r="150" spans="64:67" x14ac:dyDescent="0.55000000000000004">
      <c r="BL150" s="317"/>
      <c r="BM150" s="317"/>
      <c r="BN150" s="317"/>
    </row>
    <row r="151" spans="64:67" x14ac:dyDescent="0.55000000000000004">
      <c r="BL151" s="317"/>
      <c r="BM151" s="317"/>
      <c r="BN151" s="317"/>
      <c r="BO151" s="1"/>
    </row>
    <row r="152" spans="64:67" x14ac:dyDescent="0.55000000000000004">
      <c r="BL152" s="317"/>
      <c r="BM152" s="317"/>
      <c r="BN152" s="317"/>
    </row>
    <row r="153" spans="64:67" x14ac:dyDescent="0.55000000000000004">
      <c r="BL153" s="317"/>
      <c r="BM153" s="317"/>
      <c r="BN153" s="317"/>
      <c r="BO153" s="1"/>
    </row>
    <row r="154" spans="64:67" x14ac:dyDescent="0.55000000000000004">
      <c r="BL154" s="317"/>
      <c r="BM154" s="317"/>
      <c r="BN154" s="317"/>
    </row>
    <row r="155" spans="64:67" x14ac:dyDescent="0.55000000000000004">
      <c r="BL155" s="317"/>
      <c r="BM155" s="317"/>
      <c r="BN155" s="317"/>
      <c r="BO155" s="1"/>
    </row>
    <row r="156" spans="64:67" x14ac:dyDescent="0.55000000000000004">
      <c r="BL156" s="317"/>
      <c r="BM156" s="317"/>
      <c r="BN156" s="317"/>
    </row>
    <row r="157" spans="64:67" x14ac:dyDescent="0.55000000000000004">
      <c r="BL157" s="317"/>
      <c r="BM157" s="317"/>
      <c r="BN157" s="317"/>
      <c r="BO157" s="1"/>
    </row>
    <row r="158" spans="64:67" x14ac:dyDescent="0.55000000000000004">
      <c r="BL158" s="317"/>
      <c r="BM158" s="317"/>
      <c r="BN158" s="317"/>
    </row>
    <row r="159" spans="64:67" x14ac:dyDescent="0.55000000000000004">
      <c r="BL159" s="317"/>
      <c r="BM159" s="317"/>
      <c r="BN159" s="317"/>
      <c r="BO159" s="1"/>
    </row>
    <row r="160" spans="64:67" x14ac:dyDescent="0.55000000000000004">
      <c r="BL160" s="317"/>
      <c r="BM160" s="317"/>
      <c r="BN160" s="317"/>
    </row>
    <row r="161" spans="64:67" x14ac:dyDescent="0.55000000000000004">
      <c r="BL161" s="317"/>
      <c r="BM161" s="317"/>
      <c r="BN161" s="317"/>
      <c r="BO161" s="1"/>
    </row>
    <row r="162" spans="64:67" x14ac:dyDescent="0.55000000000000004">
      <c r="BL162" s="317"/>
      <c r="BM162" s="317"/>
      <c r="BN162" s="317"/>
    </row>
    <row r="163" spans="64:67" x14ac:dyDescent="0.55000000000000004">
      <c r="BL163" s="317"/>
      <c r="BM163" s="317"/>
      <c r="BN163" s="317"/>
      <c r="BO163" s="1"/>
    </row>
    <row r="164" spans="64:67" x14ac:dyDescent="0.55000000000000004">
      <c r="BL164" s="322"/>
      <c r="BM164" s="322"/>
      <c r="BN164" s="322"/>
    </row>
    <row r="165" spans="64:67" x14ac:dyDescent="0.55000000000000004">
      <c r="BL165" s="322"/>
      <c r="BM165" s="322"/>
      <c r="BN165" s="322"/>
    </row>
    <row r="166" spans="64:67" x14ac:dyDescent="0.55000000000000004">
      <c r="BL166" s="322"/>
      <c r="BM166" s="322"/>
      <c r="BN166" s="322"/>
    </row>
    <row r="167" spans="64:67" x14ac:dyDescent="0.55000000000000004">
      <c r="BL167" s="322"/>
      <c r="BM167" s="322"/>
      <c r="BN167" s="322"/>
    </row>
    <row r="168" spans="64:67" x14ac:dyDescent="0.55000000000000004">
      <c r="BL168" s="322"/>
      <c r="BM168" s="322"/>
      <c r="BN168" s="322"/>
    </row>
    <row r="169" spans="64:67" x14ac:dyDescent="0.55000000000000004">
      <c r="BL169" s="322"/>
      <c r="BM169" s="322"/>
      <c r="BN169" s="322"/>
    </row>
    <row r="170" spans="64:67" x14ac:dyDescent="0.55000000000000004">
      <c r="BL170" s="322"/>
      <c r="BM170" s="322"/>
      <c r="BN170" s="322"/>
    </row>
    <row r="171" spans="64:67" x14ac:dyDescent="0.55000000000000004">
      <c r="BL171" s="322"/>
      <c r="BM171" s="322"/>
      <c r="BN171" s="322"/>
    </row>
    <row r="172" spans="64:67" x14ac:dyDescent="0.55000000000000004">
      <c r="BL172" s="322"/>
      <c r="BM172" s="322"/>
      <c r="BN172" s="322"/>
    </row>
    <row r="173" spans="64:67" x14ac:dyDescent="0.55000000000000004">
      <c r="BL173" s="322"/>
      <c r="BM173" s="322"/>
      <c r="BN173" s="322"/>
    </row>
    <row r="174" spans="64:67" x14ac:dyDescent="0.55000000000000004">
      <c r="BL174" s="322"/>
      <c r="BM174" s="322"/>
      <c r="BN174" s="322"/>
      <c r="BO174" s="190"/>
    </row>
    <row r="175" spans="64:67" x14ac:dyDescent="0.55000000000000004">
      <c r="BL175" s="322"/>
      <c r="BM175" s="322"/>
      <c r="BN175" s="322"/>
      <c r="BO175" s="190"/>
    </row>
    <row r="176" spans="64:67" x14ac:dyDescent="0.55000000000000004">
      <c r="BL176" s="322"/>
      <c r="BM176" s="322"/>
      <c r="BN176" s="322"/>
      <c r="BO176" s="190"/>
    </row>
    <row r="177" spans="64:66" x14ac:dyDescent="0.55000000000000004">
      <c r="BL177" s="322"/>
      <c r="BM177" s="322"/>
      <c r="BN177" s="322"/>
    </row>
    <row r="178" spans="64:66" x14ac:dyDescent="0.55000000000000004">
      <c r="BL178" s="322"/>
      <c r="BM178" s="322"/>
      <c r="BN178" s="322"/>
    </row>
    <row r="179" spans="64:66" x14ac:dyDescent="0.55000000000000004">
      <c r="BL179" s="322"/>
      <c r="BM179" s="322"/>
      <c r="BN179" s="322"/>
    </row>
    <row r="180" spans="64:66" x14ac:dyDescent="0.55000000000000004">
      <c r="BL180" s="322"/>
      <c r="BM180" s="322"/>
      <c r="BN180" s="322"/>
    </row>
    <row r="181" spans="64:66" x14ac:dyDescent="0.55000000000000004">
      <c r="BL181" s="322"/>
      <c r="BM181" s="322"/>
      <c r="BN181" s="322"/>
    </row>
    <row r="182" spans="64:66" x14ac:dyDescent="0.55000000000000004">
      <c r="BL182" s="322"/>
      <c r="BM182" s="322"/>
      <c r="BN182" s="322"/>
    </row>
    <row r="183" spans="64:66" x14ac:dyDescent="0.55000000000000004">
      <c r="BL183" s="322"/>
      <c r="BM183" s="322"/>
      <c r="BN183" s="322"/>
    </row>
    <row r="184" spans="64:66" x14ac:dyDescent="0.55000000000000004">
      <c r="BL184" s="322"/>
      <c r="BM184" s="322"/>
      <c r="BN184" s="322"/>
    </row>
    <row r="185" spans="64:66" x14ac:dyDescent="0.55000000000000004">
      <c r="BL185" s="322"/>
      <c r="BM185" s="322"/>
      <c r="BN185" s="322"/>
    </row>
    <row r="186" spans="64:66" x14ac:dyDescent="0.55000000000000004">
      <c r="BL186" s="322"/>
      <c r="BM186" s="322"/>
      <c r="BN186" s="322"/>
    </row>
    <row r="187" spans="64:66" x14ac:dyDescent="0.55000000000000004">
      <c r="BL187" s="322"/>
      <c r="BM187" s="322"/>
      <c r="BN187" s="322"/>
    </row>
    <row r="188" spans="64:66" x14ac:dyDescent="0.55000000000000004">
      <c r="BL188" s="322"/>
      <c r="BM188" s="322"/>
      <c r="BN188" s="322"/>
    </row>
    <row r="189" spans="64:66" x14ac:dyDescent="0.55000000000000004">
      <c r="BL189" s="322"/>
      <c r="BM189" s="322"/>
      <c r="BN189" s="322"/>
    </row>
    <row r="190" spans="64:66" x14ac:dyDescent="0.55000000000000004">
      <c r="BL190" s="322"/>
      <c r="BM190" s="322"/>
      <c r="BN190" s="322"/>
    </row>
    <row r="191" spans="64:66" x14ac:dyDescent="0.55000000000000004">
      <c r="BL191" s="322"/>
      <c r="BM191" s="322"/>
      <c r="BN191" s="322"/>
    </row>
    <row r="192" spans="64:66" x14ac:dyDescent="0.55000000000000004">
      <c r="BL192" s="322"/>
      <c r="BM192" s="322"/>
      <c r="BN192" s="322"/>
    </row>
    <row r="193" spans="64:66" x14ac:dyDescent="0.55000000000000004">
      <c r="BL193" s="322"/>
      <c r="BM193" s="322"/>
      <c r="BN193" s="322"/>
    </row>
    <row r="194" spans="64:66" x14ac:dyDescent="0.55000000000000004">
      <c r="BL194" s="322"/>
      <c r="BM194" s="322"/>
      <c r="BN194" s="322"/>
    </row>
    <row r="195" spans="64:66" x14ac:dyDescent="0.55000000000000004">
      <c r="BL195" s="322"/>
      <c r="BM195" s="322"/>
      <c r="BN195" s="322"/>
    </row>
    <row r="196" spans="64:66" x14ac:dyDescent="0.55000000000000004">
      <c r="BL196" s="322"/>
      <c r="BM196" s="322"/>
      <c r="BN196" s="322"/>
    </row>
    <row r="197" spans="64:66" x14ac:dyDescent="0.55000000000000004">
      <c r="BL197" s="322"/>
      <c r="BM197" s="322"/>
      <c r="BN197" s="322"/>
    </row>
    <row r="198" spans="64:66" x14ac:dyDescent="0.55000000000000004">
      <c r="BL198" s="322"/>
      <c r="BM198" s="322"/>
      <c r="BN198" s="322"/>
    </row>
    <row r="199" spans="64:66" x14ac:dyDescent="0.55000000000000004">
      <c r="BL199" s="322"/>
      <c r="BM199" s="322"/>
      <c r="BN199" s="322"/>
    </row>
    <row r="200" spans="64:66" x14ac:dyDescent="0.55000000000000004">
      <c r="BL200" s="322"/>
      <c r="BM200" s="322"/>
      <c r="BN200" s="322"/>
    </row>
    <row r="201" spans="64:66" x14ac:dyDescent="0.55000000000000004">
      <c r="BL201" s="322"/>
      <c r="BM201" s="322"/>
      <c r="BN201" s="322"/>
    </row>
    <row r="202" spans="64:66" x14ac:dyDescent="0.55000000000000004">
      <c r="BL202" s="322"/>
      <c r="BM202" s="322"/>
      <c r="BN202" s="322"/>
    </row>
    <row r="203" spans="64:66" x14ac:dyDescent="0.55000000000000004">
      <c r="BL203" s="322"/>
      <c r="BM203" s="322"/>
      <c r="BN203" s="322"/>
    </row>
    <row r="204" spans="64:66" x14ac:dyDescent="0.55000000000000004">
      <c r="BL204" s="322"/>
      <c r="BM204" s="322"/>
      <c r="BN204" s="322"/>
    </row>
    <row r="205" spans="64:66" x14ac:dyDescent="0.55000000000000004">
      <c r="BL205" s="322"/>
      <c r="BM205" s="322"/>
      <c r="BN205" s="322"/>
    </row>
    <row r="206" spans="64:66" x14ac:dyDescent="0.55000000000000004">
      <c r="BL206" s="322"/>
      <c r="BM206" s="322"/>
      <c r="BN206" s="322"/>
    </row>
    <row r="207" spans="64:66" x14ac:dyDescent="0.55000000000000004">
      <c r="BL207" s="322"/>
      <c r="BM207" s="322"/>
      <c r="BN207" s="322"/>
    </row>
    <row r="208" spans="64:66" x14ac:dyDescent="0.55000000000000004">
      <c r="BL208" s="322"/>
      <c r="BM208" s="322"/>
      <c r="BN208" s="322"/>
    </row>
    <row r="209" spans="64:67" x14ac:dyDescent="0.55000000000000004">
      <c r="BL209" s="322"/>
      <c r="BM209" s="322"/>
      <c r="BN209" s="322"/>
    </row>
    <row r="210" spans="64:67" x14ac:dyDescent="0.55000000000000004">
      <c r="BL210" s="322"/>
      <c r="BM210" s="322"/>
      <c r="BN210" s="322"/>
    </row>
    <row r="211" spans="64:67" x14ac:dyDescent="0.55000000000000004">
      <c r="BL211" s="322"/>
      <c r="BM211" s="322"/>
      <c r="BN211" s="322"/>
    </row>
    <row r="212" spans="64:67" x14ac:dyDescent="0.55000000000000004">
      <c r="BL212" s="322"/>
      <c r="BM212" s="322"/>
      <c r="BN212" s="322"/>
    </row>
    <row r="213" spans="64:67" x14ac:dyDescent="0.55000000000000004">
      <c r="BL213" s="322"/>
      <c r="BM213" s="322"/>
      <c r="BN213" s="322"/>
    </row>
    <row r="214" spans="64:67" x14ac:dyDescent="0.55000000000000004">
      <c r="BL214" s="322"/>
      <c r="BM214" s="322"/>
      <c r="BN214" s="322"/>
    </row>
    <row r="215" spans="64:67" x14ac:dyDescent="0.55000000000000004">
      <c r="BL215" s="322"/>
      <c r="BM215" s="322"/>
      <c r="BN215" s="322"/>
    </row>
    <row r="216" spans="64:67" x14ac:dyDescent="0.55000000000000004">
      <c r="BL216" s="322"/>
      <c r="BM216" s="322"/>
      <c r="BN216" s="322"/>
    </row>
    <row r="217" spans="64:67" x14ac:dyDescent="0.55000000000000004">
      <c r="BL217" s="322"/>
      <c r="BM217" s="322"/>
      <c r="BN217" s="322"/>
    </row>
    <row r="218" spans="64:67" x14ac:dyDescent="0.55000000000000004">
      <c r="BL218" s="322"/>
      <c r="BM218" s="322"/>
      <c r="BN218" s="322"/>
    </row>
    <row r="219" spans="64:67" x14ac:dyDescent="0.55000000000000004">
      <c r="BL219" s="322"/>
      <c r="BM219" s="322"/>
      <c r="BN219" s="322"/>
    </row>
    <row r="220" spans="64:67" x14ac:dyDescent="0.55000000000000004">
      <c r="BL220" s="322"/>
      <c r="BM220" s="322"/>
      <c r="BN220" s="322"/>
    </row>
    <row r="221" spans="64:67" x14ac:dyDescent="0.55000000000000004">
      <c r="BL221" s="322"/>
      <c r="BM221" s="322"/>
      <c r="BN221" s="322"/>
      <c r="BO221" s="190"/>
    </row>
    <row r="222" spans="64:67" x14ac:dyDescent="0.55000000000000004">
      <c r="BL222" s="322"/>
      <c r="BM222" s="322"/>
      <c r="BN222" s="322"/>
      <c r="BO222" s="190"/>
    </row>
    <row r="223" spans="64:67" x14ac:dyDescent="0.55000000000000004">
      <c r="BL223" s="322"/>
      <c r="BM223" s="322"/>
      <c r="BN223" s="322"/>
      <c r="BO223" s="190"/>
    </row>
    <row r="224" spans="64:67" x14ac:dyDescent="0.55000000000000004">
      <c r="BL224" s="322"/>
      <c r="BM224" s="322"/>
      <c r="BN224" s="322"/>
    </row>
    <row r="225" spans="64:66" x14ac:dyDescent="0.55000000000000004">
      <c r="BL225" s="322"/>
      <c r="BM225" s="322"/>
      <c r="BN225" s="322"/>
    </row>
    <row r="226" spans="64:66" x14ac:dyDescent="0.55000000000000004">
      <c r="BL226" s="322"/>
      <c r="BM226" s="322"/>
      <c r="BN226" s="322"/>
    </row>
    <row r="227" spans="64:66" x14ac:dyDescent="0.55000000000000004">
      <c r="BL227" s="322"/>
      <c r="BM227" s="322"/>
      <c r="BN227" s="322"/>
    </row>
    <row r="228" spans="64:66" x14ac:dyDescent="0.55000000000000004">
      <c r="BL228" s="322"/>
      <c r="BM228" s="322"/>
      <c r="BN228" s="322"/>
    </row>
    <row r="229" spans="64:66" x14ac:dyDescent="0.55000000000000004">
      <c r="BL229" s="322"/>
      <c r="BM229" s="322"/>
      <c r="BN229" s="322"/>
    </row>
    <row r="230" spans="64:66" x14ac:dyDescent="0.55000000000000004">
      <c r="BL230" s="322"/>
      <c r="BM230" s="322"/>
      <c r="BN230" s="322"/>
    </row>
    <row r="231" spans="64:66" x14ac:dyDescent="0.55000000000000004">
      <c r="BL231" s="322"/>
      <c r="BM231" s="322"/>
      <c r="BN231" s="322"/>
    </row>
    <row r="232" spans="64:66" x14ac:dyDescent="0.55000000000000004">
      <c r="BL232" s="322"/>
      <c r="BM232" s="322"/>
      <c r="BN232" s="322"/>
    </row>
    <row r="233" spans="64:66" x14ac:dyDescent="0.55000000000000004">
      <c r="BL233" s="322"/>
      <c r="BM233" s="322"/>
      <c r="BN233" s="322"/>
    </row>
    <row r="234" spans="64:66" x14ac:dyDescent="0.55000000000000004">
      <c r="BL234" s="322"/>
      <c r="BM234" s="322"/>
      <c r="BN234" s="322"/>
    </row>
    <row r="235" spans="64:66" x14ac:dyDescent="0.55000000000000004">
      <c r="BL235" s="322"/>
      <c r="BM235" s="322"/>
      <c r="BN235" s="322"/>
    </row>
    <row r="236" spans="64:66" x14ac:dyDescent="0.55000000000000004">
      <c r="BL236" s="322"/>
      <c r="BM236" s="322"/>
      <c r="BN236" s="322"/>
    </row>
    <row r="237" spans="64:66" x14ac:dyDescent="0.55000000000000004">
      <c r="BL237" s="322"/>
      <c r="BM237" s="322"/>
      <c r="BN237" s="322"/>
    </row>
    <row r="238" spans="64:66" x14ac:dyDescent="0.55000000000000004">
      <c r="BL238" s="322"/>
      <c r="BM238" s="322"/>
      <c r="BN238" s="322"/>
    </row>
    <row r="239" spans="64:66" x14ac:dyDescent="0.55000000000000004">
      <c r="BL239" s="322"/>
      <c r="BM239" s="322"/>
      <c r="BN239" s="322"/>
    </row>
    <row r="240" spans="64:66" x14ac:dyDescent="0.55000000000000004">
      <c r="BL240" s="322"/>
      <c r="BM240" s="322"/>
      <c r="BN240" s="322"/>
    </row>
    <row r="241" spans="64:66" x14ac:dyDescent="0.55000000000000004">
      <c r="BL241" s="322"/>
      <c r="BM241" s="322"/>
      <c r="BN241" s="322"/>
    </row>
    <row r="242" spans="64:66" x14ac:dyDescent="0.55000000000000004">
      <c r="BL242" s="322"/>
      <c r="BM242" s="322"/>
      <c r="BN242" s="322"/>
    </row>
    <row r="243" spans="64:66" x14ac:dyDescent="0.55000000000000004">
      <c r="BL243" s="322"/>
      <c r="BM243" s="322"/>
      <c r="BN243" s="322"/>
    </row>
    <row r="244" spans="64:66" x14ac:dyDescent="0.55000000000000004">
      <c r="BL244" s="322"/>
      <c r="BM244" s="322"/>
      <c r="BN244" s="322"/>
    </row>
    <row r="245" spans="64:66" x14ac:dyDescent="0.55000000000000004">
      <c r="BL245" s="322"/>
      <c r="BM245" s="322"/>
      <c r="BN245" s="322"/>
    </row>
    <row r="246" spans="64:66" x14ac:dyDescent="0.55000000000000004">
      <c r="BL246" s="322"/>
      <c r="BM246" s="322"/>
      <c r="BN246" s="322"/>
    </row>
    <row r="247" spans="64:66" x14ac:dyDescent="0.55000000000000004">
      <c r="BL247" s="322"/>
      <c r="BM247" s="322"/>
      <c r="BN247" s="322"/>
    </row>
    <row r="248" spans="64:66" x14ac:dyDescent="0.55000000000000004">
      <c r="BL248" s="322"/>
      <c r="BM248" s="322"/>
      <c r="BN248" s="322"/>
    </row>
    <row r="249" spans="64:66" x14ac:dyDescent="0.55000000000000004">
      <c r="BL249" s="322"/>
      <c r="BM249" s="322"/>
      <c r="BN249" s="322"/>
    </row>
    <row r="250" spans="64:66" x14ac:dyDescent="0.55000000000000004">
      <c r="BL250" s="322"/>
      <c r="BM250" s="322"/>
      <c r="BN250" s="322"/>
    </row>
    <row r="251" spans="64:66" x14ac:dyDescent="0.55000000000000004">
      <c r="BL251" s="322"/>
      <c r="BM251" s="322"/>
      <c r="BN251" s="322"/>
    </row>
    <row r="252" spans="64:66" x14ac:dyDescent="0.55000000000000004">
      <c r="BL252" s="322"/>
      <c r="BM252" s="322"/>
      <c r="BN252" s="322"/>
    </row>
    <row r="253" spans="64:66" x14ac:dyDescent="0.55000000000000004">
      <c r="BL253" s="322"/>
      <c r="BM253" s="322"/>
      <c r="BN253" s="322"/>
    </row>
    <row r="254" spans="64:66" x14ac:dyDescent="0.55000000000000004">
      <c r="BL254" s="322"/>
      <c r="BM254" s="322"/>
      <c r="BN254" s="322"/>
    </row>
    <row r="255" spans="64:66" x14ac:dyDescent="0.55000000000000004">
      <c r="BL255" s="322"/>
      <c r="BM255" s="322"/>
      <c r="BN255" s="322"/>
    </row>
    <row r="256" spans="64:66" x14ac:dyDescent="0.55000000000000004">
      <c r="BL256" s="322"/>
      <c r="BM256" s="322"/>
      <c r="BN256" s="322"/>
    </row>
    <row r="257" spans="64:67" x14ac:dyDescent="0.55000000000000004">
      <c r="BL257" s="322"/>
      <c r="BM257" s="322"/>
      <c r="BN257" s="322"/>
    </row>
    <row r="258" spans="64:67" x14ac:dyDescent="0.55000000000000004">
      <c r="BL258" s="322"/>
      <c r="BM258" s="322"/>
      <c r="BN258" s="322"/>
    </row>
    <row r="259" spans="64:67" x14ac:dyDescent="0.55000000000000004">
      <c r="BL259" s="322"/>
      <c r="BM259" s="322"/>
      <c r="BN259" s="322"/>
    </row>
    <row r="260" spans="64:67" x14ac:dyDescent="0.55000000000000004">
      <c r="BL260" s="322"/>
      <c r="BM260" s="322"/>
      <c r="BN260" s="322"/>
    </row>
    <row r="261" spans="64:67" x14ac:dyDescent="0.55000000000000004">
      <c r="BL261" s="322"/>
      <c r="BM261" s="322"/>
      <c r="BN261" s="322"/>
    </row>
    <row r="262" spans="64:67" x14ac:dyDescent="0.55000000000000004">
      <c r="BL262" s="322"/>
      <c r="BM262" s="322"/>
      <c r="BN262" s="322"/>
    </row>
    <row r="263" spans="64:67" x14ac:dyDescent="0.55000000000000004">
      <c r="BL263" s="322"/>
      <c r="BM263" s="322"/>
      <c r="BN263" s="322"/>
    </row>
    <row r="264" spans="64:67" x14ac:dyDescent="0.55000000000000004">
      <c r="BL264" s="322"/>
      <c r="BM264" s="322"/>
      <c r="BN264" s="322"/>
    </row>
    <row r="265" spans="64:67" x14ac:dyDescent="0.55000000000000004">
      <c r="BL265" s="322"/>
      <c r="BM265" s="322"/>
      <c r="BN265" s="322"/>
    </row>
    <row r="266" spans="64:67" x14ac:dyDescent="0.55000000000000004">
      <c r="BL266" s="322"/>
      <c r="BM266" s="322"/>
      <c r="BN266" s="322"/>
    </row>
    <row r="267" spans="64:67" x14ac:dyDescent="0.55000000000000004">
      <c r="BL267" s="322"/>
      <c r="BM267" s="322"/>
      <c r="BN267" s="322"/>
    </row>
    <row r="268" spans="64:67" x14ac:dyDescent="0.55000000000000004">
      <c r="BL268" s="322"/>
      <c r="BM268" s="322"/>
      <c r="BN268" s="322"/>
      <c r="BO268" s="190"/>
    </row>
    <row r="269" spans="64:67" x14ac:dyDescent="0.55000000000000004">
      <c r="BL269" s="322"/>
      <c r="BM269" s="322"/>
      <c r="BN269" s="322"/>
      <c r="BO269" s="190"/>
    </row>
    <row r="270" spans="64:67" x14ac:dyDescent="0.55000000000000004">
      <c r="BL270" s="322"/>
      <c r="BM270" s="322"/>
      <c r="BN270" s="322"/>
      <c r="BO270" s="190"/>
    </row>
    <row r="271" spans="64:67" x14ac:dyDescent="0.55000000000000004">
      <c r="BL271" s="322"/>
      <c r="BM271" s="322"/>
      <c r="BN271" s="322"/>
    </row>
    <row r="272" spans="64:67" x14ac:dyDescent="0.55000000000000004">
      <c r="BL272" s="322"/>
      <c r="BM272" s="322"/>
      <c r="BN272" s="322"/>
    </row>
    <row r="273" spans="64:67" x14ac:dyDescent="0.55000000000000004">
      <c r="BL273" s="322"/>
      <c r="BM273" s="322"/>
      <c r="BN273" s="322"/>
    </row>
    <row r="274" spans="64:67" x14ac:dyDescent="0.55000000000000004">
      <c r="BO274" s="1"/>
    </row>
    <row r="275" spans="64:67" x14ac:dyDescent="0.55000000000000004">
      <c r="BL275" s="321"/>
      <c r="BM275" s="321"/>
      <c r="BN275" s="321"/>
    </row>
    <row r="276" spans="64:67" x14ac:dyDescent="0.55000000000000004">
      <c r="BL276" s="321"/>
      <c r="BM276" s="321"/>
      <c r="BN276" s="321"/>
    </row>
    <row r="277" spans="64:67" x14ac:dyDescent="0.55000000000000004">
      <c r="BL277" s="321"/>
      <c r="BM277" s="321"/>
      <c r="BN277" s="321"/>
    </row>
    <row r="278" spans="64:67" x14ac:dyDescent="0.55000000000000004">
      <c r="BL278" s="321"/>
      <c r="BM278" s="321"/>
      <c r="BN278" s="321"/>
    </row>
    <row r="279" spans="64:67" x14ac:dyDescent="0.55000000000000004">
      <c r="BL279" s="321"/>
      <c r="BM279" s="321"/>
      <c r="BN279" s="321"/>
    </row>
    <row r="280" spans="64:67" x14ac:dyDescent="0.55000000000000004">
      <c r="BL280" s="321"/>
      <c r="BM280" s="321"/>
      <c r="BN280" s="321"/>
    </row>
    <row r="281" spans="64:67" x14ac:dyDescent="0.55000000000000004">
      <c r="BL281" s="321"/>
      <c r="BM281" s="321"/>
      <c r="BN281" s="321"/>
    </row>
    <row r="282" spans="64:67" x14ac:dyDescent="0.55000000000000004">
      <c r="BL282" s="321"/>
      <c r="BM282" s="321"/>
      <c r="BN282" s="321"/>
    </row>
    <row r="283" spans="64:67" x14ac:dyDescent="0.55000000000000004">
      <c r="BL283" s="321"/>
      <c r="BM283" s="321"/>
      <c r="BN283" s="321"/>
    </row>
    <row r="284" spans="64:67" x14ac:dyDescent="0.55000000000000004">
      <c r="BL284" s="321"/>
      <c r="BM284" s="321"/>
      <c r="BN284" s="321"/>
    </row>
    <row r="285" spans="64:67" x14ac:dyDescent="0.55000000000000004">
      <c r="BL285" s="321"/>
      <c r="BM285" s="321"/>
      <c r="BN285" s="321"/>
    </row>
    <row r="286" spans="64:67" x14ac:dyDescent="0.55000000000000004">
      <c r="BL286" s="321"/>
      <c r="BM286" s="321"/>
      <c r="BN286" s="321"/>
    </row>
    <row r="287" spans="64:67" x14ac:dyDescent="0.55000000000000004">
      <c r="BL287" s="321"/>
      <c r="BM287" s="321"/>
      <c r="BN287" s="321"/>
    </row>
    <row r="288" spans="64:67" x14ac:dyDescent="0.55000000000000004">
      <c r="BL288" s="321"/>
      <c r="BM288" s="321"/>
      <c r="BN288" s="321"/>
    </row>
    <row r="289" spans="64:67" x14ac:dyDescent="0.55000000000000004">
      <c r="BL289" s="321"/>
      <c r="BM289" s="321"/>
      <c r="BN289" s="321"/>
    </row>
    <row r="290" spans="64:67" x14ac:dyDescent="0.55000000000000004">
      <c r="BL290" s="322"/>
      <c r="BM290" s="322"/>
      <c r="BN290" s="322"/>
    </row>
    <row r="291" spans="64:67" x14ac:dyDescent="0.55000000000000004">
      <c r="BL291" s="322"/>
      <c r="BM291" s="322"/>
      <c r="BN291" s="322"/>
    </row>
    <row r="292" spans="64:67" x14ac:dyDescent="0.55000000000000004">
      <c r="BL292" s="322"/>
      <c r="BM292" s="322"/>
      <c r="BN292" s="322"/>
    </row>
    <row r="293" spans="64:67" x14ac:dyDescent="0.55000000000000004">
      <c r="BL293" s="8"/>
      <c r="BM293" s="8"/>
      <c r="BN293" s="8"/>
      <c r="BO293" s="8"/>
    </row>
    <row r="294" spans="64:67" x14ac:dyDescent="0.55000000000000004">
      <c r="BL294" s="225"/>
      <c r="BM294" s="225"/>
      <c r="BN294" s="225"/>
      <c r="BO294" s="225"/>
    </row>
    <row r="295" spans="64:67" ht="18" thickBot="1" x14ac:dyDescent="0.6">
      <c r="BL295" s="229"/>
      <c r="BM295" s="229"/>
      <c r="BN295" s="229"/>
      <c r="BO295" s="229"/>
    </row>
    <row r="296" spans="64:67" x14ac:dyDescent="0.55000000000000004">
      <c r="BL296" s="316"/>
      <c r="BM296" s="316"/>
      <c r="BN296" s="316"/>
      <c r="BO296" s="316"/>
    </row>
    <row r="297" spans="64:67" x14ac:dyDescent="0.55000000000000004">
      <c r="BL297" s="317"/>
      <c r="BM297" s="321"/>
      <c r="BN297" s="317"/>
      <c r="BO297" s="321"/>
    </row>
    <row r="298" spans="64:67" x14ac:dyDescent="0.55000000000000004">
      <c r="BL298" s="317"/>
      <c r="BM298" s="321"/>
      <c r="BN298" s="317"/>
      <c r="BO298" s="321"/>
    </row>
    <row r="299" spans="64:67" x14ac:dyDescent="0.55000000000000004">
      <c r="BL299" s="317"/>
      <c r="BM299" s="321"/>
      <c r="BN299" s="317"/>
      <c r="BO299" s="321"/>
    </row>
    <row r="300" spans="64:67" x14ac:dyDescent="0.55000000000000004">
      <c r="BL300" s="317"/>
      <c r="BM300" s="321"/>
      <c r="BN300" s="317"/>
      <c r="BO300" s="321"/>
    </row>
    <row r="301" spans="64:67" x14ac:dyDescent="0.55000000000000004">
      <c r="BL301" s="317"/>
      <c r="BM301" s="321"/>
      <c r="BN301" s="317"/>
      <c r="BO301" s="321"/>
    </row>
    <row r="302" spans="64:67" x14ac:dyDescent="0.55000000000000004">
      <c r="BL302" s="317"/>
      <c r="BM302" s="321"/>
      <c r="BN302" s="317"/>
      <c r="BO302" s="321"/>
    </row>
    <row r="303" spans="64:67" x14ac:dyDescent="0.55000000000000004">
      <c r="BL303" s="317"/>
      <c r="BM303" s="321"/>
      <c r="BN303" s="317"/>
      <c r="BO303" s="321"/>
    </row>
    <row r="304" spans="64:67" x14ac:dyDescent="0.55000000000000004">
      <c r="BL304" s="317"/>
      <c r="BM304" s="321"/>
      <c r="BN304" s="317"/>
      <c r="BO304" s="321"/>
    </row>
    <row r="305" spans="64:67" x14ac:dyDescent="0.55000000000000004">
      <c r="BL305" s="317"/>
      <c r="BM305" s="321"/>
      <c r="BN305" s="317"/>
      <c r="BO305" s="321"/>
    </row>
    <row r="306" spans="64:67" x14ac:dyDescent="0.55000000000000004">
      <c r="BL306" s="317"/>
      <c r="BM306" s="321"/>
      <c r="BN306" s="317"/>
      <c r="BO306" s="321"/>
    </row>
    <row r="307" spans="64:67" x14ac:dyDescent="0.55000000000000004">
      <c r="BL307" s="317"/>
      <c r="BM307" s="321"/>
      <c r="BN307" s="317"/>
      <c r="BO307" s="321"/>
    </row>
    <row r="308" spans="64:67" x14ac:dyDescent="0.55000000000000004">
      <c r="BL308" s="317"/>
      <c r="BM308" s="321"/>
      <c r="BN308" s="317"/>
      <c r="BO308" s="321"/>
    </row>
    <row r="309" spans="64:67" x14ac:dyDescent="0.55000000000000004">
      <c r="BL309" s="317"/>
      <c r="BM309" s="321"/>
      <c r="BN309" s="317"/>
      <c r="BO309" s="321"/>
    </row>
    <row r="310" spans="64:67" x14ac:dyDescent="0.55000000000000004">
      <c r="BL310" s="317"/>
      <c r="BM310" s="321"/>
      <c r="BN310" s="317"/>
      <c r="BO310" s="321"/>
    </row>
    <row r="311" spans="64:67" x14ac:dyDescent="0.55000000000000004">
      <c r="BL311" s="317"/>
      <c r="BM311" s="321"/>
      <c r="BN311" s="317"/>
      <c r="BO311" s="321"/>
    </row>
    <row r="312" spans="64:67" x14ac:dyDescent="0.55000000000000004">
      <c r="BL312" s="317"/>
      <c r="BM312" s="321"/>
      <c r="BN312" s="317"/>
      <c r="BO312" s="321"/>
    </row>
    <row r="313" spans="64:67" x14ac:dyDescent="0.55000000000000004">
      <c r="BL313" s="317"/>
      <c r="BM313" s="321"/>
      <c r="BN313" s="317"/>
      <c r="BO313" s="321"/>
    </row>
    <row r="314" spans="64:67" x14ac:dyDescent="0.55000000000000004">
      <c r="BL314" s="317"/>
      <c r="BM314" s="321"/>
      <c r="BN314" s="317"/>
      <c r="BO314" s="321"/>
    </row>
    <row r="315" spans="64:67" x14ac:dyDescent="0.55000000000000004">
      <c r="BL315" s="317"/>
      <c r="BM315" s="321"/>
      <c r="BN315" s="317"/>
      <c r="BO315" s="321"/>
    </row>
    <row r="316" spans="64:67" x14ac:dyDescent="0.55000000000000004">
      <c r="BL316" s="317"/>
      <c r="BM316" s="321"/>
      <c r="BN316" s="317"/>
      <c r="BO316" s="321"/>
    </row>
    <row r="317" spans="64:67" x14ac:dyDescent="0.55000000000000004">
      <c r="BL317" s="317"/>
      <c r="BM317" s="321"/>
      <c r="BN317" s="317"/>
      <c r="BO317" s="321"/>
    </row>
    <row r="318" spans="64:67" x14ac:dyDescent="0.55000000000000004">
      <c r="BL318" s="317"/>
      <c r="BM318" s="321"/>
      <c r="BN318" s="317"/>
      <c r="BO318" s="321"/>
    </row>
    <row r="319" spans="64:67" x14ac:dyDescent="0.55000000000000004">
      <c r="BL319" s="317"/>
      <c r="BM319" s="321"/>
      <c r="BN319" s="317"/>
      <c r="BO319" s="321"/>
    </row>
    <row r="320" spans="64:67" x14ac:dyDescent="0.55000000000000004">
      <c r="BL320" s="317"/>
      <c r="BM320" s="321"/>
      <c r="BN320" s="317"/>
      <c r="BO320" s="321"/>
    </row>
    <row r="321" spans="64:67" x14ac:dyDescent="0.55000000000000004">
      <c r="BL321" s="317"/>
      <c r="BM321" s="321"/>
      <c r="BN321" s="317"/>
      <c r="BO321" s="321"/>
    </row>
    <row r="322" spans="64:67" x14ac:dyDescent="0.55000000000000004">
      <c r="BL322" s="317"/>
      <c r="BM322" s="321"/>
      <c r="BN322" s="317"/>
      <c r="BO322" s="321"/>
    </row>
    <row r="323" spans="64:67" x14ac:dyDescent="0.55000000000000004">
      <c r="BL323" s="317"/>
      <c r="BM323" s="321"/>
      <c r="BN323" s="317"/>
      <c r="BO323" s="321"/>
    </row>
    <row r="324" spans="64:67" x14ac:dyDescent="0.55000000000000004">
      <c r="BL324" s="317"/>
      <c r="BM324" s="321"/>
      <c r="BN324" s="317"/>
      <c r="BO324" s="321"/>
    </row>
    <row r="325" spans="64:67" x14ac:dyDescent="0.55000000000000004">
      <c r="BL325" s="317"/>
      <c r="BM325" s="321"/>
      <c r="BN325" s="317"/>
      <c r="BO325" s="321"/>
    </row>
    <row r="326" spans="64:67" x14ac:dyDescent="0.55000000000000004">
      <c r="BL326" s="317"/>
      <c r="BM326" s="321"/>
      <c r="BN326" s="317"/>
      <c r="BO326" s="321"/>
    </row>
    <row r="327" spans="64:67" x14ac:dyDescent="0.55000000000000004">
      <c r="BL327" s="317"/>
      <c r="BM327" s="321"/>
      <c r="BN327" s="317"/>
      <c r="BO327" s="321"/>
    </row>
    <row r="328" spans="64:67" x14ac:dyDescent="0.55000000000000004">
      <c r="BL328" s="317"/>
      <c r="BM328" s="321"/>
      <c r="BN328" s="317"/>
      <c r="BO328" s="321"/>
    </row>
    <row r="329" spans="64:67" x14ac:dyDescent="0.55000000000000004">
      <c r="BL329" s="317"/>
      <c r="BM329" s="321"/>
      <c r="BN329" s="317"/>
      <c r="BO329" s="321"/>
    </row>
    <row r="330" spans="64:67" x14ac:dyDescent="0.55000000000000004">
      <c r="BL330" s="317"/>
      <c r="BM330" s="321"/>
      <c r="BN330" s="317"/>
      <c r="BO330" s="321"/>
    </row>
    <row r="331" spans="64:67" x14ac:dyDescent="0.55000000000000004">
      <c r="BL331" s="317"/>
      <c r="BM331" s="321"/>
      <c r="BN331" s="317"/>
      <c r="BO331" s="321"/>
    </row>
    <row r="332" spans="64:67" x14ac:dyDescent="0.55000000000000004">
      <c r="BL332" s="317"/>
      <c r="BM332" s="321"/>
      <c r="BN332" s="317"/>
      <c r="BO332" s="321"/>
    </row>
    <row r="333" spans="64:67" x14ac:dyDescent="0.55000000000000004">
      <c r="BL333" s="317"/>
      <c r="BM333" s="321"/>
      <c r="BN333" s="317"/>
      <c r="BO333" s="321"/>
    </row>
    <row r="334" spans="64:67" x14ac:dyDescent="0.55000000000000004">
      <c r="BL334" s="317"/>
      <c r="BM334" s="321"/>
      <c r="BN334" s="317"/>
      <c r="BO334" s="321"/>
    </row>
    <row r="335" spans="64:67" x14ac:dyDescent="0.55000000000000004">
      <c r="BL335" s="317"/>
      <c r="BM335" s="321"/>
      <c r="BN335" s="317"/>
      <c r="BO335" s="321"/>
    </row>
    <row r="336" spans="64:67" x14ac:dyDescent="0.55000000000000004">
      <c r="BL336" s="317"/>
      <c r="BM336" s="321"/>
      <c r="BN336" s="317"/>
      <c r="BO336" s="321"/>
    </row>
    <row r="337" spans="64:67" x14ac:dyDescent="0.55000000000000004">
      <c r="BL337" s="317"/>
      <c r="BM337" s="321"/>
      <c r="BN337" s="317"/>
      <c r="BO337" s="321"/>
    </row>
    <row r="338" spans="64:67" x14ac:dyDescent="0.55000000000000004">
      <c r="BL338" s="317"/>
      <c r="BM338" s="321"/>
      <c r="BN338" s="317"/>
      <c r="BO338" s="321"/>
    </row>
    <row r="339" spans="64:67" x14ac:dyDescent="0.55000000000000004">
      <c r="BL339" s="317"/>
      <c r="BM339" s="321"/>
      <c r="BN339" s="317"/>
      <c r="BO339" s="321"/>
    </row>
    <row r="340" spans="64:67" x14ac:dyDescent="0.55000000000000004">
      <c r="BL340" s="317"/>
      <c r="BM340" s="321"/>
      <c r="BN340" s="317"/>
      <c r="BO340" s="321"/>
    </row>
    <row r="341" spans="64:67" x14ac:dyDescent="0.55000000000000004">
      <c r="BL341" s="317"/>
      <c r="BM341" s="321"/>
      <c r="BN341" s="317"/>
      <c r="BO341" s="321"/>
    </row>
    <row r="342" spans="64:67" x14ac:dyDescent="0.55000000000000004">
      <c r="BL342" s="317"/>
      <c r="BM342" s="321"/>
      <c r="BN342" s="317"/>
      <c r="BO342" s="321"/>
    </row>
    <row r="343" spans="64:67" x14ac:dyDescent="0.55000000000000004">
      <c r="BL343" s="317"/>
      <c r="BM343" s="321"/>
      <c r="BN343" s="317"/>
      <c r="BO343" s="321"/>
    </row>
    <row r="344" spans="64:67" x14ac:dyDescent="0.55000000000000004">
      <c r="BL344" s="317"/>
      <c r="BM344" s="321"/>
      <c r="BN344" s="317"/>
      <c r="BO344" s="321"/>
    </row>
    <row r="345" spans="64:67" x14ac:dyDescent="0.55000000000000004">
      <c r="BL345" s="317"/>
      <c r="BM345" s="321"/>
      <c r="BN345" s="317"/>
      <c r="BO345" s="321"/>
    </row>
    <row r="346" spans="64:67" x14ac:dyDescent="0.55000000000000004">
      <c r="BL346" s="317"/>
      <c r="BM346" s="321"/>
      <c r="BN346" s="317"/>
      <c r="BO346" s="321"/>
    </row>
    <row r="347" spans="64:67" x14ac:dyDescent="0.55000000000000004">
      <c r="BL347" s="317"/>
      <c r="BM347" s="321"/>
      <c r="BN347" s="317"/>
      <c r="BO347" s="321"/>
    </row>
    <row r="348" spans="64:67" x14ac:dyDescent="0.55000000000000004">
      <c r="BL348" s="317"/>
      <c r="BM348" s="321"/>
      <c r="BN348" s="317"/>
      <c r="BO348" s="321"/>
    </row>
    <row r="350" spans="64:67" x14ac:dyDescent="0.55000000000000004">
      <c r="BL350" s="317"/>
      <c r="BM350" s="321"/>
      <c r="BN350" s="317"/>
      <c r="BO350" s="321"/>
    </row>
    <row r="351" spans="64:67" x14ac:dyDescent="0.55000000000000004">
      <c r="BL351" s="317"/>
      <c r="BM351" s="321"/>
      <c r="BN351" s="317"/>
      <c r="BO351" s="321"/>
    </row>
    <row r="352" spans="64:67" x14ac:dyDescent="0.55000000000000004">
      <c r="BL352" s="317"/>
      <c r="BM352" s="321"/>
      <c r="BN352" s="317"/>
      <c r="BO352" s="321"/>
    </row>
    <row r="353" spans="64:67" x14ac:dyDescent="0.55000000000000004">
      <c r="BL353" s="317"/>
      <c r="BM353" s="321"/>
      <c r="BN353" s="317"/>
      <c r="BO353" s="321"/>
    </row>
    <row r="354" spans="64:67" x14ac:dyDescent="0.55000000000000004">
      <c r="BL354" s="317"/>
      <c r="BM354" s="321"/>
      <c r="BN354" s="317"/>
      <c r="BO354" s="321"/>
    </row>
    <row r="355" spans="64:67" x14ac:dyDescent="0.55000000000000004">
      <c r="BL355" s="317"/>
      <c r="BM355" s="321"/>
      <c r="BN355" s="317"/>
      <c r="BO355" s="321"/>
    </row>
  </sheetData>
  <mergeCells count="11">
    <mergeCell ref="AW41:BJ41"/>
    <mergeCell ref="A57:A63"/>
    <mergeCell ref="AH41:AU41"/>
    <mergeCell ref="S41:AF41"/>
    <mergeCell ref="A43:A49"/>
    <mergeCell ref="A50:A56"/>
    <mergeCell ref="A4:A12"/>
    <mergeCell ref="A13:A22"/>
    <mergeCell ref="A23:A32"/>
    <mergeCell ref="A34:A38"/>
    <mergeCell ref="E41:R41"/>
  </mergeCells>
  <phoneticPr fontId="1" type="noConversion"/>
  <conditionalFormatting sqref="AS49">
    <cfRule type="containsBlanks" dxfId="14" priority="2">
      <formula>LEN(TRIM(AS49))=0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7" tint="0.79998168889431442"/>
    <pageSetUpPr fitToPage="1"/>
  </sheetPr>
  <dimension ref="A1:BK203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I34" sqref="I34"/>
    </sheetView>
  </sheetViews>
  <sheetFormatPr defaultRowHeight="15" outlineLevelCol="1" x14ac:dyDescent="0.55000000000000004"/>
  <cols>
    <col min="1" max="1" width="15.5703125" style="2441" customWidth="1"/>
    <col min="2" max="2" width="1.5703125" style="2441" customWidth="1"/>
    <col min="3" max="3" width="15" style="2441" customWidth="1"/>
    <col min="4" max="5" width="12.42578125" style="2441" customWidth="1"/>
    <col min="6" max="6" width="11.42578125" style="2441" customWidth="1"/>
    <col min="7" max="17" width="11.42578125" style="2441" customWidth="1" outlineLevel="1"/>
    <col min="18" max="18" width="13.35546875" style="2441" customWidth="1"/>
    <col min="19" max="20" width="10.5" style="2441" customWidth="1"/>
    <col min="21" max="21" width="10" style="2441" customWidth="1"/>
    <col min="22" max="22" width="12.0703125" style="2441" customWidth="1"/>
    <col min="23" max="23" width="11.640625" style="2441" customWidth="1"/>
    <col min="24" max="25" width="10.640625" style="2441" customWidth="1"/>
    <col min="26" max="26" width="11.85546875" style="2441" customWidth="1"/>
    <col min="27" max="27" width="11.640625" style="2441" customWidth="1"/>
    <col min="28" max="28" width="10.640625" style="2441" customWidth="1"/>
    <col min="29" max="29" width="6.640625" style="5359" customWidth="1"/>
    <col min="30" max="30" width="6.640625" style="5360" customWidth="1"/>
    <col min="31" max="31" width="20.2109375" style="2441" bestFit="1" customWidth="1"/>
    <col min="32" max="32" width="11.5" style="2441" customWidth="1"/>
    <col min="33" max="33" width="9.140625" style="2441"/>
    <col min="34" max="46" width="12.42578125" style="2441" customWidth="1"/>
    <col min="47" max="48" width="12.42578125" style="2441" hidden="1" customWidth="1"/>
    <col min="49" max="50" width="12.42578125" style="2441" customWidth="1"/>
    <col min="51" max="16384" width="9.140625" style="2441"/>
  </cols>
  <sheetData>
    <row r="1" spans="1:63" s="3468" customFormat="1" ht="16.3" x14ac:dyDescent="0.55000000000000004">
      <c r="D1" s="3468" t="s">
        <v>663</v>
      </c>
      <c r="E1" s="3468" t="s">
        <v>462</v>
      </c>
      <c r="F1" s="4029" t="s">
        <v>738</v>
      </c>
      <c r="G1" s="4029" t="s">
        <v>466</v>
      </c>
      <c r="H1" s="4029" t="s">
        <v>467</v>
      </c>
      <c r="I1" s="4029" t="s">
        <v>468</v>
      </c>
      <c r="J1" s="4029" t="s">
        <v>472</v>
      </c>
      <c r="K1" s="4029" t="s">
        <v>927</v>
      </c>
      <c r="L1" s="4029" t="s">
        <v>740</v>
      </c>
      <c r="M1" s="4029" t="s">
        <v>874</v>
      </c>
      <c r="N1" s="4029" t="s">
        <v>875</v>
      </c>
      <c r="O1" s="4029" t="s">
        <v>876</v>
      </c>
      <c r="P1" s="4029" t="s">
        <v>877</v>
      </c>
      <c r="Q1" s="4029" t="s">
        <v>878</v>
      </c>
      <c r="R1" s="5355" t="s">
        <v>878</v>
      </c>
      <c r="S1" s="5355" t="s">
        <v>881</v>
      </c>
      <c r="T1" s="5355" t="s">
        <v>882</v>
      </c>
      <c r="U1" s="4029" t="s">
        <v>947</v>
      </c>
      <c r="V1" s="4029" t="s">
        <v>881</v>
      </c>
      <c r="W1" s="4029" t="s">
        <v>879</v>
      </c>
      <c r="X1" s="4029" t="s">
        <v>881</v>
      </c>
      <c r="Y1" s="4029" t="s">
        <v>938</v>
      </c>
      <c r="Z1" s="4029" t="s">
        <v>938</v>
      </c>
      <c r="AA1" s="4029" t="s">
        <v>880</v>
      </c>
      <c r="AB1" s="4029" t="s">
        <v>881</v>
      </c>
      <c r="AC1" s="3693" t="s">
        <v>474</v>
      </c>
      <c r="AD1" s="5356" t="s">
        <v>475</v>
      </c>
    </row>
    <row r="2" spans="1:63" ht="19.5" customHeight="1" thickBot="1" x14ac:dyDescent="0.6">
      <c r="C2" s="5735">
        <f>'2-(1) 수수료 기준_가입자(무선)'!A1-0.001</f>
        <v>12</v>
      </c>
      <c r="D2" s="4032"/>
      <c r="E2" s="4032"/>
      <c r="F2" s="4029" t="s">
        <v>738</v>
      </c>
      <c r="G2" s="4029" t="s">
        <v>466</v>
      </c>
      <c r="H2" s="4029" t="s">
        <v>467</v>
      </c>
      <c r="I2" s="4029" t="s">
        <v>468</v>
      </c>
      <c r="J2" s="4029" t="s">
        <v>472</v>
      </c>
      <c r="K2" s="4029" t="s">
        <v>927</v>
      </c>
      <c r="L2" s="4029" t="s">
        <v>740</v>
      </c>
      <c r="M2" s="4029" t="s">
        <v>874</v>
      </c>
      <c r="N2" s="4029" t="s">
        <v>875</v>
      </c>
      <c r="O2" s="4029" t="s">
        <v>876</v>
      </c>
      <c r="P2" s="4029" t="s">
        <v>877</v>
      </c>
      <c r="Q2" s="4029" t="s">
        <v>878</v>
      </c>
      <c r="R2" s="4028"/>
      <c r="V2" s="2441" t="s">
        <v>804</v>
      </c>
      <c r="Z2" s="2441" t="s">
        <v>947</v>
      </c>
      <c r="AC2" s="5357"/>
      <c r="AD2" s="5358"/>
    </row>
    <row r="3" spans="1:63" s="2444" customFormat="1" ht="60" customHeight="1" thickTop="1" thickBot="1" x14ac:dyDescent="0.6">
      <c r="A3" s="7078" t="s">
        <v>910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7078"/>
      <c r="Y3" s="7078"/>
      <c r="Z3" s="7078"/>
      <c r="AA3" s="7078"/>
      <c r="AB3" s="7107"/>
      <c r="AC3" s="5736"/>
      <c r="AG3" s="2445"/>
      <c r="AI3" s="2445"/>
      <c r="AJ3" s="2445"/>
      <c r="AK3" s="2446"/>
      <c r="AM3" s="2445"/>
      <c r="AN3" s="2446"/>
      <c r="BG3" s="5737"/>
      <c r="BH3" s="5737"/>
      <c r="BI3" s="5737"/>
      <c r="BJ3" s="5737"/>
      <c r="BK3" s="5737"/>
    </row>
    <row r="4" spans="1:63" s="2444" customFormat="1" ht="15.55" customHeight="1" thickTop="1" thickBot="1" x14ac:dyDescent="0.6">
      <c r="A4" s="2447"/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G4" s="2449"/>
      <c r="BH4" s="2449"/>
      <c r="BI4" s="2449"/>
      <c r="BJ4" s="2449"/>
      <c r="BK4" s="2449"/>
    </row>
    <row r="5" spans="1:63" ht="16.75" thickBot="1" x14ac:dyDescent="0.6">
      <c r="B5" s="2450"/>
      <c r="C5" s="2450"/>
      <c r="D5" s="5738"/>
      <c r="E5" s="3313"/>
      <c r="F5" s="7079" t="s">
        <v>1152</v>
      </c>
      <c r="G5" s="7080"/>
      <c r="H5" s="7080"/>
      <c r="I5" s="7080"/>
      <c r="J5" s="7080"/>
      <c r="K5" s="7080"/>
      <c r="L5" s="7080"/>
      <c r="M5" s="7080"/>
      <c r="N5" s="7080"/>
      <c r="O5" s="7080"/>
      <c r="P5" s="7080"/>
      <c r="Q5" s="7080"/>
      <c r="R5" s="7080"/>
      <c r="S5" s="7080"/>
      <c r="T5" s="7080"/>
      <c r="U5" s="7080"/>
      <c r="V5" s="7080"/>
      <c r="W5" s="7086" t="str">
        <f>"연간누적실적(~"&amp;C2&amp;"월)"</f>
        <v>연간누적실적(~12월)</v>
      </c>
      <c r="X5" s="7087"/>
      <c r="Y5" s="7087"/>
      <c r="Z5" s="7087"/>
      <c r="AA5" s="7087"/>
      <c r="AB5" s="7113"/>
    </row>
    <row r="6" spans="1:63" ht="16.75" thickBot="1" x14ac:dyDescent="0.6">
      <c r="A6" s="2441" t="s">
        <v>157</v>
      </c>
      <c r="B6" s="2450"/>
      <c r="C6" s="5739" t="s">
        <v>646</v>
      </c>
      <c r="D6" s="4874" t="s">
        <v>888</v>
      </c>
      <c r="E6" s="5740" t="s">
        <v>889</v>
      </c>
      <c r="F6" s="2996" t="str" cm="1">
        <f t="array" aca="1" ref="F6" ca="1">INDIRECT("'※ 수수료 기준_가입자'!"&amp;F$2&amp;$AC6, TRUE)</f>
        <v>'25.1월</v>
      </c>
      <c r="G6" s="2429" t="str" cm="1">
        <f t="array" aca="1" ref="G6" ca="1">INDIRECT("'※ 수수료 기준_가입자'!"&amp;G$2&amp;$AC6, TRUE)</f>
        <v>'25.2월</v>
      </c>
      <c r="H6" s="2429" t="str" cm="1">
        <f t="array" aca="1" ref="H6" ca="1">INDIRECT("'※ 수수료 기준_가입자'!"&amp;H$2&amp;$AC6, TRUE)</f>
        <v>'25.3월</v>
      </c>
      <c r="I6" s="2429" t="str" cm="1">
        <f t="array" aca="1" ref="I6" ca="1">INDIRECT("'※ 수수료 기준_가입자'!"&amp;I$2&amp;$AC6, TRUE)</f>
        <v>'25.4월</v>
      </c>
      <c r="J6" s="2429" t="str" cm="1">
        <f t="array" aca="1" ref="J6" ca="1">INDIRECT("'※ 수수료 기준_가입자'!"&amp;J$2&amp;$AC6, TRUE)</f>
        <v>'25.5월</v>
      </c>
      <c r="K6" s="2429" t="str" cm="1">
        <f t="array" aca="1" ref="K6" ca="1">INDIRECT("'※ 수수료 기준_가입자'!"&amp;K$2&amp;$AC6, TRUE)</f>
        <v>'25.6월</v>
      </c>
      <c r="L6" s="2429" t="str" cm="1">
        <f t="array" aca="1" ref="L6" ca="1">INDIRECT("'※ 수수료 기준_가입자'!"&amp;L$2&amp;$AC6, TRUE)</f>
        <v>'25.7월</v>
      </c>
      <c r="M6" s="2429" t="str" cm="1">
        <f t="array" aca="1" ref="M6" ca="1">INDIRECT("'※ 수수료 기준_가입자'!"&amp;M$2&amp;$AC6, TRUE)</f>
        <v>'25.8월</v>
      </c>
      <c r="N6" s="2429" t="str" cm="1">
        <f t="array" aca="1" ref="N6" ca="1">INDIRECT("'※ 수수료 기준_가입자'!"&amp;N$2&amp;$AC6, TRUE)</f>
        <v>'25.9월</v>
      </c>
      <c r="O6" s="2429" t="str" cm="1">
        <f t="array" aca="1" ref="O6" ca="1">INDIRECT("'※ 수수료 기준_가입자'!"&amp;O$2&amp;$AC6, TRUE)</f>
        <v>'25.10월</v>
      </c>
      <c r="P6" s="2429" t="str" cm="1">
        <f t="array" aca="1" ref="P6" ca="1">INDIRECT("'※ 수수료 기준_가입자'!"&amp;P$2&amp;$AC6, TRUE)</f>
        <v>'25.11월</v>
      </c>
      <c r="Q6" s="2429" t="str" cm="1">
        <f t="array" aca="1" ref="Q6" ca="1">INDIRECT("'※ 수수료 기준_가입자'!"&amp;Q$2&amp;$AC6, TRUE)</f>
        <v>'25.12월</v>
      </c>
      <c r="R6" s="4715" t="str">
        <f>C2&amp;"월 목표"</f>
        <v>12월 목표</v>
      </c>
      <c r="S6" s="3317" t="s">
        <v>8</v>
      </c>
      <c r="T6" s="3317" t="s">
        <v>9</v>
      </c>
      <c r="U6" s="2997" t="s">
        <v>133</v>
      </c>
      <c r="V6" s="3317" t="s">
        <v>463</v>
      </c>
      <c r="W6" s="2999" t="s">
        <v>45</v>
      </c>
      <c r="X6" s="2993" t="s">
        <v>8</v>
      </c>
      <c r="Y6" s="2993" t="s">
        <v>9</v>
      </c>
      <c r="Z6" s="2993" t="s">
        <v>609</v>
      </c>
      <c r="AA6" s="3000" t="s">
        <v>46</v>
      </c>
      <c r="AB6" s="3001" t="s">
        <v>1108</v>
      </c>
      <c r="AC6" s="5364">
        <f>ROW('※ 수수료 기준_가입자'!Y3)</f>
        <v>3</v>
      </c>
    </row>
    <row r="7" spans="1:63" s="5076" customFormat="1" ht="20.05" customHeight="1" thickTop="1" x14ac:dyDescent="0.55000000000000004">
      <c r="A7" s="7114" t="s">
        <v>400</v>
      </c>
      <c r="B7" s="5741" t="s">
        <v>44</v>
      </c>
      <c r="C7" s="5741"/>
      <c r="D7" s="5742" cm="1">
        <f t="array" aca="1" ref="D7" ca="1">INDIRECT("'※ 수수료 기준_가입자'!"&amp;D$1&amp;$AC7, TRUE)</f>
        <v>1911006</v>
      </c>
      <c r="E7" s="5743" cm="1">
        <f t="array" aca="1" ref="E7" ca="1">INDIRECT("'※ 수수료 기준_가입자'!"&amp;E$1&amp;$AC7, TRUE)</f>
        <v>1822479</v>
      </c>
      <c r="F7" s="5744" cm="1">
        <f t="array" aca="1" ref="F7" ca="1">INDIRECT("'※ 수수료 기준_가입자'!"&amp;F$1&amp;$AC7, TRUE)</f>
        <v>1803580</v>
      </c>
      <c r="G7" s="5743" cm="1">
        <f t="array" aca="1" ref="G7" ca="1">INDIRECT("'※ 수수료 기준_가입자'!"&amp;G$1&amp;$AC7, TRUE)</f>
        <v>1790204</v>
      </c>
      <c r="H7" s="5743" cm="1">
        <f t="array" aca="1" ref="H7" ca="1">INDIRECT("'※ 수수료 기준_가입자'!"&amp;H$1&amp;$AC7, TRUE)</f>
        <v>1775190</v>
      </c>
      <c r="I7" s="5743" cm="1">
        <f t="array" aca="1" ref="I7" ca="1">INDIRECT("'※ 수수료 기준_가입자'!"&amp;I$1&amp;$AC7, TRUE)</f>
        <v>1765612</v>
      </c>
      <c r="J7" s="5743" cm="1">
        <f t="array" aca="1" ref="J7" ca="1">INDIRECT("'※ 수수료 기준_가입자'!"&amp;J$1&amp;$AC7, TRUE)</f>
        <v>1782731</v>
      </c>
      <c r="K7" s="5743" cm="1">
        <f t="array" aca="1" ref="K7" ca="1">INDIRECT("'※ 수수료 기준_가입자'!"&amp;K$1&amp;$AC7, TRUE)</f>
        <v>1768469</v>
      </c>
      <c r="L7" s="5743" cm="1">
        <f t="array" aca="1" ref="L7" ca="1">INDIRECT("'※ 수수료 기준_가입자'!"&amp;L$1&amp;$AC7, TRUE)</f>
        <v>1759997</v>
      </c>
      <c r="M7" s="5743" cm="1">
        <f t="array" aca="1" ref="M7" ca="1">INDIRECT("'※ 수수료 기준_가입자'!"&amp;M$1&amp;$AC7, TRUE)</f>
        <v>1735190</v>
      </c>
      <c r="N7" s="5743" cm="1">
        <f t="array" aca="1" ref="N7" ca="1">INDIRECT("'※ 수수료 기준_가입자'!"&amp;N$1&amp;$AC7, TRUE)</f>
        <v>1717237</v>
      </c>
      <c r="O7" s="5743" cm="1">
        <f t="array" aca="1" ref="O7" ca="1">INDIRECT("'※ 수수료 기준_가입자'!"&amp;O$1&amp;$AC7, TRUE)</f>
        <v>1693616</v>
      </c>
      <c r="P7" s="5743" cm="1">
        <f t="array" aca="1" ref="P7" ca="1">INDIRECT("'※ 수수료 기준_가입자'!"&amp;P$1&amp;$AC7, TRUE)</f>
        <v>1672289</v>
      </c>
      <c r="Q7" s="5743" cm="1">
        <f t="array" aca="1" ref="Q7" ca="1">INDIRECT("'※ 수수료 기준_가입자'!"&amp;Q$1&amp;$AC7, TRUE)</f>
        <v>1647799</v>
      </c>
      <c r="R7" s="5745"/>
      <c r="S7" s="5745"/>
      <c r="T7" s="5745"/>
      <c r="U7" s="5746">
        <f t="shared" ref="U7:U36" ca="1" si="0">I7-H7</f>
        <v>-9578</v>
      </c>
      <c r="V7" s="5747" cm="1">
        <f t="array" aca="1" ref="V7" ca="1">INDIRECT("'※ 수수료 기준_가입자'!"&amp;V$2&amp;$AC7, TRUE)</f>
        <v>-174680</v>
      </c>
      <c r="W7" s="5748" cm="1">
        <f t="array" aca="1" ref="W7" ca="1">INDIRECT("'※ 수수료 기준_가입자'!"&amp;W$1&amp;$AC7, TRUE)</f>
        <v>1647799</v>
      </c>
      <c r="X7" s="5749"/>
      <c r="Y7" s="5749"/>
      <c r="Z7" s="5747" cm="1">
        <f t="array" aca="1" ref="Z7" ca="1">INDIRECT("'※ 수수료 기준_가입자'!"&amp;Z$1&amp;$AC7, TRUE)</f>
        <v>-174680</v>
      </c>
      <c r="AA7" s="5750" cm="1">
        <f t="array" aca="1" ref="AA7" ca="1">INDIRECT("'※ 수수료 기준_가입자'!"&amp;AA$1&amp;$AC7, TRUE)</f>
        <v>1742659.5</v>
      </c>
      <c r="AB7" s="5751" cm="1">
        <f t="array" aca="1" ref="AB7" ca="1">INDIRECT("'※ 수수료 기준_가입자'!"&amp;AB$1&amp;$AC7, TRUE)</f>
        <v>-133806.91666666674</v>
      </c>
      <c r="AC7" s="5364">
        <f>ROW('※ 수수료 기준_가입자'!Y4)</f>
        <v>4</v>
      </c>
      <c r="AD7" s="5360"/>
    </row>
    <row r="8" spans="1:63" s="5076" customFormat="1" ht="20.05" customHeight="1" x14ac:dyDescent="0.55000000000000004">
      <c r="A8" s="7115"/>
      <c r="B8" s="5460" t="s">
        <v>57</v>
      </c>
      <c r="C8" s="5460"/>
      <c r="D8" s="5752" cm="1">
        <f t="array" aca="1" ref="D8" ca="1">INDIRECT("'※ 수수료 기준_가입자'!"&amp;D$1&amp;$AC8, TRUE)</f>
        <v>572291</v>
      </c>
      <c r="E8" s="5753" cm="1">
        <f t="array" aca="1" ref="E8" ca="1">INDIRECT("'※ 수수료 기준_가입자'!"&amp;E$1&amp;$AC8, TRUE)</f>
        <v>618677</v>
      </c>
      <c r="F8" s="5754" cm="1">
        <f t="array" aca="1" ref="F8" ca="1">INDIRECT("'※ 수수료 기준_가입자'!"&amp;F$1&amp;$AC8, TRUE)</f>
        <v>38822</v>
      </c>
      <c r="G8" s="5753" cm="1">
        <f t="array" aca="1" ref="G8" ca="1">INDIRECT("'※ 수수료 기준_가입자'!"&amp;G$1&amp;$AC8, TRUE)</f>
        <v>74843</v>
      </c>
      <c r="H8" s="5753" cm="1">
        <f t="array" aca="1" ref="H8" ca="1">INDIRECT("'※ 수수료 기준_가입자'!"&amp;H$1&amp;$AC8, TRUE)</f>
        <v>50688</v>
      </c>
      <c r="I8" s="5753" cm="1">
        <f t="array" aca="1" ref="I8" ca="1">INDIRECT("'※ 수수료 기준_가입자'!"&amp;I$1&amp;$AC8, TRUE)</f>
        <v>64086</v>
      </c>
      <c r="J8" s="5753" cm="1">
        <f t="array" aca="1" ref="J8" ca="1">INDIRECT("'※ 수수료 기준_가입자'!"&amp;J$1&amp;$AC8, TRUE)</f>
        <v>98908</v>
      </c>
      <c r="K8" s="5753" cm="1">
        <f t="array" aca="1" ref="K8" ca="1">INDIRECT("'※ 수수료 기준_가입자'!"&amp;K$1&amp;$AC8, TRUE)</f>
        <v>63565</v>
      </c>
      <c r="L8" s="5753" cm="1">
        <f t="array" aca="1" ref="L8" ca="1">INDIRECT("'※ 수수료 기준_가입자'!"&amp;L$1&amp;$AC8, TRUE)</f>
        <v>95972</v>
      </c>
      <c r="M8" s="5753" cm="1">
        <f t="array" aca="1" ref="M8" ca="1">INDIRECT("'※ 수수료 기준_가입자'!"&amp;M$1&amp;$AC8, TRUE)</f>
        <v>57549</v>
      </c>
      <c r="N8" s="5753" cm="1">
        <f t="array" aca="1" ref="N8" ca="1">INDIRECT("'※ 수수료 기준_가입자'!"&amp;N$1&amp;$AC8, TRUE)</f>
        <v>76227</v>
      </c>
      <c r="O8" s="5753" cm="1">
        <f t="array" aca="1" ref="O8" ca="1">INDIRECT("'※ 수수료 기준_가입자'!"&amp;O$1&amp;$AC8, TRUE)</f>
        <v>62495</v>
      </c>
      <c r="P8" s="5753" cm="1">
        <f t="array" aca="1" ref="P8" ca="1">INDIRECT("'※ 수수료 기준_가입자'!"&amp;P$1&amp;$AC8, TRUE)</f>
        <v>52601</v>
      </c>
      <c r="Q8" s="5753" cm="1">
        <f t="array" aca="1" ref="Q8" ca="1">INDIRECT("'※ 수수료 기준_가입자'!"&amp;Q$1&amp;$AC8, TRUE)</f>
        <v>52735</v>
      </c>
      <c r="R8" s="5755"/>
      <c r="S8" s="5755"/>
      <c r="T8" s="5755"/>
      <c r="U8" s="5756">
        <f t="shared" ca="1" si="0"/>
        <v>13398</v>
      </c>
      <c r="V8" s="5757" cm="1">
        <f t="array" aca="1" ref="V8" ca="1">INDIRECT("'※ 수수료 기준_가입자'!"&amp;V$2&amp;$AC8, TRUE)</f>
        <v>11627</v>
      </c>
      <c r="W8" s="5758" cm="1">
        <f t="array" aca="1" ref="W8" ca="1">INDIRECT("'※ 수수료 기준_가입자'!"&amp;W$1&amp;$AC8, TRUE)</f>
        <v>788491</v>
      </c>
      <c r="X8" s="5759"/>
      <c r="Y8" s="5760"/>
      <c r="Z8" s="5757" cm="1">
        <f t="array" aca="1" ref="Z8" ca="1">INDIRECT("'※ 수수료 기준_가입자'!"&amp;Z$1&amp;$AC8, TRUE)</f>
        <v>210922</v>
      </c>
      <c r="AA8" s="5761" cm="1">
        <f t="array" aca="1" ref="AA8" ca="1">INDIRECT("'※ 수수료 기준_가입자'!"&amp;AA$1&amp;$AC8, TRUE)</f>
        <v>65707.583333333328</v>
      </c>
      <c r="AB8" s="5762" cm="1">
        <f t="array" aca="1" ref="AB8" ca="1">INDIRECT("'※ 수수료 기준_가입자'!"&amp;AB$1&amp;$AC8, TRUE)</f>
        <v>14151.166666666664</v>
      </c>
      <c r="AC8" s="5364">
        <f>ROW('※ 수수료 기준_가입자'!Y5)</f>
        <v>5</v>
      </c>
      <c r="AD8" s="5360"/>
    </row>
    <row r="9" spans="1:63" ht="20.05" customHeight="1" x14ac:dyDescent="0.55000000000000004">
      <c r="A9" s="7115"/>
      <c r="B9" s="2493"/>
      <c r="C9" s="2493" t="s">
        <v>58</v>
      </c>
      <c r="D9" s="5763" cm="1">
        <f t="array" aca="1" ref="D9" ca="1">INDIRECT("'※ 수수료 기준_가입자'!"&amp;D$1&amp;$AC9, TRUE)</f>
        <v>192341</v>
      </c>
      <c r="E9" s="5764" cm="1">
        <f t="array" aca="1" ref="E9" ca="1">INDIRECT("'※ 수수료 기준_가입자'!"&amp;E$1&amp;$AC9, TRUE)</f>
        <v>225132</v>
      </c>
      <c r="F9" s="5765" cm="1">
        <f t="array" aca="1" ref="F9" ca="1">INDIRECT("'※ 수수료 기준_가입자'!"&amp;F$1&amp;$AC9, TRUE)</f>
        <v>17134</v>
      </c>
      <c r="G9" s="5764" cm="1">
        <f t="array" aca="1" ref="G9" ca="1">INDIRECT("'※ 수수료 기준_가입자'!"&amp;G$1&amp;$AC9, TRUE)</f>
        <v>24904</v>
      </c>
      <c r="H9" s="5764" cm="1">
        <f t="array" aca="1" ref="H9" ca="1">INDIRECT("'※ 수수료 기준_가입자'!"&amp;H$1&amp;$AC9, TRUE)</f>
        <v>21688</v>
      </c>
      <c r="I9" s="5764" cm="1">
        <f t="array" aca="1" ref="I9" ca="1">INDIRECT("'※ 수수료 기준_가입자'!"&amp;I$1&amp;$AC9, TRUE)</f>
        <v>34019</v>
      </c>
      <c r="J9" s="5764" cm="1">
        <f t="array" aca="1" ref="J9" ca="1">INDIRECT("'※ 수수료 기준_가입자'!"&amp;J$1&amp;$AC9, TRUE)</f>
        <v>68004</v>
      </c>
      <c r="K9" s="5764" cm="1">
        <f t="array" aca="1" ref="K9" ca="1">INDIRECT("'※ 수수료 기준_가입자'!"&amp;K$1&amp;$AC9, TRUE)</f>
        <v>33265</v>
      </c>
      <c r="L9" s="5764" cm="1">
        <f t="array" aca="1" ref="L9" ca="1">INDIRECT("'※ 수수료 기준_가입자'!"&amp;L$1&amp;$AC9, TRUE)</f>
        <v>49066</v>
      </c>
      <c r="M9" s="5764" cm="1">
        <f t="array" aca="1" ref="M9" ca="1">INDIRECT("'※ 수수료 기준_가입자'!"&amp;M$1&amp;$AC9, TRUE)</f>
        <v>21066</v>
      </c>
      <c r="N9" s="5764" cm="1">
        <f t="array" aca="1" ref="N9" ca="1">INDIRECT("'※ 수수료 기준_가입자'!"&amp;N$1&amp;$AC9, TRUE)</f>
        <v>23055</v>
      </c>
      <c r="O9" s="5764" cm="1">
        <f t="array" aca="1" ref="O9" ca="1">INDIRECT("'※ 수수료 기준_가입자'!"&amp;O$1&amp;$AC9, TRUE)</f>
        <v>19985</v>
      </c>
      <c r="P9" s="5764" cm="1">
        <f t="array" aca="1" ref="P9" ca="1">INDIRECT("'※ 수수료 기준_가입자'!"&amp;P$1&amp;$AC9, TRUE)</f>
        <v>21481</v>
      </c>
      <c r="Q9" s="5764" cm="1">
        <f t="array" aca="1" ref="Q9" ca="1">INDIRECT("'※ 수수료 기준_가입자'!"&amp;Q$1&amp;$AC9, TRUE)</f>
        <v>21980</v>
      </c>
      <c r="R9" s="5755"/>
      <c r="S9" s="5755"/>
      <c r="T9" s="5755"/>
      <c r="U9" s="5766">
        <f t="shared" ca="1" si="0"/>
        <v>12331</v>
      </c>
      <c r="V9" s="5767" cm="1">
        <f t="array" aca="1" ref="V9" ca="1">INDIRECT("'※ 수수료 기준_가입자'!"&amp;V$2&amp;$AC9, TRUE)</f>
        <v>21980</v>
      </c>
      <c r="W9" s="5768" cm="1">
        <f t="array" aca="1" ref="W9" ca="1">INDIRECT("'※ 수수료 기준_가입자'!"&amp;W$1&amp;$AC9, TRUE)</f>
        <v>355647</v>
      </c>
      <c r="X9" s="5760"/>
      <c r="Y9" s="5760"/>
      <c r="Z9" s="5767" cm="1">
        <f t="array" aca="1" ref="Z9" ca="1">INDIRECT("'※ 수수료 기준_가입자'!"&amp;Z$1&amp;$AC9, TRUE)</f>
        <v>130515</v>
      </c>
      <c r="AA9" s="5769" cm="1">
        <f t="array" aca="1" ref="AA9" ca="1">INDIRECT("'※ 수수료 기준_가입자'!"&amp;AA$1&amp;$AC9, TRUE)</f>
        <v>29637.25</v>
      </c>
      <c r="AB9" s="5770" cm="1">
        <f t="array" aca="1" ref="AB9" ca="1">INDIRECT("'※ 수수료 기준_가입자'!"&amp;AB$1&amp;$AC9, TRUE)</f>
        <v>10876.25</v>
      </c>
      <c r="AC9" s="5364">
        <f>ROW('※ 수수료 기준_가입자'!Y6)</f>
        <v>6</v>
      </c>
    </row>
    <row r="10" spans="1:63" ht="20.05" customHeight="1" x14ac:dyDescent="0.55000000000000004">
      <c r="A10" s="7115"/>
      <c r="B10" s="2493"/>
      <c r="C10" s="2493" t="s">
        <v>56</v>
      </c>
      <c r="D10" s="5771" cm="1">
        <f t="array" aca="1" ref="D10" ca="1">INDIRECT("'※ 수수료 기준_가입자'!"&amp;D$1&amp;$AC10, TRUE)</f>
        <v>379950</v>
      </c>
      <c r="E10" s="5764" cm="1">
        <f t="array" aca="1" ref="E10" ca="1">INDIRECT("'※ 수수료 기준_가입자'!"&amp;E$1&amp;$AC10, TRUE)</f>
        <v>357505</v>
      </c>
      <c r="F10" s="5765" cm="1">
        <f t="array" aca="1" ref="F10" ca="1">INDIRECT("'※ 수수료 기준_가입자'!"&amp;F$1&amp;$AC10, TRUE)</f>
        <v>21688</v>
      </c>
      <c r="G10" s="5764" cm="1">
        <f t="array" aca="1" ref="G10" ca="1">INDIRECT("'※ 수수료 기준_가입자'!"&amp;G$1&amp;$AC10, TRUE)</f>
        <v>49939</v>
      </c>
      <c r="H10" s="5764" cm="1">
        <f t="array" aca="1" ref="H10" ca="1">INDIRECT("'※ 수수료 기준_가입자'!"&amp;H$1&amp;$AC10, TRUE)</f>
        <v>29000</v>
      </c>
      <c r="I10" s="5764" cm="1">
        <f t="array" aca="1" ref="I10" ca="1">INDIRECT("'※ 수수료 기준_가입자'!"&amp;I$1&amp;$AC10, TRUE)</f>
        <v>30067</v>
      </c>
      <c r="J10" s="5764" cm="1">
        <f t="array" aca="1" ref="J10" ca="1">INDIRECT("'※ 수수료 기준_가입자'!"&amp;J$1&amp;$AC10, TRUE)</f>
        <v>30904</v>
      </c>
      <c r="K10" s="5764" cm="1">
        <f t="array" aca="1" ref="K10" ca="1">INDIRECT("'※ 수수료 기준_가입자'!"&amp;K$1&amp;$AC10, TRUE)</f>
        <v>30300</v>
      </c>
      <c r="L10" s="5764" cm="1">
        <f t="array" aca="1" ref="L10" ca="1">INDIRECT("'※ 수수료 기준_가입자'!"&amp;L$1&amp;$AC10, TRUE)</f>
        <v>46898</v>
      </c>
      <c r="M10" s="5764" cm="1">
        <f t="array" aca="1" ref="M10" ca="1">INDIRECT("'※ 수수료 기준_가입자'!"&amp;M$1&amp;$AC10, TRUE)</f>
        <v>36483</v>
      </c>
      <c r="N10" s="5764" cm="1">
        <f t="array" aca="1" ref="N10" ca="1">INDIRECT("'※ 수수료 기준_가입자'!"&amp;N$1&amp;$AC10, TRUE)</f>
        <v>53172</v>
      </c>
      <c r="O10" s="5764" cm="1">
        <f t="array" aca="1" ref="O10" ca="1">INDIRECT("'※ 수수료 기준_가입자'!"&amp;O$1&amp;$AC10, TRUE)</f>
        <v>15625</v>
      </c>
      <c r="P10" s="5764" cm="1">
        <f t="array" aca="1" ref="P10" ca="1">INDIRECT("'※ 수수료 기준_가입자'!"&amp;P$1&amp;$AC10, TRUE)</f>
        <v>11158</v>
      </c>
      <c r="Q10" s="5764" cm="1">
        <f t="array" aca="1" ref="Q10" ca="1">INDIRECT("'※ 수수료 기준_가입자'!"&amp;Q$1&amp;$AC10, TRUE)</f>
        <v>10059</v>
      </c>
      <c r="R10" s="5755"/>
      <c r="S10" s="5755"/>
      <c r="T10" s="5755"/>
      <c r="U10" s="5766">
        <f t="shared" ca="1" si="0"/>
        <v>1067</v>
      </c>
      <c r="V10" s="5767" cm="1">
        <f t="array" aca="1" ref="V10" ca="1">INDIRECT("'※ 수수료 기준_가입자'!"&amp;V$2&amp;$AC10, TRUE)</f>
        <v>9203</v>
      </c>
      <c r="W10" s="5768" cm="1">
        <f t="array" aca="1" ref="W10" ca="1">INDIRECT("'※ 수수료 기준_가입자'!"&amp;W$1&amp;$AC10, TRUE)</f>
        <v>365293</v>
      </c>
      <c r="X10" s="5760"/>
      <c r="Y10" s="5760"/>
      <c r="Z10" s="5767" cm="1">
        <f t="array" aca="1" ref="Z10" ca="1">INDIRECT("'※ 수수료 기준_가입자'!"&amp;Z$1&amp;$AC10, TRUE)</f>
        <v>8644</v>
      </c>
      <c r="AA10" s="5769" cm="1">
        <f t="array" aca="1" ref="AA10" ca="1">INDIRECT("'※ 수수료 기준_가입자'!"&amp;AA$1&amp;$AC10, TRUE)</f>
        <v>30441.083333333332</v>
      </c>
      <c r="AB10" s="5770" cm="1">
        <f t="array" aca="1" ref="AB10" ca="1">INDIRECT("'※ 수수료 기준_가입자'!"&amp;AB$1&amp;$AC10, TRUE)</f>
        <v>649</v>
      </c>
      <c r="AC10" s="5364">
        <f>ROW('※ 수수료 기준_가입자'!Y7)</f>
        <v>7</v>
      </c>
    </row>
    <row r="11" spans="1:63" ht="20.05" customHeight="1" x14ac:dyDescent="0.55000000000000004">
      <c r="A11" s="7115"/>
      <c r="B11" s="2493" t="s">
        <v>48</v>
      </c>
      <c r="C11" s="2493"/>
      <c r="D11" s="5772" cm="1">
        <f t="array" aca="1" ref="D11" ca="1">INDIRECT("'※ 수수료 기준_가입자'!"&amp;D$1&amp;$AC11, TRUE)</f>
        <v>196117</v>
      </c>
      <c r="E11" s="3263" cm="1">
        <f t="array" aca="1" ref="E11" ca="1">INDIRECT("'※ 수수료 기준_가입자'!"&amp;E$1&amp;$AC11, TRUE)</f>
        <v>206391</v>
      </c>
      <c r="F11" s="5344" cm="1">
        <f t="array" aca="1" ref="F11" ca="1">INDIRECT("'※ 수수료 기준_가입자'!"&amp;F$1&amp;$AC11, TRUE)</f>
        <v>14989</v>
      </c>
      <c r="G11" s="3263" cm="1">
        <f t="array" aca="1" ref="G11" ca="1">INDIRECT("'※ 수수료 기준_가입자'!"&amp;G$1&amp;$AC11, TRUE)</f>
        <v>18290</v>
      </c>
      <c r="H11" s="3263" cm="1">
        <f t="array" aca="1" ref="H11" ca="1">INDIRECT("'※ 수수료 기준_가입자'!"&amp;H$1&amp;$AC11, TRUE)</f>
        <v>16783</v>
      </c>
      <c r="I11" s="3263" cm="1">
        <f t="array" aca="1" ref="I11" ca="1">INDIRECT("'※ 수수료 기준_가입자'!"&amp;I$1&amp;$AC11, TRUE)</f>
        <v>16056</v>
      </c>
      <c r="J11" s="3263" cm="1">
        <f t="array" aca="1" ref="J11" ca="1">INDIRECT("'※ 수수료 기준_가입자'!"&amp;J$1&amp;$AC11, TRUE)</f>
        <v>13653</v>
      </c>
      <c r="K11" s="3263" cm="1">
        <f t="array" aca="1" ref="K11" ca="1">INDIRECT("'※ 수수료 기준_가입자'!"&amp;K$1&amp;$AC11, TRUE)</f>
        <v>15996</v>
      </c>
      <c r="L11" s="3263" cm="1">
        <f t="array" aca="1" ref="L11" ca="1">INDIRECT("'※ 수수료 기준_가입자'!"&amp;L$1&amp;$AC11, TRUE)</f>
        <v>23615</v>
      </c>
      <c r="M11" s="3263" cm="1">
        <f t="array" aca="1" ref="M11" ca="1">INDIRECT("'※ 수수료 기준_가입자'!"&amp;M$1&amp;$AC11, TRUE)</f>
        <v>17953</v>
      </c>
      <c r="N11" s="3263" cm="1">
        <f t="array" aca="1" ref="N11" ca="1">INDIRECT("'※ 수수료 기준_가입자'!"&amp;N$1&amp;$AC11, TRUE)</f>
        <v>17962</v>
      </c>
      <c r="O11" s="3263" cm="1">
        <f t="array" aca="1" ref="O11" ca="1">INDIRECT("'※ 수수료 기준_가입자'!"&amp;O$1&amp;$AC11, TRUE)</f>
        <v>17778</v>
      </c>
      <c r="P11" s="3263" cm="1">
        <f t="array" aca="1" ref="P11" ca="1">INDIRECT("'※ 수수료 기준_가입자'!"&amp;P$1&amp;$AC11, TRUE)</f>
        <v>17373</v>
      </c>
      <c r="Q11" s="3263" cm="1">
        <f t="array" aca="1" ref="Q11" ca="1">INDIRECT("'※ 수수료 기준_가입자'!"&amp;Q$1&amp;$AC11, TRUE)</f>
        <v>19584</v>
      </c>
      <c r="R11" s="5773"/>
      <c r="S11" s="5773"/>
      <c r="T11" s="5773"/>
      <c r="U11" s="5774">
        <f t="shared" ca="1" si="0"/>
        <v>-727</v>
      </c>
      <c r="V11" s="5775" cm="1">
        <f t="array" aca="1" ref="V11" ca="1">INDIRECT("'※ 수수료 기준_가입자'!"&amp;V$2&amp;$AC11, TRUE)</f>
        <v>1277</v>
      </c>
      <c r="W11" s="5776" cm="1">
        <f t="array" aca="1" ref="W11" ca="1">INDIRECT("'※ 수수료 기준_가입자'!"&amp;W$1&amp;$AC11, TRUE)</f>
        <v>210032</v>
      </c>
      <c r="X11" s="5777"/>
      <c r="Y11" s="5777"/>
      <c r="Z11" s="5775" cm="1">
        <f t="array" aca="1" ref="Z11" ca="1">INDIRECT("'※ 수수료 기준_가입자'!"&amp;Z$1&amp;$AC11, TRUE)</f>
        <v>21948</v>
      </c>
      <c r="AA11" s="5778" cm="1">
        <f t="array" aca="1" ref="AA11" ca="1">INDIRECT("'※ 수수료 기준_가입자'!"&amp;AA$1&amp;$AC11, TRUE)</f>
        <v>17502.666666666668</v>
      </c>
      <c r="AB11" s="5779" cm="1">
        <f t="array" aca="1" ref="AB11" ca="1">INDIRECT("'※ 수수료 기준_가입자'!"&amp;AB$1&amp;$AC11, TRUE)</f>
        <v>303.41666666666788</v>
      </c>
      <c r="AC11" s="5364">
        <f>ROW('※ 수수료 기준_가입자'!Y8)</f>
        <v>8</v>
      </c>
    </row>
    <row r="12" spans="1:63" ht="20.05" customHeight="1" x14ac:dyDescent="0.55000000000000004">
      <c r="A12" s="7115"/>
      <c r="B12" s="2493" t="s">
        <v>59</v>
      </c>
      <c r="C12" s="2493"/>
      <c r="D12" s="5772" cm="1">
        <f t="array" aca="1" ref="D12" ca="1">INDIRECT("'※ 수수료 기준_가입자'!"&amp;D$1&amp;$AC12, TRUE)</f>
        <v>16061</v>
      </c>
      <c r="E12" s="3263" cm="1">
        <f t="array" aca="1" ref="E12" ca="1">INDIRECT("'※ 수수료 기준_가입자'!"&amp;E$1&amp;$AC12, TRUE)</f>
        <v>18267</v>
      </c>
      <c r="F12" s="5344" cm="1">
        <f t="array" aca="1" ref="F12" ca="1">INDIRECT("'※ 수수료 기준_가입자'!"&amp;F$1&amp;$AC12, TRUE)</f>
        <v>1314</v>
      </c>
      <c r="G12" s="3263" cm="1">
        <f t="array" aca="1" ref="G12" ca="1">INDIRECT("'※ 수수료 기준_가입자'!"&amp;G$1&amp;$AC12, TRUE)</f>
        <v>1140</v>
      </c>
      <c r="H12" s="3263" cm="1">
        <f t="array" aca="1" ref="H12" ca="1">INDIRECT("'※ 수수료 기준_가입자'!"&amp;H$1&amp;$AC12, TRUE)</f>
        <v>1083</v>
      </c>
      <c r="I12" s="3263" cm="1">
        <f t="array" aca="1" ref="I12" ca="1">INDIRECT("'※ 수수료 기준_가입자'!"&amp;I$1&amp;$AC12, TRUE)</f>
        <v>5069</v>
      </c>
      <c r="J12" s="3263" cm="1">
        <f t="array" aca="1" ref="J12" ca="1">INDIRECT("'※ 수수료 기준_가입자'!"&amp;J$1&amp;$AC12, TRUE)</f>
        <v>1160</v>
      </c>
      <c r="K12" s="3263" cm="1">
        <f t="array" aca="1" ref="K12" ca="1">INDIRECT("'※ 수수료 기준_가입자'!"&amp;K$1&amp;$AC12, TRUE)</f>
        <v>2042</v>
      </c>
      <c r="L12" s="3263" cm="1">
        <f t="array" aca="1" ref="L12" ca="1">INDIRECT("'※ 수수료 기준_가입자'!"&amp;L$1&amp;$AC12, TRUE)</f>
        <v>1131</v>
      </c>
      <c r="M12" s="3263" cm="1">
        <f t="array" aca="1" ref="M12" ca="1">INDIRECT("'※ 수수료 기준_가입자'!"&amp;M$1&amp;$AC12, TRUE)</f>
        <v>1265</v>
      </c>
      <c r="N12" s="3263" cm="1">
        <f t="array" aca="1" ref="N12" ca="1">INDIRECT("'※ 수수료 기준_가입자'!"&amp;N$1&amp;$AC12, TRUE)</f>
        <v>1120</v>
      </c>
      <c r="O12" s="3263" cm="1">
        <f t="array" aca="1" ref="O12" ca="1">INDIRECT("'※ 수수료 기준_가입자'!"&amp;O$1&amp;$AC12, TRUE)</f>
        <v>1323</v>
      </c>
      <c r="P12" s="3263" cm="1">
        <f t="array" aca="1" ref="P12" ca="1">INDIRECT("'※ 수수료 기준_가입자'!"&amp;P$1&amp;$AC12, TRUE)</f>
        <v>1250</v>
      </c>
      <c r="Q12" s="3263" cm="1">
        <f t="array" aca="1" ref="Q12" ca="1">INDIRECT("'※ 수수료 기준_가입자'!"&amp;Q$1&amp;$AC12, TRUE)</f>
        <v>1545</v>
      </c>
      <c r="R12" s="5773"/>
      <c r="S12" s="5773"/>
      <c r="T12" s="5773"/>
      <c r="U12" s="5774">
        <f t="shared" ca="1" si="0"/>
        <v>3986</v>
      </c>
      <c r="V12" s="5775" cm="1">
        <f t="array" aca="1" ref="V12" ca="1">INDIRECT("'※ 수수료 기준_가입자'!"&amp;V$2&amp;$AC12, TRUE)</f>
        <v>-1805</v>
      </c>
      <c r="W12" s="5776" cm="1">
        <f t="array" aca="1" ref="W12" ca="1">INDIRECT("'※ 수수료 기준_가입자'!"&amp;W$1&amp;$AC12, TRUE)</f>
        <v>19442</v>
      </c>
      <c r="X12" s="5777"/>
      <c r="Y12" s="5777"/>
      <c r="Z12" s="5775" cm="1">
        <f t="array" aca="1" ref="Z12" ca="1">INDIRECT("'※ 수수료 기준_가입자'!"&amp;Z$1&amp;$AC12, TRUE)</f>
        <v>4525</v>
      </c>
      <c r="AA12" s="5778" cm="1">
        <f t="array" aca="1" ref="AA12" ca="1">INDIRECT("'※ 수수료 기준_가입자'!"&amp;AA$1&amp;$AC12, TRUE)</f>
        <v>1620.1666666666667</v>
      </c>
      <c r="AB12" s="5779" cm="1">
        <f t="array" aca="1" ref="AB12" ca="1">INDIRECT("'※ 수수료 기준_가입자'!"&amp;AB$1&amp;$AC12, TRUE)</f>
        <v>97.916666666666742</v>
      </c>
      <c r="AC12" s="5364">
        <f>ROW('※ 수수료 기준_가입자'!Y9)</f>
        <v>9</v>
      </c>
    </row>
    <row r="13" spans="1:63" ht="20.05" customHeight="1" x14ac:dyDescent="0.55000000000000004">
      <c r="A13" s="7115"/>
      <c r="B13" s="2493" t="s">
        <v>49</v>
      </c>
      <c r="C13" s="2493"/>
      <c r="D13" s="5772" cm="1">
        <f t="array" aca="1" ref="D13" ca="1">INDIRECT("'※ 수수료 기준_가입자'!"&amp;D$1&amp;$AC13, TRUE)</f>
        <v>340855</v>
      </c>
      <c r="E13" s="3263" cm="1">
        <f t="array" aca="1" ref="E13" ca="1">INDIRECT("'※ 수수료 기준_가입자'!"&amp;E$1&amp;$AC13, TRUE)</f>
        <v>396941</v>
      </c>
      <c r="F13" s="5344" cm="1">
        <f t="array" aca="1" ref="F13" ca="1">INDIRECT("'※ 수수료 기준_가입자'!"&amp;F$1&amp;$AC13, TRUE)</f>
        <v>33452</v>
      </c>
      <c r="G13" s="3263" cm="1">
        <f t="array" aca="1" ref="G13" ca="1">INDIRECT("'※ 수수료 기준_가입자'!"&amp;G$1&amp;$AC13, TRUE)</f>
        <v>58703</v>
      </c>
      <c r="H13" s="3263" cm="1">
        <f t="array" aca="1" ref="H13" ca="1">INDIRECT("'※ 수수료 기준_가입자'!"&amp;H$1&amp;$AC13, TRUE)</f>
        <v>40861</v>
      </c>
      <c r="I13" s="3263" cm="1">
        <f t="array" aca="1" ref="I13" ca="1">INDIRECT("'※ 수수료 기준_가입자'!"&amp;I$1&amp;$AC13, TRUE)</f>
        <v>46142</v>
      </c>
      <c r="J13" s="3263" cm="1">
        <f t="array" aca="1" ref="J13" ca="1">INDIRECT("'※ 수수료 기준_가입자'!"&amp;J$1&amp;$AC13, TRUE)</f>
        <v>58250</v>
      </c>
      <c r="K13" s="3263" cm="1">
        <f t="array" aca="1" ref="K13" ca="1">INDIRECT("'※ 수수료 기준_가입자'!"&amp;K$1&amp;$AC13, TRUE)</f>
        <v>49360</v>
      </c>
      <c r="L13" s="3263" cm="1">
        <f t="array" aca="1" ref="L13" ca="1">INDIRECT("'※ 수수료 기준_가입자'!"&amp;L$1&amp;$AC13, TRUE)</f>
        <v>67006</v>
      </c>
      <c r="M13" s="3263" cm="1">
        <f t="array" aca="1" ref="M13" ca="1">INDIRECT("'※ 수수료 기준_가입자'!"&amp;M$1&amp;$AC13, TRUE)</f>
        <v>49657</v>
      </c>
      <c r="N13" s="3263" cm="1">
        <f t="array" aca="1" ref="N13" ca="1">INDIRECT("'※ 수수료 기준_가입자'!"&amp;N$1&amp;$AC13, TRUE)</f>
        <v>63821</v>
      </c>
      <c r="O13" s="3263" cm="1">
        <f t="array" aca="1" ref="O13" ca="1">INDIRECT("'※ 수수료 기준_가입자'!"&amp;O$1&amp;$AC13, TRUE)</f>
        <v>52754</v>
      </c>
      <c r="P13" s="3263" cm="1">
        <f t="array" aca="1" ref="P13" ca="1">INDIRECT("'※ 수수료 기준_가입자'!"&amp;P$1&amp;$AC13, TRUE)</f>
        <v>44092</v>
      </c>
      <c r="Q13" s="3263" cm="1">
        <f t="array" aca="1" ref="Q13" ca="1">INDIRECT("'※ 수수료 기준_가입자'!"&amp;Q$1&amp;$AC13, TRUE)</f>
        <v>45806</v>
      </c>
      <c r="R13" s="5773"/>
      <c r="S13" s="5773"/>
      <c r="T13" s="5773"/>
      <c r="U13" s="5774">
        <f t="shared" ca="1" si="0"/>
        <v>5281</v>
      </c>
      <c r="V13" s="5775" cm="1">
        <f t="array" aca="1" ref="V13" ca="1">INDIRECT("'※ 수수료 기준_가입자'!"&amp;V$2&amp;$AC13, TRUE)</f>
        <v>15780</v>
      </c>
      <c r="W13" s="5776" cm="1">
        <f t="array" aca="1" ref="W13" ca="1">INDIRECT("'※ 수수료 기준_가입자'!"&amp;W$1&amp;$AC13, TRUE)</f>
        <v>609904</v>
      </c>
      <c r="X13" s="5777"/>
      <c r="Y13" s="5777"/>
      <c r="Z13" s="5775" cm="1">
        <f t="array" aca="1" ref="Z13" ca="1">INDIRECT("'※ 수수료 기준_가입자'!"&amp;Z$1&amp;$AC13, TRUE)</f>
        <v>242989</v>
      </c>
      <c r="AA13" s="5778" cm="1">
        <f t="array" aca="1" ref="AA13" ca="1">INDIRECT("'※ 수수료 기준_가입자'!"&amp;AA$1&amp;$AC13, TRUE)</f>
        <v>50825.333333333336</v>
      </c>
      <c r="AB13" s="5779" cm="1">
        <f t="array" aca="1" ref="AB13" ca="1">INDIRECT("'※ 수수료 기준_가입자'!"&amp;AB$1&amp;$AC13, TRUE)</f>
        <v>17746.916666666672</v>
      </c>
      <c r="AC13" s="5364">
        <f>ROW('※ 수수료 기준_가입자'!Y10)</f>
        <v>10</v>
      </c>
    </row>
    <row r="14" spans="1:63" ht="20.05" customHeight="1" x14ac:dyDescent="0.55000000000000004">
      <c r="A14" s="7115"/>
      <c r="B14" s="2493" t="s">
        <v>50</v>
      </c>
      <c r="C14" s="2493"/>
      <c r="D14" s="5772" cm="1">
        <f t="array" aca="1" ref="D14" ca="1">INDIRECT("'※ 수수료 기준_가입자'!"&amp;D$1&amp;$AC14, TRUE)</f>
        <v>58909</v>
      </c>
      <c r="E14" s="3263" cm="1">
        <f t="array" aca="1" ref="E14" ca="1">INDIRECT("'※ 수수료 기준_가입자'!"&amp;E$1&amp;$AC14, TRUE)</f>
        <v>104174</v>
      </c>
      <c r="F14" s="5344" cm="1">
        <f t="array" aca="1" ref="F14" ca="1">INDIRECT("'※ 수수료 기준_가입자'!"&amp;F$1&amp;$AC14, TRUE)</f>
        <v>9088</v>
      </c>
      <c r="G14" s="3263" cm="1">
        <f t="array" aca="1" ref="G14" ca="1">INDIRECT("'※ 수수료 기준_가입자'!"&amp;G$1&amp;$AC14, TRUE)</f>
        <v>10466</v>
      </c>
      <c r="H14" s="3263" cm="1">
        <f t="array" aca="1" ref="H14" ca="1">INDIRECT("'※ 수수료 기준_가입자'!"&amp;H$1&amp;$AC14, TRUE)</f>
        <v>8058</v>
      </c>
      <c r="I14" s="3263" cm="1">
        <f t="array" aca="1" ref="I14" ca="1">INDIRECT("'※ 수수료 기준_가입자'!"&amp;I$1&amp;$AC14, TRUE)</f>
        <v>11496</v>
      </c>
      <c r="J14" s="3263" cm="1">
        <f t="array" aca="1" ref="J14" ca="1">INDIRECT("'※ 수수료 기준_가입자'!"&amp;J$1&amp;$AC14, TRUE)</f>
        <v>9856</v>
      </c>
      <c r="K14" s="3263" cm="1">
        <f t="array" aca="1" ref="K14" ca="1">INDIRECT("'※ 수수료 기준_가입자'!"&amp;K$1&amp;$AC14, TRUE)</f>
        <v>12471</v>
      </c>
      <c r="L14" s="3263" cm="1">
        <f t="array" aca="1" ref="L14" ca="1">INDIRECT("'※ 수수료 기준_가입자'!"&amp;L$1&amp;$AC14, TRUE)</f>
        <v>13823</v>
      </c>
      <c r="M14" s="3263" cm="1">
        <f t="array" aca="1" ref="M14" ca="1">INDIRECT("'※ 수수료 기준_가입자'!"&amp;M$1&amp;$AC14, TRUE)</f>
        <v>14746</v>
      </c>
      <c r="N14" s="3263" cm="1">
        <f t="array" aca="1" ref="N14" ca="1">INDIRECT("'※ 수수료 기준_가입자'!"&amp;N$1&amp;$AC14, TRUE)</f>
        <v>12395</v>
      </c>
      <c r="O14" s="3263" cm="1">
        <f t="array" aca="1" ref="O14" ca="1">INDIRECT("'※ 수수료 기준_가입자'!"&amp;O$1&amp;$AC14, TRUE)</f>
        <v>16509</v>
      </c>
      <c r="P14" s="3263" cm="1">
        <f t="array" aca="1" ref="P14" ca="1">INDIRECT("'※ 수수료 기준_가입자'!"&amp;P$1&amp;$AC14, TRUE)</f>
        <v>14932</v>
      </c>
      <c r="Q14" s="3263" cm="1">
        <f t="array" aca="1" ref="Q14" ca="1">INDIRECT("'※ 수수료 기준_가입자'!"&amp;Q$1&amp;$AC14, TRUE)</f>
        <v>14901</v>
      </c>
      <c r="R14" s="5773"/>
      <c r="S14" s="5773"/>
      <c r="T14" s="5773"/>
      <c r="U14" s="5774">
        <f t="shared" ca="1" si="0"/>
        <v>3438</v>
      </c>
      <c r="V14" s="5775" cm="1">
        <f t="array" aca="1" ref="V14" ca="1">INDIRECT("'※ 수수료 기준_가입자'!"&amp;V$2&amp;$AC14, TRUE)</f>
        <v>5412</v>
      </c>
      <c r="W14" s="5776" cm="1">
        <f t="array" aca="1" ref="W14" ca="1">INDIRECT("'※ 수수료 기준_가입자'!"&amp;W$1&amp;$AC14, TRUE)</f>
        <v>148741</v>
      </c>
      <c r="X14" s="5777"/>
      <c r="Y14" s="5777"/>
      <c r="Z14" s="5775" cm="1">
        <f t="array" aca="1" ref="Z14" ca="1">INDIRECT("'※ 수수료 기준_가입자'!"&amp;Z$1&amp;$AC14, TRUE)</f>
        <v>54056</v>
      </c>
      <c r="AA14" s="5778" cm="1">
        <f t="array" aca="1" ref="AA14" ca="1">INDIRECT("'※ 수수료 기준_가입자'!"&amp;AA$1&amp;$AC14, TRUE)</f>
        <v>12395.083333333334</v>
      </c>
      <c r="AB14" s="5779" cm="1">
        <f t="array" aca="1" ref="AB14" ca="1">INDIRECT("'※ 수수료 기준_가입자'!"&amp;AB$1&amp;$AC14, TRUE)</f>
        <v>3713.9166666666679</v>
      </c>
      <c r="AC14" s="5364">
        <f>ROW('※ 수수료 기준_가입자'!Y11)</f>
        <v>11</v>
      </c>
    </row>
    <row r="15" spans="1:63" ht="20.05" hidden="1" customHeight="1" x14ac:dyDescent="0.55000000000000004">
      <c r="A15" s="7115"/>
      <c r="B15" s="2940" t="s">
        <v>86</v>
      </c>
      <c r="C15" s="2884"/>
      <c r="D15" s="5780">
        <f ca="1">D9-D11</f>
        <v>-3776</v>
      </c>
      <c r="E15" s="5780">
        <f ca="1">E9-E11</f>
        <v>18741</v>
      </c>
      <c r="F15" s="5781">
        <f ca="1">F9-F11</f>
        <v>2145</v>
      </c>
      <c r="G15" s="5780">
        <f ca="1">G9-G11</f>
        <v>6614</v>
      </c>
      <c r="H15" s="5780">
        <f t="shared" ref="H15:Q15" ca="1" si="1">H9-H11</f>
        <v>4905</v>
      </c>
      <c r="I15" s="5780">
        <f t="shared" ca="1" si="1"/>
        <v>17963</v>
      </c>
      <c r="J15" s="5780">
        <f t="shared" ca="1" si="1"/>
        <v>54351</v>
      </c>
      <c r="K15" s="5780">
        <f t="shared" ca="1" si="1"/>
        <v>17269</v>
      </c>
      <c r="L15" s="5780">
        <f t="shared" ca="1" si="1"/>
        <v>25451</v>
      </c>
      <c r="M15" s="5780">
        <f t="shared" ca="1" si="1"/>
        <v>3113</v>
      </c>
      <c r="N15" s="5780">
        <f t="shared" ca="1" si="1"/>
        <v>5093</v>
      </c>
      <c r="O15" s="5780">
        <f t="shared" ca="1" si="1"/>
        <v>2207</v>
      </c>
      <c r="P15" s="5780">
        <f t="shared" ca="1" si="1"/>
        <v>4108</v>
      </c>
      <c r="Q15" s="5780">
        <f t="shared" ca="1" si="1"/>
        <v>2396</v>
      </c>
      <c r="R15" s="5773"/>
      <c r="S15" s="5773"/>
      <c r="T15" s="5773"/>
      <c r="U15" s="5994"/>
      <c r="V15" s="5994"/>
      <c r="W15" s="5782">
        <f ca="1">SUM(F15:R15)</f>
        <v>145615</v>
      </c>
      <c r="X15" s="5777"/>
      <c r="Y15" s="5777"/>
      <c r="Z15" s="5783">
        <f ca="1">W15-E15</f>
        <v>126874</v>
      </c>
      <c r="AA15" s="5780">
        <f ca="1">AVERAGE(F15:R15)</f>
        <v>12134.583333333334</v>
      </c>
      <c r="AB15" s="5312">
        <f ca="1">AA15-E15/12</f>
        <v>10572.833333333334</v>
      </c>
      <c r="AC15" s="5784"/>
    </row>
    <row r="16" spans="1:63" s="5076" customFormat="1" ht="19.75" customHeight="1" x14ac:dyDescent="0.55000000000000004">
      <c r="A16" s="7115"/>
      <c r="B16" s="3425" t="s">
        <v>51</v>
      </c>
      <c r="C16" s="3425"/>
      <c r="D16" s="5785" cm="1">
        <f t="array" aca="1" ref="D16" ca="1">INDIRECT("'※ 수수료 기준_가입자'!"&amp;D$1&amp;$AC16, TRUE)</f>
        <v>-23590</v>
      </c>
      <c r="E16" s="5786" cm="1">
        <f t="array" aca="1" ref="E16" ca="1">INDIRECT("'※ 수수료 기준_가입자'!"&amp;E$1&amp;$AC16, TRUE)</f>
        <v>-88527</v>
      </c>
      <c r="F16" s="5787" cm="1">
        <f t="array" aca="1" ref="F16" ca="1">INDIRECT("'※ 수수료 기준_가입자'!"&amp;F$1&amp;$AC16, TRUE)</f>
        <v>-18707</v>
      </c>
      <c r="G16" s="5786" cm="1">
        <f t="array" aca="1" ref="G16" ca="1">INDIRECT("'※ 수수료 기준_가입자'!"&amp;G$1&amp;$AC16, TRUE)</f>
        <v>-12616</v>
      </c>
      <c r="H16" s="5786" cm="1">
        <f t="array" aca="1" ref="H16" ca="1">INDIRECT("'※ 수수료 기준_가입자'!"&amp;H$1&amp;$AC16, TRUE)</f>
        <v>-15014</v>
      </c>
      <c r="I16" s="5786" cm="1">
        <f t="array" aca="1" ref="I16" ca="1">INDIRECT("'※ 수수료 기준_가입자'!"&amp;I$1&amp;$AC16, TRUE)</f>
        <v>-9608</v>
      </c>
      <c r="J16" s="5786" cm="1">
        <f t="array" aca="1" ref="J16" ca="1">INDIRECT("'※ 수수료 기준_가입자'!"&amp;J$1&amp;$AC16, TRUE)</f>
        <v>17119</v>
      </c>
      <c r="K16" s="5786" cm="1">
        <f t="array" aca="1" ref="K16" ca="1">INDIRECT("'※ 수수료 기준_가입자'!"&amp;K$1&amp;$AC16, TRUE)</f>
        <v>-14262</v>
      </c>
      <c r="L16" s="5786" cm="1">
        <f t="array" aca="1" ref="L16" ca="1">INDIRECT("'※ 수수료 기준_가입자'!"&amp;L$1&amp;$AC16, TRUE)</f>
        <v>-8472</v>
      </c>
      <c r="M16" s="5786" cm="1">
        <f t="array" aca="1" ref="M16" ca="1">INDIRECT("'※ 수수료 기준_가입자'!"&amp;M$1&amp;$AC16, TRUE)</f>
        <v>-24807</v>
      </c>
      <c r="N16" s="5786" cm="1">
        <f t="array" aca="1" ref="N16" ca="1">INDIRECT("'※ 수수료 기준_가입자'!"&amp;N$1&amp;$AC16, TRUE)</f>
        <v>-17953</v>
      </c>
      <c r="O16" s="5786" cm="1">
        <f t="array" aca="1" ref="O16" ca="1">INDIRECT("'※ 수수료 기준_가입자'!"&amp;O$1&amp;$AC16, TRUE)</f>
        <v>-23621</v>
      </c>
      <c r="P16" s="5786" cm="1">
        <f t="array" aca="1" ref="P16" ca="1">INDIRECT("'※ 수수료 기준_가입자'!"&amp;P$1&amp;$AC16, TRUE)</f>
        <v>-21327</v>
      </c>
      <c r="Q16" s="5786" cm="1">
        <f t="array" aca="1" ref="Q16" ca="1">INDIRECT("'※ 수수료 기준_가입자'!"&amp;Q$1&amp;$AC16, TRUE)</f>
        <v>-24490</v>
      </c>
      <c r="R16" s="5788"/>
      <c r="S16" s="5788"/>
      <c r="T16" s="5788"/>
      <c r="U16" s="5789">
        <f t="shared" ca="1" si="0"/>
        <v>5406</v>
      </c>
      <c r="V16" s="5790" cm="1">
        <f t="array" aca="1" ref="V16" ca="1">INDIRECT("'※ 수수료 기준_가입자'!"&amp;V$2&amp;$AC16, TRUE)</f>
        <v>-7776</v>
      </c>
      <c r="W16" s="5791" cm="1">
        <f t="array" aca="1" ref="W16" ca="1">INDIRECT("'※ 수수료 기준_가입자'!"&amp;W$1&amp;$AC16, TRUE)</f>
        <v>-173758</v>
      </c>
      <c r="X16" s="5777"/>
      <c r="Y16" s="5777"/>
      <c r="Z16" s="5790" cm="1">
        <f t="array" aca="1" ref="Z16" ca="1">INDIRECT("'※ 수수료 기준_가입자'!"&amp;Z$1&amp;$AC16, TRUE)</f>
        <v>-101945</v>
      </c>
      <c r="AA16" s="5792" cm="1">
        <f t="array" aca="1" ref="AA16" ca="1">INDIRECT("'※ 수수료 기준_가입자'!"&amp;AA$1&amp;$AC16, TRUE)</f>
        <v>-14479.833333333334</v>
      </c>
      <c r="AB16" s="5793" cm="1">
        <f t="array" aca="1" ref="AB16" ca="1">INDIRECT("'※ 수수료 기준_가입자'!"&amp;AB$1&amp;$AC16, TRUE)</f>
        <v>-7102.5833333333339</v>
      </c>
      <c r="AC16" s="5364">
        <f>ROW('※ 수수료 기준_가입자'!Y12)</f>
        <v>12</v>
      </c>
      <c r="AD16" s="5360"/>
    </row>
    <row r="17" spans="1:30" s="5076" customFormat="1" ht="20.05" customHeight="1" x14ac:dyDescent="0.55000000000000004">
      <c r="A17" s="7108" t="s">
        <v>60</v>
      </c>
      <c r="B17" s="5283" t="s">
        <v>44</v>
      </c>
      <c r="C17" s="5283"/>
      <c r="D17" s="5285" cm="1">
        <f t="array" aca="1" ref="D17" ca="1">INDIRECT("'※ 수수료 기준_가입자'!"&amp;D$1&amp;$AC17, TRUE)</f>
        <v>1135255</v>
      </c>
      <c r="E17" s="5286" cm="1">
        <f t="array" aca="1" ref="E17" ca="1">INDIRECT("'※ 수수료 기준_가입자'!"&amp;E$1&amp;$AC17, TRUE)</f>
        <v>1089991</v>
      </c>
      <c r="F17" s="5794" cm="1">
        <f t="array" aca="1" ref="F17" ca="1">INDIRECT("'※ 수수료 기준_가입자'!"&amp;F$1&amp;$AC17, TRUE)</f>
        <v>1081462</v>
      </c>
      <c r="G17" s="5286" cm="1">
        <f t="array" aca="1" ref="G17" ca="1">INDIRECT("'※ 수수료 기준_가입자'!"&amp;G$1&amp;$AC17, TRUE)</f>
        <v>1074041</v>
      </c>
      <c r="H17" s="5286" cm="1">
        <f t="array" aca="1" ref="H17" ca="1">INDIRECT("'※ 수수료 기준_가입자'!"&amp;H$1&amp;$AC17, TRUE)</f>
        <v>1069017</v>
      </c>
      <c r="I17" s="5286" cm="1">
        <f t="array" aca="1" ref="I17" ca="1">INDIRECT("'※ 수수료 기준_가입자'!"&amp;I$1&amp;$AC17, TRUE)</f>
        <v>1065195</v>
      </c>
      <c r="J17" s="5286" cm="1">
        <f t="array" aca="1" ref="J17" ca="1">INDIRECT("'※ 수수료 기준_가입자'!"&amp;J$1&amp;$AC17, TRUE)</f>
        <v>1073219</v>
      </c>
      <c r="K17" s="5286" cm="1">
        <f t="array" aca="1" ref="K17" ca="1">INDIRECT("'※ 수수료 기준_가입자'!"&amp;K$1&amp;$AC17, TRUE)</f>
        <v>1065938</v>
      </c>
      <c r="L17" s="5286" cm="1">
        <f t="array" aca="1" ref="L17" ca="1">INDIRECT("'※ 수수료 기준_가입자'!"&amp;L$1&amp;$AC17, TRUE)</f>
        <v>1059309</v>
      </c>
      <c r="M17" s="5286" cm="1">
        <f t="array" aca="1" ref="M17" ca="1">INDIRECT("'※ 수수료 기준_가입자'!"&amp;M$1&amp;$AC17, TRUE)</f>
        <v>1047155</v>
      </c>
      <c r="N17" s="5286" cm="1">
        <f t="array" aca="1" ref="N17" ca="1">INDIRECT("'※ 수수료 기준_가입자'!"&amp;N$1&amp;$AC17, TRUE)</f>
        <v>1034025</v>
      </c>
      <c r="O17" s="5286" cm="1">
        <f t="array" aca="1" ref="O17" ca="1">INDIRECT("'※ 수수료 기준_가입자'!"&amp;O$1&amp;$AC17, TRUE)</f>
        <v>1019918</v>
      </c>
      <c r="P17" s="5286" cm="1">
        <f t="array" aca="1" ref="P17" ca="1">INDIRECT("'※ 수수료 기준_가입자'!"&amp;P$1&amp;$AC17, TRUE)</f>
        <v>1009458</v>
      </c>
      <c r="Q17" s="5286" cm="1">
        <f t="array" aca="1" ref="Q17" ca="1">INDIRECT("'※ 수수료 기준_가입자'!"&amp;Q$1&amp;$AC17, TRUE)</f>
        <v>996312</v>
      </c>
      <c r="R17" s="5795"/>
      <c r="S17" s="5795"/>
      <c r="T17" s="5795"/>
      <c r="U17" s="5796">
        <f t="shared" ca="1" si="0"/>
        <v>-3822</v>
      </c>
      <c r="V17" s="5797" cm="1">
        <f t="array" aca="1" ref="V17" ca="1">INDIRECT("'※ 수수료 기준_가입자'!"&amp;V$2&amp;$AC17, TRUE)</f>
        <v>-93679</v>
      </c>
      <c r="W17" s="5798" cm="1">
        <f t="array" aca="1" ref="W17" ca="1">INDIRECT("'※ 수수료 기준_가입자'!"&amp;W$1&amp;$AC17, TRUE)</f>
        <v>996312</v>
      </c>
      <c r="X17" s="5799"/>
      <c r="Y17" s="5799"/>
      <c r="Z17" s="5797" cm="1">
        <f t="array" aca="1" ref="Z17" ca="1">INDIRECT("'※ 수수료 기준_가입자'!"&amp;Z$1&amp;$AC17, TRUE)</f>
        <v>-93679</v>
      </c>
      <c r="AA17" s="5800" cm="1">
        <f t="array" aca="1" ref="AA17" ca="1">INDIRECT("'※ 수수료 기준_가입자'!"&amp;AA$1&amp;$AC17, TRUE)</f>
        <v>1049587.4166666667</v>
      </c>
      <c r="AB17" s="5801" cm="1">
        <f t="array" aca="1" ref="AB17" ca="1">INDIRECT("'※ 수수료 기준_가입자'!"&amp;AB$1&amp;$AC17, TRUE)</f>
        <v>-62258.583333333256</v>
      </c>
      <c r="AC17" s="5364">
        <f>ROW('※ 수수료 기준_가입자'!Y13)</f>
        <v>13</v>
      </c>
      <c r="AD17" s="5360"/>
    </row>
    <row r="18" spans="1:30" s="5076" customFormat="1" ht="20.05" customHeight="1" x14ac:dyDescent="0.55000000000000004">
      <c r="A18" s="7109"/>
      <c r="B18" s="5460" t="s">
        <v>57</v>
      </c>
      <c r="C18" s="5460"/>
      <c r="D18" s="5261" cm="1">
        <f t="array" aca="1" ref="D18" ca="1">INDIRECT("'※ 수수료 기준_가입자'!"&amp;D$1&amp;$AC18, TRUE)</f>
        <v>316496</v>
      </c>
      <c r="E18" s="5262" cm="1">
        <f t="array" aca="1" ref="E18" ca="1">INDIRECT("'※ 수수료 기준_가입자'!"&amp;E$1&amp;$AC18, TRUE)</f>
        <v>258206</v>
      </c>
      <c r="F18" s="5802" cm="1">
        <f t="array" aca="1" ref="F18" ca="1">INDIRECT("'※ 수수료 기준_가입자'!"&amp;F$1&amp;$AC18, TRUE)</f>
        <v>13995</v>
      </c>
      <c r="G18" s="5262" cm="1">
        <f t="array" aca="1" ref="G18" ca="1">INDIRECT("'※ 수수료 기준_가입자'!"&amp;G$1&amp;$AC18, TRUE)</f>
        <v>28177</v>
      </c>
      <c r="H18" s="5262" cm="1">
        <f t="array" aca="1" ref="H18" ca="1">INDIRECT("'※ 수수료 기준_가입자'!"&amp;H$1&amp;$AC18, TRUE)</f>
        <v>20799</v>
      </c>
      <c r="I18" s="5262" cm="1">
        <f t="array" aca="1" ref="I18" ca="1">INDIRECT("'※ 수수료 기준_가입자'!"&amp;I$1&amp;$AC18, TRUE)</f>
        <v>25119</v>
      </c>
      <c r="J18" s="5262" cm="1">
        <f t="array" aca="1" ref="J18" ca="1">INDIRECT("'※ 수수료 기준_가입자'!"&amp;J$1&amp;$AC18, TRUE)</f>
        <v>32216</v>
      </c>
      <c r="K18" s="5262" cm="1">
        <f t="array" aca="1" ref="K18" ca="1">INDIRECT("'※ 수수료 기준_가입자'!"&amp;K$1&amp;$AC18, TRUE)</f>
        <v>20183</v>
      </c>
      <c r="L18" s="5262" cm="1">
        <f t="array" aca="1" ref="L18" ca="1">INDIRECT("'※ 수수료 기준_가입자'!"&amp;L$1&amp;$AC18, TRUE)</f>
        <v>34631</v>
      </c>
      <c r="M18" s="5262" cm="1">
        <f t="array" aca="1" ref="M18" ca="1">INDIRECT("'※ 수수료 기준_가입자'!"&amp;M$1&amp;$AC18, TRUE)</f>
        <v>19510</v>
      </c>
      <c r="N18" s="5262" cm="1">
        <f t="array" aca="1" ref="N18" ca="1">INDIRECT("'※ 수수료 기준_가입자'!"&amp;N$1&amp;$AC18, TRUE)</f>
        <v>25930</v>
      </c>
      <c r="O18" s="5262" cm="1">
        <f t="array" aca="1" ref="O18" ca="1">INDIRECT("'※ 수수료 기준_가입자'!"&amp;O$1&amp;$AC18, TRUE)</f>
        <v>20875</v>
      </c>
      <c r="P18" s="5262" cm="1">
        <f t="array" aca="1" ref="P18" ca="1">INDIRECT("'※ 수수료 기준_가입자'!"&amp;P$1&amp;$AC18, TRUE)</f>
        <v>18871</v>
      </c>
      <c r="Q18" s="5262" cm="1">
        <f t="array" aca="1" ref="Q18" ca="1">INDIRECT("'※ 수수료 기준_가입자'!"&amp;Q$1&amp;$AC18, TRUE)</f>
        <v>16417</v>
      </c>
      <c r="R18" s="5773"/>
      <c r="S18" s="5773"/>
      <c r="T18" s="5773"/>
      <c r="U18" s="5803">
        <f t="shared" ca="1" si="0"/>
        <v>4320</v>
      </c>
      <c r="V18" s="5804" cm="1">
        <f t="array" aca="1" ref="V18" ca="1">INDIRECT("'※ 수수료 기준_가입자'!"&amp;V$2&amp;$AC18, TRUE)</f>
        <v>776</v>
      </c>
      <c r="W18" s="5805" cm="1">
        <f t="array" aca="1" ref="W18" ca="1">INDIRECT("'※ 수수료 기준_가입자'!"&amp;W$1&amp;$AC18, TRUE)</f>
        <v>276723</v>
      </c>
      <c r="X18" s="5777"/>
      <c r="Y18" s="5777"/>
      <c r="Z18" s="5804" cm="1">
        <f t="array" aca="1" ref="Z18" ca="1">INDIRECT("'※ 수수료 기준_가입자'!"&amp;Z$1&amp;$AC18, TRUE)</f>
        <v>34158</v>
      </c>
      <c r="AA18" s="5806" cm="1">
        <f t="array" aca="1" ref="AA18" ca="1">INDIRECT("'※ 수수료 기준_가입자'!"&amp;AA$1&amp;$AC18, TRUE)</f>
        <v>23060.25</v>
      </c>
      <c r="AB18" s="5807" cm="1">
        <f t="array" aca="1" ref="AB18" ca="1">INDIRECT("'※ 수수료 기준_가입자'!"&amp;AB$1&amp;$AC18, TRUE)</f>
        <v>1543.0833333333321</v>
      </c>
      <c r="AC18" s="5364">
        <f>ROW('※ 수수료 기준_가입자'!Y14)</f>
        <v>14</v>
      </c>
      <c r="AD18" s="5360"/>
    </row>
    <row r="19" spans="1:30" ht="20.05" hidden="1" customHeight="1" x14ac:dyDescent="0.55000000000000004">
      <c r="A19" s="7109"/>
      <c r="B19" s="2493"/>
      <c r="C19" s="2493" t="s">
        <v>58</v>
      </c>
      <c r="D19" s="5256"/>
      <c r="E19" s="3263"/>
      <c r="F19" s="5344"/>
      <c r="G19" s="3263"/>
      <c r="H19" s="3263"/>
      <c r="I19" s="3263"/>
      <c r="J19" s="3263"/>
      <c r="K19" s="3263"/>
      <c r="L19" s="3263"/>
      <c r="M19" s="3263"/>
      <c r="N19" s="3263"/>
      <c r="O19" s="3263"/>
      <c r="P19" s="3263"/>
      <c r="Q19" s="3263"/>
      <c r="R19" s="5773"/>
      <c r="S19" s="5773"/>
      <c r="T19" s="5773"/>
      <c r="U19" s="5774"/>
      <c r="V19" s="5775" cm="1">
        <f t="array" aca="1" ref="V19" ca="1">INDIRECT("'※ 수수료 기준_가입자'!"&amp;V$2&amp;$AC19, TRUE)</f>
        <v>6358</v>
      </c>
      <c r="W19" s="5776"/>
      <c r="X19" s="5777"/>
      <c r="Y19" s="5777"/>
      <c r="Z19" s="5775"/>
      <c r="AA19" s="5778"/>
      <c r="AB19" s="5779"/>
      <c r="AC19" s="5364">
        <f>ROW('※ 수수료 기준_가입자'!Y15)</f>
        <v>15</v>
      </c>
    </row>
    <row r="20" spans="1:30" ht="20.05" hidden="1" customHeight="1" x14ac:dyDescent="0.55000000000000004">
      <c r="A20" s="7109"/>
      <c r="B20" s="2493"/>
      <c r="C20" s="2493" t="s">
        <v>56</v>
      </c>
      <c r="D20" s="5256"/>
      <c r="E20" s="3263"/>
      <c r="F20" s="5344"/>
      <c r="G20" s="3263"/>
      <c r="H20" s="3263"/>
      <c r="I20" s="3263"/>
      <c r="J20" s="3263"/>
      <c r="K20" s="3263"/>
      <c r="L20" s="3263"/>
      <c r="M20" s="3263"/>
      <c r="N20" s="3263"/>
      <c r="O20" s="3263"/>
      <c r="P20" s="3263"/>
      <c r="Q20" s="3263"/>
      <c r="R20" s="5773"/>
      <c r="S20" s="5773"/>
      <c r="T20" s="5773"/>
      <c r="U20" s="5774"/>
      <c r="V20" s="5775" cm="1">
        <f t="array" aca="1" ref="V20" ca="1">INDIRECT("'※ 수수료 기준_가입자'!"&amp;V$2&amp;$AC20, TRUE)</f>
        <v>9203</v>
      </c>
      <c r="W20" s="5776"/>
      <c r="X20" s="5777"/>
      <c r="Y20" s="5777"/>
      <c r="Z20" s="5775"/>
      <c r="AA20" s="5778"/>
      <c r="AB20" s="5779"/>
      <c r="AC20" s="5364">
        <f>ROW('※ 수수료 기준_가입자'!Y16)</f>
        <v>16</v>
      </c>
    </row>
    <row r="21" spans="1:30" ht="20.05" customHeight="1" x14ac:dyDescent="0.55000000000000004">
      <c r="A21" s="7109"/>
      <c r="B21" s="2493" t="s">
        <v>48</v>
      </c>
      <c r="C21" s="2493"/>
      <c r="D21" s="5256" cm="1">
        <f t="array" aca="1" ref="D21" ca="1">INDIRECT("'※ 수수료 기준_가입자'!"&amp;D$1&amp;$AC21, TRUE)</f>
        <v>93838</v>
      </c>
      <c r="E21" s="3263" cm="1">
        <f t="array" aca="1" ref="E21" ca="1">INDIRECT("'※ 수수료 기준_가입자'!"&amp;E$1&amp;$AC21, TRUE)</f>
        <v>90667</v>
      </c>
      <c r="F21" s="5344" cm="1">
        <f t="array" aca="1" ref="F21" ca="1">INDIRECT("'※ 수수료 기준_가입자'!"&amp;F$1&amp;$AC21, TRUE)</f>
        <v>6584</v>
      </c>
      <c r="G21" s="3263" cm="1">
        <f t="array" aca="1" ref="G21" ca="1">INDIRECT("'※ 수수료 기준_가입자'!"&amp;G$1&amp;$AC21, TRUE)</f>
        <v>7926</v>
      </c>
      <c r="H21" s="3263" cm="1">
        <f t="array" aca="1" ref="H21" ca="1">INDIRECT("'※ 수수료 기준_가입자'!"&amp;H$1&amp;$AC21, TRUE)</f>
        <v>7665</v>
      </c>
      <c r="I21" s="3263" cm="1">
        <f t="array" aca="1" ref="I21" ca="1">INDIRECT("'※ 수수료 기준_가입자'!"&amp;I$1&amp;$AC21, TRUE)</f>
        <v>6992</v>
      </c>
      <c r="J21" s="3263" cm="1">
        <f t="array" aca="1" ref="J21" ca="1">INDIRECT("'※ 수수료 기준_가입자'!"&amp;J$1&amp;$AC21, TRUE)</f>
        <v>5878</v>
      </c>
      <c r="K21" s="3263" cm="1">
        <f t="array" aca="1" ref="K21" ca="1">INDIRECT("'※ 수수료 기준_가입자'!"&amp;K$1&amp;$AC21, TRUE)</f>
        <v>6308</v>
      </c>
      <c r="L21" s="3263" cm="1">
        <f t="array" aca="1" ref="L21" ca="1">INDIRECT("'※ 수수료 기준_가입자'!"&amp;L$1&amp;$AC21, TRUE)</f>
        <v>9055</v>
      </c>
      <c r="M21" s="3263" cm="1">
        <f t="array" aca="1" ref="M21" ca="1">INDIRECT("'※ 수수료 기준_가입자'!"&amp;M$1&amp;$AC21, TRUE)</f>
        <v>7814</v>
      </c>
      <c r="N21" s="3263" cm="1">
        <f t="array" aca="1" ref="N21" ca="1">INDIRECT("'※ 수수료 기준_가입자'!"&amp;N$1&amp;$AC21, TRUE)</f>
        <v>7417</v>
      </c>
      <c r="O21" s="3263" cm="1">
        <f t="array" aca="1" ref="O21" ca="1">INDIRECT("'※ 수수료 기준_가입자'!"&amp;O$1&amp;$AC21, TRUE)</f>
        <v>8949</v>
      </c>
      <c r="P21" s="3263" cm="1">
        <f t="array" aca="1" ref="P21" ca="1">INDIRECT("'※ 수수료 기준_가입자'!"&amp;P$1&amp;$AC21, TRUE)</f>
        <v>8666</v>
      </c>
      <c r="Q21" s="3263" cm="1">
        <f t="array" aca="1" ref="Q21" ca="1">INDIRECT("'※ 수수료 기준_가입자'!"&amp;Q$1&amp;$AC21, TRUE)</f>
        <v>10017</v>
      </c>
      <c r="R21" s="5773"/>
      <c r="S21" s="5773"/>
      <c r="T21" s="5773"/>
      <c r="U21" s="5774">
        <f t="shared" ca="1" si="0"/>
        <v>-673</v>
      </c>
      <c r="V21" s="5775" cm="1">
        <f t="array" aca="1" ref="V21" ca="1">INDIRECT("'※ 수수료 기준_가입자'!"&amp;V$2&amp;$AC21, TRUE)</f>
        <v>2241</v>
      </c>
      <c r="W21" s="5776" cm="1">
        <f t="array" aca="1" ref="W21" ca="1">INDIRECT("'※ 수수료 기준_가입자'!"&amp;W$1&amp;$AC21, TRUE)</f>
        <v>93271</v>
      </c>
      <c r="X21" s="5777"/>
      <c r="Y21" s="5777"/>
      <c r="Z21" s="5775" cm="1">
        <f t="array" aca="1" ref="Z21" ca="1">INDIRECT("'※ 수수료 기준_가입자'!"&amp;Z$1&amp;$AC21, TRUE)</f>
        <v>10380</v>
      </c>
      <c r="AA21" s="5778" cm="1">
        <f t="array" aca="1" ref="AA21" ca="1">INDIRECT("'※ 수수료 기준_가입자'!"&amp;AA$1&amp;$AC21, TRUE)</f>
        <v>7772.583333333333</v>
      </c>
      <c r="AB21" s="5779" cm="1">
        <f t="array" aca="1" ref="AB21" ca="1">INDIRECT("'※ 수수료 기준_가입자'!"&amp;AB$1&amp;$AC21, TRUE)</f>
        <v>217</v>
      </c>
      <c r="AC21" s="5364">
        <f>ROW('※ 수수료 기준_가입자'!Y17)</f>
        <v>17</v>
      </c>
    </row>
    <row r="22" spans="1:30" ht="20.05" customHeight="1" x14ac:dyDescent="0.55000000000000004">
      <c r="A22" s="7109"/>
      <c r="B22" s="2493" t="s">
        <v>59</v>
      </c>
      <c r="C22" s="2493"/>
      <c r="D22" s="5256" cm="1">
        <f t="array" aca="1" ref="D22" ca="1">INDIRECT("'※ 수수료 기준_가입자'!"&amp;D$1&amp;$AC22, TRUE)</f>
        <v>8179</v>
      </c>
      <c r="E22" s="3263" cm="1">
        <f t="array" aca="1" ref="E22" ca="1">INDIRECT("'※ 수수료 기준_가입자'!"&amp;E$1&amp;$AC22, TRUE)</f>
        <v>9205</v>
      </c>
      <c r="F22" s="5344" cm="1">
        <f t="array" aca="1" ref="F22" ca="1">INDIRECT("'※ 수수료 기준_가입자'!"&amp;F$1&amp;$AC22, TRUE)</f>
        <v>497</v>
      </c>
      <c r="G22" s="3263" cm="1">
        <f t="array" aca="1" ref="G22" ca="1">INDIRECT("'※ 수수료 기준_가입자'!"&amp;G$1&amp;$AC22, TRUE)</f>
        <v>485</v>
      </c>
      <c r="H22" s="3263" cm="1">
        <f t="array" aca="1" ref="H22" ca="1">INDIRECT("'※ 수수료 기준_가입자'!"&amp;H$1&amp;$AC22, TRUE)</f>
        <v>456</v>
      </c>
      <c r="I22" s="3263" cm="1">
        <f t="array" aca="1" ref="I22" ca="1">INDIRECT("'※ 수수료 기준_가입자'!"&amp;I$1&amp;$AC22, TRUE)</f>
        <v>4399</v>
      </c>
      <c r="J22" s="3263" cm="1">
        <f t="array" aca="1" ref="J22" ca="1">INDIRECT("'※ 수수료 기준_가입자'!"&amp;J$1&amp;$AC22, TRUE)</f>
        <v>464</v>
      </c>
      <c r="K22" s="3263" cm="1">
        <f t="array" aca="1" ref="K22" ca="1">INDIRECT("'※ 수수료 기준_가입자'!"&amp;K$1&amp;$AC22, TRUE)</f>
        <v>902</v>
      </c>
      <c r="L22" s="3263" cm="1">
        <f t="array" aca="1" ref="L22" ca="1">INDIRECT("'※ 수수료 기준_가입자'!"&amp;L$1&amp;$AC22, TRUE)</f>
        <v>428</v>
      </c>
      <c r="M22" s="3263" cm="1">
        <f t="array" aca="1" ref="M22" ca="1">INDIRECT("'※ 수수료 기준_가입자'!"&amp;M$1&amp;$AC22, TRUE)</f>
        <v>512</v>
      </c>
      <c r="N22" s="3263" cm="1">
        <f t="array" aca="1" ref="N22" ca="1">INDIRECT("'※ 수수료 기준_가입자'!"&amp;N$1&amp;$AC22, TRUE)</f>
        <v>527</v>
      </c>
      <c r="O22" s="3263" cm="1">
        <f t="array" aca="1" ref="O22" ca="1">INDIRECT("'※ 수수료 기준_가입자'!"&amp;O$1&amp;$AC22, TRUE)</f>
        <v>729</v>
      </c>
      <c r="P22" s="3263" cm="1">
        <f t="array" aca="1" ref="P22" ca="1">INDIRECT("'※ 수수료 기준_가입자'!"&amp;P$1&amp;$AC22, TRUE)</f>
        <v>680</v>
      </c>
      <c r="Q22" s="3263" cm="1">
        <f t="array" aca="1" ref="Q22" ca="1">INDIRECT("'※ 수수료 기준_가입자'!"&amp;Q$1&amp;$AC22, TRUE)</f>
        <v>887</v>
      </c>
      <c r="R22" s="5773"/>
      <c r="S22" s="5773"/>
      <c r="T22" s="5773"/>
      <c r="U22" s="5774">
        <f t="shared" ca="1" si="0"/>
        <v>3943</v>
      </c>
      <c r="V22" s="5775" cm="1">
        <f t="array" aca="1" ref="V22" ca="1">INDIRECT("'※ 수수료 기준_가입자'!"&amp;V$2&amp;$AC22, TRUE)</f>
        <v>-758</v>
      </c>
      <c r="W22" s="5776" cm="1">
        <f t="array" aca="1" ref="W22" ca="1">INDIRECT("'※ 수수료 기준_가입자'!"&amp;W$1&amp;$AC22, TRUE)</f>
        <v>10966</v>
      </c>
      <c r="X22" s="5777"/>
      <c r="Y22" s="5777"/>
      <c r="Z22" s="5775" cm="1">
        <f t="array" aca="1" ref="Z22" ca="1">INDIRECT("'※ 수수료 기준_가입자'!"&amp;Z$1&amp;$AC22, TRUE)</f>
        <v>3406</v>
      </c>
      <c r="AA22" s="5778" cm="1">
        <f t="array" aca="1" ref="AA22" ca="1">INDIRECT("'※ 수수료 기준_가입자'!"&amp;AA$1&amp;$AC22, TRUE)</f>
        <v>913.83333333333337</v>
      </c>
      <c r="AB22" s="5779" cm="1">
        <f t="array" aca="1" ref="AB22" ca="1">INDIRECT("'※ 수수료 기준_가입자'!"&amp;AB$1&amp;$AC22, TRUE)</f>
        <v>146.75</v>
      </c>
      <c r="AC22" s="5364">
        <f>ROW('※ 수수료 기준_가입자'!Y18)</f>
        <v>18</v>
      </c>
    </row>
    <row r="23" spans="1:30" ht="20.05" customHeight="1" x14ac:dyDescent="0.55000000000000004">
      <c r="A23" s="7109"/>
      <c r="B23" s="2493" t="s">
        <v>49</v>
      </c>
      <c r="C23" s="2493"/>
      <c r="D23" s="5256" cm="1">
        <f t="array" aca="1" ref="D23" ca="1">INDIRECT("'※ 수수료 기준_가입자'!"&amp;D$1&amp;$AC23, TRUE)</f>
        <v>219478</v>
      </c>
      <c r="E23" s="3263" cm="1">
        <f t="array" aca="1" ref="E23" ca="1">INDIRECT("'※ 수수료 기준_가입자'!"&amp;E$1&amp;$AC23, TRUE)</f>
        <v>139933</v>
      </c>
      <c r="F23" s="5344" cm="1">
        <f t="array" aca="1" ref="F23" ca="1">INDIRECT("'※ 수수료 기준_가입자'!"&amp;F$1&amp;$AC23, TRUE)</f>
        <v>9985</v>
      </c>
      <c r="G23" s="3263" cm="1">
        <f t="array" aca="1" ref="G23" ca="1">INDIRECT("'※ 수수료 기준_가입자'!"&amp;G$1&amp;$AC23, TRUE)</f>
        <v>19763</v>
      </c>
      <c r="H23" s="3263" cm="1">
        <f t="array" aca="1" ref="H23" ca="1">INDIRECT("'※ 수수료 기준_가입자'!"&amp;H$1&amp;$AC23, TRUE)</f>
        <v>13475</v>
      </c>
      <c r="I23" s="3263" cm="1">
        <f t="array" aca="1" ref="I23" ca="1">INDIRECT("'※ 수수료 기준_가입자'!"&amp;I$1&amp;$AC23, TRUE)</f>
        <v>13572</v>
      </c>
      <c r="J23" s="3263" cm="1">
        <f t="array" aca="1" ref="J23" ca="1">INDIRECT("'※ 수수료 기준_가입자'!"&amp;J$1&amp;$AC23, TRUE)</f>
        <v>12473</v>
      </c>
      <c r="K23" s="3263" cm="1">
        <f t="array" aca="1" ref="K23" ca="1">INDIRECT("'※ 수수료 기준_가입자'!"&amp;K$1&amp;$AC23, TRUE)</f>
        <v>12539</v>
      </c>
      <c r="L23" s="3263" cm="1">
        <f t="array" aca="1" ref="L23" ca="1">INDIRECT("'※ 수수료 기준_가입자'!"&amp;L$1&amp;$AC23, TRUE)</f>
        <v>21830</v>
      </c>
      <c r="M23" s="3263" cm="1">
        <f t="array" aca="1" ref="M23" ca="1">INDIRECT("'※ 수수료 기준_가입자'!"&amp;M$1&amp;$AC23, TRUE)</f>
        <v>14351</v>
      </c>
      <c r="N23" s="3263" cm="1">
        <f t="array" aca="1" ref="N23" ca="1">INDIRECT("'※ 수수료 기준_가입자'!"&amp;N$1&amp;$AC23, TRUE)</f>
        <v>23243</v>
      </c>
      <c r="O23" s="3263" cm="1">
        <f t="array" aca="1" ref="O23" ca="1">INDIRECT("'※ 수수료 기준_가입자'!"&amp;O$1&amp;$AC23, TRUE)</f>
        <v>14989</v>
      </c>
      <c r="P23" s="3263" cm="1">
        <f t="array" aca="1" ref="P23" ca="1">INDIRECT("'※ 수수료 기준_가입자'!"&amp;P$1&amp;$AC23, TRUE)</f>
        <v>12970</v>
      </c>
      <c r="Q23" s="3263" cm="1">
        <f t="array" aca="1" ref="Q23" ca="1">INDIRECT("'※ 수수료 기준_가입자'!"&amp;Q$1&amp;$AC23, TRUE)</f>
        <v>13018</v>
      </c>
      <c r="R23" s="5773"/>
      <c r="S23" s="5773"/>
      <c r="T23" s="5773"/>
      <c r="U23" s="5774">
        <f t="shared" ca="1" si="0"/>
        <v>97</v>
      </c>
      <c r="V23" s="5775" cm="1">
        <f t="array" aca="1" ref="V23" ca="1">INDIRECT("'※ 수수료 기준_가입자'!"&amp;V$2&amp;$AC23, TRUE)</f>
        <v>5936</v>
      </c>
      <c r="W23" s="5776" cm="1">
        <f t="array" aca="1" ref="W23" ca="1">INDIRECT("'※ 수수료 기준_가입자'!"&amp;W$1&amp;$AC23, TRUE)</f>
        <v>182208</v>
      </c>
      <c r="X23" s="5777"/>
      <c r="Y23" s="5777"/>
      <c r="Z23" s="5775" cm="1">
        <f t="array" aca="1" ref="Z23" ca="1">INDIRECT("'※ 수수료 기준_가입자'!"&amp;Z$1&amp;$AC23, TRUE)</f>
        <v>49357</v>
      </c>
      <c r="AA23" s="5778" cm="1">
        <f t="array" aca="1" ref="AA23" ca="1">INDIRECT("'※ 수수료 기준_가입자'!"&amp;AA$1&amp;$AC23, TRUE)</f>
        <v>15184</v>
      </c>
      <c r="AB23" s="5779" cm="1">
        <f t="array" aca="1" ref="AB23" ca="1">INDIRECT("'※ 수수료 기준_가입자'!"&amp;AB$1&amp;$AC23, TRUE)</f>
        <v>3522.9166666666661</v>
      </c>
      <c r="AC23" s="5364">
        <f>ROW('※ 수수료 기준_가입자'!Y19)</f>
        <v>19</v>
      </c>
    </row>
    <row r="24" spans="1:30" ht="20.05" customHeight="1" x14ac:dyDescent="0.55000000000000004">
      <c r="A24" s="7109"/>
      <c r="B24" s="2493" t="s">
        <v>50</v>
      </c>
      <c r="C24" s="2493"/>
      <c r="D24" s="5256" cm="1">
        <f t="array" aca="1" ref="D24" ca="1">INDIRECT("'※ 수수료 기준_가입자'!"&amp;D$1&amp;$AC24, TRUE)</f>
        <v>44368</v>
      </c>
      <c r="E24" s="3263" cm="1">
        <f t="array" aca="1" ref="E24" ca="1">INDIRECT("'※ 수수료 기준_가입자'!"&amp;E$1&amp;$AC24, TRUE)</f>
        <v>67465</v>
      </c>
      <c r="F24" s="5344" cm="1">
        <f t="array" aca="1" ref="F24" ca="1">INDIRECT("'※ 수수료 기준_가입자'!"&amp;F$1&amp;$AC24, TRUE)</f>
        <v>5763</v>
      </c>
      <c r="G24" s="3263" cm="1">
        <f t="array" aca="1" ref="G24" ca="1">INDIRECT("'※ 수수료 기준_가입자'!"&amp;G$1&amp;$AC24, TRUE)</f>
        <v>7139</v>
      </c>
      <c r="H24" s="3263" cm="1">
        <f t="array" aca="1" ref="H24" ca="1">INDIRECT("'※ 수수료 기준_가입자'!"&amp;H$1&amp;$AC24, TRUE)</f>
        <v>4676</v>
      </c>
      <c r="I24" s="3263" cm="1">
        <f t="array" aca="1" ref="I24" ca="1">INDIRECT("'※ 수수료 기준_가입자'!"&amp;I$1&amp;$AC24, TRUE)</f>
        <v>8377</v>
      </c>
      <c r="J24" s="3263" cm="1">
        <f t="array" aca="1" ref="J24" ca="1">INDIRECT("'※ 수수료 기준_가입자'!"&amp;J$1&amp;$AC24, TRUE)</f>
        <v>5837</v>
      </c>
      <c r="K24" s="3263" cm="1">
        <f t="array" aca="1" ref="K24" ca="1">INDIRECT("'※ 수수료 기준_가입자'!"&amp;K$1&amp;$AC24, TRUE)</f>
        <v>8614</v>
      </c>
      <c r="L24" s="3263" cm="1">
        <f t="array" aca="1" ref="L24" ca="1">INDIRECT("'※ 수수료 기준_가입자'!"&amp;L$1&amp;$AC24, TRUE)</f>
        <v>10375</v>
      </c>
      <c r="M24" s="3263" cm="1">
        <f t="array" aca="1" ref="M24" ca="1">INDIRECT("'※ 수수료 기준_가입자'!"&amp;M$1&amp;$AC24, TRUE)</f>
        <v>9499</v>
      </c>
      <c r="N24" s="3263" cm="1">
        <f t="array" aca="1" ref="N24" ca="1">INDIRECT("'※ 수수료 기준_가입자'!"&amp;N$1&amp;$AC24, TRUE)</f>
        <v>8398</v>
      </c>
      <c r="O24" s="3263" cm="1">
        <f t="array" aca="1" ref="O24" ca="1">INDIRECT("'※ 수수료 기준_가입자'!"&amp;O$1&amp;$AC24, TRUE)</f>
        <v>11969</v>
      </c>
      <c r="P24" s="3263" cm="1">
        <f t="array" aca="1" ref="P24" ca="1">INDIRECT("'※ 수수료 기준_가입자'!"&amp;P$1&amp;$AC24, TRUE)</f>
        <v>10164</v>
      </c>
      <c r="Q24" s="3263" cm="1">
        <f t="array" aca="1" ref="Q24" ca="1">INDIRECT("'※ 수수료 기준_가입자'!"&amp;Q$1&amp;$AC24, TRUE)</f>
        <v>9594</v>
      </c>
      <c r="R24" s="5773"/>
      <c r="S24" s="5773"/>
      <c r="T24" s="5773"/>
      <c r="U24" s="5774">
        <f t="shared" ca="1" si="0"/>
        <v>3701</v>
      </c>
      <c r="V24" s="5775" cm="1">
        <f t="array" aca="1" ref="V24" ca="1">INDIRECT("'※ 수수료 기준_가입자'!"&amp;V$2&amp;$AC24, TRUE)</f>
        <v>3755</v>
      </c>
      <c r="W24" s="5776" cm="1">
        <f t="array" aca="1" ref="W24" ca="1">INDIRECT("'※ 수수료 기준_가입자'!"&amp;W$1&amp;$AC24, TRUE)</f>
        <v>100405</v>
      </c>
      <c r="X24" s="5777"/>
      <c r="Y24" s="5777"/>
      <c r="Z24" s="5775" cm="1">
        <f t="array" aca="1" ref="Z24" ca="1">INDIRECT("'※ 수수료 기준_가입자'!"&amp;Z$1&amp;$AC24, TRUE)</f>
        <v>38779</v>
      </c>
      <c r="AA24" s="5778" cm="1">
        <f t="array" aca="1" ref="AA24" ca="1">INDIRECT("'※ 수수료 기준_가입자'!"&amp;AA$1&amp;$AC24, TRUE)</f>
        <v>8367.0833333333339</v>
      </c>
      <c r="AB24" s="5779" cm="1">
        <f t="array" aca="1" ref="AB24" ca="1">INDIRECT("'※ 수수료 기준_가입자'!"&amp;AB$1&amp;$AC24, TRUE)</f>
        <v>2745.0000000000009</v>
      </c>
      <c r="AC24" s="5364">
        <f>ROW('※ 수수료 기준_가입자'!Y20)</f>
        <v>20</v>
      </c>
    </row>
    <row r="25" spans="1:30" ht="20.05" customHeight="1" x14ac:dyDescent="0.55000000000000004">
      <c r="A25" s="7109"/>
      <c r="B25" s="3033" t="s">
        <v>52</v>
      </c>
      <c r="C25" s="2493"/>
      <c r="D25" s="5256" cm="1">
        <f t="array" aca="1" ref="D25" ca="1">INDIRECT("'※ 수수료 기준_가입자'!"&amp;D$1&amp;$AC25, TRUE)</f>
        <v>21575</v>
      </c>
      <c r="E25" s="3263" cm="1">
        <f t="array" aca="1" ref="E25" ca="1">INDIRECT("'※ 수수료 기준_가입자'!"&amp;E$1&amp;$AC25, TRUE)</f>
        <v>-591</v>
      </c>
      <c r="F25" s="5808" cm="1">
        <f t="array" aca="1" ref="F25" ca="1">INDIRECT("'※ 수수료 기준_가입자'!"&amp;F$1&amp;$AC25, TRUE)</f>
        <v>0</v>
      </c>
      <c r="G25" s="5257" cm="1">
        <f t="array" aca="1" ref="G25" ca="1">INDIRECT("'※ 수수료 기준_가입자'!"&amp;G$1&amp;$AC25, TRUE)</f>
        <v>10</v>
      </c>
      <c r="H25" s="5257" cm="1">
        <f t="array" aca="1" ref="H25" ca="1">INDIRECT("'※ 수수료 기준_가입자'!"&amp;H$1&amp;$AC25, TRUE)</f>
        <v>7</v>
      </c>
      <c r="I25" s="5257" cm="1">
        <f t="array" aca="1" ref="I25" ca="1">INDIRECT("'※ 수수료 기준_가입자'!"&amp;I$1&amp;$AC25, TRUE)</f>
        <v>1</v>
      </c>
      <c r="J25" s="5257" cm="1">
        <f t="array" aca="1" ref="J25" ca="1">INDIRECT("'※ 수수료 기준_가입자'!"&amp;J$1&amp;$AC25, TRUE)</f>
        <v>4</v>
      </c>
      <c r="K25" s="5257" cm="1">
        <f t="array" aca="1" ref="K25" ca="1">INDIRECT("'※ 수수료 기준_가입자'!"&amp;K$1&amp;$AC25, TRUE)</f>
        <v>3</v>
      </c>
      <c r="L25" s="5257" cm="1">
        <f t="array" aca="1" ref="L25" ca="1">INDIRECT("'※ 수수료 기준_가입자'!"&amp;L$1&amp;$AC25, TRUE)</f>
        <v>0</v>
      </c>
      <c r="M25" s="5257" cm="1">
        <f t="array" aca="1" ref="M25" ca="1">INDIRECT("'※ 수수료 기준_가입자'!"&amp;M$1&amp;$AC25, TRUE)</f>
        <v>0</v>
      </c>
      <c r="N25" s="5257" cm="1">
        <f t="array" aca="1" ref="N25" ca="1">INDIRECT("'※ 수수료 기준_가입자'!"&amp;N$1&amp;$AC25, TRUE)</f>
        <v>2</v>
      </c>
      <c r="O25" s="5257" cm="1">
        <f t="array" aca="1" ref="O25" ca="1">INDIRECT("'※ 수수료 기준_가입자'!"&amp;O$1&amp;$AC25, TRUE)</f>
        <v>0</v>
      </c>
      <c r="P25" s="5257" cm="1">
        <f t="array" aca="1" ref="P25" ca="1">INDIRECT("'※ 수수료 기준_가입자'!"&amp;P$1&amp;$AC25, TRUE)</f>
        <v>0</v>
      </c>
      <c r="Q25" s="5257" cm="1">
        <f t="array" aca="1" ref="Q25" ca="1">INDIRECT("'※ 수수료 기준_가입자'!"&amp;Q$1&amp;$AC25, TRUE)</f>
        <v>0</v>
      </c>
      <c r="R25" s="5809"/>
      <c r="S25" s="5809"/>
      <c r="T25" s="5809"/>
      <c r="U25" s="5774">
        <f t="shared" ca="1" si="0"/>
        <v>-6</v>
      </c>
      <c r="V25" s="5775" cm="1">
        <f t="array" aca="1" ref="V25" ca="1">INDIRECT("'※ 수수료 기준_가입자'!"&amp;V$2&amp;$AC25, TRUE)</f>
        <v>685</v>
      </c>
      <c r="W25" s="5776" cm="1">
        <f t="array" aca="1" ref="W25" ca="1">INDIRECT("'※ 수수료 기준_가입자'!"&amp;W$1&amp;$AC25, TRUE)</f>
        <v>27</v>
      </c>
      <c r="X25" s="5777"/>
      <c r="Y25" s="5777"/>
      <c r="Z25" s="5775" cm="1">
        <f t="array" aca="1" ref="Z25" ca="1">INDIRECT("'※ 수수료 기준_가입자'!"&amp;Z$1&amp;$AC25, TRUE)</f>
        <v>-67</v>
      </c>
      <c r="AA25" s="5778" cm="1">
        <f t="array" aca="1" ref="AA25" ca="1">INDIRECT("'※ 수수료 기준_가입자'!"&amp;AA$1&amp;$AC25, TRUE)</f>
        <v>2.25</v>
      </c>
      <c r="AB25" s="5779" cm="1">
        <f t="array" aca="1" ref="AB25" ca="1">INDIRECT("'※ 수수료 기준_가입자'!"&amp;AB$1&amp;$AC25, TRUE)</f>
        <v>51.5</v>
      </c>
      <c r="AC25" s="5364">
        <f>ROW('※ 수수료 기준_가입자'!Y21)</f>
        <v>21</v>
      </c>
    </row>
    <row r="26" spans="1:30" s="5076" customFormat="1" ht="20.05" customHeight="1" x14ac:dyDescent="0.55000000000000004">
      <c r="A26" s="7116"/>
      <c r="B26" s="5408" t="s">
        <v>51</v>
      </c>
      <c r="C26" s="5408"/>
      <c r="D26" s="5810" cm="1">
        <f t="array" aca="1" ref="D26" ca="1">INDIRECT("'※ 수수료 기준_가입자'!"&amp;D$1&amp;$AC26, TRUE)</f>
        <v>-19613</v>
      </c>
      <c r="E26" s="5811" cm="1">
        <f t="array" aca="1" ref="E26" ca="1">INDIRECT("'※ 수수료 기준_가입자'!"&amp;E$1&amp;$AC26, TRUE)</f>
        <v>-45264</v>
      </c>
      <c r="F26" s="5812" cm="1">
        <f t="array" aca="1" ref="F26" ca="1">INDIRECT("'※ 수수료 기준_가입자'!"&amp;F$1&amp;$AC26, TRUE)</f>
        <v>-8337</v>
      </c>
      <c r="G26" s="5811" cm="1">
        <f t="array" aca="1" ref="G26" ca="1">INDIRECT("'※ 수수료 기준_가입자'!"&amp;G$1&amp;$AC26, TRUE)</f>
        <v>-6661</v>
      </c>
      <c r="H26" s="5811" cm="1">
        <f t="array" aca="1" ref="H26" ca="1">INDIRECT("'※ 수수료 기준_가입자'!"&amp;H$1&amp;$AC26, TRUE)</f>
        <v>-5024</v>
      </c>
      <c r="I26" s="5811" cm="1">
        <f t="array" aca="1" ref="I26" ca="1">INDIRECT("'※ 수수료 기준_가입자'!"&amp;I$1&amp;$AC26, TRUE)</f>
        <v>-3822</v>
      </c>
      <c r="J26" s="5811" cm="1">
        <f t="array" aca="1" ref="J26" ca="1">INDIRECT("'※ 수수료 기준_가입자'!"&amp;J$1&amp;$AC26, TRUE)</f>
        <v>8024</v>
      </c>
      <c r="K26" s="5811" cm="1">
        <f t="array" aca="1" ref="K26" ca="1">INDIRECT("'※ 수수료 기준_가입자'!"&amp;K$1&amp;$AC26, TRUE)</f>
        <v>-7281</v>
      </c>
      <c r="L26" s="5811" cm="1">
        <f t="array" aca="1" ref="L26" ca="1">INDIRECT("'※ 수수료 기준_가입자'!"&amp;L$1&amp;$AC26, TRUE)</f>
        <v>-6629</v>
      </c>
      <c r="M26" s="5811" cm="1">
        <f t="array" aca="1" ref="M26" ca="1">INDIRECT("'※ 수수료 기준_가입자'!"&amp;M$1&amp;$AC26, TRUE)</f>
        <v>-12154</v>
      </c>
      <c r="N26" s="5811" cm="1">
        <f t="array" aca="1" ref="N26" ca="1">INDIRECT("'※ 수수료 기준_가입자'!"&amp;N$1&amp;$AC26, TRUE)</f>
        <v>-13130</v>
      </c>
      <c r="O26" s="5811" cm="1">
        <f t="array" aca="1" ref="O26" ca="1">INDIRECT("'※ 수수료 기준_가입자'!"&amp;O$1&amp;$AC26, TRUE)</f>
        <v>-14107</v>
      </c>
      <c r="P26" s="5811" cm="1">
        <f t="array" aca="1" ref="P26" ca="1">INDIRECT("'※ 수수료 기준_가입자'!"&amp;P$1&amp;$AC26, TRUE)</f>
        <v>-10460</v>
      </c>
      <c r="Q26" s="5811" cm="1">
        <f t="array" aca="1" ref="Q26" ca="1">INDIRECT("'※ 수수료 기준_가입자'!"&amp;Q$1&amp;$AC26, TRUE)</f>
        <v>-13146</v>
      </c>
      <c r="R26" s="5813"/>
      <c r="S26" s="5813"/>
      <c r="T26" s="5813"/>
      <c r="U26" s="5814">
        <f t="shared" ca="1" si="0"/>
        <v>1202</v>
      </c>
      <c r="V26" s="5815" cm="1">
        <f t="array" aca="1" ref="V26" ca="1">INDIRECT("'※ 수수료 기준_가입자'!"&amp;V$2&amp;$AC26, TRUE)</f>
        <v>-8090</v>
      </c>
      <c r="W26" s="5816" cm="1">
        <f t="array" aca="1" ref="W26" ca="1">INDIRECT("'※ 수수료 기준_가입자'!"&amp;W$1&amp;$AC26, TRUE)</f>
        <v>-92727</v>
      </c>
      <c r="X26" s="5817"/>
      <c r="Y26" s="5817"/>
      <c r="Z26" s="5815" cm="1">
        <f t="array" aca="1" ref="Z26" ca="1">INDIRECT("'※ 수수료 기준_가입자'!"&amp;Z$1&amp;$AC26, TRUE)</f>
        <v>-52519</v>
      </c>
      <c r="AA26" s="5818" cm="1">
        <f t="array" aca="1" ref="AA26" ca="1">INDIRECT("'※ 수수료 기준_가입자'!"&amp;AA$1&amp;$AC26, TRUE)</f>
        <v>-7727.25</v>
      </c>
      <c r="AB26" s="5819" cm="1">
        <f t="array" aca="1" ref="AB26" ca="1">INDIRECT("'※ 수수료 기준_가입자'!"&amp;AB$1&amp;$AC26, TRUE)</f>
        <v>-3955.25</v>
      </c>
      <c r="AC26" s="5364">
        <f>ROW('※ 수수료 기준_가입자'!Y22)</f>
        <v>22</v>
      </c>
      <c r="AD26" s="5360"/>
    </row>
    <row r="27" spans="1:30" s="5076" customFormat="1" ht="20.05" customHeight="1" x14ac:dyDescent="0.55000000000000004">
      <c r="A27" s="7108" t="s">
        <v>61</v>
      </c>
      <c r="B27" s="5283" t="s">
        <v>44</v>
      </c>
      <c r="C27" s="5283"/>
      <c r="D27" s="5285" cm="1">
        <f t="array" aca="1" ref="D27" ca="1">INDIRECT("'※ 수수료 기준_가입자'!"&amp;D$1&amp;$AC27, TRUE)</f>
        <v>775751</v>
      </c>
      <c r="E27" s="5286" cm="1">
        <f t="array" aca="1" ref="E27" ca="1">INDIRECT("'※ 수수료 기준_가입자'!"&amp;E$1&amp;$AC27, TRUE)</f>
        <v>732488</v>
      </c>
      <c r="F27" s="5794" cm="1">
        <f t="array" aca="1" ref="F27" ca="1">INDIRECT("'※ 수수료 기준_가입자'!"&amp;F$1&amp;$AC27, TRUE)</f>
        <v>722118</v>
      </c>
      <c r="G27" s="5286" cm="1">
        <f t="array" aca="1" ref="G27" ca="1">INDIRECT("'※ 수수료 기준_가입자'!"&amp;G$1&amp;$AC27, TRUE)</f>
        <v>716163</v>
      </c>
      <c r="H27" s="5286" cm="1">
        <f t="array" aca="1" ref="H27" ca="1">INDIRECT("'※ 수수료 기준_가입자'!"&amp;H$1&amp;$AC27, TRUE)</f>
        <v>706173</v>
      </c>
      <c r="I27" s="5286" cm="1">
        <f t="array" aca="1" ref="I27" ca="1">INDIRECT("'※ 수수료 기준_가입자'!"&amp;I$1&amp;$AC27, TRUE)</f>
        <v>700387</v>
      </c>
      <c r="J27" s="5286" cm="1">
        <f t="array" aca="1" ref="J27" ca="1">INDIRECT("'※ 수수료 기준_가입자'!"&amp;J$1&amp;$AC27, TRUE)</f>
        <v>709512</v>
      </c>
      <c r="K27" s="5286" cm="1">
        <f t="array" aca="1" ref="K27" ca="1">INDIRECT("'※ 수수료 기준_가입자'!"&amp;K$1&amp;$AC27, TRUE)</f>
        <v>702531</v>
      </c>
      <c r="L27" s="5286" cm="1">
        <f t="array" aca="1" ref="L27" ca="1">INDIRECT("'※ 수수료 기준_가입자'!"&amp;L$1&amp;$AC27, TRUE)</f>
        <v>700688</v>
      </c>
      <c r="M27" s="5286" cm="1">
        <f t="array" aca="1" ref="M27" ca="1">INDIRECT("'※ 수수료 기준_가입자'!"&amp;M$1&amp;$AC27, TRUE)</f>
        <v>688035</v>
      </c>
      <c r="N27" s="5286" cm="1">
        <f t="array" aca="1" ref="N27" ca="1">INDIRECT("'※ 수수료 기준_가입자'!"&amp;N$1&amp;$AC27, TRUE)</f>
        <v>683212</v>
      </c>
      <c r="O27" s="5286" cm="1">
        <f t="array" aca="1" ref="O27" ca="1">INDIRECT("'※ 수수료 기준_가입자'!"&amp;O$1&amp;$AC27, TRUE)</f>
        <v>673698</v>
      </c>
      <c r="P27" s="5286" cm="1">
        <f t="array" aca="1" ref="P27" ca="1">INDIRECT("'※ 수수료 기준_가입자'!"&amp;P$1&amp;$AC27, TRUE)</f>
        <v>662831</v>
      </c>
      <c r="Q27" s="5286" cm="1">
        <f t="array" aca="1" ref="Q27" ca="1">INDIRECT("'※ 수수료 기준_가입자'!"&amp;Q$1&amp;$AC27, TRUE)</f>
        <v>651487</v>
      </c>
      <c r="R27" s="5795"/>
      <c r="S27" s="5795"/>
      <c r="T27" s="5795"/>
      <c r="U27" s="5796">
        <f t="shared" ca="1" si="0"/>
        <v>-5786</v>
      </c>
      <c r="V27" s="5797" cm="1">
        <f t="array" aca="1" ref="V27" ca="1">INDIRECT("'※ 수수료 기준_가입자'!"&amp;V$2&amp;$AC27, TRUE)</f>
        <v>-81001</v>
      </c>
      <c r="W27" s="5798" cm="1">
        <f t="array" aca="1" ref="W27" ca="1">INDIRECT("'※ 수수료 기준_가입자'!"&amp;W$1&amp;$AC27, TRUE)</f>
        <v>651487</v>
      </c>
      <c r="X27" s="5799"/>
      <c r="Y27" s="5799"/>
      <c r="Z27" s="5797" cm="1">
        <f t="array" aca="1" ref="Z27" ca="1">INDIRECT("'※ 수수료 기준_가입자'!"&amp;Z$1&amp;$AC27, TRUE)</f>
        <v>-81001</v>
      </c>
      <c r="AA27" s="5800" cm="1">
        <f t="array" aca="1" ref="AA27" ca="1">INDIRECT("'※ 수수료 기준_가입자'!"&amp;AA$1&amp;$AC27, TRUE)</f>
        <v>693069.58333333337</v>
      </c>
      <c r="AB27" s="5801" cm="1">
        <f t="array" aca="1" ref="AB27" ca="1">INDIRECT("'※ 수수료 기준_가입자'!"&amp;AB$1&amp;$AC27, TRUE)</f>
        <v>-71550.833333333256</v>
      </c>
      <c r="AC27" s="5364">
        <f>ROW('※ 수수료 기준_가입자'!Y23)</f>
        <v>23</v>
      </c>
      <c r="AD27" s="5360"/>
    </row>
    <row r="28" spans="1:30" s="5076" customFormat="1" ht="20.05" customHeight="1" x14ac:dyDescent="0.55000000000000004">
      <c r="A28" s="7109"/>
      <c r="B28" s="5460" t="s">
        <v>57</v>
      </c>
      <c r="C28" s="5460"/>
      <c r="D28" s="5261" cm="1">
        <f t="array" aca="1" ref="D28" ca="1">INDIRECT("'※ 수수료 기준_가입자'!"&amp;D$1&amp;$AC28, TRUE)</f>
        <v>255795</v>
      </c>
      <c r="E28" s="5262" cm="1">
        <f t="array" aca="1" ref="E28" ca="1">INDIRECT("'※ 수수료 기준_가입자'!"&amp;E$1&amp;$AC28, TRUE)</f>
        <v>360471</v>
      </c>
      <c r="F28" s="5802" cm="1">
        <f t="array" aca="1" ref="F28" ca="1">INDIRECT("'※ 수수료 기준_가입자'!"&amp;F$1&amp;$AC28, TRUE)</f>
        <v>24827</v>
      </c>
      <c r="G28" s="5262" cm="1">
        <f t="array" aca="1" ref="G28" ca="1">INDIRECT("'※ 수수료 기준_가입자'!"&amp;G$1&amp;$AC28, TRUE)</f>
        <v>46666</v>
      </c>
      <c r="H28" s="5262" cm="1">
        <f t="array" aca="1" ref="H28" ca="1">INDIRECT("'※ 수수료 기준_가입자'!"&amp;H$1&amp;$AC28, TRUE)</f>
        <v>29889</v>
      </c>
      <c r="I28" s="5262" cm="1">
        <f t="array" aca="1" ref="I28" ca="1">INDIRECT("'※ 수수료 기준_가입자'!"&amp;I$1&amp;$AC28, TRUE)</f>
        <v>38967</v>
      </c>
      <c r="J28" s="5262" cm="1">
        <f t="array" aca="1" ref="J28" ca="1">INDIRECT("'※ 수수료 기준_가입자'!"&amp;J$1&amp;$AC28, TRUE)</f>
        <v>66692</v>
      </c>
      <c r="K28" s="5262" cm="1">
        <f t="array" aca="1" ref="K28" ca="1">INDIRECT("'※ 수수료 기준_가입자'!"&amp;K$1&amp;$AC28, TRUE)</f>
        <v>43382</v>
      </c>
      <c r="L28" s="5262" cm="1">
        <f t="array" aca="1" ref="L28" ca="1">INDIRECT("'※ 수수료 기준_가입자'!"&amp;L$1&amp;$AC28, TRUE)</f>
        <v>61341</v>
      </c>
      <c r="M28" s="5262" cm="1">
        <f t="array" aca="1" ref="M28" ca="1">INDIRECT("'※ 수수료 기준_가입자'!"&amp;M$1&amp;$AC28, TRUE)</f>
        <v>38039</v>
      </c>
      <c r="N28" s="5262" cm="1">
        <f t="array" aca="1" ref="N28" ca="1">INDIRECT("'※ 수수료 기준_가입자'!"&amp;N$1&amp;$AC28, TRUE)</f>
        <v>50297</v>
      </c>
      <c r="O28" s="5262" cm="1">
        <f t="array" aca="1" ref="O28" ca="1">INDIRECT("'※ 수수료 기준_가입자'!"&amp;O$1&amp;$AC28, TRUE)</f>
        <v>41620</v>
      </c>
      <c r="P28" s="5262" cm="1">
        <f t="array" aca="1" ref="P28" ca="1">INDIRECT("'※ 수수료 기준_가입자'!"&amp;P$1&amp;$AC28, TRUE)</f>
        <v>33730</v>
      </c>
      <c r="Q28" s="5262" cm="1">
        <f t="array" aca="1" ref="Q28" ca="1">INDIRECT("'※ 수수료 기준_가입자'!"&amp;Q$1&amp;$AC28, TRUE)</f>
        <v>36318</v>
      </c>
      <c r="R28" s="5773"/>
      <c r="S28" s="5773"/>
      <c r="T28" s="5773"/>
      <c r="U28" s="5803">
        <f t="shared" ca="1" si="0"/>
        <v>9078</v>
      </c>
      <c r="V28" s="5804" cm="1">
        <f t="array" aca="1" ref="V28" ca="1">INDIRECT("'※ 수수료 기준_가입자'!"&amp;V$2&amp;$AC28, TRUE)</f>
        <v>10851</v>
      </c>
      <c r="W28" s="5805" cm="1">
        <f t="array" aca="1" ref="W28" ca="1">INDIRECT("'※ 수수료 기준_가입자'!"&amp;W$1&amp;$AC28, TRUE)</f>
        <v>511768</v>
      </c>
      <c r="X28" s="5777"/>
      <c r="Y28" s="5777"/>
      <c r="Z28" s="5804" cm="1">
        <f t="array" aca="1" ref="Z28" ca="1">INDIRECT("'※ 수수료 기준_가입자'!"&amp;Z$1&amp;$AC28, TRUE)</f>
        <v>176764</v>
      </c>
      <c r="AA28" s="5806" cm="1">
        <f t="array" aca="1" ref="AA28" ca="1">INDIRECT("'※ 수수료 기준_가입자'!"&amp;AA$1&amp;$AC28, TRUE)</f>
        <v>42647.333333333336</v>
      </c>
      <c r="AB28" s="5807" cm="1">
        <f t="array" aca="1" ref="AB28" ca="1">INDIRECT("'※ 수수료 기준_가입자'!"&amp;AB$1&amp;$AC28, TRUE)</f>
        <v>12608.083333333336</v>
      </c>
      <c r="AC28" s="5364">
        <f>ROW('※ 수수료 기준_가입자'!Y24)</f>
        <v>24</v>
      </c>
      <c r="AD28" s="5360"/>
    </row>
    <row r="29" spans="1:30" ht="20.05" hidden="1" customHeight="1" x14ac:dyDescent="0.55000000000000004">
      <c r="A29" s="7109"/>
      <c r="B29" s="2493"/>
      <c r="C29" s="2493" t="s">
        <v>58</v>
      </c>
      <c r="D29" s="5256"/>
      <c r="E29" s="3263"/>
      <c r="F29" s="5344"/>
      <c r="G29" s="3263"/>
      <c r="H29" s="3263"/>
      <c r="I29" s="3263"/>
      <c r="J29" s="3263"/>
      <c r="K29" s="3263"/>
      <c r="L29" s="3263"/>
      <c r="M29" s="3263"/>
      <c r="N29" s="3263"/>
      <c r="O29" s="3263"/>
      <c r="P29" s="3263"/>
      <c r="Q29" s="3263"/>
      <c r="R29" s="5773"/>
      <c r="S29" s="5773"/>
      <c r="T29" s="5773"/>
      <c r="U29" s="5774"/>
      <c r="V29" s="5775" cm="1">
        <f t="array" aca="1" ref="V29" ca="1">INDIRECT("'※ 수수료 기준_가입자'!"&amp;V$2&amp;$AC29, TRUE)</f>
        <v>15622</v>
      </c>
      <c r="W29" s="5776"/>
      <c r="X29" s="5777"/>
      <c r="Y29" s="5777"/>
      <c r="Z29" s="5775"/>
      <c r="AA29" s="5778"/>
      <c r="AB29" s="5779"/>
      <c r="AC29" s="5364">
        <f>ROW('※ 수수료 기준_가입자'!Y25)</f>
        <v>25</v>
      </c>
    </row>
    <row r="30" spans="1:30" ht="20.05" hidden="1" customHeight="1" x14ac:dyDescent="0.55000000000000004">
      <c r="A30" s="7109"/>
      <c r="B30" s="2493"/>
      <c r="C30" s="2493" t="s">
        <v>56</v>
      </c>
      <c r="D30" s="5256"/>
      <c r="E30" s="3263"/>
      <c r="F30" s="5344"/>
      <c r="G30" s="3263"/>
      <c r="H30" s="3263"/>
      <c r="I30" s="3263"/>
      <c r="J30" s="3263"/>
      <c r="K30" s="3263"/>
      <c r="L30" s="3263"/>
      <c r="M30" s="3263"/>
      <c r="N30" s="3263"/>
      <c r="O30" s="3263"/>
      <c r="P30" s="3263"/>
      <c r="Q30" s="3263"/>
      <c r="R30" s="5773"/>
      <c r="S30" s="5773"/>
      <c r="T30" s="5773"/>
      <c r="U30" s="5774"/>
      <c r="V30" s="5775" cm="1">
        <f t="array" aca="1" ref="V30" ca="1">INDIRECT("'※ 수수료 기준_가입자'!"&amp;V$2&amp;$AC30, TRUE)</f>
        <v>0</v>
      </c>
      <c r="W30" s="5776"/>
      <c r="X30" s="5777"/>
      <c r="Y30" s="5777"/>
      <c r="Z30" s="5775"/>
      <c r="AA30" s="5778"/>
      <c r="AB30" s="5779"/>
      <c r="AC30" s="5364">
        <f>ROW('※ 수수료 기준_가입자'!Y26)</f>
        <v>26</v>
      </c>
    </row>
    <row r="31" spans="1:30" ht="20.05" customHeight="1" x14ac:dyDescent="0.55000000000000004">
      <c r="A31" s="7109"/>
      <c r="B31" s="2493" t="s">
        <v>48</v>
      </c>
      <c r="C31" s="2493"/>
      <c r="D31" s="5256" cm="1">
        <f t="array" aca="1" ref="D31" ca="1">INDIRECT("'※ 수수료 기준_가입자'!"&amp;D$1&amp;$AC31, TRUE)</f>
        <v>102279</v>
      </c>
      <c r="E31" s="3263" cm="1">
        <f t="array" aca="1" ref="E31" ca="1">INDIRECT("'※ 수수료 기준_가입자'!"&amp;E$1&amp;$AC31, TRUE)</f>
        <v>115724</v>
      </c>
      <c r="F31" s="5344" cm="1">
        <f t="array" aca="1" ref="F31" ca="1">INDIRECT("'※ 수수료 기준_가입자'!"&amp;F$1&amp;$AC31, TRUE)</f>
        <v>8405</v>
      </c>
      <c r="G31" s="3263" cm="1">
        <f t="array" aca="1" ref="G31" ca="1">INDIRECT("'※ 수수료 기준_가입자'!"&amp;G$1&amp;$AC31, TRUE)</f>
        <v>10364</v>
      </c>
      <c r="H31" s="3263" cm="1">
        <f t="array" aca="1" ref="H31" ca="1">INDIRECT("'※ 수수료 기준_가입자'!"&amp;H$1&amp;$AC31, TRUE)</f>
        <v>9118</v>
      </c>
      <c r="I31" s="3263" cm="1">
        <f t="array" aca="1" ref="I31" ca="1">INDIRECT("'※ 수수료 기준_가입자'!"&amp;I$1&amp;$AC31, TRUE)</f>
        <v>9064</v>
      </c>
      <c r="J31" s="3263" cm="1">
        <f t="array" aca="1" ref="J31" ca="1">INDIRECT("'※ 수수료 기준_가입자'!"&amp;J$1&amp;$AC31, TRUE)</f>
        <v>7775</v>
      </c>
      <c r="K31" s="3263" cm="1">
        <f t="array" aca="1" ref="K31" ca="1">INDIRECT("'※ 수수료 기준_가입자'!"&amp;K$1&amp;$AC31, TRUE)</f>
        <v>9688</v>
      </c>
      <c r="L31" s="3263" cm="1">
        <f t="array" aca="1" ref="L31" ca="1">INDIRECT("'※ 수수료 기준_가입자'!"&amp;L$1&amp;$AC31, TRUE)</f>
        <v>14560</v>
      </c>
      <c r="M31" s="3263" cm="1">
        <f t="array" aca="1" ref="M31" ca="1">INDIRECT("'※ 수수료 기준_가입자'!"&amp;M$1&amp;$AC31, TRUE)</f>
        <v>10139</v>
      </c>
      <c r="N31" s="3263" cm="1">
        <f t="array" aca="1" ref="N31" ca="1">INDIRECT("'※ 수수료 기준_가입자'!"&amp;N$1&amp;$AC31, TRUE)</f>
        <v>10545</v>
      </c>
      <c r="O31" s="3263" cm="1">
        <f t="array" aca="1" ref="O31" ca="1">INDIRECT("'※ 수수료 기준_가입자'!"&amp;O$1&amp;$AC31, TRUE)</f>
        <v>8829</v>
      </c>
      <c r="P31" s="3263" cm="1">
        <f t="array" aca="1" ref="P31" ca="1">INDIRECT("'※ 수수료 기준_가입자'!"&amp;P$1&amp;$AC31, TRUE)</f>
        <v>8707</v>
      </c>
      <c r="Q31" s="3263" cm="1">
        <f t="array" aca="1" ref="Q31" ca="1">INDIRECT("'※ 수수료 기준_가입자'!"&amp;Q$1&amp;$AC31, TRUE)</f>
        <v>9567</v>
      </c>
      <c r="R31" s="5773"/>
      <c r="S31" s="5773"/>
      <c r="T31" s="5773"/>
      <c r="U31" s="5774">
        <f t="shared" ca="1" si="0"/>
        <v>-54</v>
      </c>
      <c r="V31" s="5775" cm="1">
        <f t="array" aca="1" ref="V31" ca="1">INDIRECT("'※ 수수료 기준_가입자'!"&amp;V$2&amp;$AC31, TRUE)</f>
        <v>-964</v>
      </c>
      <c r="W31" s="5776" cm="1">
        <f t="array" aca="1" ref="W31" ca="1">INDIRECT("'※ 수수료 기준_가입자'!"&amp;W$1&amp;$AC31, TRUE)</f>
        <v>116761</v>
      </c>
      <c r="X31" s="5777"/>
      <c r="Y31" s="5777"/>
      <c r="Z31" s="5775" cm="1">
        <f t="array" aca="1" ref="Z31" ca="1">INDIRECT("'※ 수수료 기준_가입자'!"&amp;Z$1&amp;$AC31, TRUE)</f>
        <v>11568</v>
      </c>
      <c r="AA31" s="5778" cm="1">
        <f t="array" aca="1" ref="AA31" ca="1">INDIRECT("'※ 수수료 기준_가입자'!"&amp;AA$1&amp;$AC31, TRUE)</f>
        <v>9730.0833333333339</v>
      </c>
      <c r="AB31" s="5779" cm="1">
        <f t="array" aca="1" ref="AB31" ca="1">INDIRECT("'※ 수수료 기준_가입자'!"&amp;AB$1&amp;$AC31, TRUE)</f>
        <v>86.416666666667879</v>
      </c>
      <c r="AC31" s="5364">
        <f>ROW('※ 수수료 기준_가입자'!Y27)</f>
        <v>27</v>
      </c>
    </row>
    <row r="32" spans="1:30" ht="20.05" customHeight="1" x14ac:dyDescent="0.55000000000000004">
      <c r="A32" s="7109"/>
      <c r="B32" s="2493" t="s">
        <v>59</v>
      </c>
      <c r="C32" s="2493"/>
      <c r="D32" s="5256" cm="1">
        <f t="array" aca="1" ref="D32" ca="1">INDIRECT("'※ 수수료 기준_가입자'!"&amp;D$1&amp;$AC32, TRUE)</f>
        <v>7882</v>
      </c>
      <c r="E32" s="3263" cm="1">
        <f t="array" aca="1" ref="E32" ca="1">INDIRECT("'※ 수수료 기준_가입자'!"&amp;E$1&amp;$AC32, TRUE)</f>
        <v>9062</v>
      </c>
      <c r="F32" s="5344" cm="1">
        <f t="array" aca="1" ref="F32" ca="1">INDIRECT("'※ 수수료 기준_가입자'!"&amp;F$1&amp;$AC32, TRUE)</f>
        <v>817</v>
      </c>
      <c r="G32" s="3263" cm="1">
        <f t="array" aca="1" ref="G32" ca="1">INDIRECT("'※ 수수료 기준_가입자'!"&amp;G$1&amp;$AC32, TRUE)</f>
        <v>655</v>
      </c>
      <c r="H32" s="3263" cm="1">
        <f t="array" aca="1" ref="H32" ca="1">INDIRECT("'※ 수수료 기준_가입자'!"&amp;H$1&amp;$AC32, TRUE)</f>
        <v>627</v>
      </c>
      <c r="I32" s="3263" cm="1">
        <f t="array" aca="1" ref="I32" ca="1">INDIRECT("'※ 수수료 기준_가입자'!"&amp;I$1&amp;$AC32, TRUE)</f>
        <v>670</v>
      </c>
      <c r="J32" s="3263" cm="1">
        <f t="array" aca="1" ref="J32" ca="1">INDIRECT("'※ 수수료 기준_가입자'!"&amp;J$1&amp;$AC32, TRUE)</f>
        <v>696</v>
      </c>
      <c r="K32" s="3263" cm="1">
        <f t="array" aca="1" ref="K32" ca="1">INDIRECT("'※ 수수료 기준_가입자'!"&amp;K$1&amp;$AC32, TRUE)</f>
        <v>1140</v>
      </c>
      <c r="L32" s="3263" cm="1">
        <f t="array" aca="1" ref="L32" ca="1">INDIRECT("'※ 수수료 기준_가입자'!"&amp;L$1&amp;$AC32, TRUE)</f>
        <v>703</v>
      </c>
      <c r="M32" s="3263" cm="1">
        <f t="array" aca="1" ref="M32" ca="1">INDIRECT("'※ 수수료 기준_가입자'!"&amp;M$1&amp;$AC32, TRUE)</f>
        <v>753</v>
      </c>
      <c r="N32" s="3263" cm="1">
        <f t="array" aca="1" ref="N32" ca="1">INDIRECT("'※ 수수료 기준_가입자'!"&amp;N$1&amp;$AC32, TRUE)</f>
        <v>593</v>
      </c>
      <c r="O32" s="3263" cm="1">
        <f t="array" aca="1" ref="O32" ca="1">INDIRECT("'※ 수수료 기준_가입자'!"&amp;O$1&amp;$AC32, TRUE)</f>
        <v>594</v>
      </c>
      <c r="P32" s="3263" cm="1">
        <f t="array" aca="1" ref="P32" ca="1">INDIRECT("'※ 수수료 기준_가입자'!"&amp;P$1&amp;$AC32, TRUE)</f>
        <v>570</v>
      </c>
      <c r="Q32" s="3263" cm="1">
        <f t="array" aca="1" ref="Q32" ca="1">INDIRECT("'※ 수수료 기준_가입자'!"&amp;Q$1&amp;$AC32, TRUE)</f>
        <v>658</v>
      </c>
      <c r="R32" s="5773"/>
      <c r="S32" s="5773"/>
      <c r="T32" s="5773"/>
      <c r="U32" s="5774">
        <f t="shared" ca="1" si="0"/>
        <v>43</v>
      </c>
      <c r="V32" s="5775" cm="1">
        <f t="array" aca="1" ref="V32" ca="1">INDIRECT("'※ 수수료 기준_가입자'!"&amp;V$2&amp;$AC32, TRUE)</f>
        <v>-1047</v>
      </c>
      <c r="W32" s="5776" cm="1">
        <f t="array" aca="1" ref="W32" ca="1">INDIRECT("'※ 수수료 기준_가입자'!"&amp;W$1&amp;$AC32, TRUE)</f>
        <v>8476</v>
      </c>
      <c r="X32" s="5777"/>
      <c r="Y32" s="5777"/>
      <c r="Z32" s="5775" cm="1">
        <f t="array" aca="1" ref="Z32" ca="1">INDIRECT("'※ 수수료 기준_가입자'!"&amp;Z$1&amp;$AC32, TRUE)</f>
        <v>1119</v>
      </c>
      <c r="AA32" s="5778" cm="1">
        <f t="array" aca="1" ref="AA32" ca="1">INDIRECT("'※ 수수료 기준_가입자'!"&amp;AA$1&amp;$AC32, TRUE)</f>
        <v>706.33333333333337</v>
      </c>
      <c r="AB32" s="5779" cm="1">
        <f t="array" aca="1" ref="AB32" ca="1">INDIRECT("'※ 수수료 기준_가입자'!"&amp;AB$1&amp;$AC32, TRUE)</f>
        <v>-48.833333333333258</v>
      </c>
      <c r="AC32" s="5364">
        <f>ROW('※ 수수료 기준_가입자'!Y28)</f>
        <v>28</v>
      </c>
    </row>
    <row r="33" spans="1:30" ht="20.05" customHeight="1" x14ac:dyDescent="0.55000000000000004">
      <c r="A33" s="7109"/>
      <c r="B33" s="2493" t="s">
        <v>49</v>
      </c>
      <c r="C33" s="2493"/>
      <c r="D33" s="5256" cm="1">
        <f t="array" aca="1" ref="D33" ca="1">INDIRECT("'※ 수수료 기준_가입자'!"&amp;D$1&amp;$AC33, TRUE)</f>
        <v>121377</v>
      </c>
      <c r="E33" s="3263" cm="1">
        <f t="array" aca="1" ref="E33" ca="1">INDIRECT("'※ 수수료 기준_가입자'!"&amp;E$1&amp;$AC33, TRUE)</f>
        <v>257008</v>
      </c>
      <c r="F33" s="5344" cm="1">
        <f t="array" aca="1" ref="F33" ca="1">INDIRECT("'※ 수수료 기준_가입자'!"&amp;F$1&amp;$AC33, TRUE)</f>
        <v>23467</v>
      </c>
      <c r="G33" s="3263" cm="1">
        <f t="array" aca="1" ref="G33" ca="1">INDIRECT("'※ 수수료 기준_가입자'!"&amp;G$1&amp;$AC33, TRUE)</f>
        <v>38940</v>
      </c>
      <c r="H33" s="3263" cm="1">
        <f t="array" aca="1" ref="H33" ca="1">INDIRECT("'※ 수수료 기준_가입자'!"&amp;H$1&amp;$AC33, TRUE)</f>
        <v>27386</v>
      </c>
      <c r="I33" s="3263" cm="1">
        <f t="array" aca="1" ref="I33" ca="1">INDIRECT("'※ 수수료 기준_가입자'!"&amp;I$1&amp;$AC33, TRUE)</f>
        <v>32570</v>
      </c>
      <c r="J33" s="3263" cm="1">
        <f t="array" aca="1" ref="J33" ca="1">INDIRECT("'※ 수수료 기준_가입자'!"&amp;J$1&amp;$AC33, TRUE)</f>
        <v>45777</v>
      </c>
      <c r="K33" s="3263" cm="1">
        <f t="array" aca="1" ref="K33" ca="1">INDIRECT("'※ 수수료 기준_가입자'!"&amp;K$1&amp;$AC33, TRUE)</f>
        <v>36821</v>
      </c>
      <c r="L33" s="3263" cm="1">
        <f t="array" aca="1" ref="L33" ca="1">INDIRECT("'※ 수수료 기준_가입자'!"&amp;L$1&amp;$AC33, TRUE)</f>
        <v>45176</v>
      </c>
      <c r="M33" s="3263" cm="1">
        <f t="array" aca="1" ref="M33" ca="1">INDIRECT("'※ 수수료 기준_가입자'!"&amp;M$1&amp;$AC33, TRUE)</f>
        <v>35306</v>
      </c>
      <c r="N33" s="3263" cm="1">
        <f t="array" aca="1" ref="N33" ca="1">INDIRECT("'※ 수수료 기준_가입자'!"&amp;N$1&amp;$AC33, TRUE)</f>
        <v>40578</v>
      </c>
      <c r="O33" s="3263" cm="1">
        <f t="array" aca="1" ref="O33" ca="1">INDIRECT("'※ 수수료 기준_가입자'!"&amp;O$1&amp;$AC33, TRUE)</f>
        <v>37765</v>
      </c>
      <c r="P33" s="3263" cm="1">
        <f t="array" aca="1" ref="P33" ca="1">INDIRECT("'※ 수수료 기준_가입자'!"&amp;P$1&amp;$AC33, TRUE)</f>
        <v>31122</v>
      </c>
      <c r="Q33" s="3263" cm="1">
        <f t="array" aca="1" ref="Q33" ca="1">INDIRECT("'※ 수수료 기준_가입자'!"&amp;Q$1&amp;$AC33, TRUE)</f>
        <v>32788</v>
      </c>
      <c r="R33" s="5773"/>
      <c r="S33" s="5773"/>
      <c r="T33" s="5773"/>
      <c r="U33" s="5774">
        <f t="shared" ca="1" si="0"/>
        <v>5184</v>
      </c>
      <c r="V33" s="5775" cm="1">
        <f t="array" aca="1" ref="V33" ca="1">INDIRECT("'※ 수수료 기준_가입자'!"&amp;V$2&amp;$AC33, TRUE)</f>
        <v>9844</v>
      </c>
      <c r="W33" s="5776" cm="1">
        <f t="array" aca="1" ref="W33" ca="1">INDIRECT("'※ 수수료 기준_가입자'!"&amp;W$1&amp;$AC33, TRUE)</f>
        <v>427696</v>
      </c>
      <c r="X33" s="5777"/>
      <c r="Y33" s="5777"/>
      <c r="Z33" s="5775" cm="1">
        <f t="array" aca="1" ref="Z33" ca="1">INDIRECT("'※ 수수료 기준_가입자'!"&amp;Z$1&amp;$AC33, TRUE)</f>
        <v>193632</v>
      </c>
      <c r="AA33" s="5778" cm="1">
        <f t="array" aca="1" ref="AA33" ca="1">INDIRECT("'※ 수수료 기준_가입자'!"&amp;AA$1&amp;$AC33, TRUE)</f>
        <v>35641.333333333336</v>
      </c>
      <c r="AB33" s="5779" cm="1">
        <f t="array" aca="1" ref="AB33" ca="1">INDIRECT("'※ 수수료 기준_가입자'!"&amp;AB$1&amp;$AC33, TRUE)</f>
        <v>14224.000000000004</v>
      </c>
      <c r="AC33" s="5364">
        <f>ROW('※ 수수료 기준_가입자'!Y29)</f>
        <v>29</v>
      </c>
    </row>
    <row r="34" spans="1:30" ht="20.05" customHeight="1" x14ac:dyDescent="0.55000000000000004">
      <c r="A34" s="7109"/>
      <c r="B34" s="2493" t="s">
        <v>50</v>
      </c>
      <c r="C34" s="2493"/>
      <c r="D34" s="5256" cm="1">
        <f t="array" aca="1" ref="D34" ca="1">INDIRECT("'※ 수수료 기준_가입자'!"&amp;D$1&amp;$AC34, TRUE)</f>
        <v>36116</v>
      </c>
      <c r="E34" s="3263" cm="1">
        <f t="array" aca="1" ref="E34" ca="1">INDIRECT("'※ 수수료 기준_가입자'!"&amp;E$1&amp;$AC34, TRUE)</f>
        <v>36709</v>
      </c>
      <c r="F34" s="5344" cm="1">
        <f t="array" aca="1" ref="F34" ca="1">INDIRECT("'※ 수수료 기준_가입자'!"&amp;F$1&amp;$AC34, TRUE)</f>
        <v>3325</v>
      </c>
      <c r="G34" s="3263" cm="1">
        <f t="array" aca="1" ref="G34" ca="1">INDIRECT("'※ 수수료 기준_가입자'!"&amp;G$1&amp;$AC34, TRUE)</f>
        <v>3327</v>
      </c>
      <c r="H34" s="3263" cm="1">
        <f t="array" aca="1" ref="H34" ca="1">INDIRECT("'※ 수수료 기준_가입자'!"&amp;H$1&amp;$AC34, TRUE)</f>
        <v>3382</v>
      </c>
      <c r="I34" s="3263" cm="1">
        <f t="array" aca="1" ref="I34" ca="1">INDIRECT("'※ 수수료 기준_가입자'!"&amp;I$1&amp;$AC34, TRUE)</f>
        <v>3119</v>
      </c>
      <c r="J34" s="3263" cm="1">
        <f t="array" aca="1" ref="J34" ca="1">INDIRECT("'※ 수수료 기준_가입자'!"&amp;J$1&amp;$AC34, TRUE)</f>
        <v>4019</v>
      </c>
      <c r="K34" s="3263" cm="1">
        <f t="array" aca="1" ref="K34" ca="1">INDIRECT("'※ 수수료 기준_가입자'!"&amp;K$1&amp;$AC34, TRUE)</f>
        <v>3857</v>
      </c>
      <c r="L34" s="3263" cm="1">
        <f t="array" aca="1" ref="L34" ca="1">INDIRECT("'※ 수수료 기준_가입자'!"&amp;L$1&amp;$AC34, TRUE)</f>
        <v>3448</v>
      </c>
      <c r="M34" s="3263" cm="1">
        <f t="array" aca="1" ref="M34" ca="1">INDIRECT("'※ 수수료 기준_가입자'!"&amp;M$1&amp;$AC34, TRUE)</f>
        <v>5247</v>
      </c>
      <c r="N34" s="3263" cm="1">
        <f t="array" aca="1" ref="N34" ca="1">INDIRECT("'※ 수수료 기준_가입자'!"&amp;N$1&amp;$AC34, TRUE)</f>
        <v>3997</v>
      </c>
      <c r="O34" s="3263" cm="1">
        <f t="array" aca="1" ref="O34" ca="1">INDIRECT("'※ 수수료 기준_가입자'!"&amp;O$1&amp;$AC34, TRUE)</f>
        <v>4540</v>
      </c>
      <c r="P34" s="3263" cm="1">
        <f t="array" aca="1" ref="P34" ca="1">INDIRECT("'※ 수수료 기준_가입자'!"&amp;P$1&amp;$AC34, TRUE)</f>
        <v>4768</v>
      </c>
      <c r="Q34" s="3263" cm="1">
        <f t="array" aca="1" ref="Q34" ca="1">INDIRECT("'※ 수수료 기준_가입자'!"&amp;Q$1&amp;$AC34, TRUE)</f>
        <v>5307</v>
      </c>
      <c r="R34" s="5773"/>
      <c r="S34" s="5773"/>
      <c r="T34" s="5773"/>
      <c r="U34" s="5774">
        <f t="shared" ca="1" si="0"/>
        <v>-263</v>
      </c>
      <c r="V34" s="5775" cm="1">
        <f t="array" aca="1" ref="V34" ca="1">INDIRECT("'※ 수수료 기준_가입자'!"&amp;V$2&amp;$AC34, TRUE)</f>
        <v>1657</v>
      </c>
      <c r="W34" s="5776" cm="1">
        <f t="array" aca="1" ref="W34" ca="1">INDIRECT("'※ 수수료 기준_가입자'!"&amp;W$1&amp;$AC34, TRUE)</f>
        <v>48336</v>
      </c>
      <c r="X34" s="5777"/>
      <c r="Y34" s="5777"/>
      <c r="Z34" s="5775" cm="1">
        <f t="array" aca="1" ref="Z34" ca="1">INDIRECT("'※ 수수료 기준_가입자'!"&amp;Z$1&amp;$AC34, TRUE)</f>
        <v>15277</v>
      </c>
      <c r="AA34" s="5778" cm="1">
        <f t="array" aca="1" ref="AA34" ca="1">INDIRECT("'※ 수수료 기준_가입자'!"&amp;AA$1&amp;$AC34, TRUE)</f>
        <v>4028</v>
      </c>
      <c r="AB34" s="5779" cm="1">
        <f t="array" aca="1" ref="AB34" ca="1">INDIRECT("'※ 수수료 기준_가입자'!"&amp;AB$1&amp;$AC34, TRUE)</f>
        <v>968.91666666666652</v>
      </c>
      <c r="AC34" s="5364">
        <f>ROW('※ 수수료 기준_가입자'!Y30)</f>
        <v>30</v>
      </c>
    </row>
    <row r="35" spans="1:30" ht="20.05" customHeight="1" x14ac:dyDescent="0.55000000000000004">
      <c r="A35" s="7109"/>
      <c r="B35" s="3033" t="s">
        <v>52</v>
      </c>
      <c r="C35" s="2493"/>
      <c r="D35" s="5256" cm="1">
        <f t="array" aca="1" ref="D35" ca="1">INDIRECT("'※ 수수료 기준_가입자'!"&amp;D$1&amp;$AC35, TRUE)</f>
        <v>0</v>
      </c>
      <c r="E35" s="3263" cm="1">
        <f t="array" aca="1" ref="E35" ca="1">INDIRECT("'※ 수수료 기준_가입자'!"&amp;E$1&amp;$AC35, TRUE)</f>
        <v>-5707</v>
      </c>
      <c r="F35" s="5344" cm="1">
        <f t="array" aca="1" ref="F35" ca="1">INDIRECT("'※ 수수료 기준_가입자'!"&amp;F$1&amp;$AC35, TRUE)</f>
        <v>0</v>
      </c>
      <c r="G35" s="3263" cm="1">
        <f t="array" aca="1" ref="G35" ca="1">INDIRECT("'※ 수수료 기준_가입자'!"&amp;G$1&amp;$AC35, TRUE)</f>
        <v>-10</v>
      </c>
      <c r="H35" s="3263" cm="1">
        <f t="array" aca="1" ref="H35" ca="1">INDIRECT("'※ 수수료 기준_가입자'!"&amp;H$1&amp;$AC35, TRUE)</f>
        <v>-7</v>
      </c>
      <c r="I35" s="3263" cm="1">
        <f t="array" aca="1" ref="I35" ca="1">INDIRECT("'※ 수수료 기준_가입자'!"&amp;I$1&amp;$AC35, TRUE)</f>
        <v>0</v>
      </c>
      <c r="J35" s="3263" cm="1">
        <f t="array" aca="1" ref="J35" ca="1">INDIRECT("'※ 수수료 기준_가입자'!"&amp;J$1&amp;$AC35, TRUE)</f>
        <v>-4</v>
      </c>
      <c r="K35" s="3263" cm="1">
        <f t="array" aca="1" ref="K35" ca="1">INDIRECT("'※ 수수료 기준_가입자'!"&amp;K$1&amp;$AC35, TRUE)</f>
        <v>-3</v>
      </c>
      <c r="L35" s="3263" cm="1">
        <f t="array" aca="1" ref="L35" ca="1">INDIRECT("'※ 수수료 기준_가입자'!"&amp;L$1&amp;$AC35, TRUE)</f>
        <v>0</v>
      </c>
      <c r="M35" s="3263" cm="1">
        <f t="array" aca="1" ref="M35" ca="1">INDIRECT("'※ 수수료 기준_가입자'!"&amp;M$1&amp;$AC35, TRUE)</f>
        <v>0</v>
      </c>
      <c r="N35" s="3263" cm="1">
        <f t="array" aca="1" ref="N35" ca="1">INDIRECT("'※ 수수료 기준_가입자'!"&amp;N$1&amp;$AC35, TRUE)</f>
        <v>0</v>
      </c>
      <c r="O35" s="3263" cm="1">
        <f t="array" aca="1" ref="O35" ca="1">INDIRECT("'※ 수수료 기준_가입자'!"&amp;O$1&amp;$AC35, TRUE)</f>
        <v>0</v>
      </c>
      <c r="P35" s="3263" cm="1">
        <f t="array" aca="1" ref="P35" ca="1">INDIRECT("'※ 수수료 기준_가입자'!"&amp;P$1&amp;$AC35, TRUE)</f>
        <v>0</v>
      </c>
      <c r="Q35" s="3263" cm="1">
        <f t="array" aca="1" ref="Q35" ca="1">INDIRECT("'※ 수수료 기준_가입자'!"&amp;Q$1&amp;$AC35, TRUE)</f>
        <v>0</v>
      </c>
      <c r="R35" s="5773"/>
      <c r="S35" s="5773"/>
      <c r="T35" s="5773"/>
      <c r="U35" s="5774">
        <f t="shared" ca="1" si="0"/>
        <v>7</v>
      </c>
      <c r="V35" s="5775" cm="1">
        <f t="array" aca="1" ref="V35" ca="1">INDIRECT("'※ 수수료 기준_가입자'!"&amp;V$2&amp;$AC35, TRUE)</f>
        <v>0</v>
      </c>
      <c r="W35" s="5776" cm="1">
        <f t="array" aca="1" ref="W35" ca="1">INDIRECT("'※ 수수료 기준_가입자'!"&amp;W$1&amp;$AC35, TRUE)</f>
        <v>-24</v>
      </c>
      <c r="X35" s="5777"/>
      <c r="Y35" s="5777"/>
      <c r="Z35" s="5775" cm="1">
        <f t="array" aca="1" ref="Z35" ca="1">INDIRECT("'※ 수수료 기준_가입자'!"&amp;Z$1&amp;$AC35, TRUE)</f>
        <v>5683</v>
      </c>
      <c r="AA35" s="5778" cm="1">
        <f t="array" aca="1" ref="AA35" ca="1">INDIRECT("'※ 수수료 기준_가입자'!"&amp;AA$1&amp;$AC35, TRUE)</f>
        <v>-2</v>
      </c>
      <c r="AB35" s="5779" cm="1">
        <f t="array" aca="1" ref="AB35" ca="1">INDIRECT("'※ 수수료 기준_가입자'!"&amp;AB$1&amp;$AC35, TRUE)</f>
        <v>473.58333333333331</v>
      </c>
      <c r="AC35" s="5364">
        <f>ROW('※ 수수료 기준_가입자'!Y31)</f>
        <v>31</v>
      </c>
    </row>
    <row r="36" spans="1:30" s="5076" customFormat="1" ht="20.05" customHeight="1" thickBot="1" x14ac:dyDescent="0.6">
      <c r="A36" s="7110"/>
      <c r="B36" s="5820" t="s">
        <v>51</v>
      </c>
      <c r="C36" s="5820"/>
      <c r="D36" s="5821" cm="1">
        <f t="array" aca="1" ref="D36" ca="1">INDIRECT("'※ 수수료 기준_가입자'!"&amp;D$1&amp;$AC36, TRUE)</f>
        <v>-3977</v>
      </c>
      <c r="E36" s="5822" cm="1">
        <f t="array" aca="1" ref="E36" ca="1">INDIRECT("'※ 수수료 기준_가입자'!"&amp;E$1&amp;$AC36, TRUE)</f>
        <v>-43263</v>
      </c>
      <c r="F36" s="5823" cm="1">
        <f t="array" aca="1" ref="F36" ca="1">INDIRECT("'※ 수수료 기준_가입자'!"&amp;F$1&amp;$AC36, TRUE)</f>
        <v>-10370</v>
      </c>
      <c r="G36" s="5822" cm="1">
        <f t="array" aca="1" ref="G36" ca="1">INDIRECT("'※ 수수료 기준_가입자'!"&amp;G$1&amp;$AC36, TRUE)</f>
        <v>-5955</v>
      </c>
      <c r="H36" s="5822" cm="1">
        <f t="array" aca="1" ref="H36" ca="1">INDIRECT("'※ 수수료 기준_가입자'!"&amp;H$1&amp;$AC36, TRUE)</f>
        <v>-9990</v>
      </c>
      <c r="I36" s="5822" cm="1">
        <f t="array" aca="1" ref="I36" ca="1">INDIRECT("'※ 수수료 기준_가입자'!"&amp;I$1&amp;$AC36, TRUE)</f>
        <v>-5786</v>
      </c>
      <c r="J36" s="5822" cm="1">
        <f t="array" aca="1" ref="J36" ca="1">INDIRECT("'※ 수수료 기준_가입자'!"&amp;J$1&amp;$AC36, TRUE)</f>
        <v>9125</v>
      </c>
      <c r="K36" s="5822" cm="1">
        <f t="array" aca="1" ref="K36" ca="1">INDIRECT("'※ 수수료 기준_가입자'!"&amp;K$1&amp;$AC36, TRUE)</f>
        <v>-6981</v>
      </c>
      <c r="L36" s="5822" cm="1">
        <f t="array" aca="1" ref="L36" ca="1">INDIRECT("'※ 수수료 기준_가입자'!"&amp;L$1&amp;$AC36, TRUE)</f>
        <v>-1843</v>
      </c>
      <c r="M36" s="5822" cm="1">
        <f t="array" aca="1" ref="M36" ca="1">INDIRECT("'※ 수수료 기준_가입자'!"&amp;M$1&amp;$AC36, TRUE)</f>
        <v>-12653</v>
      </c>
      <c r="N36" s="5822" cm="1">
        <f t="array" aca="1" ref="N36" ca="1">INDIRECT("'※ 수수료 기준_가입자'!"&amp;N$1&amp;$AC36, TRUE)</f>
        <v>-4823</v>
      </c>
      <c r="O36" s="5822" cm="1">
        <f t="array" aca="1" ref="O36" ca="1">INDIRECT("'※ 수수료 기준_가입자'!"&amp;O$1&amp;$AC36, TRUE)</f>
        <v>-9514</v>
      </c>
      <c r="P36" s="5822" cm="1">
        <f t="array" aca="1" ref="P36" ca="1">INDIRECT("'※ 수수료 기준_가입자'!"&amp;P$1&amp;$AC36, TRUE)</f>
        <v>-10867</v>
      </c>
      <c r="Q36" s="5822" cm="1">
        <f t="array" aca="1" ref="Q36" ca="1">INDIRECT("'※ 수수료 기준_가입자'!"&amp;Q$1&amp;$AC36, TRUE)</f>
        <v>-11344</v>
      </c>
      <c r="R36" s="5824"/>
      <c r="S36" s="5824"/>
      <c r="T36" s="5824"/>
      <c r="U36" s="5825">
        <f t="shared" ca="1" si="0"/>
        <v>4204</v>
      </c>
      <c r="V36" s="5826" cm="1">
        <f t="array" aca="1" ref="V36" ca="1">INDIRECT("'※ 수수료 기준_가입자'!"&amp;V$2&amp;$AC36, TRUE)</f>
        <v>314</v>
      </c>
      <c r="W36" s="5827" cm="1">
        <f t="array" aca="1" ref="W36" ca="1">INDIRECT("'※ 수수료 기준_가입자'!"&amp;W$1&amp;$AC36, TRUE)</f>
        <v>-81001</v>
      </c>
      <c r="X36" s="5828"/>
      <c r="Y36" s="5828"/>
      <c r="Z36" s="5826" cm="1">
        <f t="array" aca="1" ref="Z36" ca="1">INDIRECT("'※ 수수료 기준_가입자'!"&amp;Z$1&amp;$AC36, TRUE)</f>
        <v>-49396</v>
      </c>
      <c r="AA36" s="5829" cm="1">
        <f t="array" aca="1" ref="AA36" ca="1">INDIRECT("'※ 수수료 기준_가입자'!"&amp;AA$1&amp;$AC36, TRUE)</f>
        <v>-6750.083333333333</v>
      </c>
      <c r="AB36" s="5830" cm="1">
        <f t="array" aca="1" ref="AB36" ca="1">INDIRECT("'※ 수수료 기준_가입자'!"&amp;AB$1&amp;$AC36, TRUE)</f>
        <v>-3144.833333333333</v>
      </c>
      <c r="AC36" s="5364">
        <f>ROW('※ 수수료 기준_가입자'!Y32)</f>
        <v>32</v>
      </c>
      <c r="AD36" s="5360"/>
    </row>
    <row r="37" spans="1:30" s="5832" customFormat="1" ht="6" customHeight="1" thickTop="1" thickBot="1" x14ac:dyDescent="0.6">
      <c r="A37" s="5831"/>
      <c r="D37" s="3263"/>
      <c r="E37" s="5833"/>
      <c r="F37" s="5344"/>
      <c r="G37" s="3263"/>
      <c r="H37" s="3263"/>
      <c r="I37" s="3263"/>
      <c r="J37" s="3263"/>
      <c r="K37" s="3263"/>
      <c r="L37" s="3263"/>
      <c r="M37" s="3263"/>
      <c r="N37" s="3263"/>
      <c r="O37" s="3263"/>
      <c r="P37" s="3263"/>
      <c r="Q37" s="3263"/>
      <c r="R37" s="3263"/>
      <c r="S37" s="3263"/>
      <c r="T37" s="3263"/>
      <c r="U37" s="5775"/>
      <c r="V37" s="5775"/>
      <c r="W37" s="5776"/>
      <c r="X37" s="5834"/>
      <c r="Y37" s="5834"/>
      <c r="Z37" s="5835"/>
      <c r="AA37" s="5836"/>
      <c r="AB37" s="5835"/>
      <c r="AC37" s="5837"/>
      <c r="AD37" s="5838"/>
    </row>
    <row r="38" spans="1:30" s="5076" customFormat="1" ht="20.05" customHeight="1" thickTop="1" x14ac:dyDescent="0.55000000000000004">
      <c r="A38" s="7119" t="s">
        <v>53</v>
      </c>
      <c r="B38" s="5741" t="s">
        <v>44</v>
      </c>
      <c r="C38" s="5741"/>
      <c r="D38" s="5742" cm="1">
        <f t="array" aca="1" ref="D38" ca="1">INDIRECT("'※ 수수료 기준_가입자'!"&amp;D$1&amp;$AC38, TRUE)</f>
        <v>422904</v>
      </c>
      <c r="E38" s="5743" cm="1">
        <f t="array" aca="1" ref="E38" ca="1">INDIRECT("'※ 수수료 기준_가입자'!"&amp;E$1&amp;$AC38, TRUE)</f>
        <v>356356</v>
      </c>
      <c r="F38" s="5744" cm="1">
        <f t="array" aca="1" ref="F38" ca="1">INDIRECT("'※ 수수료 기준_가입자'!"&amp;F$1&amp;$AC38, TRUE)</f>
        <v>357535</v>
      </c>
      <c r="G38" s="5743" cm="1">
        <f t="array" aca="1" ref="G38" ca="1">INDIRECT("'※ 수수료 기준_가입자'!"&amp;G$1&amp;$AC38, TRUE)</f>
        <v>354197</v>
      </c>
      <c r="H38" s="5743" cm="1">
        <f t="array" aca="1" ref="H38" ca="1">INDIRECT("'※ 수수료 기준_가입자'!"&amp;H$1&amp;$AC38, TRUE)</f>
        <v>348912</v>
      </c>
      <c r="I38" s="5743" cm="1">
        <f t="array" aca="1" ref="I38" ca="1">INDIRECT("'※ 수수료 기준_가입자'!"&amp;I$1&amp;$AC38, TRUE)</f>
        <v>353944</v>
      </c>
      <c r="J38" s="5743" cm="1">
        <f t="array" aca="1" ref="J38" ca="1">INDIRECT("'※ 수수료 기준_가입자'!"&amp;J$1&amp;$AC38, TRUE)</f>
        <v>355534</v>
      </c>
      <c r="K38" s="5743" cm="1">
        <f t="array" aca="1" ref="K38" ca="1">INDIRECT("'※ 수수료 기준_가입자'!"&amp;K$1&amp;$AC38, TRUE)</f>
        <v>351173</v>
      </c>
      <c r="L38" s="5743" cm="1">
        <f t="array" aca="1" ref="L38" ca="1">INDIRECT("'※ 수수료 기준_가입자'!"&amp;L$1&amp;$AC38, TRUE)</f>
        <v>351748</v>
      </c>
      <c r="M38" s="5743" cm="1">
        <f t="array" aca="1" ref="M38" ca="1">INDIRECT("'※ 수수료 기준_가입자'!"&amp;M$1&amp;$AC38, TRUE)</f>
        <v>350150</v>
      </c>
      <c r="N38" s="5743" cm="1">
        <f t="array" aca="1" ref="N38" ca="1">INDIRECT("'※ 수수료 기준_가입자'!"&amp;N$1&amp;$AC38, TRUE)</f>
        <v>354955</v>
      </c>
      <c r="O38" s="5743" cm="1">
        <f t="array" aca="1" ref="O38" ca="1">INDIRECT("'※ 수수료 기준_가입자'!"&amp;O$1&amp;$AC38, TRUE)</f>
        <v>352521</v>
      </c>
      <c r="P38" s="5743" cm="1">
        <f t="array" aca="1" ref="P38" ca="1">INDIRECT("'※ 수수료 기준_가입자'!"&amp;P$1&amp;$AC38, TRUE)</f>
        <v>351881</v>
      </c>
      <c r="Q38" s="5743" cm="1">
        <f t="array" aca="1" ref="Q38" ca="1">INDIRECT("'※ 수수료 기준_가입자'!"&amp;Q$1&amp;$AC38, TRUE)</f>
        <v>352210</v>
      </c>
      <c r="R38" s="5745"/>
      <c r="S38" s="5745"/>
      <c r="T38" s="5745"/>
      <c r="U38" s="5746">
        <f ca="1">I38-H38</f>
        <v>5032</v>
      </c>
      <c r="V38" s="5747" cm="1">
        <f t="array" aca="1" ref="V38" ca="1">INDIRECT("'※ 수수료 기준_가입자'!"&amp;V$2&amp;$AC38, TRUE)</f>
        <v>-4146</v>
      </c>
      <c r="W38" s="5839" cm="1">
        <f t="array" aca="1" ref="W38" ca="1">INDIRECT("'※ 수수료 기준_가입자'!"&amp;W$1&amp;$AC38, TRUE)</f>
        <v>352210</v>
      </c>
      <c r="X38" s="5749"/>
      <c r="Y38" s="5749"/>
      <c r="Z38" s="5747" cm="1">
        <f t="array" aca="1" ref="Z38" ca="1">INDIRECT("'※ 수수료 기준_가입자'!"&amp;Z$1&amp;$AC38, TRUE)</f>
        <v>-4146</v>
      </c>
      <c r="AA38" s="5840" cm="1">
        <f t="array" aca="1" ref="AA38" ca="1">INDIRECT("'※ 수수료 기준_가입자'!"&amp;AA$1&amp;$AC38, TRUE)</f>
        <v>352896.66666666669</v>
      </c>
      <c r="AB38" s="5751" cm="1">
        <f t="array" aca="1" ref="AB38" ca="1">INDIRECT("'※ 수수료 기준_가입자'!"&amp;AB$1&amp;$AC38, TRUE)</f>
        <v>-25507.25</v>
      </c>
      <c r="AC38" s="5364">
        <f>ROW('※ 수수료 기준_가입자'!Y34)</f>
        <v>34</v>
      </c>
      <c r="AD38" s="5360"/>
    </row>
    <row r="39" spans="1:30" ht="20.05" customHeight="1" x14ac:dyDescent="0.55000000000000004">
      <c r="A39" s="7120"/>
      <c r="B39" s="2493" t="s">
        <v>47</v>
      </c>
      <c r="C39" s="2493"/>
      <c r="D39" s="5256" cm="1">
        <f t="array" aca="1" ref="D39" ca="1">INDIRECT("'※ 수수료 기준_가입자'!"&amp;D$1&amp;$AC39, TRUE)</f>
        <v>103400</v>
      </c>
      <c r="E39" s="3263" cm="1">
        <f t="array" aca="1" ref="E39" ca="1">INDIRECT("'※ 수수료 기준_가입자'!"&amp;E$1&amp;$AC39, TRUE)</f>
        <v>63772</v>
      </c>
      <c r="F39" s="5344" cm="1">
        <f t="array" aca="1" ref="F39" ca="1">INDIRECT("'※ 수수료 기준_가입자'!"&amp;F$1&amp;$AC39, TRUE)</f>
        <v>5549</v>
      </c>
      <c r="G39" s="3263" cm="1">
        <f t="array" aca="1" ref="G39" ca="1">INDIRECT("'※ 수수료 기준_가입자'!"&amp;G$1&amp;$AC39, TRUE)</f>
        <v>3086</v>
      </c>
      <c r="H39" s="3263" cm="1">
        <f t="array" aca="1" ref="H39" ca="1">INDIRECT("'※ 수수료 기준_가입자'!"&amp;H$1&amp;$AC39, TRUE)</f>
        <v>2916</v>
      </c>
      <c r="I39" s="3263" cm="1">
        <f t="array" aca="1" ref="I39" ca="1">INDIRECT("'※ 수수료 기준_가입자'!"&amp;I$1&amp;$AC39, TRUE)</f>
        <v>11432</v>
      </c>
      <c r="J39" s="3263" cm="1">
        <f t="array" aca="1" ref="J39" ca="1">INDIRECT("'※ 수수료 기준_가입자'!"&amp;J$1&amp;$AC39, TRUE)</f>
        <v>7680</v>
      </c>
      <c r="K39" s="3263" cm="1">
        <f t="array" aca="1" ref="K39" ca="1">INDIRECT("'※ 수수료 기준_가입자'!"&amp;K$1&amp;$AC39, TRUE)</f>
        <v>7724</v>
      </c>
      <c r="L39" s="3263" cm="1">
        <f t="array" aca="1" ref="L39" ca="1">INDIRECT("'※ 수수료 기준_가입자'!"&amp;L$1&amp;$AC39, TRUE)</f>
        <v>6988</v>
      </c>
      <c r="M39" s="3263" cm="1">
        <f t="array" aca="1" ref="M39" ca="1">INDIRECT("'※ 수수료 기준_가입자'!"&amp;M$1&amp;$AC39, TRUE)</f>
        <v>5537</v>
      </c>
      <c r="N39" s="3263" cm="1">
        <f t="array" aca="1" ref="N39" ca="1">INDIRECT("'※ 수수료 기준_가입자'!"&amp;N$1&amp;$AC39, TRUE)</f>
        <v>8871</v>
      </c>
      <c r="O39" s="3263" cm="1">
        <f t="array" aca="1" ref="O39" ca="1">INDIRECT("'※ 수수료 기준_가입자'!"&amp;O$1&amp;$AC39, TRUE)</f>
        <v>3123</v>
      </c>
      <c r="P39" s="3263" cm="1">
        <f t="array" aca="1" ref="P39" ca="1">INDIRECT("'※ 수수료 기준_가입자'!"&amp;P$1&amp;$AC39, TRUE)</f>
        <v>4673</v>
      </c>
      <c r="Q39" s="3263" cm="1">
        <f t="array" aca="1" ref="Q39" ca="1">INDIRECT("'※ 수수료 기준_가입자'!"&amp;Q$1&amp;$AC39, TRUE)</f>
        <v>4972</v>
      </c>
      <c r="R39" s="5773"/>
      <c r="S39" s="5773"/>
      <c r="T39" s="5773"/>
      <c r="U39" s="5774">
        <f ca="1">I39-H39</f>
        <v>8516</v>
      </c>
      <c r="V39" s="5775" cm="1">
        <f t="array" aca="1" ref="V39" ca="1">INDIRECT("'※ 수수료 기준_가입자'!"&amp;V$2&amp;$AC39, TRUE)</f>
        <v>-1513</v>
      </c>
      <c r="W39" s="5776" cm="1">
        <f t="array" aca="1" ref="W39" ca="1">INDIRECT("'※ 수수료 기준_가입자'!"&amp;W$1&amp;$AC39, TRUE)</f>
        <v>72551</v>
      </c>
      <c r="X39" s="5777"/>
      <c r="Y39" s="5777"/>
      <c r="Z39" s="5775" cm="1">
        <f t="array" aca="1" ref="Z39" ca="1">INDIRECT("'※ 수수료 기준_가입자'!"&amp;Z$1&amp;$AC39, TRUE)</f>
        <v>15264</v>
      </c>
      <c r="AA39" s="5778" cm="1">
        <f t="array" aca="1" ref="AA39" ca="1">INDIRECT("'※ 수수료 기준_가입자'!"&amp;AA$1&amp;$AC39, TRUE)</f>
        <v>6045.916666666667</v>
      </c>
      <c r="AB39" s="5779" cm="1">
        <f t="array" aca="1" ref="AB39" ca="1">INDIRECT("'※ 수수료 기준_가입자'!"&amp;AB$1&amp;$AC39, TRUE)</f>
        <v>731.58333333333394</v>
      </c>
      <c r="AC39" s="5364">
        <f>ROW('※ 수수료 기준_가입자'!Y35)</f>
        <v>35</v>
      </c>
    </row>
    <row r="40" spans="1:30" ht="20.05" customHeight="1" x14ac:dyDescent="0.55000000000000004">
      <c r="A40" s="7120"/>
      <c r="B40" s="2493" t="s">
        <v>48</v>
      </c>
      <c r="C40" s="2493"/>
      <c r="D40" s="5256" cm="1">
        <f t="array" aca="1" ref="D40" ca="1">INDIRECT("'※ 수수료 기준_가입자'!"&amp;D$1&amp;$AC40, TRUE)</f>
        <v>35056</v>
      </c>
      <c r="E40" s="3263" cm="1">
        <f t="array" aca="1" ref="E40" ca="1">INDIRECT("'※ 수수료 기준_가입자'!"&amp;E$1&amp;$AC40, TRUE)</f>
        <v>56500</v>
      </c>
      <c r="F40" s="5344" cm="1">
        <f t="array" aca="1" ref="F40" ca="1">INDIRECT("'※ 수수료 기준_가입자'!"&amp;F$1&amp;$AC40, TRUE)</f>
        <v>2104</v>
      </c>
      <c r="G40" s="3263" cm="1">
        <f t="array" aca="1" ref="G40" ca="1">INDIRECT("'※ 수수료 기준_가입자'!"&amp;G$1&amp;$AC40, TRUE)</f>
        <v>3509</v>
      </c>
      <c r="H40" s="3263" cm="1">
        <f t="array" aca="1" ref="H40" ca="1">INDIRECT("'※ 수수료 기준_가입자'!"&amp;H$1&amp;$AC40, TRUE)</f>
        <v>5605</v>
      </c>
      <c r="I40" s="3263" cm="1">
        <f t="array" aca="1" ref="I40" ca="1">INDIRECT("'※ 수수료 기준_가입자'!"&amp;I$1&amp;$AC40, TRUE)</f>
        <v>3976</v>
      </c>
      <c r="J40" s="3263" cm="1">
        <f t="array" aca="1" ref="J40" ca="1">INDIRECT("'※ 수수료 기준_가입자'!"&amp;J$1&amp;$AC40, TRUE)</f>
        <v>2630</v>
      </c>
      <c r="K40" s="3263" cm="1">
        <f t="array" aca="1" ref="K40" ca="1">INDIRECT("'※ 수수료 기준_가입자'!"&amp;K$1&amp;$AC40, TRUE)</f>
        <v>8919</v>
      </c>
      <c r="L40" s="3263" cm="1">
        <f t="array" aca="1" ref="L40" ca="1">INDIRECT("'※ 수수료 기준_가입자'!"&amp;L$1&amp;$AC40, TRUE)</f>
        <v>1746</v>
      </c>
      <c r="M40" s="3263" cm="1">
        <f t="array" aca="1" ref="M40" ca="1">INDIRECT("'※ 수수료 기준_가입자'!"&amp;M$1&amp;$AC40, TRUE)</f>
        <v>4075</v>
      </c>
      <c r="N40" s="3263" cm="1">
        <f t="array" aca="1" ref="N40" ca="1">INDIRECT("'※ 수수료 기준_가입자'!"&amp;N$1&amp;$AC40, TRUE)</f>
        <v>1519</v>
      </c>
      <c r="O40" s="3263" cm="1">
        <f t="array" aca="1" ref="O40" ca="1">INDIRECT("'※ 수수료 기준_가입자'!"&amp;O$1&amp;$AC40, TRUE)</f>
        <v>1638</v>
      </c>
      <c r="P40" s="3263" cm="1">
        <f t="array" aca="1" ref="P40" ca="1">INDIRECT("'※ 수수료 기준_가입자'!"&amp;P$1&amp;$AC40, TRUE)</f>
        <v>1842</v>
      </c>
      <c r="Q40" s="3263" cm="1">
        <f t="array" aca="1" ref="Q40" ca="1">INDIRECT("'※ 수수료 기준_가입자'!"&amp;Q$1&amp;$AC40, TRUE)</f>
        <v>1524</v>
      </c>
      <c r="R40" s="5773"/>
      <c r="S40" s="5773"/>
      <c r="T40" s="5773"/>
      <c r="U40" s="5774">
        <f ca="1">I40-H40</f>
        <v>-1629</v>
      </c>
      <c r="V40" s="5775" cm="1">
        <f t="array" aca="1" ref="V40" ca="1">INDIRECT("'※ 수수료 기준_가입자'!"&amp;V$2&amp;$AC40, TRUE)</f>
        <v>-64</v>
      </c>
      <c r="W40" s="5776" cm="1">
        <f t="array" aca="1" ref="W40" ca="1">INDIRECT("'※ 수수료 기준_가입자'!"&amp;W$1&amp;$AC40, TRUE)</f>
        <v>39087</v>
      </c>
      <c r="X40" s="5777"/>
      <c r="Y40" s="5777"/>
      <c r="Z40" s="5775" cm="1">
        <f t="array" aca="1" ref="Z40" ca="1">INDIRECT("'※ 수수료 기준_가입자'!"&amp;Z$1&amp;$AC40, TRUE)</f>
        <v>-15825</v>
      </c>
      <c r="AA40" s="5778" cm="1">
        <f t="array" aca="1" ref="AA40" ca="1">INDIRECT("'※ 수수료 기준_가입자'!"&amp;AA$1&amp;$AC40, TRUE)</f>
        <v>3257.25</v>
      </c>
      <c r="AB40" s="5779" cm="1">
        <f t="array" aca="1" ref="AB40" ca="1">INDIRECT("'※ 수수료 기준_가입자'!"&amp;AB$1&amp;$AC40, TRUE)</f>
        <v>-1451.083333333333</v>
      </c>
      <c r="AC40" s="5364">
        <f>ROW('※ 수수료 기준_가입자'!Y36)</f>
        <v>36</v>
      </c>
    </row>
    <row r="41" spans="1:30" ht="20.05" customHeight="1" x14ac:dyDescent="0.55000000000000004">
      <c r="A41" s="7120"/>
      <c r="B41" s="2493" t="s">
        <v>50</v>
      </c>
      <c r="C41" s="2493"/>
      <c r="D41" s="5256" cm="1">
        <f t="array" aca="1" ref="D41" ca="1">INDIRECT("'※ 수수료 기준_가입자'!"&amp;D$1&amp;$AC41, TRUE)</f>
        <v>64718</v>
      </c>
      <c r="E41" s="3263" cm="1">
        <f t="array" aca="1" ref="E41" ca="1">INDIRECT("'※ 수수료 기준_가입자'!"&amp;E$1&amp;$AC41, TRUE)</f>
        <v>72154</v>
      </c>
      <c r="F41" s="5344" cm="1">
        <f t="array" aca="1" ref="F41" ca="1">INDIRECT("'※ 수수료 기준_가입자'!"&amp;F$1&amp;$AC41, TRUE)</f>
        <v>4624</v>
      </c>
      <c r="G41" s="3263" cm="1">
        <f t="array" aca="1" ref="G41" ca="1">INDIRECT("'※ 수수료 기준_가입자'!"&amp;G$1&amp;$AC41, TRUE)</f>
        <v>2915</v>
      </c>
      <c r="H41" s="3263" cm="1">
        <f t="array" aca="1" ref="H41" ca="1">INDIRECT("'※ 수수료 기준_가입자'!"&amp;H$1&amp;$AC41, TRUE)</f>
        <v>2596</v>
      </c>
      <c r="I41" s="3263" cm="1">
        <f t="array" aca="1" ref="I41" ca="1">INDIRECT("'※ 수수료 기준_가입자'!"&amp;I$1&amp;$AC41, TRUE)</f>
        <v>2424</v>
      </c>
      <c r="J41" s="3263" cm="1">
        <f t="array" aca="1" ref="J41" ca="1">INDIRECT("'※ 수수료 기준_가입자'!"&amp;J$1&amp;$AC41, TRUE)</f>
        <v>3460</v>
      </c>
      <c r="K41" s="3263" cm="1">
        <f t="array" aca="1" ref="K41" ca="1">INDIRECT("'※ 수수료 기준_가입자'!"&amp;K$1&amp;$AC41, TRUE)</f>
        <v>3166</v>
      </c>
      <c r="L41" s="3263" cm="1">
        <f t="array" aca="1" ref="L41" ca="1">INDIRECT("'※ 수수료 기준_가입자'!"&amp;L$1&amp;$AC41, TRUE)</f>
        <v>4626</v>
      </c>
      <c r="M41" s="3263" cm="1">
        <f t="array" aca="1" ref="M41" ca="1">INDIRECT("'※ 수수료 기준_가입자'!"&amp;M$1&amp;$AC41, TRUE)</f>
        <v>3060</v>
      </c>
      <c r="N41" s="3263" cm="1">
        <f t="array" aca="1" ref="N41" ca="1">INDIRECT("'※ 수수료 기준_가입자'!"&amp;N$1&amp;$AC41, TRUE)</f>
        <v>2547</v>
      </c>
      <c r="O41" s="3263" cm="1">
        <f t="array" aca="1" ref="O41" ca="1">INDIRECT("'※ 수수료 기준_가입자'!"&amp;O$1&amp;$AC41, TRUE)</f>
        <v>3919</v>
      </c>
      <c r="P41" s="3263" cm="1">
        <f t="array" aca="1" ref="P41" ca="1">INDIRECT("'※ 수수료 기준_가입자'!"&amp;P$1&amp;$AC41, TRUE)</f>
        <v>3471</v>
      </c>
      <c r="Q41" s="3263" cm="1">
        <f t="array" aca="1" ref="Q41" ca="1">INDIRECT("'※ 수수료 기준_가입자'!"&amp;Q$1&amp;$AC41, TRUE)</f>
        <v>3119</v>
      </c>
      <c r="R41" s="5773"/>
      <c r="S41" s="5773"/>
      <c r="T41" s="5773"/>
      <c r="U41" s="5774">
        <f ca="1">I41-H41</f>
        <v>-172</v>
      </c>
      <c r="V41" s="5775" cm="1">
        <f t="array" aca="1" ref="V41" ca="1">INDIRECT("'※ 수수료 기준_가입자'!"&amp;V$2&amp;$AC41, TRUE)</f>
        <v>-296</v>
      </c>
      <c r="W41" s="5776" cm="1">
        <f t="array" aca="1" ref="W41" ca="1">INDIRECT("'※ 수수료 기준_가입자'!"&amp;W$1&amp;$AC41, TRUE)</f>
        <v>39927</v>
      </c>
      <c r="X41" s="5777"/>
      <c r="Y41" s="5777"/>
      <c r="Z41" s="5775" cm="1">
        <f t="array" aca="1" ref="Z41" ca="1">INDIRECT("'※ 수수료 기준_가입자'!"&amp;Z$1&amp;$AC41, TRUE)</f>
        <v>-28812</v>
      </c>
      <c r="AA41" s="5778" cm="1">
        <f t="array" aca="1" ref="AA41" ca="1">INDIRECT("'※ 수수료 기준_가입자'!"&amp;AA$1&amp;$AC41, TRUE)</f>
        <v>3327.25</v>
      </c>
      <c r="AB41" s="5779" cm="1">
        <f t="array" aca="1" ref="AB41" ca="1">INDIRECT("'※ 수수료 기준_가입자'!"&amp;AB$1&amp;$AC41, TRUE)</f>
        <v>-2685.583333333333</v>
      </c>
      <c r="AC41" s="5364">
        <f>ROW('※ 수수료 기준_가입자'!Y37)</f>
        <v>37</v>
      </c>
    </row>
    <row r="42" spans="1:30" s="5076" customFormat="1" ht="20.05" customHeight="1" thickBot="1" x14ac:dyDescent="0.6">
      <c r="A42" s="7121"/>
      <c r="B42" s="5820" t="s">
        <v>51</v>
      </c>
      <c r="C42" s="5820"/>
      <c r="D42" s="5821" cm="1">
        <f t="array" aca="1" ref="D42" ca="1">INDIRECT("'※ 수수료 기준_가입자'!"&amp;D$1&amp;$AC42, TRUE)</f>
        <v>3626</v>
      </c>
      <c r="E42" s="5822" cm="1">
        <f t="array" aca="1" ref="E42" ca="1">INDIRECT("'※ 수수료 기준_가입자'!"&amp;E$1&amp;$AC42, TRUE)</f>
        <v>-60402</v>
      </c>
      <c r="F42" s="5823" cm="1">
        <f t="array" aca="1" ref="F42" ca="1">INDIRECT("'※ 수수료 기준_가입자'!"&amp;F$1&amp;$AC42, TRUE)</f>
        <v>-1179</v>
      </c>
      <c r="G42" s="5822" cm="1">
        <f t="array" aca="1" ref="G42" ca="1">INDIRECT("'※ 수수료 기준_가입자'!"&amp;G$1&amp;$AC42, TRUE)</f>
        <v>-3338</v>
      </c>
      <c r="H42" s="5822" cm="1">
        <f t="array" aca="1" ref="H42" ca="1">INDIRECT("'※ 수수료 기준_가입자'!"&amp;H$1&amp;$AC42, TRUE)</f>
        <v>-5285</v>
      </c>
      <c r="I42" s="5822" cm="1">
        <f t="array" aca="1" ref="I42" ca="1">INDIRECT("'※ 수수료 기준_가입자'!"&amp;I$1&amp;$AC42, TRUE)</f>
        <v>5032</v>
      </c>
      <c r="J42" s="5822" cm="1">
        <f t="array" aca="1" ref="J42" ca="1">INDIRECT("'※ 수수료 기준_가입자'!"&amp;J$1&amp;$AC42, TRUE)</f>
        <v>1590</v>
      </c>
      <c r="K42" s="5822" cm="1">
        <f t="array" aca="1" ref="K42" ca="1">INDIRECT("'※ 수수료 기준_가입자'!"&amp;K$1&amp;$AC42, TRUE)</f>
        <v>-4361</v>
      </c>
      <c r="L42" s="5822" cm="1">
        <f t="array" aca="1" ref="L42" ca="1">INDIRECT("'※ 수수료 기준_가입자'!"&amp;L$1&amp;$AC42, TRUE)</f>
        <v>616</v>
      </c>
      <c r="M42" s="5822" cm="1">
        <f t="array" aca="1" ref="M42" ca="1">INDIRECT("'※ 수수료 기준_가입자'!"&amp;M$1&amp;$AC42, TRUE)</f>
        <v>-1598</v>
      </c>
      <c r="N42" s="5822" cm="1">
        <f t="array" aca="1" ref="N42" ca="1">INDIRECT("'※ 수수료 기준_가입자'!"&amp;N$1&amp;$AC42, TRUE)</f>
        <v>4805</v>
      </c>
      <c r="O42" s="5822" cm="1">
        <f t="array" aca="1" ref="O42" ca="1">INDIRECT("'※ 수수료 기준_가입자'!"&amp;O$1&amp;$AC42, TRUE)</f>
        <v>-2434</v>
      </c>
      <c r="P42" s="5822" cm="1">
        <f t="array" aca="1" ref="P42" ca="1">INDIRECT("'※ 수수료 기준_가입자'!"&amp;P$1&amp;$AC42, TRUE)</f>
        <v>-640</v>
      </c>
      <c r="Q42" s="5822" cm="1">
        <f t="array" aca="1" ref="Q42" ca="1">INDIRECT("'※ 수수료 기준_가입자'!"&amp;Q$1&amp;$AC42, TRUE)</f>
        <v>329</v>
      </c>
      <c r="R42" s="5824"/>
      <c r="S42" s="5824"/>
      <c r="T42" s="5824"/>
      <c r="U42" s="5825">
        <f ca="1">I42-H42</f>
        <v>10317</v>
      </c>
      <c r="V42" s="5826" cm="1">
        <f t="array" aca="1" ref="V42" ca="1">INDIRECT("'※ 수수료 기준_가입자'!"&amp;V$2&amp;$AC42, TRUE)</f>
        <v>1817</v>
      </c>
      <c r="W42" s="5827" cm="1">
        <f t="array" aca="1" ref="W42" ca="1">INDIRECT("'※ 수수료 기준_가입자'!"&amp;W$1&amp;$AC42, TRUE)</f>
        <v>-6463</v>
      </c>
      <c r="X42" s="5828"/>
      <c r="Y42" s="5828"/>
      <c r="Z42" s="5826" cm="1">
        <f t="array" aca="1" ref="Z42" ca="1">INDIRECT("'※ 수수료 기준_가입자'!"&amp;Z$1&amp;$AC42, TRUE)</f>
        <v>52451</v>
      </c>
      <c r="AA42" s="5829" cm="1">
        <f t="array" aca="1" ref="AA42" ca="1">INDIRECT("'※ 수수료 기준_가입자'!"&amp;AA$1&amp;$AC42, TRUE)</f>
        <v>-538.58333333333337</v>
      </c>
      <c r="AB42" s="5830" cm="1">
        <f t="array" aca="1" ref="AB42" ca="1">INDIRECT("'※ 수수료 기준_가입자'!"&amp;AB$1&amp;$AC42, TRUE)</f>
        <v>4494.916666666667</v>
      </c>
      <c r="AC42" s="5364">
        <f>ROW('※ 수수료 기준_가입자'!Y38)</f>
        <v>38</v>
      </c>
      <c r="AD42" s="5360"/>
    </row>
    <row r="43" spans="1:30" ht="6" customHeight="1" thickTop="1" thickBot="1" x14ac:dyDescent="0.6">
      <c r="A43" s="5076"/>
      <c r="D43" s="2493"/>
      <c r="F43" s="5841"/>
      <c r="G43" s="2493"/>
      <c r="H43" s="2493"/>
      <c r="I43" s="2493"/>
      <c r="J43" s="2493"/>
      <c r="K43" s="2493"/>
      <c r="L43" s="2493"/>
      <c r="M43" s="2493"/>
      <c r="N43" s="2493"/>
      <c r="O43" s="2493"/>
      <c r="P43" s="2493"/>
      <c r="Q43" s="2493"/>
      <c r="R43" s="2493"/>
      <c r="S43" s="2493"/>
      <c r="T43" s="2493"/>
      <c r="U43" s="2493"/>
      <c r="V43" s="2493"/>
      <c r="W43" s="5842"/>
    </row>
    <row r="44" spans="1:30" s="5076" customFormat="1" ht="18" customHeight="1" thickTop="1" x14ac:dyDescent="0.55000000000000004">
      <c r="A44" s="7122" t="s">
        <v>1094</v>
      </c>
      <c r="B44" s="5843" t="s">
        <v>63</v>
      </c>
      <c r="C44" s="5843"/>
      <c r="D44" s="5844" cm="1">
        <f t="array" aca="1" ref="D44" ca="1">INDIRECT("'※ 영기팀 작성_가입자'!"&amp;D$1&amp;$AC44, TRUE)</f>
        <v>572291</v>
      </c>
      <c r="E44" s="5845" cm="1">
        <f t="array" aca="1" ref="E44" ca="1">INDIRECT("'※ 영기팀 작성_가입자'!"&amp;E$1&amp;$AC44, TRUE)</f>
        <v>618678</v>
      </c>
      <c r="F44" s="5846" cm="1">
        <f t="array" aca="1" ref="F44" ca="1">INDIRECT("'※ 영기팀 작성_가입자'!"&amp;F$1&amp;$AC44, TRUE)</f>
        <v>38822</v>
      </c>
      <c r="G44" s="5845" cm="1">
        <f t="array" aca="1" ref="G44" ca="1">INDIRECT("'※ 영기팀 작성_가입자'!"&amp;G$1&amp;$AC44, TRUE)</f>
        <v>74843</v>
      </c>
      <c r="H44" s="5845" cm="1">
        <f t="array" aca="1" ref="H44" ca="1">INDIRECT("'※ 영기팀 작성_가입자'!"&amp;H$1&amp;$AC44, TRUE)</f>
        <v>50688</v>
      </c>
      <c r="I44" s="5845" cm="1">
        <f t="array" aca="1" ref="I44" ca="1">INDIRECT("'※ 영기팀 작성_가입자'!"&amp;I$1&amp;$AC44, TRUE)</f>
        <v>64086</v>
      </c>
      <c r="J44" s="5845" cm="1">
        <f t="array" aca="1" ref="J44" ca="1">INDIRECT("'※ 영기팀 작성_가입자'!"&amp;J$1&amp;$AC44, TRUE)</f>
        <v>98908</v>
      </c>
      <c r="K44" s="5845" cm="1">
        <f t="array" aca="1" ref="K44" ca="1">INDIRECT("'※ 영기팀 작성_가입자'!"&amp;K$1&amp;$AC44, TRUE)</f>
        <v>63565</v>
      </c>
      <c r="L44" s="5845" cm="1">
        <f t="array" aca="1" ref="L44" ca="1">INDIRECT("'※ 영기팀 작성_가입자'!"&amp;L$1&amp;$AC44, TRUE)</f>
        <v>95964</v>
      </c>
      <c r="M44" s="5845" cm="1">
        <f t="array" aca="1" ref="M44" ca="1">INDIRECT("'※ 영기팀 작성_가입자'!"&amp;M$1&amp;$AC44, TRUE)</f>
        <v>57357</v>
      </c>
      <c r="N44" s="5845" cm="1">
        <f t="array" aca="1" ref="N44" ca="1">INDIRECT("'※ 영기팀 작성_가입자'!"&amp;N$1&amp;$AC44, TRUE)</f>
        <v>76227</v>
      </c>
      <c r="O44" s="5845" cm="1">
        <f t="array" aca="1" ref="O44" ca="1">INDIRECT("'※ 영기팀 작성_가입자'!"&amp;O$1&amp;$AC44, TRUE)</f>
        <v>62495</v>
      </c>
      <c r="P44" s="5845" cm="1">
        <f t="array" aca="1" ref="P44" ca="1">INDIRECT("'※ 영기팀 작성_가입자'!"&amp;P$1&amp;$AC44, TRUE)</f>
        <v>52601</v>
      </c>
      <c r="Q44" s="5845" cm="1">
        <f t="array" aca="1" ref="Q44" ca="1">INDIRECT("'※ 영기팀 작성_가입자'!"&amp;Q$1&amp;$AC44, TRUE)</f>
        <v>52735</v>
      </c>
      <c r="R44" s="5847" cm="1">
        <f t="array" aca="1" ref="R44" ca="1">INDIRECT("'※ 영기팀 작성_가입자'!"&amp;R$1&amp;$AD44, TRUE)</f>
        <v>61300</v>
      </c>
      <c r="S44" s="5847" cm="1">
        <f t="array" aca="1" ref="S44" ca="1">INDIRECT("'※ 영기팀 작성_가입자'!"&amp;S$1&amp;$AD44, TRUE)</f>
        <v>-8565</v>
      </c>
      <c r="T44" s="5848" cm="1">
        <f t="array" aca="1" ref="T44" ca="1">INDIRECT("'※ 영기팀 작성_가입자'!"&amp;T$1&amp;$AD44, TRUE)</f>
        <v>0.88876599582840066</v>
      </c>
      <c r="U44" s="5849">
        <f t="shared" ref="U44:U56" ca="1" si="2">I44-H44</f>
        <v>13398</v>
      </c>
      <c r="V44" s="5847" cm="1">
        <f t="array" aca="1" ref="V44" ca="1">INDIRECT("'※ 영기팀 작성_가입자'!"&amp;V$1&amp;$AC44, TRUE)</f>
        <v>11627</v>
      </c>
      <c r="W44" s="5850" cm="1">
        <f t="array" aca="1" ref="W44" ca="1">INDIRECT("'※ 영기팀 작성_가입자'!"&amp;W$1&amp;$AC44, TRUE)</f>
        <v>788291</v>
      </c>
      <c r="X44" s="5847" cm="1">
        <f t="array" aca="1" ref="X44" ca="1">INDIRECT("'※ 영기팀 작성_가입자'!"&amp;X$1&amp;$AD44, TRUE)</f>
        <v>-8565</v>
      </c>
      <c r="Y44" s="5848" cm="1">
        <f t="array" aca="1" ref="Y44" ca="1">INDIRECT("'※ 영기팀 작성_가입자'!"&amp;Y$1&amp;$AD44, TRUE)</f>
        <v>1.4029503546099291</v>
      </c>
      <c r="Z44" s="5847" cm="1">
        <f t="array" aca="1" ref="Z44" ca="1">INDIRECT("'※ 영기팀 작성_가입자'!"&amp;Z$2&amp;$AC44, TRUE)</f>
        <v>169613</v>
      </c>
      <c r="AA44" s="5851" cm="1">
        <f t="array" aca="1" ref="AA44" ca="1">INDIRECT("'※ 영기팀 작성_가입자'!"&amp;AA$1&amp;$AC44, TRUE)</f>
        <v>65685.442879760027</v>
      </c>
      <c r="AB44" s="5852" cm="1">
        <f t="array" aca="1" ref="AB44" ca="1">INDIRECT("'※ 영기팀 작성_가입자'!"&amp;AB$1&amp;$AC44, TRUE)</f>
        <v>11627</v>
      </c>
      <c r="AC44" s="5364">
        <f>ROW('※ 영기팀 작성_가입자'!AW4)</f>
        <v>4</v>
      </c>
      <c r="AD44" s="5360">
        <f>ROW('※ 영기팀 작성_가입자'!AW359)</f>
        <v>359</v>
      </c>
    </row>
    <row r="45" spans="1:30" ht="18" customHeight="1" x14ac:dyDescent="0.55000000000000004">
      <c r="A45" s="7123"/>
      <c r="B45" s="2493" t="s">
        <v>47</v>
      </c>
      <c r="C45" s="2493"/>
      <c r="D45" s="5256" cm="1">
        <f t="array" aca="1" ref="D45" ca="1">INDIRECT("'※ 영기팀 작성_가입자'!"&amp;D$1&amp;$AC45, TRUE)</f>
        <v>192341</v>
      </c>
      <c r="E45" s="3263" cm="1">
        <f t="array" aca="1" ref="E45" ca="1">INDIRECT("'※ 영기팀 작성_가입자'!"&amp;E$1&amp;$AC45, TRUE)</f>
        <v>237150</v>
      </c>
      <c r="F45" s="5344" cm="1">
        <f t="array" aca="1" ref="F45" ca="1">INDIRECT("'※ 영기팀 작성_가입자'!"&amp;F$1&amp;$AC45, TRUE)</f>
        <v>17134</v>
      </c>
      <c r="G45" s="3263" cm="1">
        <f t="array" aca="1" ref="G45" ca="1">INDIRECT("'※ 영기팀 작성_가입자'!"&amp;G$1&amp;$AC45, TRUE)</f>
        <v>24904</v>
      </c>
      <c r="H45" s="3263" cm="1">
        <f t="array" aca="1" ref="H45" ca="1">INDIRECT("'※ 영기팀 작성_가입자'!"&amp;H$1&amp;$AC45, TRUE)</f>
        <v>21688</v>
      </c>
      <c r="I45" s="3263" cm="1">
        <f t="array" aca="1" ref="I45" ca="1">INDIRECT("'※ 영기팀 작성_가입자'!"&amp;I$1&amp;$AC45, TRUE)</f>
        <v>34019</v>
      </c>
      <c r="J45" s="3263" cm="1">
        <f t="array" aca="1" ref="J45" ca="1">INDIRECT("'※ 영기팀 작성_가입자'!"&amp;J$1&amp;$AC45, TRUE)</f>
        <v>68004</v>
      </c>
      <c r="K45" s="3263" cm="1">
        <f t="array" aca="1" ref="K45" ca="1">INDIRECT("'※ 영기팀 작성_가입자'!"&amp;K$1&amp;$AC45, TRUE)</f>
        <v>33265</v>
      </c>
      <c r="L45" s="3263" cm="1">
        <f t="array" aca="1" ref="L45" ca="1">INDIRECT("'※ 영기팀 작성_가입자'!"&amp;L$1&amp;$AC45, TRUE)</f>
        <v>49067</v>
      </c>
      <c r="M45" s="3263" cm="1">
        <f t="array" aca="1" ref="M45" ca="1">INDIRECT("'※ 영기팀 작성_가입자'!"&amp;M$1&amp;$AC45, TRUE)</f>
        <v>20949</v>
      </c>
      <c r="N45" s="3263" cm="1">
        <f t="array" aca="1" ref="N45" ca="1">INDIRECT("'※ 영기팀 작성_가입자'!"&amp;N$1&amp;$AC45, TRUE)</f>
        <v>23060</v>
      </c>
      <c r="O45" s="3263" cm="1">
        <f t="array" aca="1" ref="O45" ca="1">INDIRECT("'※ 영기팀 작성_가입자'!"&amp;O$1&amp;$AC45, TRUE)</f>
        <v>19985</v>
      </c>
      <c r="P45" s="3263" cm="1">
        <f t="array" aca="1" ref="P45" ca="1">INDIRECT("'※ 영기팀 작성_가입자'!"&amp;P$1&amp;$AC45, TRUE)</f>
        <v>21481</v>
      </c>
      <c r="Q45" s="3263" cm="1">
        <f t="array" aca="1" ref="Q45" ca="1">INDIRECT("'※ 영기팀 작성_가입자'!"&amp;Q$1&amp;$AC45, TRUE)</f>
        <v>21980</v>
      </c>
      <c r="R45" s="5853" cm="1">
        <f t="array" aca="1" ref="R45" ca="1">INDIRECT("'※ 영기팀 작성_가입자'!"&amp;R$1&amp;$AD45, TRUE)</f>
        <v>22400</v>
      </c>
      <c r="S45" s="5853" cm="1">
        <f t="array" aca="1" ref="S45" ca="1">INDIRECT("'※ 영기팀 작성_가입자'!"&amp;S$1&amp;$AD45, TRUE)</f>
        <v>-420</v>
      </c>
      <c r="T45" s="5854" cm="1">
        <f t="array" aca="1" ref="T45" ca="1">INDIRECT("'※ 영기팀 작성_가입자'!"&amp;T$1&amp;$AD45, TRUE)</f>
        <v>1.0138473822288125</v>
      </c>
      <c r="U45" s="5855">
        <f t="shared" ca="1" si="2"/>
        <v>12331</v>
      </c>
      <c r="V45" s="5853" cm="1">
        <f t="array" aca="1" ref="V45" ca="1">INDIRECT("'※ 영기팀 작성_가입자'!"&amp;V$1&amp;$AC45, TRUE)</f>
        <v>4076</v>
      </c>
      <c r="W45" s="5856" cm="1">
        <f t="array" aca="1" ref="W45" ca="1">INDIRECT("'※ 영기팀 작성_가입자'!"&amp;W$1&amp;$AC45, TRUE)</f>
        <v>355536</v>
      </c>
      <c r="X45" s="5853" cm="1">
        <f t="array" aca="1" ref="X45" ca="1">INDIRECT("'※ 영기팀 작성_가입자'!"&amp;X$1&amp;$AD45, TRUE)</f>
        <v>-420</v>
      </c>
      <c r="Y45" s="5854" cm="1">
        <f t="array" aca="1" ref="Y45" ca="1">INDIRECT("'※ 영기팀 작성_가입자'!"&amp;Y$1&amp;$AD45, TRUE)</f>
        <v>2.5093726937269372</v>
      </c>
      <c r="Z45" s="5853" cm="1">
        <f t="array" aca="1" ref="Z45" ca="1">INDIRECT("'※ 영기팀 작성_가입자'!"&amp;Z$2&amp;$AC45, TRUE)</f>
        <v>118386</v>
      </c>
      <c r="AA45" s="5857" cm="1">
        <f t="array" aca="1" ref="AA45" ca="1">INDIRECT("'※ 영기팀 작성_가입자'!"&amp;AA$1&amp;$AC45, TRUE)</f>
        <v>29625.531205732856</v>
      </c>
      <c r="AB45" s="5858" cm="1">
        <f t="array" aca="1" ref="AB45" ca="1">INDIRECT("'※ 영기팀 작성_가입자'!"&amp;AB$1&amp;$AC45, TRUE)</f>
        <v>4076</v>
      </c>
      <c r="AC45" s="5364">
        <f>ROW('※ 영기팀 작성_가입자'!AW5)</f>
        <v>5</v>
      </c>
      <c r="AD45" s="5360">
        <f>ROW('※ 영기팀 작성_가입자'!AI360)</f>
        <v>360</v>
      </c>
    </row>
    <row r="46" spans="1:30" s="2525" customFormat="1" ht="18" customHeight="1" x14ac:dyDescent="0.55000000000000004">
      <c r="A46" s="7123"/>
      <c r="B46" s="5625" t="s">
        <v>479</v>
      </c>
      <c r="C46" s="3759"/>
      <c r="D46" s="5859">
        <f ca="1">D45/D44</f>
        <v>0.33608950691169354</v>
      </c>
      <c r="E46" s="5860">
        <f ca="1">E45/E44</f>
        <v>0.38331733147129848</v>
      </c>
      <c r="F46" s="5861">
        <f t="shared" ref="F46:K46" ca="1" si="3">F45/F44</f>
        <v>0.44134768945443303</v>
      </c>
      <c r="G46" s="5860">
        <f t="shared" ca="1" si="3"/>
        <v>0.3327498897692503</v>
      </c>
      <c r="H46" s="5860">
        <f t="shared" ca="1" si="3"/>
        <v>0.42787247474747475</v>
      </c>
      <c r="I46" s="5860">
        <f t="shared" ca="1" si="3"/>
        <v>0.5308335673938146</v>
      </c>
      <c r="J46" s="5860">
        <f t="shared" ca="1" si="3"/>
        <v>0.68754802442674001</v>
      </c>
      <c r="K46" s="5860">
        <f t="shared" ca="1" si="3"/>
        <v>0.52332258318256908</v>
      </c>
      <c r="L46" s="5860">
        <f t="shared" ref="L46:M46" ca="1" si="4">L45/L44</f>
        <v>0.51130632320453506</v>
      </c>
      <c r="M46" s="5860">
        <f t="shared" ca="1" si="4"/>
        <v>0.36523876771797686</v>
      </c>
      <c r="N46" s="5860">
        <f t="shared" ref="N46:O46" ca="1" si="5">N45/N44</f>
        <v>0.30251748068269774</v>
      </c>
      <c r="O46" s="5860">
        <f t="shared" ca="1" si="5"/>
        <v>0.31978558284662773</v>
      </c>
      <c r="P46" s="5860">
        <f t="shared" ref="P46:Q46" ca="1" si="6">P45/P44</f>
        <v>0.40837626661090093</v>
      </c>
      <c r="Q46" s="5860">
        <f t="shared" ca="1" si="6"/>
        <v>0.41680098606238741</v>
      </c>
      <c r="R46" s="5862"/>
      <c r="S46" s="5862"/>
      <c r="T46" s="5863"/>
      <c r="U46" s="5864">
        <f t="shared" ca="1" si="2"/>
        <v>0.10296109264633985</v>
      </c>
      <c r="V46" s="5865" cm="1">
        <f t="array" aca="1" ref="V46" ca="1">INDIRECT("'※ 영기팀 작성_가입자'!"&amp;V$1&amp;$AC46, TRUE)</f>
        <v>-1.5305123836100498E-2</v>
      </c>
      <c r="W46" s="5866">
        <f ca="1">W45/W44</f>
        <v>0.45102125991543734</v>
      </c>
      <c r="X46" s="5862"/>
      <c r="Y46" s="5863"/>
      <c r="Z46" s="5867" cm="1">
        <f t="array" aca="1" ref="Z46" ca="1">INDIRECT("'※ 영기팀 작성_가입자'!"&amp;Z$2&amp;$AC46, TRUE)</f>
        <v>-3.4461783442747689</v>
      </c>
      <c r="AA46" s="5868" cm="1">
        <f t="array" aca="1" ref="AA46" ca="1">INDIRECT("'※ 영기팀 작성_가입자'!"&amp;AA$1&amp;$AC46, TRUE)</f>
        <v>0.32975519112100798</v>
      </c>
      <c r="AB46" s="5869" cm="1">
        <f t="array" aca="1" ref="AB46" ca="1">INDIRECT("'※ 영기팀 작성_가입자'!"&amp;AB$1&amp;$AC46, TRUE)</f>
        <v>-1.5305123836100498E-2</v>
      </c>
      <c r="AC46" s="5364">
        <f>ROW('※ 영기팀 작성_가입자'!AH58)</f>
        <v>58</v>
      </c>
      <c r="AD46" s="5360">
        <f>ROW('※ 영기팀 작성_가입자'!AI361)</f>
        <v>361</v>
      </c>
    </row>
    <row r="47" spans="1:30" ht="18" customHeight="1" x14ac:dyDescent="0.55000000000000004">
      <c r="A47" s="7123"/>
      <c r="B47" s="2648"/>
      <c r="C47" s="2858" t="s">
        <v>54</v>
      </c>
      <c r="D47" s="5870" cm="1">
        <f t="array" aca="1" ref="D47" ca="1">INDIRECT("'※ 영기팀 작성_가입자'!"&amp;D$1&amp;$AC47, TRUE)</f>
        <v>101211</v>
      </c>
      <c r="E47" s="5871" cm="1">
        <f t="array" aca="1" ref="E47" ca="1">INDIRECT("'※ 영기팀 작성_가입자'!"&amp;E$1&amp;$AC47, TRUE)</f>
        <v>122145</v>
      </c>
      <c r="F47" s="5872" cm="1">
        <f t="array" aca="1" ref="F47" ca="1">INDIRECT("'※ 영기팀 작성_가입자'!"&amp;F$1&amp;$AC47, TRUE)</f>
        <v>8212</v>
      </c>
      <c r="G47" s="5871" cm="1">
        <f t="array" aca="1" ref="G47" ca="1">INDIRECT("'※ 영기팀 작성_가입자'!"&amp;G$1&amp;$AC47, TRUE)</f>
        <v>11573</v>
      </c>
      <c r="H47" s="5871" cm="1">
        <f t="array" aca="1" ref="H47" ca="1">INDIRECT("'※ 영기팀 작성_가입자'!"&amp;H$1&amp;$AC47, TRUE)</f>
        <v>8545</v>
      </c>
      <c r="I47" s="5871" cm="1">
        <f t="array" aca="1" ref="I47" ca="1">INDIRECT("'※ 영기팀 작성_가입자'!"&amp;I$1&amp;$AC47, TRUE)</f>
        <v>13772.000000000002</v>
      </c>
      <c r="J47" s="5871" cm="1">
        <f t="array" aca="1" ref="J47" ca="1">INDIRECT("'※ 영기팀 작성_가입자'!"&amp;J$1&amp;$AC47, TRUE)</f>
        <v>28547</v>
      </c>
      <c r="K47" s="5871" cm="1">
        <f t="array" aca="1" ref="K47" ca="1">INDIRECT("'※ 영기팀 작성_가입자'!"&amp;K$1&amp;$AC47, TRUE)</f>
        <v>17777</v>
      </c>
      <c r="L47" s="5871" cm="1">
        <f t="array" aca="1" ref="L47" ca="1">INDIRECT("'※ 영기팀 작성_가입자'!"&amp;L$1&amp;$AC47, TRUE)</f>
        <v>19237</v>
      </c>
      <c r="M47" s="5871" cm="1">
        <f t="array" aca="1" ref="M47" ca="1">INDIRECT("'※ 영기팀 작성_가입자'!"&amp;M$1&amp;$AC47, TRUE)</f>
        <v>10732</v>
      </c>
      <c r="N47" s="5871" cm="1">
        <f t="array" aca="1" ref="N47" ca="1">INDIRECT("'※ 영기팀 작성_가입자'!"&amp;N$1&amp;$AC47, TRUE)</f>
        <v>13422.000000000002</v>
      </c>
      <c r="O47" s="5871" cm="1">
        <f t="array" aca="1" ref="O47" ca="1">INDIRECT("'※ 영기팀 작성_가입자'!"&amp;O$1&amp;$AC47, TRUE)</f>
        <v>11492</v>
      </c>
      <c r="P47" s="5871" cm="1">
        <f t="array" aca="1" ref="P47" ca="1">INDIRECT("'※ 영기팀 작성_가입자'!"&amp;P$1&amp;$AC47, TRUE)</f>
        <v>13148</v>
      </c>
      <c r="Q47" s="5871" cm="1">
        <f t="array" aca="1" ref="Q47" ca="1">INDIRECT("'※ 영기팀 작성_가입자'!"&amp;Q$1&amp;$AC47, TRUE)</f>
        <v>10692</v>
      </c>
      <c r="R47" s="5873"/>
      <c r="S47" s="5873"/>
      <c r="T47" s="5874"/>
      <c r="U47" s="5875">
        <f t="shared" ca="1" si="2"/>
        <v>5227.0000000000018</v>
      </c>
      <c r="V47" s="5876" cm="1">
        <f t="array" aca="1" ref="V47" ca="1">INDIRECT("'※ 영기팀 작성_가입자'!"&amp;V$1&amp;$AC47, TRUE)</f>
        <v>1474</v>
      </c>
      <c r="W47" s="5877" cm="1">
        <f t="array" aca="1" ref="W47" ca="1">INDIRECT("'※ 영기팀 작성_가입자'!"&amp;W$1&amp;$AC47, TRUE)</f>
        <v>167149</v>
      </c>
      <c r="X47" s="5873"/>
      <c r="Y47" s="5874"/>
      <c r="Z47" s="5878" cm="1">
        <f t="array" aca="1" ref="Z47" ca="1">INDIRECT("'※ 영기팀 작성_가입자'!"&amp;Z$2&amp;$AC47, TRUE)</f>
        <v>45004</v>
      </c>
      <c r="AA47" s="5879" cm="1">
        <f t="array" aca="1" ref="AA47" ca="1">INDIRECT("'※ 영기팀 작성_가입자'!"&amp;AA$1&amp;$AC47, TRUE)</f>
        <v>13927.922673110575</v>
      </c>
      <c r="AB47" s="5880" cm="1">
        <f t="array" aca="1" ref="AB47" ca="1">INDIRECT("'※ 영기팀 작성_가입자'!"&amp;AB$1&amp;$AC47, TRUE)</f>
        <v>1474</v>
      </c>
      <c r="AC47" s="5364">
        <f>ROW('※ 영기팀 작성_가입자'!AH60)</f>
        <v>60</v>
      </c>
      <c r="AD47" s="5360">
        <f>ROW('※ 영기팀 작성_가입자'!AI362)</f>
        <v>362</v>
      </c>
    </row>
    <row r="48" spans="1:30" s="2525" customFormat="1" ht="18" customHeight="1" x14ac:dyDescent="0.55000000000000004">
      <c r="A48" s="7123"/>
      <c r="B48" s="3759"/>
      <c r="C48" s="5881" t="s">
        <v>64</v>
      </c>
      <c r="D48" s="5882">
        <f ca="1">D47/D44</f>
        <v>0.17685233561247687</v>
      </c>
      <c r="E48" s="5883">
        <f ca="1">E47/E44</f>
        <v>0.19742903416639998</v>
      </c>
      <c r="F48" s="5884">
        <f t="shared" ref="F48:K48" ca="1" si="7">F47/F44</f>
        <v>0.21152954510329194</v>
      </c>
      <c r="G48" s="5883">
        <f t="shared" ca="1" si="7"/>
        <v>0.15463035955266358</v>
      </c>
      <c r="H48" s="5883">
        <f t="shared" ca="1" si="7"/>
        <v>0.16858033459595959</v>
      </c>
      <c r="I48" s="5883">
        <f t="shared" ca="1" si="7"/>
        <v>0.21489872983178857</v>
      </c>
      <c r="J48" s="5883">
        <f t="shared" ca="1" si="7"/>
        <v>0.28862174950459013</v>
      </c>
      <c r="K48" s="5883">
        <f t="shared" ca="1" si="7"/>
        <v>0.2796664831275073</v>
      </c>
      <c r="L48" s="5883">
        <f t="shared" ref="L48:M48" ca="1" si="8">L47/L44</f>
        <v>0.20046058938768704</v>
      </c>
      <c r="M48" s="5883">
        <f t="shared" ca="1" si="8"/>
        <v>0.18710880973551616</v>
      </c>
      <c r="N48" s="5883">
        <f t="shared" ref="N48:O48" ca="1" si="9">N47/N44</f>
        <v>0.17607934196544534</v>
      </c>
      <c r="O48" s="5883">
        <f t="shared" ca="1" si="9"/>
        <v>0.18388671093687495</v>
      </c>
      <c r="P48" s="5883">
        <f t="shared" ref="P48:Q48" ca="1" si="10">P47/P44</f>
        <v>0.24995722514781088</v>
      </c>
      <c r="Q48" s="5883">
        <f t="shared" ca="1" si="10"/>
        <v>0.20274959704181283</v>
      </c>
      <c r="R48" s="5862"/>
      <c r="S48" s="5862"/>
      <c r="T48" s="5863"/>
      <c r="U48" s="5885">
        <f t="shared" ca="1" si="2"/>
        <v>4.631839523582898E-2</v>
      </c>
      <c r="V48" s="5886" cm="1">
        <f t="array" aca="1" ref="V48" ca="1">INDIRECT("'※ 영기팀 작성_가입자'!"&amp;V$1&amp;$AC48, TRUE)</f>
        <v>-2.6888855356084401E-2</v>
      </c>
      <c r="W48" s="5887">
        <f ca="1">W47/W44</f>
        <v>0.21203971629766166</v>
      </c>
      <c r="X48" s="5862"/>
      <c r="Y48" s="5863"/>
      <c r="Z48" s="5888" cm="1">
        <f t="array" aca="1" ref="Z48" ca="1">INDIRECT("'※ 영기팀 작성_가입자'!"&amp;Z$2&amp;$AC48, TRUE)</f>
        <v>-2.4795097668080284</v>
      </c>
      <c r="AA48" s="5889" cm="1">
        <f t="array" aca="1" ref="AA48" ca="1">INDIRECT("'※ 영기팀 작성_가입자'!"&amp;AA$1&amp;$AC48, TRUE)</f>
        <v>0.25925419896682428</v>
      </c>
      <c r="AB48" s="5890" cm="1">
        <f t="array" aca="1" ref="AB48" ca="1">INDIRECT("'※ 영기팀 작성_가입자'!"&amp;AB$1&amp;$AC48, TRUE)</f>
        <v>-2.6888855356084401E-2</v>
      </c>
      <c r="AC48" s="5364">
        <f>ROW('※ 영기팀 작성_가입자'!AH61)</f>
        <v>61</v>
      </c>
      <c r="AD48" s="5360">
        <f>ROW('※ 영기팀 작성_가입자'!AI364)</f>
        <v>364</v>
      </c>
    </row>
    <row r="49" spans="1:32" ht="18" customHeight="1" x14ac:dyDescent="0.55000000000000004">
      <c r="A49" s="7123"/>
      <c r="B49" s="2648"/>
      <c r="C49" s="5539" t="s">
        <v>55</v>
      </c>
      <c r="D49" s="5296" cm="1">
        <f t="array" aca="1" ref="D49" ca="1">INDIRECT("'※ 영기팀 작성_가입자'!"&amp;D$1&amp;$AC49, TRUE)</f>
        <v>41935</v>
      </c>
      <c r="E49" s="5297" cm="1">
        <f t="array" aca="1" ref="E49" ca="1">INDIRECT("'※ 영기팀 작성_가입자'!"&amp;E$1&amp;$AC49, TRUE)</f>
        <v>45852</v>
      </c>
      <c r="F49" s="5891" cm="1">
        <f t="array" aca="1" ref="F49" ca="1">INDIRECT("'※ 영기팀 작성_가입자'!"&amp;F$1&amp;$AC49, TRUE)</f>
        <v>3825</v>
      </c>
      <c r="G49" s="5297" cm="1">
        <f t="array" aca="1" ref="G49" ca="1">INDIRECT("'※ 영기팀 작성_가입자'!"&amp;G$1&amp;$AC49, TRUE)</f>
        <v>6061</v>
      </c>
      <c r="H49" s="5297" cm="1">
        <f t="array" aca="1" ref="H49" ca="1">INDIRECT("'※ 영기팀 작성_가입자'!"&amp;H$1&amp;$AC49, TRUE)</f>
        <v>5497</v>
      </c>
      <c r="I49" s="5297" cm="1">
        <f t="array" aca="1" ref="I49" ca="1">INDIRECT("'※ 영기팀 작성_가입자'!"&amp;I$1&amp;$AC49, TRUE)</f>
        <v>2941</v>
      </c>
      <c r="J49" s="5297" cm="1">
        <f t="array" aca="1" ref="J49" ca="1">INDIRECT("'※ 영기팀 작성_가입자'!"&amp;J$1&amp;$AC49, TRUE)</f>
        <v>3793.9999999999995</v>
      </c>
      <c r="K49" s="5297" cm="1">
        <f t="array" aca="1" ref="K49" ca="1">INDIRECT("'※ 영기팀 작성_가입자'!"&amp;K$1&amp;$AC49, TRUE)</f>
        <v>3140</v>
      </c>
      <c r="L49" s="5297" cm="1">
        <f t="array" aca="1" ref="L49" ca="1">INDIRECT("'※ 영기팀 작성_가입자'!"&amp;L$1&amp;$AC49, TRUE)</f>
        <v>2673</v>
      </c>
      <c r="M49" s="5297" cm="1">
        <f t="array" aca="1" ref="M49" ca="1">INDIRECT("'※ 영기팀 작성_가입자'!"&amp;M$1&amp;$AC49, TRUE)</f>
        <v>2625</v>
      </c>
      <c r="N49" s="5297" cm="1">
        <f t="array" aca="1" ref="N49" ca="1">INDIRECT("'※ 영기팀 작성_가입자'!"&amp;N$1&amp;$AC49, TRUE)</f>
        <v>2837</v>
      </c>
      <c r="O49" s="5297" cm="1">
        <f t="array" aca="1" ref="O49" ca="1">INDIRECT("'※ 영기팀 작성_가입자'!"&amp;O$1&amp;$AC49, TRUE)</f>
        <v>2292</v>
      </c>
      <c r="P49" s="5297" cm="1">
        <f t="array" aca="1" ref="P49" ca="1">INDIRECT("'※ 영기팀 작성_가입자'!"&amp;P$1&amp;$AC49, TRUE)</f>
        <v>2427</v>
      </c>
      <c r="Q49" s="5297" cm="1">
        <f t="array" aca="1" ref="Q49" ca="1">INDIRECT("'※ 영기팀 작성_가입자'!"&amp;Q$1&amp;$AC49, TRUE)</f>
        <v>4908</v>
      </c>
      <c r="R49" s="5873"/>
      <c r="S49" s="5873"/>
      <c r="T49" s="5874"/>
      <c r="U49" s="5892">
        <f t="shared" ca="1" si="2"/>
        <v>-2556</v>
      </c>
      <c r="V49" s="5893" cm="1">
        <f t="array" aca="1" ref="V49" ca="1">INDIRECT("'※ 영기팀 작성_가입자'!"&amp;V$1&amp;$AC49, TRUE)</f>
        <v>1532.9999999999995</v>
      </c>
      <c r="W49" s="5894" cm="1">
        <f t="array" aca="1" ref="W49" ca="1">INDIRECT("'※ 영기팀 작성_가입자'!"&amp;W$1&amp;$AC49, TRUE)</f>
        <v>43020</v>
      </c>
      <c r="X49" s="5873"/>
      <c r="Y49" s="5874"/>
      <c r="Z49" s="5853" cm="1">
        <f t="array" aca="1" ref="Z49" ca="1">INDIRECT("'※ 영기팀 작성_가입자'!"&amp;Z$2&amp;$AC49, TRUE)</f>
        <v>-2832</v>
      </c>
      <c r="AA49" s="5857" cm="1">
        <f t="array" aca="1" ref="AA49" ca="1">INDIRECT("'※ 영기팀 작성_가입자'!"&amp;AA$1&amp;$AC49, TRUE)</f>
        <v>3584.7012748937591</v>
      </c>
      <c r="AB49" s="5858" cm="1">
        <f t="array" aca="1" ref="AB49" ca="1">INDIRECT("'※ 영기팀 작성_가입자'!"&amp;AB$1&amp;$AC49, TRUE)</f>
        <v>1532.9999999999995</v>
      </c>
      <c r="AC49" s="5364">
        <f>ROW('※ 영기팀 작성_가입자'!AH59)</f>
        <v>59</v>
      </c>
      <c r="AD49" s="5360">
        <f>ROW('※ 영기팀 작성_가입자'!AI365)</f>
        <v>365</v>
      </c>
    </row>
    <row r="50" spans="1:32" ht="18" customHeight="1" x14ac:dyDescent="0.55000000000000004">
      <c r="A50" s="7123"/>
      <c r="B50" s="5895" t="s">
        <v>56</v>
      </c>
      <c r="C50" s="5527"/>
      <c r="D50" s="5896" cm="1">
        <f t="array" aca="1" ref="D50" ca="1">INDIRECT("'※ 영기팀 작성_가입자'!"&amp;D$1&amp;$AC50, TRUE)</f>
        <v>379950</v>
      </c>
      <c r="E50" s="5897" cm="1">
        <f t="array" aca="1" ref="E50" ca="1">INDIRECT("'※ 영기팀 작성_가입자'!"&amp;E$1&amp;$AC50, TRUE)</f>
        <v>381528</v>
      </c>
      <c r="F50" s="5898" cm="1">
        <f t="array" aca="1" ref="F50" ca="1">INDIRECT("'※ 영기팀 작성_가입자'!"&amp;F$1&amp;$AC50, TRUE)</f>
        <v>21688</v>
      </c>
      <c r="G50" s="5897" cm="1">
        <f t="array" aca="1" ref="G50" ca="1">INDIRECT("'※ 영기팀 작성_가입자'!"&amp;G$1&amp;$AC50, TRUE)</f>
        <v>49939</v>
      </c>
      <c r="H50" s="5897" cm="1">
        <f t="array" aca="1" ref="H50" ca="1">INDIRECT("'※ 영기팀 작성_가입자'!"&amp;H$1&amp;$AC50, TRUE)</f>
        <v>29000</v>
      </c>
      <c r="I50" s="5897" cm="1">
        <f t="array" aca="1" ref="I50" ca="1">INDIRECT("'※ 영기팀 작성_가입자'!"&amp;I$1&amp;$AC50, TRUE)</f>
        <v>30067</v>
      </c>
      <c r="J50" s="5897" cm="1">
        <f t="array" aca="1" ref="J50" ca="1">INDIRECT("'※ 영기팀 작성_가입자'!"&amp;J$1&amp;$AC50, TRUE)</f>
        <v>30904</v>
      </c>
      <c r="K50" s="5897" cm="1">
        <f t="array" aca="1" ref="K50" ca="1">INDIRECT("'※ 영기팀 작성_가입자'!"&amp;K$1&amp;$AC50, TRUE)</f>
        <v>30300</v>
      </c>
      <c r="L50" s="5897" cm="1">
        <f t="array" aca="1" ref="L50" ca="1">INDIRECT("'※ 영기팀 작성_가입자'!"&amp;L$1&amp;$AC50, TRUE)</f>
        <v>46897</v>
      </c>
      <c r="M50" s="5897" cm="1">
        <f t="array" aca="1" ref="M50" ca="1">INDIRECT("'※ 영기팀 작성_가입자'!"&amp;M$1&amp;$AC50, TRUE)</f>
        <v>36408</v>
      </c>
      <c r="N50" s="5897" cm="1">
        <f t="array" aca="1" ref="N50" ca="1">INDIRECT("'※ 영기팀 작성_가입자'!"&amp;N$1&amp;$AC50, TRUE)</f>
        <v>53167</v>
      </c>
      <c r="O50" s="5897" cm="1">
        <f t="array" aca="1" ref="O50" ca="1">INDIRECT("'※ 영기팀 작성_가입자'!"&amp;O$1&amp;$AC50, TRUE)</f>
        <v>42510</v>
      </c>
      <c r="P50" s="5897" cm="1">
        <f t="array" aca="1" ref="P50" ca="1">INDIRECT("'※ 영기팀 작성_가입자'!"&amp;P$1&amp;$AC50, TRUE)</f>
        <v>31120</v>
      </c>
      <c r="Q50" s="5897" cm="1">
        <f t="array" aca="1" ref="Q50" ca="1">INDIRECT("'※ 영기팀 작성_가입자'!"&amp;Q$1&amp;$AC50, TRUE)</f>
        <v>30755</v>
      </c>
      <c r="R50" s="5899" cm="1">
        <f t="array" aca="1" ref="R50" ca="1">INDIRECT("'※ 영기팀 작성_가입자'!"&amp;R$1&amp;$AD50, TRUE)</f>
        <v>38900</v>
      </c>
      <c r="S50" s="5899" cm="1">
        <f t="array" aca="1" ref="S50" ca="1">INDIRECT("'※ 영기팀 작성_가입자'!"&amp;S$1&amp;$AD50, TRUE)</f>
        <v>-8145</v>
      </c>
      <c r="T50" s="5900" cm="1">
        <f t="array" aca="1" ref="T50" ca="1">INDIRECT("'※ 영기팀 작성_가입자'!"&amp;T$1&amp;$AD50, TRUE)</f>
        <v>0.80697223413578978</v>
      </c>
      <c r="U50" s="5901">
        <f t="shared" ca="1" si="2"/>
        <v>1067</v>
      </c>
      <c r="V50" s="5899" cm="1">
        <f t="array" aca="1" ref="V50" ca="1">INDIRECT("'※ 영기팀 작성_가입자'!"&amp;V$1&amp;$AC50, TRUE)</f>
        <v>7551</v>
      </c>
      <c r="W50" s="5902" cm="1">
        <f t="array" aca="1" ref="W50" ca="1">INDIRECT("'※ 영기팀 작성_가입자'!"&amp;W$1&amp;$AC50, TRUE)</f>
        <v>432755</v>
      </c>
      <c r="X50" s="5899" cm="1">
        <f t="array" aca="1" ref="X50" ca="1">INDIRECT("'※ 영기팀 작성_가입자'!"&amp;X$1&amp;$AD50, TRUE)</f>
        <v>-8145</v>
      </c>
      <c r="Y50" s="5900" cm="1">
        <f t="array" aca="1" ref="Y50" ca="1">INDIRECT("'※ 영기팀 작성_가입자'!"&amp;Y$1&amp;$AD50, TRUE)</f>
        <v>0.71207373271889396</v>
      </c>
      <c r="Z50" s="5903" cm="1">
        <f t="array" aca="1" ref="Z50" ca="1">INDIRECT("'※ 영기팀 작성_가입자'!"&amp;Z$2&amp;$AC50, TRUE)</f>
        <v>51227</v>
      </c>
      <c r="AA50" s="5904" cm="1">
        <f t="array" aca="1" ref="AA50" ca="1">INDIRECT("'※ 영기팀 작성_가입자'!"&amp;AA$1&amp;$AC50, TRUE)</f>
        <v>36059.911674027164</v>
      </c>
      <c r="AB50" s="5905" cm="1">
        <f t="array" aca="1" ref="AB50" ca="1">INDIRECT("'※ 영기팀 작성_가입자'!"&amp;AB$1&amp;$AC50, TRUE)</f>
        <v>7551</v>
      </c>
      <c r="AC50" s="5364">
        <f>ROW('※ 영기팀 작성_가입자'!AH6)</f>
        <v>6</v>
      </c>
      <c r="AD50" s="5360">
        <f>ROW('※ 영기팀 작성_가입자'!AI361)</f>
        <v>361</v>
      </c>
    </row>
    <row r="51" spans="1:32" ht="18" customHeight="1" x14ac:dyDescent="0.55000000000000004">
      <c r="A51" s="7123"/>
      <c r="B51" s="2639" t="s">
        <v>65</v>
      </c>
      <c r="C51" s="2648"/>
      <c r="D51" s="5296" cm="1">
        <f t="array" aca="1" ref="D51" ca="1">INDIRECT("'※ 영기팀 작성_가입자'!"&amp;D$1&amp;$AC51, TRUE)</f>
        <v>200896</v>
      </c>
      <c r="E51" s="5297" cm="1">
        <f t="array" aca="1" ref="E51" ca="1">INDIRECT("'※ 영기팀 작성_가입자'!"&amp;E$1&amp;$AC51, TRUE)</f>
        <v>203866</v>
      </c>
      <c r="F51" s="5891" cm="1">
        <f t="array" aca="1" ref="F51" ca="1">INDIRECT("'※ 영기팀 작성_가입자'!"&amp;F$1&amp;$AC51, TRUE)</f>
        <v>11930</v>
      </c>
      <c r="G51" s="5297" cm="1">
        <f t="array" aca="1" ref="G51" ca="1">INDIRECT("'※ 영기팀 작성_가입자'!"&amp;G$1&amp;$AC51, TRUE)</f>
        <v>25000</v>
      </c>
      <c r="H51" s="5297" cm="1">
        <f t="array" aca="1" ref="H51" ca="1">INDIRECT("'※ 영기팀 작성_가입자'!"&amp;H$1&amp;$AC51, TRUE)</f>
        <v>17145</v>
      </c>
      <c r="I51" s="5297" cm="1">
        <f t="array" aca="1" ref="I51" ca="1">INDIRECT("'※ 영기팀 작성_가입자'!"&amp;I$1&amp;$AC51, TRUE)</f>
        <v>22354</v>
      </c>
      <c r="J51" s="5297" cm="1">
        <f t="array" aca="1" ref="J51" ca="1">INDIRECT("'※ 영기팀 작성_가입자'!"&amp;J$1&amp;$AC51, TRUE)</f>
        <v>29195</v>
      </c>
      <c r="K51" s="5297" cm="1">
        <f t="array" aca="1" ref="K51" ca="1">INDIRECT("'※ 영기팀 작성_가입자'!"&amp;K$1&amp;$AC51, TRUE)</f>
        <v>18050</v>
      </c>
      <c r="L51" s="5297" cm="1">
        <f t="array" aca="1" ref="L51" ca="1">INDIRECT("'※ 영기팀 작성_가입자'!"&amp;L$1&amp;$AC51, TRUE)</f>
        <v>29155</v>
      </c>
      <c r="M51" s="5297" cm="1">
        <f t="array" aca="1" ref="M51" ca="1">INDIRECT("'※ 영기팀 작성_가입자'!"&amp;M$1&amp;$AC51, TRUE)</f>
        <v>17583</v>
      </c>
      <c r="N51" s="5297" cm="1">
        <f t="array" aca="1" ref="N51" ca="1">INDIRECT("'※ 영기팀 작성_가입자'!"&amp;N$1&amp;$AC51, TRUE)</f>
        <v>23129</v>
      </c>
      <c r="O51" s="5297" cm="1">
        <f t="array" aca="1" ref="O51" ca="1">INDIRECT("'※ 영기팀 작성_가입자'!"&amp;O$1&amp;$AC51, TRUE)</f>
        <v>15351</v>
      </c>
      <c r="P51" s="5297" cm="1">
        <f t="array" aca="1" ref="P51" ca="1">INDIRECT("'※ 영기팀 작성_가입자'!"&amp;P$1&amp;$AC51, TRUE)</f>
        <v>13674</v>
      </c>
      <c r="Q51" s="5297" cm="1">
        <f t="array" aca="1" ref="Q51" ca="1">INDIRECT("'※ 영기팀 작성_가입자'!"&amp;Q$1&amp;$AC51, TRUE)</f>
        <v>12817</v>
      </c>
      <c r="R51" s="5893" cm="1">
        <f t="array" aca="1" ref="R51" ca="1">INDIRECT("'※ 영기팀 작성_가입자'!"&amp;R$1&amp;$AD51, TRUE)</f>
        <v>16000</v>
      </c>
      <c r="S51" s="5893" cm="1">
        <f t="array" aca="1" ref="S51" ca="1">INDIRECT("'※ 영기팀 작성_가입자'!"&amp;S$1&amp;$AD51, TRUE)</f>
        <v>-3183</v>
      </c>
      <c r="T51" s="5906" cm="1">
        <f t="array" aca="1" ref="T51" ca="1">INDIRECT("'※ 영기팀 작성_가입자'!"&amp;T$1&amp;$AD51, TRUE)</f>
        <v>0.15109381237524949</v>
      </c>
      <c r="U51" s="5892">
        <f t="shared" ca="1" si="2"/>
        <v>5209</v>
      </c>
      <c r="V51" s="5893" cm="1">
        <f t="array" aca="1" ref="V51" ca="1">INDIRECT("'※ 영기팀 작성_가입자'!"&amp;V$1&amp;$AC51, TRUE)</f>
        <v>-351</v>
      </c>
      <c r="W51" s="5894" cm="1">
        <f t="array" aca="1" ref="W51" ca="1">INDIRECT("'※ 영기팀 작성_가입자'!"&amp;W$1&amp;$AC51, TRUE)</f>
        <v>235383</v>
      </c>
      <c r="X51" s="5893" cm="1">
        <f t="array" aca="1" ref="X51" ca="1">INDIRECT("'※ 영기팀 작성_가입자'!"&amp;X$1&amp;$AD51, TRUE)</f>
        <v>-3183</v>
      </c>
      <c r="Y51" s="5906" cm="1">
        <f t="array" aca="1" ref="Y51" ca="1">INDIRECT("'※ 영기팀 작성_가입자'!"&amp;Y$1&amp;$AD51, TRUE)</f>
        <v>0.11265217391304348</v>
      </c>
      <c r="Z51" s="5853" cm="1">
        <f t="array" aca="1" ref="Z51" ca="1">INDIRECT("'※ 영기팀 작성_가입자'!"&amp;Z$2&amp;$AC51, TRUE)</f>
        <v>31517</v>
      </c>
      <c r="AA51" s="5857" cm="1">
        <f t="array" aca="1" ref="AA51" ca="1">INDIRECT("'※ 영기팀 작성_가입자'!"&amp;AA$1&amp;$AC51, TRUE)</f>
        <v>19613.615532038999</v>
      </c>
      <c r="AB51" s="5858" cm="1">
        <f t="array" aca="1" ref="AB51" ca="1">INDIRECT("'※ 영기팀 작성_가입자'!"&amp;AB$1&amp;$AC51, TRUE)</f>
        <v>-351</v>
      </c>
      <c r="AC51" s="5364">
        <f>ROW('※ 영기팀 작성_가입자'!AH7)</f>
        <v>7</v>
      </c>
      <c r="AD51" s="5360">
        <f>ROW('※ 영기팀 작성_가입자'!AI362)</f>
        <v>362</v>
      </c>
    </row>
    <row r="52" spans="1:32" ht="18" customHeight="1" x14ac:dyDescent="0.55000000000000004">
      <c r="A52" s="7123"/>
      <c r="B52" s="2648" t="s">
        <v>20</v>
      </c>
      <c r="C52" s="2648"/>
      <c r="D52" s="5296" cm="1">
        <f t="array" aca="1" ref="D52" ca="1">INDIRECT("'※ 영기팀 작성_가입자'!"&amp;D$1&amp;$AC52, TRUE)</f>
        <v>226017</v>
      </c>
      <c r="E52" s="5297" cm="1">
        <f t="array" aca="1" ref="E52" ca="1">INDIRECT("'※ 영기팀 작성_가입자'!"&amp;E$1&amp;$AC52, TRUE)</f>
        <v>240483</v>
      </c>
      <c r="F52" s="5891" cm="1">
        <f t="array" aca="1" ref="F52" ca="1">INDIRECT("'※ 영기팀 작성_가입자'!"&amp;F$1&amp;$AC52, TRUE)</f>
        <v>17239</v>
      </c>
      <c r="G52" s="5297" cm="1">
        <f t="array" aca="1" ref="G52" ca="1">INDIRECT("'※ 영기팀 작성_가입자'!"&amp;G$1&amp;$AC52, TRUE)</f>
        <v>25984</v>
      </c>
      <c r="H52" s="5297" cm="1">
        <f t="array" aca="1" ref="H52" ca="1">INDIRECT("'※ 영기팀 작성_가입자'!"&amp;H$1&amp;$AC52, TRUE)</f>
        <v>19298</v>
      </c>
      <c r="I52" s="5297" cm="1">
        <f t="array" aca="1" ref="I52" ca="1">INDIRECT("'※ 영기팀 작성_가입자'!"&amp;I$1&amp;$AC52, TRUE)</f>
        <v>24280</v>
      </c>
      <c r="J52" s="5297" cm="1">
        <f t="array" aca="1" ref="J52" ca="1">INDIRECT("'※ 영기팀 작성_가입자'!"&amp;J$1&amp;$AC52, TRUE)</f>
        <v>36457</v>
      </c>
      <c r="K52" s="5297" cm="1">
        <f t="array" aca="1" ref="K52" ca="1">INDIRECT("'※ 영기팀 작성_가입자'!"&amp;K$1&amp;$AC52, TRUE)</f>
        <v>28356</v>
      </c>
      <c r="L52" s="5297" cm="1">
        <f t="array" aca="1" ref="L52" ca="1">INDIRECT("'※ 영기팀 작성_가입자'!"&amp;L$1&amp;$AC52, TRUE)</f>
        <v>32832</v>
      </c>
      <c r="M52" s="5297" cm="1">
        <f t="array" aca="1" ref="M52" ca="1">INDIRECT("'※ 영기팀 작성_가입자'!"&amp;M$1&amp;$AC52, TRUE)</f>
        <v>24783</v>
      </c>
      <c r="N52" s="5297" cm="1">
        <f t="array" aca="1" ref="N52" ca="1">INDIRECT("'※ 영기팀 작성_가입자'!"&amp;N$1&amp;$AC52, TRUE)</f>
        <v>27158</v>
      </c>
      <c r="O52" s="5297" cm="1">
        <f t="array" aca="1" ref="O52" ca="1">INDIRECT("'※ 영기팀 작성_가입자'!"&amp;O$1&amp;$AC52, TRUE)</f>
        <v>26854</v>
      </c>
      <c r="P52" s="5297" cm="1">
        <f t="array" aca="1" ref="P52" ca="1">INDIRECT("'※ 영기팀 작성_가입자'!"&amp;P$1&amp;$AC52, TRUE)</f>
        <v>22592</v>
      </c>
      <c r="Q52" s="5297" cm="1">
        <f t="array" aca="1" ref="Q52" ca="1">INDIRECT("'※ 영기팀 작성_가입자'!"&amp;Q$1&amp;$AC52, TRUE)</f>
        <v>24140</v>
      </c>
      <c r="R52" s="5893" cm="1">
        <f t="array" aca="1" ref="R52" ca="1">INDIRECT("'※ 영기팀 작성_가입자'!"&amp;R$1&amp;$AD52, TRUE)</f>
        <v>25000</v>
      </c>
      <c r="S52" s="5893" cm="1">
        <f t="array" aca="1" ref="S52" ca="1">INDIRECT("'※ 영기팀 작성_가입자'!"&amp;S$1&amp;$AD52, TRUE)</f>
        <v>-860</v>
      </c>
      <c r="T52" s="5906" cm="1">
        <f t="array" aca="1" ref="T52" ca="1">INDIRECT("'※ 영기팀 작성_가입자'!"&amp;T$1&amp;$AD52, TRUE)</f>
        <v>0</v>
      </c>
      <c r="U52" s="5892">
        <f t="shared" ca="1" si="2"/>
        <v>4982</v>
      </c>
      <c r="V52" s="5893" cm="1">
        <f t="array" aca="1" ref="V52" ca="1">INDIRECT("'※ 영기팀 작성_가입자'!"&amp;V$1&amp;$AC52, TRUE)</f>
        <v>6351</v>
      </c>
      <c r="W52" s="5894" cm="1">
        <f t="array" aca="1" ref="W52" ca="1">INDIRECT("'※ 영기팀 작성_가입자'!"&amp;W$1&amp;$AC52, TRUE)</f>
        <v>309973</v>
      </c>
      <c r="X52" s="5893" cm="1">
        <f t="array" aca="1" ref="X52" ca="1">INDIRECT("'※ 영기팀 작성_가입자'!"&amp;X$1&amp;$AD52, TRUE)</f>
        <v>-860</v>
      </c>
      <c r="Y52" s="5906" cm="1">
        <f t="array" aca="1" ref="Y52" ca="1">INDIRECT("'※ 영기팀 작성_가입자'!"&amp;Y$1&amp;$AD52, TRUE)</f>
        <v>0</v>
      </c>
      <c r="Z52" s="5853" cm="1">
        <f t="array" aca="1" ref="Z52" ca="1">INDIRECT("'※ 영기팀 작성_가입자'!"&amp;Z$2&amp;$AC52, TRUE)</f>
        <v>69490</v>
      </c>
      <c r="AA52" s="5857" cm="1">
        <f t="array" aca="1" ref="AA52" ca="1">INDIRECT("'※ 영기팀 작성_가입자'!"&amp;AA$1&amp;$AC52, TRUE)</f>
        <v>25828.930922423133</v>
      </c>
      <c r="AB52" s="5858" cm="1">
        <f t="array" aca="1" ref="AB52" ca="1">INDIRECT("'※ 영기팀 작성_가입자'!"&amp;AB$1&amp;$AC52, TRUE)</f>
        <v>6351</v>
      </c>
      <c r="AC52" s="5364">
        <f>ROW('※ 영기팀 작성_가입자'!AH9)</f>
        <v>9</v>
      </c>
      <c r="AD52" s="5360">
        <f>ROW('※ 영기팀 작성_가입자'!AI364)</f>
        <v>364</v>
      </c>
    </row>
    <row r="53" spans="1:32" ht="18" customHeight="1" x14ac:dyDescent="0.55000000000000004">
      <c r="A53" s="7123"/>
      <c r="B53" s="2639" t="s">
        <v>954</v>
      </c>
      <c r="C53" s="2648"/>
      <c r="D53" s="5296" cm="1">
        <f t="array" aca="1" ref="D53" ca="1">INDIRECT("'※ 영기팀 작성_가입자'!"&amp;D$1&amp;$AC53, TRUE)</f>
        <v>83302</v>
      </c>
      <c r="E53" s="5297" cm="1">
        <f t="array" aca="1" ref="E53" ca="1">INDIRECT("'※ 영기팀 작성_가입자'!"&amp;E$1&amp;$AC53, TRUE)</f>
        <v>138022</v>
      </c>
      <c r="F53" s="5891" cm="1">
        <f t="array" aca="1" ref="F53" ca="1">INDIRECT("'※ 영기팀 작성_가입자'!"&amp;F$1&amp;$AC53, TRUE)</f>
        <v>7587</v>
      </c>
      <c r="G53" s="5297" cm="1">
        <f t="array" aca="1" ref="G53" ca="1">INDIRECT("'※ 영기팀 작성_가입자'!"&amp;G$1&amp;$AC53, TRUE)</f>
        <v>20682</v>
      </c>
      <c r="H53" s="5297" cm="1">
        <f t="array" aca="1" ref="H53" ca="1">INDIRECT("'※ 영기팀 작성_가입자'!"&amp;H$1&amp;$AC53, TRUE)</f>
        <v>10591</v>
      </c>
      <c r="I53" s="5297" cm="1">
        <f t="array" aca="1" ref="I53" ca="1">INDIRECT("'※ 영기팀 작성_가입자'!"&amp;I$1&amp;$AC53, TRUE)</f>
        <v>14687</v>
      </c>
      <c r="J53" s="5297" cm="1">
        <f t="array" aca="1" ref="J53" ca="1">INDIRECT("'※ 영기팀 작성_가입자'!"&amp;J$1&amp;$AC53, TRUE)</f>
        <v>30235</v>
      </c>
      <c r="K53" s="5297" cm="1">
        <f t="array" aca="1" ref="K53" ca="1">INDIRECT("'※ 영기팀 작성_가입자'!"&amp;K$1&amp;$AC53, TRUE)</f>
        <v>15026</v>
      </c>
      <c r="L53" s="5297" cm="1">
        <f t="array" aca="1" ref="L53" ca="1">INDIRECT("'※ 영기팀 작성_가입자'!"&amp;L$1&amp;$AC53, TRUE)</f>
        <v>28501</v>
      </c>
      <c r="M53" s="5297" cm="1">
        <f t="array" aca="1" ref="M53" ca="1">INDIRECT("'※ 영기팀 작성_가입자'!"&amp;M$1&amp;$AC53, TRUE)</f>
        <v>13256</v>
      </c>
      <c r="N53" s="5297" cm="1">
        <f t="array" aca="1" ref="N53" ca="1">INDIRECT("'※ 영기팀 작성_가입자'!"&amp;N$1&amp;$AC53, TRUE)</f>
        <v>23139</v>
      </c>
      <c r="O53" s="5297" cm="1">
        <f t="array" aca="1" ref="O53" ca="1">INDIRECT("'※ 영기팀 작성_가입자'!"&amp;O$1&amp;$AC53, TRUE)</f>
        <v>14766</v>
      </c>
      <c r="P53" s="5297" cm="1">
        <f t="array" aca="1" ref="P53" ca="1">INDIRECT("'※ 영기팀 작성_가입자'!"&amp;P$1&amp;$AC53, TRUE)</f>
        <v>11138</v>
      </c>
      <c r="Q53" s="5297" cm="1">
        <f t="array" aca="1" ref="Q53" ca="1">INDIRECT("'※ 영기팀 작성_가입자'!"&amp;Q$1&amp;$AC53, TRUE)</f>
        <v>12178</v>
      </c>
      <c r="R53" s="5893" cm="1">
        <f t="array" aca="1" ref="R53" ca="1">INDIRECT("'※ 영기팀 작성_가입자'!"&amp;R$1&amp;$AD53, TRUE)</f>
        <v>15000</v>
      </c>
      <c r="S53" s="5893" cm="1">
        <f t="array" aca="1" ref="S53" ca="1">INDIRECT("'※ 영기팀 작성_가입자'!"&amp;S$1&amp;$AD53, TRUE)</f>
        <v>-2822</v>
      </c>
      <c r="T53" s="5906" cm="1">
        <f t="array" aca="1" ref="T53" ca="1">INDIRECT("'※ 영기팀 작성_가입자'!"&amp;T$1&amp;$AD53, TRUE)</f>
        <v>0.15008455882352942</v>
      </c>
      <c r="U53" s="5892">
        <f t="shared" ca="1" si="2"/>
        <v>4096</v>
      </c>
      <c r="V53" s="5893" cm="1">
        <f t="array" aca="1" ref="V53" ca="1">INDIRECT("'※ 영기팀 작성_가입자'!"&amp;V$1&amp;$AC53, TRUE)</f>
        <v>3971</v>
      </c>
      <c r="W53" s="5894" cm="1">
        <f t="array" aca="1" ref="W53" ca="1">INDIRECT("'※ 영기팀 작성_가입자'!"&amp;W$1&amp;$AC53, TRUE)</f>
        <v>201786</v>
      </c>
      <c r="X53" s="5893" cm="1">
        <f t="array" aca="1" ref="X53" ca="1">INDIRECT("'※ 영기팀 작성_가입자'!"&amp;X$1&amp;$AD53, TRUE)</f>
        <v>-2822</v>
      </c>
      <c r="Y53" s="5906" cm="1">
        <f t="array" aca="1" ref="Y53" ca="1">INDIRECT("'※ 영기팀 작성_가입자'!"&amp;Y$1&amp;$AD53, TRUE)</f>
        <v>0.26540000000000002</v>
      </c>
      <c r="Z53" s="5853" cm="1">
        <f t="array" aca="1" ref="Z53" ca="1">INDIRECT("'※ 영기팀 작성_가입자'!"&amp;Z$2&amp;$AC53, TRUE)</f>
        <v>63764</v>
      </c>
      <c r="AA53" s="5857" cm="1">
        <f t="array" aca="1" ref="AA53" ca="1">INDIRECT("'※ 영기팀 작성_가입자'!"&amp;AA$1&amp;$AC53, TRUE)</f>
        <v>16814.09882509791</v>
      </c>
      <c r="AB53" s="5858" cm="1">
        <f t="array" aca="1" ref="AB53" ca="1">INDIRECT("'※ 영기팀 작성_가입자'!"&amp;AB$1&amp;$AC53, TRUE)</f>
        <v>3971</v>
      </c>
      <c r="AC53" s="5364">
        <f>ROW('※ 영기팀 작성_가입자'!AH10)</f>
        <v>10</v>
      </c>
      <c r="AD53" s="5360">
        <f>ROW('※ 영기팀 작성_가입자'!AI365)</f>
        <v>365</v>
      </c>
      <c r="AE53" s="5234"/>
    </row>
    <row r="54" spans="1:32" ht="18" customHeight="1" x14ac:dyDescent="0.55000000000000004">
      <c r="A54" s="7123"/>
      <c r="B54" s="2639" t="s">
        <v>1019</v>
      </c>
      <c r="C54" s="5539"/>
      <c r="D54" s="5296" cm="1">
        <f t="array" aca="1" ref="D54" ca="1">INDIRECT("'※ 영기팀 작성_가입자'!"&amp;D$1&amp;$AC54, TRUE)</f>
        <v>6988</v>
      </c>
      <c r="E54" s="5297" cm="1">
        <f t="array" aca="1" ref="E54" ca="1">INDIRECT("'※ 영기팀 작성_가입자'!"&amp;E$1&amp;$AC54, TRUE)</f>
        <v>2994</v>
      </c>
      <c r="F54" s="5891" cm="1">
        <f t="array" aca="1" ref="F54" ca="1">INDIRECT("'※ 영기팀 작성_가입자'!"&amp;F$1&amp;$AC54, TRUE)</f>
        <v>154</v>
      </c>
      <c r="G54" s="5297" cm="1">
        <f t="array" aca="1" ref="G54" ca="1">INDIRECT("'※ 영기팀 작성_가입자'!"&amp;G$1&amp;$AC54, TRUE)</f>
        <v>399</v>
      </c>
      <c r="H54" s="5297" cm="1">
        <f t="array" aca="1" ref="H54" ca="1">INDIRECT("'※ 영기팀 작성_가입자'!"&amp;H$1&amp;$AC54, TRUE)</f>
        <v>169</v>
      </c>
      <c r="I54" s="5297" cm="1">
        <f t="array" aca="1" ref="I54" ca="1">INDIRECT("'※ 영기팀 작성_가입자'!"&amp;I$1&amp;$AC54, TRUE)</f>
        <v>287</v>
      </c>
      <c r="J54" s="5297" cm="1">
        <f t="array" aca="1" ref="J54" ca="1">INDIRECT("'※ 영기팀 작성_가입자'!"&amp;J$1&amp;$AC54, TRUE)</f>
        <v>430</v>
      </c>
      <c r="K54" s="5297" cm="1">
        <f t="array" aca="1" ref="K54" ca="1">INDIRECT("'※ 영기팀 작성_가입자'!"&amp;K$1&amp;$AC54, TRUE)</f>
        <v>191</v>
      </c>
      <c r="L54" s="5297" cm="1">
        <f t="array" aca="1" ref="L54" ca="1">INDIRECT("'※ 영기팀 작성_가입자'!"&amp;L$1&amp;$AC54, TRUE)</f>
        <v>616</v>
      </c>
      <c r="M54" s="5297" cm="1">
        <f t="array" aca="1" ref="M54" ca="1">INDIRECT("'※ 영기팀 작성_가입자'!"&amp;M$1&amp;$AC54, TRUE)</f>
        <v>192</v>
      </c>
      <c r="N54" s="5297" cm="1">
        <f t="array" aca="1" ref="N54" ca="1">INDIRECT("'※ 영기팀 작성_가입자'!"&amp;N$1&amp;$AC54, TRUE)</f>
        <v>307</v>
      </c>
      <c r="O54" s="5297" cm="1">
        <f t="array" aca="1" ref="O54" ca="1">INDIRECT("'※ 영기팀 작성_가입자'!"&amp;O$1&amp;$AC54, TRUE)</f>
        <v>259</v>
      </c>
      <c r="P54" s="5297" cm="1">
        <f t="array" aca="1" ref="P54" ca="1">INDIRECT("'※ 영기팀 작성_가입자'!"&amp;P$1&amp;$AC54, TRUE)</f>
        <v>193</v>
      </c>
      <c r="Q54" s="5297" cm="1">
        <f t="array" aca="1" ref="Q54" ca="1">INDIRECT("'※ 영기팀 작성_가입자'!"&amp;Q$1&amp;$AC54, TRUE)</f>
        <v>103</v>
      </c>
      <c r="R54" s="5893" cm="1">
        <f t="array" aca="1" ref="R54" ca="1">INDIRECT("'※ 영기팀 작성_가입자'!"&amp;R$1&amp;$AD54, TRUE)</f>
        <v>300</v>
      </c>
      <c r="S54" s="5893" cm="1">
        <f t="array" aca="1" ref="S54" ca="1">INDIRECT("'※ 영기팀 작성_가입자'!"&amp;S$1&amp;$AD54, TRUE)</f>
        <v>-197</v>
      </c>
      <c r="T54" s="5906" cm="1">
        <f t="array" aca="1" ref="T54" ca="1">INDIRECT("'※ 영기팀 작성_가입자'!"&amp;T$1&amp;$AD54, TRUE)</f>
        <v>5.7784732824427483</v>
      </c>
      <c r="U54" s="5892">
        <f t="shared" ca="1" si="2"/>
        <v>118</v>
      </c>
      <c r="V54" s="5893" cm="1">
        <f t="array" aca="1" ref="V54" ca="1">INDIRECT("'※ 영기팀 작성_가입자'!"&amp;V$1&amp;$AC54, TRUE)</f>
        <v>-7</v>
      </c>
      <c r="W54" s="5894" cm="1">
        <f t="array" aca="1" ref="W54" ca="1">INDIRECT("'※ 영기팀 작성_가입자'!"&amp;W$1&amp;$AC54, TRUE)</f>
        <v>3300</v>
      </c>
      <c r="X54" s="5893" cm="1">
        <f t="array" aca="1" ref="X54" ca="1">INDIRECT("'※ 영기팀 작성_가입자'!"&amp;X$1&amp;$AD54, TRUE)</f>
        <v>-197</v>
      </c>
      <c r="Y54" s="5906" cm="1">
        <f t="array" aca="1" ref="Y54" ca="1">INDIRECT("'※ 영기팀 작성_가입자'!"&amp;Y$1&amp;$AD54, TRUE)</f>
        <v>5.1820000000000004</v>
      </c>
      <c r="Z54" s="5853" cm="1">
        <f t="array" aca="1" ref="Z54" ca="1">INDIRECT("'※ 영기팀 작성_가입자'!"&amp;Z$2&amp;$AC54, TRUE)</f>
        <v>306</v>
      </c>
      <c r="AA54" s="5857" cm="1">
        <f t="array" aca="1" ref="AA54" ca="1">INDIRECT("'※ 영기팀 작성_가입자'!"&amp;AA$1&amp;$AC54, TRUE)</f>
        <v>274.97708524289646</v>
      </c>
      <c r="AB54" s="5858" cm="1">
        <f t="array" aca="1" ref="AB54" ca="1">INDIRECT("'※ 영기팀 작성_가입자'!"&amp;AB$1&amp;$AC54, TRUE)</f>
        <v>-7</v>
      </c>
      <c r="AC54" s="5364">
        <v>8</v>
      </c>
      <c r="AD54" s="5360">
        <v>363</v>
      </c>
    </row>
    <row r="55" spans="1:32" ht="18" customHeight="1" x14ac:dyDescent="0.55000000000000004">
      <c r="A55" s="7123"/>
      <c r="B55" s="2639" t="s">
        <v>22</v>
      </c>
      <c r="C55" s="5539"/>
      <c r="D55" s="5296" cm="1">
        <f t="array" aca="1" ref="D55" ca="1">INDIRECT("'※ 영기팀 작성_가입자'!"&amp;D$1&amp;$AC55, TRUE)</f>
        <v>53997</v>
      </c>
      <c r="E55" s="5297" cm="1">
        <f t="array" aca="1" ref="E55" ca="1">INDIRECT("'※ 영기팀 작성_가입자'!"&amp;E$1&amp;$AC55, TRUE)</f>
        <v>33166</v>
      </c>
      <c r="F55" s="5891" cm="1">
        <f t="array" aca="1" ref="F55" ca="1">INDIRECT("'※ 영기팀 작성_가입자'!"&amp;F$1&amp;$AC55, TRUE)</f>
        <v>1912</v>
      </c>
      <c r="G55" s="5297" cm="1">
        <f t="array" aca="1" ref="G55" ca="1">INDIRECT("'※ 영기팀 작성_가입자'!"&amp;G$1&amp;$AC55, TRUE)</f>
        <v>2778</v>
      </c>
      <c r="H55" s="5297" cm="1">
        <f t="array" aca="1" ref="H55" ca="1">INDIRECT("'※ 영기팀 작성_가입자'!"&amp;H$1&amp;$AC55, TRUE)</f>
        <v>3485</v>
      </c>
      <c r="I55" s="5297" cm="1">
        <f t="array" aca="1" ref="I55" ca="1">INDIRECT("'※ 영기팀 작성_가입자'!"&amp;I$1&amp;$AC55, TRUE)</f>
        <v>2478</v>
      </c>
      <c r="J55" s="5297" cm="1">
        <f t="array" aca="1" ref="J55" ca="1">INDIRECT("'※ 영기팀 작성_가입자'!"&amp;J$1&amp;$AC55, TRUE)</f>
        <v>2591</v>
      </c>
      <c r="K55" s="5297" cm="1">
        <f t="array" aca="1" ref="K55" ca="1">INDIRECT("'※ 영기팀 작성_가입자'!"&amp;K$1&amp;$AC55, TRUE)</f>
        <v>1942.0000000000002</v>
      </c>
      <c r="L55" s="5297" cm="1">
        <f t="array" aca="1" ref="L55" ca="1">INDIRECT("'※ 영기팀 작성_가입자'!"&amp;L$1&amp;$AC55, TRUE)</f>
        <v>4860</v>
      </c>
      <c r="M55" s="5297" cm="1">
        <f t="array" aca="1" ref="M55" ca="1">INDIRECT("'※ 영기팀 작성_가입자'!"&amp;M$1&amp;$AC55, TRUE)</f>
        <v>1543</v>
      </c>
      <c r="N55" s="5297" cm="1">
        <f t="array" aca="1" ref="N55" ca="1">INDIRECT("'※ 영기팀 작성_가입자'!"&amp;N$1&amp;$AC55, TRUE)</f>
        <v>2494</v>
      </c>
      <c r="O55" s="5297" cm="1">
        <f t="array" aca="1" ref="O55" ca="1">INDIRECT("'※ 영기팀 작성_가입자'!"&amp;O$1&amp;$AC55, TRUE)</f>
        <v>5265</v>
      </c>
      <c r="P55" s="5297" cm="1">
        <f t="array" aca="1" ref="P55" ca="1">INDIRECT("'※ 영기팀 작성_가입자'!"&amp;P$1&amp;$AC55, TRUE)</f>
        <v>5004</v>
      </c>
      <c r="Q55" s="5297" cm="1">
        <f t="array" aca="1" ref="Q55" ca="1">INDIRECT("'※ 영기팀 작성_가입자'!"&amp;Q$1&amp;$AC55, TRUE)</f>
        <v>3496.9999999999995</v>
      </c>
      <c r="R55" s="5893" cm="1">
        <f t="array" aca="1" ref="R55" ca="1">INDIRECT("'※ 영기팀 작성_가입자'!"&amp;R$1&amp;$AD55, TRUE)</f>
        <v>5000</v>
      </c>
      <c r="S55" s="5893" cm="1">
        <f t="array" aca="1" ref="S55" ca="1">INDIRECT("'※ 영기팀 작성_가입자'!"&amp;S$1&amp;$AD55, TRUE)</f>
        <v>-1503.0000000000005</v>
      </c>
      <c r="T55" s="5906" cm="1">
        <f t="array" aca="1" ref="T55" ca="1">INDIRECT("'※ 영기팀 작성_가입자'!"&amp;T$1&amp;$AD55, TRUE)</f>
        <v>1.0282</v>
      </c>
      <c r="U55" s="5892">
        <f t="shared" ca="1" si="2"/>
        <v>-1007</v>
      </c>
      <c r="V55" s="5893" cm="1">
        <f t="array" aca="1" ref="V55" ca="1">INDIRECT("'※ 영기팀 작성_가입자'!"&amp;V$1&amp;$AC55, TRUE)</f>
        <v>1662.9999999999998</v>
      </c>
      <c r="W55" s="5894" cm="1">
        <f t="array" aca="1" ref="W55" ca="1">INDIRECT("'※ 영기팀 작성_가입자'!"&amp;W$1&amp;$AC55, TRUE)</f>
        <v>37849</v>
      </c>
      <c r="X55" s="5893" cm="1">
        <f t="array" aca="1" ref="X55" ca="1">INDIRECT("'※ 영기팀 작성_가입자'!"&amp;X$1&amp;$AD55, TRUE)</f>
        <v>-1503.0000000000005</v>
      </c>
      <c r="Y55" s="5906" cm="1">
        <f t="array" aca="1" ref="Y55" ca="1">INDIRECT("'※ 영기팀 작성_가입자'!"&amp;Y$1&amp;$AD55, TRUE)</f>
        <v>2.11</v>
      </c>
      <c r="Z55" s="5853" cm="1">
        <f t="array" aca="1" ref="Z55" ca="1">INDIRECT("'※ 영기팀 작성_가입자'!"&amp;Z$2&amp;$AC55, TRUE)</f>
        <v>4683</v>
      </c>
      <c r="AA55" s="5857" cm="1">
        <f t="array" aca="1" ref="AA55" ca="1">INDIRECT("'※ 영기팀 작성_가입자'!"&amp;AA$1&amp;$AC55, TRUE)</f>
        <v>3153.8205149570872</v>
      </c>
      <c r="AB55" s="5858" cm="1">
        <f t="array" aca="1" ref="AB55" ca="1">INDIRECT("'※ 영기팀 작성_가입자'!"&amp;AB$1&amp;$AC55, TRUE)</f>
        <v>1662.9999999999998</v>
      </c>
      <c r="AC55" s="5364">
        <f>ROW('※ 영기팀 작성_가입자'!AH11)</f>
        <v>11</v>
      </c>
      <c r="AD55" s="5360">
        <f>ROW('※ 영기팀 작성_가입자'!AI366)</f>
        <v>366</v>
      </c>
    </row>
    <row r="56" spans="1:32" ht="18" customHeight="1" thickBot="1" x14ac:dyDescent="0.6">
      <c r="A56" s="7124"/>
      <c r="B56" s="5907" t="s">
        <v>67</v>
      </c>
      <c r="C56" s="5907"/>
      <c r="D56" s="5908" cm="1">
        <f t="array" aca="1" ref="D56" ca="1">INDIRECT("'※ 영기팀 작성_가입자'!"&amp;D$1&amp;$AC56, TRUE)</f>
        <v>1091</v>
      </c>
      <c r="E56" s="5909" cm="1">
        <f t="array" aca="1" ref="E56" ca="1">INDIRECT("'※ 영기팀 작성_가입자'!"&amp;E$1&amp;$AC56, TRUE)</f>
        <v>145.99999999999272</v>
      </c>
      <c r="F56" s="5910" cm="1">
        <f t="array" aca="1" ref="F56" ca="1">INDIRECT("'※ 영기팀 작성_가입자'!"&amp;F$1&amp;$AC56, TRUE)</f>
        <v>0</v>
      </c>
      <c r="G56" s="5909" cm="1">
        <f t="array" aca="1" ref="G56" ca="1">INDIRECT("'※ 영기팀 작성_가입자'!"&amp;G$1&amp;$AC56, TRUE)</f>
        <v>0</v>
      </c>
      <c r="H56" s="5909" cm="1">
        <f t="array" aca="1" ref="H56" ca="1">INDIRECT("'※ 영기팀 작성_가입자'!"&amp;H$1&amp;$AC56, TRUE)</f>
        <v>0</v>
      </c>
      <c r="I56" s="5909" cm="1">
        <f t="array" aca="1" ref="I56" ca="1">INDIRECT("'※ 영기팀 작성_가입자'!"&amp;I$1&amp;$AC56, TRUE)</f>
        <v>0</v>
      </c>
      <c r="J56" s="5909" cm="1">
        <f t="array" aca="1" ref="J56" ca="1">INDIRECT("'※ 영기팀 작성_가입자'!"&amp;J$1&amp;$AC56, TRUE)</f>
        <v>0</v>
      </c>
      <c r="K56" s="5909" cm="1">
        <f t="array" aca="1" ref="K56" ca="1">INDIRECT("'※ 영기팀 작성_가입자'!"&amp;K$1&amp;$AC56, TRUE)</f>
        <v>0</v>
      </c>
      <c r="L56" s="5909" cm="1">
        <f t="array" aca="1" ref="L56" ca="1">INDIRECT("'※ 영기팀 작성_가입자'!"&amp;L$1&amp;$AC56, TRUE)</f>
        <v>0</v>
      </c>
      <c r="M56" s="5909" cm="1">
        <f t="array" aca="1" ref="M56" ca="1">INDIRECT("'※ 영기팀 작성_가입자'!"&amp;M$1&amp;$AC56, TRUE)</f>
        <v>0</v>
      </c>
      <c r="N56" s="5909" cm="1">
        <f t="array" aca="1" ref="N56" ca="1">INDIRECT("'※ 영기팀 작성_가입자'!"&amp;N$1&amp;$AC56, TRUE)</f>
        <v>0</v>
      </c>
      <c r="O56" s="5909" cm="1">
        <f t="array" aca="1" ref="O56" ca="1">INDIRECT("'※ 영기팀 작성_가입자'!"&amp;O$1&amp;$AC56, TRUE)</f>
        <v>0</v>
      </c>
      <c r="P56" s="5909" cm="1">
        <f t="array" aca="1" ref="P56" ca="1">INDIRECT("'※ 영기팀 작성_가입자'!"&amp;P$1&amp;$AC56, TRUE)</f>
        <v>0</v>
      </c>
      <c r="Q56" s="5909" cm="1">
        <f t="array" aca="1" ref="Q56" ca="1">INDIRECT("'※ 영기팀 작성_가입자'!"&amp;Q$1&amp;$AC56, TRUE)</f>
        <v>0</v>
      </c>
      <c r="R56" s="5909" cm="1">
        <f t="array" aca="1" ref="R56" ca="1">INDIRECT("'※ 영기팀 작성_가입자'!"&amp;R$1&amp;$AD56, TRUE)</f>
        <v>0</v>
      </c>
      <c r="S56" s="5909" cm="1">
        <f t="array" aca="1" ref="S56" ca="1">INDIRECT("'※ 영기팀 작성_가입자'!"&amp;S$1&amp;$AD56, TRUE)</f>
        <v>0</v>
      </c>
      <c r="T56" s="5909">
        <v>0</v>
      </c>
      <c r="U56" s="5911">
        <f t="shared" ca="1" si="2"/>
        <v>0</v>
      </c>
      <c r="V56" s="5912" cm="1">
        <f t="array" aca="1" ref="V56" ca="1">INDIRECT("'※ 영기팀 작성_가입자'!"&amp;V$1&amp;$AC56, TRUE)</f>
        <v>0</v>
      </c>
      <c r="W56" s="5913" cm="1">
        <f t="array" aca="1" ref="W56" ca="1">INDIRECT("'※ 영기팀 작성_가입자'!"&amp;W$1&amp;$AC56, TRUE)</f>
        <v>0</v>
      </c>
      <c r="X56" s="5912" cm="1">
        <f t="array" aca="1" ref="X56" ca="1">INDIRECT("'※ 영기팀 작성_가입자'!"&amp;X$1&amp;$AD56, TRUE)</f>
        <v>0</v>
      </c>
      <c r="Y56" s="5909">
        <v>0</v>
      </c>
      <c r="Z56" s="5914" cm="1">
        <f t="array" aca="1" ref="Z56" ca="1">INDIRECT("'※ 영기팀 작성_가입자'!"&amp;Z$2&amp;$AC56, TRUE)</f>
        <v>-145.99999999999272</v>
      </c>
      <c r="AA56" s="5915" cm="1">
        <f t="array" aca="1" ref="AA56" ca="1">INDIRECT("'※ 영기팀 작성_가입자'!"&amp;AA$1&amp;$AC56, TRUE)</f>
        <v>0</v>
      </c>
      <c r="AB56" s="5916" cm="1">
        <f t="array" aca="1" ref="AB56" ca="1">INDIRECT("'※ 영기팀 작성_가입자'!"&amp;AB$1&amp;$AC56, TRUE)</f>
        <v>0</v>
      </c>
      <c r="AC56" s="5364">
        <f>ROW('※ 영기팀 작성_가입자'!AH12)</f>
        <v>12</v>
      </c>
      <c r="AD56" s="5360">
        <f>ROW('※ 영기팀 작성_가입자'!AI367)</f>
        <v>367</v>
      </c>
    </row>
    <row r="57" spans="1:32" ht="6" customHeight="1" thickTop="1" thickBot="1" x14ac:dyDescent="0.6">
      <c r="A57" s="5076"/>
      <c r="B57" s="2682"/>
      <c r="C57" s="2682"/>
      <c r="D57" s="2648"/>
      <c r="E57" s="2682"/>
      <c r="F57" s="5917"/>
      <c r="G57" s="2648"/>
      <c r="H57" s="2648"/>
      <c r="I57" s="2648"/>
      <c r="J57" s="2648"/>
      <c r="K57" s="2648"/>
      <c r="L57" s="2648"/>
      <c r="M57" s="2648"/>
      <c r="N57" s="2648"/>
      <c r="O57" s="2648"/>
      <c r="P57" s="2648"/>
      <c r="Q57" s="2648"/>
      <c r="R57" s="2648"/>
      <c r="S57" s="2648"/>
      <c r="T57" s="2648"/>
      <c r="U57" s="2648"/>
      <c r="V57" s="2648"/>
      <c r="W57" s="2682"/>
      <c r="X57" s="2682"/>
      <c r="Y57" s="2682"/>
      <c r="AC57" s="5364"/>
      <c r="AF57" s="3053">
        <f>W57/4</f>
        <v>0</v>
      </c>
    </row>
    <row r="58" spans="1:32" s="5076" customFormat="1" ht="18" customHeight="1" thickTop="1" x14ac:dyDescent="0.55000000000000004">
      <c r="A58" s="7125" t="s">
        <v>94</v>
      </c>
      <c r="B58" s="5918" t="s">
        <v>63</v>
      </c>
      <c r="C58" s="5918"/>
      <c r="D58" s="5919">
        <f ca="1">SUM(D59:D63)</f>
        <v>0</v>
      </c>
      <c r="E58" s="5920">
        <f ca="1">SUM(E59:E63)</f>
        <v>203867</v>
      </c>
      <c r="F58" s="5921">
        <f ca="1">SUM(F59:F63)</f>
        <v>11930</v>
      </c>
      <c r="G58" s="5920">
        <f t="shared" ref="G58:S58" ca="1" si="11">SUM(G59:G63)</f>
        <v>25000</v>
      </c>
      <c r="H58" s="5920">
        <f t="shared" ca="1" si="11"/>
        <v>17145</v>
      </c>
      <c r="I58" s="5920">
        <f t="shared" ca="1" si="11"/>
        <v>22354</v>
      </c>
      <c r="J58" s="5920">
        <f t="shared" ca="1" si="11"/>
        <v>29195</v>
      </c>
      <c r="K58" s="5920">
        <f t="shared" ca="1" si="11"/>
        <v>18050</v>
      </c>
      <c r="L58" s="5920">
        <f t="shared" ref="L58:M58" ca="1" si="12">SUM(L59:L63)</f>
        <v>29155</v>
      </c>
      <c r="M58" s="5920">
        <f t="shared" ca="1" si="12"/>
        <v>17583</v>
      </c>
      <c r="N58" s="5920">
        <f t="shared" ref="N58:O58" ca="1" si="13">SUM(N59:N63)</f>
        <v>23129</v>
      </c>
      <c r="O58" s="5920">
        <f t="shared" ca="1" si="13"/>
        <v>15351</v>
      </c>
      <c r="P58" s="5920">
        <f t="shared" ref="P58:Q58" ca="1" si="14">SUM(P59:P63)</f>
        <v>13674</v>
      </c>
      <c r="Q58" s="5920">
        <f t="shared" ca="1" si="14"/>
        <v>12817</v>
      </c>
      <c r="R58" s="5922">
        <f ca="1">SUM(R59:R63)</f>
        <v>16000</v>
      </c>
      <c r="S58" s="5922">
        <f t="shared" ca="1" si="11"/>
        <v>-3183</v>
      </c>
      <c r="T58" s="5923" cm="1">
        <f t="array" aca="1" ref="T58" ca="1">INDIRECT("'※ 영기팀 작성_가입자'!"&amp;T$1&amp;$AD58, TRUE)</f>
        <v>0.15109381237524949</v>
      </c>
      <c r="U58" s="5924">
        <f t="shared" ref="U58:U73" ca="1" si="15">I58-H58</f>
        <v>5209</v>
      </c>
      <c r="V58" s="5925">
        <f ca="1">SUM(V59:V63)</f>
        <v>-351</v>
      </c>
      <c r="W58" s="5926">
        <f ca="1">SUM(W59:W63)</f>
        <v>235383</v>
      </c>
      <c r="X58" s="5925">
        <f ca="1">SUM(X59:X63)</f>
        <v>-3183</v>
      </c>
      <c r="Y58" s="5923" cm="1">
        <f t="array" aca="1" ref="Y58" ca="1">INDIRECT("'※ 영기팀 작성_가입자'!"&amp;Y$1&amp;$AD58, TRUE)</f>
        <v>0.11265217391304348</v>
      </c>
      <c r="Z58" s="5927">
        <f ca="1">SUM(Z59:Z63)</f>
        <v>31516</v>
      </c>
      <c r="AA58" s="5928">
        <f ca="1">SUM(AA59:AA63)</f>
        <v>19613.615532038999</v>
      </c>
      <c r="AB58" s="5929">
        <f ca="1">SUM(AB59:AB63)</f>
        <v>-351</v>
      </c>
      <c r="AC58" s="5364">
        <v>7</v>
      </c>
      <c r="AD58" s="5360">
        <f>ROW('※ 영기팀 작성_가입자'!AI362)</f>
        <v>362</v>
      </c>
      <c r="AF58" s="5930"/>
    </row>
    <row r="59" spans="1:32" ht="18" customHeight="1" x14ac:dyDescent="0.55000000000000004">
      <c r="A59" s="7126"/>
      <c r="B59" s="5931" t="s">
        <v>77</v>
      </c>
      <c r="C59" s="5931"/>
      <c r="D59" s="5932" cm="1">
        <f t="array" aca="1" ref="D59" ca="1">INDIRECT("'※ 영기팀 작성_가입자'!"&amp;D$1&amp;$AC59, TRUE)</f>
        <v>0</v>
      </c>
      <c r="E59" s="5933" cm="1">
        <f t="array" aca="1" ref="E59" ca="1">INDIRECT("'※ 영기팀 작성_가입자'!"&amp;E$1&amp;$AC59, TRUE)</f>
        <v>33909</v>
      </c>
      <c r="F59" s="5934" cm="1">
        <f t="array" aca="1" ref="F59" ca="1">INDIRECT("'※ 영기팀 작성_가입자'!"&amp;F$1&amp;$AC59, TRUE)</f>
        <v>2089</v>
      </c>
      <c r="G59" s="5933" cm="1">
        <f t="array" aca="1" ref="G59" ca="1">INDIRECT("'※ 영기팀 작성_가입자'!"&amp;G$1&amp;$AC59, TRUE)</f>
        <v>4165</v>
      </c>
      <c r="H59" s="5933" cm="1">
        <f t="array" aca="1" ref="H59" ca="1">INDIRECT("'※ 영기팀 작성_가입자'!"&amp;H$1&amp;$AC59, TRUE)</f>
        <v>2805</v>
      </c>
      <c r="I59" s="5933" cm="1">
        <f t="array" aca="1" ref="I59" ca="1">INDIRECT("'※ 영기팀 작성_가입자'!"&amp;I$1&amp;$AC59, TRUE)</f>
        <v>3989</v>
      </c>
      <c r="J59" s="5933" cm="1">
        <f t="array" aca="1" ref="J59" ca="1">INDIRECT("'※ 영기팀 작성_가입자'!"&amp;J$1&amp;$AC59, TRUE)</f>
        <v>5308</v>
      </c>
      <c r="K59" s="5933" cm="1">
        <f t="array" aca="1" ref="K59" ca="1">INDIRECT("'※ 영기팀 작성_가입자'!"&amp;K$1&amp;$AC59, TRUE)</f>
        <v>3176</v>
      </c>
      <c r="L59" s="5933" cm="1">
        <f t="array" aca="1" ref="L59" ca="1">INDIRECT("'※ 영기팀 작성_가입자'!"&amp;L$1&amp;$AC59, TRUE)</f>
        <v>5057</v>
      </c>
      <c r="M59" s="5933" cm="1">
        <f t="array" aca="1" ref="M59" ca="1">INDIRECT("'※ 영기팀 작성_가입자'!"&amp;M$1&amp;$AC59, TRUE)</f>
        <v>3014</v>
      </c>
      <c r="N59" s="5933" cm="1">
        <f t="array" aca="1" ref="N59" ca="1">INDIRECT("'※ 영기팀 작성_가입자'!"&amp;N$1&amp;$AC59, TRUE)</f>
        <v>4062</v>
      </c>
      <c r="O59" s="5933" cm="1">
        <f t="array" aca="1" ref="O59" ca="1">INDIRECT("'※ 영기팀 작성_가입자'!"&amp;O$1&amp;$AC59, TRUE)</f>
        <v>2618</v>
      </c>
      <c r="P59" s="5933" cm="1">
        <f t="array" aca="1" ref="P59" ca="1">INDIRECT("'※ 영기팀 작성_가입자'!"&amp;P$1&amp;$AC59, TRUE)</f>
        <v>2367</v>
      </c>
      <c r="Q59" s="5933" cm="1">
        <f t="array" aca="1" ref="Q59" ca="1">INDIRECT("'※ 영기팀 작성_가입자'!"&amp;Q$1&amp;$AC59, TRUE)</f>
        <v>2173</v>
      </c>
      <c r="R59" s="5935" cm="1">
        <f t="array" aca="1" ref="R59" ca="1">INDIRECT("'※ 영기팀 작성_가입자'!"&amp;R$1&amp;$AD59, TRUE)</f>
        <v>2610</v>
      </c>
      <c r="S59" s="5935" cm="1">
        <f t="array" aca="1" ref="S59" ca="1">INDIRECT("'※ 영기팀 작성_가입자'!"&amp;S$1&amp;$AD59, TRUE)</f>
        <v>-437</v>
      </c>
      <c r="T59" s="5936" cm="1">
        <f t="array" aca="1" ref="T59" ca="1">INDIRECT("'※ 영기팀 작성_가입자'!"&amp;T$1&amp;$AD59, TRUE)</f>
        <v>1.0844195544251791</v>
      </c>
      <c r="U59" s="5937">
        <f t="shared" ca="1" si="15"/>
        <v>1184</v>
      </c>
      <c r="V59" s="5938" cm="1">
        <f t="array" aca="1" ref="V59" ca="1">INDIRECT("'※ 영기팀 작성_가입자'!"&amp;V$1&amp;$AC59, TRUE)</f>
        <v>-130</v>
      </c>
      <c r="W59" s="5939" cm="1">
        <f t="array" aca="1" ref="W59" ca="1">INDIRECT("'※ 영기팀 작성_가입자'!"&amp;W$1&amp;$AC59, TRUE)</f>
        <v>40823</v>
      </c>
      <c r="X59" s="5938" cm="1">
        <f t="array" aca="1" ref="X59" ca="1">INDIRECT("'※ 영기팀 작성_가입자'!"&amp;X$1&amp;$AD59, TRUE)</f>
        <v>-437</v>
      </c>
      <c r="Y59" s="5936" cm="1">
        <f t="array" aca="1" ref="Y59" ca="1">INDIRECT("'※ 영기팀 작성_가입자'!"&amp;Y$1&amp;$AD59, TRUE)</f>
        <v>1.4179541822056474</v>
      </c>
      <c r="Z59" s="5938" cm="1">
        <f t="array" aca="1" ref="Z59" ca="1">INDIRECT("'※ 영기팀 작성_가입자'!"&amp;Z$2&amp;$AC59, TRUE)</f>
        <v>6914</v>
      </c>
      <c r="AA59" s="5940" cm="1">
        <f t="array" aca="1" ref="AA59" ca="1">INDIRECT("'※ 영기팀 작성_가입자'!"&amp;AA$1&amp;$AC59, TRUE)</f>
        <v>3401.6331972335638</v>
      </c>
      <c r="AB59" s="5941" cm="1">
        <f t="array" aca="1" ref="AB59" ca="1">INDIRECT("'※ 영기팀 작성_가입자'!"&amp;AB$1&amp;$AC59, TRUE)</f>
        <v>-130</v>
      </c>
      <c r="AC59" s="5364">
        <f>ROW('※ 영기팀 작성_가입자'!AH13)</f>
        <v>13</v>
      </c>
      <c r="AD59" s="5360">
        <f>ROW('※ 영기팀 작성_가입자'!AI368)</f>
        <v>368</v>
      </c>
      <c r="AF59" s="3053"/>
    </row>
    <row r="60" spans="1:32" ht="18" customHeight="1" x14ac:dyDescent="0.55000000000000004">
      <c r="A60" s="7126"/>
      <c r="B60" s="5931" t="s">
        <v>78</v>
      </c>
      <c r="C60" s="5931"/>
      <c r="D60" s="5932" cm="1">
        <f t="array" aca="1" ref="D60" ca="1">INDIRECT("'※ 영기팀 작성_가입자'!"&amp;D$1&amp;$AC60, TRUE)</f>
        <v>0</v>
      </c>
      <c r="E60" s="5933" cm="1">
        <f t="array" aca="1" ref="E60" ca="1">INDIRECT("'※ 영기팀 작성_가입자'!"&amp;E$1&amp;$AC60, TRUE)</f>
        <v>33883</v>
      </c>
      <c r="F60" s="5934" cm="1">
        <f t="array" aca="1" ref="F60" ca="1">INDIRECT("'※ 영기팀 작성_가입자'!"&amp;F$1&amp;$AC60, TRUE)</f>
        <v>2105</v>
      </c>
      <c r="G60" s="5933" cm="1">
        <f t="array" aca="1" ref="G60" ca="1">INDIRECT("'※ 영기팀 작성_가입자'!"&amp;G$1&amp;$AC60, TRUE)</f>
        <v>4146</v>
      </c>
      <c r="H60" s="5933" cm="1">
        <f t="array" aca="1" ref="H60" ca="1">INDIRECT("'※ 영기팀 작성_가입자'!"&amp;H$1&amp;$AC60, TRUE)</f>
        <v>2905</v>
      </c>
      <c r="I60" s="5933" cm="1">
        <f t="array" aca="1" ref="I60" ca="1">INDIRECT("'※ 영기팀 작성_가입자'!"&amp;I$1&amp;$AC60, TRUE)</f>
        <v>4278</v>
      </c>
      <c r="J60" s="5933" cm="1">
        <f t="array" aca="1" ref="J60" ca="1">INDIRECT("'※ 영기팀 작성_가입자'!"&amp;J$1&amp;$AC60, TRUE)</f>
        <v>5653</v>
      </c>
      <c r="K60" s="5933" cm="1">
        <f t="array" aca="1" ref="K60" ca="1">INDIRECT("'※ 영기팀 작성_가입자'!"&amp;K$1&amp;$AC60, TRUE)</f>
        <v>3230</v>
      </c>
      <c r="L60" s="5933" cm="1">
        <f t="array" aca="1" ref="L60" ca="1">INDIRECT("'※ 영기팀 작성_가입자'!"&amp;L$1&amp;$AC60, TRUE)</f>
        <v>4995</v>
      </c>
      <c r="M60" s="5933" cm="1">
        <f t="array" aca="1" ref="M60" ca="1">INDIRECT("'※ 영기팀 작성_가입자'!"&amp;M$1&amp;$AC60, TRUE)</f>
        <v>3059</v>
      </c>
      <c r="N60" s="5933" cm="1">
        <f t="array" aca="1" ref="N60" ca="1">INDIRECT("'※ 영기팀 작성_가입자'!"&amp;N$1&amp;$AC60, TRUE)</f>
        <v>4064</v>
      </c>
      <c r="O60" s="5933" cm="1">
        <f t="array" aca="1" ref="O60" ca="1">INDIRECT("'※ 영기팀 작성_가입자'!"&amp;O$1&amp;$AC60, TRUE)</f>
        <v>2692</v>
      </c>
      <c r="P60" s="5933" cm="1">
        <f t="array" aca="1" ref="P60" ca="1">INDIRECT("'※ 영기팀 작성_가입자'!"&amp;P$1&amp;$AC60, TRUE)</f>
        <v>2279</v>
      </c>
      <c r="Q60" s="5933" cm="1">
        <f t="array" aca="1" ref="Q60" ca="1">INDIRECT("'※ 영기팀 작성_가입자'!"&amp;Q$1&amp;$AC60, TRUE)</f>
        <v>2360</v>
      </c>
      <c r="R60" s="5935" cm="1">
        <f t="array" aca="1" ref="R60" ca="1">INDIRECT("'※ 영기팀 작성_가입자'!"&amp;R$1&amp;$AD60, TRUE)</f>
        <v>2668</v>
      </c>
      <c r="S60" s="5935" cm="1">
        <f t="array" aca="1" ref="S60" ca="1">INDIRECT("'※ 영기팀 작성_가입자'!"&amp;S$1&amp;$AD60, TRUE)</f>
        <v>-308</v>
      </c>
      <c r="T60" s="5936" cm="1">
        <f t="array" aca="1" ref="T60" ca="1">INDIRECT("'※ 영기팀 작성_가입자'!"&amp;T$1&amp;$AD60, TRUE)</f>
        <v>0.48808925279513515</v>
      </c>
      <c r="U60" s="5937">
        <f t="shared" ca="1" si="15"/>
        <v>1373</v>
      </c>
      <c r="V60" s="5938" cm="1">
        <f t="array" aca="1" ref="V60" ca="1">INDIRECT("'※ 영기팀 작성_가입자'!"&amp;V$1&amp;$AC60, TRUE)</f>
        <v>133</v>
      </c>
      <c r="W60" s="5939" cm="1">
        <f t="array" aca="1" ref="W60" ca="1">INDIRECT("'※ 영기팀 작성_가입자'!"&amp;W$1&amp;$AC60, TRUE)</f>
        <v>41766</v>
      </c>
      <c r="X60" s="5938" cm="1">
        <f t="array" aca="1" ref="X60" ca="1">INDIRECT("'※ 영기팀 작성_가입자'!"&amp;X$1&amp;$AD60, TRUE)</f>
        <v>-308</v>
      </c>
      <c r="Y60" s="5936" cm="1">
        <f t="array" aca="1" ref="Y60" ca="1">INDIRECT("'※ 영기팀 작성_가입자'!"&amp;Y$1&amp;$AD60, TRUE)</f>
        <v>0.71003911342894399</v>
      </c>
      <c r="Z60" s="5938" cm="1">
        <f t="array" aca="1" ref="Z60" ca="1">INDIRECT("'※ 영기팀 작성_가입자'!"&amp;Z$2&amp;$AC60, TRUE)</f>
        <v>7883</v>
      </c>
      <c r="AA60" s="5940" cm="1">
        <f t="array" aca="1" ref="AA60" ca="1">INDIRECT("'※ 영기팀 작성_가입자'!"&amp;AA$1&amp;$AC60, TRUE)</f>
        <v>3480.2099825014584</v>
      </c>
      <c r="AB60" s="5941" cm="1">
        <f t="array" aca="1" ref="AB60" ca="1">INDIRECT("'※ 영기팀 작성_가입자'!"&amp;AB$1&amp;$AC60, TRUE)</f>
        <v>133</v>
      </c>
      <c r="AC60" s="5364">
        <f>ROW('※ 영기팀 작성_가입자'!AH14)</f>
        <v>14</v>
      </c>
      <c r="AD60" s="5360">
        <f>ROW('※ 영기팀 작성_가입자'!AI369)</f>
        <v>369</v>
      </c>
    </row>
    <row r="61" spans="1:32" ht="18" customHeight="1" x14ac:dyDescent="0.55000000000000004">
      <c r="A61" s="7126"/>
      <c r="B61" s="5931" t="s">
        <v>79</v>
      </c>
      <c r="C61" s="5931"/>
      <c r="D61" s="5932" cm="1">
        <f t="array" aca="1" ref="D61" ca="1">INDIRECT("'※ 영기팀 작성_가입자'!"&amp;D$1&amp;$AC61, TRUE)</f>
        <v>0</v>
      </c>
      <c r="E61" s="5933" cm="1">
        <f t="array" aca="1" ref="E61" ca="1">INDIRECT("'※ 영기팀 작성_가입자'!"&amp;E$1&amp;$AC61, TRUE)</f>
        <v>44920</v>
      </c>
      <c r="F61" s="5934" cm="1">
        <f t="array" aca="1" ref="F61" ca="1">INDIRECT("'※ 영기팀 작성_가입자'!"&amp;F$1&amp;$AC61, TRUE)</f>
        <v>2733</v>
      </c>
      <c r="G61" s="5933" cm="1">
        <f t="array" aca="1" ref="G61" ca="1">INDIRECT("'※ 영기팀 작성_가입자'!"&amp;G$1&amp;$AC61, TRUE)</f>
        <v>5529</v>
      </c>
      <c r="H61" s="5933" cm="1">
        <f t="array" aca="1" ref="H61" ca="1">INDIRECT("'※ 영기팀 작성_가입자'!"&amp;H$1&amp;$AC61, TRUE)</f>
        <v>3698</v>
      </c>
      <c r="I61" s="5933" cm="1">
        <f t="array" aca="1" ref="I61" ca="1">INDIRECT("'※ 영기팀 작성_가입자'!"&amp;I$1&amp;$AC61, TRUE)</f>
        <v>4718</v>
      </c>
      <c r="J61" s="5933" cm="1">
        <f t="array" aca="1" ref="J61" ca="1">INDIRECT("'※ 영기팀 작성_가입자'!"&amp;J$1&amp;$AC61, TRUE)</f>
        <v>6330</v>
      </c>
      <c r="K61" s="5933" cm="1">
        <f t="array" aca="1" ref="K61" ca="1">INDIRECT("'※ 영기팀 작성_가입자'!"&amp;K$1&amp;$AC61, TRUE)</f>
        <v>4130</v>
      </c>
      <c r="L61" s="5933" cm="1">
        <f t="array" aca="1" ref="L61" ca="1">INDIRECT("'※ 영기팀 작성_가입자'!"&amp;L$1&amp;$AC61, TRUE)</f>
        <v>6251</v>
      </c>
      <c r="M61" s="5933" cm="1">
        <f t="array" aca="1" ref="M61" ca="1">INDIRECT("'※ 영기팀 작성_가입자'!"&amp;M$1&amp;$AC61, TRUE)</f>
        <v>3903</v>
      </c>
      <c r="N61" s="5933" cm="1">
        <f t="array" aca="1" ref="N61" ca="1">INDIRECT("'※ 영기팀 작성_가입자'!"&amp;N$1&amp;$AC61, TRUE)</f>
        <v>5065</v>
      </c>
      <c r="O61" s="5933" cm="1">
        <f t="array" aca="1" ref="O61" ca="1">INDIRECT("'※ 영기팀 작성_가입자'!"&amp;O$1&amp;$AC61, TRUE)</f>
        <v>3278</v>
      </c>
      <c r="P61" s="5933" cm="1">
        <f t="array" aca="1" ref="P61" ca="1">INDIRECT("'※ 영기팀 작성_가입자'!"&amp;P$1&amp;$AC61, TRUE)</f>
        <v>3001</v>
      </c>
      <c r="Q61" s="5933" cm="1">
        <f t="array" aca="1" ref="Q61" ca="1">INDIRECT("'※ 영기팀 작성_가입자'!"&amp;Q$1&amp;$AC61, TRUE)</f>
        <v>2774</v>
      </c>
      <c r="R61" s="5935" cm="1">
        <f t="array" aca="1" ref="R61" ca="1">INDIRECT("'※ 영기팀 작성_가입자'!"&amp;R$1&amp;$AD61, TRUE)</f>
        <v>3495</v>
      </c>
      <c r="S61" s="5935" cm="1">
        <f t="array" aca="1" ref="S61" ca="1">INDIRECT("'※ 영기팀 작성_가입자'!"&amp;S$1&amp;$AD61, TRUE)</f>
        <v>-721</v>
      </c>
      <c r="T61" s="5936" cm="1">
        <f t="array" aca="1" ref="T61" ca="1">INDIRECT("'※ 영기팀 작성_가입자'!"&amp;T$1&amp;$AD61, TRUE)</f>
        <v>0.37354000255899394</v>
      </c>
      <c r="U61" s="5937">
        <f t="shared" ca="1" si="15"/>
        <v>1020</v>
      </c>
      <c r="V61" s="5938" cm="1">
        <f t="array" aca="1" ref="V61" ca="1">INDIRECT("'※ 영기팀 작성_가입자'!"&amp;V$1&amp;$AC61, TRUE)</f>
        <v>-120</v>
      </c>
      <c r="W61" s="5939" cm="1">
        <f t="array" aca="1" ref="W61" ca="1">INDIRECT("'※ 영기팀 작성_가입자'!"&amp;W$1&amp;$AC61, TRUE)</f>
        <v>51410</v>
      </c>
      <c r="X61" s="5938" cm="1">
        <f t="array" aca="1" ref="X61" ca="1">INDIRECT("'※ 영기팀 작성_가입자'!"&amp;X$1&amp;$AD61, TRUE)</f>
        <v>-721</v>
      </c>
      <c r="Y61" s="5936" cm="1">
        <f t="array" aca="1" ref="Y61" ca="1">INDIRECT("'※ 영기팀 작성_가입자'!"&amp;Y$1&amp;$AD61, TRUE)</f>
        <v>0.51463268962771247</v>
      </c>
      <c r="Z61" s="5938" cm="1">
        <f t="array" aca="1" ref="Z61" ca="1">INDIRECT("'※ 영기팀 작성_가입자'!"&amp;Z$2&amp;$AC61, TRUE)</f>
        <v>6490</v>
      </c>
      <c r="AA61" s="5940" cm="1">
        <f t="array" aca="1" ref="AA61" ca="1">INDIRECT("'※ 영기팀 작성_가입자'!"&amp;AA$1&amp;$AC61, TRUE)</f>
        <v>4283.8096825264565</v>
      </c>
      <c r="AB61" s="5941" cm="1">
        <f t="array" aca="1" ref="AB61" ca="1">INDIRECT("'※ 영기팀 작성_가입자'!"&amp;AB$1&amp;$AC61, TRUE)</f>
        <v>-120</v>
      </c>
      <c r="AC61" s="5364">
        <f>ROW('※ 영기팀 작성_가입자'!AH15)</f>
        <v>15</v>
      </c>
      <c r="AD61" s="5360">
        <f>ROW('※ 영기팀 작성_가입자'!AI370)</f>
        <v>370</v>
      </c>
    </row>
    <row r="62" spans="1:32" ht="18" customHeight="1" x14ac:dyDescent="0.55000000000000004">
      <c r="A62" s="7126"/>
      <c r="B62" s="5931" t="s">
        <v>425</v>
      </c>
      <c r="C62" s="5942"/>
      <c r="D62" s="5943" cm="1">
        <f t="array" aca="1" ref="D62" ca="1">INDIRECT("'※ 영기팀 작성_가입자'!"&amp;D$1&amp;$AC62, TRUE)</f>
        <v>0</v>
      </c>
      <c r="E62" s="5933" cm="1">
        <f t="array" aca="1" ref="E62" ca="1">INDIRECT("'※ 영기팀 작성_가입자'!"&amp;E$1&amp;$AC62, TRUE)</f>
        <v>51040</v>
      </c>
      <c r="F62" s="5934" cm="1">
        <f t="array" aca="1" ref="F62" ca="1">INDIRECT("'※ 영기팀 작성_가입자'!"&amp;F$1&amp;$AC62, TRUE)</f>
        <v>2642</v>
      </c>
      <c r="G62" s="5933" cm="1">
        <f t="array" aca="1" ref="G62" ca="1">INDIRECT("'※ 영기팀 작성_가입자'!"&amp;G$1&amp;$AC62, TRUE)</f>
        <v>6334</v>
      </c>
      <c r="H62" s="5933" cm="1">
        <f t="array" aca="1" ref="H62" ca="1">INDIRECT("'※ 영기팀 작성_가입자'!"&amp;H$1&amp;$AC62, TRUE)</f>
        <v>4349</v>
      </c>
      <c r="I62" s="5933" cm="1">
        <f t="array" aca="1" ref="I62" ca="1">INDIRECT("'※ 영기팀 작성_가입자'!"&amp;I$1&amp;$AC62, TRUE)</f>
        <v>5391</v>
      </c>
      <c r="J62" s="5933" cm="1">
        <f t="array" aca="1" ref="J62" ca="1">INDIRECT("'※ 영기팀 작성_가입자'!"&amp;J$1&amp;$AC62, TRUE)</f>
        <v>6581</v>
      </c>
      <c r="K62" s="5933" cm="1">
        <f t="array" aca="1" ref="K62" ca="1">INDIRECT("'※ 영기팀 작성_가입자'!"&amp;K$1&amp;$AC62, TRUE)</f>
        <v>4348</v>
      </c>
      <c r="L62" s="5933" cm="1">
        <f t="array" aca="1" ref="L62" ca="1">INDIRECT("'※ 영기팀 작성_가입자'!"&amp;L$1&amp;$AC62, TRUE)</f>
        <v>7327</v>
      </c>
      <c r="M62" s="5933" cm="1">
        <f t="array" aca="1" ref="M62" ca="1">INDIRECT("'※ 영기팀 작성_가입자'!"&amp;M$1&amp;$AC62, TRUE)</f>
        <v>4271</v>
      </c>
      <c r="N62" s="5933" cm="1">
        <f t="array" aca="1" ref="N62" ca="1">INDIRECT("'※ 영기팀 작성_가입자'!"&amp;N$1&amp;$AC62, TRUE)</f>
        <v>5486</v>
      </c>
      <c r="O62" s="5933" cm="1">
        <f t="array" aca="1" ref="O62" ca="1">INDIRECT("'※ 영기팀 작성_가입자'!"&amp;O$1&amp;$AC62, TRUE)</f>
        <v>3875</v>
      </c>
      <c r="P62" s="5933" cm="1">
        <f t="array" aca="1" ref="P62" ca="1">INDIRECT("'※ 영기팀 작성_가입자'!"&amp;P$1&amp;$AC62, TRUE)</f>
        <v>3364</v>
      </c>
      <c r="Q62" s="5933" cm="1">
        <f t="array" aca="1" ref="Q62" ca="1">INDIRECT("'※ 영기팀 작성_가입자'!"&amp;Q$1&amp;$AC62, TRUE)</f>
        <v>3073</v>
      </c>
      <c r="R62" s="5935" cm="1">
        <f t="array" aca="1" ref="R62" ca="1">INDIRECT("'※ 영기팀 작성_가입자'!"&amp;R$1&amp;$AD62, TRUE)</f>
        <v>4010</v>
      </c>
      <c r="S62" s="5935" cm="1">
        <f t="array" aca="1" ref="S62" ca="1">INDIRECT("'※ 영기팀 작성_가입자'!"&amp;S$1&amp;$AD62, TRUE)</f>
        <v>-937</v>
      </c>
      <c r="T62" s="5936" cm="1">
        <f t="array" aca="1" ref="T62" ca="1">INDIRECT("'※ 영기팀 작성_가입자'!"&amp;T$1&amp;$AD62, TRUE)</f>
        <v>0.30302982031349562</v>
      </c>
      <c r="U62" s="5937">
        <f t="shared" ca="1" si="15"/>
        <v>1042</v>
      </c>
      <c r="V62" s="5938" cm="1">
        <f t="array" aca="1" ref="V62" ca="1">INDIRECT("'※ 영기팀 작성_가입자'!"&amp;V$1&amp;$AC62, TRUE)</f>
        <v>-26</v>
      </c>
      <c r="W62" s="5939" cm="1">
        <f t="array" aca="1" ref="W62" ca="1">INDIRECT("'※ 영기팀 작성_가입자'!"&amp;W$1&amp;$AC62, TRUE)</f>
        <v>57041</v>
      </c>
      <c r="X62" s="5938" cm="1">
        <f t="array" aca="1" ref="X62" ca="1">INDIRECT("'※ 영기팀 작성_가입자'!"&amp;X$1&amp;$AD62, TRUE)</f>
        <v>-937</v>
      </c>
      <c r="Y62" s="5936" cm="1">
        <f t="array" aca="1" ref="Y62" ca="1">INDIRECT("'※ 영기팀 작성_가입자'!"&amp;Y$1&amp;$AD62, TRUE)</f>
        <v>0.46668979875086747</v>
      </c>
      <c r="Z62" s="5938" cm="1">
        <f t="array" aca="1" ref="Z62" ca="1">INDIRECT("'※ 영기팀 작성_가입자'!"&amp;Z$2&amp;$AC62, TRUE)</f>
        <v>6001</v>
      </c>
      <c r="AA62" s="5940" cm="1">
        <f t="array" aca="1" ref="AA62" ca="1">INDIRECT("'※ 영기팀 작성_가입자'!"&amp;AA$1&amp;$AC62, TRUE)</f>
        <v>4753.0205816181988</v>
      </c>
      <c r="AB62" s="5941" cm="1">
        <f t="array" aca="1" ref="AB62" ca="1">INDIRECT("'※ 영기팀 작성_가입자'!"&amp;AB$1&amp;$AC62, TRUE)</f>
        <v>-26</v>
      </c>
      <c r="AC62" s="5364">
        <f>ROW('※ 영기팀 작성_가입자'!AH16)</f>
        <v>16</v>
      </c>
      <c r="AD62" s="5360">
        <f>ROW('※ 영기팀 작성_가입자'!AI371)</f>
        <v>371</v>
      </c>
    </row>
    <row r="63" spans="1:32" ht="18" customHeight="1" x14ac:dyDescent="0.55000000000000004">
      <c r="A63" s="7126"/>
      <c r="B63" s="5944" t="s">
        <v>80</v>
      </c>
      <c r="C63" s="5945"/>
      <c r="D63" s="5946" cm="1">
        <f t="array" aca="1" ref="D63" ca="1">INDIRECT("'※ 영기팀 작성_가입자'!"&amp;D$1&amp;$AC63, TRUE)</f>
        <v>0</v>
      </c>
      <c r="E63" s="5947" cm="1">
        <f t="array" aca="1" ref="E63" ca="1">INDIRECT("'※ 영기팀 작성_가입자'!"&amp;E$1&amp;$AC63, TRUE)</f>
        <v>40115</v>
      </c>
      <c r="F63" s="5948" cm="1">
        <f t="array" aca="1" ref="F63" ca="1">INDIRECT("'※ 영기팀 작성_가입자'!"&amp;F$1&amp;$AC63, TRUE)</f>
        <v>2361</v>
      </c>
      <c r="G63" s="5947" cm="1">
        <f t="array" aca="1" ref="G63" ca="1">INDIRECT("'※ 영기팀 작성_가입자'!"&amp;G$1&amp;$AC63, TRUE)</f>
        <v>4826</v>
      </c>
      <c r="H63" s="5947" cm="1">
        <f t="array" aca="1" ref="H63" ca="1">INDIRECT("'※ 영기팀 작성_가입자'!"&amp;H$1&amp;$AC63, TRUE)</f>
        <v>3388</v>
      </c>
      <c r="I63" s="5947" cm="1">
        <f t="array" aca="1" ref="I63" ca="1">INDIRECT("'※ 영기팀 작성_가입자'!"&amp;I$1&amp;$AC63, TRUE)</f>
        <v>3978</v>
      </c>
      <c r="J63" s="5947" cm="1">
        <f t="array" aca="1" ref="J63" ca="1">INDIRECT("'※ 영기팀 작성_가입자'!"&amp;J$1&amp;$AC63, TRUE)</f>
        <v>5323</v>
      </c>
      <c r="K63" s="5947" cm="1">
        <f t="array" aca="1" ref="K63" ca="1">INDIRECT("'※ 영기팀 작성_가입자'!"&amp;K$1&amp;$AC63, TRUE)</f>
        <v>3166</v>
      </c>
      <c r="L63" s="5947" cm="1">
        <f t="array" aca="1" ref="L63" ca="1">INDIRECT("'※ 영기팀 작성_가입자'!"&amp;L$1&amp;$AC63, TRUE)</f>
        <v>5525</v>
      </c>
      <c r="M63" s="5947" cm="1">
        <f t="array" aca="1" ref="M63" ca="1">INDIRECT("'※ 영기팀 작성_가입자'!"&amp;M$1&amp;$AC63, TRUE)</f>
        <v>3336</v>
      </c>
      <c r="N63" s="5947" cm="1">
        <f t="array" aca="1" ref="N63" ca="1">INDIRECT("'※ 영기팀 작성_가입자'!"&amp;N$1&amp;$AC63, TRUE)</f>
        <v>4452</v>
      </c>
      <c r="O63" s="5947" cm="1">
        <f t="array" aca="1" ref="O63" ca="1">INDIRECT("'※ 영기팀 작성_가입자'!"&amp;O$1&amp;$AC63, TRUE)</f>
        <v>2888</v>
      </c>
      <c r="P63" s="5947" cm="1">
        <f t="array" aca="1" ref="P63" ca="1">INDIRECT("'※ 영기팀 작성_가입자'!"&amp;P$1&amp;$AC63, TRUE)</f>
        <v>2663</v>
      </c>
      <c r="Q63" s="5947" cm="1">
        <f t="array" aca="1" ref="Q63" ca="1">INDIRECT("'※ 영기팀 작성_가입자'!"&amp;Q$1&amp;$AC63, TRUE)</f>
        <v>2437</v>
      </c>
      <c r="R63" s="5949" cm="1">
        <f t="array" aca="1" ref="R63" ca="1">INDIRECT("'※ 영기팀 작성_가입자'!"&amp;R$1&amp;$AD63, TRUE)</f>
        <v>3217</v>
      </c>
      <c r="S63" s="5949" cm="1">
        <f t="array" aca="1" ref="S63" ca="1">INDIRECT("'※ 영기팀 작성_가입자'!"&amp;S$1&amp;$AD63, TRUE)</f>
        <v>-780</v>
      </c>
      <c r="T63" s="5950" cm="1">
        <f t="array" aca="1" ref="T63" ca="1">INDIRECT("'※ 영기팀 작성_가입자'!"&amp;T$1&amp;$AD63, TRUE)</f>
        <v>0.45165326184092941</v>
      </c>
      <c r="U63" s="5951">
        <f t="shared" ca="1" si="15"/>
        <v>590</v>
      </c>
      <c r="V63" s="5952" cm="1">
        <f t="array" aca="1" ref="V63" ca="1">INDIRECT("'※ 영기팀 작성_가입자'!"&amp;V$1&amp;$AC63, TRUE)</f>
        <v>-208</v>
      </c>
      <c r="W63" s="5953" cm="1">
        <f t="array" aca="1" ref="W63" ca="1">INDIRECT("'※ 영기팀 작성_가입자'!"&amp;W$1&amp;$AC63, TRUE)</f>
        <v>44343</v>
      </c>
      <c r="X63" s="5952" cm="1">
        <f t="array" aca="1" ref="X63" ca="1">INDIRECT("'※ 영기팀 작성_가입자'!"&amp;X$1&amp;$AD63, TRUE)</f>
        <v>-780</v>
      </c>
      <c r="Y63" s="5950" cm="1">
        <f t="array" aca="1" ref="Y63" ca="1">INDIRECT("'※ 영기팀 작성_가입자'!"&amp;Y$1&amp;$AD63, TRUE)</f>
        <v>0.64078719723183386</v>
      </c>
      <c r="Z63" s="5952" cm="1">
        <f t="array" aca="1" ref="Z63" ca="1">INDIRECT("'※ 영기팀 작성_가입자'!"&amp;Z$2&amp;$AC63, TRUE)</f>
        <v>4228</v>
      </c>
      <c r="AA63" s="5954" cm="1">
        <f t="array" aca="1" ref="AA63" ca="1">INDIRECT("'※ 영기팀 작성_가입자'!"&amp;AA$1&amp;$AC63, TRUE)</f>
        <v>3694.9420881593201</v>
      </c>
      <c r="AB63" s="5955" cm="1">
        <f t="array" aca="1" ref="AB63" ca="1">INDIRECT("'※ 영기팀 작성_가입자'!"&amp;AB$1&amp;$AC63, TRUE)</f>
        <v>-208</v>
      </c>
      <c r="AC63" s="5364">
        <f>ROW('※ 영기팀 작성_가입자'!AH17)</f>
        <v>17</v>
      </c>
      <c r="AD63" s="5360">
        <f>ROW('※ 영기팀 작성_가입자'!AI372)</f>
        <v>372</v>
      </c>
    </row>
    <row r="64" spans="1:32" ht="18" customHeight="1" x14ac:dyDescent="0.55000000000000004">
      <c r="A64" s="7126"/>
      <c r="B64" s="2639" t="s">
        <v>68</v>
      </c>
      <c r="C64" s="2648"/>
      <c r="D64" s="5932" cm="1">
        <f t="array" aca="1" ref="D64" ca="1">INDIRECT("'※ 영기팀 작성_가입자'!"&amp;D$1&amp;$AC64, TRUE)</f>
        <v>0</v>
      </c>
      <c r="E64" s="5297" cm="1">
        <f t="array" aca="1" ref="E64" ca="1">INDIRECT("'※ 영기팀 작성_가입자'!"&amp;E$1&amp;$AC64, TRUE)</f>
        <v>16544</v>
      </c>
      <c r="F64" s="5891" cm="1">
        <f t="array" aca="1" ref="F64" ca="1">INDIRECT("'※ 영기팀 작성_가입자'!"&amp;F$1&amp;$AC64, TRUE)</f>
        <v>1028</v>
      </c>
      <c r="G64" s="5297" cm="1">
        <f t="array" aca="1" ref="G64" ca="1">INDIRECT("'※ 영기팀 작성_가입자'!"&amp;G$1&amp;$AC64, TRUE)</f>
        <v>1990</v>
      </c>
      <c r="H64" s="5297" cm="1">
        <f t="array" aca="1" ref="H64" ca="1">INDIRECT("'※ 영기팀 작성_가입자'!"&amp;H$1&amp;$AC64, TRUE)</f>
        <v>1362</v>
      </c>
      <c r="I64" s="5297" cm="1">
        <f t="array" aca="1" ref="I64" ca="1">INDIRECT("'※ 영기팀 작성_가입자'!"&amp;I$1&amp;$AC64, TRUE)</f>
        <v>2089</v>
      </c>
      <c r="J64" s="5297" cm="1">
        <f t="array" aca="1" ref="J64" ca="1">INDIRECT("'※ 영기팀 작성_가입자'!"&amp;J$1&amp;$AC64, TRUE)</f>
        <v>2723</v>
      </c>
      <c r="K64" s="5297" cm="1">
        <f t="array" aca="1" ref="K64" ca="1">INDIRECT("'※ 영기팀 작성_가입자'!"&amp;K$1&amp;$AC64, TRUE)</f>
        <v>1650</v>
      </c>
      <c r="L64" s="5297" cm="1">
        <f t="array" aca="1" ref="L64" ca="1">INDIRECT("'※ 영기팀 작성_가입자'!"&amp;L$1&amp;$AC64, TRUE)</f>
        <v>2507</v>
      </c>
      <c r="M64" s="5297" cm="1">
        <f t="array" aca="1" ref="M64" ca="1">INDIRECT("'※ 영기팀 작성_가입자'!"&amp;M$1&amp;$AC64, TRUE)</f>
        <v>1451</v>
      </c>
      <c r="N64" s="5297" cm="1">
        <f t="array" aca="1" ref="N64" ca="1">INDIRECT("'※ 영기팀 작성_가입자'!"&amp;N$1&amp;$AC64, TRUE)</f>
        <v>2087</v>
      </c>
      <c r="O64" s="5297" cm="1">
        <f t="array" aca="1" ref="O64" ca="1">INDIRECT("'※ 영기팀 작성_가입자'!"&amp;O$1&amp;$AC64, TRUE)</f>
        <v>1269</v>
      </c>
      <c r="P64" s="5297" cm="1">
        <f t="array" aca="1" ref="P64" ca="1">INDIRECT("'※ 영기팀 작성_가입자'!"&amp;P$1&amp;$AC64, TRUE)</f>
        <v>1136</v>
      </c>
      <c r="Q64" s="5297" cm="1">
        <f t="array" aca="1" ref="Q64" ca="1">INDIRECT("'※ 영기팀 작성_가입자'!"&amp;Q$1&amp;$AC64, TRUE)</f>
        <v>1095</v>
      </c>
      <c r="R64" s="5893" cm="1">
        <f t="array" aca="1" ref="R64" ca="1">INDIRECT("'※ 영기팀 작성_가입자'!"&amp;R$1&amp;$AD64, TRUE)</f>
        <v>1314</v>
      </c>
      <c r="S64" s="5893" cm="1">
        <f t="array" aca="1" ref="S64" ca="1">INDIRECT("'※ 영기팀 작성_가입자'!"&amp;S$1&amp;$AD64, TRUE)</f>
        <v>-219</v>
      </c>
      <c r="T64" s="5956" cm="1">
        <f t="array" aca="1" ref="T64" ca="1">INDIRECT("'※ 영기팀 작성_가입자'!"&amp;T$1&amp;$AD64, TRUE)</f>
        <v>1.5211493582263711</v>
      </c>
      <c r="U64" s="5957">
        <f t="shared" ca="1" si="15"/>
        <v>727</v>
      </c>
      <c r="V64" s="5958" cm="1">
        <f t="array" aca="1" ref="V64" ca="1">INDIRECT("'※ 영기팀 작성_가입자'!"&amp;V$1&amp;$AC64, TRUE)</f>
        <v>-41</v>
      </c>
      <c r="W64" s="5894" cm="1">
        <f t="array" aca="1" ref="W64" ca="1">INDIRECT("'※ 영기팀 작성_가입자'!"&amp;W$1&amp;$AC64, TRUE)</f>
        <v>20387</v>
      </c>
      <c r="X64" s="5958" cm="1">
        <f t="array" aca="1" ref="X64" ca="1">INDIRECT("'※ 영기팀 작성_가입자'!"&amp;X$1&amp;$AD64, TRUE)</f>
        <v>-219</v>
      </c>
      <c r="Y64" s="5956" cm="1">
        <f t="array" aca="1" ref="Y64" ca="1">INDIRECT("'※ 영기팀 작성_가입자'!"&amp;Y$1&amp;$AD64, TRUE)</f>
        <v>2.0778601694915255</v>
      </c>
      <c r="Z64" s="5959" cm="1">
        <f t="array" aca="1" ref="Z64" ca="1">INDIRECT("'※ 영기팀 작성_가입자'!"&amp;Z$2&amp;$AC64, TRUE)</f>
        <v>3843</v>
      </c>
      <c r="AA64" s="5857" cm="1">
        <f t="array" aca="1" ref="AA64" ca="1">INDIRECT("'※ 영기팀 작성_가입자'!"&amp;AA$1&amp;$AC64, TRUE)</f>
        <v>1698.7751020748271</v>
      </c>
      <c r="AB64" s="5960" cm="1">
        <f t="array" aca="1" ref="AB64" ca="1">INDIRECT("'※ 영기팀 작성_가입자'!"&amp;AB$1&amp;$AC64, TRUE)</f>
        <v>-41</v>
      </c>
      <c r="AC64" s="5364">
        <f>ROW('※ 영기팀 작성_가입자'!AH18)</f>
        <v>18</v>
      </c>
      <c r="AD64" s="5360">
        <f>ROW('※ 영기팀 작성_가입자'!AI373)</f>
        <v>373</v>
      </c>
    </row>
    <row r="65" spans="1:34" ht="18" customHeight="1" x14ac:dyDescent="0.55000000000000004">
      <c r="A65" s="7126"/>
      <c r="B65" s="2648" t="s">
        <v>71</v>
      </c>
      <c r="C65" s="2648"/>
      <c r="D65" s="5932" cm="1">
        <f t="array" aca="1" ref="D65" ca="1">INDIRECT("'※ 영기팀 작성_가입자'!"&amp;D$1&amp;$AC65, TRUE)</f>
        <v>0</v>
      </c>
      <c r="E65" s="5297" cm="1">
        <f t="array" aca="1" ref="E65" ca="1">INDIRECT("'※ 영기팀 작성_가입자'!"&amp;E$1&amp;$AC65, TRUE)</f>
        <v>17365</v>
      </c>
      <c r="F65" s="5891" cm="1">
        <f t="array" aca="1" ref="F65" ca="1">INDIRECT("'※ 영기팀 작성_가입자'!"&amp;F$1&amp;$AC65, TRUE)</f>
        <v>1061</v>
      </c>
      <c r="G65" s="5297" cm="1">
        <f t="array" aca="1" ref="G65" ca="1">INDIRECT("'※ 영기팀 작성_가입자'!"&amp;G$1&amp;$AC65, TRUE)</f>
        <v>2175</v>
      </c>
      <c r="H65" s="5297" cm="1">
        <f t="array" aca="1" ref="H65" ca="1">INDIRECT("'※ 영기팀 작성_가입자'!"&amp;H$1&amp;$AC65, TRUE)</f>
        <v>1443</v>
      </c>
      <c r="I65" s="5297" cm="1">
        <f t="array" aca="1" ref="I65" ca="1">INDIRECT("'※ 영기팀 작성_가입자'!"&amp;I$1&amp;$AC65, TRUE)</f>
        <v>1900</v>
      </c>
      <c r="J65" s="5297" cm="1">
        <f t="array" aca="1" ref="J65" ca="1">INDIRECT("'※ 영기팀 작성_가입자'!"&amp;J$1&amp;$AC65, TRUE)</f>
        <v>2585</v>
      </c>
      <c r="K65" s="5297" cm="1">
        <f t="array" aca="1" ref="K65" ca="1">INDIRECT("'※ 영기팀 작성_가입자'!"&amp;K$1&amp;$AC65, TRUE)</f>
        <v>1526</v>
      </c>
      <c r="L65" s="5297" cm="1">
        <f t="array" aca="1" ref="L65" ca="1">INDIRECT("'※ 영기팀 작성_가입자'!"&amp;L$1&amp;$AC65, TRUE)</f>
        <v>2550</v>
      </c>
      <c r="M65" s="5297" cm="1">
        <f t="array" aca="1" ref="M65" ca="1">INDIRECT("'※ 영기팀 작성_가입자'!"&amp;M$1&amp;$AC65, TRUE)</f>
        <v>1563</v>
      </c>
      <c r="N65" s="5297" cm="1">
        <f t="array" aca="1" ref="N65" ca="1">INDIRECT("'※ 영기팀 작성_가입자'!"&amp;N$1&amp;$AC65, TRUE)</f>
        <v>1975.0000000000002</v>
      </c>
      <c r="O65" s="5297" cm="1">
        <f t="array" aca="1" ref="O65" ca="1">INDIRECT("'※ 영기팀 작성_가입자'!"&amp;O$1&amp;$AC65, TRUE)</f>
        <v>1349</v>
      </c>
      <c r="P65" s="5297" cm="1">
        <f t="array" aca="1" ref="P65" ca="1">INDIRECT("'※ 영기팀 작성_가입자'!"&amp;P$1&amp;$AC65, TRUE)</f>
        <v>1231</v>
      </c>
      <c r="Q65" s="5297" cm="1">
        <f t="array" aca="1" ref="Q65" ca="1">INDIRECT("'※ 영기팀 작성_가입자'!"&amp;Q$1&amp;$AC65, TRUE)</f>
        <v>1078</v>
      </c>
      <c r="R65" s="5893" cm="1">
        <f t="array" aca="1" ref="R65" ca="1">INDIRECT("'※ 영기팀 작성_가입자'!"&amp;R$1&amp;$AD65, TRUE)</f>
        <v>1296</v>
      </c>
      <c r="S65" s="5893" cm="1">
        <f t="array" aca="1" ref="S65" ca="1">INDIRECT("'※ 영기팀 작성_가입자'!"&amp;S$1&amp;$AD65, TRUE)</f>
        <v>-218</v>
      </c>
      <c r="T65" s="5956" cm="1">
        <f t="array" aca="1" ref="T65" ca="1">INDIRECT("'※ 영기팀 작성_가입자'!"&amp;T$1&amp;$AD65, TRUE)</f>
        <v>0.9901589332283619</v>
      </c>
      <c r="U65" s="5957">
        <f t="shared" ca="1" si="15"/>
        <v>457</v>
      </c>
      <c r="V65" s="5958" cm="1">
        <f t="array" aca="1" ref="V65" ca="1">INDIRECT("'※ 영기팀 작성_가입자'!"&amp;V$1&amp;$AC65, TRUE)</f>
        <v>-89</v>
      </c>
      <c r="W65" s="5894" cm="1">
        <f t="array" aca="1" ref="W65" ca="1">INDIRECT("'※ 영기팀 작성_가입자'!"&amp;W$1&amp;$AC65, TRUE)</f>
        <v>20436</v>
      </c>
      <c r="X65" s="5958" cm="1">
        <f t="array" aca="1" ref="X65" ca="1">INDIRECT("'※ 영기팀 작성_가입자'!"&amp;X$1&amp;$AD65, TRUE)</f>
        <v>-218</v>
      </c>
      <c r="Y65" s="5956" cm="1">
        <f t="array" aca="1" ref="Y65" ca="1">INDIRECT("'※ 영기팀 작성_가입자'!"&amp;Y$1&amp;$AD65, TRUE)</f>
        <v>1.289924973204716</v>
      </c>
      <c r="Z65" s="5959" cm="1">
        <f t="array" aca="1" ref="Z65" ca="1">INDIRECT("'※ 영기팀 작성_가입자'!"&amp;Z$2&amp;$AC65, TRUE)</f>
        <v>3071</v>
      </c>
      <c r="AA65" s="5857" cm="1">
        <f t="array" aca="1" ref="AA65" ca="1">INDIRECT("'※ 영기팀 작성_가입자'!"&amp;AA$1&amp;$AC65, TRUE)</f>
        <v>1702.8580951587369</v>
      </c>
      <c r="AB65" s="5960" cm="1">
        <f t="array" aca="1" ref="AB65" ca="1">INDIRECT("'※ 영기팀 작성_가입자'!"&amp;AB$1&amp;$AC65, TRUE)</f>
        <v>-89</v>
      </c>
      <c r="AC65" s="5364">
        <f>ROW('※ 영기팀 작성_가입자'!AH19)</f>
        <v>19</v>
      </c>
      <c r="AD65" s="5360">
        <f>ROW('※ 영기팀 작성_가입자'!AI374)</f>
        <v>374</v>
      </c>
    </row>
    <row r="66" spans="1:34" ht="18" customHeight="1" x14ac:dyDescent="0.55000000000000004">
      <c r="A66" s="7126"/>
      <c r="B66" s="2639" t="s">
        <v>69</v>
      </c>
      <c r="C66" s="2648"/>
      <c r="D66" s="5932" cm="1">
        <f t="array" aca="1" ref="D66" ca="1">INDIRECT("'※ 영기팀 작성_가입자'!"&amp;D$1&amp;$AC66, TRUE)</f>
        <v>0</v>
      </c>
      <c r="E66" s="5297" cm="1">
        <f t="array" aca="1" ref="E66" ca="1">INDIRECT("'※ 영기팀 작성_가입자'!"&amp;E$1&amp;$AC66, TRUE)</f>
        <v>15365</v>
      </c>
      <c r="F66" s="5891" cm="1">
        <f t="array" aca="1" ref="F66" ca="1">INDIRECT("'※ 영기팀 작성_가입자'!"&amp;F$1&amp;$AC66, TRUE)</f>
        <v>919.99999999999989</v>
      </c>
      <c r="G66" s="5297" cm="1">
        <f t="array" aca="1" ref="G66" ca="1">INDIRECT("'※ 영기팀 작성_가입자'!"&amp;G$1&amp;$AC66, TRUE)</f>
        <v>1762</v>
      </c>
      <c r="H66" s="5297" cm="1">
        <f t="array" aca="1" ref="H66" ca="1">INDIRECT("'※ 영기팀 작성_가입자'!"&amp;H$1&amp;$AC66, TRUE)</f>
        <v>1260</v>
      </c>
      <c r="I66" s="5297" cm="1">
        <f t="array" aca="1" ref="I66" ca="1">INDIRECT("'※ 영기팀 작성_가입자'!"&amp;I$1&amp;$AC66, TRUE)</f>
        <v>2083</v>
      </c>
      <c r="J66" s="5297" cm="1">
        <f t="array" aca="1" ref="J66" ca="1">INDIRECT("'※ 영기팀 작성_가입자'!"&amp;J$1&amp;$AC66, TRUE)</f>
        <v>2690</v>
      </c>
      <c r="K66" s="5297" cm="1">
        <f t="array" aca="1" ref="K66" ca="1">INDIRECT("'※ 영기팀 작성_가입자'!"&amp;K$1&amp;$AC66, TRUE)</f>
        <v>1466</v>
      </c>
      <c r="L66" s="5297" cm="1">
        <f t="array" aca="1" ref="L66" ca="1">INDIRECT("'※ 영기팀 작성_가입자'!"&amp;L$1&amp;$AC66, TRUE)</f>
        <v>2308</v>
      </c>
      <c r="M66" s="5297" cm="1">
        <f t="array" aca="1" ref="M66" ca="1">INDIRECT("'※ 영기팀 작성_가입자'!"&amp;M$1&amp;$AC66, TRUE)</f>
        <v>1345</v>
      </c>
      <c r="N66" s="5297" cm="1">
        <f t="array" aca="1" ref="N66" ca="1">INDIRECT("'※ 영기팀 작성_가입자'!"&amp;N$1&amp;$AC66, TRUE)</f>
        <v>1876.0000000000002</v>
      </c>
      <c r="O66" s="5297" cm="1">
        <f t="array" aca="1" ref="O66" ca="1">INDIRECT("'※ 영기팀 작성_가입자'!"&amp;O$1&amp;$AC66, TRUE)</f>
        <v>1239</v>
      </c>
      <c r="P66" s="5297" cm="1">
        <f t="array" aca="1" ref="P66" ca="1">INDIRECT("'※ 영기팀 작성_가입자'!"&amp;P$1&amp;$AC66, TRUE)</f>
        <v>1000</v>
      </c>
      <c r="Q66" s="5297" cm="1">
        <f t="array" aca="1" ref="Q66" ca="1">INDIRECT("'※ 영기팀 작성_가입자'!"&amp;Q$1&amp;$AC66, TRUE)</f>
        <v>1074</v>
      </c>
      <c r="R66" s="5893" cm="1">
        <f t="array" aca="1" ref="R66" ca="1">INDIRECT("'※ 영기팀 작성_가입자'!"&amp;R$1&amp;$AD66, TRUE)</f>
        <v>1183</v>
      </c>
      <c r="S66" s="5893" cm="1">
        <f t="array" aca="1" ref="S66" ca="1">INDIRECT("'※ 영기팀 작성_가입자'!"&amp;S$1&amp;$AD66, TRUE)</f>
        <v>-109</v>
      </c>
      <c r="T66" s="5956" cm="1">
        <f t="array" aca="1" ref="T66" ca="1">INDIRECT("'※ 영기팀 작성_가입자'!"&amp;T$1&amp;$AD66, TRUE)</f>
        <v>1.5962317119257139</v>
      </c>
      <c r="U66" s="5957">
        <f t="shared" ca="1" si="15"/>
        <v>823</v>
      </c>
      <c r="V66" s="5958" cm="1">
        <f t="array" aca="1" ref="V66" ca="1">INDIRECT("'※ 영기팀 작성_가입자'!"&amp;V$1&amp;$AC66, TRUE)</f>
        <v>105.99999999999989</v>
      </c>
      <c r="W66" s="5894" cm="1">
        <f t="array" aca="1" ref="W66" ca="1">INDIRECT("'※ 영기팀 작성_가입자'!"&amp;W$1&amp;$AC66, TRUE)</f>
        <v>19023</v>
      </c>
      <c r="X66" s="5958" cm="1">
        <f t="array" aca="1" ref="X66" ca="1">INDIRECT("'※ 영기팀 작성_가입자'!"&amp;X$1&amp;$AD66, TRUE)</f>
        <v>-109</v>
      </c>
      <c r="Y66" s="5956" cm="1">
        <f t="array" aca="1" ref="Y66" ca="1">INDIRECT("'※ 영기팀 작성_가입자'!"&amp;Y$1&amp;$AD66, TRUE)</f>
        <v>2.0317460317460316</v>
      </c>
      <c r="Z66" s="5959" cm="1">
        <f t="array" aca="1" ref="Z66" ca="1">INDIRECT("'※ 영기팀 작성_가입자'!"&amp;Z$2&amp;$AC66, TRUE)</f>
        <v>3658</v>
      </c>
      <c r="AA66" s="5857" cm="1">
        <f t="array" aca="1" ref="AA66" ca="1">INDIRECT("'※ 영기팀 작성_가입자'!"&amp;AA$1&amp;$AC66, TRUE)</f>
        <v>1585.1179068410966</v>
      </c>
      <c r="AB66" s="5960" cm="1">
        <f t="array" aca="1" ref="AB66" ca="1">INDIRECT("'※ 영기팀 작성_가입자'!"&amp;AB$1&amp;$AC66, TRUE)</f>
        <v>105.99999999999989</v>
      </c>
      <c r="AC66" s="5364">
        <f>ROW('※ 영기팀 작성_가입자'!AH20)</f>
        <v>20</v>
      </c>
      <c r="AD66" s="5360">
        <f>ROW('※ 영기팀 작성_가입자'!AI375)</f>
        <v>375</v>
      </c>
    </row>
    <row r="67" spans="1:34" ht="18" customHeight="1" x14ac:dyDescent="0.55000000000000004">
      <c r="A67" s="7126"/>
      <c r="B67" s="2639" t="s">
        <v>146</v>
      </c>
      <c r="C67" s="2648"/>
      <c r="D67" s="5932" cm="1">
        <f t="array" aca="1" ref="D67" ca="1">INDIRECT("'※ 영기팀 작성_가입자'!"&amp;D$1&amp;$AC67, TRUE)</f>
        <v>0</v>
      </c>
      <c r="E67" s="5297" cm="1">
        <f t="array" aca="1" ref="E67" ca="1">INDIRECT("'※ 영기팀 작성_가입자'!"&amp;E$1&amp;$AC67, TRUE)</f>
        <v>18518</v>
      </c>
      <c r="F67" s="5891" cm="1">
        <f t="array" aca="1" ref="F67" ca="1">INDIRECT("'※ 영기팀 작성_가입자'!"&amp;F$1&amp;$AC67, TRUE)</f>
        <v>1185</v>
      </c>
      <c r="G67" s="5297" cm="1">
        <f t="array" aca="1" ref="G67" ca="1">INDIRECT("'※ 영기팀 작성_가입자'!"&amp;G$1&amp;$AC67, TRUE)</f>
        <v>2384</v>
      </c>
      <c r="H67" s="5297" cm="1">
        <f t="array" aca="1" ref="H67" ca="1">INDIRECT("'※ 영기팀 작성_가입자'!"&amp;H$1&amp;$AC67, TRUE)</f>
        <v>1645</v>
      </c>
      <c r="I67" s="5297" cm="1">
        <f t="array" aca="1" ref="I67" ca="1">INDIRECT("'※ 영기팀 작성_가입자'!"&amp;I$1&amp;$AC67, TRUE)</f>
        <v>2195</v>
      </c>
      <c r="J67" s="5297" cm="1">
        <f t="array" aca="1" ref="J67" ca="1">INDIRECT("'※ 영기팀 작성_가입자'!"&amp;J$1&amp;$AC67, TRUE)</f>
        <v>2963</v>
      </c>
      <c r="K67" s="5297" cm="1">
        <f t="array" aca="1" ref="K67" ca="1">INDIRECT("'※ 영기팀 작성_가입자'!"&amp;K$1&amp;$AC67, TRUE)</f>
        <v>1764</v>
      </c>
      <c r="L67" s="5297" cm="1">
        <f t="array" aca="1" ref="L67" ca="1">INDIRECT("'※ 영기팀 작성_가입자'!"&amp;L$1&amp;$AC67, TRUE)</f>
        <v>2687</v>
      </c>
      <c r="M67" s="5297" cm="1">
        <f t="array" aca="1" ref="M67" ca="1">INDIRECT("'※ 영기팀 작성_가입자'!"&amp;M$1&amp;$AC67, TRUE)</f>
        <v>1714</v>
      </c>
      <c r="N67" s="5297" cm="1">
        <f t="array" aca="1" ref="N67" ca="1">INDIRECT("'※ 영기팀 작성_가입자'!"&amp;N$1&amp;$AC67, TRUE)</f>
        <v>2188</v>
      </c>
      <c r="O67" s="5297" cm="1">
        <f t="array" aca="1" ref="O67" ca="1">INDIRECT("'※ 영기팀 작성_가입자'!"&amp;O$1&amp;$AC67, TRUE)</f>
        <v>1453</v>
      </c>
      <c r="P67" s="5297" cm="1">
        <f t="array" aca="1" ref="P67" ca="1">INDIRECT("'※ 영기팀 작성_가입자'!"&amp;P$1&amp;$AC67, TRUE)</f>
        <v>1279</v>
      </c>
      <c r="Q67" s="5297" cm="1">
        <f t="array" aca="1" ref="Q67" ca="1">INDIRECT("'※ 영기팀 작성_가입자'!"&amp;Q$1&amp;$AC67, TRUE)</f>
        <v>1286</v>
      </c>
      <c r="R67" s="5893" cm="1">
        <f t="array" aca="1" ref="R67" ca="1">INDIRECT("'※ 영기팀 작성_가입자'!"&amp;R$1&amp;$AD67, TRUE)</f>
        <v>1485</v>
      </c>
      <c r="S67" s="5893" cm="1">
        <f t="array" aca="1" ref="S67" ca="1">INDIRECT("'※ 영기팀 작성_가입자'!"&amp;S$1&amp;$AD67, TRUE)</f>
        <v>-199</v>
      </c>
      <c r="T67" s="5956" cm="1">
        <f t="array" aca="1" ref="T67" ca="1">INDIRECT("'※ 영기팀 작성_가입자'!"&amp;T$1&amp;$AD67, TRUE)</f>
        <v>1.1818807536780522</v>
      </c>
      <c r="U67" s="5957">
        <f t="shared" ca="1" si="15"/>
        <v>550</v>
      </c>
      <c r="V67" s="5958" cm="1">
        <f t="array" aca="1" ref="V67" ca="1">INDIRECT("'※ 영기팀 작성_가입자'!"&amp;V$1&amp;$AC67, TRUE)</f>
        <v>27</v>
      </c>
      <c r="W67" s="5894" cm="1">
        <f t="array" aca="1" ref="W67" ca="1">INDIRECT("'※ 영기팀 작성_가입자'!"&amp;W$1&amp;$AC67, TRUE)</f>
        <v>22743</v>
      </c>
      <c r="X67" s="5958" cm="1">
        <f t="array" aca="1" ref="X67" ca="1">INDIRECT("'※ 영기팀 작성_가입자'!"&amp;X$1&amp;$AD67, TRUE)</f>
        <v>-199</v>
      </c>
      <c r="Y67" s="5956" cm="1">
        <f t="array" aca="1" ref="Y67" ca="1">INDIRECT("'※ 영기팀 작성_가입자'!"&amp;Y$1&amp;$AD67, TRUE)</f>
        <v>1.464386129334583</v>
      </c>
      <c r="Z67" s="5959" cm="1">
        <f t="array" aca="1" ref="Z67" ca="1">INDIRECT("'※ 영기팀 작성_가입자'!"&amp;Z$2&amp;$AC67, TRUE)</f>
        <v>4225</v>
      </c>
      <c r="AA67" s="5857" cm="1">
        <f t="array" aca="1" ref="AA67" ca="1">INDIRECT("'※ 영기팀 작성_가입자'!"&amp;AA$1&amp;$AC67, TRUE)</f>
        <v>1895.0920756603616</v>
      </c>
      <c r="AB67" s="5960" cm="1">
        <f t="array" aca="1" ref="AB67" ca="1">INDIRECT("'※ 영기팀 작성_가입자'!"&amp;AB$1&amp;$AC67, TRUE)</f>
        <v>27</v>
      </c>
      <c r="AC67" s="5364">
        <f>ROW('※ 영기팀 작성_가입자'!AH21)</f>
        <v>21</v>
      </c>
      <c r="AD67" s="5360">
        <f>ROW('※ 영기팀 작성_가입자'!AI376)</f>
        <v>376</v>
      </c>
    </row>
    <row r="68" spans="1:34" ht="18" customHeight="1" x14ac:dyDescent="0.55000000000000004">
      <c r="A68" s="7126"/>
      <c r="B68" s="2639" t="s">
        <v>70</v>
      </c>
      <c r="C68" s="5539"/>
      <c r="D68" s="5932" cm="1">
        <f t="array" aca="1" ref="D68" ca="1">INDIRECT("'※ 영기팀 작성_가입자'!"&amp;D$1&amp;$AC68, TRUE)</f>
        <v>0</v>
      </c>
      <c r="E68" s="5297" cm="1">
        <f t="array" aca="1" ref="E68" ca="1">INDIRECT("'※ 영기팀 작성_가입자'!"&amp;E$1&amp;$AC68, TRUE)</f>
        <v>27149</v>
      </c>
      <c r="F68" s="5891" cm="1">
        <f t="array" aca="1" ref="F68" ca="1">INDIRECT("'※ 영기팀 작성_가입자'!"&amp;F$1&amp;$AC68, TRUE)</f>
        <v>1642.0000000000002</v>
      </c>
      <c r="G68" s="5297" cm="1">
        <f t="array" aca="1" ref="G68" ca="1">INDIRECT("'※ 영기팀 작성_가입자'!"&amp;G$1&amp;$AC68, TRUE)</f>
        <v>3346</v>
      </c>
      <c r="H68" s="5297" cm="1">
        <f t="array" aca="1" ref="H68" ca="1">INDIRECT("'※ 영기팀 작성_가입자'!"&amp;H$1&amp;$AC68, TRUE)</f>
        <v>2240</v>
      </c>
      <c r="I68" s="5297" cm="1">
        <f t="array" aca="1" ref="I68" ca="1">INDIRECT("'※ 영기팀 작성_가입자'!"&amp;I$1&amp;$AC68, TRUE)</f>
        <v>2862</v>
      </c>
      <c r="J68" s="5297" cm="1">
        <f t="array" aca="1" ref="J68" ca="1">INDIRECT("'※ 영기팀 작성_가입자'!"&amp;J$1&amp;$AC68, TRUE)</f>
        <v>3923</v>
      </c>
      <c r="K68" s="5297" cm="1">
        <f t="array" aca="1" ref="K68" ca="1">INDIRECT("'※ 영기팀 작성_가입자'!"&amp;K$1&amp;$AC68, TRUE)</f>
        <v>2446</v>
      </c>
      <c r="L68" s="5297" cm="1">
        <f t="array" aca="1" ref="L68" ca="1">INDIRECT("'※ 영기팀 작성_가입자'!"&amp;L$1&amp;$AC68, TRUE)</f>
        <v>3765.0000000000005</v>
      </c>
      <c r="M68" s="5297" cm="1">
        <f t="array" aca="1" ref="M68" ca="1">INDIRECT("'※ 영기팀 작성_가입자'!"&amp;M$1&amp;$AC68, TRUE)</f>
        <v>2375</v>
      </c>
      <c r="N68" s="5297" cm="1">
        <f t="array" aca="1" ref="N68" ca="1">INDIRECT("'※ 영기팀 작성_가입자'!"&amp;N$1&amp;$AC68, TRUE)</f>
        <v>3189</v>
      </c>
      <c r="O68" s="5297" cm="1">
        <f t="array" aca="1" ref="O68" ca="1">INDIRECT("'※ 영기팀 작성_가입자'!"&amp;O$1&amp;$AC68, TRUE)</f>
        <v>2014.9999999999998</v>
      </c>
      <c r="P68" s="5297" cm="1">
        <f t="array" aca="1" ref="P68" ca="1">INDIRECT("'※ 영기팀 작성_가입자'!"&amp;P$1&amp;$AC68, TRUE)</f>
        <v>1805.9999999999998</v>
      </c>
      <c r="Q68" s="5297" cm="1">
        <f t="array" aca="1" ref="Q68" ca="1">INDIRECT("'※ 영기팀 작성_가입자'!"&amp;Q$1&amp;$AC68, TRUE)</f>
        <v>1678</v>
      </c>
      <c r="R68" s="5893" cm="1">
        <f t="array" aca="1" ref="R68" ca="1">INDIRECT("'※ 영기팀 작성_가입자'!"&amp;R$1&amp;$AD68, TRUE)</f>
        <v>2145</v>
      </c>
      <c r="S68" s="5893" cm="1">
        <f t="array" aca="1" ref="S68" ca="1">INDIRECT("'※ 영기팀 작성_가입자'!"&amp;S$1&amp;$AD68, TRUE)</f>
        <v>-467</v>
      </c>
      <c r="T68" s="5956" cm="1">
        <f t="array" aca="1" ref="T68" ca="1">INDIRECT("'※ 영기팀 작성_가입자'!"&amp;T$1&amp;$AD68, TRUE)</f>
        <v>0.67685160368087194</v>
      </c>
      <c r="U68" s="5957">
        <f t="shared" ca="1" si="15"/>
        <v>622</v>
      </c>
      <c r="V68" s="5958" cm="1">
        <f t="array" aca="1" ref="V68" ca="1">INDIRECT("'※ 영기팀 작성_가입자'!"&amp;V$1&amp;$AC68, TRUE)</f>
        <v>-154.00000000000023</v>
      </c>
      <c r="W68" s="5894" cm="1">
        <f t="array" aca="1" ref="W68" ca="1">INDIRECT("'※ 영기팀 작성_가입자'!"&amp;W$1&amp;$AC68, TRUE)</f>
        <v>31287</v>
      </c>
      <c r="X68" s="5958" cm="1">
        <f t="array" aca="1" ref="X68" ca="1">INDIRECT("'※ 영기팀 작성_가입자'!"&amp;X$1&amp;$AD68, TRUE)</f>
        <v>-467</v>
      </c>
      <c r="Y68" s="5956" cm="1">
        <f t="array" aca="1" ref="Y68" ca="1">INDIRECT("'※ 영기팀 작성_가입자'!"&amp;Y$1&amp;$AD68, TRUE)</f>
        <v>0.91242296464482642</v>
      </c>
      <c r="Z68" s="5959" cm="1">
        <f t="array" aca="1" ref="Z68" ca="1">INDIRECT("'※ 영기팀 작성_가입자'!"&amp;Z$2&amp;$AC68, TRUE)</f>
        <v>4138</v>
      </c>
      <c r="AA68" s="5857" cm="1">
        <f t="array" aca="1" ref="AA68" ca="1">INDIRECT("'※ 영기팀 작성_가입자'!"&amp;AA$1&amp;$AC68, TRUE)</f>
        <v>2607.032747271061</v>
      </c>
      <c r="AB68" s="5960" cm="1">
        <f t="array" aca="1" ref="AB68" ca="1">INDIRECT("'※ 영기팀 작성_가입자'!"&amp;AB$1&amp;$AC68, TRUE)</f>
        <v>-154.00000000000023</v>
      </c>
      <c r="AC68" s="5364">
        <f>ROW('※ 영기팀 작성_가입자'!AH22)</f>
        <v>22</v>
      </c>
      <c r="AD68" s="5360">
        <f>ROW('※ 영기팀 작성_가입자'!AI377)</f>
        <v>377</v>
      </c>
    </row>
    <row r="69" spans="1:34" ht="18" customHeight="1" x14ac:dyDescent="0.55000000000000004">
      <c r="A69" s="7126"/>
      <c r="B69" s="2639" t="s">
        <v>72</v>
      </c>
      <c r="C69" s="5539"/>
      <c r="D69" s="5932" cm="1">
        <f t="array" aca="1" ref="D69" ca="1">INDIRECT("'※ 영기팀 작성_가입자'!"&amp;D$1&amp;$AC69, TRUE)</f>
        <v>0</v>
      </c>
      <c r="E69" s="5297" cm="1">
        <f t="array" aca="1" ref="E69" ca="1">INDIRECT("'※ 영기팀 작성_가입자'!"&amp;E$1&amp;$AC69, TRUE)</f>
        <v>17771</v>
      </c>
      <c r="F69" s="5891" cm="1">
        <f t="array" aca="1" ref="F69" ca="1">INDIRECT("'※ 영기팀 작성_가입자'!"&amp;F$1&amp;$AC69, TRUE)</f>
        <v>1091</v>
      </c>
      <c r="G69" s="5297" cm="1">
        <f t="array" aca="1" ref="G69" ca="1">INDIRECT("'※ 영기팀 작성_가입자'!"&amp;G$1&amp;$AC69, TRUE)</f>
        <v>2183</v>
      </c>
      <c r="H69" s="5297" cm="1">
        <f t="array" aca="1" ref="H69" ca="1">INDIRECT("'※ 영기팀 작성_가입자'!"&amp;H$1&amp;$AC69, TRUE)</f>
        <v>1458</v>
      </c>
      <c r="I69" s="5297" cm="1">
        <f t="array" aca="1" ref="I69" ca="1">INDIRECT("'※ 영기팀 작성_가입자'!"&amp;I$1&amp;$AC69, TRUE)</f>
        <v>1856</v>
      </c>
      <c r="J69" s="5297" cm="1">
        <f t="array" aca="1" ref="J69" ca="1">INDIRECT("'※ 영기팀 작성_가입자'!"&amp;J$1&amp;$AC69, TRUE)</f>
        <v>2407</v>
      </c>
      <c r="K69" s="5297" cm="1">
        <f t="array" aca="1" ref="K69" ca="1">INDIRECT("'※ 영기팀 작성_가입자'!"&amp;K$1&amp;$AC69, TRUE)</f>
        <v>1684</v>
      </c>
      <c r="L69" s="5297" cm="1">
        <f t="array" aca="1" ref="L69" ca="1">INDIRECT("'※ 영기팀 작성_가입자'!"&amp;L$1&amp;$AC69, TRUE)</f>
        <v>2486</v>
      </c>
      <c r="M69" s="5297" cm="1">
        <f t="array" aca="1" ref="M69" ca="1">INDIRECT("'※ 영기팀 작성_가입자'!"&amp;M$1&amp;$AC69, TRUE)</f>
        <v>1528</v>
      </c>
      <c r="N69" s="5297" cm="1">
        <f t="array" aca="1" ref="N69" ca="1">INDIRECT("'※ 영기팀 작성_가입자'!"&amp;N$1&amp;$AC69, TRUE)</f>
        <v>1876.0000000000002</v>
      </c>
      <c r="O69" s="5297" cm="1">
        <f t="array" aca="1" ref="O69" ca="1">INDIRECT("'※ 영기팀 작성_가입자'!"&amp;O$1&amp;$AC69, TRUE)</f>
        <v>1263</v>
      </c>
      <c r="P69" s="5297" cm="1">
        <f t="array" aca="1" ref="P69" ca="1">INDIRECT("'※ 영기팀 작성_가입자'!"&amp;P$1&amp;$AC69, TRUE)</f>
        <v>1195</v>
      </c>
      <c r="Q69" s="5297" cm="1">
        <f t="array" aca="1" ref="Q69" ca="1">INDIRECT("'※ 영기팀 작성_가입자'!"&amp;Q$1&amp;$AC69, TRUE)</f>
        <v>1096</v>
      </c>
      <c r="R69" s="5893" cm="1">
        <f t="array" aca="1" ref="R69" ca="1">INDIRECT("'※ 영기팀 작성_가입자'!"&amp;R$1&amp;$AD69, TRUE)</f>
        <v>1350</v>
      </c>
      <c r="S69" s="5893" cm="1">
        <f t="array" aca="1" ref="S69" ca="1">INDIRECT("'※ 영기팀 작성_가입자'!"&amp;S$1&amp;$AD69, TRUE)</f>
        <v>-254</v>
      </c>
      <c r="T69" s="5956" cm="1">
        <f t="array" aca="1" ref="T69" ca="1">INDIRECT("'※ 영기팀 작성_가입자'!"&amp;T$1&amp;$AD69, TRUE)</f>
        <v>1.0229531471840985</v>
      </c>
      <c r="U69" s="5957">
        <f t="shared" ca="1" si="15"/>
        <v>398</v>
      </c>
      <c r="V69" s="5958" cm="1">
        <f t="array" aca="1" ref="V69" ca="1">INDIRECT("'※ 영기팀 작성_가입자'!"&amp;V$1&amp;$AC69, TRUE)</f>
        <v>34</v>
      </c>
      <c r="W69" s="5894" cm="1">
        <f t="array" aca="1" ref="W69" ca="1">INDIRECT("'※ 영기팀 작성_가입자'!"&amp;W$1&amp;$AC69, TRUE)</f>
        <v>20123</v>
      </c>
      <c r="X69" s="5958" cm="1">
        <f t="array" aca="1" ref="X69" ca="1">INDIRECT("'※ 영기팀 작성_가입자'!"&amp;X$1&amp;$AD69, TRUE)</f>
        <v>-254</v>
      </c>
      <c r="Y69" s="5956" cm="1">
        <f t="array" aca="1" ref="Y69" ca="1">INDIRECT("'※ 영기팀 작성_가입자'!"&amp;Y$1&amp;$AD69, TRUE)</f>
        <v>1.2938144329896908</v>
      </c>
      <c r="Z69" s="5959" cm="1">
        <f t="array" aca="1" ref="Z69" ca="1">INDIRECT("'※ 영기팀 작성_가입자'!"&amp;Z$2&amp;$AC69, TRUE)</f>
        <v>2352</v>
      </c>
      <c r="AA69" s="5857" cm="1">
        <f t="array" aca="1" ref="AA69" ca="1">INDIRECT("'※ 영기팀 작성_가입자'!"&amp;AA$1&amp;$AC69, TRUE)</f>
        <v>1676.7769352553955</v>
      </c>
      <c r="AB69" s="5960" cm="1">
        <f t="array" aca="1" ref="AB69" ca="1">INDIRECT("'※ 영기팀 작성_가입자'!"&amp;AB$1&amp;$AC69, TRUE)</f>
        <v>34</v>
      </c>
      <c r="AC69" s="5364">
        <f>ROW('※ 영기팀 작성_가입자'!AH23)</f>
        <v>23</v>
      </c>
      <c r="AD69" s="5360">
        <f>ROW('※ 영기팀 작성_가입자'!AI378)</f>
        <v>378</v>
      </c>
    </row>
    <row r="70" spans="1:34" ht="18" customHeight="1" x14ac:dyDescent="0.55000000000000004">
      <c r="A70" s="7126"/>
      <c r="B70" s="2639" t="s">
        <v>73</v>
      </c>
      <c r="C70" s="5539"/>
      <c r="D70" s="5932" cm="1">
        <f t="array" aca="1" ref="D70" ca="1">INDIRECT("'※ 영기팀 작성_가입자'!"&amp;D$1&amp;$AC70, TRUE)</f>
        <v>0</v>
      </c>
      <c r="E70" s="5297" cm="1">
        <f t="array" aca="1" ref="E70" ca="1">INDIRECT("'※ 영기팀 작성_가입자'!"&amp;E$1&amp;$AC70, TRUE)</f>
        <v>26905</v>
      </c>
      <c r="F70" s="5891" cm="1">
        <f t="array" aca="1" ref="F70" ca="1">INDIRECT("'※ 영기팀 작성_가입자'!"&amp;F$1&amp;$AC70, TRUE)</f>
        <v>1287</v>
      </c>
      <c r="G70" s="5297" cm="1">
        <f t="array" aca="1" ref="G70" ca="1">INDIRECT("'※ 영기팀 작성_가입자'!"&amp;G$1&amp;$AC70, TRUE)</f>
        <v>3356</v>
      </c>
      <c r="H70" s="5297" cm="1">
        <f t="array" aca="1" ref="H70" ca="1">INDIRECT("'※ 영기팀 작성_가입자'!"&amp;H$1&amp;$AC70, TRUE)</f>
        <v>2250</v>
      </c>
      <c r="I70" s="5297" cm="1">
        <f t="array" aca="1" ref="I70" ca="1">INDIRECT("'※ 영기팀 작성_가입자'!"&amp;I$1&amp;$AC70, TRUE)</f>
        <v>2776</v>
      </c>
      <c r="J70" s="5297" cm="1">
        <f t="array" aca="1" ref="J70" ca="1">INDIRECT("'※ 영기팀 작성_가입자'!"&amp;J$1&amp;$AC70, TRUE)</f>
        <v>3456</v>
      </c>
      <c r="K70" s="5297" cm="1">
        <f t="array" aca="1" ref="K70" ca="1">INDIRECT("'※ 영기팀 작성_가입자'!"&amp;K$1&amp;$AC70, TRUE)</f>
        <v>2262</v>
      </c>
      <c r="L70" s="5297" cm="1">
        <f t="array" aca="1" ref="L70" ca="1">INDIRECT("'※ 영기팀 작성_가입자'!"&amp;L$1&amp;$AC70, TRUE)</f>
        <v>3965</v>
      </c>
      <c r="M70" s="5297" cm="1">
        <f t="array" aca="1" ref="M70" ca="1">INDIRECT("'※ 영기팀 작성_가입자'!"&amp;M$1&amp;$AC70, TRUE)</f>
        <v>2215</v>
      </c>
      <c r="N70" s="5297" cm="1">
        <f t="array" aca="1" ref="N70" ca="1">INDIRECT("'※ 영기팀 작성_가입자'!"&amp;N$1&amp;$AC70, TRUE)</f>
        <v>2827</v>
      </c>
      <c r="O70" s="5297" cm="1">
        <f t="array" aca="1" ref="O70" ca="1">INDIRECT("'※ 영기팀 작성_가입자'!"&amp;O$1&amp;$AC70, TRUE)</f>
        <v>2011</v>
      </c>
      <c r="P70" s="5297" cm="1">
        <f t="array" aca="1" ref="P70" ca="1">INDIRECT("'※ 영기팀 작성_가입자'!"&amp;P$1&amp;$AC70, TRUE)</f>
        <v>1672</v>
      </c>
      <c r="Q70" s="5297" cm="1">
        <f t="array" aca="1" ref="Q70" ca="1">INDIRECT("'※ 영기팀 작성_가입자'!"&amp;Q$1&amp;$AC70, TRUE)</f>
        <v>1490</v>
      </c>
      <c r="R70" s="5893" cm="1">
        <f t="array" aca="1" ref="R70" ca="1">INDIRECT("'※ 영기팀 작성_가입자'!"&amp;R$1&amp;$AD70, TRUE)</f>
        <v>2085</v>
      </c>
      <c r="S70" s="5893" cm="1">
        <f t="array" aca="1" ref="S70" ca="1">INDIRECT("'※ 영기팀 작성_가입자'!"&amp;S$1&amp;$AD70, TRUE)</f>
        <v>-595</v>
      </c>
      <c r="T70" s="5956" cm="1">
        <f t="array" aca="1" ref="T70" ca="1">INDIRECT("'※ 영기팀 작성_가입자'!"&amp;T$1&amp;$AD70, TRUE)</f>
        <v>2.3438218082661846E-2</v>
      </c>
      <c r="U70" s="5957">
        <f t="shared" ca="1" si="15"/>
        <v>526</v>
      </c>
      <c r="V70" s="5958" cm="1">
        <f t="array" aca="1" ref="V70" ca="1">INDIRECT("'※ 영기팀 작성_가입자'!"&amp;V$1&amp;$AC70, TRUE)</f>
        <v>-184</v>
      </c>
      <c r="W70" s="5894" cm="1">
        <f t="array" aca="1" ref="W70" ca="1">INDIRECT("'※ 영기팀 작성_가입자'!"&amp;W$1&amp;$AC70, TRUE)</f>
        <v>29567</v>
      </c>
      <c r="X70" s="5958" cm="1">
        <f t="array" aca="1" ref="X70" ca="1">INDIRECT("'※ 영기팀 작성_가입자'!"&amp;X$1&amp;$AD70, TRUE)</f>
        <v>-595</v>
      </c>
      <c r="Y70" s="5956" cm="1">
        <f t="array" aca="1" ref="Y70" ca="1">INDIRECT("'※ 영기팀 작성_가입자'!"&amp;Y$1&amp;$AD70, TRUE)</f>
        <v>3.5368702035368703E-2</v>
      </c>
      <c r="Z70" s="5959" cm="1">
        <f t="array" aca="1" ref="Z70" ca="1">INDIRECT("'※ 영기팀 작성_가입자'!"&amp;Z$2&amp;$AC70, TRUE)</f>
        <v>2662</v>
      </c>
      <c r="AA70" s="5857" cm="1">
        <f t="array" aca="1" ref="AA70" ca="1">INDIRECT("'※ 영기팀 작성_가입자'!"&amp;AA$1&amp;$AC70, TRUE)</f>
        <v>2463.7113573868846</v>
      </c>
      <c r="AB70" s="5960" cm="1">
        <f t="array" aca="1" ref="AB70" ca="1">INDIRECT("'※ 영기팀 작성_가입자'!"&amp;AB$1&amp;$AC70, TRUE)</f>
        <v>-184</v>
      </c>
      <c r="AC70" s="5364">
        <f>ROW('※ 영기팀 작성_가입자'!AH24)</f>
        <v>24</v>
      </c>
      <c r="AD70" s="5360">
        <f>ROW('※ 영기팀 작성_가입자'!AI379)</f>
        <v>379</v>
      </c>
    </row>
    <row r="71" spans="1:34" ht="18" customHeight="1" x14ac:dyDescent="0.55000000000000004">
      <c r="A71" s="7126"/>
      <c r="B71" s="2639" t="s">
        <v>74</v>
      </c>
      <c r="C71" s="5539"/>
      <c r="D71" s="5932" cm="1">
        <f t="array" aca="1" ref="D71" ca="1">INDIRECT("'※ 영기팀 작성_가입자'!"&amp;D$1&amp;$AC71, TRUE)</f>
        <v>0</v>
      </c>
      <c r="E71" s="5297" cm="1">
        <f t="array" aca="1" ref="E71" ca="1">INDIRECT("'※ 영기팀 작성_가입자'!"&amp;E$1&amp;$AC71, TRUE)</f>
        <v>24135</v>
      </c>
      <c r="F71" s="5891" cm="1">
        <f t="array" aca="1" ref="F71" ca="1">INDIRECT("'※ 영기팀 작성_가입자'!"&amp;F$1&amp;$AC71, TRUE)</f>
        <v>1355</v>
      </c>
      <c r="G71" s="5297" cm="1">
        <f t="array" aca="1" ref="G71" ca="1">INDIRECT("'※ 영기팀 작성_가입자'!"&amp;G$1&amp;$AC71, TRUE)</f>
        <v>2978</v>
      </c>
      <c r="H71" s="5297" cm="1">
        <f t="array" aca="1" ref="H71" ca="1">INDIRECT("'※ 영기팀 작성_가입자'!"&amp;H$1&amp;$AC71, TRUE)</f>
        <v>2099</v>
      </c>
      <c r="I71" s="5297" cm="1">
        <f t="array" aca="1" ref="I71" ca="1">INDIRECT("'※ 영기팀 작성_가입자'!"&amp;I$1&amp;$AC71, TRUE)</f>
        <v>2615</v>
      </c>
      <c r="J71" s="5297" cm="1">
        <f t="array" aca="1" ref="J71" ca="1">INDIRECT("'※ 영기팀 작성_가입자'!"&amp;J$1&amp;$AC71, TRUE)</f>
        <v>3125</v>
      </c>
      <c r="K71" s="5297" cm="1">
        <f t="array" aca="1" ref="K71" ca="1">INDIRECT("'※ 영기팀 작성_가입자'!"&amp;K$1&amp;$AC71, TRUE)</f>
        <v>2086</v>
      </c>
      <c r="L71" s="5297" cm="1">
        <f t="array" aca="1" ref="L71" ca="1">INDIRECT("'※ 영기팀 작성_가입자'!"&amp;L$1&amp;$AC71, TRUE)</f>
        <v>3362</v>
      </c>
      <c r="M71" s="5297" cm="1">
        <f t="array" aca="1" ref="M71" ca="1">INDIRECT("'※ 영기팀 작성_가입자'!"&amp;M$1&amp;$AC71, TRUE)</f>
        <v>2056</v>
      </c>
      <c r="N71" s="5297" cm="1">
        <f t="array" aca="1" ref="N71" ca="1">INDIRECT("'※ 영기팀 작성_가입자'!"&amp;N$1&amp;$AC71, TRUE)</f>
        <v>2659</v>
      </c>
      <c r="O71" s="5297" cm="1">
        <f t="array" aca="1" ref="O71" ca="1">INDIRECT("'※ 영기팀 작성_가입자'!"&amp;O$1&amp;$AC71, TRUE)</f>
        <v>1864</v>
      </c>
      <c r="P71" s="5297" cm="1">
        <f t="array" aca="1" ref="P71" ca="1">INDIRECT("'※ 영기팀 작성_가입자'!"&amp;P$1&amp;$AC71, TRUE)</f>
        <v>1692.0000000000002</v>
      </c>
      <c r="Q71" s="5297" cm="1">
        <f t="array" aca="1" ref="Q71" ca="1">INDIRECT("'※ 영기팀 작성_가입자'!"&amp;Q$1&amp;$AC71, TRUE)</f>
        <v>1583</v>
      </c>
      <c r="R71" s="5893" cm="1">
        <f t="array" aca="1" ref="R71" ca="1">INDIRECT("'※ 영기팀 작성_가입자'!"&amp;R$1&amp;$AD71, TRUE)</f>
        <v>1925</v>
      </c>
      <c r="S71" s="5893" cm="1">
        <f t="array" aca="1" ref="S71" ca="1">INDIRECT("'※ 영기팀 작성_가입자'!"&amp;S$1&amp;$AD71, TRUE)</f>
        <v>-342</v>
      </c>
      <c r="T71" s="5956" cm="1">
        <f t="array" aca="1" ref="T71" ca="1">INDIRECT("'※ 영기팀 작성_가입자'!"&amp;T$1&amp;$AD71, TRUE)</f>
        <v>1.0087268142150845E-2</v>
      </c>
      <c r="U71" s="5957">
        <f t="shared" ca="1" si="15"/>
        <v>516</v>
      </c>
      <c r="V71" s="5958" cm="1">
        <f t="array" aca="1" ref="V71" ca="1">INDIRECT("'※ 영기팀 작성_가입자'!"&amp;V$1&amp;$AC71, TRUE)</f>
        <v>158</v>
      </c>
      <c r="W71" s="5894" cm="1">
        <f t="array" aca="1" ref="W71" ca="1">INDIRECT("'※ 영기팀 작성_가입자'!"&amp;W$1&amp;$AC71, TRUE)</f>
        <v>27474</v>
      </c>
      <c r="X71" s="5958" cm="1">
        <f t="array" aca="1" ref="X71" ca="1">INDIRECT("'※ 영기팀 작성_가입자'!"&amp;X$1&amp;$AD71, TRUE)</f>
        <v>-342</v>
      </c>
      <c r="Y71" s="5956" cm="1">
        <f t="array" aca="1" ref="Y71" ca="1">INDIRECT("'※ 영기팀 작성_가입자'!"&amp;Y$1&amp;$AD71, TRUE)</f>
        <v>2.2768341163715216E-2</v>
      </c>
      <c r="Z71" s="5959" cm="1">
        <f t="array" aca="1" ref="Z71" ca="1">INDIRECT("'※ 영기팀 작성_가입자'!"&amp;Z$2&amp;$AC71, TRUE)</f>
        <v>3339</v>
      </c>
      <c r="AA71" s="5857" cm="1">
        <f t="array" aca="1" ref="AA71" ca="1">INDIRECT("'※ 영기팀 작성_가입자'!"&amp;AA$1&amp;$AC71, TRUE)</f>
        <v>2289.3092242313141</v>
      </c>
      <c r="AB71" s="5960" cm="1">
        <f t="array" aca="1" ref="AB71" ca="1">INDIRECT("'※ 영기팀 작성_가입자'!"&amp;AB$1&amp;$AC71, TRUE)</f>
        <v>158</v>
      </c>
      <c r="AC71" s="5364">
        <f>ROW('※ 영기팀 작성_가입자'!AH25)</f>
        <v>25</v>
      </c>
      <c r="AD71" s="5360">
        <f>ROW('※ 영기팀 작성_가입자'!AI380)</f>
        <v>380</v>
      </c>
    </row>
    <row r="72" spans="1:34" ht="18" customHeight="1" x14ac:dyDescent="0.55000000000000004">
      <c r="A72" s="7126"/>
      <c r="B72" s="2639" t="s">
        <v>75</v>
      </c>
      <c r="C72" s="5539"/>
      <c r="D72" s="5932" cm="1">
        <f t="array" aca="1" ref="D72" ca="1">INDIRECT("'※ 영기팀 작성_가입자'!"&amp;D$1&amp;$AC72, TRUE)</f>
        <v>0</v>
      </c>
      <c r="E72" s="5297" cm="1">
        <f t="array" aca="1" ref="E72" ca="1">INDIRECT("'※ 영기팀 작성_가입자'!"&amp;E$1&amp;$AC72, TRUE)</f>
        <v>20002</v>
      </c>
      <c r="F72" s="5891" cm="1">
        <f t="array" aca="1" ref="F72" ca="1">INDIRECT("'※ 영기팀 작성_가입자'!"&amp;F$1&amp;$AC72, TRUE)</f>
        <v>1216</v>
      </c>
      <c r="G72" s="5297" cm="1">
        <f t="array" aca="1" ref="G72" ca="1">INDIRECT("'※ 영기팀 작성_가입자'!"&amp;G$1&amp;$AC72, TRUE)</f>
        <v>2407</v>
      </c>
      <c r="H72" s="5297" cm="1">
        <f t="array" aca="1" ref="H72" ca="1">INDIRECT("'※ 영기팀 작성_가입자'!"&amp;H$1&amp;$AC72, TRUE)</f>
        <v>1678</v>
      </c>
      <c r="I72" s="5297" cm="1">
        <f t="array" aca="1" ref="I72" ca="1">INDIRECT("'※ 영기팀 작성_가입자'!"&amp;I$1&amp;$AC72, TRUE)</f>
        <v>2134</v>
      </c>
      <c r="J72" s="5297" cm="1">
        <f t="array" aca="1" ref="J72" ca="1">INDIRECT("'※ 영기팀 작성_가입자'!"&amp;J$1&amp;$AC72, TRUE)</f>
        <v>2813</v>
      </c>
      <c r="K72" s="5297" cm="1">
        <f t="array" aca="1" ref="K72" ca="1">INDIRECT("'※ 영기팀 작성_가입자'!"&amp;K$1&amp;$AC72, TRUE)</f>
        <v>1598</v>
      </c>
      <c r="L72" s="5297" cm="1">
        <f t="array" aca="1" ref="L72" ca="1">INDIRECT("'※ 영기팀 작성_가입자'!"&amp;L$1&amp;$AC72, TRUE)</f>
        <v>2915</v>
      </c>
      <c r="M72" s="5297" cm="1">
        <f t="array" aca="1" ref="M72" ca="1">INDIRECT("'※ 영기팀 작성_가입자'!"&amp;M$1&amp;$AC72, TRUE)</f>
        <v>1666</v>
      </c>
      <c r="N72" s="5297" cm="1">
        <f t="array" aca="1" ref="N72" ca="1">INDIRECT("'※ 영기팀 작성_가입자'!"&amp;N$1&amp;$AC72, TRUE)</f>
        <v>2323</v>
      </c>
      <c r="O72" s="5297" cm="1">
        <f t="array" aca="1" ref="O72" ca="1">INDIRECT("'※ 영기팀 작성_가입자'!"&amp;O$1&amp;$AC72, TRUE)</f>
        <v>1421</v>
      </c>
      <c r="P72" s="5297" cm="1">
        <f t="array" aca="1" ref="P72" ca="1">INDIRECT("'※ 영기팀 작성_가입자'!"&amp;P$1&amp;$AC72, TRUE)</f>
        <v>1296</v>
      </c>
      <c r="Q72" s="5297" cm="1">
        <f t="array" aca="1" ref="Q72" ca="1">INDIRECT("'※ 영기팀 작성_가입자'!"&amp;Q$1&amp;$AC72, TRUE)</f>
        <v>1261</v>
      </c>
      <c r="R72" s="5893" cm="1">
        <f t="array" aca="1" ref="R72" ca="1">INDIRECT("'※ 영기팀 작성_가입자'!"&amp;R$1&amp;$AD72, TRUE)</f>
        <v>1621</v>
      </c>
      <c r="S72" s="5893" cm="1">
        <f t="array" aca="1" ref="S72" ca="1">INDIRECT("'※ 영기팀 작성_가입자'!"&amp;S$1&amp;$AD72, TRUE)</f>
        <v>-360</v>
      </c>
      <c r="T72" s="5956" cm="1">
        <f t="array" aca="1" ref="T72" ca="1">INDIRECT("'※ 영기팀 작성_가입자'!"&amp;T$1&amp;$AD72, TRUE)</f>
        <v>1.8640394088669951E-2</v>
      </c>
      <c r="U72" s="5957">
        <f t="shared" ca="1" si="15"/>
        <v>456</v>
      </c>
      <c r="V72" s="5958" cm="1">
        <f t="array" aca="1" ref="V72" ca="1">INDIRECT("'※ 영기팀 작성_가입자'!"&amp;V$1&amp;$AC72, TRUE)</f>
        <v>-94</v>
      </c>
      <c r="W72" s="5894" cm="1">
        <f t="array" aca="1" ref="W72" ca="1">INDIRECT("'※ 영기팀 작성_가입자'!"&amp;W$1&amp;$AC72, TRUE)</f>
        <v>22728</v>
      </c>
      <c r="X72" s="5958" cm="1">
        <f t="array" aca="1" ref="X72" ca="1">INDIRECT("'※ 영기팀 작성_가입자'!"&amp;X$1&amp;$AD72, TRUE)</f>
        <v>-360</v>
      </c>
      <c r="Y72" s="5956" cm="1">
        <f t="array" aca="1" ref="Y72" ca="1">INDIRECT("'※ 영기팀 작성_가입자'!"&amp;Y$1&amp;$AD72, TRUE)</f>
        <v>2.7038626609442059E-2</v>
      </c>
      <c r="Z72" s="5959" cm="1">
        <f t="array" aca="1" ref="Z72" ca="1">INDIRECT("'※ 영기팀 작성_가입자'!"&amp;Z$2&amp;$AC72, TRUE)</f>
        <v>2726</v>
      </c>
      <c r="AA72" s="5857" cm="1">
        <f t="array" aca="1" ref="AA72" ca="1">INDIRECT("'※ 영기팀 작성_가입자'!"&amp;AA$1&amp;$AC72, TRUE)</f>
        <v>1893.8421798183485</v>
      </c>
      <c r="AB72" s="5960" cm="1">
        <f t="array" aca="1" ref="AB72" ca="1">INDIRECT("'※ 영기팀 작성_가입자'!"&amp;AB$1&amp;$AC72, TRUE)</f>
        <v>-94</v>
      </c>
      <c r="AC72" s="5364">
        <f>ROW('※ 영기팀 작성_가입자'!AH26)</f>
        <v>26</v>
      </c>
      <c r="AD72" s="5360">
        <f>ROW('※ 영기팀 작성_가입자'!AI381)</f>
        <v>381</v>
      </c>
    </row>
    <row r="73" spans="1:34" ht="18" customHeight="1" x14ac:dyDescent="0.55000000000000004">
      <c r="A73" s="7127"/>
      <c r="B73" s="5527" t="s">
        <v>76</v>
      </c>
      <c r="C73" s="5527"/>
      <c r="D73" s="5946" cm="1">
        <f t="array" aca="1" ref="D73" ca="1">INDIRECT("'※ 영기팀 작성_가입자'!"&amp;D$1&amp;$AC73, TRUE)</f>
        <v>0</v>
      </c>
      <c r="E73" s="5897" cm="1">
        <f t="array" aca="1" ref="E73" ca="1">INDIRECT("'※ 영기팀 작성_가입자'!"&amp;E$1&amp;$AC73, TRUE)</f>
        <v>20113</v>
      </c>
      <c r="F73" s="5898" cm="1">
        <f t="array" aca="1" ref="F73" ca="1">INDIRECT("'※ 영기팀 작성_가입자'!"&amp;F$1&amp;$AC73, TRUE)</f>
        <v>1145</v>
      </c>
      <c r="G73" s="5897" cm="1">
        <f t="array" aca="1" ref="G73" ca="1">INDIRECT("'※ 영기팀 작성_가입자'!"&amp;G$1&amp;$AC73, TRUE)</f>
        <v>2419</v>
      </c>
      <c r="H73" s="5897" cm="1">
        <f t="array" aca="1" ref="H73" ca="1">INDIRECT("'※ 영기팀 작성_가입자'!"&amp;H$1&amp;$AC73, TRUE)</f>
        <v>1710</v>
      </c>
      <c r="I73" s="5897" cm="1">
        <f t="array" aca="1" ref="I73" ca="1">INDIRECT("'※ 영기팀 작성_가입자'!"&amp;I$1&amp;$AC73, TRUE)</f>
        <v>1844</v>
      </c>
      <c r="J73" s="5897" cm="1">
        <f t="array" aca="1" ref="J73" ca="1">INDIRECT("'※ 영기팀 작성_가입자'!"&amp;J$1&amp;$AC73, TRUE)</f>
        <v>2510</v>
      </c>
      <c r="K73" s="5897" cm="1">
        <f t="array" aca="1" ref="K73" ca="1">INDIRECT("'※ 영기팀 작성_가입자'!"&amp;K$1&amp;$AC73, TRUE)</f>
        <v>1568</v>
      </c>
      <c r="L73" s="5897" cm="1">
        <f t="array" aca="1" ref="L73" ca="1">INDIRECT("'※ 영기팀 작성_가입자'!"&amp;L$1&amp;$AC73, TRUE)</f>
        <v>2610</v>
      </c>
      <c r="M73" s="5897" cm="1">
        <f t="array" aca="1" ref="M73" ca="1">INDIRECT("'※ 영기팀 작성_가입자'!"&amp;M$1&amp;$AC73, TRUE)</f>
        <v>1670</v>
      </c>
      <c r="N73" s="5897" cm="1">
        <f t="array" aca="1" ref="N73" ca="1">INDIRECT("'※ 영기팀 작성_가입자'!"&amp;N$1&amp;$AC73, TRUE)</f>
        <v>2129</v>
      </c>
      <c r="O73" s="5897" cm="1">
        <f t="array" aca="1" ref="O73" ca="1">INDIRECT("'※ 영기팀 작성_가입자'!"&amp;O$1&amp;$AC73, TRUE)</f>
        <v>1467</v>
      </c>
      <c r="P73" s="5897" cm="1">
        <f t="array" aca="1" ref="P73" ca="1">INDIRECT("'※ 영기팀 작성_가입자'!"&amp;P$1&amp;$AC73, TRUE)</f>
        <v>1367</v>
      </c>
      <c r="Q73" s="5897" cm="1">
        <f t="array" aca="1" ref="Q73" ca="1">INDIRECT("'※ 영기팀 작성_가입자'!"&amp;Q$1&amp;$AC73, TRUE)</f>
        <v>1176</v>
      </c>
      <c r="R73" s="5899" cm="1">
        <f t="array" aca="1" ref="R73" ca="1">INDIRECT("'※ 영기팀 작성_가입자'!"&amp;R$1&amp;$AD73, TRUE)</f>
        <v>1596</v>
      </c>
      <c r="S73" s="5899" cm="1">
        <f t="array" aca="1" ref="S73" ca="1">INDIRECT("'※ 영기팀 작성_가입자'!"&amp;S$1&amp;$AD73, TRUE)</f>
        <v>-420</v>
      </c>
      <c r="T73" s="5961" cm="1">
        <f t="array" aca="1" ref="T73" ca="1">INDIRECT("'※ 영기팀 작성_가입자'!"&amp;T$1&amp;$AD73, TRUE)</f>
        <v>3.1745396317053642E-2</v>
      </c>
      <c r="U73" s="5962">
        <f t="shared" ca="1" si="15"/>
        <v>134</v>
      </c>
      <c r="V73" s="5963" cm="1">
        <f t="array" aca="1" ref="V73" ca="1">INDIRECT("'※ 영기팀 작성_가입자'!"&amp;V$1&amp;$AC73, TRUE)</f>
        <v>-114</v>
      </c>
      <c r="W73" s="5902" cm="1">
        <f t="array" aca="1" ref="W73" ca="1">INDIRECT("'※ 영기팀 작성_가입자'!"&amp;W$1&amp;$AC73, TRUE)</f>
        <v>21615</v>
      </c>
      <c r="X73" s="5963" cm="1">
        <f t="array" aca="1" ref="X73" ca="1">INDIRECT("'※ 영기팀 작성_가입자'!"&amp;X$1&amp;$AD73, TRUE)</f>
        <v>-420</v>
      </c>
      <c r="Y73" s="5961" cm="1">
        <f t="array" aca="1" ref="Y73" ca="1">INDIRECT("'※ 영기팀 작성_가입자'!"&amp;Y$1&amp;$AD73, TRUE)</f>
        <v>3.3129904097646032E-2</v>
      </c>
      <c r="Z73" s="5964" cm="1">
        <f t="array" aca="1" ref="Z73" ca="1">INDIRECT("'※ 영기팀 작성_가입자'!"&amp;Z$2&amp;$AC73, TRUE)</f>
        <v>1502</v>
      </c>
      <c r="AA73" s="5904" cm="1">
        <f t="array" aca="1" ref="AA73" ca="1">INDIRECT("'※ 영기팀 작성_가입자'!"&amp;AA$1&amp;$AC73, TRUE)</f>
        <v>1801.0999083409718</v>
      </c>
      <c r="AB73" s="5965" cm="1">
        <f t="array" aca="1" ref="AB73" ca="1">INDIRECT("'※ 영기팀 작성_가입자'!"&amp;AB$1&amp;$AC73, TRUE)</f>
        <v>-114</v>
      </c>
      <c r="AC73" s="5364">
        <f>ROW('※ 영기팀 작성_가입자'!AH27)</f>
        <v>27</v>
      </c>
      <c r="AD73" s="5360">
        <f>ROW('※ 영기팀 작성_가입자'!AI382)</f>
        <v>382</v>
      </c>
    </row>
    <row r="74" spans="1:34" ht="4" customHeight="1" x14ac:dyDescent="0.55000000000000004">
      <c r="A74" s="5966"/>
      <c r="B74" s="2648"/>
      <c r="C74" s="2648"/>
      <c r="D74" s="5967"/>
      <c r="E74" s="5687"/>
      <c r="F74" s="5968"/>
      <c r="G74" s="5687"/>
      <c r="H74" s="5687"/>
      <c r="I74" s="5687"/>
      <c r="J74" s="5687"/>
      <c r="K74" s="5687"/>
      <c r="L74" s="5687"/>
      <c r="M74" s="5687"/>
      <c r="N74" s="5687"/>
      <c r="O74" s="5687"/>
      <c r="P74" s="5687"/>
      <c r="Q74" s="5687"/>
      <c r="R74" s="5969"/>
      <c r="S74" s="5969"/>
      <c r="T74" s="5970"/>
      <c r="U74" s="5971"/>
      <c r="V74" s="5971"/>
      <c r="W74" s="5972"/>
      <c r="X74" s="5971"/>
      <c r="Y74" s="5970"/>
      <c r="Z74" s="5973"/>
      <c r="AA74" s="5125"/>
      <c r="AB74" s="5974"/>
      <c r="AC74" s="5364"/>
      <c r="AD74" s="5360">
        <f>ROW('※ 영기팀 작성_가입자'!AI383)</f>
        <v>383</v>
      </c>
    </row>
    <row r="75" spans="1:34" s="5076" customFormat="1" ht="18" customHeight="1" x14ac:dyDescent="0.55000000000000004">
      <c r="A75" s="7128" t="s">
        <v>81</v>
      </c>
      <c r="B75" s="5975" t="s">
        <v>63</v>
      </c>
      <c r="C75" s="5975"/>
      <c r="D75" s="5976">
        <f t="shared" ref="D75:S75" ca="1" si="16">SUM(D76:D80)</f>
        <v>0</v>
      </c>
      <c r="E75" s="5977">
        <f t="shared" ca="1" si="16"/>
        <v>240483</v>
      </c>
      <c r="F75" s="5978">
        <f t="shared" ca="1" si="16"/>
        <v>17239</v>
      </c>
      <c r="G75" s="5977">
        <f t="shared" ca="1" si="16"/>
        <v>25984</v>
      </c>
      <c r="H75" s="5977">
        <f t="shared" ca="1" si="16"/>
        <v>19298</v>
      </c>
      <c r="I75" s="5977">
        <f t="shared" ca="1" si="16"/>
        <v>24280</v>
      </c>
      <c r="J75" s="5977">
        <f t="shared" ca="1" si="16"/>
        <v>36457</v>
      </c>
      <c r="K75" s="5977">
        <f t="shared" ca="1" si="16"/>
        <v>28356</v>
      </c>
      <c r="L75" s="5977">
        <f t="shared" ref="L75:M75" ca="1" si="17">SUM(L76:L80)</f>
        <v>32832</v>
      </c>
      <c r="M75" s="5977">
        <f t="shared" ca="1" si="17"/>
        <v>24783</v>
      </c>
      <c r="N75" s="5977">
        <f t="shared" ref="N75:O75" ca="1" si="18">SUM(N76:N80)</f>
        <v>27158</v>
      </c>
      <c r="O75" s="5977">
        <f t="shared" ca="1" si="18"/>
        <v>26854</v>
      </c>
      <c r="P75" s="5977">
        <f t="shared" ref="P75:Q75" ca="1" si="19">SUM(P76:P80)</f>
        <v>22592</v>
      </c>
      <c r="Q75" s="5977">
        <f t="shared" ca="1" si="19"/>
        <v>24140</v>
      </c>
      <c r="R75" s="5979">
        <f t="shared" ca="1" si="16"/>
        <v>25000</v>
      </c>
      <c r="S75" s="5979">
        <f t="shared" ca="1" si="16"/>
        <v>-860</v>
      </c>
      <c r="T75" s="5980" cm="1">
        <f t="array" aca="1" ref="T75" ca="1">INDIRECT("'※ 영기팀 작성_가입자'!"&amp;T$1&amp;$AD75, TRUE)</f>
        <v>0.31056563500533618</v>
      </c>
      <c r="U75" s="5981">
        <f t="shared" ref="U75:U88" ca="1" si="20">I75-H75</f>
        <v>4982</v>
      </c>
      <c r="V75" s="5982">
        <f ca="1">SUM(V76:V80)</f>
        <v>6351</v>
      </c>
      <c r="W75" s="5983">
        <f ca="1">SUM(W76:W80)</f>
        <v>309973</v>
      </c>
      <c r="X75" s="5982">
        <f ca="1">SUM(X76:X80)</f>
        <v>-860</v>
      </c>
      <c r="Y75" s="5980" cm="1">
        <f t="array" aca="1" ref="Y75" ca="1">INDIRECT("'※ 영기팀 작성_가입자'!"&amp;Y$1&amp;$AD75, TRUE)</f>
        <v>0.60563380281690138</v>
      </c>
      <c r="Z75" s="5984" cm="1">
        <f t="array" aca="1" ref="Z75" ca="1">INDIRECT("'※ 영기팀 작성_가입자'!"&amp;Z$2&amp;$AC75, TRUE)</f>
        <v>306</v>
      </c>
      <c r="AA75" s="5985">
        <f ca="1">SUM(AA76:AA80)</f>
        <v>25828.930922423133</v>
      </c>
      <c r="AB75" s="5986">
        <f ca="1">SUM(AB76:AB80)</f>
        <v>6351</v>
      </c>
      <c r="AC75" s="5364">
        <v>8</v>
      </c>
      <c r="AD75" s="5360">
        <f>ROW('※ 영기팀 작성_가입자'!AI384)</f>
        <v>384</v>
      </c>
    </row>
    <row r="76" spans="1:34" ht="18" customHeight="1" x14ac:dyDescent="0.55000000000000004">
      <c r="A76" s="7126"/>
      <c r="B76" s="5931" t="s">
        <v>77</v>
      </c>
      <c r="C76" s="5931"/>
      <c r="D76" s="5932" cm="1">
        <f t="array" aca="1" ref="D76" ca="1">INDIRECT("'※ 영기팀 작성_가입자'!"&amp;D$1&amp;$AC76, TRUE)</f>
        <v>0</v>
      </c>
      <c r="E76" s="5933" cm="1">
        <f t="array" aca="1" ref="E76" ca="1">INDIRECT("'※ 영기팀 작성_가입자'!"&amp;E$1&amp;$AC76, TRUE)</f>
        <v>47351</v>
      </c>
      <c r="F76" s="5934" cm="1">
        <f t="array" aca="1" ref="F76" ca="1">INDIRECT("'※ 영기팀 작성_가입자'!"&amp;F$1&amp;$AC76, TRUE)</f>
        <v>2917</v>
      </c>
      <c r="G76" s="5933" cm="1">
        <f t="array" aca="1" ref="G76" ca="1">INDIRECT("'※ 영기팀 작성_가입자'!"&amp;G$1&amp;$AC76, TRUE)</f>
        <v>4684</v>
      </c>
      <c r="H76" s="5933" cm="1">
        <f t="array" aca="1" ref="H76" ca="1">INDIRECT("'※ 영기팀 작성_가입자'!"&amp;H$1&amp;$AC76, TRUE)</f>
        <v>3395</v>
      </c>
      <c r="I76" s="5933" cm="1">
        <f t="array" aca="1" ref="I76" ca="1">INDIRECT("'※ 영기팀 작성_가입자'!"&amp;I$1&amp;$AC76, TRUE)</f>
        <v>4120</v>
      </c>
      <c r="J76" s="5933" cm="1">
        <f t="array" aca="1" ref="J76" ca="1">INDIRECT("'※ 영기팀 작성_가입자'!"&amp;J$1&amp;$AC76, TRUE)</f>
        <v>6813</v>
      </c>
      <c r="K76" s="5933" cm="1">
        <f t="array" aca="1" ref="K76" ca="1">INDIRECT("'※ 영기팀 작성_가입자'!"&amp;K$1&amp;$AC76, TRUE)</f>
        <v>4524</v>
      </c>
      <c r="L76" s="5933" cm="1">
        <f t="array" aca="1" ref="L76" ca="1">INDIRECT("'※ 영기팀 작성_가입자'!"&amp;L$1&amp;$AC76, TRUE)</f>
        <v>5455</v>
      </c>
      <c r="M76" s="5933" cm="1">
        <f t="array" aca="1" ref="M76" ca="1">INDIRECT("'※ 영기팀 작성_가입자'!"&amp;M$1&amp;$AC76, TRUE)</f>
        <v>4090.0000000000005</v>
      </c>
      <c r="N76" s="5933" cm="1">
        <f t="array" aca="1" ref="N76" ca="1">INDIRECT("'※ 영기팀 작성_가입자'!"&amp;N$1&amp;$AC76, TRUE)</f>
        <v>4687</v>
      </c>
      <c r="O76" s="5933" cm="1">
        <f t="array" aca="1" ref="O76" ca="1">INDIRECT("'※ 영기팀 작성_가입자'!"&amp;O$1&amp;$AC76, TRUE)</f>
        <v>4302</v>
      </c>
      <c r="P76" s="5933" cm="1">
        <f t="array" aca="1" ref="P76" ca="1">INDIRECT("'※ 영기팀 작성_가입자'!"&amp;P$1&amp;$AC76, TRUE)</f>
        <v>4046</v>
      </c>
      <c r="Q76" s="5933" cm="1">
        <f t="array" aca="1" ref="Q76" ca="1">INDIRECT("'※ 영기팀 작성_가입자'!"&amp;Q$1&amp;$AC76, TRUE)</f>
        <v>4508</v>
      </c>
      <c r="R76" s="5935" cm="1">
        <f t="array" aca="1" ref="R76" ca="1">INDIRECT("'※ 영기팀 작성_가입자'!"&amp;R$1&amp;$AD76, TRUE)</f>
        <v>4945</v>
      </c>
      <c r="S76" s="5935" cm="1">
        <f t="array" aca="1" ref="S76" ca="1">INDIRECT("'※ 영기팀 작성_가입자'!"&amp;S$1&amp;$AD76, TRUE)</f>
        <v>-437</v>
      </c>
      <c r="T76" s="5936" cm="1">
        <f t="array" aca="1" ref="T76" ca="1">INDIRECT("'※ 영기팀 작성_가입자'!"&amp;T$1&amp;$AD76, TRUE)</f>
        <v>1.2200929438231769</v>
      </c>
      <c r="U76" s="5937">
        <f t="shared" ca="1" si="20"/>
        <v>725</v>
      </c>
      <c r="V76" s="5938" cm="1">
        <f t="array" aca="1" ref="V76" ca="1">INDIRECT("'※ 영기팀 작성_가입자'!"&amp;V$1&amp;$AC76, TRUE)</f>
        <v>1408</v>
      </c>
      <c r="W76" s="5939" cm="1">
        <f t="array" aca="1" ref="W76" ca="1">INDIRECT("'※ 영기팀 작성_가입자'!"&amp;W$1&amp;$AC76, TRUE)</f>
        <v>53541</v>
      </c>
      <c r="X76" s="5938" cm="1">
        <f t="array" aca="1" ref="X76" ca="1">INDIRECT("'※ 영기팀 작성_가입자'!"&amp;X$1&amp;$AD76, TRUE)</f>
        <v>-437</v>
      </c>
      <c r="Y76" s="5936" cm="1">
        <f t="array" aca="1" ref="Y76" ca="1">INDIRECT("'※ 영기팀 작성_가입자'!"&amp;Y$1&amp;$AD76, TRUE)</f>
        <v>1.7819675584579735</v>
      </c>
      <c r="Z76" s="5987" cm="1">
        <f t="array" aca="1" ref="Z76" ca="1">INDIRECT("'※ 영기팀 작성_가입자'!"&amp;Z$2&amp;$AC76, TRUE)</f>
        <v>6190</v>
      </c>
      <c r="AA76" s="5988" cm="1">
        <f t="array" aca="1" ref="AA76" ca="1">INDIRECT("'※ 영기팀 작성_가입자'!"&amp;AA$1&amp;$AC76, TRUE)</f>
        <v>4461.3782184817937</v>
      </c>
      <c r="AB76" s="5989" cm="1">
        <f t="array" aca="1" ref="AB76" ca="1">INDIRECT("'※ 영기팀 작성_가입자'!"&amp;AB$1&amp;$AC76, TRUE)</f>
        <v>1408</v>
      </c>
      <c r="AC76" s="5364">
        <f>ROW('※ 영기팀 작성_가입자'!AH43)</f>
        <v>43</v>
      </c>
      <c r="AD76" s="5360">
        <f>ROW('※ 영기팀 작성_가입자'!AI398)</f>
        <v>398</v>
      </c>
      <c r="AG76" s="2426"/>
      <c r="AH76" s="2426"/>
    </row>
    <row r="77" spans="1:34" ht="18" customHeight="1" x14ac:dyDescent="0.55000000000000004">
      <c r="A77" s="7126"/>
      <c r="B77" s="5931" t="s">
        <v>78</v>
      </c>
      <c r="C77" s="5931"/>
      <c r="D77" s="5932" cm="1">
        <f t="array" aca="1" ref="D77" ca="1">INDIRECT("'※ 영기팀 작성_가입자'!"&amp;D$1&amp;$AC77, TRUE)</f>
        <v>0</v>
      </c>
      <c r="E77" s="5933" cm="1">
        <f t="array" aca="1" ref="E77" ca="1">INDIRECT("'※ 영기팀 작성_가입자'!"&amp;E$1&amp;$AC77, TRUE)</f>
        <v>33062</v>
      </c>
      <c r="F77" s="5934" cm="1">
        <f t="array" aca="1" ref="F77" ca="1">INDIRECT("'※ 영기팀 작성_가입자'!"&amp;F$1&amp;$AC77, TRUE)</f>
        <v>1978</v>
      </c>
      <c r="G77" s="5933" cm="1">
        <f t="array" aca="1" ref="G77" ca="1">INDIRECT("'※ 영기팀 작성_가입자'!"&amp;G$1&amp;$AC77, TRUE)</f>
        <v>3382</v>
      </c>
      <c r="H77" s="5933" cm="1">
        <f t="array" aca="1" ref="H77" ca="1">INDIRECT("'※ 영기팀 작성_가입자'!"&amp;H$1&amp;$AC77, TRUE)</f>
        <v>2285</v>
      </c>
      <c r="I77" s="5933" cm="1">
        <f t="array" aca="1" ref="I77" ca="1">INDIRECT("'※ 영기팀 작성_가입자'!"&amp;I$1&amp;$AC77, TRUE)</f>
        <v>2628</v>
      </c>
      <c r="J77" s="5933" cm="1">
        <f t="array" aca="1" ref="J77" ca="1">INDIRECT("'※ 영기팀 작성_가입자'!"&amp;J$1&amp;$AC77, TRUE)</f>
        <v>4532</v>
      </c>
      <c r="K77" s="5933" cm="1">
        <f t="array" aca="1" ref="K77" ca="1">INDIRECT("'※ 영기팀 작성_가입자'!"&amp;K$1&amp;$AC77, TRUE)</f>
        <v>3187</v>
      </c>
      <c r="L77" s="5933" cm="1">
        <f t="array" aca="1" ref="L77" ca="1">INDIRECT("'※ 영기팀 작성_가입자'!"&amp;L$1&amp;$AC77, TRUE)</f>
        <v>3574.0000000000005</v>
      </c>
      <c r="M77" s="5933" cm="1">
        <f t="array" aca="1" ref="M77" ca="1">INDIRECT("'※ 영기팀 작성_가입자'!"&amp;M$1&amp;$AC77, TRUE)</f>
        <v>3161</v>
      </c>
      <c r="N77" s="5933" cm="1">
        <f t="array" aca="1" ref="N77" ca="1">INDIRECT("'※ 영기팀 작성_가입자'!"&amp;N$1&amp;$AC77, TRUE)</f>
        <v>3453.0000000000005</v>
      </c>
      <c r="O77" s="5933" cm="1">
        <f t="array" aca="1" ref="O77" ca="1">INDIRECT("'※ 영기팀 작성_가입자'!"&amp;O$1&amp;$AC77, TRUE)</f>
        <v>3550</v>
      </c>
      <c r="P77" s="5933" cm="1">
        <f t="array" aca="1" ref="P77" ca="1">INDIRECT("'※ 영기팀 작성_가입자'!"&amp;P$1&amp;$AC77, TRUE)</f>
        <v>3406</v>
      </c>
      <c r="Q77" s="5933" cm="1">
        <f t="array" aca="1" ref="Q77" ca="1">INDIRECT("'※ 영기팀 작성_가입자'!"&amp;Q$1&amp;$AC77, TRUE)</f>
        <v>3109</v>
      </c>
      <c r="R77" s="5935" cm="1">
        <f t="array" aca="1" ref="R77" ca="1">INDIRECT("'※ 영기팀 작성_가입자'!"&amp;R$1&amp;$AD77, TRUE)</f>
        <v>3360</v>
      </c>
      <c r="S77" s="5935" cm="1">
        <f t="array" aca="1" ref="S77" ca="1">INDIRECT("'※ 영기팀 작성_가입자'!"&amp;S$1&amp;$AD77, TRUE)</f>
        <v>-251</v>
      </c>
      <c r="T77" s="5936" cm="1">
        <f t="array" aca="1" ref="T77" ca="1">INDIRECT("'※ 영기팀 작성_가입자'!"&amp;T$1&amp;$AD77, TRUE)</f>
        <v>1.0985694263206225</v>
      </c>
      <c r="U77" s="5937">
        <f t="shared" ca="1" si="20"/>
        <v>343</v>
      </c>
      <c r="V77" s="5938" cm="1">
        <f t="array" aca="1" ref="V77" ca="1">INDIRECT("'※ 영기팀 작성_가입자'!"&amp;V$1&amp;$AC77, TRUE)</f>
        <v>803</v>
      </c>
      <c r="W77" s="5939" cm="1">
        <f t="array" aca="1" ref="W77" ca="1">INDIRECT("'※ 영기팀 작성_가입자'!"&amp;W$1&amp;$AC77, TRUE)</f>
        <v>38245</v>
      </c>
      <c r="X77" s="5938" cm="1">
        <f t="array" aca="1" ref="X77" ca="1">INDIRECT("'※ 영기팀 작성_가입자'!"&amp;X$1&amp;$AD77, TRUE)</f>
        <v>-251</v>
      </c>
      <c r="Y77" s="5936" cm="1">
        <f t="array" aca="1" ref="Y77" ca="1">INDIRECT("'※ 영기팀 작성_가입자'!"&amp;Y$1&amp;$AD77, TRUE)</f>
        <v>1.4500929944203347</v>
      </c>
      <c r="Z77" s="5987" cm="1">
        <f t="array" aca="1" ref="Z77" ca="1">INDIRECT("'※ 영기팀 작성_가입자'!"&amp;Z$2&amp;$AC77, TRUE)</f>
        <v>5183</v>
      </c>
      <c r="AA77" s="5988" cm="1">
        <f t="array" aca="1" ref="AA77" ca="1">INDIRECT("'※ 영기팀 작성_가입자'!"&amp;AA$1&amp;$AC77, TRUE)</f>
        <v>3186.8177651862347</v>
      </c>
      <c r="AB77" s="5989" cm="1">
        <f t="array" aca="1" ref="AB77" ca="1">INDIRECT("'※ 영기팀 작성_가입자'!"&amp;AB$1&amp;$AC77, TRUE)</f>
        <v>803</v>
      </c>
      <c r="AC77" s="5364">
        <f>ROW('※ 영기팀 작성_가입자'!AH44)</f>
        <v>44</v>
      </c>
      <c r="AD77" s="5360">
        <f>ROW('※ 영기팀 작성_가입자'!AI399)</f>
        <v>399</v>
      </c>
    </row>
    <row r="78" spans="1:34" ht="18" customHeight="1" x14ac:dyDescent="0.55000000000000004">
      <c r="A78" s="7126"/>
      <c r="B78" s="5931" t="s">
        <v>79</v>
      </c>
      <c r="C78" s="5931"/>
      <c r="D78" s="5932" cm="1">
        <f t="array" aca="1" ref="D78" ca="1">INDIRECT("'※ 영기팀 작성_가입자'!"&amp;D$1&amp;$AC78, TRUE)</f>
        <v>0</v>
      </c>
      <c r="E78" s="5933" cm="1">
        <f t="array" aca="1" ref="E78" ca="1">INDIRECT("'※ 영기팀 작성_가입자'!"&amp;E$1&amp;$AC78, TRUE)</f>
        <v>32901</v>
      </c>
      <c r="F78" s="5934" cm="1">
        <f t="array" aca="1" ref="F78" ca="1">INDIRECT("'※ 영기팀 작성_가입자'!"&amp;F$1&amp;$AC78, TRUE)</f>
        <v>2136</v>
      </c>
      <c r="G78" s="5933" cm="1">
        <f t="array" aca="1" ref="G78" ca="1">INDIRECT("'※ 영기팀 작성_가입자'!"&amp;G$1&amp;$AC78, TRUE)</f>
        <v>3316</v>
      </c>
      <c r="H78" s="5933" cm="1">
        <f t="array" aca="1" ref="H78" ca="1">INDIRECT("'※ 영기팀 작성_가입자'!"&amp;H$1&amp;$AC78, TRUE)</f>
        <v>2740</v>
      </c>
      <c r="I78" s="5933" cm="1">
        <f t="array" aca="1" ref="I78" ca="1">INDIRECT("'※ 영기팀 작성_가입자'!"&amp;I$1&amp;$AC78, TRUE)</f>
        <v>3072</v>
      </c>
      <c r="J78" s="5933" cm="1">
        <f t="array" aca="1" ref="J78" ca="1">INDIRECT("'※ 영기팀 작성_가입자'!"&amp;J$1&amp;$AC78, TRUE)</f>
        <v>4850</v>
      </c>
      <c r="K78" s="5933" cm="1">
        <f t="array" aca="1" ref="K78" ca="1">INDIRECT("'※ 영기팀 작성_가입자'!"&amp;K$1&amp;$AC78, TRUE)</f>
        <v>3477.0000000000005</v>
      </c>
      <c r="L78" s="5933" cm="1">
        <f t="array" aca="1" ref="L78" ca="1">INDIRECT("'※ 영기팀 작성_가입자'!"&amp;L$1&amp;$AC78, TRUE)</f>
        <v>4177</v>
      </c>
      <c r="M78" s="5933" cm="1">
        <f t="array" aca="1" ref="M78" ca="1">INDIRECT("'※ 영기팀 작성_가입자'!"&amp;M$1&amp;$AC78, TRUE)</f>
        <v>3314</v>
      </c>
      <c r="N78" s="5933" cm="1">
        <f t="array" aca="1" ref="N78" ca="1">INDIRECT("'※ 영기팀 작성_가입자'!"&amp;N$1&amp;$AC78, TRUE)</f>
        <v>3615.9999999999995</v>
      </c>
      <c r="O78" s="5933" cm="1">
        <f t="array" aca="1" ref="O78" ca="1">INDIRECT("'※ 영기팀 작성_가입자'!"&amp;O$1&amp;$AC78, TRUE)</f>
        <v>3733</v>
      </c>
      <c r="P78" s="5933" cm="1">
        <f t="array" aca="1" ref="P78" ca="1">INDIRECT("'※ 영기팀 작성_가입자'!"&amp;P$1&amp;$AC78, TRUE)</f>
        <v>2918</v>
      </c>
      <c r="Q78" s="5933" cm="1">
        <f t="array" aca="1" ref="Q78" ca="1">INDIRECT("'※ 영기팀 작성_가입자'!"&amp;Q$1&amp;$AC78, TRUE)</f>
        <v>3529</v>
      </c>
      <c r="R78" s="5935" cm="1">
        <f t="array" aca="1" ref="R78" ca="1">INDIRECT("'※ 영기팀 작성_가입자'!"&amp;R$1&amp;$AD78, TRUE)</f>
        <v>3269</v>
      </c>
      <c r="S78" s="5935" cm="1">
        <f t="array" aca="1" ref="S78" ca="1">INDIRECT("'※ 영기팀 작성_가입자'!"&amp;S$1&amp;$AD78, TRUE)</f>
        <v>260</v>
      </c>
      <c r="T78" s="5936" cm="1">
        <f t="array" aca="1" ref="T78" ca="1">INDIRECT("'※ 영기팀 작성_가입자'!"&amp;T$1&amp;$AD78, TRUE)</f>
        <v>0.20068550991008891</v>
      </c>
      <c r="U78" s="5937">
        <f t="shared" ca="1" si="20"/>
        <v>332</v>
      </c>
      <c r="V78" s="5938" cm="1">
        <f t="array" aca="1" ref="V78" ca="1">INDIRECT("'※ 영기팀 작성_가입자'!"&amp;V$1&amp;$AC78, TRUE)</f>
        <v>1371</v>
      </c>
      <c r="W78" s="5939" cm="1">
        <f t="array" aca="1" ref="W78" ca="1">INDIRECT("'※ 영기팀 작성_가입자'!"&amp;W$1&amp;$AC78, TRUE)</f>
        <v>40878</v>
      </c>
      <c r="X78" s="5938" cm="1">
        <f t="array" aca="1" ref="X78" ca="1">INDIRECT("'※ 영기팀 작성_가입자'!"&amp;X$1&amp;$AD78, TRUE)</f>
        <v>260</v>
      </c>
      <c r="Y78" s="5936" cm="1">
        <f t="array" aca="1" ref="Y78" ca="1">INDIRECT("'※ 영기팀 작성_가입자'!"&amp;Y$1&amp;$AD78, TRUE)</f>
        <v>0.68036966220522621</v>
      </c>
      <c r="Z78" s="5987" cm="1">
        <f t="array" aca="1" ref="Z78" ca="1">INDIRECT("'※ 영기팀 작성_가입자'!"&amp;Z$2&amp;$AC78, TRUE)</f>
        <v>7977</v>
      </c>
      <c r="AA78" s="5988" cm="1">
        <f t="array" aca="1" ref="AA78" ca="1">INDIRECT("'※ 영기팀 작성_가입자'!"&amp;AA$1&amp;$AC78, TRUE)</f>
        <v>3406.2161486542791</v>
      </c>
      <c r="AB78" s="5989" cm="1">
        <f t="array" aca="1" ref="AB78" ca="1">INDIRECT("'※ 영기팀 작성_가입자'!"&amp;AB$1&amp;$AC78, TRUE)</f>
        <v>1371</v>
      </c>
      <c r="AC78" s="5364">
        <f>ROW('※ 영기팀 작성_가입자'!AH45)</f>
        <v>45</v>
      </c>
      <c r="AD78" s="5360">
        <f>ROW('※ 영기팀 작성_가입자'!AI400)</f>
        <v>400</v>
      </c>
    </row>
    <row r="79" spans="1:34" ht="18" customHeight="1" x14ac:dyDescent="0.55000000000000004">
      <c r="A79" s="7126"/>
      <c r="B79" s="5931" t="s">
        <v>425</v>
      </c>
      <c r="C79" s="5931"/>
      <c r="D79" s="5932" cm="1">
        <f t="array" aca="1" ref="D79" ca="1">INDIRECT("'※ 영기팀 작성_가입자'!"&amp;D$1&amp;$AC79, TRUE)</f>
        <v>0</v>
      </c>
      <c r="E79" s="5933" cm="1">
        <f t="array" aca="1" ref="E79" ca="1">INDIRECT("'※ 영기팀 작성_가입자'!"&amp;E$1&amp;$AC79, TRUE)</f>
        <v>63487</v>
      </c>
      <c r="F79" s="5934" cm="1">
        <f t="array" aca="1" ref="F79" ca="1">INDIRECT("'※ 영기팀 작성_가입자'!"&amp;F$1&amp;$AC79, TRUE)</f>
        <v>5453</v>
      </c>
      <c r="G79" s="5933" cm="1">
        <f t="array" aca="1" ref="G79" ca="1">INDIRECT("'※ 영기팀 작성_가입자'!"&amp;G$1&amp;$AC79, TRUE)</f>
        <v>8121</v>
      </c>
      <c r="H79" s="5933" cm="1">
        <f t="array" aca="1" ref="H79" ca="1">INDIRECT("'※ 영기팀 작성_가입자'!"&amp;H$1&amp;$AC79, TRUE)</f>
        <v>5823</v>
      </c>
      <c r="I79" s="5933" cm="1">
        <f t="array" aca="1" ref="I79" ca="1">INDIRECT("'※ 영기팀 작성_가입자'!"&amp;I$1&amp;$AC79, TRUE)</f>
        <v>8295</v>
      </c>
      <c r="J79" s="5933" cm="1">
        <f t="array" aca="1" ref="J79" ca="1">INDIRECT("'※ 영기팀 작성_가입자'!"&amp;J$1&amp;$AC79, TRUE)</f>
        <v>11803</v>
      </c>
      <c r="K79" s="5933" cm="1">
        <f t="array" aca="1" ref="K79" ca="1">INDIRECT("'※ 영기팀 작성_가입자'!"&amp;K$1&amp;$AC79, TRUE)</f>
        <v>10340</v>
      </c>
      <c r="L79" s="5933" cm="1">
        <f t="array" aca="1" ref="L79" ca="1">INDIRECT("'※ 영기팀 작성_가입자'!"&amp;L$1&amp;$AC79, TRUE)</f>
        <v>11364</v>
      </c>
      <c r="M79" s="5933" cm="1">
        <f t="array" aca="1" ref="M79" ca="1">INDIRECT("'※ 영기팀 작성_가입자'!"&amp;M$1&amp;$AC79, TRUE)</f>
        <v>8569</v>
      </c>
      <c r="N79" s="5933" cm="1">
        <f t="array" aca="1" ref="N79" ca="1">INDIRECT("'※ 영기팀 작성_가입자'!"&amp;N$1&amp;$AC79, TRUE)</f>
        <v>8875</v>
      </c>
      <c r="O79" s="5933" cm="1">
        <f t="array" aca="1" ref="O79" ca="1">INDIRECT("'※ 영기팀 작성_가입자'!"&amp;O$1&amp;$AC79, TRUE)</f>
        <v>9399</v>
      </c>
      <c r="P79" s="5933" cm="1">
        <f t="array" aca="1" ref="P79" ca="1">INDIRECT("'※ 영기팀 작성_가입자'!"&amp;P$1&amp;$AC79, TRUE)</f>
        <v>7074</v>
      </c>
      <c r="Q79" s="5933" cm="1">
        <f t="array" aca="1" ref="Q79" ca="1">INDIRECT("'※ 영기팀 작성_가입자'!"&amp;Q$1&amp;$AC79, TRUE)</f>
        <v>7893</v>
      </c>
      <c r="R79" s="5935" cm="1">
        <f t="array" aca="1" ref="R79" ca="1">INDIRECT("'※ 영기팀 작성_가입자'!"&amp;R$1&amp;$AD79, TRUE)</f>
        <v>6399</v>
      </c>
      <c r="S79" s="5935" cm="1">
        <f t="array" aca="1" ref="S79" ca="1">INDIRECT("'※ 영기팀 작성_가입자'!"&amp;S$1&amp;$AD79, TRUE)</f>
        <v>1494</v>
      </c>
      <c r="T79" s="5936" cm="1">
        <f t="array" aca="1" ref="T79" ca="1">INDIRECT("'※ 영기팀 작성_가입자'!"&amp;T$1&amp;$AD79, TRUE)</f>
        <v>0.48527489817411273</v>
      </c>
      <c r="U79" s="5937">
        <f t="shared" ca="1" si="20"/>
        <v>2472</v>
      </c>
      <c r="V79" s="5938" cm="1">
        <f t="array" aca="1" ref="V79" ca="1">INDIRECT("'※ 영기팀 작성_가입자'!"&amp;V$1&amp;$AC79, TRUE)</f>
        <v>2476</v>
      </c>
      <c r="W79" s="5939" cm="1">
        <f t="array" aca="1" ref="W79" ca="1">INDIRECT("'※ 영기팀 작성_가입자'!"&amp;W$1&amp;$AC79, TRUE)</f>
        <v>103009</v>
      </c>
      <c r="X79" s="5938" cm="1">
        <f t="array" aca="1" ref="X79" ca="1">INDIRECT("'※ 영기팀 작성_가입자'!"&amp;X$1&amp;$AD79, TRUE)</f>
        <v>1494</v>
      </c>
      <c r="Y79" s="5936" cm="1">
        <f t="array" aca="1" ref="Y79" ca="1">INDIRECT("'※ 영기팀 작성_가입자'!"&amp;Y$1&amp;$AD79, TRUE)</f>
        <v>0.73775028487709593</v>
      </c>
      <c r="Z79" s="5987" cm="1">
        <f t="array" aca="1" ref="Z79" ca="1">INDIRECT("'※ 영기팀 작성_가입자'!"&amp;Z$2&amp;$AC79, TRUE)</f>
        <v>39522</v>
      </c>
      <c r="AA79" s="5988" cm="1">
        <f t="array" aca="1" ref="AA79" ca="1">INDIRECT("'※ 영기팀 작성_가입자'!"&amp;AA$1&amp;$AC79, TRUE)</f>
        <v>8583.3680526622793</v>
      </c>
      <c r="AB79" s="5989" cm="1">
        <f t="array" aca="1" ref="AB79" ca="1">INDIRECT("'※ 영기팀 작성_가입자'!"&amp;AB$1&amp;$AC79, TRUE)</f>
        <v>2476</v>
      </c>
      <c r="AC79" s="5364">
        <f>ROW('※ 영기팀 작성_가입자'!AH46)</f>
        <v>46</v>
      </c>
      <c r="AD79" s="5360">
        <f>ROW('※ 영기팀 작성_가입자'!AI401)</f>
        <v>401</v>
      </c>
    </row>
    <row r="80" spans="1:34" ht="18" customHeight="1" x14ac:dyDescent="0.55000000000000004">
      <c r="A80" s="7126"/>
      <c r="B80" s="5944" t="s">
        <v>80</v>
      </c>
      <c r="C80" s="5945"/>
      <c r="D80" s="5946" cm="1">
        <f t="array" aca="1" ref="D80" ca="1">INDIRECT("'※ 영기팀 작성_가입자'!"&amp;D$1&amp;$AC80, TRUE)</f>
        <v>0</v>
      </c>
      <c r="E80" s="5947" cm="1">
        <f t="array" aca="1" ref="E80" ca="1">INDIRECT("'※ 영기팀 작성_가입자'!"&amp;E$1&amp;$AC80, TRUE)</f>
        <v>63682</v>
      </c>
      <c r="F80" s="5948" cm="1">
        <f t="array" aca="1" ref="F80" ca="1">INDIRECT("'※ 영기팀 작성_가입자'!"&amp;F$1&amp;$AC80, TRUE)</f>
        <v>4755</v>
      </c>
      <c r="G80" s="5947" cm="1">
        <f t="array" aca="1" ref="G80" ca="1">INDIRECT("'※ 영기팀 작성_가입자'!"&amp;G$1&amp;$AC80, TRUE)</f>
        <v>6481</v>
      </c>
      <c r="H80" s="5947" cm="1">
        <f t="array" aca="1" ref="H80" ca="1">INDIRECT("'※ 영기팀 작성_가입자'!"&amp;H$1&amp;$AC80, TRUE)</f>
        <v>5055</v>
      </c>
      <c r="I80" s="5947" cm="1">
        <f t="array" aca="1" ref="I80" ca="1">INDIRECT("'※ 영기팀 작성_가입자'!"&amp;I$1&amp;$AC80, TRUE)</f>
        <v>6165</v>
      </c>
      <c r="J80" s="5947" cm="1">
        <f t="array" aca="1" ref="J80" ca="1">INDIRECT("'※ 영기팀 작성_가입자'!"&amp;J$1&amp;$AC80, TRUE)</f>
        <v>8459</v>
      </c>
      <c r="K80" s="5947" cm="1">
        <f t="array" aca="1" ref="K80" ca="1">INDIRECT("'※ 영기팀 작성_가입자'!"&amp;K$1&amp;$AC80, TRUE)</f>
        <v>6828</v>
      </c>
      <c r="L80" s="5947" cm="1">
        <f t="array" aca="1" ref="L80" ca="1">INDIRECT("'※ 영기팀 작성_가입자'!"&amp;L$1&amp;$AC80, TRUE)</f>
        <v>8262</v>
      </c>
      <c r="M80" s="5947" cm="1">
        <f t="array" aca="1" ref="M80" ca="1">INDIRECT("'※ 영기팀 작성_가입자'!"&amp;M$1&amp;$AC80, TRUE)</f>
        <v>5649</v>
      </c>
      <c r="N80" s="5947" cm="1">
        <f t="array" aca="1" ref="N80" ca="1">INDIRECT("'※ 영기팀 작성_가입자'!"&amp;N$1&amp;$AC80, TRUE)</f>
        <v>6527</v>
      </c>
      <c r="O80" s="5947" cm="1">
        <f t="array" aca="1" ref="O80" ca="1">INDIRECT("'※ 영기팀 작성_가입자'!"&amp;O$1&amp;$AC80, TRUE)</f>
        <v>5870</v>
      </c>
      <c r="P80" s="5947" cm="1">
        <f t="array" aca="1" ref="P80" ca="1">INDIRECT("'※ 영기팀 작성_가입자'!"&amp;P$1&amp;$AC80, TRUE)</f>
        <v>5148</v>
      </c>
      <c r="Q80" s="5947" cm="1">
        <f t="array" aca="1" ref="Q80" ca="1">INDIRECT("'※ 영기팀 작성_가입자'!"&amp;Q$1&amp;$AC80, TRUE)</f>
        <v>5101</v>
      </c>
      <c r="R80" s="5949" cm="1">
        <f t="array" aca="1" ref="R80" ca="1">INDIRECT("'※ 영기팀 작성_가입자'!"&amp;R$1&amp;$AD80, TRUE)</f>
        <v>7027</v>
      </c>
      <c r="S80" s="5949" cm="1">
        <f t="array" aca="1" ref="S80" ca="1">INDIRECT("'※ 영기팀 작성_가입자'!"&amp;S$1&amp;$AD80, TRUE)</f>
        <v>-1926</v>
      </c>
      <c r="T80" s="5950" cm="1">
        <f t="array" aca="1" ref="T80" ca="1">INDIRECT("'※ 영기팀 작성_가입자'!"&amp;T$1&amp;$AD80, TRUE)</f>
        <v>0.47231594028747054</v>
      </c>
      <c r="U80" s="5951">
        <f t="shared" ca="1" si="20"/>
        <v>1110</v>
      </c>
      <c r="V80" s="5952" cm="1">
        <f t="array" aca="1" ref="V80" ca="1">INDIRECT("'※ 영기팀 작성_가입자'!"&amp;V$1&amp;$AC80, TRUE)</f>
        <v>293</v>
      </c>
      <c r="W80" s="5953" cm="1">
        <f t="array" aca="1" ref="W80" ca="1">INDIRECT("'※ 영기팀 작성_가입자'!"&amp;W$1&amp;$AC80, TRUE)</f>
        <v>74300</v>
      </c>
      <c r="X80" s="5952" cm="1">
        <f t="array" aca="1" ref="X80" ca="1">INDIRECT("'※ 영기팀 작성_가입자'!"&amp;X$1&amp;$AD80, TRUE)</f>
        <v>-1926</v>
      </c>
      <c r="Y80" s="5950" cm="1">
        <f t="array" aca="1" ref="Y80" ca="1">INDIRECT("'※ 영기팀 작성_가입자'!"&amp;Y$1&amp;$AD80, TRUE)</f>
        <v>0.71894455973910465</v>
      </c>
      <c r="Z80" s="5990" cm="1">
        <f t="array" aca="1" ref="Z80" ca="1">INDIRECT("'※ 영기팀 작성_가입자'!"&amp;Z$2&amp;$AC80, TRUE)</f>
        <v>10618</v>
      </c>
      <c r="AA80" s="5991" cm="1">
        <f t="array" aca="1" ref="AA80" ca="1">INDIRECT("'※ 영기팀 작성_가입자'!"&amp;AA$1&amp;$AC80, TRUE)</f>
        <v>6191.1507374385474</v>
      </c>
      <c r="AB80" s="5992" cm="1">
        <f t="array" aca="1" ref="AB80" ca="1">INDIRECT("'※ 영기팀 작성_가입자'!"&amp;AB$1&amp;$AC80, TRUE)</f>
        <v>293</v>
      </c>
      <c r="AC80" s="5364">
        <f>ROW('※ 영기팀 작성_가입자'!AH47)</f>
        <v>47</v>
      </c>
      <c r="AD80" s="5360">
        <f>ROW('※ 영기팀 작성_가입자'!AI402)</f>
        <v>402</v>
      </c>
    </row>
    <row r="81" spans="1:31" ht="18" customHeight="1" x14ac:dyDescent="0.55000000000000004">
      <c r="A81" s="7126"/>
      <c r="B81" s="2639" t="s">
        <v>68</v>
      </c>
      <c r="C81" s="2648"/>
      <c r="D81" s="5932" cm="1">
        <f t="array" aca="1" ref="D81" ca="1">INDIRECT("'※ 영기팀 작성_가입자'!"&amp;D$1&amp;$AC81, TRUE)</f>
        <v>0</v>
      </c>
      <c r="E81" s="5297" cm="1">
        <f t="array" aca="1" ref="E81" ca="1">INDIRECT("'※ 영기팀 작성_가입자'!"&amp;E$1&amp;$AC81, TRUE)</f>
        <v>33149</v>
      </c>
      <c r="F81" s="5891" cm="1">
        <f t="array" aca="1" ref="F81" ca="1">INDIRECT("'※ 영기팀 작성_가입자'!"&amp;F$1&amp;$AC81, TRUE)</f>
        <v>2099</v>
      </c>
      <c r="G81" s="5297" cm="1">
        <f t="array" aca="1" ref="G81" ca="1">INDIRECT("'※ 영기팀 작성_가입자'!"&amp;G$1&amp;$AC81, TRUE)</f>
        <v>3289</v>
      </c>
      <c r="H81" s="5297" cm="1">
        <f t="array" aca="1" ref="H81" ca="1">INDIRECT("'※ 영기팀 작성_가입자'!"&amp;H$1&amp;$AC81, TRUE)</f>
        <v>2330</v>
      </c>
      <c r="I81" s="5297" cm="1">
        <f t="array" aca="1" ref="I81" ca="1">INDIRECT("'※ 영기팀 작성_가입자'!"&amp;I$1&amp;$AC81, TRUE)</f>
        <v>2883</v>
      </c>
      <c r="J81" s="5297" cm="1">
        <f t="array" aca="1" ref="J81" ca="1">INDIRECT("'※ 영기팀 작성_가입자'!"&amp;J$1&amp;$AC81, TRUE)</f>
        <v>4678</v>
      </c>
      <c r="K81" s="5297" cm="1">
        <f t="array" aca="1" ref="K81" ca="1">INDIRECT("'※ 영기팀 작성_가입자'!"&amp;K$1&amp;$AC81, TRUE)</f>
        <v>3094</v>
      </c>
      <c r="L81" s="5297" cm="1">
        <f t="array" aca="1" ref="L81" ca="1">INDIRECT("'※ 영기팀 작성_가입자'!"&amp;L$1&amp;$AC81, TRUE)</f>
        <v>5455</v>
      </c>
      <c r="M81" s="5297" cm="1">
        <f t="array" aca="1" ref="M81" ca="1">INDIRECT("'※ 영기팀 작성_가입자'!"&amp;M$1&amp;$AC81, TRUE)</f>
        <v>4090.0000000000005</v>
      </c>
      <c r="N81" s="5297" cm="1">
        <f t="array" aca="1" ref="N81" ca="1">INDIRECT("'※ 영기팀 작성_가입자'!"&amp;N$1&amp;$AC81, TRUE)</f>
        <v>4687</v>
      </c>
      <c r="O81" s="5297" cm="1">
        <f t="array" aca="1" ref="O81" ca="1">INDIRECT("'※ 영기팀 작성_가입자'!"&amp;O$1&amp;$AC81, TRUE)</f>
        <v>4302</v>
      </c>
      <c r="P81" s="5297" cm="1">
        <f t="array" aca="1" ref="P81" ca="1">INDIRECT("'※ 영기팀 작성_가입자'!"&amp;P$1&amp;$AC81, TRUE)</f>
        <v>4046</v>
      </c>
      <c r="Q81" s="5297" cm="1">
        <f t="array" aca="1" ref="Q81" ca="1">INDIRECT("'※ 영기팀 작성_가입자'!"&amp;Q$1&amp;$AC81, TRUE)</f>
        <v>4508</v>
      </c>
      <c r="R81" s="5893" cm="1">
        <f t="array" aca="1" ref="R81" ca="1">INDIRECT("'※ 영기팀 작성_가입자'!"&amp;R$1&amp;$AD81, TRUE)</f>
        <v>4945</v>
      </c>
      <c r="S81" s="5893" cm="1">
        <f t="array" aca="1" ref="S81" ca="1">INDIRECT("'※ 영기팀 작성_가입자'!"&amp;S$1&amp;$AD81, TRUE)</f>
        <v>-437</v>
      </c>
      <c r="T81" s="5956" cm="1">
        <f t="array" aca="1" ref="T81" ca="1">INDIRECT("'※ 영기팀 작성_가입자'!"&amp;T$1&amp;$AD81, TRUE)</f>
        <v>1.256037157669551</v>
      </c>
      <c r="U81" s="5957">
        <f t="shared" ca="1" si="20"/>
        <v>553</v>
      </c>
      <c r="V81" s="5958" cm="1">
        <f t="array" aca="1" ref="V81" ca="1">INDIRECT("'※ 영기팀 작성_가입자'!"&amp;V$1&amp;$AC81, TRUE)</f>
        <v>2342</v>
      </c>
      <c r="W81" s="5894" cm="1">
        <f t="array" aca="1" ref="W81" ca="1">INDIRECT("'※ 영기팀 작성_가입자'!"&amp;W$1&amp;$AC81, TRUE)</f>
        <v>45461</v>
      </c>
      <c r="X81" s="5958" cm="1">
        <f t="array" aca="1" ref="X81" ca="1">INDIRECT("'※ 영기팀 작성_가입자'!"&amp;X$1&amp;$AD81, TRUE)</f>
        <v>-437</v>
      </c>
      <c r="Y81" s="5956" cm="1">
        <f t="array" aca="1" ref="Y81" ca="1">INDIRECT("'※ 영기팀 작성_가입자'!"&amp;Y$1&amp;$AD81, TRUE)</f>
        <v>2.3187214611872142</v>
      </c>
      <c r="Z81" s="5959" cm="1">
        <f t="array" aca="1" ref="Z81" ca="1">INDIRECT("'※ 영기팀 작성_가입자'!"&amp;Z$2&amp;$AC81, TRUE)</f>
        <v>12312</v>
      </c>
      <c r="AA81" s="5857" cm="1">
        <f t="array" aca="1" ref="AA81" ca="1">INDIRECT("'※ 영기팀 작성_가입자'!"&amp;AA$1&amp;$AC81, TRUE)</f>
        <v>3788.100991584035</v>
      </c>
      <c r="AB81" s="5960" cm="1">
        <f t="array" aca="1" ref="AB81" ca="1">INDIRECT("'※ 영기팀 작성_가입자'!"&amp;AB$1&amp;$AC81, TRUE)</f>
        <v>2342</v>
      </c>
      <c r="AC81" s="5364">
        <f>ROW('※ 영기팀 작성_가입자'!AH48)</f>
        <v>48</v>
      </c>
      <c r="AD81" s="5360">
        <f>ROW('※ 영기팀 작성_가입자'!AI403)</f>
        <v>403</v>
      </c>
    </row>
    <row r="82" spans="1:31" ht="18" customHeight="1" x14ac:dyDescent="0.55000000000000004">
      <c r="A82" s="7126"/>
      <c r="B82" s="2648" t="s">
        <v>153</v>
      </c>
      <c r="C82" s="2648"/>
      <c r="D82" s="5932" cm="1">
        <f t="array" aca="1" ref="D82" ca="1">INDIRECT("'※ 영기팀 작성_가입자'!"&amp;D$1&amp;$AC82, TRUE)</f>
        <v>0</v>
      </c>
      <c r="E82" s="5297" cm="1">
        <f t="array" aca="1" ref="E82" ca="1">INDIRECT("'※ 영기팀 작성_가입자'!"&amp;E$1&amp;$AC82, TRUE)</f>
        <v>14202</v>
      </c>
      <c r="F82" s="5891" cm="1">
        <f t="array" aca="1" ref="F82" ca="1">INDIRECT("'※ 영기팀 작성_가입자'!"&amp;F$1&amp;$AC82, TRUE)</f>
        <v>818</v>
      </c>
      <c r="G82" s="5297" cm="1">
        <f t="array" aca="1" ref="G82" ca="1">INDIRECT("'※ 영기팀 작성_가입자'!"&amp;G$1&amp;$AC82, TRUE)</f>
        <v>1395</v>
      </c>
      <c r="H82" s="5297" cm="1">
        <f t="array" aca="1" ref="H82" ca="1">INDIRECT("'※ 영기팀 작성_가입자'!"&amp;H$1&amp;$AC82, TRUE)</f>
        <v>1065</v>
      </c>
      <c r="I82" s="5297" cm="1">
        <f t="array" aca="1" ref="I82" ca="1">INDIRECT("'※ 영기팀 작성_가입자'!"&amp;I$1&amp;$AC82, TRUE)</f>
        <v>1237</v>
      </c>
      <c r="J82" s="5297" cm="1">
        <f t="array" aca="1" ref="J82" ca="1">INDIRECT("'※ 영기팀 작성_가입자'!"&amp;J$1&amp;$AC82, TRUE)</f>
        <v>2135</v>
      </c>
      <c r="K82" s="5297" cm="1">
        <f t="array" aca="1" ref="K82" ca="1">INDIRECT("'※ 영기팀 작성_가입자'!"&amp;K$1&amp;$AC82, TRUE)</f>
        <v>1430</v>
      </c>
      <c r="L82" s="5993"/>
      <c r="M82" s="5993"/>
      <c r="N82" s="5993"/>
      <c r="O82" s="5993"/>
      <c r="P82" s="5993"/>
      <c r="Q82" s="5993"/>
      <c r="R82" s="5994"/>
      <c r="S82" s="5994"/>
      <c r="T82" s="5994"/>
      <c r="U82" s="5994"/>
      <c r="V82" s="5994"/>
      <c r="W82" s="5894" cm="1">
        <f t="array" aca="1" ref="W82" ca="1">INDIRECT("'※ 영기팀 작성_가입자'!"&amp;W$1&amp;$AC82, TRUE)</f>
        <v>8080</v>
      </c>
      <c r="X82" s="5958" cm="1">
        <f t="array" aca="1" ref="X82" ca="1">INDIRECT("'※ 영기팀 작성_가입자'!"&amp;X$1&amp;$AD82, TRUE)</f>
        <v>0</v>
      </c>
      <c r="Y82" s="5956" cm="1">
        <f t="array" aca="1" ref="Y82" ca="1">INDIRECT("'※ 영기팀 작성_가입자'!"&amp;Y$1&amp;$AD82, TRUE)</f>
        <v>2.8632010943912447</v>
      </c>
      <c r="Z82" s="5959" cm="1">
        <f t="array" aca="1" ref="Z82" ca="1">INDIRECT("'※ 영기팀 작성_가입자'!"&amp;Z$2&amp;$AC82, TRUE)</f>
        <v>-6122</v>
      </c>
      <c r="AA82" s="5857" cm="1">
        <f t="array" aca="1" ref="AA82" ca="1">INDIRECT("'※ 영기팀 작성_가입자'!"&amp;AA$1&amp;$AC82, TRUE)</f>
        <v>673.27722689775851</v>
      </c>
      <c r="AB82" s="5960" cm="1">
        <f t="array" aca="1" ref="AB82" ca="1">INDIRECT("'※ 영기팀 작성_가입자'!"&amp;AB$1&amp;$AC82, TRUE)</f>
        <v>-933.99999999999989</v>
      </c>
      <c r="AC82" s="5364">
        <f>ROW('※ 영기팀 작성_가입자'!AH49)</f>
        <v>49</v>
      </c>
      <c r="AD82" s="5360">
        <f>ROW('※ 영기팀 작성_가입자'!AI404)</f>
        <v>404</v>
      </c>
    </row>
    <row r="83" spans="1:31" ht="18" customHeight="1" x14ac:dyDescent="0.55000000000000004">
      <c r="A83" s="7126"/>
      <c r="B83" s="2639" t="s">
        <v>69</v>
      </c>
      <c r="C83" s="2648"/>
      <c r="D83" s="5932" cm="1">
        <f t="array" aca="1" ref="D83" ca="1">INDIRECT("'※ 영기팀 작성_가입자'!"&amp;D$1&amp;$AC83, TRUE)</f>
        <v>0</v>
      </c>
      <c r="E83" s="5297" cm="1">
        <f t="array" aca="1" ref="E83" ca="1">INDIRECT("'※ 영기팀 작성_가입자'!"&amp;E$1&amp;$AC83, TRUE)</f>
        <v>33062</v>
      </c>
      <c r="F83" s="5891" cm="1">
        <f t="array" aca="1" ref="F83" ca="1">INDIRECT("'※ 영기팀 작성_가입자'!"&amp;F$1&amp;$AC83, TRUE)</f>
        <v>1978</v>
      </c>
      <c r="G83" s="5297" cm="1">
        <f t="array" aca="1" ref="G83" ca="1">INDIRECT("'※ 영기팀 작성_가입자'!"&amp;G$1&amp;$AC83, TRUE)</f>
        <v>3382</v>
      </c>
      <c r="H83" s="5297" cm="1">
        <f t="array" aca="1" ref="H83" ca="1">INDIRECT("'※ 영기팀 작성_가입자'!"&amp;H$1&amp;$AC83, TRUE)</f>
        <v>2285</v>
      </c>
      <c r="I83" s="5297" cm="1">
        <f t="array" aca="1" ref="I83" ca="1">INDIRECT("'※ 영기팀 작성_가입자'!"&amp;I$1&amp;$AC83, TRUE)</f>
        <v>2628</v>
      </c>
      <c r="J83" s="5297" cm="1">
        <f t="array" aca="1" ref="J83" ca="1">INDIRECT("'※ 영기팀 작성_가입자'!"&amp;J$1&amp;$AC83, TRUE)</f>
        <v>4532</v>
      </c>
      <c r="K83" s="5297" cm="1">
        <f t="array" aca="1" ref="K83" ca="1">INDIRECT("'※ 영기팀 작성_가입자'!"&amp;K$1&amp;$AC83, TRUE)</f>
        <v>3187</v>
      </c>
      <c r="L83" s="5297" cm="1">
        <f t="array" aca="1" ref="L83" ca="1">INDIRECT("'※ 영기팀 작성_가입자'!"&amp;L$1&amp;$AC83, TRUE)</f>
        <v>3574.0000000000005</v>
      </c>
      <c r="M83" s="5297" cm="1">
        <f t="array" aca="1" ref="M83" ca="1">INDIRECT("'※ 영기팀 작성_가입자'!"&amp;M$1&amp;$AC83, TRUE)</f>
        <v>3161</v>
      </c>
      <c r="N83" s="5297" cm="1">
        <f t="array" aca="1" ref="N83" ca="1">INDIRECT("'※ 영기팀 작성_가입자'!"&amp;N$1&amp;$AC83, TRUE)</f>
        <v>3453.0000000000005</v>
      </c>
      <c r="O83" s="5297" cm="1">
        <f t="array" aca="1" ref="O83" ca="1">INDIRECT("'※ 영기팀 작성_가입자'!"&amp;O$1&amp;$AC83, TRUE)</f>
        <v>3550</v>
      </c>
      <c r="P83" s="5297" cm="1">
        <f t="array" aca="1" ref="P83" ca="1">INDIRECT("'※ 영기팀 작성_가입자'!"&amp;P$1&amp;$AC83, TRUE)</f>
        <v>3406</v>
      </c>
      <c r="Q83" s="5297" cm="1">
        <f t="array" aca="1" ref="Q83" ca="1">INDIRECT("'※ 영기팀 작성_가입자'!"&amp;Q$1&amp;$AC83, TRUE)</f>
        <v>3109</v>
      </c>
      <c r="R83" s="5893" cm="1">
        <f t="array" aca="1" ref="R83" ca="1">INDIRECT("'※ 영기팀 작성_가입자'!"&amp;R$1&amp;$AD83, TRUE)</f>
        <v>3360</v>
      </c>
      <c r="S83" s="5893" cm="1">
        <f t="array" aca="1" ref="S83" ca="1">INDIRECT("'※ 영기팀 작성_가입자'!"&amp;S$1&amp;$AD83, TRUE)</f>
        <v>-251</v>
      </c>
      <c r="T83" s="5956" cm="1">
        <f t="array" aca="1" ref="T83" ca="1">INDIRECT("'※ 영기팀 작성_가입자'!"&amp;T$1&amp;$AD83, TRUE)</f>
        <v>1.1104103233289837</v>
      </c>
      <c r="U83" s="5957">
        <f t="shared" ca="1" si="20"/>
        <v>343</v>
      </c>
      <c r="V83" s="5958" cm="1">
        <f t="array" aca="1" ref="V83" ca="1">INDIRECT("'※ 영기팀 작성_가입자'!"&amp;V$1&amp;$AC83, TRUE)</f>
        <v>803</v>
      </c>
      <c r="W83" s="5894" cm="1">
        <f t="array" aca="1" ref="W83" ca="1">INDIRECT("'※ 영기팀 작성_가입자'!"&amp;W$1&amp;$AC83, TRUE)</f>
        <v>38245</v>
      </c>
      <c r="X83" s="5958" cm="1">
        <f t="array" aca="1" ref="X83" ca="1">INDIRECT("'※ 영기팀 작성_가입자'!"&amp;X$1&amp;$AD83, TRUE)</f>
        <v>-251</v>
      </c>
      <c r="Y83" s="5956" cm="1">
        <f t="array" aca="1" ref="Y83" ca="1">INDIRECT("'※ 영기팀 작성_가입자'!"&amp;Y$1&amp;$AD83, TRUE)</f>
        <v>1.6862988220706758</v>
      </c>
      <c r="Z83" s="5959" cm="1">
        <f t="array" aca="1" ref="Z83" ca="1">INDIRECT("'※ 영기팀 작성_가입자'!"&amp;Z$2&amp;$AC83, TRUE)</f>
        <v>5183</v>
      </c>
      <c r="AA83" s="5857" cm="1">
        <f t="array" aca="1" ref="AA83" ca="1">INDIRECT("'※ 영기팀 작성_가입자'!"&amp;AA$1&amp;$AC83, TRUE)</f>
        <v>3186.8177651862347</v>
      </c>
      <c r="AB83" s="5960" cm="1">
        <f t="array" aca="1" ref="AB83" ca="1">INDIRECT("'※ 영기팀 작성_가입자'!"&amp;AB$1&amp;$AC83, TRUE)</f>
        <v>803</v>
      </c>
      <c r="AC83" s="5364">
        <f>ROW('※ 영기팀 작성_가입자'!AH50)</f>
        <v>50</v>
      </c>
      <c r="AD83" s="5360">
        <f>ROW('※ 영기팀 작성_가입자'!AI405)</f>
        <v>405</v>
      </c>
    </row>
    <row r="84" spans="1:31" ht="18" customHeight="1" x14ac:dyDescent="0.55000000000000004">
      <c r="A84" s="7126"/>
      <c r="B84" s="2639" t="s">
        <v>70</v>
      </c>
      <c r="C84" s="5539"/>
      <c r="D84" s="5932" cm="1">
        <f t="array" aca="1" ref="D84" ca="1">INDIRECT("'※ 영기팀 작성_가입자'!"&amp;D$1&amp;$AC84, TRUE)</f>
        <v>0</v>
      </c>
      <c r="E84" s="5297" cm="1">
        <f t="array" aca="1" ref="E84" ca="1">INDIRECT("'※ 영기팀 작성_가입자'!"&amp;E$1&amp;$AC84, TRUE)</f>
        <v>32901</v>
      </c>
      <c r="F84" s="5891" cm="1">
        <f t="array" aca="1" ref="F84" ca="1">INDIRECT("'※ 영기팀 작성_가입자'!"&amp;F$1&amp;$AC84, TRUE)</f>
        <v>2136</v>
      </c>
      <c r="G84" s="5297" cm="1">
        <f t="array" aca="1" ref="G84" ca="1">INDIRECT("'※ 영기팀 작성_가입자'!"&amp;G$1&amp;$AC84, TRUE)</f>
        <v>3316</v>
      </c>
      <c r="H84" s="5297" cm="1">
        <f t="array" aca="1" ref="H84" ca="1">INDIRECT("'※ 영기팀 작성_가입자'!"&amp;H$1&amp;$AC84, TRUE)</f>
        <v>2740</v>
      </c>
      <c r="I84" s="5297" cm="1">
        <f t="array" aca="1" ref="I84" ca="1">INDIRECT("'※ 영기팀 작성_가입자'!"&amp;I$1&amp;$AC84, TRUE)</f>
        <v>3072</v>
      </c>
      <c r="J84" s="5297" cm="1">
        <f t="array" aca="1" ref="J84" ca="1">INDIRECT("'※ 영기팀 작성_가입자'!"&amp;J$1&amp;$AC84, TRUE)</f>
        <v>4850</v>
      </c>
      <c r="K84" s="5297" cm="1">
        <f t="array" aca="1" ref="K84" ca="1">INDIRECT("'※ 영기팀 작성_가입자'!"&amp;K$1&amp;$AC84, TRUE)</f>
        <v>3477.0000000000005</v>
      </c>
      <c r="L84" s="5297" cm="1">
        <f t="array" aca="1" ref="L84" ca="1">INDIRECT("'※ 영기팀 작성_가입자'!"&amp;L$1&amp;$AC84, TRUE)</f>
        <v>4177</v>
      </c>
      <c r="M84" s="5297" cm="1">
        <f t="array" aca="1" ref="M84" ca="1">INDIRECT("'※ 영기팀 작성_가입자'!"&amp;M$1&amp;$AC84, TRUE)</f>
        <v>3314</v>
      </c>
      <c r="N84" s="5297" cm="1">
        <f t="array" aca="1" ref="N84" ca="1">INDIRECT("'※ 영기팀 작성_가입자'!"&amp;N$1&amp;$AC84, TRUE)</f>
        <v>3615.9999999999995</v>
      </c>
      <c r="O84" s="5297" cm="1">
        <f t="array" aca="1" ref="O84" ca="1">INDIRECT("'※ 영기팀 작성_가입자'!"&amp;O$1&amp;$AC84, TRUE)</f>
        <v>3733</v>
      </c>
      <c r="P84" s="5297" cm="1">
        <f t="array" aca="1" ref="P84" ca="1">INDIRECT("'※ 영기팀 작성_가입자'!"&amp;P$1&amp;$AC84, TRUE)</f>
        <v>2918</v>
      </c>
      <c r="Q84" s="5297" cm="1">
        <f t="array" aca="1" ref="Q84" ca="1">INDIRECT("'※ 영기팀 작성_가입자'!"&amp;Q$1&amp;$AC84, TRUE)</f>
        <v>3529</v>
      </c>
      <c r="R84" s="5893" cm="1">
        <f t="array" aca="1" ref="R84" ca="1">INDIRECT("'※ 영기팀 작성_가입자'!"&amp;R$1&amp;$AD84, TRUE)</f>
        <v>3269</v>
      </c>
      <c r="S84" s="5893" cm="1">
        <f t="array" aca="1" ref="S84" ca="1">INDIRECT("'※ 영기팀 작성_가입자'!"&amp;S$1&amp;$AD84, TRUE)</f>
        <v>260</v>
      </c>
      <c r="T84" s="5956" cm="1">
        <f t="array" aca="1" ref="T84" ca="1">INDIRECT("'※ 영기팀 작성_가입자'!"&amp;T$1&amp;$AD84, TRUE)</f>
        <v>0.70411305946053349</v>
      </c>
      <c r="U84" s="5957">
        <f t="shared" ca="1" si="20"/>
        <v>332</v>
      </c>
      <c r="V84" s="5958" cm="1">
        <f t="array" aca="1" ref="V84" ca="1">INDIRECT("'※ 영기팀 작성_가입자'!"&amp;V$1&amp;$AC84, TRUE)</f>
        <v>1371</v>
      </c>
      <c r="W84" s="5894" cm="1">
        <f t="array" aca="1" ref="W84" ca="1">INDIRECT("'※ 영기팀 작성_가입자'!"&amp;W$1&amp;$AC84, TRUE)</f>
        <v>40878</v>
      </c>
      <c r="X84" s="5958" cm="1">
        <f t="array" aca="1" ref="X84" ca="1">INDIRECT("'※ 영기팀 작성_가입자'!"&amp;X$1&amp;$AD84, TRUE)</f>
        <v>260</v>
      </c>
      <c r="Y84" s="5956" cm="1">
        <f t="array" aca="1" ref="Y84" ca="1">INDIRECT("'※ 영기팀 작성_가입자'!"&amp;Y$1&amp;$AD84, TRUE)</f>
        <v>0.96207775653282346</v>
      </c>
      <c r="Z84" s="5959" cm="1">
        <f t="array" aca="1" ref="Z84" ca="1">INDIRECT("'※ 영기팀 작성_가입자'!"&amp;Z$2&amp;$AC84, TRUE)</f>
        <v>7977</v>
      </c>
      <c r="AA84" s="5857" cm="1">
        <f t="array" aca="1" ref="AA84" ca="1">INDIRECT("'※ 영기팀 작성_가입자'!"&amp;AA$1&amp;$AC84, TRUE)</f>
        <v>3406.2161486542791</v>
      </c>
      <c r="AB84" s="5960" cm="1">
        <f t="array" aca="1" ref="AB84" ca="1">INDIRECT("'※ 영기팀 작성_가입자'!"&amp;AB$1&amp;$AC84, TRUE)</f>
        <v>1371</v>
      </c>
      <c r="AC84" s="5364">
        <f>ROW('※ 영기팀 작성_가입자'!AH51)</f>
        <v>51</v>
      </c>
      <c r="AD84" s="5360">
        <f>ROW('※ 영기팀 작성_가입자'!AI406)</f>
        <v>406</v>
      </c>
    </row>
    <row r="85" spans="1:31" ht="18" customHeight="1" x14ac:dyDescent="0.55000000000000004">
      <c r="A85" s="7126"/>
      <c r="B85" s="2639" t="s">
        <v>73</v>
      </c>
      <c r="C85" s="5539"/>
      <c r="D85" s="5932" cm="1">
        <f t="array" aca="1" ref="D85" ca="1">INDIRECT("'※ 영기팀 작성_가입자'!"&amp;D$1&amp;$AC85, TRUE)</f>
        <v>0</v>
      </c>
      <c r="E85" s="5297" cm="1">
        <f t="array" aca="1" ref="E85" ca="1">INDIRECT("'※ 영기팀 작성_가입자'!"&amp;E$1&amp;$AC85, TRUE)</f>
        <v>38832</v>
      </c>
      <c r="F85" s="5891" cm="1">
        <f t="array" aca="1" ref="F85" ca="1">INDIRECT("'※ 영기팀 작성_가입자'!"&amp;F$1&amp;$AC85, TRUE)</f>
        <v>3445.0000000000005</v>
      </c>
      <c r="G85" s="5297" cm="1">
        <f t="array" aca="1" ref="G85" ca="1">INDIRECT("'※ 영기팀 작성_가입자'!"&amp;G$1&amp;$AC85, TRUE)</f>
        <v>5091</v>
      </c>
      <c r="H85" s="5297" cm="1">
        <f t="array" aca="1" ref="H85" ca="1">INDIRECT("'※ 영기팀 작성_가입자'!"&amp;H$1&amp;$AC85, TRUE)</f>
        <v>3742</v>
      </c>
      <c r="I85" s="5297" cm="1">
        <f t="array" aca="1" ref="I85" ca="1">INDIRECT("'※ 영기팀 작성_가입자'!"&amp;I$1&amp;$AC85, TRUE)</f>
        <v>5422</v>
      </c>
      <c r="J85" s="5297" cm="1">
        <f t="array" aca="1" ref="J85" ca="1">INDIRECT("'※ 영기팀 작성_가입자'!"&amp;J$1&amp;$AC85, TRUE)</f>
        <v>7616.9999999999991</v>
      </c>
      <c r="K85" s="5297" cm="1">
        <f t="array" aca="1" ref="K85" ca="1">INDIRECT("'※ 영기팀 작성_가입자'!"&amp;K$1&amp;$AC85, TRUE)</f>
        <v>6801.0000000000009</v>
      </c>
      <c r="L85" s="5297" cm="1">
        <f t="array" aca="1" ref="L85" ca="1">INDIRECT("'※ 영기팀 작성_가입자'!"&amp;L$1&amp;$AC85, TRUE)</f>
        <v>7570</v>
      </c>
      <c r="M85" s="5297" cm="1">
        <f t="array" aca="1" ref="M85" ca="1">INDIRECT("'※ 영기팀 작성_가입자'!"&amp;M$1&amp;$AC85, TRUE)</f>
        <v>5511</v>
      </c>
      <c r="N85" s="5297" cm="1">
        <f t="array" aca="1" ref="N85" ca="1">INDIRECT("'※ 영기팀 작성_가입자'!"&amp;N$1&amp;$AC85, TRUE)</f>
        <v>5533</v>
      </c>
      <c r="O85" s="5297" cm="1">
        <f t="array" aca="1" ref="O85" ca="1">INDIRECT("'※ 영기팀 작성_가입자'!"&amp;O$1&amp;$AC85, TRUE)</f>
        <v>5680</v>
      </c>
      <c r="P85" s="5297" cm="1">
        <f t="array" aca="1" ref="P85" ca="1">INDIRECT("'※ 영기팀 작성_가입자'!"&amp;P$1&amp;$AC85, TRUE)</f>
        <v>4174</v>
      </c>
      <c r="Q85" s="5297" cm="1">
        <f t="array" aca="1" ref="Q85" ca="1">INDIRECT("'※ 영기팀 작성_가입자'!"&amp;Q$1&amp;$AC85, TRUE)</f>
        <v>4586</v>
      </c>
      <c r="R85" s="5893" cm="1">
        <f t="array" aca="1" ref="R85" ca="1">INDIRECT("'※ 영기팀 작성_가입자'!"&amp;R$1&amp;$AD85, TRUE)</f>
        <v>3747</v>
      </c>
      <c r="S85" s="5893" cm="1">
        <f t="array" aca="1" ref="S85" ca="1">INDIRECT("'※ 영기팀 작성_가입자'!"&amp;S$1&amp;$AD85, TRUE)</f>
        <v>839</v>
      </c>
      <c r="T85" s="5956" cm="1">
        <f t="array" aca="1" ref="T85" ca="1">INDIRECT("'※ 영기팀 작성_가입자'!"&amp;T$1&amp;$AD85, TRUE)</f>
        <v>13.931375947995667</v>
      </c>
      <c r="U85" s="5957">
        <f t="shared" ca="1" si="20"/>
        <v>1680</v>
      </c>
      <c r="V85" s="5958" cm="1">
        <f t="array" aca="1" ref="V85" ca="1">INDIRECT("'※ 영기팀 작성_가입자'!"&amp;V$1&amp;$AC85, TRUE)</f>
        <v>1022.0000000000005</v>
      </c>
      <c r="W85" s="5894" cm="1">
        <f t="array" aca="1" ref="W85" ca="1">INDIRECT("'※ 영기팀 작성_가입자'!"&amp;W$1&amp;$AC85, TRUE)</f>
        <v>65172</v>
      </c>
      <c r="X85" s="5958" cm="1">
        <f t="array" aca="1" ref="X85" ca="1">INDIRECT("'※ 영기팀 작성_가입자'!"&amp;X$1&amp;$AD85, TRUE)</f>
        <v>839</v>
      </c>
      <c r="Y85" s="5956" cm="1">
        <f t="array" aca="1" ref="Y85" ca="1">INDIRECT("'※ 영기팀 작성_가입자'!"&amp;Y$1&amp;$AD85, TRUE)</f>
        <v>17.58270781206561</v>
      </c>
      <c r="Z85" s="5959" cm="1">
        <f t="array" aca="1" ref="Z85" ca="1">INDIRECT("'※ 영기팀 작성_가입자'!"&amp;Z$2&amp;$AC85, TRUE)</f>
        <v>26340</v>
      </c>
      <c r="AA85" s="5857" cm="1">
        <f t="array" aca="1" ref="AA85" ca="1">INDIRECT("'※ 영기팀 작성_가입자'!"&amp;AA$1&amp;$AC85, TRUE)</f>
        <v>5430.5474543788023</v>
      </c>
      <c r="AB85" s="5960" cm="1">
        <f t="array" aca="1" ref="AB85" ca="1">INDIRECT("'※ 영기팀 작성_가입자'!"&amp;AB$1&amp;$AC85, TRUE)</f>
        <v>1022.0000000000005</v>
      </c>
      <c r="AC85" s="5364">
        <f>ROW('※ 영기팀 작성_가입자'!AH52)</f>
        <v>52</v>
      </c>
      <c r="AD85" s="5360">
        <f>ROW('※ 영기팀 작성_가입자'!AI407)</f>
        <v>407</v>
      </c>
    </row>
    <row r="86" spans="1:31" ht="18" customHeight="1" x14ac:dyDescent="0.55000000000000004">
      <c r="A86" s="7126"/>
      <c r="B86" s="2639" t="s">
        <v>74</v>
      </c>
      <c r="C86" s="5539"/>
      <c r="D86" s="5932" cm="1">
        <f t="array" aca="1" ref="D86" ca="1">INDIRECT("'※ 영기팀 작성_가입자'!"&amp;D$1&amp;$AC86, TRUE)</f>
        <v>0</v>
      </c>
      <c r="E86" s="5297" cm="1">
        <f t="array" aca="1" ref="E86" ca="1">INDIRECT("'※ 영기팀 작성_가입자'!"&amp;E$1&amp;$AC86, TRUE)</f>
        <v>24655</v>
      </c>
      <c r="F86" s="5891" cm="1">
        <f t="array" aca="1" ref="F86" ca="1">INDIRECT("'※ 영기팀 작성_가입자'!"&amp;F$1&amp;$AC86, TRUE)</f>
        <v>2007.9999999999998</v>
      </c>
      <c r="G86" s="5297" cm="1">
        <f t="array" aca="1" ref="G86" ca="1">INDIRECT("'※ 영기팀 작성_가입자'!"&amp;G$1&amp;$AC86, TRUE)</f>
        <v>3030</v>
      </c>
      <c r="H86" s="5297" cm="1">
        <f t="array" aca="1" ref="H86" ca="1">INDIRECT("'※ 영기팀 작성_가입자'!"&amp;H$1&amp;$AC86, TRUE)</f>
        <v>2081</v>
      </c>
      <c r="I86" s="5297" cm="1">
        <f t="array" aca="1" ref="I86" ca="1">INDIRECT("'※ 영기팀 작성_가입자'!"&amp;I$1&amp;$AC86, TRUE)</f>
        <v>2873</v>
      </c>
      <c r="J86" s="5297" cm="1">
        <f t="array" aca="1" ref="J86" ca="1">INDIRECT("'※ 영기팀 작성_가입자'!"&amp;J$1&amp;$AC86, TRUE)</f>
        <v>4186</v>
      </c>
      <c r="K86" s="5297" cm="1">
        <f t="array" aca="1" ref="K86" ca="1">INDIRECT("'※ 영기팀 작성_가입자'!"&amp;K$1&amp;$AC86, TRUE)</f>
        <v>3539</v>
      </c>
      <c r="L86" s="5297" cm="1">
        <f t="array" aca="1" ref="L86" ca="1">INDIRECT("'※ 영기팀 작성_가입자'!"&amp;L$1&amp;$AC86, TRUE)</f>
        <v>3793.9999999999995</v>
      </c>
      <c r="M86" s="5297" cm="1">
        <f t="array" aca="1" ref="M86" ca="1">INDIRECT("'※ 영기팀 작성_가입자'!"&amp;M$1&amp;$AC86, TRUE)</f>
        <v>3058</v>
      </c>
      <c r="N86" s="5297" cm="1">
        <f t="array" aca="1" ref="N86" ca="1">INDIRECT("'※ 영기팀 작성_가입자'!"&amp;N$1&amp;$AC86, TRUE)</f>
        <v>3342</v>
      </c>
      <c r="O86" s="5297" cm="1">
        <f t="array" aca="1" ref="O86" ca="1">INDIRECT("'※ 영기팀 작성_가입자'!"&amp;O$1&amp;$AC86, TRUE)</f>
        <v>3719</v>
      </c>
      <c r="P86" s="5297" cm="1">
        <f t="array" aca="1" ref="P86" ca="1">INDIRECT("'※ 영기팀 작성_가입자'!"&amp;P$1&amp;$AC86, TRUE)</f>
        <v>2900</v>
      </c>
      <c r="Q86" s="5297" cm="1">
        <f t="array" aca="1" ref="Q86" ca="1">INDIRECT("'※ 영기팀 작성_가입자'!"&amp;Q$1&amp;$AC86, TRUE)</f>
        <v>3307</v>
      </c>
      <c r="R86" s="5893" cm="1">
        <f t="array" aca="1" ref="R86" ca="1">INDIRECT("'※ 영기팀 작성_가입자'!"&amp;R$1&amp;$AD86, TRUE)</f>
        <v>2652</v>
      </c>
      <c r="S86" s="5893" cm="1">
        <f t="array" aca="1" ref="S86" ca="1">INDIRECT("'※ 영기팀 작성_가입자'!"&amp;S$1&amp;$AD86, TRUE)</f>
        <v>655</v>
      </c>
      <c r="T86" s="5956" cm="1">
        <f t="array" aca="1" ref="T86" ca="1">INDIRECT("'※ 영기팀 작성_가입자'!"&amp;T$1&amp;$AD86, TRUE)</f>
        <v>6.4348611493830559</v>
      </c>
      <c r="U86" s="5957">
        <f t="shared" ca="1" si="20"/>
        <v>792</v>
      </c>
      <c r="V86" s="5958" cm="1">
        <f t="array" aca="1" ref="V86" ca="1">INDIRECT("'※ 영기팀 작성_가입자'!"&amp;V$1&amp;$AC86, TRUE)</f>
        <v>1454</v>
      </c>
      <c r="W86" s="5894" cm="1">
        <f t="array" aca="1" ref="W86" ca="1">INDIRECT("'※ 영기팀 작성_가입자'!"&amp;W$1&amp;$AC86, TRUE)</f>
        <v>37837</v>
      </c>
      <c r="X86" s="5958" cm="1">
        <f t="array" aca="1" ref="X86" ca="1">INDIRECT("'※ 영기팀 작성_가입자'!"&amp;X$1&amp;$AD86, TRUE)</f>
        <v>655</v>
      </c>
      <c r="Y86" s="5956" cm="1">
        <f t="array" aca="1" ref="Y86" ca="1">INDIRECT("'※ 영기팀 작성_가입자'!"&amp;Y$1&amp;$AD86, TRUE)</f>
        <v>12.70267085624509</v>
      </c>
      <c r="Z86" s="5959" cm="1">
        <f t="array" aca="1" ref="Z86" ca="1">INDIRECT("'※ 영기팀 작성_가입자'!"&amp;Z$2&amp;$AC86, TRUE)</f>
        <v>13182</v>
      </c>
      <c r="AA86" s="5857" cm="1">
        <f t="array" aca="1" ref="AA86" ca="1">INDIRECT("'※ 영기팀 작성_가입자'!"&amp;AA$1&amp;$AC86, TRUE)</f>
        <v>3152.8205982834766</v>
      </c>
      <c r="AB86" s="5960" cm="1">
        <f t="array" aca="1" ref="AB86" ca="1">INDIRECT("'※ 영기팀 작성_가입자'!"&amp;AB$1&amp;$AC86, TRUE)</f>
        <v>1454</v>
      </c>
      <c r="AC86" s="5364">
        <f>ROW('※ 영기팀 작성_가입자'!AH53)</f>
        <v>53</v>
      </c>
      <c r="AD86" s="5360">
        <f>ROW('※ 영기팀 작성_가입자'!AI408)</f>
        <v>408</v>
      </c>
    </row>
    <row r="87" spans="1:31" ht="18" customHeight="1" x14ac:dyDescent="0.55000000000000004">
      <c r="A87" s="7126"/>
      <c r="B87" s="2639" t="s">
        <v>75</v>
      </c>
      <c r="C87" s="5539"/>
      <c r="D87" s="5932" cm="1">
        <f t="array" aca="1" ref="D87" ca="1">INDIRECT("'※ 영기팀 작성_가입자'!"&amp;D$1&amp;$AC87, TRUE)</f>
        <v>0</v>
      </c>
      <c r="E87" s="5297" cm="1">
        <f t="array" aca="1" ref="E87" ca="1">INDIRECT("'※ 영기팀 작성_가입자'!"&amp;E$1&amp;$AC87, TRUE)</f>
        <v>38286</v>
      </c>
      <c r="F87" s="5891" cm="1">
        <f t="array" aca="1" ref="F87" ca="1">INDIRECT("'※ 영기팀 작성_가입자'!"&amp;F$1&amp;$AC87, TRUE)</f>
        <v>2805</v>
      </c>
      <c r="G87" s="5297" cm="1">
        <f t="array" aca="1" ref="G87" ca="1">INDIRECT("'※ 영기팀 작성_가입자'!"&amp;G$1&amp;$AC87, TRUE)</f>
        <v>3873</v>
      </c>
      <c r="H87" s="5297" cm="1">
        <f t="array" aca="1" ref="H87" ca="1">INDIRECT("'※ 영기팀 작성_가입자'!"&amp;H$1&amp;$AC87, TRUE)</f>
        <v>3142</v>
      </c>
      <c r="I87" s="5297" cm="1">
        <f t="array" aca="1" ref="I87" ca="1">INDIRECT("'※ 영기팀 작성_가입자'!"&amp;I$1&amp;$AC87, TRUE)</f>
        <v>3744</v>
      </c>
      <c r="J87" s="5297" cm="1">
        <f t="array" aca="1" ref="J87" ca="1">INDIRECT("'※ 영기팀 작성_가입자'!"&amp;J$1&amp;$AC87, TRUE)</f>
        <v>5440</v>
      </c>
      <c r="K87" s="5297" cm="1">
        <f t="array" aca="1" ref="K87" ca="1">INDIRECT("'※ 영기팀 작성_가입자'!"&amp;K$1&amp;$AC87, TRUE)</f>
        <v>4495</v>
      </c>
      <c r="L87" s="5297" cm="1">
        <f t="array" aca="1" ref="L87" ca="1">INDIRECT("'※ 영기팀 작성_가입자'!"&amp;L$1&amp;$AC87, TRUE)</f>
        <v>5186</v>
      </c>
      <c r="M87" s="5297" cm="1">
        <f t="array" aca="1" ref="M87" ca="1">INDIRECT("'※ 영기팀 작성_가입자'!"&amp;M$1&amp;$AC87, TRUE)</f>
        <v>3426</v>
      </c>
      <c r="N87" s="5297" cm="1">
        <f t="array" aca="1" ref="N87" ca="1">INDIRECT("'※ 영기팀 작성_가입자'!"&amp;N$1&amp;$AC87, TRUE)</f>
        <v>3922</v>
      </c>
      <c r="O87" s="5297" cm="1">
        <f t="array" aca="1" ref="O87" ca="1">INDIRECT("'※ 영기팀 작성_가입자'!"&amp;O$1&amp;$AC87, TRUE)</f>
        <v>3576</v>
      </c>
      <c r="P87" s="5297" cm="1">
        <f t="array" aca="1" ref="P87" ca="1">INDIRECT("'※ 영기팀 작성_가입자'!"&amp;P$1&amp;$AC87, TRUE)</f>
        <v>3144</v>
      </c>
      <c r="Q87" s="5297" cm="1">
        <f t="array" aca="1" ref="Q87" ca="1">INDIRECT("'※ 영기팀 작성_가입자'!"&amp;Q$1&amp;$AC87, TRUE)</f>
        <v>3198</v>
      </c>
      <c r="R87" s="5893" cm="1">
        <f t="array" aca="1" ref="R87" ca="1">INDIRECT("'※ 영기팀 작성_가입자'!"&amp;R$1&amp;$AD87, TRUE)</f>
        <v>4091</v>
      </c>
      <c r="S87" s="5893" cm="1">
        <f t="array" aca="1" ref="S87" ca="1">INDIRECT("'※ 영기팀 작성_가입자'!"&amp;S$1&amp;$AD87, TRUE)</f>
        <v>-893</v>
      </c>
      <c r="T87" s="5956" cm="1">
        <f t="array" aca="1" ref="T87" ca="1">INDIRECT("'※ 영기팀 작성_가입자'!"&amp;T$1&amp;$AD87, TRUE)</f>
        <v>6.544579667387925E-6</v>
      </c>
      <c r="U87" s="5957">
        <f t="shared" ca="1" si="20"/>
        <v>602</v>
      </c>
      <c r="V87" s="5958" cm="1">
        <f t="array" aca="1" ref="V87" ca="1">INDIRECT("'※ 영기팀 작성_가입자'!"&amp;V$1&amp;$AC87, TRUE)</f>
        <v>328</v>
      </c>
      <c r="W87" s="5894" cm="1">
        <f t="array" aca="1" ref="W87" ca="1">INDIRECT("'※ 영기팀 작성_가입자'!"&amp;W$1&amp;$AC87, TRUE)</f>
        <v>45951</v>
      </c>
      <c r="X87" s="5958" cm="1">
        <f t="array" aca="1" ref="X87" ca="1">INDIRECT("'※ 영기팀 작성_가입자'!"&amp;X$1&amp;$AD87, TRUE)</f>
        <v>-893</v>
      </c>
      <c r="Y87" s="5956" cm="1">
        <f t="array" aca="1" ref="Y87" ca="1">INDIRECT("'※ 영기팀 작성_가입자'!"&amp;Y$1&amp;$AD87, TRUE)</f>
        <v>1.301834475214305E-4</v>
      </c>
      <c r="Z87" s="5959" cm="1">
        <f t="array" aca="1" ref="Z87" ca="1">INDIRECT("'※ 영기팀 작성_가입자'!"&amp;Z$2&amp;$AC87, TRUE)</f>
        <v>7665</v>
      </c>
      <c r="AA87" s="5857" cm="1">
        <f t="array" aca="1" ref="AA87" ca="1">INDIRECT("'※ 영기팀 작성_가입자'!"&amp;AA$1&amp;$AC87, TRUE)</f>
        <v>3828.9309224231315</v>
      </c>
      <c r="AB87" s="5960" cm="1">
        <f t="array" aca="1" ref="AB87" ca="1">INDIRECT("'※ 영기팀 작성_가입자'!"&amp;AB$1&amp;$AC87, TRUE)</f>
        <v>328</v>
      </c>
      <c r="AC87" s="5364">
        <f>ROW('※ 영기팀 작성_가입자'!AH54)</f>
        <v>54</v>
      </c>
      <c r="AD87" s="5360">
        <f>ROW('※ 영기팀 작성_가입자'!AI409)</f>
        <v>409</v>
      </c>
    </row>
    <row r="88" spans="1:31" ht="18" customHeight="1" thickBot="1" x14ac:dyDescent="0.6">
      <c r="A88" s="7129"/>
      <c r="B88" s="5907" t="s">
        <v>76</v>
      </c>
      <c r="C88" s="5907"/>
      <c r="D88" s="5995" cm="1">
        <f t="array" aca="1" ref="D88" ca="1">INDIRECT("'※ 영기팀 작성_가입자'!"&amp;D$1&amp;$AC88, TRUE)</f>
        <v>0</v>
      </c>
      <c r="E88" s="5909" cm="1">
        <f t="array" aca="1" ref="E88" ca="1">INDIRECT("'※ 영기팀 작성_가입자'!"&amp;E$1&amp;$AC88, TRUE)</f>
        <v>25396</v>
      </c>
      <c r="F88" s="5910" cm="1">
        <f t="array" aca="1" ref="F88" ca="1">INDIRECT("'※ 영기팀 작성_가입자'!"&amp;F$1&amp;$AC88, TRUE)</f>
        <v>1950</v>
      </c>
      <c r="G88" s="5909" cm="1">
        <f t="array" aca="1" ref="G88" ca="1">INDIRECT("'※ 영기팀 작성_가입자'!"&amp;G$1&amp;$AC88, TRUE)</f>
        <v>2608</v>
      </c>
      <c r="H88" s="5909" cm="1">
        <f t="array" aca="1" ref="H88" ca="1">INDIRECT("'※ 영기팀 작성_가입자'!"&amp;H$1&amp;$AC88, TRUE)</f>
        <v>1913</v>
      </c>
      <c r="I88" s="5909" cm="1">
        <f t="array" aca="1" ref="I88" ca="1">INDIRECT("'※ 영기팀 작성_가입자'!"&amp;I$1&amp;$AC88, TRUE)</f>
        <v>2421</v>
      </c>
      <c r="J88" s="5909" cm="1">
        <f t="array" aca="1" ref="J88" ca="1">INDIRECT("'※ 영기팀 작성_가입자'!"&amp;J$1&amp;$AC88, TRUE)</f>
        <v>3019</v>
      </c>
      <c r="K88" s="5909" cm="1">
        <f t="array" aca="1" ref="K88" ca="1">INDIRECT("'※ 영기팀 작성_가입자'!"&amp;K$1&amp;$AC88, TRUE)</f>
        <v>2333</v>
      </c>
      <c r="L88" s="5909" cm="1">
        <f t="array" aca="1" ref="L88" ca="1">INDIRECT("'※ 영기팀 작성_가입자'!"&amp;L$1&amp;$AC88, TRUE)</f>
        <v>3076</v>
      </c>
      <c r="M88" s="5909" cm="1">
        <f t="array" aca="1" ref="M88" ca="1">INDIRECT("'※ 영기팀 작성_가입자'!"&amp;M$1&amp;$AC88, TRUE)</f>
        <v>2223</v>
      </c>
      <c r="N88" s="5909" cm="1">
        <f t="array" aca="1" ref="N88" ca="1">INDIRECT("'※ 영기팀 작성_가입자'!"&amp;N$1&amp;$AC88, TRUE)</f>
        <v>2605</v>
      </c>
      <c r="O88" s="5909" cm="1">
        <f t="array" aca="1" ref="O88" ca="1">INDIRECT("'※ 영기팀 작성_가입자'!"&amp;O$1&amp;$AC88, TRUE)</f>
        <v>2294</v>
      </c>
      <c r="P88" s="5909" cm="1">
        <f t="array" aca="1" ref="P88" ca="1">INDIRECT("'※ 영기팀 작성_가입자'!"&amp;P$1&amp;$AC88, TRUE)</f>
        <v>2004</v>
      </c>
      <c r="Q88" s="5909" cm="1">
        <f t="array" aca="1" ref="Q88" ca="1">INDIRECT("'※ 영기팀 작성_가입자'!"&amp;Q$1&amp;$AC88, TRUE)</f>
        <v>1903</v>
      </c>
      <c r="R88" s="5912" cm="1">
        <f t="array" aca="1" ref="R88" ca="1">INDIRECT("'※ 영기팀 작성_가입자'!"&amp;R$1&amp;$AD88, TRUE)</f>
        <v>2936</v>
      </c>
      <c r="S88" s="5912" cm="1">
        <f t="array" aca="1" ref="S88" ca="1">INDIRECT("'※ 영기팀 작성_가입자'!"&amp;S$1&amp;$AD88, TRUE)</f>
        <v>-1033</v>
      </c>
      <c r="T88" s="5996" cm="1">
        <f t="array" aca="1" ref="T88" ca="1">INDIRECT("'※ 영기팀 작성_가입자'!"&amp;T$1&amp;$AD88, TRUE)</f>
        <v>1.1896465903434545</v>
      </c>
      <c r="U88" s="5997">
        <f t="shared" ca="1" si="20"/>
        <v>508</v>
      </c>
      <c r="V88" s="5998" cm="1">
        <f t="array" aca="1" ref="V88" ca="1">INDIRECT("'※ 영기팀 작성_가입자'!"&amp;V$1&amp;$AC88, TRUE)</f>
        <v>-34.999999999999773</v>
      </c>
      <c r="W88" s="5999" cm="1">
        <f t="array" aca="1" ref="W88" ca="1">INDIRECT("'※ 영기팀 작성_가입자'!"&amp;W$1&amp;$AC88, TRUE)</f>
        <v>28349</v>
      </c>
      <c r="X88" s="5998" cm="1">
        <f t="array" aca="1" ref="X88" ca="1">INDIRECT("'※ 영기팀 작성_가입자'!"&amp;X$1&amp;$AD88, TRUE)</f>
        <v>-1033</v>
      </c>
      <c r="Y88" s="5996" cm="1">
        <f t="array" aca="1" ref="Y88" ca="1">INDIRECT("'※ 영기팀 작성_가입자'!"&amp;Y$1&amp;$AD88, TRUE)</f>
        <v>1.3463449254790629</v>
      </c>
      <c r="Z88" s="6000" cm="1">
        <f t="array" aca="1" ref="Z88" ca="1">INDIRECT("'※ 영기팀 작성_가입자'!"&amp;Z$2&amp;$AC88, TRUE)</f>
        <v>2953</v>
      </c>
      <c r="AA88" s="5915" cm="1">
        <f t="array" aca="1" ref="AA88" ca="1">INDIRECT("'※ 영기팀 작성_가입자'!"&amp;AA$1&amp;$AC88, TRUE)</f>
        <v>2362.2198150154154</v>
      </c>
      <c r="AB88" s="6001" cm="1">
        <f t="array" aca="1" ref="AB88" ca="1">INDIRECT("'※ 영기팀 작성_가입자'!"&amp;AB$1&amp;$AC88, TRUE)</f>
        <v>-34.999999999999773</v>
      </c>
      <c r="AC88" s="5364">
        <f>ROW('※ 영기팀 작성_가입자'!AH55)</f>
        <v>55</v>
      </c>
      <c r="AD88" s="5360">
        <f>ROW('※ 영기팀 작성_가입자'!AI410)</f>
        <v>410</v>
      </c>
    </row>
    <row r="89" spans="1:31" ht="7.3" customHeight="1" thickTop="1" thickBot="1" x14ac:dyDescent="0.6">
      <c r="A89" s="6002"/>
      <c r="B89" s="6003"/>
      <c r="C89" s="6003"/>
      <c r="D89" s="6003"/>
      <c r="E89" s="6003"/>
      <c r="F89" s="6004"/>
      <c r="G89" s="6003"/>
      <c r="H89" s="6003"/>
      <c r="I89" s="6003"/>
      <c r="J89" s="6003"/>
      <c r="K89" s="6003"/>
      <c r="L89" s="6003"/>
      <c r="M89" s="6003"/>
      <c r="N89" s="6003"/>
      <c r="O89" s="6003"/>
      <c r="P89" s="6003"/>
      <c r="Q89" s="6003"/>
      <c r="R89" s="6003"/>
      <c r="S89" s="6003"/>
      <c r="T89" s="6003"/>
      <c r="U89" s="6003"/>
      <c r="V89" s="6003"/>
      <c r="W89" s="6005"/>
      <c r="X89" s="6003"/>
      <c r="Y89" s="6003"/>
      <c r="Z89" s="6006"/>
      <c r="AA89" s="6006"/>
      <c r="AB89" s="6006"/>
    </row>
    <row r="90" spans="1:31" s="5076" customFormat="1" ht="18" hidden="1" customHeight="1" thickTop="1" thickBot="1" x14ac:dyDescent="0.6">
      <c r="A90" s="7117" t="s">
        <v>82</v>
      </c>
      <c r="B90" s="4281" t="s">
        <v>83</v>
      </c>
      <c r="C90" s="4281"/>
      <c r="D90" s="6007" cm="1">
        <f t="array" aca="1" ref="D90" ca="1">INDIRECT("'※ 영기팀 작성_가입자'!"&amp;D$1&amp;$AC90, TRUE)</f>
        <v>61190.481927399909</v>
      </c>
      <c r="E90" s="6008" cm="1">
        <f t="array" aca="1" ref="E90" ca="1">INDIRECT("'※ 영기팀 작성_가입자'!"&amp;E$1&amp;$AC90, TRUE)</f>
        <v>59387.464053920827</v>
      </c>
      <c r="F90" s="6009" cm="1">
        <f t="array" aca="1" ref="F90" ca="1">INDIRECT("'※ 영기팀 작성_가입자'!"&amp;F$1&amp;$AC90, TRUE)</f>
        <v>58207.926233766244</v>
      </c>
      <c r="G90" s="6008" cm="1">
        <f t="array" aca="1" ref="G90" ca="1">INDIRECT("'※ 영기팀 작성_가입자'!"&amp;G$1&amp;$AC90, TRUE)</f>
        <v>63258.986313234047</v>
      </c>
      <c r="H90" s="6008" cm="1">
        <f t="array" aca="1" ref="H90" ca="1">INDIRECT("'※ 영기팀 작성_가입자'!"&amp;H$1&amp;$AC90, TRUE)</f>
        <v>58651.542771001077</v>
      </c>
      <c r="I90" s="6008" cm="1">
        <f t="array" aca="1" ref="I90" ca="1">INDIRECT("'※ 영기팀 작성_가입자'!"&amp;I$1&amp;$AC90, TRUE)</f>
        <v>57854.61525310429</v>
      </c>
      <c r="J90" s="6008" cm="1">
        <f t="array" aca="1" ref="J90" ca="1">INDIRECT("'※ 영기팀 작성_가입자'!"&amp;J$1&amp;$AC90, TRUE)</f>
        <v>53350.99735128574</v>
      </c>
      <c r="K90" s="6008" cm="1">
        <f t="array" aca="1" ref="K90" ca="1">INDIRECT("'※ 영기팀 작성_가입자'!"&amp;K$1&amp;$AC90, TRUE)</f>
        <v>58044.210804309514</v>
      </c>
      <c r="L90" s="6008" cm="1">
        <f t="array" aca="1" ref="L90" ca="1">INDIRECT("'※ 영기팀 작성_가입자'!"&amp;L$1&amp;$AC90, TRUE)</f>
        <v>58725.850233619822</v>
      </c>
      <c r="M90" s="6008" cm="1">
        <f t="array" aca="1" ref="M90" ca="1">INDIRECT("'※ 영기팀 작성_가입자'!"&amp;M$1&amp;$AC90, TRUE)</f>
        <v>65489.31030111741</v>
      </c>
      <c r="N90" s="6008" cm="1">
        <f t="array" aca="1" ref="N90" ca="1">INDIRECT("'※ 영기팀 작성_가입자'!"&amp;N$1&amp;$AC90, TRUE)</f>
        <v>67606.045241009866</v>
      </c>
      <c r="O90" s="6008" cm="1">
        <f t="array" aca="1" ref="O90" ca="1">INDIRECT("'※ 영기팀 작성_가입자'!"&amp;O$1&amp;$AC90, TRUE)</f>
        <v>64583.838000639895</v>
      </c>
      <c r="P90" s="6008" cm="1">
        <f t="array" aca="1" ref="P90" ca="1">INDIRECT("'※ 영기팀 작성_가입자'!"&amp;P$1&amp;$AC90, TRUE)</f>
        <v>63187.728906604025</v>
      </c>
      <c r="Q90" s="6008" cm="1">
        <f t="array" aca="1" ref="Q90" ca="1">INDIRECT("'※ 영기팀 작성_가입자'!"&amp;Q$1&amp;$AC90, TRUE)</f>
        <v>63059.546679142222</v>
      </c>
      <c r="R90" s="6010">
        <f t="shared" ref="R90:R95" si="21">AE90</f>
        <v>0</v>
      </c>
      <c r="S90" s="6010" t="str" cm="1">
        <f t="array" aca="1" ref="S90" ca="1">INDIRECT("'※ 영기팀 작성_가입자'!"&amp;S$1&amp;$AD90, TRUE)</f>
        <v>동월 목표대비</v>
      </c>
      <c r="T90" s="6011" t="e">
        <f t="shared" ref="T90:T95" ca="1" si="22">G90/AE90</f>
        <v>#DIV/0!</v>
      </c>
      <c r="U90" s="6012">
        <f t="shared" ref="U90:U98" ca="1" si="23">I90-H90</f>
        <v>-796.92751789678732</v>
      </c>
      <c r="V90" s="6010" cm="1">
        <f t="array" aca="1" ref="V90" ca="1">INDIRECT("'※ 영기팀 작성_가입자'!"&amp;V$1&amp;$AC90, TRUE)</f>
        <v>2724.0232331793595</v>
      </c>
      <c r="W90" s="6013" cm="1">
        <f t="array" aca="1" ref="W90" ca="1">INDIRECT("'※ 영기팀 작성_가입자'!"&amp;W$1&amp;$AC90, TRUE)</f>
        <v>61001.716507402853</v>
      </c>
      <c r="X90" s="6010">
        <f t="shared" ref="X90:X95" ca="1" si="24">W90-AE90</f>
        <v>61001.716507402853</v>
      </c>
      <c r="Y90" s="6011" t="e">
        <f t="shared" ref="Y90:Y95" ca="1" si="25">W90/AE90</f>
        <v>#DIV/0!</v>
      </c>
      <c r="Z90" s="6014" cm="1">
        <f t="array" aca="1" ref="Z90" ca="1">INDIRECT("'※ 영기팀 작성_가입자'!"&amp;Z$2&amp;$AC90, TRUE)</f>
        <v>-651647.85213964712</v>
      </c>
      <c r="AA90" s="6015" cm="1">
        <f t="array" aca="1" ref="AA90" ca="1">INDIRECT("'※ 영기팀 작성_가입자'!"&amp;AA$1&amp;$AC90, TRUE)</f>
        <v>61001.716507402853</v>
      </c>
      <c r="AB90" s="6016" cm="1">
        <f t="array" aca="1" ref="AB90" ca="1">INDIRECT("'※ 영기팀 작성_가입자'!"&amp;AB$1&amp;$AC90, TRUE)</f>
        <v>2724.0232331793595</v>
      </c>
      <c r="AC90" s="5364">
        <f>ROW('※ 영기팀 작성_가입자'!AH113)</f>
        <v>113</v>
      </c>
      <c r="AD90" s="5360">
        <v>358</v>
      </c>
      <c r="AE90" s="5930"/>
    </row>
    <row r="91" spans="1:31" ht="18" customHeight="1" x14ac:dyDescent="0.55000000000000004">
      <c r="A91" s="7111"/>
      <c r="B91" s="2648" t="s">
        <v>19</v>
      </c>
      <c r="C91" s="2648"/>
      <c r="D91" s="5296" cm="1">
        <f t="array" aca="1" ref="D91" ca="1">INDIRECT("'※ 영기팀 작성_가입자'!"&amp;D$1&amp;$AC91, TRUE)</f>
        <v>70177.963814250674</v>
      </c>
      <c r="E91" s="5297" cm="1">
        <f t="array" aca="1" ref="E91" ca="1">INDIRECT("'※ 영기팀 작성_가입자'!"&amp;E$1&amp;$AC91, TRUE)</f>
        <v>65660.580007053752</v>
      </c>
      <c r="F91" s="5891" cm="1">
        <f t="array" aca="1" ref="F91" ca="1">INDIRECT("'※ 영기팀 작성_가입자'!"&amp;F$1&amp;$AC91, TRUE)</f>
        <v>57827.123598105281</v>
      </c>
      <c r="G91" s="5297" cm="1">
        <f t="array" aca="1" ref="G91" ca="1">INDIRECT("'※ 영기팀 작성_가입자'!"&amp;G$1&amp;$AC91, TRUE)</f>
        <v>69717.108301485103</v>
      </c>
      <c r="H91" s="5297" cm="1">
        <f t="array" aca="1" ref="H91" ca="1">INDIRECT("'※ 영기팀 작성_가입자'!"&amp;H$1&amp;$AC91, TRUE)</f>
        <v>58937.93814809632</v>
      </c>
      <c r="I91" s="5297" cm="1">
        <f t="array" aca="1" ref="I91" ca="1">INDIRECT("'※ 영기팀 작성_가입자'!"&amp;I$1&amp;$AC91, TRUE)</f>
        <v>56596.837679055418</v>
      </c>
      <c r="J91" s="5297" cm="1">
        <f t="array" aca="1" ref="J91" ca="1">INDIRECT("'※ 영기팀 작성_가입자'!"&amp;J$1&amp;$AC91, TRUE)</f>
        <v>54712.572661462065</v>
      </c>
      <c r="K91" s="5297" cm="1">
        <f t="array" aca="1" ref="K91" ca="1">INDIRECT("'※ 영기팀 작성_가입자'!"&amp;K$1&amp;$AC91, TRUE)</f>
        <v>57041.760307832934</v>
      </c>
      <c r="L91" s="5297" cm="1">
        <f t="array" aca="1" ref="L91" ca="1">INDIRECT("'※ 영기팀 작성_가입자'!"&amp;L$1&amp;$AC91, TRUE)</f>
        <v>67885.451937892212</v>
      </c>
      <c r="M91" s="5297" cm="1">
        <f t="array" aca="1" ref="M91" ca="1">INDIRECT("'※ 영기팀 작성_가입자'!"&amp;M$1&amp;$AC91, TRUE)</f>
        <v>61760.388384475387</v>
      </c>
      <c r="N91" s="5297" cm="1">
        <f t="array" aca="1" ref="N91" ca="1">INDIRECT("'※ 영기팀 작성_가입자'!"&amp;N$1&amp;$AC91, TRUE)</f>
        <v>71950.849837879912</v>
      </c>
      <c r="O91" s="5297" cm="1">
        <f t="array" aca="1" ref="O91" ca="1">INDIRECT("'※ 영기팀 작성_가입자'!"&amp;O$1&amp;$AC91, TRUE)</f>
        <v>63945.411294106139</v>
      </c>
      <c r="P91" s="5297" cm="1">
        <f t="array" aca="1" ref="P91" ca="1">INDIRECT("'※ 영기팀 작성_가입자'!"&amp;P$1&amp;$AC91, TRUE)</f>
        <v>61983.973046428298</v>
      </c>
      <c r="Q91" s="5297" cm="1">
        <f t="array" aca="1" ref="Q91" ca="1">INDIRECT("'※ 영기팀 작성_가입자'!"&amp;Q$1&amp;$AC91, TRUE)</f>
        <v>60204.929117055297</v>
      </c>
      <c r="R91" s="5958">
        <f t="shared" si="21"/>
        <v>72000</v>
      </c>
      <c r="S91" s="5958">
        <f ca="1">F91-R91</f>
        <v>-14172.876401894719</v>
      </c>
      <c r="T91" s="5956">
        <f ca="1">G91/AE91</f>
        <v>0.96829317085395972</v>
      </c>
      <c r="U91" s="5957">
        <f t="shared" ca="1" si="23"/>
        <v>-2341.1004690409027</v>
      </c>
      <c r="V91" s="5958" cm="1">
        <f t="array" aca="1" ref="V91" ca="1">INDIRECT("'※ 영기팀 작성_가입자'!"&amp;V$1&amp;$AC91, TRUE)</f>
        <v>-1981.99387959452</v>
      </c>
      <c r="W91" s="5894" cm="1">
        <f t="array" aca="1" ref="W91" ca="1">INDIRECT("'※ 영기팀 작성_가입자'!"&amp;W$1&amp;$AC91, TRUE)</f>
        <v>61880.362026156188</v>
      </c>
      <c r="X91" s="5958">
        <f t="shared" ca="1" si="24"/>
        <v>-10119.637973843812</v>
      </c>
      <c r="Y91" s="5956">
        <f ca="1">W91/AE91</f>
        <v>0.85944947258550264</v>
      </c>
      <c r="Z91" s="5959" cm="1">
        <f t="array" aca="1" ref="Z91" ca="1">INDIRECT("'※ 영기팀 작성_가입자'!"&amp;Z$2&amp;$AC91, TRUE)</f>
        <v>-726046.5980584888</v>
      </c>
      <c r="AA91" s="5857" cm="1">
        <f t="array" aca="1" ref="AA91" ca="1">INDIRECT("'※ 영기팀 작성_가입자'!"&amp;AA$1&amp;$AC91, TRUE)</f>
        <v>61880.362026156188</v>
      </c>
      <c r="AB91" s="6017" cm="1">
        <f t="array" aca="1" ref="AB91" ca="1">INDIRECT("'※ 영기팀 작성_가입자'!"&amp;AB$1&amp;$AC91, TRUE)</f>
        <v>-1981.99387959452</v>
      </c>
      <c r="AC91" s="5364">
        <f>ROW('※ 영기팀 작성_가입자'!AH114)</f>
        <v>114</v>
      </c>
      <c r="AD91" s="5360">
        <v>454</v>
      </c>
      <c r="AE91" s="3053">
        <v>72000</v>
      </c>
    </row>
    <row r="92" spans="1:31" ht="18" customHeight="1" x14ac:dyDescent="0.55000000000000004">
      <c r="A92" s="7111"/>
      <c r="B92" s="2639" t="s">
        <v>20</v>
      </c>
      <c r="C92" s="5539"/>
      <c r="D92" s="5296" cm="1">
        <f t="array" aca="1" ref="D92" ca="1">INDIRECT("'※ 영기팀 작성_가입자'!"&amp;D$1&amp;$AC92, TRUE)</f>
        <v>62137.312037248565</v>
      </c>
      <c r="E92" s="5297" cm="1">
        <f t="array" aca="1" ref="E92" ca="1">INDIRECT("'※ 영기팀 작성_가입자'!"&amp;E$1&amp;$AC92, TRUE)</f>
        <v>64140.569459482707</v>
      </c>
      <c r="F92" s="5891" cm="1">
        <f t="array" aca="1" ref="F92" ca="1">INDIRECT("'※ 영기팀 작성_가입자'!"&amp;F$1&amp;$AC92, TRUE)</f>
        <v>68742.97391260638</v>
      </c>
      <c r="G92" s="5297" cm="1">
        <f t="array" aca="1" ref="G92" ca="1">INDIRECT("'※ 영기팀 작성_가입자'!"&amp;G$1&amp;$AC92, TRUE)</f>
        <v>73668.401063153346</v>
      </c>
      <c r="H92" s="5297" cm="1">
        <f t="array" aca="1" ref="H92" ca="1">INDIRECT("'※ 영기팀 작성_가입자'!"&amp;H$1&amp;$AC92, TRUE)</f>
        <v>71520.370640616675</v>
      </c>
      <c r="I92" s="5297" cm="1">
        <f t="array" aca="1" ref="I92" ca="1">INDIRECT("'※ 영기팀 작성_가입자'!"&amp;I$1&amp;$AC92, TRUE)</f>
        <v>70197.087476298242</v>
      </c>
      <c r="J92" s="5297" cm="1">
        <f t="array" aca="1" ref="J92" ca="1">INDIRECT("'※ 영기팀 작성_가입자'!"&amp;J$1&amp;$AC92, TRUE)</f>
        <v>63150.605977560663</v>
      </c>
      <c r="K92" s="5297" cm="1">
        <f t="array" aca="1" ref="K92" ca="1">INDIRECT("'※ 영기팀 작성_가입자'!"&amp;K$1&amp;$AC92, TRUE)</f>
        <v>68005.091417013391</v>
      </c>
      <c r="L92" s="5297" cm="1">
        <f t="array" aca="1" ref="L92" ca="1">INDIRECT("'※ 영기팀 작성_가입자'!"&amp;L$1&amp;$AC92, TRUE)</f>
        <v>65837.548701830747</v>
      </c>
      <c r="M92" s="5297" cm="1">
        <f t="array" aca="1" ref="M92" ca="1">INDIRECT("'※ 영기팀 작성_가입자'!"&amp;M$1&amp;$AC92, TRUE)</f>
        <v>79601.65190343406</v>
      </c>
      <c r="N92" s="5297" cm="1">
        <f t="array" aca="1" ref="N92" ca="1">INDIRECT("'※ 영기팀 작성_가입자'!"&amp;N$1&amp;$AC92, TRUE)</f>
        <v>77420.272080553754</v>
      </c>
      <c r="O92" s="5297" cm="1">
        <f t="array" aca="1" ref="O92" ca="1">INDIRECT("'※ 영기팀 작성_가입자'!"&amp;O$1&amp;$AC92, TRUE)</f>
        <v>79800.996086927262</v>
      </c>
      <c r="P92" s="5297" cm="1">
        <f t="array" aca="1" ref="P92" ca="1">INDIRECT("'※ 영기팀 작성_가입자'!"&amp;P$1&amp;$AC92, TRUE)</f>
        <v>79593.897374108914</v>
      </c>
      <c r="Q92" s="5297" cm="1">
        <f t="array" aca="1" ref="Q92" ca="1">INDIRECT("'※ 영기팀 작성_가입자'!"&amp;Q$1&amp;$AC92, TRUE)</f>
        <v>76690.85685239645</v>
      </c>
      <c r="R92" s="5958">
        <f t="shared" si="21"/>
        <v>70000</v>
      </c>
      <c r="S92" s="5958">
        <f ca="1">F92-R92</f>
        <v>-1257.0260873936204</v>
      </c>
      <c r="T92" s="5956">
        <f t="shared" ca="1" si="22"/>
        <v>1.0524057294736193</v>
      </c>
      <c r="U92" s="5957">
        <f t="shared" ca="1" si="23"/>
        <v>-1323.2831643184327</v>
      </c>
      <c r="V92" s="5958" cm="1">
        <f t="array" aca="1" ref="V92" ca="1">INDIRECT("'※ 영기팀 작성_가입자'!"&amp;V$1&amp;$AC92, TRUE)</f>
        <v>7980.0549602700921</v>
      </c>
      <c r="W92" s="5894" cm="1">
        <f t="array" aca="1" ref="W92" ca="1">INDIRECT("'※ 영기팀 작성_가입자'!"&amp;W$1&amp;$AC92, TRUE)</f>
        <v>72852.479457208319</v>
      </c>
      <c r="X92" s="5958">
        <f t="shared" ca="1" si="24"/>
        <v>2852.4794572083192</v>
      </c>
      <c r="Y92" s="5956">
        <f t="shared" ca="1" si="25"/>
        <v>1.0407497065315474</v>
      </c>
      <c r="Z92" s="5959" cm="1">
        <f t="array" aca="1" ref="Z92" ca="1">INDIRECT("'※ 영기팀 작성_가입자'!"&amp;Z$2&amp;$AC92, TRUE)</f>
        <v>-696834.35405658418</v>
      </c>
      <c r="AA92" s="5857" cm="1">
        <f t="array" aca="1" ref="AA92" ca="1">INDIRECT("'※ 영기팀 작성_가입자'!"&amp;AA$1&amp;$AC92, TRUE)</f>
        <v>72852.479457208319</v>
      </c>
      <c r="AB92" s="6017" cm="1">
        <f t="array" aca="1" ref="AB92" ca="1">INDIRECT("'※ 영기팀 작성_가입자'!"&amp;AB$1&amp;$AC92, TRUE)</f>
        <v>7980.0549602700921</v>
      </c>
      <c r="AC92" s="5364">
        <f>ROW('※ 영기팀 작성_가입자'!AH116)</f>
        <v>116</v>
      </c>
      <c r="AD92" s="5360">
        <v>456</v>
      </c>
      <c r="AE92" s="3053">
        <v>70000</v>
      </c>
    </row>
    <row r="93" spans="1:31" ht="18" customHeight="1" x14ac:dyDescent="0.55000000000000004">
      <c r="A93" s="7111"/>
      <c r="B93" s="2639" t="s">
        <v>954</v>
      </c>
      <c r="C93" s="5539"/>
      <c r="D93" s="5296" cm="1">
        <f t="array" aca="1" ref="D93" ca="1">INDIRECT("'※ 영기팀 작성_가입자'!"&amp;D$1&amp;$AC93, TRUE)</f>
        <v>52189.639162779291</v>
      </c>
      <c r="E93" s="5297" cm="1">
        <f t="array" aca="1" ref="E93" ca="1">INDIRECT("'※ 영기팀 작성_가입자'!"&amp;E$1&amp;$AC93, TRUE)</f>
        <v>48403.004232179868</v>
      </c>
      <c r="F93" s="5891" cm="1">
        <f t="array" aca="1" ref="F93" ca="1">INDIRECT("'※ 영기팀 작성_가입자'!"&amp;F$1&amp;$AC93, TRUE)</f>
        <v>42397.211865989048</v>
      </c>
      <c r="G93" s="5297" cm="1">
        <f t="array" aca="1" ref="G93" ca="1">INDIRECT("'※ 영기팀 작성_가입자'!"&amp;G$1&amp;$AC93, TRUE)</f>
        <v>44956.946769228671</v>
      </c>
      <c r="H93" s="5297" cm="1">
        <f t="array" aca="1" ref="H93" ca="1">INDIRECT("'※ 영기팀 작성_가입자'!"&amp;H$1&amp;$AC93, TRUE)</f>
        <v>44565.967351892046</v>
      </c>
      <c r="I93" s="5297" cm="1">
        <f t="array" aca="1" ref="I93" ca="1">INDIRECT("'※ 영기팀 작성_가입자'!"&amp;I$1&amp;$AC93, TRUE)</f>
        <v>44272.646028308955</v>
      </c>
      <c r="J93" s="5297" cm="1">
        <f t="array" aca="1" ref="J93" ca="1">INDIRECT("'※ 영기팀 작성_가입자'!"&amp;J$1&amp;$AC93, TRUE)</f>
        <v>41797.00053873111</v>
      </c>
      <c r="K93" s="5297" cm="1">
        <f t="array" aca="1" ref="K93" ca="1">INDIRECT("'※ 영기팀 작성_가입자'!"&amp;K$1&amp;$AC93, TRUE)</f>
        <v>42815.510791010049</v>
      </c>
      <c r="L93" s="5297" cm="1">
        <f t="array" aca="1" ref="L93" ca="1">INDIRECT("'※ 영기팀 작성_가입자'!"&amp;L$1&amp;$AC93, TRUE)</f>
        <v>46158.557923705368</v>
      </c>
      <c r="M93" s="5297" cm="1">
        <f t="array" aca="1" ref="M93" ca="1">INDIRECT("'※ 영기팀 작성_가입자'!"&amp;M$1&amp;$AC93, TRUE)</f>
        <v>47925.489318702843</v>
      </c>
      <c r="N93" s="5297" cm="1">
        <f t="array" aca="1" ref="N93" ca="1">INDIRECT("'※ 영기팀 작성_가입자'!"&amp;N$1&amp;$AC93, TRUE)</f>
        <v>55343.823319167321</v>
      </c>
      <c r="O93" s="5297" cm="1">
        <f t="array" aca="1" ref="O93" ca="1">INDIRECT("'※ 영기팀 작성_가입자'!"&amp;O$1&amp;$AC93, TRUE)</f>
        <v>50730.074827705226</v>
      </c>
      <c r="P93" s="5297" cm="1">
        <f t="array" aca="1" ref="P93" ca="1">INDIRECT("'※ 영기팀 작성_가입자'!"&amp;P$1&amp;$AC93, TRUE)</f>
        <v>49365.5166731891</v>
      </c>
      <c r="Q93" s="5297" cm="1">
        <f t="array" aca="1" ref="Q93" ca="1">INDIRECT("'※ 영기팀 작성_가입자'!"&amp;Q$1&amp;$AC93, TRUE)</f>
        <v>47172.151636288996</v>
      </c>
      <c r="R93" s="5958">
        <f t="shared" si="21"/>
        <v>55000</v>
      </c>
      <c r="S93" s="5958">
        <f t="shared" ref="S93:S98" ca="1" si="26">F93-R93</f>
        <v>-12602.788134010952</v>
      </c>
      <c r="T93" s="5956">
        <f t="shared" ca="1" si="22"/>
        <v>0.81739903216779397</v>
      </c>
      <c r="U93" s="5957">
        <f t="shared" ca="1" si="23"/>
        <v>-293.32132358309173</v>
      </c>
      <c r="V93" s="5958" cm="1">
        <f t="array" aca="1" ref="V93" ca="1">INDIRECT("'※ 영기팀 작성_가입자'!"&amp;V$1&amp;$AC93, TRUE)</f>
        <v>318.8577013664617</v>
      </c>
      <c r="W93" s="5894" cm="1">
        <f t="array" aca="1" ref="W93" ca="1">INDIRECT("'※ 영기팀 작성_가입자'!"&amp;W$1&amp;$AC93, TRUE)</f>
        <v>46458.40808699323</v>
      </c>
      <c r="X93" s="5958">
        <f t="shared" ca="1" si="24"/>
        <v>-8541.5919130067705</v>
      </c>
      <c r="Y93" s="5956">
        <f t="shared" ca="1" si="25"/>
        <v>0.84469832885442231</v>
      </c>
      <c r="Z93" s="5959" cm="1">
        <f t="array" aca="1" ref="Z93" ca="1">INDIRECT("'※ 영기팀 작성_가입자'!"&amp;Z$2&amp;$AC93, TRUE)</f>
        <v>-534377.64269916515</v>
      </c>
      <c r="AA93" s="5857" cm="1">
        <f t="array" aca="1" ref="AA93" ca="1">INDIRECT("'※ 영기팀 작성_가입자'!"&amp;AA$1&amp;$AC93, TRUE)</f>
        <v>46458.40808699323</v>
      </c>
      <c r="AB93" s="6017" cm="1">
        <f t="array" aca="1" ref="AB93" ca="1">INDIRECT("'※ 영기팀 작성_가입자'!"&amp;AB$1&amp;$AC93, TRUE)</f>
        <v>318.8577013664617</v>
      </c>
      <c r="AC93" s="5364">
        <f>ROW('※ 영기팀 작성_가입자'!AH117)</f>
        <v>117</v>
      </c>
      <c r="AD93" s="5360">
        <v>457</v>
      </c>
      <c r="AE93" s="3053">
        <v>55000</v>
      </c>
    </row>
    <row r="94" spans="1:31" ht="18" customHeight="1" x14ac:dyDescent="0.55000000000000004">
      <c r="A94" s="7111"/>
      <c r="B94" s="2639" t="s">
        <v>1019</v>
      </c>
      <c r="C94" s="5539"/>
      <c r="D94" s="5296" cm="1">
        <f t="array" aca="1" ref="D94" ca="1">INDIRECT("'※ 영기팀 작성_가입자'!"&amp;D$1&amp;$AC94, TRUE)</f>
        <v>55584.018973050588</v>
      </c>
      <c r="E94" s="5297" cm="1">
        <f t="array" aca="1" ref="E94" ca="1">INDIRECT("'※ 영기팀 작성_가입자'!"&amp;E$1&amp;$AC94, TRUE)</f>
        <v>47461.849772379675</v>
      </c>
      <c r="F94" s="5891" cm="1">
        <f t="array" aca="1" ref="F94" ca="1">INDIRECT("'※ 영기팀 작성_가입자'!"&amp;F$1&amp;$AC94, TRUE)</f>
        <v>39379.459189857764</v>
      </c>
      <c r="G94" s="5297" cm="1">
        <f t="array" aca="1" ref="G94" ca="1">INDIRECT("'※ 영기팀 작성_가입자'!"&amp;G$1&amp;$AC94, TRUE)</f>
        <v>58738.425671321143</v>
      </c>
      <c r="H94" s="5297" cm="1">
        <f t="array" aca="1" ref="H94" ca="1">INDIRECT("'※ 영기팀 작성_가입자'!"&amp;H$1&amp;$AC94, TRUE)</f>
        <v>40933.665130177527</v>
      </c>
      <c r="I94" s="5297" cm="1">
        <f t="array" aca="1" ref="I94" ca="1">INDIRECT("'※ 영기팀 작성_가입자'!"&amp;I$1&amp;$AC94, TRUE)</f>
        <v>45735.117899305551</v>
      </c>
      <c r="J94" s="5297" cm="1">
        <f t="array" aca="1" ref="J94" ca="1">INDIRECT("'※ 영기팀 작성_가입자'!"&amp;J$1&amp;$AC94, TRUE)</f>
        <v>44543.387909302321</v>
      </c>
      <c r="K94" s="5297" cm="1">
        <f t="array" aca="1" ref="K94" ca="1">INDIRECT("'※ 영기팀 작성_가입자'!"&amp;K$1&amp;$AC94, TRUE)</f>
        <v>42789.085251308898</v>
      </c>
      <c r="L94" s="5297" cm="1">
        <f t="array" aca="1" ref="L94" ca="1">INDIRECT("'※ 영기팀 작성_가입자'!"&amp;L$1&amp;$AC94, TRUE)</f>
        <v>50391.31568831169</v>
      </c>
      <c r="M94" s="5297" cm="1">
        <f t="array" aca="1" ref="M94" ca="1">INDIRECT("'※ 영기팀 작성_가입자'!"&amp;M$1&amp;$AC94, TRUE)</f>
        <v>47153.238416666667</v>
      </c>
      <c r="N94" s="5297" cm="1">
        <f t="array" aca="1" ref="N94" ca="1">INDIRECT("'※ 영기팀 작성_가입자'!"&amp;N$1&amp;$AC94, TRUE)</f>
        <v>52850.971426710101</v>
      </c>
      <c r="O94" s="5297" cm="1">
        <f t="array" aca="1" ref="O94" ca="1">INDIRECT("'※ 영기팀 작성_가입자'!"&amp;O$1&amp;$AC94, TRUE)</f>
        <v>52740.644038461549</v>
      </c>
      <c r="P94" s="5297" cm="1">
        <f t="array" aca="1" ref="P94" ca="1">INDIRECT("'※ 영기팀 작성_가입자'!"&amp;P$1&amp;$AC94, TRUE)</f>
        <v>45430.233098445598</v>
      </c>
      <c r="Q94" s="5297" cm="1">
        <f t="array" aca="1" ref="Q94" ca="1">INDIRECT("'※ 영기팀 작성_가입자'!"&amp;Q$1&amp;$AC94, TRUE)</f>
        <v>48130.432427184474</v>
      </c>
      <c r="R94" s="5958">
        <f t="shared" si="21"/>
        <v>55000</v>
      </c>
      <c r="S94" s="5958">
        <f t="shared" ca="1" si="26"/>
        <v>-15620.540810142236</v>
      </c>
      <c r="T94" s="5956">
        <f t="shared" ca="1" si="22"/>
        <v>1.0679713758422027</v>
      </c>
      <c r="U94" s="5957">
        <f t="shared" ca="1" si="23"/>
        <v>4801.4527691280236</v>
      </c>
      <c r="V94" s="5958" cm="1">
        <f t="array" aca="1" ref="V94" ca="1">INDIRECT("'※ 영기팀 작성_가입자'!"&amp;V$1&amp;$AC94, TRUE)</f>
        <v>4662.1844445004826</v>
      </c>
      <c r="W94" s="5894" cm="1">
        <f t="array" aca="1" ref="W94" ca="1">INDIRECT("'※ 영기팀 작성_가입자'!"&amp;W$1&amp;$AC94, TRUE)</f>
        <v>47401.331345587772</v>
      </c>
      <c r="X94" s="5958">
        <f t="shared" ca="1" si="24"/>
        <v>-7598.6686544122276</v>
      </c>
      <c r="Y94" s="5956">
        <f t="shared" ca="1" si="25"/>
        <v>0.86184238810159586</v>
      </c>
      <c r="Z94" s="5959" cm="1">
        <f t="array" aca="1" ref="Z94" ca="1">INDIRECT("'※ 영기팀 작성_가입자'!"&amp;Z$2&amp;$AC94, TRUE)</f>
        <v>-522140.86592296831</v>
      </c>
      <c r="AA94" s="5857" cm="1">
        <f t="array" aca="1" ref="AA94" ca="1">INDIRECT("'※ 영기팀 작성_가입자'!"&amp;AA$1&amp;$AC94, TRUE)</f>
        <v>47401.331345587772</v>
      </c>
      <c r="AB94" s="6017" cm="1">
        <f t="array" aca="1" ref="AB94" ca="1">INDIRECT("'※ 영기팀 작성_가입자'!"&amp;AB$1&amp;$AC94, TRUE)</f>
        <v>4662.1844445004826</v>
      </c>
      <c r="AC94" s="5364">
        <v>115</v>
      </c>
      <c r="AD94" s="5360">
        <v>455</v>
      </c>
      <c r="AE94" s="3053">
        <v>55000</v>
      </c>
    </row>
    <row r="95" spans="1:31" ht="18" customHeight="1" thickBot="1" x14ac:dyDescent="0.6">
      <c r="A95" s="7118"/>
      <c r="B95" s="6018" t="s">
        <v>22</v>
      </c>
      <c r="C95" s="6018"/>
      <c r="D95" s="6019" cm="1">
        <f t="array" aca="1" ref="D95" ca="1">INDIRECT("'※ 영기팀 작성_가입자'!"&amp;D$1&amp;$AC95, TRUE)</f>
        <v>38285.580836967012</v>
      </c>
      <c r="E95" s="6020" cm="1">
        <f t="array" aca="1" ref="E95" ca="1">INDIRECT("'※ 영기팀 작성_가입자'!"&amp;E$1&amp;$AC95, TRUE)</f>
        <v>31599.061096313995</v>
      </c>
      <c r="F95" s="6021" cm="1">
        <f t="array" aca="1" ref="F95" ca="1">INDIRECT("'※ 영기팀 작성_가입자'!"&amp;F$1&amp;$AC95, TRUE)</f>
        <v>29887.383549149909</v>
      </c>
      <c r="G95" s="6020" cm="1">
        <f t="array" aca="1" ref="G95" ca="1">INDIRECT("'※ 영기팀 작성_가입자'!"&amp;G$1&amp;$AC95, TRUE)</f>
        <v>44720.083948027037</v>
      </c>
      <c r="H95" s="6020" cm="1">
        <f t="array" aca="1" ref="H95" ca="1">INDIRECT("'※ 영기팀 작성_가입자'!"&amp;H$1&amp;$AC95, TRUE)</f>
        <v>30297.991646299492</v>
      </c>
      <c r="I95" s="6020" cm="1">
        <f t="array" aca="1" ref="I95" ca="1">INDIRECT("'※ 영기팀 작성_가입자'!"&amp;I$1&amp;$AC95, TRUE)</f>
        <v>30209.415554479416</v>
      </c>
      <c r="J95" s="6020" cm="1">
        <f t="array" aca="1" ref="J95" ca="1">INDIRECT("'※ 영기팀 작성_가입자'!"&amp;J$1&amp;$AC95, TRUE)</f>
        <v>36457.082010420687</v>
      </c>
      <c r="K95" s="6020" cm="1">
        <f t="array" aca="1" ref="K95" ca="1">INDIRECT("'※ 영기팀 작성_가입자'!"&amp;K$1&amp;$AC95, TRUE)</f>
        <v>41353.788707668558</v>
      </c>
      <c r="L95" s="6020" cm="1">
        <f t="array" aca="1" ref="L95" ca="1">INDIRECT("'※ 영기팀 작성_가입자'!"&amp;L$1&amp;$AC95, TRUE)</f>
        <v>30543.227446296289</v>
      </c>
      <c r="M95" s="6020" cm="1">
        <f t="array" aca="1" ref="M95" ca="1">INDIRECT("'※ 영기팀 작성_가입자'!"&amp;M$1&amp;$AC95, TRUE)</f>
        <v>34539.809876215142</v>
      </c>
      <c r="N95" s="6020" cm="1">
        <f t="array" aca="1" ref="N95" ca="1">INDIRECT("'※ 영기팀 작성_가입자'!"&amp;N$1&amp;$AC95, TRUE)</f>
        <v>36104.497903368072</v>
      </c>
      <c r="O95" s="6020" cm="1">
        <f t="array" aca="1" ref="O95" ca="1">INDIRECT("'※ 영기팀 작성_가입자'!"&amp;O$1&amp;$AC95, TRUE)</f>
        <v>28310.074714529928</v>
      </c>
      <c r="P95" s="6020" cm="1">
        <f t="array" aca="1" ref="P95" ca="1">INDIRECT("'※ 영기팀 작성_가입자'!"&amp;P$1&amp;$AC95, TRUE)</f>
        <v>23898.496966440274</v>
      </c>
      <c r="Q95" s="6020" cm="1">
        <f t="array" aca="1" ref="Q95" ca="1">INDIRECT("'※ 영기팀 작성_가입자'!"&amp;Q$1&amp;$AC95, TRUE)</f>
        <v>35216.417781589502</v>
      </c>
      <c r="R95" s="6022">
        <f t="shared" si="21"/>
        <v>35000</v>
      </c>
      <c r="S95" s="6022">
        <f t="shared" ca="1" si="26"/>
        <v>-5112.6164508500915</v>
      </c>
      <c r="T95" s="6023">
        <f t="shared" ca="1" si="22"/>
        <v>1.2777166842293439</v>
      </c>
      <c r="U95" s="6024">
        <f t="shared" ca="1" si="23"/>
        <v>-88.576091820075817</v>
      </c>
      <c r="V95" s="6022" cm="1">
        <f t="array" aca="1" ref="V95" ca="1">INDIRECT("'※ 영기팀 작성_가입자'!"&amp;V$1&amp;$AC95, TRUE)</f>
        <v>8034.1491338250635</v>
      </c>
      <c r="W95" s="5913" cm="1">
        <f t="array" aca="1" ref="W95" ca="1">INDIRECT("'※ 영기팀 작성_가입자'!"&amp;W$1&amp;$AC95, TRUE)</f>
        <v>33461.522508707021</v>
      </c>
      <c r="X95" s="6022">
        <f t="shared" ca="1" si="24"/>
        <v>-1538.4774912929788</v>
      </c>
      <c r="Y95" s="6023">
        <f t="shared" ca="1" si="25"/>
        <v>0.95604350024877205</v>
      </c>
      <c r="Z95" s="6025" cm="1">
        <f t="array" aca="1" ref="Z95" ca="1">INDIRECT("'※ 영기팀 작성_가입자'!"&amp;Z$2&amp;$AC95, TRUE)</f>
        <v>-345727.21064706094</v>
      </c>
      <c r="AA95" s="6026" cm="1">
        <f t="array" aca="1" ref="AA95" ca="1">INDIRECT("'※ 영기팀 작성_가입자'!"&amp;AA$1&amp;$AC95, TRUE)</f>
        <v>33461.522508707021</v>
      </c>
      <c r="AB95" s="6027" cm="1">
        <f t="array" aca="1" ref="AB95" ca="1">INDIRECT("'※ 영기팀 작성_가입자'!"&amp;AB$1&amp;$AC95, TRUE)</f>
        <v>8034.1491338250635</v>
      </c>
      <c r="AC95" s="5364">
        <f>ROW('※ 영기팀 작성_가입자'!AH118)</f>
        <v>118</v>
      </c>
      <c r="AD95" s="5360">
        <v>458</v>
      </c>
      <c r="AE95" s="3053">
        <v>35000</v>
      </c>
    </row>
    <row r="96" spans="1:31" s="5076" customFormat="1" ht="18" hidden="1" customHeight="1" thickBot="1" x14ac:dyDescent="0.6">
      <c r="A96" s="7111" t="s">
        <v>98</v>
      </c>
      <c r="B96" s="3626" t="s">
        <v>130</v>
      </c>
      <c r="C96" s="3626"/>
      <c r="D96" s="6028" cm="1">
        <f t="array" aca="1" ref="D96" ca="1">INDIRECT("'※ 영기팀 작성_가입자'!"&amp;D$1&amp;$AC96, TRUE)</f>
        <v>1.023857159509433</v>
      </c>
      <c r="E96" s="6029" cm="1">
        <f t="array" aca="1" ref="E96" ca="1">INDIRECT("'※ 영기팀 작성_가입자'!"&amp;E$1&amp;$AC96, TRUE)</f>
        <v>1.022415893079917</v>
      </c>
      <c r="F96" s="6029" cm="1">
        <f t="array" aca="1" ref="F96" ca="1">INDIRECT("'※ 영기팀 작성_가입자'!"&amp;F$1&amp;$AC96, TRUE)</f>
        <v>0</v>
      </c>
      <c r="G96" s="6029" cm="1">
        <f t="array" aca="1" ref="G96" ca="1">INDIRECT("'※ 영기팀 작성_가입자'!"&amp;G$1&amp;$AC96, TRUE)</f>
        <v>0</v>
      </c>
      <c r="H96" s="6029" cm="1">
        <f t="array" aca="1" ref="H96" ca="1">INDIRECT("'※ 영기팀 작성_가입자'!"&amp;H$1&amp;$AC96, TRUE)</f>
        <v>0</v>
      </c>
      <c r="I96" s="6029" cm="1">
        <f t="array" aca="1" ref="I96" ca="1">INDIRECT("'※ 영기팀 작성_가입자'!"&amp;I$1&amp;$AC96, TRUE)</f>
        <v>0</v>
      </c>
      <c r="J96" s="6029" cm="1">
        <f t="array" aca="1" ref="J96" ca="1">INDIRECT("'※ 영기팀 작성_가입자'!"&amp;J$1&amp;$AC96, TRUE)</f>
        <v>0</v>
      </c>
      <c r="K96" s="6029" cm="1">
        <f t="array" aca="1" ref="K96" ca="1">INDIRECT("'※ 영기팀 작성_가입자'!"&amp;K$1&amp;$AC96, TRUE)</f>
        <v>0</v>
      </c>
      <c r="L96" s="6029"/>
      <c r="M96" s="6029"/>
      <c r="N96" s="6029"/>
      <c r="O96" s="6029"/>
      <c r="P96" s="6029"/>
      <c r="Q96" s="6029"/>
      <c r="R96" s="6030"/>
      <c r="S96" s="6030">
        <f t="shared" ca="1" si="26"/>
        <v>0</v>
      </c>
      <c r="T96" s="6031"/>
      <c r="U96" s="6032">
        <f t="shared" ca="1" si="23"/>
        <v>0</v>
      </c>
      <c r="V96" s="6033" cm="1">
        <f t="array" aca="1" ref="V96" ca="1">INDIRECT("'※ 영기팀 작성_가입자'!"&amp;V$1&amp;$AC96, TRUE)</f>
        <v>-0.95262156758550331</v>
      </c>
      <c r="W96" s="6034" t="e" cm="1">
        <f t="array" aca="1" ref="W96" ca="1">INDIRECT("'※ 영기팀 작성_가입자'!"&amp;W$1&amp;$AC96, TRUE)</f>
        <v>#DIV/0!</v>
      </c>
      <c r="X96" s="6030"/>
      <c r="Y96" s="6035"/>
      <c r="Z96" s="6036" t="e" cm="1">
        <f t="array" aca="1" ref="Z96" ca="1">INDIRECT("'※ 영기팀 작성_가입자'!"&amp;Z$1&amp;$AC96, TRUE)</f>
        <v>#DIV/0!</v>
      </c>
      <c r="AA96" s="6037" t="e" cm="1">
        <f t="array" aca="1" ref="AA96" ca="1">INDIRECT("'※ 영기팀 작성_가입자'!"&amp;AA$1&amp;$AC96, TRUE)</f>
        <v>#DIV/0!</v>
      </c>
      <c r="AB96" s="6038" cm="1">
        <f t="array" aca="1" ref="AB96" ca="1">INDIRECT("'※ 영기팀 작성_가입자'!"&amp;AB$1&amp;$AC96, TRUE)</f>
        <v>-0.95262156758550331</v>
      </c>
      <c r="AC96" s="5364">
        <f>ROW('※ 영기팀 작성_가입자'!AH129)</f>
        <v>129</v>
      </c>
      <c r="AD96" s="5360">
        <v>459</v>
      </c>
      <c r="AE96" s="5076">
        <v>1.1519999999999999</v>
      </c>
    </row>
    <row r="97" spans="1:31" ht="18" hidden="1" customHeight="1" x14ac:dyDescent="0.55000000000000004">
      <c r="A97" s="7111"/>
      <c r="B97" s="2639" t="s">
        <v>436</v>
      </c>
      <c r="C97" s="2648"/>
      <c r="D97" s="6039" cm="1">
        <f t="array" aca="1" ref="D97" ca="1">INDIRECT("'※ 영기팀 작성_가입자'!"&amp;D$1&amp;$AC97, TRUE)</f>
        <v>27728094575.11499</v>
      </c>
      <c r="E97" s="6040" cm="1">
        <f t="array" aca="1" ref="E97" ca="1">INDIRECT("'※ 영기팀 작성_가입자'!"&amp;E$1&amp;$AC97, TRUE)</f>
        <v>29370443323.516014</v>
      </c>
      <c r="F97" s="6040" cm="1">
        <f t="array" aca="1" ref="F97" ca="1">INDIRECT("'※ 영기팀 작성_가입자'!"&amp;F$1&amp;$AC97, TRUE)</f>
        <v>0</v>
      </c>
      <c r="G97" s="6040" cm="1">
        <f t="array" aca="1" ref="G97" ca="1">INDIRECT("'※ 영기팀 작성_가입자'!"&amp;G$1&amp;$AC97, TRUE)</f>
        <v>0</v>
      </c>
      <c r="H97" s="6040" cm="1">
        <f t="array" aca="1" ref="H97" ca="1">INDIRECT("'※ 영기팀 작성_가입자'!"&amp;H$1&amp;$AC97, TRUE)</f>
        <v>0</v>
      </c>
      <c r="I97" s="6040" cm="1">
        <f t="array" aca="1" ref="I97" ca="1">INDIRECT("'※ 영기팀 작성_가입자'!"&amp;I$1&amp;$AC97, TRUE)</f>
        <v>0</v>
      </c>
      <c r="J97" s="6040" cm="1">
        <f t="array" aca="1" ref="J97" ca="1">INDIRECT("'※ 영기팀 작성_가입자'!"&amp;J$1&amp;$AC97, TRUE)</f>
        <v>0</v>
      </c>
      <c r="K97" s="6040" cm="1">
        <f t="array" aca="1" ref="K97" ca="1">INDIRECT("'※ 영기팀 작성_가입자'!"&amp;K$1&amp;$AC97, TRUE)</f>
        <v>0</v>
      </c>
      <c r="L97" s="6040"/>
      <c r="M97" s="6040"/>
      <c r="N97" s="6040"/>
      <c r="O97" s="6040"/>
      <c r="P97" s="6040"/>
      <c r="Q97" s="6040"/>
      <c r="R97" s="6041"/>
      <c r="S97" s="6041">
        <f t="shared" ca="1" si="26"/>
        <v>0</v>
      </c>
      <c r="T97" s="6041"/>
      <c r="U97" s="6042">
        <f t="shared" ca="1" si="23"/>
        <v>0</v>
      </c>
      <c r="V97" s="6043" cm="1">
        <f t="array" aca="1" ref="V97" ca="1">INDIRECT("'※ 영기팀 작성_가입자'!"&amp;V$1&amp;$AC97, TRUE)</f>
        <v>-2018552316</v>
      </c>
      <c r="W97" s="6044" cm="1">
        <f t="array" aca="1" ref="W97" ca="1">INDIRECT("'※ 영기팀 작성_가입자'!"&amp;W$1&amp;$AC97, TRUE)</f>
        <v>0</v>
      </c>
      <c r="X97" s="6045"/>
      <c r="Y97" s="6041"/>
      <c r="Z97" s="6046" cm="1">
        <f t="array" aca="1" ref="Z97" ca="1">INDIRECT("'※ 영기팀 작성_가입자'!"&amp;Z$1&amp;$AC97, TRUE)</f>
        <v>-2447536943.6263347</v>
      </c>
      <c r="AA97" s="6047" cm="1">
        <f t="array" aca="1" ref="AA97" ca="1">INDIRECT("'※ 영기팀 작성_가입자'!"&amp;AA$1&amp;$AC97, TRUE)</f>
        <v>0</v>
      </c>
      <c r="AB97" s="6048" cm="1">
        <f t="array" aca="1" ref="AB97" ca="1">INDIRECT("'※ 영기팀 작성_가입자'!"&amp;AB$1&amp;$AC97, TRUE)</f>
        <v>-2018552316</v>
      </c>
      <c r="AC97" s="5364">
        <f>ROW('※ 영기팀 작성_가입자'!AH130)</f>
        <v>130</v>
      </c>
      <c r="AD97" s="5360">
        <v>460</v>
      </c>
    </row>
    <row r="98" spans="1:31" ht="18" hidden="1" customHeight="1" x14ac:dyDescent="0.55000000000000004">
      <c r="A98" s="7112"/>
      <c r="B98" s="6049" t="s">
        <v>437</v>
      </c>
      <c r="C98" s="6049"/>
      <c r="D98" s="6050" cm="1">
        <f t="array" aca="1" ref="D98" ca="1">INDIRECT("'※ 영기팀 작성_가입자'!"&amp;D$1&amp;$AC98, TRUE)</f>
        <v>27081995098.223</v>
      </c>
      <c r="E98" s="6051" cm="1">
        <f t="array" aca="1" ref="E98" ca="1">INDIRECT("'※ 영기팀 작성_가입자'!"&amp;E$1&amp;$AC98, TRUE)</f>
        <v>28726512882.189987</v>
      </c>
      <c r="F98" s="6051" cm="1">
        <f t="array" aca="1" ref="F98" ca="1">INDIRECT("'※ 영기팀 작성_가입자'!"&amp;F$1&amp;$AC98, TRUE)</f>
        <v>0</v>
      </c>
      <c r="G98" s="6051" cm="1">
        <f t="array" aca="1" ref="G98" ca="1">INDIRECT("'※ 영기팀 작성_가입자'!"&amp;G$1&amp;$AC98, TRUE)</f>
        <v>0</v>
      </c>
      <c r="H98" s="6051" cm="1">
        <f t="array" aca="1" ref="H98" ca="1">INDIRECT("'※ 영기팀 작성_가입자'!"&amp;H$1&amp;$AC98, TRUE)</f>
        <v>0</v>
      </c>
      <c r="I98" s="6051" cm="1">
        <f t="array" aca="1" ref="I98" ca="1">INDIRECT("'※ 영기팀 작성_가입자'!"&amp;I$1&amp;$AC98, TRUE)</f>
        <v>0</v>
      </c>
      <c r="J98" s="6051" cm="1">
        <f t="array" aca="1" ref="J98" ca="1">INDIRECT("'※ 영기팀 작성_가입자'!"&amp;J$1&amp;$AC98, TRUE)</f>
        <v>0</v>
      </c>
      <c r="K98" s="6051" cm="1">
        <f t="array" aca="1" ref="K98" ca="1">INDIRECT("'※ 영기팀 작성_가입자'!"&amp;K$1&amp;$AC98, TRUE)</f>
        <v>0</v>
      </c>
      <c r="L98" s="6051"/>
      <c r="M98" s="6051"/>
      <c r="N98" s="6051"/>
      <c r="O98" s="6051"/>
      <c r="P98" s="6051"/>
      <c r="Q98" s="6051"/>
      <c r="R98" s="6052"/>
      <c r="S98" s="6052">
        <f t="shared" ca="1" si="26"/>
        <v>0</v>
      </c>
      <c r="T98" s="6052"/>
      <c r="U98" s="6053">
        <f t="shared" ca="1" si="23"/>
        <v>0</v>
      </c>
      <c r="V98" s="6054" cm="1">
        <f t="array" aca="1" ref="V98" ca="1">INDIRECT("'※ 영기팀 작성_가입자'!"&amp;V$1&amp;$AC98, TRUE)</f>
        <v>-2118944589</v>
      </c>
      <c r="W98" s="6055" cm="1">
        <f t="array" aca="1" ref="W98" ca="1">INDIRECT("'※ 영기팀 작성_가입자'!"&amp;W$1&amp;$AC98, TRUE)</f>
        <v>0</v>
      </c>
      <c r="X98" s="6056"/>
      <c r="Y98" s="6052"/>
      <c r="Z98" s="6057" cm="1">
        <f t="array" aca="1" ref="Z98" ca="1">INDIRECT("'※ 영기팀 작성_가입자'!"&amp;Z$1&amp;$AC98, TRUE)</f>
        <v>-2393876073.5158324</v>
      </c>
      <c r="AA98" s="6058" cm="1">
        <f t="array" aca="1" ref="AA98" ca="1">INDIRECT("'※ 영기팀 작성_가입자'!"&amp;AA$1&amp;$AC98, TRUE)</f>
        <v>0</v>
      </c>
      <c r="AB98" s="6059" cm="1">
        <f t="array" aca="1" ref="AB98" ca="1">INDIRECT("'※ 영기팀 작성_가입자'!"&amp;AB$1&amp;$AC98, TRUE)</f>
        <v>-2118944589</v>
      </c>
      <c r="AC98" s="5364">
        <f>ROW('※ 영기팀 작성_가입자'!AH131)</f>
        <v>131</v>
      </c>
      <c r="AD98" s="5360">
        <v>461</v>
      </c>
    </row>
    <row r="99" spans="1:31" x14ac:dyDescent="0.55000000000000004">
      <c r="B99" s="2682"/>
      <c r="C99" s="2682"/>
      <c r="D99" s="2682"/>
      <c r="E99" s="2682"/>
      <c r="F99" s="2682"/>
      <c r="G99" s="2682"/>
      <c r="H99" s="2682"/>
      <c r="I99" s="2682"/>
      <c r="J99" s="2682"/>
      <c r="K99" s="2682"/>
      <c r="L99" s="2682"/>
      <c r="M99" s="2682"/>
      <c r="N99" s="2682"/>
      <c r="O99" s="2682"/>
      <c r="P99" s="2682"/>
      <c r="Q99" s="2682"/>
      <c r="R99" s="2682"/>
      <c r="S99" s="2682"/>
      <c r="T99" s="2682"/>
      <c r="U99" s="2682"/>
      <c r="V99" s="2682"/>
      <c r="W99" s="2682"/>
      <c r="X99" s="2682"/>
      <c r="Y99" s="2682"/>
      <c r="AE99" s="5354" t="e">
        <f ca="1">W96/AE96</f>
        <v>#DIV/0!</v>
      </c>
    </row>
    <row r="100" spans="1:31" x14ac:dyDescent="0.55000000000000004">
      <c r="B100" s="2682"/>
      <c r="C100" s="2682"/>
      <c r="D100" s="2682"/>
      <c r="E100" s="2682"/>
      <c r="F100" s="2682"/>
      <c r="G100" s="2682"/>
      <c r="H100" s="2682"/>
      <c r="I100" s="2682"/>
      <c r="J100" s="2682"/>
      <c r="K100" s="2682"/>
      <c r="L100" s="2682"/>
      <c r="M100" s="2682"/>
      <c r="N100" s="2682"/>
      <c r="O100" s="2682"/>
      <c r="P100" s="2682"/>
      <c r="Q100" s="2682"/>
      <c r="R100" s="2682"/>
      <c r="S100" s="2682"/>
      <c r="T100" s="2682"/>
      <c r="U100" s="2682"/>
      <c r="V100" s="2682"/>
      <c r="W100" s="2682">
        <v>1.1000000000000001</v>
      </c>
      <c r="X100" s="2682"/>
      <c r="Y100" s="2682"/>
    </row>
    <row r="101" spans="1:31" x14ac:dyDescent="0.55000000000000004"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2682"/>
      <c r="S101" s="2682"/>
      <c r="T101" s="2682"/>
      <c r="U101" s="2682"/>
      <c r="V101" s="2682"/>
      <c r="W101" s="2682"/>
      <c r="X101" s="2682"/>
      <c r="Y101" s="2682"/>
      <c r="AE101" s="5354" t="e">
        <f ca="1">W96-AE96</f>
        <v>#DIV/0!</v>
      </c>
    </row>
    <row r="102" spans="1:31" x14ac:dyDescent="0.55000000000000004"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2682"/>
      <c r="S102" s="2682"/>
      <c r="T102" s="2682"/>
      <c r="U102" s="2682"/>
      <c r="V102" s="2682"/>
      <c r="W102" s="2682"/>
      <c r="X102" s="2682"/>
      <c r="Y102" s="2682"/>
    </row>
    <row r="103" spans="1:31" x14ac:dyDescent="0.55000000000000004"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2682"/>
      <c r="S103" s="2682"/>
      <c r="T103" s="2682"/>
      <c r="U103" s="2682"/>
      <c r="V103" s="2682"/>
      <c r="W103" s="2682">
        <v>1.01</v>
      </c>
      <c r="X103" s="2682"/>
      <c r="Y103" s="2682"/>
    </row>
    <row r="104" spans="1:31" x14ac:dyDescent="0.55000000000000004">
      <c r="B104" s="2682"/>
      <c r="C104" s="2682"/>
      <c r="D104" s="2682"/>
      <c r="E104" s="2682"/>
      <c r="F104" s="2682"/>
      <c r="G104" s="2682"/>
      <c r="H104" s="2682"/>
      <c r="I104" s="2682"/>
      <c r="J104" s="2682"/>
      <c r="K104" s="2682"/>
      <c r="L104" s="2682"/>
      <c r="M104" s="2682"/>
      <c r="N104" s="2682"/>
      <c r="O104" s="2682"/>
      <c r="P104" s="2682"/>
      <c r="Q104" s="2682"/>
      <c r="R104" s="2682"/>
      <c r="S104" s="2682"/>
      <c r="T104" s="2682"/>
      <c r="U104" s="2682"/>
      <c r="V104" s="2682"/>
      <c r="W104" s="2682">
        <v>1.04</v>
      </c>
      <c r="X104" s="2682"/>
      <c r="Y104" s="2682"/>
    </row>
    <row r="105" spans="1:31" x14ac:dyDescent="0.55000000000000004">
      <c r="B105" s="2682"/>
      <c r="C105" s="2682"/>
      <c r="D105" s="2682"/>
      <c r="E105" s="2682"/>
      <c r="F105" s="2682"/>
      <c r="G105" s="2682"/>
      <c r="H105" s="2682"/>
      <c r="I105" s="2682"/>
      <c r="J105" s="2682"/>
      <c r="K105" s="2682"/>
      <c r="L105" s="2682"/>
      <c r="M105" s="2682"/>
      <c r="N105" s="2682"/>
      <c r="O105" s="2682"/>
      <c r="P105" s="2682"/>
      <c r="Q105" s="2682"/>
      <c r="R105" s="2682"/>
      <c r="S105" s="2682"/>
      <c r="T105" s="2682"/>
      <c r="U105" s="2682"/>
      <c r="V105" s="2682"/>
      <c r="W105" s="2682">
        <f>W103-W104</f>
        <v>-3.0000000000000027E-2</v>
      </c>
      <c r="X105" s="2682"/>
      <c r="Y105" s="2682"/>
    </row>
    <row r="106" spans="1:31" x14ac:dyDescent="0.55000000000000004">
      <c r="B106" s="2682"/>
      <c r="C106" s="2682"/>
      <c r="D106" s="2682"/>
      <c r="E106" s="2682"/>
      <c r="F106" s="2682"/>
      <c r="G106" s="2682"/>
      <c r="H106" s="2682"/>
      <c r="I106" s="2682"/>
      <c r="J106" s="2682"/>
      <c r="K106" s="2682"/>
      <c r="L106" s="2682"/>
      <c r="M106" s="2682"/>
      <c r="N106" s="2682"/>
      <c r="O106" s="2682"/>
      <c r="P106" s="2682"/>
      <c r="Q106" s="2682"/>
      <c r="R106" s="2682"/>
      <c r="S106" s="2682"/>
      <c r="T106" s="2682"/>
      <c r="U106" s="2682"/>
      <c r="V106" s="2682"/>
      <c r="W106" s="6060">
        <f>W105/W103</f>
        <v>-2.9702970297029729E-2</v>
      </c>
      <c r="X106" s="2682"/>
      <c r="Y106" s="2682"/>
    </row>
    <row r="107" spans="1:31" x14ac:dyDescent="0.55000000000000004">
      <c r="B107" s="2682"/>
      <c r="C107" s="2682"/>
      <c r="D107" s="2682"/>
      <c r="E107" s="2682"/>
      <c r="F107" s="2682"/>
      <c r="G107" s="2682"/>
      <c r="H107" s="2682"/>
      <c r="I107" s="2682"/>
      <c r="J107" s="2682"/>
      <c r="K107" s="2682"/>
      <c r="L107" s="2682"/>
      <c r="M107" s="2682"/>
      <c r="N107" s="2682"/>
      <c r="O107" s="2682"/>
      <c r="P107" s="2682"/>
      <c r="Q107" s="2682"/>
      <c r="R107" s="2682"/>
      <c r="S107" s="2682"/>
      <c r="T107" s="2682"/>
      <c r="U107" s="2682"/>
      <c r="V107" s="2682"/>
      <c r="W107" s="2682"/>
      <c r="X107" s="2682"/>
      <c r="Y107" s="2682"/>
    </row>
    <row r="108" spans="1:31" x14ac:dyDescent="0.55000000000000004">
      <c r="B108" s="2682"/>
      <c r="C108" s="2682"/>
      <c r="D108" s="2682"/>
      <c r="E108" s="2682"/>
      <c r="F108" s="2682"/>
      <c r="G108" s="2682"/>
      <c r="H108" s="2682"/>
      <c r="I108" s="2682"/>
      <c r="J108" s="2682"/>
      <c r="K108" s="2682"/>
      <c r="L108" s="2682"/>
      <c r="M108" s="2682"/>
      <c r="N108" s="2682"/>
      <c r="O108" s="2682"/>
      <c r="P108" s="2682"/>
      <c r="Q108" s="2682"/>
      <c r="R108" s="2682"/>
      <c r="S108" s="2682"/>
      <c r="T108" s="2682"/>
      <c r="U108" s="2682"/>
      <c r="V108" s="2682"/>
      <c r="W108" s="2682"/>
      <c r="X108" s="2682"/>
      <c r="Y108" s="2682"/>
    </row>
    <row r="109" spans="1:31" x14ac:dyDescent="0.55000000000000004">
      <c r="B109" s="2682"/>
      <c r="C109" s="2682"/>
      <c r="D109" s="2682"/>
      <c r="E109" s="2682"/>
      <c r="F109" s="2682"/>
      <c r="G109" s="2682"/>
      <c r="H109" s="2682"/>
      <c r="I109" s="2682"/>
      <c r="J109" s="2682"/>
      <c r="K109" s="2682"/>
      <c r="L109" s="2682"/>
      <c r="M109" s="2682"/>
      <c r="N109" s="2682"/>
      <c r="O109" s="2682"/>
      <c r="P109" s="2682"/>
      <c r="Q109" s="2682"/>
      <c r="R109" s="2682"/>
      <c r="S109" s="2682"/>
      <c r="T109" s="2682"/>
      <c r="U109" s="2682"/>
      <c r="V109" s="2682"/>
      <c r="W109" s="2682"/>
      <c r="X109" s="2682"/>
      <c r="Y109" s="2682"/>
    </row>
    <row r="110" spans="1:31" x14ac:dyDescent="0.55000000000000004">
      <c r="B110" s="2682"/>
      <c r="C110" s="2682"/>
      <c r="D110" s="2682"/>
      <c r="E110" s="2682"/>
      <c r="F110" s="2682"/>
      <c r="G110" s="2682"/>
      <c r="H110" s="2682"/>
      <c r="I110" s="2682"/>
      <c r="J110" s="2682"/>
      <c r="K110" s="2682"/>
      <c r="L110" s="2682"/>
      <c r="M110" s="2682"/>
      <c r="N110" s="2682"/>
      <c r="O110" s="2682"/>
      <c r="P110" s="2682"/>
      <c r="Q110" s="2682"/>
      <c r="R110" s="2682"/>
      <c r="S110" s="2682"/>
      <c r="T110" s="2682"/>
      <c r="U110" s="2682"/>
      <c r="V110" s="2682"/>
      <c r="W110" s="2682"/>
      <c r="X110" s="2682"/>
      <c r="Y110" s="2682"/>
    </row>
    <row r="111" spans="1:31" x14ac:dyDescent="0.55000000000000004">
      <c r="B111" s="2682"/>
      <c r="C111" s="2682"/>
      <c r="D111" s="2682"/>
      <c r="E111" s="2682"/>
      <c r="F111" s="2682"/>
      <c r="G111" s="2682"/>
      <c r="H111" s="2682"/>
      <c r="I111" s="2682"/>
      <c r="J111" s="2682"/>
      <c r="K111" s="2682"/>
      <c r="L111" s="2682"/>
      <c r="M111" s="2682"/>
      <c r="N111" s="2682"/>
      <c r="O111" s="2682"/>
      <c r="P111" s="2682"/>
      <c r="Q111" s="2682"/>
      <c r="R111" s="2682"/>
      <c r="S111" s="2682"/>
      <c r="T111" s="2682"/>
      <c r="U111" s="2682"/>
      <c r="V111" s="2682"/>
      <c r="W111" s="2682"/>
      <c r="X111" s="2682"/>
      <c r="Y111" s="2682"/>
    </row>
    <row r="112" spans="1:31" ht="15.45" thickBot="1" x14ac:dyDescent="0.6">
      <c r="B112" s="2682"/>
      <c r="C112" s="2682"/>
      <c r="D112" s="2682"/>
      <c r="E112" s="2682"/>
      <c r="F112" s="4268"/>
      <c r="G112" s="4268"/>
      <c r="H112" s="4268"/>
      <c r="I112" s="4268"/>
      <c r="J112" s="4268"/>
      <c r="K112" s="4268"/>
      <c r="L112" s="4268"/>
      <c r="M112" s="4268"/>
      <c r="N112" s="4268"/>
      <c r="O112" s="4268"/>
      <c r="P112" s="4268"/>
      <c r="Q112" s="4268"/>
      <c r="R112" s="4268"/>
      <c r="S112" s="2682"/>
      <c r="T112" s="2682"/>
      <c r="U112" s="2682"/>
      <c r="V112" s="2682"/>
      <c r="W112" s="2682"/>
      <c r="X112" s="2682"/>
      <c r="Y112" s="2682"/>
    </row>
    <row r="113" spans="2:25" x14ac:dyDescent="0.55000000000000004">
      <c r="B113" s="2682"/>
      <c r="C113" s="2682"/>
      <c r="D113" s="2682"/>
      <c r="E113" s="2682"/>
      <c r="F113" s="6061"/>
      <c r="G113" s="5336"/>
      <c r="H113" s="5336"/>
      <c r="I113" s="5336"/>
      <c r="J113" s="5336"/>
      <c r="K113" s="5336"/>
      <c r="L113" s="5336"/>
      <c r="M113" s="5336"/>
      <c r="N113" s="5336"/>
      <c r="O113" s="5336"/>
      <c r="P113" s="5336"/>
      <c r="Q113" s="5336"/>
      <c r="R113" s="5336"/>
      <c r="S113" s="2682"/>
      <c r="T113" s="2682"/>
      <c r="U113" s="2682"/>
      <c r="V113" s="2682"/>
      <c r="W113" s="2682"/>
      <c r="X113" s="2682"/>
      <c r="Y113" s="2682"/>
    </row>
    <row r="114" spans="2:25" x14ac:dyDescent="0.55000000000000004">
      <c r="B114" s="2682"/>
      <c r="C114" s="2682"/>
      <c r="D114" s="2682"/>
      <c r="E114" s="2682"/>
      <c r="F114" s="6062"/>
      <c r="G114" s="6062"/>
      <c r="H114" s="6062"/>
      <c r="I114" s="6062"/>
      <c r="J114" s="6062"/>
      <c r="K114" s="6062"/>
      <c r="L114" s="6062"/>
      <c r="M114" s="6062"/>
      <c r="N114" s="6062"/>
      <c r="O114" s="6062"/>
      <c r="P114" s="6062"/>
      <c r="Q114" s="6062"/>
      <c r="R114" s="6062"/>
      <c r="S114" s="2682"/>
      <c r="T114" s="2682"/>
      <c r="U114" s="2682"/>
      <c r="V114" s="2682"/>
      <c r="W114" s="2682"/>
      <c r="X114" s="2682"/>
      <c r="Y114" s="2682"/>
    </row>
    <row r="115" spans="2:25" x14ac:dyDescent="0.55000000000000004">
      <c r="B115" s="2682"/>
      <c r="C115" s="2682"/>
      <c r="D115" s="2682"/>
      <c r="E115" s="2682"/>
      <c r="F115" s="6063"/>
      <c r="G115" s="6063"/>
      <c r="H115" s="6063"/>
      <c r="I115" s="6063"/>
      <c r="J115" s="6063"/>
      <c r="K115" s="6063"/>
      <c r="L115" s="6063"/>
      <c r="M115" s="6063"/>
      <c r="N115" s="6063"/>
      <c r="O115" s="6063"/>
      <c r="P115" s="6063"/>
      <c r="Q115" s="6063"/>
      <c r="R115" s="6063"/>
      <c r="S115" s="2682"/>
      <c r="T115" s="2682"/>
      <c r="U115" s="2682"/>
      <c r="V115" s="2682"/>
      <c r="W115" s="2682"/>
      <c r="X115" s="2682"/>
      <c r="Y115" s="2682"/>
    </row>
    <row r="116" spans="2:25" x14ac:dyDescent="0.55000000000000004">
      <c r="B116" s="2682"/>
      <c r="C116" s="2682"/>
      <c r="D116" s="2682"/>
      <c r="E116" s="2682"/>
      <c r="F116" s="6063"/>
      <c r="G116" s="6063"/>
      <c r="H116" s="6063"/>
      <c r="I116" s="6063"/>
      <c r="J116" s="6063"/>
      <c r="K116" s="6063"/>
      <c r="L116" s="6063"/>
      <c r="M116" s="6063"/>
      <c r="N116" s="6063"/>
      <c r="O116" s="6063"/>
      <c r="P116" s="6063"/>
      <c r="Q116" s="6063"/>
      <c r="R116" s="6063"/>
      <c r="S116" s="2682"/>
      <c r="T116" s="2682"/>
      <c r="U116" s="2682"/>
      <c r="V116" s="2682"/>
      <c r="W116" s="2682"/>
      <c r="X116" s="2682"/>
      <c r="Y116" s="2682"/>
    </row>
    <row r="117" spans="2:25" x14ac:dyDescent="0.55000000000000004">
      <c r="B117" s="2682"/>
      <c r="C117" s="2682"/>
      <c r="D117" s="2682"/>
      <c r="E117" s="2682"/>
      <c r="F117" s="5297"/>
      <c r="G117" s="5297"/>
      <c r="H117" s="5297"/>
      <c r="I117" s="5297"/>
      <c r="J117" s="5297"/>
      <c r="K117" s="5297"/>
      <c r="L117" s="5297"/>
      <c r="M117" s="5297"/>
      <c r="N117" s="5297"/>
      <c r="O117" s="5297"/>
      <c r="P117" s="5297"/>
      <c r="Q117" s="5297"/>
      <c r="R117" s="5297"/>
      <c r="S117" s="2682"/>
      <c r="T117" s="2682"/>
      <c r="U117" s="2682"/>
      <c r="V117" s="2682"/>
      <c r="W117" s="2682"/>
      <c r="X117" s="2682"/>
      <c r="Y117" s="2682"/>
    </row>
    <row r="118" spans="2:25" x14ac:dyDescent="0.55000000000000004">
      <c r="F118" s="3263"/>
      <c r="G118" s="3263"/>
      <c r="H118" s="3263"/>
      <c r="I118" s="3263"/>
      <c r="J118" s="3263"/>
      <c r="K118" s="3263"/>
      <c r="L118" s="3263"/>
      <c r="M118" s="3263"/>
      <c r="N118" s="3263"/>
      <c r="O118" s="3263"/>
      <c r="P118" s="3263"/>
      <c r="Q118" s="3263"/>
      <c r="R118" s="3263"/>
    </row>
    <row r="119" spans="2:25" x14ac:dyDescent="0.55000000000000004">
      <c r="F119" s="3263"/>
      <c r="G119" s="3263"/>
      <c r="H119" s="3263"/>
      <c r="I119" s="3263"/>
      <c r="J119" s="3263"/>
      <c r="K119" s="3263"/>
      <c r="L119" s="3263"/>
      <c r="M119" s="3263"/>
      <c r="N119" s="3263"/>
      <c r="O119" s="3263"/>
      <c r="P119" s="3263"/>
      <c r="Q119" s="3263"/>
      <c r="R119" s="3263"/>
    </row>
    <row r="120" spans="2:25" x14ac:dyDescent="0.55000000000000004">
      <c r="F120" s="3263"/>
      <c r="G120" s="3263"/>
      <c r="H120" s="3263"/>
      <c r="I120" s="3263"/>
      <c r="J120" s="3263"/>
      <c r="K120" s="3263"/>
      <c r="L120" s="3263"/>
      <c r="M120" s="3263"/>
      <c r="N120" s="3263"/>
      <c r="O120" s="3263"/>
      <c r="P120" s="3263"/>
      <c r="Q120" s="3263"/>
      <c r="R120" s="3263"/>
    </row>
    <row r="121" spans="2:25" x14ac:dyDescent="0.55000000000000004">
      <c r="F121" s="5786"/>
      <c r="G121" s="5786"/>
      <c r="H121" s="5786"/>
      <c r="I121" s="5786"/>
      <c r="J121" s="5786"/>
      <c r="K121" s="5786"/>
      <c r="L121" s="5786"/>
      <c r="M121" s="5786"/>
      <c r="N121" s="5786"/>
      <c r="O121" s="5786"/>
      <c r="P121" s="5786"/>
      <c r="Q121" s="5786"/>
      <c r="R121" s="5786"/>
    </row>
    <row r="122" spans="2:25" x14ac:dyDescent="0.55000000000000004">
      <c r="F122" s="5286"/>
      <c r="G122" s="5337"/>
      <c r="H122" s="5337"/>
      <c r="I122" s="5337"/>
      <c r="J122" s="5337"/>
      <c r="K122" s="5337"/>
      <c r="L122" s="5337"/>
      <c r="M122" s="5337"/>
      <c r="N122" s="5337"/>
      <c r="O122" s="5337"/>
      <c r="P122" s="5337"/>
      <c r="Q122" s="5337"/>
      <c r="R122" s="5337"/>
    </row>
    <row r="123" spans="2:25" x14ac:dyDescent="0.55000000000000004">
      <c r="F123" s="5262"/>
      <c r="G123" s="5262"/>
      <c r="H123" s="5262"/>
      <c r="I123" s="5262"/>
      <c r="J123" s="5262"/>
      <c r="K123" s="5262"/>
      <c r="L123" s="5262"/>
      <c r="M123" s="5262"/>
      <c r="N123" s="5262"/>
      <c r="O123" s="5262"/>
      <c r="P123" s="5262"/>
      <c r="Q123" s="5262"/>
      <c r="R123" s="5262"/>
    </row>
    <row r="124" spans="2:25" x14ac:dyDescent="0.55000000000000004">
      <c r="F124" s="3263"/>
      <c r="G124" s="3263"/>
      <c r="H124" s="3263"/>
      <c r="I124" s="3263"/>
      <c r="J124" s="3263"/>
      <c r="K124" s="3263"/>
      <c r="L124" s="3263"/>
      <c r="M124" s="3263"/>
      <c r="N124" s="3263"/>
      <c r="O124" s="3263"/>
      <c r="P124" s="3263"/>
      <c r="Q124" s="3263"/>
      <c r="R124" s="3263"/>
    </row>
    <row r="125" spans="2:25" x14ac:dyDescent="0.55000000000000004">
      <c r="F125" s="3263"/>
      <c r="G125" s="3263"/>
      <c r="H125" s="3263"/>
      <c r="I125" s="3263"/>
      <c r="J125" s="3263"/>
      <c r="K125" s="3263"/>
      <c r="L125" s="3263"/>
      <c r="M125" s="3263"/>
      <c r="N125" s="3263"/>
      <c r="O125" s="3263"/>
      <c r="P125" s="3263"/>
      <c r="Q125" s="3263"/>
      <c r="R125" s="3263"/>
    </row>
    <row r="126" spans="2:25" x14ac:dyDescent="0.55000000000000004">
      <c r="F126" s="3263"/>
      <c r="G126" s="3263"/>
      <c r="H126" s="3263"/>
      <c r="I126" s="3263"/>
      <c r="J126" s="3263"/>
      <c r="K126" s="3263"/>
      <c r="L126" s="3263"/>
      <c r="M126" s="3263"/>
      <c r="N126" s="3263"/>
      <c r="O126" s="3263"/>
      <c r="P126" s="3263"/>
      <c r="Q126" s="3263"/>
      <c r="R126" s="3263"/>
    </row>
    <row r="127" spans="2:25" x14ac:dyDescent="0.55000000000000004">
      <c r="F127" s="3263"/>
      <c r="G127" s="3263"/>
      <c r="H127" s="3263"/>
      <c r="I127" s="3263"/>
      <c r="J127" s="3263"/>
      <c r="K127" s="3263"/>
      <c r="L127" s="3263"/>
      <c r="M127" s="3263"/>
      <c r="N127" s="3263"/>
      <c r="O127" s="3263"/>
      <c r="P127" s="3263"/>
      <c r="Q127" s="3263"/>
      <c r="R127" s="3263"/>
    </row>
    <row r="128" spans="2:25" x14ac:dyDescent="0.55000000000000004">
      <c r="F128" s="3263"/>
      <c r="G128" s="3263"/>
      <c r="H128" s="3263"/>
      <c r="I128" s="3263"/>
      <c r="J128" s="3263"/>
      <c r="K128" s="3263"/>
      <c r="L128" s="3263"/>
      <c r="M128" s="3263"/>
      <c r="N128" s="3263"/>
      <c r="O128" s="3263"/>
      <c r="P128" s="3263"/>
      <c r="Q128" s="3263"/>
      <c r="R128" s="3263"/>
    </row>
    <row r="129" spans="6:18" x14ac:dyDescent="0.55000000000000004">
      <c r="F129" s="3263"/>
      <c r="G129" s="3263"/>
      <c r="H129" s="3263"/>
      <c r="I129" s="3263"/>
      <c r="J129" s="3263"/>
      <c r="K129" s="3263"/>
      <c r="L129" s="3263"/>
      <c r="M129" s="3263"/>
      <c r="N129" s="3263"/>
      <c r="O129" s="3263"/>
      <c r="P129" s="3263"/>
      <c r="Q129" s="3263"/>
      <c r="R129" s="3263"/>
    </row>
    <row r="130" spans="6:18" x14ac:dyDescent="0.55000000000000004">
      <c r="F130" s="5257"/>
      <c r="G130" s="5257"/>
      <c r="H130" s="5257"/>
      <c r="I130" s="5257"/>
      <c r="J130" s="5257"/>
      <c r="K130" s="5257"/>
      <c r="L130" s="5257"/>
      <c r="M130" s="5257"/>
      <c r="N130" s="5257"/>
      <c r="O130" s="5257"/>
      <c r="P130" s="5257"/>
      <c r="Q130" s="5257"/>
      <c r="R130" s="5257"/>
    </row>
    <row r="131" spans="6:18" x14ac:dyDescent="0.55000000000000004">
      <c r="F131" s="5811"/>
      <c r="G131" s="5786"/>
      <c r="H131" s="5786"/>
      <c r="I131" s="5786"/>
      <c r="J131" s="5786"/>
      <c r="K131" s="5786"/>
      <c r="L131" s="5786"/>
      <c r="M131" s="5786"/>
      <c r="N131" s="5786"/>
      <c r="O131" s="5786"/>
      <c r="P131" s="5786"/>
      <c r="Q131" s="5786"/>
      <c r="R131" s="5786"/>
    </row>
    <row r="132" spans="6:18" x14ac:dyDescent="0.55000000000000004">
      <c r="F132" s="5286"/>
      <c r="G132" s="5337"/>
      <c r="H132" s="5337"/>
      <c r="I132" s="5337"/>
      <c r="J132" s="5337"/>
      <c r="K132" s="5337"/>
      <c r="L132" s="5337"/>
      <c r="M132" s="5337"/>
      <c r="N132" s="5337"/>
      <c r="O132" s="5337"/>
      <c r="P132" s="5337"/>
      <c r="Q132" s="5337"/>
      <c r="R132" s="5337"/>
    </row>
    <row r="133" spans="6:18" x14ac:dyDescent="0.55000000000000004">
      <c r="F133" s="5262"/>
      <c r="G133" s="5262"/>
      <c r="H133" s="5262"/>
      <c r="I133" s="5262"/>
      <c r="J133" s="5262"/>
      <c r="K133" s="5262"/>
      <c r="L133" s="5262"/>
      <c r="M133" s="5262"/>
      <c r="N133" s="5262"/>
      <c r="O133" s="5262"/>
      <c r="P133" s="5262"/>
      <c r="Q133" s="5262"/>
      <c r="R133" s="5262"/>
    </row>
    <row r="134" spans="6:18" x14ac:dyDescent="0.55000000000000004">
      <c r="F134" s="3263"/>
      <c r="G134" s="3263"/>
      <c r="H134" s="3263"/>
      <c r="I134" s="3263"/>
      <c r="J134" s="3263"/>
      <c r="K134" s="3263"/>
      <c r="L134" s="3263"/>
      <c r="M134" s="3263"/>
      <c r="N134" s="3263"/>
      <c r="O134" s="3263"/>
      <c r="P134" s="3263"/>
      <c r="Q134" s="3263"/>
      <c r="R134" s="3263"/>
    </row>
    <row r="135" spans="6:18" x14ac:dyDescent="0.55000000000000004">
      <c r="F135" s="3263"/>
      <c r="G135" s="3263"/>
      <c r="H135" s="3263"/>
      <c r="I135" s="3263"/>
      <c r="J135" s="3263"/>
      <c r="K135" s="3263"/>
      <c r="L135" s="3263"/>
      <c r="M135" s="3263"/>
      <c r="N135" s="3263"/>
      <c r="O135" s="3263"/>
      <c r="P135" s="3263"/>
      <c r="Q135" s="3263"/>
      <c r="R135" s="3263"/>
    </row>
    <row r="136" spans="6:18" x14ac:dyDescent="0.55000000000000004">
      <c r="F136" s="3263"/>
      <c r="G136" s="3263"/>
      <c r="H136" s="3263"/>
      <c r="I136" s="3263"/>
      <c r="J136" s="3263"/>
      <c r="K136" s="3263"/>
      <c r="L136" s="3263"/>
      <c r="M136" s="3263"/>
      <c r="N136" s="3263"/>
      <c r="O136" s="3263"/>
      <c r="P136" s="3263"/>
      <c r="Q136" s="3263"/>
      <c r="R136" s="3263"/>
    </row>
    <row r="137" spans="6:18" x14ac:dyDescent="0.55000000000000004">
      <c r="F137" s="3263"/>
      <c r="G137" s="3263"/>
      <c r="H137" s="3263"/>
      <c r="I137" s="3263"/>
      <c r="J137" s="3263"/>
      <c r="K137" s="3263"/>
      <c r="L137" s="3263"/>
      <c r="M137" s="3263"/>
      <c r="N137" s="3263"/>
      <c r="O137" s="3263"/>
      <c r="P137" s="3263"/>
      <c r="Q137" s="3263"/>
      <c r="R137" s="3263"/>
    </row>
    <row r="138" spans="6:18" x14ac:dyDescent="0.55000000000000004">
      <c r="F138" s="3263"/>
      <c r="G138" s="3263"/>
      <c r="H138" s="3263"/>
      <c r="I138" s="3263"/>
      <c r="J138" s="3263"/>
      <c r="K138" s="3263"/>
      <c r="L138" s="3263"/>
      <c r="M138" s="3263"/>
      <c r="N138" s="3263"/>
      <c r="O138" s="3263"/>
      <c r="P138" s="3263"/>
      <c r="Q138" s="3263"/>
      <c r="R138" s="3263"/>
    </row>
    <row r="139" spans="6:18" x14ac:dyDescent="0.55000000000000004">
      <c r="F139" s="3263"/>
      <c r="G139" s="3263"/>
      <c r="H139" s="3263"/>
      <c r="I139" s="3263"/>
      <c r="J139" s="3263"/>
      <c r="K139" s="3263"/>
      <c r="L139" s="3263"/>
      <c r="M139" s="3263"/>
      <c r="N139" s="3263"/>
      <c r="O139" s="3263"/>
      <c r="P139" s="3263"/>
      <c r="Q139" s="3263"/>
      <c r="R139" s="3263"/>
    </row>
    <row r="140" spans="6:18" x14ac:dyDescent="0.55000000000000004">
      <c r="F140" s="3263"/>
      <c r="G140" s="3263"/>
      <c r="H140" s="3263"/>
      <c r="I140" s="3263"/>
      <c r="J140" s="3263"/>
      <c r="K140" s="3263"/>
      <c r="L140" s="3263"/>
      <c r="M140" s="3263"/>
      <c r="N140" s="3263"/>
      <c r="O140" s="3263"/>
      <c r="P140" s="3263"/>
      <c r="Q140" s="3263"/>
      <c r="R140" s="3263"/>
    </row>
    <row r="141" spans="6:18" x14ac:dyDescent="0.55000000000000004">
      <c r="F141" s="5811"/>
      <c r="G141" s="5786"/>
      <c r="H141" s="5786"/>
      <c r="I141" s="5786"/>
      <c r="J141" s="5786"/>
      <c r="K141" s="5786"/>
      <c r="L141" s="5786"/>
      <c r="M141" s="5786"/>
      <c r="N141" s="5786"/>
      <c r="O141" s="5786"/>
      <c r="P141" s="5786"/>
      <c r="Q141" s="5786"/>
      <c r="R141" s="5786"/>
    </row>
    <row r="142" spans="6:18" x14ac:dyDescent="0.55000000000000004">
      <c r="F142" s="3263"/>
      <c r="G142" s="3263"/>
      <c r="H142" s="3263"/>
      <c r="I142" s="3263"/>
      <c r="J142" s="3263"/>
      <c r="K142" s="3263"/>
      <c r="L142" s="3263"/>
      <c r="M142" s="3263"/>
      <c r="N142" s="3263"/>
      <c r="O142" s="3263"/>
      <c r="P142" s="3263"/>
      <c r="Q142" s="3263"/>
      <c r="R142" s="3263"/>
    </row>
    <row r="143" spans="6:18" x14ac:dyDescent="0.55000000000000004">
      <c r="F143" s="5286"/>
      <c r="G143" s="5337"/>
      <c r="H143" s="5337"/>
      <c r="I143" s="5337"/>
      <c r="J143" s="5337"/>
      <c r="K143" s="5337"/>
      <c r="L143" s="5337"/>
      <c r="M143" s="5337"/>
      <c r="N143" s="5337"/>
      <c r="O143" s="5337"/>
      <c r="P143" s="5337"/>
      <c r="Q143" s="5337"/>
      <c r="R143" s="5337"/>
    </row>
    <row r="144" spans="6:18" x14ac:dyDescent="0.55000000000000004">
      <c r="F144" s="3263"/>
      <c r="G144" s="3263"/>
      <c r="H144" s="3263"/>
      <c r="I144" s="3263"/>
      <c r="J144" s="3263"/>
      <c r="K144" s="3263"/>
      <c r="L144" s="3263"/>
      <c r="M144" s="3263"/>
      <c r="N144" s="3263"/>
      <c r="O144" s="3263"/>
      <c r="P144" s="3263"/>
      <c r="Q144" s="3263"/>
      <c r="R144" s="3263"/>
    </row>
    <row r="145" spans="6:19" x14ac:dyDescent="0.55000000000000004">
      <c r="F145" s="3263"/>
      <c r="G145" s="3263"/>
      <c r="H145" s="3263"/>
      <c r="I145" s="3263"/>
      <c r="J145" s="3263"/>
      <c r="K145" s="3263"/>
      <c r="L145" s="3263"/>
      <c r="M145" s="3263"/>
      <c r="N145" s="3263"/>
      <c r="O145" s="3263"/>
      <c r="P145" s="3263"/>
      <c r="Q145" s="3263"/>
      <c r="R145" s="3263"/>
    </row>
    <row r="146" spans="6:19" x14ac:dyDescent="0.55000000000000004">
      <c r="F146" s="3263"/>
      <c r="G146" s="3263"/>
      <c r="H146" s="3263"/>
      <c r="I146" s="3263"/>
      <c r="J146" s="3263"/>
      <c r="K146" s="3263"/>
      <c r="L146" s="3263"/>
      <c r="M146" s="3263"/>
      <c r="N146" s="3263"/>
      <c r="O146" s="3263"/>
      <c r="P146" s="3263"/>
      <c r="Q146" s="3263"/>
      <c r="R146" s="3263"/>
      <c r="S146" s="3263"/>
    </row>
    <row r="147" spans="6:19" ht="15.45" thickBot="1" x14ac:dyDescent="0.6">
      <c r="F147" s="6064"/>
      <c r="G147" s="5786"/>
      <c r="H147" s="5786"/>
      <c r="I147" s="5786"/>
      <c r="J147" s="5786"/>
      <c r="K147" s="5786"/>
      <c r="L147" s="5786"/>
      <c r="M147" s="5786"/>
      <c r="N147" s="5786"/>
      <c r="O147" s="5786"/>
      <c r="P147" s="5786"/>
      <c r="Q147" s="5786"/>
      <c r="R147" s="5786"/>
    </row>
    <row r="148" spans="6:19" ht="15.45" thickBot="1" x14ac:dyDescent="0.6"/>
    <row r="149" spans="6:19" x14ac:dyDescent="0.55000000000000004">
      <c r="F149" s="6065"/>
      <c r="G149" s="6066"/>
      <c r="H149" s="6066"/>
      <c r="I149" s="6066"/>
      <c r="J149" s="6066"/>
      <c r="K149" s="6066"/>
      <c r="L149" s="6066"/>
      <c r="M149" s="6066"/>
      <c r="N149" s="6066"/>
      <c r="O149" s="6066"/>
      <c r="P149" s="6066"/>
      <c r="Q149" s="6066"/>
      <c r="R149" s="6066"/>
    </row>
    <row r="150" spans="6:19" x14ac:dyDescent="0.55000000000000004">
      <c r="F150" s="3263"/>
      <c r="G150" s="3263"/>
      <c r="H150" s="3263"/>
      <c r="I150" s="3263"/>
      <c r="J150" s="3263"/>
      <c r="K150" s="3263"/>
      <c r="L150" s="3263"/>
      <c r="M150" s="3263"/>
      <c r="N150" s="3263"/>
      <c r="O150" s="3263"/>
      <c r="P150" s="3263"/>
      <c r="Q150" s="3263"/>
      <c r="R150" s="3263"/>
    </row>
    <row r="151" spans="6:19" x14ac:dyDescent="0.55000000000000004">
      <c r="F151" s="6067"/>
      <c r="G151" s="6067"/>
      <c r="H151" s="6067"/>
      <c r="I151" s="6067"/>
      <c r="J151" s="6067"/>
      <c r="K151" s="6067"/>
      <c r="L151" s="6067"/>
      <c r="M151" s="6067"/>
      <c r="N151" s="6067"/>
      <c r="O151" s="6067"/>
      <c r="P151" s="6067"/>
      <c r="Q151" s="6067"/>
      <c r="R151" s="6067"/>
    </row>
    <row r="152" spans="6:19" x14ac:dyDescent="0.55000000000000004">
      <c r="F152" s="6068"/>
      <c r="G152" s="6068"/>
      <c r="H152" s="6068"/>
      <c r="I152" s="6068"/>
      <c r="J152" s="6068"/>
      <c r="K152" s="6068"/>
      <c r="L152" s="6068"/>
      <c r="M152" s="6068"/>
      <c r="N152" s="6068"/>
      <c r="O152" s="6068"/>
      <c r="P152" s="6068"/>
      <c r="Q152" s="6068"/>
      <c r="R152" s="6068"/>
    </row>
    <row r="153" spans="6:19" x14ac:dyDescent="0.55000000000000004">
      <c r="F153" s="6069"/>
      <c r="G153" s="6069"/>
      <c r="H153" s="6069"/>
      <c r="I153" s="6069"/>
      <c r="J153" s="6069"/>
      <c r="K153" s="6069"/>
      <c r="L153" s="6069"/>
      <c r="M153" s="6069"/>
      <c r="N153" s="6069"/>
      <c r="O153" s="6069"/>
      <c r="P153" s="6069"/>
      <c r="Q153" s="6069"/>
      <c r="R153" s="6069"/>
    </row>
    <row r="154" spans="6:19" x14ac:dyDescent="0.55000000000000004">
      <c r="F154" s="3263"/>
      <c r="G154" s="3263"/>
      <c r="H154" s="3263"/>
      <c r="I154" s="3263"/>
      <c r="J154" s="3263"/>
      <c r="K154" s="3263"/>
      <c r="L154" s="3263"/>
      <c r="M154" s="3263"/>
      <c r="N154" s="3263"/>
      <c r="O154" s="3263"/>
      <c r="P154" s="3263"/>
      <c r="Q154" s="3263"/>
      <c r="R154" s="3263"/>
    </row>
    <row r="155" spans="6:19" x14ac:dyDescent="0.55000000000000004">
      <c r="F155" s="6070"/>
      <c r="G155" s="3263"/>
      <c r="H155" s="3263"/>
      <c r="I155" s="3263"/>
      <c r="J155" s="3263"/>
      <c r="K155" s="3263"/>
      <c r="L155" s="3263"/>
      <c r="M155" s="3263"/>
      <c r="N155" s="3263"/>
      <c r="O155" s="3263"/>
      <c r="P155" s="3263"/>
      <c r="Q155" s="3263"/>
      <c r="R155" s="3263"/>
    </row>
    <row r="156" spans="6:19" x14ac:dyDescent="0.55000000000000004">
      <c r="F156" s="3263"/>
      <c r="G156" s="3263"/>
      <c r="H156" s="3263"/>
      <c r="I156" s="3263"/>
      <c r="J156" s="3263"/>
      <c r="K156" s="3263"/>
      <c r="L156" s="3263"/>
      <c r="M156" s="3263"/>
      <c r="N156" s="3263"/>
      <c r="O156" s="3263"/>
      <c r="P156" s="3263"/>
      <c r="Q156" s="3263"/>
      <c r="R156" s="3263"/>
    </row>
    <row r="157" spans="6:19" x14ac:dyDescent="0.55000000000000004">
      <c r="F157" s="3263"/>
      <c r="G157" s="3263"/>
      <c r="H157" s="3263"/>
      <c r="I157" s="3263"/>
      <c r="J157" s="3263"/>
      <c r="K157" s="3263"/>
      <c r="L157" s="3263"/>
      <c r="M157" s="3263"/>
      <c r="N157" s="3263"/>
      <c r="O157" s="3263"/>
      <c r="P157" s="3263"/>
      <c r="Q157" s="3263"/>
      <c r="R157" s="3263"/>
    </row>
    <row r="158" spans="6:19" x14ac:dyDescent="0.55000000000000004">
      <c r="F158" s="3263"/>
      <c r="G158" s="3263"/>
      <c r="H158" s="3263"/>
      <c r="I158" s="3263"/>
      <c r="J158" s="3263"/>
      <c r="K158" s="3263"/>
      <c r="L158" s="3263"/>
      <c r="M158" s="3263"/>
      <c r="N158" s="3263"/>
      <c r="O158" s="3263"/>
      <c r="P158" s="3263"/>
      <c r="Q158" s="3263"/>
      <c r="R158" s="3263"/>
    </row>
    <row r="159" spans="6:19" x14ac:dyDescent="0.55000000000000004">
      <c r="F159" s="3263"/>
      <c r="G159" s="3263"/>
      <c r="H159" s="3263"/>
      <c r="I159" s="3263"/>
      <c r="J159" s="3263"/>
      <c r="K159" s="3263"/>
      <c r="L159" s="3263"/>
      <c r="M159" s="3263"/>
      <c r="N159" s="3263"/>
      <c r="O159" s="3263"/>
      <c r="P159" s="3263"/>
      <c r="Q159" s="3263"/>
      <c r="R159" s="3263"/>
    </row>
    <row r="160" spans="6:19" x14ac:dyDescent="0.55000000000000004">
      <c r="F160" s="3263"/>
      <c r="G160" s="3263"/>
      <c r="H160" s="3263"/>
      <c r="I160" s="3263"/>
      <c r="J160" s="3263"/>
      <c r="K160" s="3263"/>
      <c r="L160" s="3263"/>
      <c r="M160" s="3263"/>
      <c r="N160" s="3263"/>
      <c r="O160" s="3263"/>
      <c r="P160" s="3263"/>
      <c r="Q160" s="3263"/>
      <c r="R160" s="3263"/>
    </row>
    <row r="161" spans="6:18" x14ac:dyDescent="0.55000000000000004">
      <c r="F161" s="6070"/>
      <c r="G161" s="3263"/>
      <c r="H161" s="3263"/>
      <c r="I161" s="3263"/>
      <c r="J161" s="3263"/>
      <c r="K161" s="3263"/>
      <c r="L161" s="3263"/>
      <c r="M161" s="3263"/>
      <c r="N161" s="3263"/>
      <c r="O161" s="3263"/>
      <c r="P161" s="3263"/>
      <c r="Q161" s="3263"/>
      <c r="R161" s="3263"/>
    </row>
    <row r="163" spans="6:18" x14ac:dyDescent="0.55000000000000004">
      <c r="F163" s="6071"/>
      <c r="G163" s="6066"/>
      <c r="H163" s="6066"/>
      <c r="I163" s="6066"/>
      <c r="J163" s="6066"/>
      <c r="K163" s="6066"/>
      <c r="L163" s="6066"/>
      <c r="M163" s="6066"/>
      <c r="N163" s="6066"/>
      <c r="O163" s="6066"/>
      <c r="P163" s="6066"/>
      <c r="Q163" s="6066"/>
      <c r="R163" s="6066"/>
    </row>
    <row r="164" spans="6:18" x14ac:dyDescent="0.55000000000000004">
      <c r="F164" s="6072"/>
      <c r="G164" s="6072"/>
      <c r="H164" s="6072"/>
      <c r="I164" s="6072"/>
      <c r="J164" s="6072"/>
      <c r="K164" s="6072"/>
      <c r="L164" s="6072"/>
      <c r="M164" s="6072"/>
      <c r="N164" s="6072"/>
      <c r="O164" s="6072"/>
      <c r="P164" s="6072"/>
      <c r="Q164" s="6072"/>
      <c r="R164" s="6072"/>
    </row>
    <row r="165" spans="6:18" x14ac:dyDescent="0.55000000000000004">
      <c r="F165" s="6072"/>
      <c r="G165" s="6072"/>
      <c r="H165" s="6072"/>
      <c r="I165" s="6072"/>
      <c r="J165" s="6072"/>
      <c r="K165" s="6072"/>
      <c r="L165" s="6072"/>
      <c r="M165" s="6072"/>
      <c r="N165" s="6072"/>
      <c r="O165" s="6072"/>
      <c r="P165" s="6072"/>
      <c r="Q165" s="6072"/>
      <c r="R165" s="6072"/>
    </row>
    <row r="166" spans="6:18" x14ac:dyDescent="0.55000000000000004">
      <c r="F166" s="6072"/>
      <c r="G166" s="6072"/>
      <c r="H166" s="6072"/>
      <c r="I166" s="6072"/>
      <c r="J166" s="6072"/>
      <c r="K166" s="6072"/>
      <c r="L166" s="6072"/>
      <c r="M166" s="6072"/>
      <c r="N166" s="6072"/>
      <c r="O166" s="6072"/>
      <c r="P166" s="6072"/>
      <c r="Q166" s="6072"/>
      <c r="R166" s="6072"/>
    </row>
    <row r="167" spans="6:18" x14ac:dyDescent="0.55000000000000004">
      <c r="F167" s="6072"/>
      <c r="G167" s="6072"/>
      <c r="H167" s="6072"/>
      <c r="I167" s="6072"/>
      <c r="J167" s="6072"/>
      <c r="K167" s="6072"/>
      <c r="L167" s="6072"/>
      <c r="M167" s="6072"/>
      <c r="N167" s="6072"/>
      <c r="O167" s="6072"/>
      <c r="P167" s="6072"/>
      <c r="Q167" s="6072"/>
      <c r="R167" s="6072"/>
    </row>
    <row r="168" spans="6:18" x14ac:dyDescent="0.55000000000000004">
      <c r="F168" s="6073"/>
      <c r="G168" s="6072"/>
      <c r="H168" s="6072"/>
      <c r="I168" s="6072"/>
      <c r="J168" s="6072"/>
      <c r="K168" s="6072"/>
      <c r="L168" s="6072"/>
      <c r="M168" s="6072"/>
      <c r="N168" s="6072"/>
      <c r="O168" s="6072"/>
      <c r="P168" s="6072"/>
      <c r="Q168" s="6072"/>
      <c r="R168" s="6072"/>
    </row>
    <row r="169" spans="6:18" x14ac:dyDescent="0.55000000000000004">
      <c r="F169" s="3263"/>
      <c r="G169" s="3263"/>
      <c r="H169" s="3263"/>
      <c r="I169" s="3263"/>
      <c r="J169" s="3263"/>
      <c r="K169" s="3263"/>
      <c r="L169" s="3263"/>
      <c r="M169" s="3263"/>
      <c r="N169" s="3263"/>
      <c r="O169" s="3263"/>
      <c r="P169" s="3263"/>
      <c r="Q169" s="3263"/>
      <c r="R169" s="3263"/>
    </row>
    <row r="170" spans="6:18" x14ac:dyDescent="0.55000000000000004">
      <c r="F170" s="3263"/>
      <c r="G170" s="3263"/>
      <c r="H170" s="3263"/>
      <c r="I170" s="3263"/>
      <c r="J170" s="3263"/>
      <c r="K170" s="3263"/>
      <c r="L170" s="3263"/>
      <c r="M170" s="3263"/>
      <c r="N170" s="3263"/>
      <c r="O170" s="3263"/>
      <c r="P170" s="3263"/>
      <c r="Q170" s="3263"/>
      <c r="R170" s="3263"/>
    </row>
    <row r="171" spans="6:18" x14ac:dyDescent="0.55000000000000004">
      <c r="F171" s="3263"/>
      <c r="G171" s="3263"/>
      <c r="H171" s="3263"/>
      <c r="I171" s="3263"/>
      <c r="J171" s="3263"/>
      <c r="K171" s="3263"/>
      <c r="L171" s="3263"/>
      <c r="M171" s="3263"/>
      <c r="N171" s="3263"/>
      <c r="O171" s="3263"/>
      <c r="P171" s="3263"/>
      <c r="Q171" s="3263"/>
      <c r="R171" s="3263"/>
    </row>
    <row r="172" spans="6:18" x14ac:dyDescent="0.55000000000000004">
      <c r="F172" s="3263"/>
      <c r="G172" s="3263"/>
      <c r="H172" s="3263"/>
      <c r="I172" s="3263"/>
      <c r="J172" s="3263"/>
      <c r="K172" s="3263"/>
      <c r="L172" s="3263"/>
      <c r="M172" s="3263"/>
      <c r="N172" s="3263"/>
      <c r="O172" s="3263"/>
      <c r="P172" s="3263"/>
      <c r="Q172" s="3263"/>
      <c r="R172" s="3263"/>
    </row>
    <row r="173" spans="6:18" x14ac:dyDescent="0.55000000000000004">
      <c r="F173" s="3263"/>
      <c r="G173" s="3263"/>
      <c r="H173" s="3263"/>
      <c r="I173" s="3263"/>
      <c r="J173" s="3263"/>
      <c r="K173" s="3263"/>
      <c r="L173" s="3263"/>
      <c r="M173" s="3263"/>
      <c r="N173" s="3263"/>
      <c r="O173" s="3263"/>
      <c r="P173" s="3263"/>
      <c r="Q173" s="3263"/>
      <c r="R173" s="3263"/>
    </row>
    <row r="174" spans="6:18" x14ac:dyDescent="0.55000000000000004">
      <c r="F174" s="3263"/>
      <c r="G174" s="3263"/>
      <c r="H174" s="3263"/>
      <c r="I174" s="3263"/>
      <c r="J174" s="3263"/>
      <c r="K174" s="3263"/>
      <c r="L174" s="3263"/>
      <c r="M174" s="3263"/>
      <c r="N174" s="3263"/>
      <c r="O174" s="3263"/>
      <c r="P174" s="3263"/>
      <c r="Q174" s="3263"/>
      <c r="R174" s="3263"/>
    </row>
    <row r="175" spans="6:18" x14ac:dyDescent="0.55000000000000004">
      <c r="F175" s="3263"/>
      <c r="G175" s="3263"/>
      <c r="H175" s="3263"/>
      <c r="I175" s="3263"/>
      <c r="J175" s="3263"/>
      <c r="K175" s="3263"/>
      <c r="L175" s="3263"/>
      <c r="M175" s="3263"/>
      <c r="N175" s="3263"/>
      <c r="O175" s="3263"/>
      <c r="P175" s="3263"/>
      <c r="Q175" s="3263"/>
      <c r="R175" s="3263"/>
    </row>
    <row r="176" spans="6:18" x14ac:dyDescent="0.55000000000000004">
      <c r="F176" s="3263"/>
      <c r="G176" s="3263"/>
      <c r="H176" s="3263"/>
      <c r="I176" s="3263"/>
      <c r="J176" s="3263"/>
      <c r="K176" s="3263"/>
      <c r="L176" s="3263"/>
      <c r="M176" s="3263"/>
      <c r="N176" s="3263"/>
      <c r="O176" s="3263"/>
      <c r="P176" s="3263"/>
      <c r="Q176" s="3263"/>
      <c r="R176" s="3263"/>
    </row>
    <row r="177" spans="6:18" x14ac:dyDescent="0.55000000000000004">
      <c r="F177" s="3263"/>
      <c r="G177" s="3263"/>
      <c r="H177" s="3263"/>
      <c r="I177" s="3263"/>
      <c r="J177" s="3263"/>
      <c r="K177" s="3263"/>
      <c r="L177" s="3263"/>
      <c r="M177" s="3263"/>
      <c r="N177" s="3263"/>
      <c r="O177" s="3263"/>
      <c r="P177" s="3263"/>
      <c r="Q177" s="3263"/>
      <c r="R177" s="3263"/>
    </row>
    <row r="178" spans="6:18" x14ac:dyDescent="0.55000000000000004">
      <c r="F178" s="6070"/>
      <c r="G178" s="3263"/>
      <c r="H178" s="3263"/>
      <c r="I178" s="3263"/>
      <c r="J178" s="3263"/>
      <c r="K178" s="3263"/>
      <c r="L178" s="3263"/>
      <c r="M178" s="3263"/>
      <c r="N178" s="3263"/>
      <c r="O178" s="3263"/>
      <c r="P178" s="3263"/>
      <c r="Q178" s="3263"/>
      <c r="R178" s="3263"/>
    </row>
    <row r="179" spans="6:18" x14ac:dyDescent="0.55000000000000004">
      <c r="F179" s="3053"/>
      <c r="G179" s="3053"/>
      <c r="H179" s="3053"/>
      <c r="I179" s="3053"/>
      <c r="J179" s="3053"/>
      <c r="K179" s="3053"/>
      <c r="L179" s="3053"/>
      <c r="M179" s="3053"/>
      <c r="N179" s="3053"/>
      <c r="O179" s="3053"/>
      <c r="P179" s="3053"/>
      <c r="Q179" s="3053"/>
      <c r="R179" s="3053"/>
    </row>
    <row r="180" spans="6:18" x14ac:dyDescent="0.55000000000000004">
      <c r="F180" s="6071"/>
      <c r="G180" s="6066"/>
      <c r="H180" s="6066"/>
      <c r="I180" s="6066"/>
      <c r="J180" s="6066"/>
      <c r="K180" s="6066"/>
      <c r="L180" s="6066"/>
      <c r="M180" s="6066"/>
      <c r="N180" s="6066"/>
      <c r="O180" s="6066"/>
      <c r="P180" s="6066"/>
      <c r="Q180" s="6066"/>
      <c r="R180" s="6066"/>
    </row>
    <row r="181" spans="6:18" x14ac:dyDescent="0.55000000000000004">
      <c r="F181" s="6072"/>
      <c r="G181" s="6072"/>
      <c r="H181" s="6072"/>
      <c r="I181" s="6072"/>
      <c r="J181" s="6072"/>
      <c r="K181" s="6072"/>
      <c r="L181" s="6072"/>
      <c r="M181" s="6072"/>
      <c r="N181" s="6072"/>
      <c r="O181" s="6072"/>
      <c r="P181" s="6072"/>
      <c r="Q181" s="6072"/>
      <c r="R181" s="6072"/>
    </row>
    <row r="182" spans="6:18" x14ac:dyDescent="0.55000000000000004">
      <c r="F182" s="6072"/>
      <c r="G182" s="6072"/>
      <c r="H182" s="6072"/>
      <c r="I182" s="6072"/>
      <c r="J182" s="6072"/>
      <c r="K182" s="6072"/>
      <c r="L182" s="6072"/>
      <c r="M182" s="6072"/>
      <c r="N182" s="6072"/>
      <c r="O182" s="6072"/>
      <c r="P182" s="6072"/>
      <c r="Q182" s="6072"/>
      <c r="R182" s="6072"/>
    </row>
    <row r="183" spans="6:18" x14ac:dyDescent="0.55000000000000004">
      <c r="F183" s="6072"/>
      <c r="G183" s="6072"/>
      <c r="H183" s="6072"/>
      <c r="I183" s="6072"/>
      <c r="J183" s="6072"/>
      <c r="K183" s="6072"/>
      <c r="L183" s="6072"/>
      <c r="M183" s="6072"/>
      <c r="N183" s="6072"/>
      <c r="O183" s="6072"/>
      <c r="P183" s="6072"/>
      <c r="Q183" s="6072"/>
      <c r="R183" s="6072"/>
    </row>
    <row r="184" spans="6:18" x14ac:dyDescent="0.55000000000000004">
      <c r="F184" s="6072"/>
      <c r="G184" s="6072"/>
      <c r="H184" s="6072"/>
      <c r="I184" s="6072"/>
      <c r="J184" s="6072"/>
      <c r="K184" s="6072"/>
      <c r="L184" s="6072"/>
      <c r="M184" s="6072"/>
      <c r="N184" s="6072"/>
      <c r="O184" s="6072"/>
      <c r="P184" s="6072"/>
      <c r="Q184" s="6072"/>
      <c r="R184" s="6072"/>
    </row>
    <row r="185" spans="6:18" x14ac:dyDescent="0.55000000000000004">
      <c r="F185" s="6073"/>
      <c r="G185" s="6072"/>
      <c r="H185" s="6072"/>
      <c r="I185" s="6072"/>
      <c r="J185" s="6072"/>
      <c r="K185" s="6072"/>
      <c r="L185" s="6072"/>
      <c r="M185" s="6072"/>
      <c r="N185" s="6072"/>
      <c r="O185" s="6072"/>
      <c r="P185" s="6072"/>
      <c r="Q185" s="6072"/>
      <c r="R185" s="6072"/>
    </row>
    <row r="186" spans="6:18" x14ac:dyDescent="0.55000000000000004">
      <c r="F186" s="3263"/>
      <c r="G186" s="3263"/>
      <c r="H186" s="3263"/>
      <c r="I186" s="3263"/>
      <c r="J186" s="3263"/>
      <c r="K186" s="3263"/>
      <c r="L186" s="3263"/>
      <c r="M186" s="3263"/>
      <c r="N186" s="3263"/>
      <c r="O186" s="3263"/>
      <c r="P186" s="3263"/>
      <c r="Q186" s="3263"/>
      <c r="R186" s="3263"/>
    </row>
    <row r="187" spans="6:18" x14ac:dyDescent="0.55000000000000004">
      <c r="F187" s="3263"/>
      <c r="G187" s="3263"/>
      <c r="H187" s="3263"/>
      <c r="I187" s="3263"/>
      <c r="J187" s="3263"/>
      <c r="K187" s="3263"/>
      <c r="L187" s="3263"/>
      <c r="M187" s="3263"/>
      <c r="N187" s="3263"/>
      <c r="O187" s="3263"/>
      <c r="P187" s="3263"/>
      <c r="Q187" s="3263"/>
      <c r="R187" s="3263"/>
    </row>
    <row r="188" spans="6:18" x14ac:dyDescent="0.55000000000000004">
      <c r="F188" s="3263"/>
      <c r="G188" s="3263"/>
      <c r="H188" s="3263"/>
      <c r="I188" s="3263"/>
      <c r="J188" s="3263"/>
      <c r="K188" s="3263"/>
      <c r="L188" s="3263"/>
      <c r="M188" s="3263"/>
      <c r="N188" s="3263"/>
      <c r="O188" s="3263"/>
      <c r="P188" s="3263"/>
      <c r="Q188" s="3263"/>
      <c r="R188" s="3263"/>
    </row>
    <row r="189" spans="6:18" x14ac:dyDescent="0.55000000000000004">
      <c r="F189" s="3263"/>
      <c r="G189" s="3263"/>
      <c r="H189" s="3263"/>
      <c r="I189" s="3263"/>
      <c r="J189" s="3263"/>
      <c r="K189" s="3263"/>
      <c r="L189" s="3263"/>
      <c r="M189" s="3263"/>
      <c r="N189" s="3263"/>
      <c r="O189" s="3263"/>
      <c r="P189" s="3263"/>
      <c r="Q189" s="3263"/>
      <c r="R189" s="3263"/>
    </row>
    <row r="190" spans="6:18" x14ac:dyDescent="0.55000000000000004">
      <c r="F190" s="3263"/>
      <c r="G190" s="3263"/>
      <c r="H190" s="3263"/>
      <c r="I190" s="3263"/>
      <c r="J190" s="3263"/>
      <c r="K190" s="3263"/>
      <c r="L190" s="3263"/>
      <c r="M190" s="3263"/>
      <c r="N190" s="3263"/>
      <c r="O190" s="3263"/>
      <c r="P190" s="3263"/>
      <c r="Q190" s="3263"/>
      <c r="R190" s="3263"/>
    </row>
    <row r="191" spans="6:18" x14ac:dyDescent="0.55000000000000004">
      <c r="F191" s="3263"/>
      <c r="G191" s="3263"/>
      <c r="H191" s="3263"/>
      <c r="I191" s="3263"/>
      <c r="J191" s="3263"/>
      <c r="K191" s="3263"/>
      <c r="L191" s="3263"/>
      <c r="M191" s="3263"/>
      <c r="N191" s="3263"/>
      <c r="O191" s="3263"/>
      <c r="P191" s="3263"/>
      <c r="Q191" s="3263"/>
      <c r="R191" s="3263"/>
    </row>
    <row r="192" spans="6:18" x14ac:dyDescent="0.55000000000000004">
      <c r="F192" s="3263"/>
      <c r="G192" s="3263"/>
      <c r="H192" s="3263"/>
      <c r="I192" s="3263"/>
      <c r="J192" s="3263"/>
      <c r="K192" s="3263"/>
      <c r="L192" s="3263"/>
      <c r="M192" s="3263"/>
      <c r="N192" s="3263"/>
      <c r="O192" s="3263"/>
      <c r="P192" s="3263"/>
      <c r="Q192" s="3263"/>
      <c r="R192" s="3263"/>
    </row>
    <row r="193" spans="6:18" ht="15.45" thickBot="1" x14ac:dyDescent="0.6">
      <c r="F193" s="6074"/>
      <c r="G193" s="3263"/>
      <c r="H193" s="3263"/>
      <c r="I193" s="3263"/>
      <c r="J193" s="3263"/>
      <c r="K193" s="3263"/>
      <c r="L193" s="3263"/>
      <c r="M193" s="3263"/>
      <c r="N193" s="3263"/>
      <c r="O193" s="3263"/>
      <c r="P193" s="3263"/>
      <c r="Q193" s="3263"/>
      <c r="R193" s="3263"/>
    </row>
    <row r="194" spans="6:18" ht="15.45" thickBot="1" x14ac:dyDescent="0.6"/>
    <row r="195" spans="6:18" x14ac:dyDescent="0.55000000000000004">
      <c r="F195" s="6075"/>
      <c r="G195" s="5262"/>
      <c r="H195" s="5262"/>
      <c r="I195" s="5262"/>
      <c r="J195" s="5262"/>
      <c r="K195" s="5262"/>
      <c r="L195" s="5262"/>
      <c r="M195" s="5262"/>
      <c r="N195" s="5262"/>
      <c r="O195" s="5262"/>
      <c r="P195" s="5262"/>
      <c r="Q195" s="5262"/>
      <c r="R195" s="5262"/>
    </row>
    <row r="196" spans="6:18" x14ac:dyDescent="0.55000000000000004">
      <c r="F196" s="3263"/>
      <c r="G196" s="3263"/>
      <c r="H196" s="3263"/>
      <c r="I196" s="3263"/>
      <c r="J196" s="3263"/>
      <c r="K196" s="3263"/>
      <c r="L196" s="3263"/>
      <c r="M196" s="3263"/>
      <c r="N196" s="3263"/>
      <c r="O196" s="3263"/>
      <c r="P196" s="3263"/>
      <c r="Q196" s="3263"/>
      <c r="R196" s="3263"/>
    </row>
    <row r="197" spans="6:18" x14ac:dyDescent="0.55000000000000004">
      <c r="F197" s="3263"/>
      <c r="G197" s="3263"/>
      <c r="H197" s="3263"/>
      <c r="I197" s="3263"/>
      <c r="J197" s="3263"/>
      <c r="K197" s="3263"/>
      <c r="L197" s="3263"/>
      <c r="M197" s="3263"/>
      <c r="N197" s="3263"/>
      <c r="O197" s="3263"/>
      <c r="P197" s="3263"/>
      <c r="Q197" s="3263"/>
      <c r="R197" s="3263"/>
    </row>
    <row r="198" spans="6:18" x14ac:dyDescent="0.55000000000000004">
      <c r="F198" s="3263"/>
      <c r="G198" s="3263"/>
      <c r="H198" s="3263"/>
      <c r="I198" s="3263"/>
      <c r="J198" s="3263"/>
      <c r="K198" s="3263"/>
      <c r="L198" s="3263"/>
      <c r="M198" s="3263"/>
      <c r="N198" s="3263"/>
      <c r="O198" s="3263"/>
      <c r="P198" s="3263"/>
      <c r="Q198" s="3263"/>
      <c r="R198" s="3263"/>
    </row>
    <row r="199" spans="6:18" x14ac:dyDescent="0.55000000000000004">
      <c r="F199" s="3263"/>
      <c r="G199" s="3263"/>
      <c r="H199" s="3263"/>
      <c r="I199" s="3263"/>
      <c r="J199" s="3263"/>
      <c r="K199" s="3263"/>
      <c r="L199" s="3263"/>
      <c r="M199" s="3263"/>
      <c r="N199" s="3263"/>
      <c r="O199" s="3263"/>
      <c r="P199" s="3263"/>
      <c r="Q199" s="3263"/>
      <c r="R199" s="3263"/>
    </row>
    <row r="200" spans="6:18" x14ac:dyDescent="0.55000000000000004">
      <c r="F200" s="3263"/>
      <c r="G200" s="3263"/>
      <c r="H200" s="3263"/>
      <c r="I200" s="3263"/>
      <c r="J200" s="3263"/>
      <c r="K200" s="3263"/>
      <c r="L200" s="3263"/>
      <c r="M200" s="3263"/>
      <c r="N200" s="3263"/>
      <c r="O200" s="3263"/>
      <c r="P200" s="3263"/>
      <c r="Q200" s="3263"/>
      <c r="R200" s="3263"/>
    </row>
    <row r="201" spans="6:18" x14ac:dyDescent="0.55000000000000004">
      <c r="F201" s="6076"/>
      <c r="G201" s="6077"/>
      <c r="H201" s="6077"/>
      <c r="I201" s="6077"/>
      <c r="J201" s="6077"/>
      <c r="K201" s="6077"/>
      <c r="L201" s="6077"/>
      <c r="M201" s="6077"/>
      <c r="N201" s="6077"/>
      <c r="O201" s="6077"/>
      <c r="P201" s="6077"/>
      <c r="Q201" s="6077"/>
      <c r="R201" s="6077"/>
    </row>
    <row r="202" spans="6:18" x14ac:dyDescent="0.55000000000000004">
      <c r="F202" s="6078"/>
      <c r="G202" s="6078"/>
      <c r="H202" s="6078"/>
      <c r="I202" s="6078"/>
      <c r="J202" s="6078"/>
      <c r="K202" s="6078"/>
      <c r="L202" s="6078"/>
      <c r="M202" s="6078"/>
      <c r="N202" s="6078"/>
      <c r="O202" s="6078"/>
      <c r="P202" s="6078"/>
      <c r="Q202" s="6078"/>
      <c r="R202" s="6078"/>
    </row>
    <row r="203" spans="6:18" ht="15.45" thickBot="1" x14ac:dyDescent="0.6">
      <c r="F203" s="6079"/>
      <c r="G203" s="6078"/>
      <c r="H203" s="6078"/>
      <c r="I203" s="6078"/>
      <c r="J203" s="6078"/>
      <c r="K203" s="6078"/>
      <c r="L203" s="6078"/>
      <c r="M203" s="6078"/>
      <c r="N203" s="6078"/>
      <c r="O203" s="6078"/>
      <c r="P203" s="6078"/>
      <c r="Q203" s="6078"/>
      <c r="R203" s="6078"/>
    </row>
  </sheetData>
  <mergeCells count="12">
    <mergeCell ref="A3:AB3"/>
    <mergeCell ref="A27:A36"/>
    <mergeCell ref="A96:A98"/>
    <mergeCell ref="W5:AB5"/>
    <mergeCell ref="A7:A16"/>
    <mergeCell ref="A17:A26"/>
    <mergeCell ref="A90:A95"/>
    <mergeCell ref="A38:A42"/>
    <mergeCell ref="A44:A56"/>
    <mergeCell ref="A58:A73"/>
    <mergeCell ref="A75:A88"/>
    <mergeCell ref="F5:V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1" fitToHeight="0" orientation="landscape" r:id="rId1"/>
  <headerFooter scaleWithDoc="0">
    <oddFooter>&amp;R&amp;"-,기울임꼴"&amp;8&amp;P &amp; 페이지</oddFooter>
  </headerFooter>
  <rowBreaks count="1" manualBreakCount="1">
    <brk id="57" max="22" man="1"/>
  </rowBreaks>
  <colBreaks count="1" manualBreakCount="1">
    <brk id="17" max="1048575" man="1"/>
  </colBreaks>
  <ignoredErrors>
    <ignoredError sqref="AA49:AB49 V49:W49 W4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A1CF-2533-420E-A0A4-0153D9A88ADB}">
  <sheetPr codeName="Sheet6">
    <tabColor theme="7" tint="0.79998168889431442"/>
    <pageSetUpPr fitToPage="1"/>
  </sheetPr>
  <dimension ref="A1:BV414"/>
  <sheetViews>
    <sheetView showGridLines="0" view="pageBreakPreview" zoomScale="55" zoomScaleNormal="40" zoomScaleSheetLayoutView="55" workbookViewId="0">
      <pane xSplit="5" ySplit="6" topLeftCell="AI11" activePane="bottomRight" state="frozen"/>
      <selection activeCell="AG13" sqref="AG13"/>
      <selection pane="topRight" activeCell="AG13" sqref="AG13"/>
      <selection pane="bottomLeft" activeCell="AG13" sqref="AG13"/>
      <selection pane="bottomRight" activeCell="BD14" sqref="BD14"/>
    </sheetView>
  </sheetViews>
  <sheetFormatPr defaultRowHeight="15" outlineLevelCol="1" x14ac:dyDescent="0.55000000000000004"/>
  <cols>
    <col min="1" max="1" width="18.5" style="2441" customWidth="1"/>
    <col min="2" max="2" width="3.0703125" style="2441" customWidth="1"/>
    <col min="3" max="3" width="13.35546875" style="2441" customWidth="1"/>
    <col min="4" max="4" width="12.640625" style="2441" customWidth="1"/>
    <col min="5" max="5" width="12.42578125" style="2441" hidden="1" customWidth="1"/>
    <col min="6" max="17" width="10.35546875" style="2441" hidden="1" customWidth="1" outlineLevel="1"/>
    <col min="18" max="18" width="10.35546875" style="2441" hidden="1" customWidth="1" collapsed="1"/>
    <col min="19" max="19" width="10.35546875" style="2441" hidden="1" customWidth="1"/>
    <col min="20" max="31" width="10.35546875" style="2441" hidden="1" customWidth="1" outlineLevel="1"/>
    <col min="32" max="32" width="15.2109375" style="2441" hidden="1" customWidth="1" collapsed="1"/>
    <col min="33" max="33" width="15.2109375" style="2441" hidden="1" customWidth="1"/>
    <col min="34" max="34" width="4.42578125" style="2441" hidden="1" customWidth="1"/>
    <col min="35" max="35" width="15" style="2441" hidden="1" customWidth="1" outlineLevel="1"/>
    <col min="36" max="46" width="15.2109375" style="2441" hidden="1" customWidth="1" outlineLevel="1"/>
    <col min="47" max="47" width="15.2109375" style="2441" customWidth="1" collapsed="1"/>
    <col min="48" max="48" width="15.2109375" style="2441" customWidth="1"/>
    <col min="49" max="54" width="15.2109375" style="2441" customWidth="1" outlineLevel="1"/>
    <col min="55" max="60" width="14.7109375" style="2441" customWidth="1" outlineLevel="1"/>
    <col min="61" max="62" width="15.2109375" style="2441" customWidth="1"/>
    <col min="63" max="63" width="9.140625" style="2441"/>
    <col min="64" max="66" width="14.42578125" style="2441" customWidth="1"/>
    <col min="67" max="67" width="11.85546875" style="2441" bestFit="1" customWidth="1"/>
    <col min="68" max="68" width="9.140625" style="2441"/>
    <col min="69" max="69" width="11" style="2441" bestFit="1" customWidth="1"/>
    <col min="70" max="16384" width="9.140625" style="2441"/>
  </cols>
  <sheetData>
    <row r="1" spans="1:74" x14ac:dyDescent="0.55000000000000004">
      <c r="A1" s="4415">
        <v>12.000999999999999</v>
      </c>
      <c r="T1" s="5662">
        <v>1.0009999999999999</v>
      </c>
      <c r="U1" s="5662">
        <v>2.0009999999999999</v>
      </c>
      <c r="V1" s="5662">
        <v>3.0009999999999999</v>
      </c>
      <c r="W1" s="5662">
        <v>4.0010000000000003</v>
      </c>
      <c r="X1" s="5662">
        <v>5.0010000000000003</v>
      </c>
      <c r="Y1" s="5662">
        <v>6.0010000000000003</v>
      </c>
      <c r="Z1" s="5662">
        <v>7.0010000000000003</v>
      </c>
      <c r="AA1" s="5662">
        <v>8.0009999999999994</v>
      </c>
      <c r="AB1" s="5662">
        <v>9.0009999999999994</v>
      </c>
      <c r="AC1" s="5662">
        <v>10.000999999999999</v>
      </c>
      <c r="AD1" s="5662">
        <v>11.000999999999999</v>
      </c>
      <c r="AE1" s="5662">
        <v>12.000999999999999</v>
      </c>
      <c r="AI1" s="5662">
        <v>1.0009999999999999</v>
      </c>
      <c r="AJ1" s="5662">
        <v>2.0009999999999999</v>
      </c>
      <c r="AK1" s="5662">
        <v>3.0009999999999999</v>
      </c>
      <c r="AL1" s="5662">
        <v>4.0010000000000003</v>
      </c>
      <c r="AM1" s="5662">
        <v>5.0010000000000003</v>
      </c>
      <c r="AN1" s="5662">
        <v>6.0010000000000003</v>
      </c>
      <c r="AO1" s="5662">
        <v>7.0010000000000003</v>
      </c>
      <c r="AP1" s="5662">
        <v>8.0009999999999994</v>
      </c>
      <c r="AQ1" s="5662">
        <v>9.0009999999999994</v>
      </c>
      <c r="AR1" s="5662">
        <v>10.000999999999999</v>
      </c>
      <c r="AS1" s="5662">
        <v>11.000999999999999</v>
      </c>
      <c r="AT1" s="5662">
        <v>12.000999999999999</v>
      </c>
      <c r="AW1" s="5662">
        <v>1.0009999999999999</v>
      </c>
      <c r="AX1" s="5662">
        <v>2.0009999999999999</v>
      </c>
      <c r="AY1" s="5662">
        <v>3.0009999999999999</v>
      </c>
      <c r="AZ1" s="5662">
        <v>4.0010000000000003</v>
      </c>
      <c r="BA1" s="5662">
        <v>5.0010000000000003</v>
      </c>
      <c r="BB1" s="5662">
        <v>6.0010000000000003</v>
      </c>
      <c r="BC1" s="5662">
        <v>7.0010000000000003</v>
      </c>
      <c r="BD1" s="5662">
        <v>8.0009999999999994</v>
      </c>
      <c r="BE1" s="5662">
        <v>9.0009999999999994</v>
      </c>
      <c r="BF1" s="5662">
        <v>10.000999999999999</v>
      </c>
      <c r="BG1" s="5662">
        <v>11.000999999999999</v>
      </c>
      <c r="BH1" s="5662">
        <v>12.000999999999999</v>
      </c>
      <c r="BN1" s="5219" t="s">
        <v>473</v>
      </c>
    </row>
    <row r="2" spans="1:74" s="2444" customFormat="1" ht="50.05" customHeight="1" thickBot="1" x14ac:dyDescent="0.6">
      <c r="A2" s="7151" t="s">
        <v>911</v>
      </c>
      <c r="B2" s="7151"/>
      <c r="C2" s="7151"/>
      <c r="D2" s="7151"/>
      <c r="E2" s="7151"/>
      <c r="F2" s="7151"/>
      <c r="G2" s="7151"/>
      <c r="H2" s="7151"/>
      <c r="I2" s="7151"/>
      <c r="J2" s="7151"/>
      <c r="K2" s="7151"/>
      <c r="L2" s="7151"/>
      <c r="M2" s="7151"/>
      <c r="N2" s="7151"/>
      <c r="O2" s="7151"/>
      <c r="P2" s="7151"/>
      <c r="Q2" s="7151"/>
      <c r="R2" s="7151"/>
      <c r="S2" s="7151"/>
      <c r="T2" s="7151"/>
      <c r="U2" s="7151"/>
      <c r="V2" s="7151"/>
      <c r="W2" s="7151"/>
      <c r="X2" s="7151"/>
      <c r="Y2" s="7151"/>
      <c r="Z2" s="7151"/>
      <c r="AA2" s="7151"/>
      <c r="AB2" s="7151"/>
      <c r="AC2" s="7151"/>
      <c r="AD2" s="7151"/>
      <c r="AE2" s="7151"/>
      <c r="AF2" s="7151"/>
      <c r="AG2" s="7151"/>
      <c r="AH2" s="7151"/>
      <c r="AI2" s="7151"/>
      <c r="AJ2" s="7151"/>
      <c r="AK2" s="7151"/>
      <c r="AL2" s="7151"/>
      <c r="AM2" s="7151"/>
      <c r="AN2" s="7151"/>
      <c r="AO2" s="7151"/>
      <c r="AP2" s="7151"/>
      <c r="AQ2" s="7151"/>
      <c r="AR2" s="7151"/>
      <c r="AS2" s="7151"/>
      <c r="AT2" s="7151"/>
      <c r="AU2" s="7151"/>
      <c r="AV2" s="7151"/>
      <c r="AW2" s="7151"/>
      <c r="AX2" s="7151"/>
      <c r="AY2" s="7151"/>
      <c r="AZ2" s="7151"/>
      <c r="BA2" s="7151"/>
      <c r="BB2" s="7151"/>
      <c r="BC2" s="7151"/>
      <c r="BD2" s="7151"/>
      <c r="BE2" s="7151"/>
      <c r="BF2" s="7151"/>
      <c r="BG2" s="7151"/>
      <c r="BH2" s="7151"/>
      <c r="BI2" s="7151"/>
      <c r="BJ2" s="7151"/>
    </row>
    <row r="3" spans="1:74" s="5220" customFormat="1" ht="12" customHeight="1" thickTop="1" x14ac:dyDescent="0.55000000000000004">
      <c r="A3" s="5663"/>
      <c r="B3" s="5663"/>
      <c r="C3" s="5663"/>
      <c r="D3" s="5663"/>
      <c r="E3" s="5663"/>
      <c r="F3" s="5663"/>
      <c r="G3" s="5663"/>
      <c r="H3" s="5663"/>
      <c r="I3" s="5663"/>
      <c r="J3" s="5663"/>
      <c r="K3" s="5663"/>
      <c r="L3" s="5663"/>
      <c r="M3" s="5663"/>
      <c r="N3" s="5663"/>
      <c r="O3" s="5663"/>
      <c r="P3" s="5663"/>
      <c r="Q3" s="5663"/>
      <c r="R3" s="5663"/>
      <c r="S3" s="5663"/>
      <c r="T3" s="5664" t="b">
        <f t="shared" ref="T3:AH3" si="0">T4=T15</f>
        <v>1</v>
      </c>
      <c r="U3" s="5664" t="b">
        <f t="shared" si="0"/>
        <v>1</v>
      </c>
      <c r="V3" s="5664" t="b">
        <f t="shared" si="0"/>
        <v>1</v>
      </c>
      <c r="W3" s="5664" t="b">
        <f t="shared" si="0"/>
        <v>1</v>
      </c>
      <c r="X3" s="5664" t="b">
        <f t="shared" si="0"/>
        <v>1</v>
      </c>
      <c r="Y3" s="5664" t="b">
        <f t="shared" si="0"/>
        <v>1</v>
      </c>
      <c r="Z3" s="5664" t="b">
        <f t="shared" si="0"/>
        <v>1</v>
      </c>
      <c r="AA3" s="5664" t="b">
        <f t="shared" si="0"/>
        <v>1</v>
      </c>
      <c r="AB3" s="5664" t="b">
        <f t="shared" si="0"/>
        <v>1</v>
      </c>
      <c r="AC3" s="5664" t="b">
        <f t="shared" si="0"/>
        <v>1</v>
      </c>
      <c r="AD3" s="5664" t="b">
        <f t="shared" si="0"/>
        <v>1</v>
      </c>
      <c r="AE3" s="5664" t="b">
        <f t="shared" si="0"/>
        <v>1</v>
      </c>
      <c r="AF3" s="5664" t="b">
        <f t="shared" si="0"/>
        <v>1</v>
      </c>
      <c r="AG3" s="5664" t="b">
        <f t="shared" si="0"/>
        <v>0</v>
      </c>
      <c r="AH3" s="5664" t="b">
        <f t="shared" si="0"/>
        <v>1</v>
      </c>
      <c r="AI3" s="5665"/>
      <c r="AJ3" s="5665"/>
      <c r="AK3" s="5665"/>
      <c r="AL3" s="5665"/>
      <c r="AM3" s="5665"/>
      <c r="AN3" s="5665"/>
      <c r="AO3" s="5665"/>
      <c r="AP3" s="5665"/>
      <c r="AQ3" s="5665"/>
      <c r="AR3" s="5665"/>
      <c r="AS3" s="5665"/>
      <c r="AT3" s="5665"/>
      <c r="AU3" s="5666"/>
      <c r="AV3" s="5666"/>
      <c r="AW3" s="5665"/>
      <c r="AX3" s="5666"/>
      <c r="AY3" s="5666"/>
      <c r="AZ3" s="5665"/>
      <c r="BA3" s="5666"/>
      <c r="BB3" s="5666"/>
      <c r="BC3" s="5666"/>
      <c r="BD3" s="5666"/>
      <c r="BE3" s="5666"/>
      <c r="BF3" s="5666"/>
      <c r="BG3" s="5666"/>
      <c r="BH3" s="5666"/>
      <c r="BI3" s="5666"/>
      <c r="BJ3" s="5666"/>
    </row>
    <row r="4" spans="1:74" s="5220" customFormat="1" ht="9" customHeight="1" thickBot="1" x14ac:dyDescent="0.6">
      <c r="A4" s="5221"/>
      <c r="B4" s="5221"/>
      <c r="C4" s="5221"/>
      <c r="D4" s="5221"/>
      <c r="E4" s="5221"/>
      <c r="F4" s="5221"/>
      <c r="G4" s="5221"/>
      <c r="H4" s="5221"/>
      <c r="I4" s="5221"/>
      <c r="J4" s="5221"/>
      <c r="K4" s="5221"/>
      <c r="L4" s="5221"/>
      <c r="M4" s="5221"/>
      <c r="N4" s="5221"/>
      <c r="O4" s="5221"/>
      <c r="P4" s="5221"/>
      <c r="Q4" s="5221"/>
      <c r="R4" s="5221"/>
      <c r="S4" s="5221"/>
      <c r="T4" s="5664">
        <f t="shared" ref="T4:AH4" si="1">T8-T11-T13-T14</f>
        <v>-3581</v>
      </c>
      <c r="U4" s="5664">
        <f t="shared" si="1"/>
        <v>1662</v>
      </c>
      <c r="V4" s="5664">
        <f t="shared" si="1"/>
        <v>17911</v>
      </c>
      <c r="W4" s="5664">
        <f t="shared" si="1"/>
        <v>4308</v>
      </c>
      <c r="X4" s="5664">
        <f t="shared" si="1"/>
        <v>-2984</v>
      </c>
      <c r="Y4" s="5664">
        <f t="shared" si="1"/>
        <v>-3176</v>
      </c>
      <c r="Z4" s="5664">
        <f t="shared" si="1"/>
        <v>-4918</v>
      </c>
      <c r="AA4" s="5664">
        <f t="shared" si="1"/>
        <v>-3367</v>
      </c>
      <c r="AB4" s="5664">
        <f t="shared" si="1"/>
        <v>-4372</v>
      </c>
      <c r="AC4" s="5664">
        <f t="shared" si="1"/>
        <v>386</v>
      </c>
      <c r="AD4" s="5664">
        <f t="shared" si="1"/>
        <v>-5809</v>
      </c>
      <c r="AE4" s="5664">
        <f t="shared" si="1"/>
        <v>-7154</v>
      </c>
      <c r="AF4" s="5664">
        <f t="shared" si="1"/>
        <v>-11094</v>
      </c>
      <c r="AG4" s="5664">
        <f t="shared" si="1"/>
        <v>-924.50000000000182</v>
      </c>
      <c r="AH4" s="5664">
        <f t="shared" si="1"/>
        <v>0</v>
      </c>
      <c r="AI4" s="5665"/>
      <c r="AJ4" s="5665"/>
      <c r="AK4" s="5665"/>
      <c r="AL4" s="5665"/>
      <c r="AM4" s="5665"/>
      <c r="AN4" s="5665"/>
      <c r="AO4" s="5665"/>
      <c r="AP4" s="5665"/>
      <c r="AQ4" s="5665"/>
      <c r="AR4" s="5665"/>
      <c r="AS4" s="5665"/>
      <c r="AT4" s="5665"/>
      <c r="AU4" s="5664">
        <f>AU8-AU11-AU13-AU14</f>
        <v>-88829</v>
      </c>
      <c r="AV4" s="5664">
        <f>AV8-AV11-AV13-AV14</f>
        <v>-7504.371212121212</v>
      </c>
      <c r="AW4" s="5665"/>
      <c r="AX4" s="5665"/>
      <c r="AY4" s="5665"/>
      <c r="AZ4" s="5665"/>
      <c r="BA4" s="5665"/>
      <c r="BB4" s="5665"/>
      <c r="BC4" s="5666"/>
      <c r="BD4" s="5664">
        <f>BD27-BD30-BD32-BD33-BD34</f>
        <v>-12653</v>
      </c>
      <c r="BE4" s="5664">
        <f t="shared" ref="BE4:BH4" si="2">BE27-BE30-BE32-BE33-BE34</f>
        <v>-4823</v>
      </c>
      <c r="BF4" s="5664">
        <f t="shared" si="2"/>
        <v>-9514</v>
      </c>
      <c r="BG4" s="5664">
        <f t="shared" si="2"/>
        <v>-10867</v>
      </c>
      <c r="BH4" s="5664">
        <f t="shared" si="2"/>
        <v>-11344</v>
      </c>
      <c r="BI4" s="5664">
        <f>BI8-BI11-BI13-BI14</f>
        <v>-173922</v>
      </c>
      <c r="BJ4" s="5664">
        <f>BJ8-BJ11-BJ13-BJ14</f>
        <v>-13584.727272727279</v>
      </c>
      <c r="BR4" s="5228"/>
      <c r="BS4" s="5228"/>
      <c r="BT4" s="5228"/>
      <c r="BU4" s="5228"/>
      <c r="BV4" s="5228"/>
    </row>
    <row r="5" spans="1:74" ht="20.5" customHeight="1" x14ac:dyDescent="0.55000000000000004">
      <c r="A5" s="4873"/>
      <c r="B5" s="5667"/>
      <c r="D5" s="3216"/>
      <c r="P5" s="5234"/>
      <c r="T5" s="7152" t="s">
        <v>1097</v>
      </c>
      <c r="U5" s="7092"/>
      <c r="V5" s="7092"/>
      <c r="W5" s="7092"/>
      <c r="X5" s="7092"/>
      <c r="Y5" s="7092"/>
      <c r="Z5" s="7092"/>
      <c r="AA5" s="7092"/>
      <c r="AB5" s="7092"/>
      <c r="AC5" s="7092"/>
      <c r="AD5" s="7092"/>
      <c r="AE5" s="7092"/>
      <c r="AF5" s="7092"/>
      <c r="AG5" s="7092"/>
      <c r="AH5" s="5668"/>
      <c r="AI5" s="7152" t="s">
        <v>1153</v>
      </c>
      <c r="AJ5" s="7160"/>
      <c r="AK5" s="7160"/>
      <c r="AL5" s="7160"/>
      <c r="AM5" s="7160"/>
      <c r="AN5" s="7160"/>
      <c r="AO5" s="7160"/>
      <c r="AP5" s="7160"/>
      <c r="AQ5" s="7160"/>
      <c r="AR5" s="7160"/>
      <c r="AS5" s="7160"/>
      <c r="AT5" s="7160"/>
      <c r="AU5" s="7160"/>
      <c r="AV5" s="7161"/>
      <c r="AW5" s="7152" t="s">
        <v>1152</v>
      </c>
      <c r="AX5" s="7092"/>
      <c r="AY5" s="7092"/>
      <c r="AZ5" s="7092"/>
      <c r="BA5" s="7092"/>
      <c r="BB5" s="7092"/>
      <c r="BC5" s="7092"/>
      <c r="BD5" s="7092"/>
      <c r="BE5" s="7092"/>
      <c r="BF5" s="7092"/>
      <c r="BG5" s="7092"/>
      <c r="BH5" s="7092"/>
      <c r="BI5" s="7092"/>
      <c r="BJ5" s="7153"/>
    </row>
    <row r="6" spans="1:74" ht="16.3" x14ac:dyDescent="0.55000000000000004">
      <c r="A6" s="2441" t="s">
        <v>157</v>
      </c>
      <c r="C6" s="2450"/>
      <c r="D6" s="5232"/>
      <c r="E6" s="2455" t="s">
        <v>499</v>
      </c>
      <c r="F6" s="5237" t="s">
        <v>500</v>
      </c>
      <c r="G6" s="5238" t="s">
        <v>501</v>
      </c>
      <c r="H6" s="5238" t="s">
        <v>502</v>
      </c>
      <c r="I6" s="5238" t="s">
        <v>503</v>
      </c>
      <c r="J6" s="5238" t="s">
        <v>504</v>
      </c>
      <c r="K6" s="5238" t="s">
        <v>505</v>
      </c>
      <c r="L6" s="5238" t="s">
        <v>506</v>
      </c>
      <c r="M6" s="5238" t="s">
        <v>507</v>
      </c>
      <c r="N6" s="5238" t="s">
        <v>508</v>
      </c>
      <c r="O6" s="5238" t="s">
        <v>509</v>
      </c>
      <c r="P6" s="5238" t="s">
        <v>510</v>
      </c>
      <c r="Q6" s="5238" t="s">
        <v>511</v>
      </c>
      <c r="R6" s="5238" t="s">
        <v>526</v>
      </c>
      <c r="S6" s="5238" t="s">
        <v>527</v>
      </c>
      <c r="T6" s="5237" t="s">
        <v>512</v>
      </c>
      <c r="U6" s="5238" t="s">
        <v>513</v>
      </c>
      <c r="V6" s="5238" t="s">
        <v>514</v>
      </c>
      <c r="W6" s="5238" t="s">
        <v>515</v>
      </c>
      <c r="X6" s="5238" t="s">
        <v>516</v>
      </c>
      <c r="Y6" s="5238" t="s">
        <v>517</v>
      </c>
      <c r="Z6" s="5238" t="s">
        <v>518</v>
      </c>
      <c r="AA6" s="5238" t="s">
        <v>519</v>
      </c>
      <c r="AB6" s="5238" t="s">
        <v>520</v>
      </c>
      <c r="AC6" s="5238" t="s">
        <v>521</v>
      </c>
      <c r="AD6" s="5238" t="s">
        <v>522</v>
      </c>
      <c r="AE6" s="5238" t="s">
        <v>523</v>
      </c>
      <c r="AF6" s="2996" t="s">
        <v>530</v>
      </c>
      <c r="AG6" s="2429" t="s">
        <v>531</v>
      </c>
      <c r="AH6" s="2429"/>
      <c r="AI6" s="2996" t="s">
        <v>524</v>
      </c>
      <c r="AJ6" s="2429" t="s">
        <v>3</v>
      </c>
      <c r="AK6" s="2429" t="s">
        <v>525</v>
      </c>
      <c r="AL6" s="2429" t="s">
        <v>358</v>
      </c>
      <c r="AM6" s="2429" t="s">
        <v>359</v>
      </c>
      <c r="AN6" s="2429" t="s">
        <v>360</v>
      </c>
      <c r="AO6" s="2429" t="s">
        <v>361</v>
      </c>
      <c r="AP6" s="2429" t="s">
        <v>362</v>
      </c>
      <c r="AQ6" s="2429" t="s">
        <v>363</v>
      </c>
      <c r="AR6" s="2429" t="s">
        <v>364</v>
      </c>
      <c r="AS6" s="2429" t="s">
        <v>365</v>
      </c>
      <c r="AT6" s="2429" t="s">
        <v>366</v>
      </c>
      <c r="AU6" s="5238" t="s">
        <v>528</v>
      </c>
      <c r="AV6" s="5669" t="s">
        <v>529</v>
      </c>
      <c r="AW6" s="5670" t="s">
        <v>1021</v>
      </c>
      <c r="AX6" s="5671" t="s">
        <v>1022</v>
      </c>
      <c r="AY6" s="5238" t="s">
        <v>1024</v>
      </c>
      <c r="AZ6" s="5671" t="s">
        <v>1025</v>
      </c>
      <c r="BA6" s="5671" t="s">
        <v>1026</v>
      </c>
      <c r="BB6" s="5671" t="s">
        <v>1027</v>
      </c>
      <c r="BC6" s="5671" t="s">
        <v>1028</v>
      </c>
      <c r="BD6" s="5671" t="s">
        <v>1029</v>
      </c>
      <c r="BE6" s="5671" t="s">
        <v>1030</v>
      </c>
      <c r="BF6" s="5671" t="s">
        <v>1031</v>
      </c>
      <c r="BG6" s="5671" t="s">
        <v>1032</v>
      </c>
      <c r="BH6" s="5671" t="s">
        <v>1033</v>
      </c>
      <c r="BI6" s="5672" t="s">
        <v>1034</v>
      </c>
      <c r="BJ6" s="5673" t="s">
        <v>1035</v>
      </c>
      <c r="BL6" s="5229" t="s">
        <v>464</v>
      </c>
      <c r="BM6" s="5229" t="s">
        <v>465</v>
      </c>
      <c r="BN6" s="5230" t="s">
        <v>471</v>
      </c>
      <c r="BO6" s="5229"/>
    </row>
    <row r="7" spans="1:74" ht="17.05" customHeight="1" x14ac:dyDescent="0.55000000000000004">
      <c r="A7" s="7162" t="s">
        <v>400</v>
      </c>
      <c r="B7" s="7163"/>
      <c r="C7" s="5674" t="s">
        <v>44</v>
      </c>
      <c r="D7" s="5675"/>
      <c r="E7" s="5676"/>
      <c r="F7" s="5677"/>
      <c r="G7" s="5676"/>
      <c r="H7" s="5676"/>
      <c r="I7" s="5676"/>
      <c r="J7" s="5676"/>
      <c r="K7" s="5676"/>
      <c r="L7" s="5676"/>
      <c r="M7" s="5676"/>
      <c r="N7" s="5676"/>
      <c r="O7" s="5676"/>
      <c r="P7" s="5676"/>
      <c r="Q7" s="5676">
        <f>Q16+Q26</f>
        <v>1922100</v>
      </c>
      <c r="R7" s="5677">
        <f>R16+R26</f>
        <v>1922100</v>
      </c>
      <c r="S7" s="5676"/>
      <c r="T7" s="5677">
        <f t="shared" ref="T7:AG7" si="3">T16+T26</f>
        <v>1918519</v>
      </c>
      <c r="U7" s="5676">
        <f t="shared" si="3"/>
        <v>1920181</v>
      </c>
      <c r="V7" s="5676">
        <f t="shared" si="3"/>
        <v>1938092</v>
      </c>
      <c r="W7" s="5676">
        <f t="shared" si="3"/>
        <v>1942400</v>
      </c>
      <c r="X7" s="5676">
        <f t="shared" si="3"/>
        <v>1939416</v>
      </c>
      <c r="Y7" s="5676">
        <f t="shared" si="3"/>
        <v>1936240</v>
      </c>
      <c r="Z7" s="5676">
        <f t="shared" si="3"/>
        <v>1931322</v>
      </c>
      <c r="AA7" s="5676">
        <f t="shared" si="3"/>
        <v>1927955</v>
      </c>
      <c r="AB7" s="5676">
        <f t="shared" si="3"/>
        <v>1923583</v>
      </c>
      <c r="AC7" s="5676">
        <f t="shared" si="3"/>
        <v>1923969</v>
      </c>
      <c r="AD7" s="5676">
        <f t="shared" si="3"/>
        <v>1918160</v>
      </c>
      <c r="AE7" s="5676">
        <f t="shared" si="3"/>
        <v>1911006</v>
      </c>
      <c r="AF7" s="5678">
        <f t="shared" si="3"/>
        <v>1911006</v>
      </c>
      <c r="AG7" s="5678">
        <f t="shared" si="3"/>
        <v>1927570.25</v>
      </c>
      <c r="AH7" s="5678"/>
      <c r="AI7" s="5679">
        <v>1911765</v>
      </c>
      <c r="AJ7" s="5678">
        <v>1907527</v>
      </c>
      <c r="AK7" s="5678">
        <v>1900105</v>
      </c>
      <c r="AL7" s="5678">
        <v>1891951</v>
      </c>
      <c r="AM7" s="5678">
        <v>1884591</v>
      </c>
      <c r="AN7" s="5678">
        <v>1880855</v>
      </c>
      <c r="AO7" s="5678">
        <v>1878067</v>
      </c>
      <c r="AP7" s="5678">
        <v>1874881</v>
      </c>
      <c r="AQ7" s="5678">
        <v>1870904</v>
      </c>
      <c r="AR7" s="5678">
        <v>1855279</v>
      </c>
      <c r="AS7" s="5678">
        <v>1839193</v>
      </c>
      <c r="AT7" s="5676">
        <v>1822479</v>
      </c>
      <c r="AU7" s="5678">
        <f>AU16+AU26</f>
        <v>1822479</v>
      </c>
      <c r="AV7" s="5680">
        <f>AV16+AV26</f>
        <v>1876466.4166666667</v>
      </c>
      <c r="AW7" s="5681">
        <f t="shared" ref="AW7:AY14" si="4">AW16+AW26</f>
        <v>1803580</v>
      </c>
      <c r="AX7" s="5337">
        <f t="shared" si="4"/>
        <v>1790204</v>
      </c>
      <c r="AY7" s="5337">
        <f t="shared" si="4"/>
        <v>1775190</v>
      </c>
      <c r="AZ7" s="5338">
        <v>1765612</v>
      </c>
      <c r="BA7" s="5337">
        <f t="shared" ref="BA7:BG7" si="5">BA16+BA26</f>
        <v>1782731</v>
      </c>
      <c r="BB7" s="5337">
        <f t="shared" si="5"/>
        <v>1768469</v>
      </c>
      <c r="BC7" s="5337">
        <f t="shared" si="5"/>
        <v>1759997</v>
      </c>
      <c r="BD7" s="5337">
        <f t="shared" si="5"/>
        <v>1735190</v>
      </c>
      <c r="BE7" s="5337">
        <f t="shared" si="5"/>
        <v>1717237</v>
      </c>
      <c r="BF7" s="5337">
        <f t="shared" si="5"/>
        <v>1693616</v>
      </c>
      <c r="BG7" s="5337">
        <f t="shared" si="5"/>
        <v>1672289</v>
      </c>
      <c r="BH7" s="5337">
        <f t="shared" ref="BH7" si="6">BH16+BH26</f>
        <v>1647799</v>
      </c>
      <c r="BI7" s="5337">
        <f>INDEX($AW7:$BH7, 1, MATCH(0, $AW7:$BH7, -1))</f>
        <v>1647799</v>
      </c>
      <c r="BJ7" s="5340">
        <f>BJ16+BJ26</f>
        <v>1718834</v>
      </c>
      <c r="BL7" s="5234">
        <f t="shared" ref="BL7:BL38" si="7">HLOOKUP($A$1,$AW$1:$BH$400,ROW(),0)-HLOOKUP($A$1,$AI$1:$AT$400,ROW(),0)</f>
        <v>-174680</v>
      </c>
      <c r="BM7" s="5234">
        <f t="shared" ref="BM7:BM38" si="8">BJ7-AV7</f>
        <v>-157632.41666666674</v>
      </c>
      <c r="BN7" s="5235">
        <f>AX7-AJ7</f>
        <v>-117323</v>
      </c>
      <c r="BO7" s="5234">
        <f>BD7*3</f>
        <v>5205570</v>
      </c>
      <c r="BQ7" s="2488">
        <f>BH7-AT7</f>
        <v>-174680</v>
      </c>
    </row>
    <row r="8" spans="1:74" x14ac:dyDescent="0.55000000000000004">
      <c r="A8" s="7164"/>
      <c r="B8" s="7165"/>
      <c r="C8" s="5460" t="s">
        <v>57</v>
      </c>
      <c r="D8" s="3512"/>
      <c r="E8" s="5262"/>
      <c r="F8" s="5261"/>
      <c r="G8" s="5262"/>
      <c r="H8" s="5262"/>
      <c r="I8" s="5262"/>
      <c r="J8" s="5262"/>
      <c r="K8" s="5262"/>
      <c r="L8" s="5262"/>
      <c r="M8" s="5262"/>
      <c r="N8" s="5262"/>
      <c r="O8" s="5262"/>
      <c r="P8" s="5262"/>
      <c r="Q8" s="5262"/>
      <c r="R8" s="5262"/>
      <c r="S8" s="5262"/>
      <c r="T8" s="5261">
        <f t="shared" ref="T8:AE8" si="9">T17+T27</f>
        <v>44833</v>
      </c>
      <c r="U8" s="5262">
        <f t="shared" si="9"/>
        <v>58018</v>
      </c>
      <c r="V8" s="5262">
        <f t="shared" si="9"/>
        <v>45975</v>
      </c>
      <c r="W8" s="5262">
        <f t="shared" si="9"/>
        <v>42289</v>
      </c>
      <c r="X8" s="5262">
        <f t="shared" si="9"/>
        <v>46787</v>
      </c>
      <c r="Y8" s="5262">
        <f t="shared" si="9"/>
        <v>43236</v>
      </c>
      <c r="Z8" s="5262">
        <f t="shared" si="9"/>
        <v>42744</v>
      </c>
      <c r="AA8" s="5262">
        <f t="shared" si="9"/>
        <v>62567</v>
      </c>
      <c r="AB8" s="5262">
        <f t="shared" si="9"/>
        <v>39419</v>
      </c>
      <c r="AC8" s="5262">
        <f t="shared" si="9"/>
        <v>70467</v>
      </c>
      <c r="AD8" s="5262">
        <f t="shared" si="9"/>
        <v>41324</v>
      </c>
      <c r="AE8" s="5262">
        <f t="shared" si="9"/>
        <v>34632</v>
      </c>
      <c r="AF8" s="5263">
        <f>SUM(T8:AE8)</f>
        <v>572291</v>
      </c>
      <c r="AG8" s="5263">
        <f>AVERAGE(T8:AE8)</f>
        <v>47690.916666666664</v>
      </c>
      <c r="AH8" s="5263"/>
      <c r="AI8" s="5264">
        <v>60465</v>
      </c>
      <c r="AJ8" s="5263">
        <v>44118</v>
      </c>
      <c r="AK8" s="5263">
        <v>46236</v>
      </c>
      <c r="AL8" s="5263">
        <v>47834</v>
      </c>
      <c r="AM8" s="5263">
        <v>49112</v>
      </c>
      <c r="AN8" s="5263">
        <v>44044</v>
      </c>
      <c r="AO8" s="5263">
        <v>61054.999999999993</v>
      </c>
      <c r="AP8" s="5263">
        <v>47733</v>
      </c>
      <c r="AQ8" s="5263">
        <v>67427</v>
      </c>
      <c r="AR8" s="5263">
        <v>61530</v>
      </c>
      <c r="AS8" s="5263">
        <v>48015</v>
      </c>
      <c r="AT8" s="5262">
        <v>41108</v>
      </c>
      <c r="AU8" s="5263">
        <f t="shared" ref="AU8:AU14" si="10">AU17+AU27</f>
        <v>618652</v>
      </c>
      <c r="AV8" s="5265">
        <f>AVERAGE(AI8:AT8)</f>
        <v>51556.416666666664</v>
      </c>
      <c r="AW8" s="5261">
        <f t="shared" si="4"/>
        <v>38822</v>
      </c>
      <c r="AX8" s="5263">
        <f t="shared" si="4"/>
        <v>74843</v>
      </c>
      <c r="AY8" s="5263">
        <f t="shared" si="4"/>
        <v>50688</v>
      </c>
      <c r="AZ8" s="5263">
        <v>64086</v>
      </c>
      <c r="BA8" s="5263">
        <f t="shared" ref="BA8:BB14" si="11">BA17+BA27</f>
        <v>98908</v>
      </c>
      <c r="BB8" s="5263">
        <f t="shared" si="11"/>
        <v>63565</v>
      </c>
      <c r="BC8" s="5263">
        <f t="shared" ref="BC8:BD8" si="12">BC17+BC27</f>
        <v>95972</v>
      </c>
      <c r="BD8" s="5263">
        <f t="shared" si="12"/>
        <v>57549</v>
      </c>
      <c r="BE8" s="5263">
        <f t="shared" ref="BE8:BF8" si="13">BE17+BE27</f>
        <v>76227</v>
      </c>
      <c r="BF8" s="5263">
        <f t="shared" si="13"/>
        <v>62495</v>
      </c>
      <c r="BG8" s="5263">
        <f t="shared" ref="BG8:BH8" si="14">BG17+BG27</f>
        <v>52601</v>
      </c>
      <c r="BH8" s="5263">
        <f t="shared" si="14"/>
        <v>52735</v>
      </c>
      <c r="BI8" s="5263">
        <f>SUM(AW8:BH8)</f>
        <v>788491</v>
      </c>
      <c r="BJ8" s="5265">
        <f>AVERAGE(AW8:BG8)</f>
        <v>66886.909090909088</v>
      </c>
      <c r="BL8" s="5234">
        <f t="shared" si="7"/>
        <v>11627</v>
      </c>
      <c r="BM8" s="5234">
        <f t="shared" si="8"/>
        <v>15330.492424242424</v>
      </c>
      <c r="BN8" s="5255">
        <f t="shared" ref="BN8:BN15" si="15">HLOOKUP($A$1,$AW$1:$BH$400,ROW(),0)-SUM(AI8:AJ8)</f>
        <v>-51848</v>
      </c>
    </row>
    <row r="9" spans="1:74" ht="17.8" hidden="1" customHeight="1" x14ac:dyDescent="0.55000000000000004">
      <c r="A9" s="7164"/>
      <c r="B9" s="7165"/>
      <c r="C9" s="2493"/>
      <c r="D9" s="2493" t="s">
        <v>47</v>
      </c>
      <c r="E9" s="5125"/>
      <c r="F9" s="5256"/>
      <c r="G9" s="3263"/>
      <c r="H9" s="3263"/>
      <c r="I9" s="3263"/>
      <c r="J9" s="3263"/>
      <c r="K9" s="3263"/>
      <c r="L9" s="3263"/>
      <c r="M9" s="3263"/>
      <c r="N9" s="3263"/>
      <c r="O9" s="3263"/>
      <c r="P9" s="3263"/>
      <c r="Q9" s="3263"/>
      <c r="R9" s="3263"/>
      <c r="S9" s="3263"/>
      <c r="T9" s="5256">
        <f t="shared" ref="T9:AE9" si="16">T18+T28</f>
        <v>16117</v>
      </c>
      <c r="U9" s="3263">
        <f t="shared" si="16"/>
        <v>17266</v>
      </c>
      <c r="V9" s="3263">
        <f t="shared" si="16"/>
        <v>16530</v>
      </c>
      <c r="W9" s="3263">
        <f t="shared" si="16"/>
        <v>13960</v>
      </c>
      <c r="X9" s="3263">
        <f t="shared" si="16"/>
        <v>17024</v>
      </c>
      <c r="Y9" s="3263">
        <f t="shared" si="16"/>
        <v>15994</v>
      </c>
      <c r="Z9" s="3263">
        <f t="shared" si="16"/>
        <v>16734</v>
      </c>
      <c r="AA9" s="3263">
        <f t="shared" si="16"/>
        <v>18242</v>
      </c>
      <c r="AB9" s="3263">
        <f t="shared" si="16"/>
        <v>15307</v>
      </c>
      <c r="AC9" s="3263">
        <f t="shared" si="16"/>
        <v>17458</v>
      </c>
      <c r="AD9" s="3263">
        <f t="shared" si="16"/>
        <v>14962</v>
      </c>
      <c r="AE9" s="3263">
        <f t="shared" si="16"/>
        <v>13108</v>
      </c>
      <c r="AF9" s="5257">
        <f t="shared" ref="AF9:AG14" si="17">AF18+AF28</f>
        <v>192702</v>
      </c>
      <c r="AG9" s="5257">
        <f t="shared" si="17"/>
        <v>16058.5</v>
      </c>
      <c r="AH9" s="5257"/>
      <c r="AI9" s="5258">
        <v>21158</v>
      </c>
      <c r="AJ9" s="5257">
        <v>18812</v>
      </c>
      <c r="AK9" s="5257">
        <v>21166</v>
      </c>
      <c r="AL9" s="5257">
        <v>20382</v>
      </c>
      <c r="AM9" s="5257">
        <v>23263</v>
      </c>
      <c r="AN9" s="5257">
        <v>21034</v>
      </c>
      <c r="AO9" s="5257">
        <v>21255</v>
      </c>
      <c r="AP9" s="5257">
        <v>19773</v>
      </c>
      <c r="AQ9" s="5257">
        <v>18965</v>
      </c>
      <c r="AR9" s="5257">
        <v>20062</v>
      </c>
      <c r="AS9" s="5257">
        <v>19262</v>
      </c>
      <c r="AT9" s="3263">
        <v>0</v>
      </c>
      <c r="AU9" s="5257">
        <f t="shared" si="10"/>
        <v>193665</v>
      </c>
      <c r="AV9" s="5259">
        <f>AV18+AV28</f>
        <v>19284.7803030303</v>
      </c>
      <c r="AW9" s="5256">
        <f t="shared" si="4"/>
        <v>17134</v>
      </c>
      <c r="AX9" s="5257">
        <f t="shared" si="4"/>
        <v>24904</v>
      </c>
      <c r="AY9" s="5257">
        <f t="shared" si="4"/>
        <v>21688</v>
      </c>
      <c r="AZ9" s="5257">
        <v>34019</v>
      </c>
      <c r="BA9" s="5257">
        <f t="shared" si="11"/>
        <v>68004</v>
      </c>
      <c r="BB9" s="5257">
        <f t="shared" si="11"/>
        <v>33265</v>
      </c>
      <c r="BC9" s="5257">
        <f t="shared" ref="BC9:BD9" si="18">BC18+BC28</f>
        <v>49067</v>
      </c>
      <c r="BD9" s="5257">
        <f t="shared" si="18"/>
        <v>21066</v>
      </c>
      <c r="BE9" s="5257">
        <f t="shared" ref="BE9" si="19">BE18+BE28</f>
        <v>23059</v>
      </c>
      <c r="BF9" s="5257">
        <f>BF18+BF28</f>
        <v>19985</v>
      </c>
      <c r="BG9" s="5257">
        <f t="shared" ref="BG9:BH9" si="20">BG18+BG28</f>
        <v>21481</v>
      </c>
      <c r="BH9" s="5257">
        <f t="shared" si="20"/>
        <v>21980</v>
      </c>
      <c r="BI9" s="5257">
        <f t="shared" ref="BI9:BJ14" si="21">BI18+BI28</f>
        <v>298079</v>
      </c>
      <c r="BJ9" s="5259">
        <f t="shared" si="21"/>
        <v>30491.583333333336</v>
      </c>
      <c r="BL9" s="5234">
        <f t="shared" si="7"/>
        <v>21980</v>
      </c>
      <c r="BM9" s="5234">
        <f t="shared" si="8"/>
        <v>11206.803030303035</v>
      </c>
      <c r="BN9" s="5255">
        <f t="shared" si="15"/>
        <v>-17990</v>
      </c>
    </row>
    <row r="10" spans="1:74" ht="17.8" hidden="1" customHeight="1" x14ac:dyDescent="0.55000000000000004">
      <c r="A10" s="7164"/>
      <c r="B10" s="7165"/>
      <c r="C10" s="2493"/>
      <c r="D10" s="2493" t="s">
        <v>56</v>
      </c>
      <c r="E10" s="5125"/>
      <c r="F10" s="5256"/>
      <c r="G10" s="3263"/>
      <c r="H10" s="3263"/>
      <c r="I10" s="3263"/>
      <c r="J10" s="3263"/>
      <c r="K10" s="3263"/>
      <c r="L10" s="3263"/>
      <c r="M10" s="3263"/>
      <c r="N10" s="3263"/>
      <c r="O10" s="3263"/>
      <c r="P10" s="3263"/>
      <c r="Q10" s="3263"/>
      <c r="R10" s="3263"/>
      <c r="S10" s="3263"/>
      <c r="T10" s="5256">
        <f t="shared" ref="T10:AE10" si="22">T19+T29</f>
        <v>28743</v>
      </c>
      <c r="U10" s="3263">
        <f t="shared" si="22"/>
        <v>40770</v>
      </c>
      <c r="V10" s="3263">
        <f t="shared" si="22"/>
        <v>29477</v>
      </c>
      <c r="W10" s="3263">
        <f t="shared" si="22"/>
        <v>28357</v>
      </c>
      <c r="X10" s="3263">
        <f t="shared" si="22"/>
        <v>29789</v>
      </c>
      <c r="Y10" s="3263">
        <f t="shared" si="22"/>
        <v>27269</v>
      </c>
      <c r="Z10" s="3263">
        <f t="shared" si="22"/>
        <v>26035</v>
      </c>
      <c r="AA10" s="3263">
        <f t="shared" si="22"/>
        <v>44355</v>
      </c>
      <c r="AB10" s="3263">
        <f t="shared" si="22"/>
        <v>24157</v>
      </c>
      <c r="AC10" s="3263">
        <f t="shared" si="22"/>
        <v>53065</v>
      </c>
      <c r="AD10" s="3263">
        <f t="shared" si="22"/>
        <v>26385</v>
      </c>
      <c r="AE10" s="3263">
        <f t="shared" si="22"/>
        <v>21548</v>
      </c>
      <c r="AF10" s="5257">
        <f t="shared" si="17"/>
        <v>379950</v>
      </c>
      <c r="AG10" s="5257">
        <f t="shared" si="17"/>
        <v>31662.5</v>
      </c>
      <c r="AH10" s="5257"/>
      <c r="AI10" s="5258">
        <v>39132</v>
      </c>
      <c r="AJ10" s="5257">
        <v>24425</v>
      </c>
      <c r="AK10" s="5257">
        <v>25714</v>
      </c>
      <c r="AL10" s="5257">
        <v>28122</v>
      </c>
      <c r="AM10" s="5257">
        <v>26401</v>
      </c>
      <c r="AN10" s="5257">
        <v>23736</v>
      </c>
      <c r="AO10" s="5257">
        <v>40335</v>
      </c>
      <c r="AP10" s="5257">
        <v>28327</v>
      </c>
      <c r="AQ10" s="5257">
        <v>48973</v>
      </c>
      <c r="AR10" s="5257">
        <v>42189</v>
      </c>
      <c r="AS10" s="5257">
        <v>29295</v>
      </c>
      <c r="AT10" s="3263">
        <v>856</v>
      </c>
      <c r="AU10" s="5257">
        <f t="shared" si="10"/>
        <v>313512</v>
      </c>
      <c r="AV10" s="5259">
        <f t="shared" ref="AV10:AV14" si="23">AV19+AV29</f>
        <v>32292.13636363636</v>
      </c>
      <c r="AW10" s="5256">
        <f t="shared" si="4"/>
        <v>21688</v>
      </c>
      <c r="AX10" s="5257">
        <f t="shared" si="4"/>
        <v>49939</v>
      </c>
      <c r="AY10" s="5257">
        <f t="shared" si="4"/>
        <v>29000</v>
      </c>
      <c r="AZ10" s="5257">
        <v>30067</v>
      </c>
      <c r="BA10" s="5257">
        <f t="shared" si="11"/>
        <v>30904</v>
      </c>
      <c r="BB10" s="5257">
        <f t="shared" si="11"/>
        <v>30300</v>
      </c>
      <c r="BC10" s="5257">
        <f t="shared" ref="BC10:BD10" si="24">BC19+BC29</f>
        <v>46897</v>
      </c>
      <c r="BD10" s="5257">
        <f t="shared" si="24"/>
        <v>36483</v>
      </c>
      <c r="BE10" s="5257">
        <f t="shared" ref="BE10:BF10" si="25">BE19+BE29</f>
        <v>53168</v>
      </c>
      <c r="BF10" s="5257">
        <f t="shared" si="25"/>
        <v>42510</v>
      </c>
      <c r="BG10" s="5257">
        <f t="shared" ref="BG10:BH10" si="26">BG19+BG29</f>
        <v>31120</v>
      </c>
      <c r="BH10" s="5257">
        <f t="shared" si="26"/>
        <v>30755</v>
      </c>
      <c r="BI10" s="5257">
        <f t="shared" si="21"/>
        <v>351270</v>
      </c>
      <c r="BJ10" s="5259">
        <f>BJ19+BJ29</f>
        <v>36661.972222222226</v>
      </c>
      <c r="BL10" s="5234">
        <f t="shared" si="7"/>
        <v>29899</v>
      </c>
      <c r="BM10" s="5234">
        <f t="shared" si="8"/>
        <v>4369.8358585858659</v>
      </c>
      <c r="BN10" s="5255">
        <f t="shared" si="15"/>
        <v>-32802</v>
      </c>
    </row>
    <row r="11" spans="1:74" x14ac:dyDescent="0.55000000000000004">
      <c r="A11" s="7164"/>
      <c r="B11" s="7165"/>
      <c r="C11" s="2493" t="s">
        <v>48</v>
      </c>
      <c r="D11" s="2493"/>
      <c r="E11" s="5125"/>
      <c r="F11" s="5256"/>
      <c r="G11" s="3263"/>
      <c r="H11" s="3263"/>
      <c r="I11" s="3263"/>
      <c r="J11" s="3263"/>
      <c r="K11" s="3263"/>
      <c r="L11" s="3263"/>
      <c r="M11" s="3263"/>
      <c r="N11" s="3263"/>
      <c r="O11" s="3263"/>
      <c r="P11" s="3263"/>
      <c r="Q11" s="3263"/>
      <c r="R11" s="3263"/>
      <c r="S11" s="3263"/>
      <c r="T11" s="5256">
        <f t="shared" ref="T11:AE11" si="27">T20+T30</f>
        <v>15442</v>
      </c>
      <c r="U11" s="3263">
        <f t="shared" si="27"/>
        <v>15605</v>
      </c>
      <c r="V11" s="3263">
        <f t="shared" si="27"/>
        <v>15507</v>
      </c>
      <c r="W11" s="3263">
        <f t="shared" si="27"/>
        <v>15328</v>
      </c>
      <c r="X11" s="3263">
        <f t="shared" si="27"/>
        <v>18169</v>
      </c>
      <c r="Y11" s="3263">
        <f t="shared" si="27"/>
        <v>17050</v>
      </c>
      <c r="Z11" s="3263">
        <f t="shared" si="27"/>
        <v>18693</v>
      </c>
      <c r="AA11" s="3263">
        <f t="shared" si="27"/>
        <v>20302</v>
      </c>
      <c r="AB11" s="3263">
        <f t="shared" si="27"/>
        <v>16435</v>
      </c>
      <c r="AC11" s="3263">
        <f t="shared" si="27"/>
        <v>18810</v>
      </c>
      <c r="AD11" s="3263">
        <f t="shared" si="27"/>
        <v>17337</v>
      </c>
      <c r="AE11" s="3263">
        <f t="shared" si="27"/>
        <v>16746</v>
      </c>
      <c r="AF11" s="5257">
        <f t="shared" si="17"/>
        <v>205424</v>
      </c>
      <c r="AG11" s="5257">
        <f t="shared" si="17"/>
        <v>17118.666666666664</v>
      </c>
      <c r="AH11" s="5257"/>
      <c r="AI11" s="5258">
        <v>17406</v>
      </c>
      <c r="AJ11" s="5257">
        <v>16695</v>
      </c>
      <c r="AK11" s="5257">
        <v>17129</v>
      </c>
      <c r="AL11" s="5257">
        <v>17464</v>
      </c>
      <c r="AM11" s="5257">
        <v>18385</v>
      </c>
      <c r="AN11" s="5257">
        <v>16087</v>
      </c>
      <c r="AO11" s="5257">
        <v>17724</v>
      </c>
      <c r="AP11" s="5257">
        <v>16788</v>
      </c>
      <c r="AQ11" s="5257">
        <v>15770</v>
      </c>
      <c r="AR11" s="5257">
        <v>16883</v>
      </c>
      <c r="AS11" s="5257">
        <v>17753</v>
      </c>
      <c r="AT11" s="3263">
        <v>18307</v>
      </c>
      <c r="AU11" s="3263">
        <f t="shared" si="10"/>
        <v>206391</v>
      </c>
      <c r="AV11" s="5259">
        <f t="shared" si="23"/>
        <v>17108.929292929293</v>
      </c>
      <c r="AW11" s="5256">
        <f t="shared" si="4"/>
        <v>14989</v>
      </c>
      <c r="AX11" s="5257">
        <f t="shared" si="4"/>
        <v>18290</v>
      </c>
      <c r="AY11" s="5257">
        <f t="shared" si="4"/>
        <v>16783</v>
      </c>
      <c r="AZ11" s="5257">
        <v>16056</v>
      </c>
      <c r="BA11" s="5257">
        <f t="shared" si="11"/>
        <v>13653</v>
      </c>
      <c r="BB11" s="5257">
        <f t="shared" si="11"/>
        <v>15996</v>
      </c>
      <c r="BC11" s="5257">
        <f t="shared" ref="BC11:BD11" si="28">BC20+BC30</f>
        <v>23615</v>
      </c>
      <c r="BD11" s="5257">
        <f t="shared" si="28"/>
        <v>17953</v>
      </c>
      <c r="BE11" s="5257">
        <f t="shared" ref="BE11:BF11" si="29">BE20+BE30</f>
        <v>17962</v>
      </c>
      <c r="BF11" s="5257">
        <f t="shared" si="29"/>
        <v>17778</v>
      </c>
      <c r="BG11" s="5257">
        <f t="shared" ref="BG11:BH11" si="30">BG20+BG30</f>
        <v>17373</v>
      </c>
      <c r="BH11" s="5257">
        <f t="shared" si="30"/>
        <v>19584</v>
      </c>
      <c r="BI11" s="5257">
        <f t="shared" si="21"/>
        <v>203136</v>
      </c>
      <c r="BJ11" s="5259">
        <f t="shared" si="21"/>
        <v>16948.454545454544</v>
      </c>
      <c r="BL11" s="5234">
        <f t="shared" si="7"/>
        <v>1277</v>
      </c>
      <c r="BM11" s="5234">
        <f t="shared" si="8"/>
        <v>-160.47474747474917</v>
      </c>
      <c r="BN11" s="5255">
        <f t="shared" si="15"/>
        <v>-14517</v>
      </c>
    </row>
    <row r="12" spans="1:74" x14ac:dyDescent="0.55000000000000004">
      <c r="A12" s="7164"/>
      <c r="B12" s="7165"/>
      <c r="C12" s="2493" t="s">
        <v>59</v>
      </c>
      <c r="D12" s="2493"/>
      <c r="E12" s="5125"/>
      <c r="F12" s="5256"/>
      <c r="G12" s="3263"/>
      <c r="H12" s="3263"/>
      <c r="I12" s="3263"/>
      <c r="J12" s="3263"/>
      <c r="K12" s="3263"/>
      <c r="L12" s="3263"/>
      <c r="M12" s="3263"/>
      <c r="N12" s="3263"/>
      <c r="O12" s="3263"/>
      <c r="P12" s="3263"/>
      <c r="Q12" s="3263"/>
      <c r="R12" s="3263"/>
      <c r="S12" s="3263"/>
      <c r="T12" s="5256">
        <f t="shared" ref="T12:AE12" si="31">T21+T31</f>
        <v>918</v>
      </c>
      <c r="U12" s="3263">
        <f t="shared" si="31"/>
        <v>903</v>
      </c>
      <c r="V12" s="3263">
        <f t="shared" si="31"/>
        <v>1118</v>
      </c>
      <c r="W12" s="3263">
        <f t="shared" si="31"/>
        <v>997</v>
      </c>
      <c r="X12" s="3263">
        <f t="shared" si="31"/>
        <v>2183</v>
      </c>
      <c r="Y12" s="3263">
        <f t="shared" si="31"/>
        <v>1226</v>
      </c>
      <c r="Z12" s="3263">
        <f t="shared" si="31"/>
        <v>1081</v>
      </c>
      <c r="AA12" s="3263">
        <f t="shared" si="31"/>
        <v>1144</v>
      </c>
      <c r="AB12" s="3263">
        <f t="shared" si="31"/>
        <v>1716</v>
      </c>
      <c r="AC12" s="3263">
        <f t="shared" si="31"/>
        <v>1040</v>
      </c>
      <c r="AD12" s="3263">
        <f t="shared" si="31"/>
        <v>1229</v>
      </c>
      <c r="AE12" s="3263">
        <f t="shared" si="31"/>
        <v>2506</v>
      </c>
      <c r="AF12" s="5257">
        <f t="shared" si="17"/>
        <v>16061</v>
      </c>
      <c r="AG12" s="5257">
        <f t="shared" si="17"/>
        <v>1338.4166666666667</v>
      </c>
      <c r="AH12" s="5257"/>
      <c r="AI12" s="5258">
        <v>976</v>
      </c>
      <c r="AJ12" s="5257">
        <v>989</v>
      </c>
      <c r="AK12" s="5257">
        <v>1322</v>
      </c>
      <c r="AL12" s="5257">
        <v>1340</v>
      </c>
      <c r="AM12" s="5257">
        <v>2189</v>
      </c>
      <c r="AN12" s="5257">
        <v>1151</v>
      </c>
      <c r="AO12" s="5257">
        <v>1186</v>
      </c>
      <c r="AP12" s="5257">
        <v>1414</v>
      </c>
      <c r="AQ12" s="5257">
        <v>1505</v>
      </c>
      <c r="AR12" s="5257">
        <v>1368</v>
      </c>
      <c r="AS12" s="5257">
        <v>1477</v>
      </c>
      <c r="AT12" s="3263">
        <v>3350</v>
      </c>
      <c r="AU12" s="5257">
        <f t="shared" si="10"/>
        <v>18267</v>
      </c>
      <c r="AV12" s="5259">
        <f t="shared" si="23"/>
        <v>1358.3131313131312</v>
      </c>
      <c r="AW12" s="5256">
        <f t="shared" si="4"/>
        <v>1314</v>
      </c>
      <c r="AX12" s="5257">
        <f t="shared" si="4"/>
        <v>1140</v>
      </c>
      <c r="AY12" s="5257">
        <f t="shared" si="4"/>
        <v>1083</v>
      </c>
      <c r="AZ12" s="5257">
        <v>5069</v>
      </c>
      <c r="BA12" s="5257">
        <f t="shared" si="11"/>
        <v>1160</v>
      </c>
      <c r="BB12" s="5257">
        <f t="shared" si="11"/>
        <v>2042</v>
      </c>
      <c r="BC12" s="5257">
        <f t="shared" ref="BC12:BD12" si="32">BC21+BC31</f>
        <v>1131</v>
      </c>
      <c r="BD12" s="5257">
        <f t="shared" si="32"/>
        <v>1265</v>
      </c>
      <c r="BE12" s="5257">
        <f t="shared" ref="BE12:BF12" si="33">BE21+BE31</f>
        <v>1120</v>
      </c>
      <c r="BF12" s="5257">
        <f t="shared" si="33"/>
        <v>1323</v>
      </c>
      <c r="BG12" s="5257">
        <f t="shared" ref="BG12:BH12" si="34">BG21+BG31</f>
        <v>1250</v>
      </c>
      <c r="BH12" s="5257">
        <f t="shared" si="34"/>
        <v>1545</v>
      </c>
      <c r="BI12" s="5257">
        <f t="shared" si="21"/>
        <v>14518</v>
      </c>
      <c r="BJ12" s="5259">
        <f t="shared" si="21"/>
        <v>1215</v>
      </c>
      <c r="BL12" s="5234">
        <f t="shared" si="7"/>
        <v>-1805</v>
      </c>
      <c r="BM12" s="5234">
        <f t="shared" si="8"/>
        <v>-143.31313131313118</v>
      </c>
      <c r="BN12" s="5255">
        <f t="shared" si="15"/>
        <v>-420</v>
      </c>
    </row>
    <row r="13" spans="1:74" x14ac:dyDescent="0.55000000000000004">
      <c r="A13" s="7164"/>
      <c r="B13" s="7165"/>
      <c r="C13" s="2493" t="s">
        <v>49</v>
      </c>
      <c r="D13" s="2493"/>
      <c r="E13" s="5125"/>
      <c r="F13" s="5256"/>
      <c r="G13" s="3263"/>
      <c r="H13" s="3263"/>
      <c r="I13" s="3263"/>
      <c r="J13" s="3263"/>
      <c r="K13" s="3263"/>
      <c r="L13" s="3263"/>
      <c r="M13" s="3263"/>
      <c r="N13" s="3263"/>
      <c r="O13" s="3263"/>
      <c r="P13" s="3263"/>
      <c r="Q13" s="3263"/>
      <c r="R13" s="3263"/>
      <c r="S13" s="3263"/>
      <c r="T13" s="5256">
        <f t="shared" ref="T13:AE13" si="35">T22+T32</f>
        <v>22404</v>
      </c>
      <c r="U13" s="3263">
        <f t="shared" si="35"/>
        <v>31275</v>
      </c>
      <c r="V13" s="3263">
        <f t="shared" si="35"/>
        <v>1943</v>
      </c>
      <c r="W13" s="3263">
        <f t="shared" si="35"/>
        <v>14660</v>
      </c>
      <c r="X13" s="3263">
        <f t="shared" si="35"/>
        <v>22933</v>
      </c>
      <c r="Y13" s="3263">
        <f t="shared" si="35"/>
        <v>20640</v>
      </c>
      <c r="Z13" s="3263">
        <f t="shared" si="35"/>
        <v>20389</v>
      </c>
      <c r="AA13" s="3263">
        <f t="shared" si="35"/>
        <v>36855</v>
      </c>
      <c r="AB13" s="3263">
        <f t="shared" si="35"/>
        <v>19567</v>
      </c>
      <c r="AC13" s="3263">
        <f t="shared" si="35"/>
        <v>33534</v>
      </c>
      <c r="AD13" s="3263">
        <f t="shared" si="35"/>
        <v>19911</v>
      </c>
      <c r="AE13" s="3263">
        <f t="shared" si="35"/>
        <v>17253</v>
      </c>
      <c r="AF13" s="5257">
        <f t="shared" si="17"/>
        <v>261364</v>
      </c>
      <c r="AG13" s="5257">
        <f t="shared" si="17"/>
        <v>21780.333333333336</v>
      </c>
      <c r="AH13" s="5257"/>
      <c r="AI13" s="5258">
        <v>36822</v>
      </c>
      <c r="AJ13" s="5257">
        <v>26513</v>
      </c>
      <c r="AK13" s="5257">
        <v>30707</v>
      </c>
      <c r="AL13" s="5257">
        <v>32391</v>
      </c>
      <c r="AM13" s="5257">
        <v>30663</v>
      </c>
      <c r="AN13" s="5257">
        <v>24954</v>
      </c>
      <c r="AO13" s="5257">
        <v>35706.999999999993</v>
      </c>
      <c r="AP13" s="5257">
        <v>24216</v>
      </c>
      <c r="AQ13" s="5257">
        <v>45778</v>
      </c>
      <c r="AR13" s="5257">
        <v>46041</v>
      </c>
      <c r="AS13" s="5257">
        <v>33123</v>
      </c>
      <c r="AT13" s="3263">
        <v>30026</v>
      </c>
      <c r="AU13" s="5257">
        <f t="shared" si="10"/>
        <v>396916</v>
      </c>
      <c r="AV13" s="5259">
        <f t="shared" si="23"/>
        <v>33354.909090909088</v>
      </c>
      <c r="AW13" s="5256">
        <f t="shared" si="4"/>
        <v>33644</v>
      </c>
      <c r="AX13" s="5257">
        <f t="shared" si="4"/>
        <v>58703</v>
      </c>
      <c r="AY13" s="5257">
        <f t="shared" si="4"/>
        <v>40861</v>
      </c>
      <c r="AZ13" s="5257">
        <v>46142</v>
      </c>
      <c r="BA13" s="5257">
        <f t="shared" si="11"/>
        <v>58250</v>
      </c>
      <c r="BB13" s="5257">
        <f t="shared" si="11"/>
        <v>49360</v>
      </c>
      <c r="BC13" s="5257">
        <f t="shared" ref="BC13:BD13" si="36">BC22+BC32</f>
        <v>67006</v>
      </c>
      <c r="BD13" s="5257">
        <f t="shared" si="36"/>
        <v>49657</v>
      </c>
      <c r="BE13" s="5257">
        <f t="shared" ref="BE13:BF13" si="37">BE22+BE32</f>
        <v>63823</v>
      </c>
      <c r="BF13" s="5257">
        <f t="shared" si="37"/>
        <v>52754</v>
      </c>
      <c r="BG13" s="5257">
        <f t="shared" ref="BG13:BH13" si="38">BG22+BG32</f>
        <v>44092</v>
      </c>
      <c r="BH13" s="5257">
        <f t="shared" si="38"/>
        <v>45806</v>
      </c>
      <c r="BI13" s="5257">
        <f t="shared" si="21"/>
        <v>610687</v>
      </c>
      <c r="BJ13" s="5259">
        <f t="shared" si="21"/>
        <v>51369.636363636368</v>
      </c>
      <c r="BL13" s="5234">
        <f t="shared" si="7"/>
        <v>15780</v>
      </c>
      <c r="BM13" s="5234">
        <f t="shared" si="8"/>
        <v>18014.727272727279</v>
      </c>
      <c r="BN13" s="5255">
        <f t="shared" si="15"/>
        <v>-17529</v>
      </c>
    </row>
    <row r="14" spans="1:74" x14ac:dyDescent="0.55000000000000004">
      <c r="A14" s="7164"/>
      <c r="B14" s="7165"/>
      <c r="C14" s="2493" t="s">
        <v>50</v>
      </c>
      <c r="D14" s="2493"/>
      <c r="E14" s="5125"/>
      <c r="F14" s="5256"/>
      <c r="G14" s="3263"/>
      <c r="H14" s="3263"/>
      <c r="I14" s="3263"/>
      <c r="J14" s="3263"/>
      <c r="K14" s="3263"/>
      <c r="L14" s="3263"/>
      <c r="M14" s="3263"/>
      <c r="N14" s="3263"/>
      <c r="O14" s="3263"/>
      <c r="P14" s="3263"/>
      <c r="Q14" s="3263"/>
      <c r="R14" s="3263"/>
      <c r="S14" s="3263"/>
      <c r="T14" s="5256">
        <f t="shared" ref="T14:AE14" si="39">T23+T33</f>
        <v>10568</v>
      </c>
      <c r="U14" s="3263">
        <f t="shared" si="39"/>
        <v>9476</v>
      </c>
      <c r="V14" s="3263">
        <f t="shared" si="39"/>
        <v>10614</v>
      </c>
      <c r="W14" s="3263">
        <f t="shared" si="39"/>
        <v>7993</v>
      </c>
      <c r="X14" s="3263">
        <f t="shared" si="39"/>
        <v>8669</v>
      </c>
      <c r="Y14" s="3263">
        <f t="shared" si="39"/>
        <v>8722</v>
      </c>
      <c r="Z14" s="3263">
        <f t="shared" si="39"/>
        <v>8580</v>
      </c>
      <c r="AA14" s="3263">
        <f t="shared" si="39"/>
        <v>8777</v>
      </c>
      <c r="AB14" s="3263">
        <f t="shared" si="39"/>
        <v>7789</v>
      </c>
      <c r="AC14" s="3263">
        <f t="shared" si="39"/>
        <v>17737</v>
      </c>
      <c r="AD14" s="3263">
        <f t="shared" si="39"/>
        <v>9885</v>
      </c>
      <c r="AE14" s="3263">
        <f t="shared" si="39"/>
        <v>7787</v>
      </c>
      <c r="AF14" s="5257">
        <f t="shared" si="17"/>
        <v>116597</v>
      </c>
      <c r="AG14" s="5257">
        <f t="shared" si="17"/>
        <v>9716.4166666666661</v>
      </c>
      <c r="AH14" s="5257"/>
      <c r="AI14" s="5258">
        <v>5780</v>
      </c>
      <c r="AJ14" s="5257">
        <v>5148</v>
      </c>
      <c r="AK14" s="5257">
        <v>5822</v>
      </c>
      <c r="AL14" s="5257">
        <v>6133</v>
      </c>
      <c r="AM14" s="5257">
        <v>7424</v>
      </c>
      <c r="AN14" s="5257">
        <v>6739</v>
      </c>
      <c r="AO14" s="5257">
        <v>10412</v>
      </c>
      <c r="AP14" s="5257">
        <v>9915</v>
      </c>
      <c r="AQ14" s="5257">
        <v>9856</v>
      </c>
      <c r="AR14" s="5257">
        <v>14231</v>
      </c>
      <c r="AS14" s="5257">
        <v>13225</v>
      </c>
      <c r="AT14" s="3263">
        <v>9489</v>
      </c>
      <c r="AU14" s="5257">
        <f t="shared" si="10"/>
        <v>104174</v>
      </c>
      <c r="AV14" s="5259">
        <f t="shared" si="23"/>
        <v>8596.9494949494947</v>
      </c>
      <c r="AW14" s="5256">
        <f t="shared" si="4"/>
        <v>9088</v>
      </c>
      <c r="AX14" s="5257">
        <f t="shared" si="4"/>
        <v>10466</v>
      </c>
      <c r="AY14" s="5257">
        <f t="shared" si="4"/>
        <v>8058</v>
      </c>
      <c r="AZ14" s="5257">
        <v>11496</v>
      </c>
      <c r="BA14" s="5257">
        <f t="shared" si="11"/>
        <v>9856</v>
      </c>
      <c r="BB14" s="5257">
        <f t="shared" si="11"/>
        <v>12471</v>
      </c>
      <c r="BC14" s="5257">
        <f t="shared" ref="BC14" si="40">BC23+BC33</f>
        <v>13823</v>
      </c>
      <c r="BD14" s="5257">
        <f>BD23+BD33</f>
        <v>14746</v>
      </c>
      <c r="BE14" s="5257">
        <f>BE23+BE33</f>
        <v>12395</v>
      </c>
      <c r="BF14" s="5257">
        <f>BF23+BF33</f>
        <v>16509</v>
      </c>
      <c r="BG14" s="5257">
        <f>BG23+BG33</f>
        <v>14932</v>
      </c>
      <c r="BH14" s="5257">
        <f>BH23+BH33</f>
        <v>14901</v>
      </c>
      <c r="BI14" s="5257">
        <f t="shared" si="21"/>
        <v>148590</v>
      </c>
      <c r="BJ14" s="5259">
        <f t="shared" si="21"/>
        <v>12153.545454545456</v>
      </c>
      <c r="BL14" s="5234">
        <f t="shared" si="7"/>
        <v>5412</v>
      </c>
      <c r="BM14" s="5234">
        <f t="shared" si="8"/>
        <v>3556.5959595959612</v>
      </c>
      <c r="BN14" s="5255">
        <f t="shared" si="15"/>
        <v>3973</v>
      </c>
    </row>
    <row r="15" spans="1:74" x14ac:dyDescent="0.55000000000000004">
      <c r="A15" s="7166"/>
      <c r="B15" s="7167"/>
      <c r="C15" s="3425" t="s">
        <v>51</v>
      </c>
      <c r="D15" s="3749"/>
      <c r="E15" s="5269"/>
      <c r="F15" s="5268"/>
      <c r="G15" s="5269"/>
      <c r="H15" s="5269"/>
      <c r="I15" s="5269"/>
      <c r="J15" s="5269"/>
      <c r="K15" s="5269"/>
      <c r="L15" s="5269"/>
      <c r="M15" s="5269"/>
      <c r="N15" s="5269"/>
      <c r="O15" s="5269"/>
      <c r="P15" s="5269"/>
      <c r="Q15" s="5269"/>
      <c r="R15" s="5269"/>
      <c r="S15" s="5269"/>
      <c r="T15" s="5268">
        <f t="shared" ref="T15:AG15" si="41">T25+T35</f>
        <v>-3581</v>
      </c>
      <c r="U15" s="5269">
        <f t="shared" si="41"/>
        <v>1662</v>
      </c>
      <c r="V15" s="5269">
        <f t="shared" si="41"/>
        <v>17911</v>
      </c>
      <c r="W15" s="5269">
        <f t="shared" si="41"/>
        <v>4308</v>
      </c>
      <c r="X15" s="5269">
        <f t="shared" si="41"/>
        <v>-2984</v>
      </c>
      <c r="Y15" s="5269">
        <f t="shared" si="41"/>
        <v>-3176</v>
      </c>
      <c r="Z15" s="5269">
        <f t="shared" si="41"/>
        <v>-4918</v>
      </c>
      <c r="AA15" s="5269">
        <f t="shared" si="41"/>
        <v>-3367</v>
      </c>
      <c r="AB15" s="5269">
        <f t="shared" si="41"/>
        <v>-4372</v>
      </c>
      <c r="AC15" s="5269">
        <f t="shared" si="41"/>
        <v>386</v>
      </c>
      <c r="AD15" s="5269">
        <f t="shared" si="41"/>
        <v>-5809</v>
      </c>
      <c r="AE15" s="5269">
        <f t="shared" si="41"/>
        <v>-7154</v>
      </c>
      <c r="AF15" s="5270">
        <f t="shared" si="41"/>
        <v>-11094</v>
      </c>
      <c r="AG15" s="5270">
        <f t="shared" si="41"/>
        <v>-924.49999999999966</v>
      </c>
      <c r="AH15" s="5270"/>
      <c r="AI15" s="5294">
        <v>759</v>
      </c>
      <c r="AJ15" s="5270">
        <v>-4238</v>
      </c>
      <c r="AK15" s="5270">
        <v>-7422</v>
      </c>
      <c r="AL15" s="5270">
        <v>-8154</v>
      </c>
      <c r="AM15" s="5270">
        <v>-7360</v>
      </c>
      <c r="AN15" s="5270">
        <v>-3736</v>
      </c>
      <c r="AO15" s="5270">
        <v>-2788</v>
      </c>
      <c r="AP15" s="5270">
        <v>-3186</v>
      </c>
      <c r="AQ15" s="5270">
        <v>-3977</v>
      </c>
      <c r="AR15" s="5270">
        <v>-15625</v>
      </c>
      <c r="AS15" s="5270">
        <v>-16086</v>
      </c>
      <c r="AT15" s="5269">
        <v>-16714</v>
      </c>
      <c r="AU15" s="5270">
        <f>AU25+AU35</f>
        <v>-88829</v>
      </c>
      <c r="AV15" s="5272">
        <f>AV25+AV35</f>
        <v>-7402.4166666666661</v>
      </c>
      <c r="AW15" s="5268">
        <f t="shared" ref="AW15:AY15" si="42">AW25+AW35</f>
        <v>-18899</v>
      </c>
      <c r="AX15" s="5270">
        <f>AX25+AX35</f>
        <v>-12616</v>
      </c>
      <c r="AY15" s="5270">
        <f t="shared" si="42"/>
        <v>-15014</v>
      </c>
      <c r="AZ15" s="5270">
        <v>-9608</v>
      </c>
      <c r="BA15" s="5270">
        <f t="shared" ref="BA15:BH15" si="43">BA7-AZ7</f>
        <v>17119</v>
      </c>
      <c r="BB15" s="5270">
        <f t="shared" si="43"/>
        <v>-14262</v>
      </c>
      <c r="BC15" s="5270">
        <f t="shared" si="43"/>
        <v>-8472</v>
      </c>
      <c r="BD15" s="5270">
        <f t="shared" si="43"/>
        <v>-24807</v>
      </c>
      <c r="BE15" s="5270">
        <f t="shared" si="43"/>
        <v>-17953</v>
      </c>
      <c r="BF15" s="5270">
        <f t="shared" si="43"/>
        <v>-23621</v>
      </c>
      <c r="BG15" s="5270">
        <f t="shared" si="43"/>
        <v>-21327</v>
      </c>
      <c r="BH15" s="5270">
        <f t="shared" si="43"/>
        <v>-24490</v>
      </c>
      <c r="BI15" s="5270">
        <f>BI25+BI35</f>
        <v>-173920</v>
      </c>
      <c r="BJ15" s="5272">
        <f>BJ25+BJ35</f>
        <v>-14493.333333333334</v>
      </c>
      <c r="BL15" s="5234">
        <f t="shared" si="7"/>
        <v>-7776</v>
      </c>
      <c r="BM15" s="5234">
        <f t="shared" si="8"/>
        <v>-7090.9166666666679</v>
      </c>
      <c r="BN15" s="5255">
        <f t="shared" si="15"/>
        <v>-21011</v>
      </c>
      <c r="BQ15" s="5234">
        <f>SUM(AW15:BH15)-SUM(AI15:AT15)</f>
        <v>-85423</v>
      </c>
    </row>
    <row r="16" spans="1:74" ht="18" customHeight="1" x14ac:dyDescent="0.55000000000000004">
      <c r="A16" s="7168" t="s">
        <v>60</v>
      </c>
      <c r="B16" s="7169"/>
      <c r="C16" s="5674" t="s">
        <v>44</v>
      </c>
      <c r="D16" s="5675"/>
      <c r="E16" s="5676"/>
      <c r="F16" s="5677"/>
      <c r="G16" s="5676"/>
      <c r="H16" s="5676"/>
      <c r="I16" s="5676"/>
      <c r="J16" s="5676"/>
      <c r="K16" s="5676"/>
      <c r="L16" s="5676"/>
      <c r="M16" s="5676"/>
      <c r="N16" s="5676"/>
      <c r="O16" s="5676"/>
      <c r="P16" s="5676"/>
      <c r="Q16" s="5676">
        <f>Q36+Q65+Q75+Q95</f>
        <v>1142110</v>
      </c>
      <c r="R16" s="5677">
        <f>R36+R65+R75+R95</f>
        <v>1142110</v>
      </c>
      <c r="S16" s="5676"/>
      <c r="T16" s="5677">
        <f t="shared" ref="T16:AG16" si="44">T36+T65+T75+T95</f>
        <v>1138795</v>
      </c>
      <c r="U16" s="5676">
        <f t="shared" si="44"/>
        <v>1139459</v>
      </c>
      <c r="V16" s="5676">
        <f t="shared" si="44"/>
        <v>1158454</v>
      </c>
      <c r="W16" s="5676">
        <f t="shared" si="44"/>
        <v>1163489</v>
      </c>
      <c r="X16" s="5676">
        <f t="shared" si="44"/>
        <v>1162528</v>
      </c>
      <c r="Y16" s="5676">
        <f t="shared" si="44"/>
        <v>1161780</v>
      </c>
      <c r="Z16" s="5676">
        <f t="shared" si="44"/>
        <v>1157182</v>
      </c>
      <c r="AA16" s="5676">
        <f t="shared" si="44"/>
        <v>1153875</v>
      </c>
      <c r="AB16" s="5676">
        <f t="shared" si="44"/>
        <v>1149004</v>
      </c>
      <c r="AC16" s="5676">
        <f t="shared" si="44"/>
        <v>1145434</v>
      </c>
      <c r="AD16" s="5676">
        <f t="shared" si="44"/>
        <v>1140093</v>
      </c>
      <c r="AE16" s="5676">
        <f t="shared" si="44"/>
        <v>1135255</v>
      </c>
      <c r="AF16" s="5678">
        <f t="shared" si="44"/>
        <v>1135255</v>
      </c>
      <c r="AG16" s="5678">
        <f t="shared" si="44"/>
        <v>1150445.6666666667</v>
      </c>
      <c r="AH16" s="5678"/>
      <c r="AI16" s="5677">
        <f t="shared" ref="AI16:AI21" si="45">AI36+AI65+AI75+AI95+AI46</f>
        <v>1134578</v>
      </c>
      <c r="AJ16" s="5678">
        <f t="shared" ref="AJ16:AT16" si="46">AJ36+AJ65+AJ75+AJ95+AJ46</f>
        <v>1128116</v>
      </c>
      <c r="AK16" s="5678">
        <f t="shared" si="46"/>
        <v>1121950</v>
      </c>
      <c r="AL16" s="5678">
        <f t="shared" si="46"/>
        <v>1115930</v>
      </c>
      <c r="AM16" s="5678">
        <f t="shared" si="46"/>
        <v>1111051</v>
      </c>
      <c r="AN16" s="5678">
        <f t="shared" si="46"/>
        <v>1110211</v>
      </c>
      <c r="AO16" s="5678">
        <f t="shared" si="46"/>
        <v>1110031</v>
      </c>
      <c r="AP16" s="5678">
        <f t="shared" si="46"/>
        <v>1115525</v>
      </c>
      <c r="AQ16" s="5678">
        <f t="shared" si="46"/>
        <v>1110720</v>
      </c>
      <c r="AR16" s="5678">
        <f t="shared" si="46"/>
        <v>1099002</v>
      </c>
      <c r="AS16" s="5678">
        <f t="shared" si="46"/>
        <v>1095047</v>
      </c>
      <c r="AT16" s="5676">
        <f t="shared" si="46"/>
        <v>1089991</v>
      </c>
      <c r="AU16" s="5676">
        <f>AU36+AU65+AU75+AU95+AU46</f>
        <v>1089991</v>
      </c>
      <c r="AV16" s="5676">
        <f>AV36+AV65+AV75+AV95+AV46</f>
        <v>1111846</v>
      </c>
      <c r="AW16" s="5677">
        <f t="shared" ref="AW16:AZ17" si="47">AW36+AW65+AW75+AW95+AW46</f>
        <v>1081462</v>
      </c>
      <c r="AX16" s="5676">
        <f t="shared" si="47"/>
        <v>1074041</v>
      </c>
      <c r="AY16" s="5676">
        <f t="shared" si="47"/>
        <v>1069017</v>
      </c>
      <c r="AZ16" s="5676">
        <f>AZ36+AZ65+AZ75+AZ95+AZ46</f>
        <v>1065195</v>
      </c>
      <c r="BA16" s="5676">
        <f>BA36+BA65+BA75+BA95+BA46</f>
        <v>1073219</v>
      </c>
      <c r="BB16" s="5676">
        <f t="shared" ref="BB16:BD16" si="48">BB36+BB65+BB75+BB95+BB46</f>
        <v>1065938</v>
      </c>
      <c r="BC16" s="5676">
        <f t="shared" si="48"/>
        <v>1059309</v>
      </c>
      <c r="BD16" s="5676">
        <f t="shared" si="48"/>
        <v>1047155</v>
      </c>
      <c r="BE16" s="5676">
        <f t="shared" ref="BE16:BF16" si="49">BE36+BE65+BE75+BE95+BE46</f>
        <v>1034025</v>
      </c>
      <c r="BF16" s="5676">
        <f t="shared" si="49"/>
        <v>1019918</v>
      </c>
      <c r="BG16" s="5676">
        <f t="shared" ref="BG16" si="50">BG36+BG65+BG75+BG95+BG46</f>
        <v>1009458</v>
      </c>
      <c r="BH16" s="5676">
        <f t="shared" ref="BH16" si="51">BH36+BH65+BH75+BH95+BH46</f>
        <v>996312</v>
      </c>
      <c r="BI16" s="5676">
        <f>INDEX($AW16:$BH16, 1, MATCH(0, $AW16:$BH16, -1))</f>
        <v>996312</v>
      </c>
      <c r="BJ16" s="5680">
        <f>BJ36+BJ65+BJ75+BJ95</f>
        <v>1025764.4166666667</v>
      </c>
      <c r="BL16" s="5234">
        <f t="shared" si="7"/>
        <v>-93679</v>
      </c>
      <c r="BM16" s="5234">
        <f t="shared" si="8"/>
        <v>-86081.583333333256</v>
      </c>
      <c r="BN16" s="5235">
        <f>AX16-AJ16</f>
        <v>-54075</v>
      </c>
      <c r="BQ16" s="2488">
        <f>BH16-AT16</f>
        <v>-93679</v>
      </c>
    </row>
    <row r="17" spans="1:74" ht="18" customHeight="1" x14ac:dyDescent="0.55000000000000004">
      <c r="A17" s="7170"/>
      <c r="B17" s="7171"/>
      <c r="C17" s="5460" t="s">
        <v>57</v>
      </c>
      <c r="D17" s="3512"/>
      <c r="E17" s="5262"/>
      <c r="F17" s="5261"/>
      <c r="G17" s="5262"/>
      <c r="H17" s="5262"/>
      <c r="I17" s="5262"/>
      <c r="J17" s="5262"/>
      <c r="K17" s="5262"/>
      <c r="L17" s="5262"/>
      <c r="M17" s="5262"/>
      <c r="N17" s="5262"/>
      <c r="O17" s="5262"/>
      <c r="P17" s="5262"/>
      <c r="Q17" s="5262"/>
      <c r="R17" s="5262"/>
      <c r="S17" s="5262"/>
      <c r="T17" s="5261">
        <f t="shared" ref="T17:AE17" si="52">T37+T76+T96</f>
        <v>24761</v>
      </c>
      <c r="U17" s="5262">
        <f t="shared" si="52"/>
        <v>34169</v>
      </c>
      <c r="V17" s="5262">
        <f t="shared" si="52"/>
        <v>26677</v>
      </c>
      <c r="W17" s="5262">
        <f t="shared" si="52"/>
        <v>23805</v>
      </c>
      <c r="X17" s="5262">
        <f t="shared" si="52"/>
        <v>27984</v>
      </c>
      <c r="Y17" s="5262">
        <f t="shared" si="52"/>
        <v>25864</v>
      </c>
      <c r="Z17" s="5262">
        <f t="shared" si="52"/>
        <v>22587</v>
      </c>
      <c r="AA17" s="5262">
        <f t="shared" si="52"/>
        <v>34925</v>
      </c>
      <c r="AB17" s="5262">
        <f t="shared" si="52"/>
        <v>20303</v>
      </c>
      <c r="AC17" s="5262">
        <f t="shared" si="52"/>
        <v>36621</v>
      </c>
      <c r="AD17" s="5262">
        <f t="shared" si="52"/>
        <v>20971</v>
      </c>
      <c r="AE17" s="5262">
        <f t="shared" si="52"/>
        <v>17829</v>
      </c>
      <c r="AF17" s="5263">
        <f>SUM(T17:AE17)</f>
        <v>316496</v>
      </c>
      <c r="AG17" s="5263">
        <f>AVERAGE(T17:AE17)</f>
        <v>26374.666666666668</v>
      </c>
      <c r="AH17" s="5263"/>
      <c r="AI17" s="5261">
        <f>AI37+AI66+AI76+AI96+AI47</f>
        <v>31488</v>
      </c>
      <c r="AJ17" s="5263">
        <f t="shared" ref="AJ17:AT17" si="53">AJ37+AJ66+AJ76+AJ96+AJ47</f>
        <v>20437</v>
      </c>
      <c r="AK17" s="5263">
        <f t="shared" si="53"/>
        <v>19263</v>
      </c>
      <c r="AL17" s="5263">
        <f t="shared" si="53"/>
        <v>19934</v>
      </c>
      <c r="AM17" s="5263">
        <f t="shared" si="53"/>
        <v>19519</v>
      </c>
      <c r="AN17" s="5263">
        <f t="shared" si="53"/>
        <v>18044</v>
      </c>
      <c r="AO17" s="5263">
        <f t="shared" si="53"/>
        <v>26456.999999999993</v>
      </c>
      <c r="AP17" s="5263">
        <f t="shared" si="53"/>
        <v>20695</v>
      </c>
      <c r="AQ17" s="5263">
        <f t="shared" si="53"/>
        <v>24729</v>
      </c>
      <c r="AR17" s="5263">
        <f t="shared" si="53"/>
        <v>23526</v>
      </c>
      <c r="AS17" s="5263">
        <f t="shared" si="53"/>
        <v>18473</v>
      </c>
      <c r="AT17" s="5262">
        <f t="shared" si="53"/>
        <v>15641</v>
      </c>
      <c r="AU17" s="5262">
        <f>AU37+AU66+AU76+AU96+AU47</f>
        <v>258206</v>
      </c>
      <c r="AV17" s="5262">
        <f>AV37+AV76+AV96+AV47</f>
        <v>21517.166666666664</v>
      </c>
      <c r="AW17" s="5261">
        <f t="shared" ref="AW17:AW21" si="54">AW37+AW66+AW76+AW96+AW47</f>
        <v>13995</v>
      </c>
      <c r="AX17" s="5263">
        <f>AX37+AX66+AX76+AX96+AX47</f>
        <v>28177</v>
      </c>
      <c r="AY17" s="5263">
        <f t="shared" si="47"/>
        <v>20799</v>
      </c>
      <c r="AZ17" s="5263">
        <f t="shared" si="47"/>
        <v>25121</v>
      </c>
      <c r="BA17" s="5263">
        <f t="shared" ref="BA17:BB17" si="55">BA37+BA66+BA76+BA96+BA47</f>
        <v>32216</v>
      </c>
      <c r="BB17" s="5263">
        <f t="shared" si="55"/>
        <v>20183</v>
      </c>
      <c r="BC17" s="5263">
        <f t="shared" ref="BC17:BF17" si="56">BC37+BC66+BC76+BC96+BC47</f>
        <v>34631</v>
      </c>
      <c r="BD17" s="5263">
        <f t="shared" si="56"/>
        <v>19510</v>
      </c>
      <c r="BE17" s="5263">
        <f t="shared" ref="BE17" si="57">BE37+BE66+BE76+BE96+BE47</f>
        <v>25930</v>
      </c>
      <c r="BF17" s="5263">
        <f t="shared" si="56"/>
        <v>20875</v>
      </c>
      <c r="BG17" s="5263">
        <f t="shared" ref="BG17:BH17" si="58">BG37+BG66+BG76+BG96+BG47</f>
        <v>18871</v>
      </c>
      <c r="BH17" s="5263">
        <f t="shared" si="58"/>
        <v>16417</v>
      </c>
      <c r="BI17" s="5263">
        <f>BI37+BI76+BI96+BI47</f>
        <v>276725</v>
      </c>
      <c r="BJ17" s="5265">
        <f>AVERAGE(AW17:BE17)</f>
        <v>24506.888888888891</v>
      </c>
      <c r="BL17" s="5234">
        <f t="shared" si="7"/>
        <v>776</v>
      </c>
      <c r="BM17" s="5234">
        <f t="shared" si="8"/>
        <v>2989.7222222222263</v>
      </c>
      <c r="BN17" s="5255">
        <f t="shared" ref="BN17:BN25" si="59">HLOOKUP($A$1,$AW$1:$BH$400,ROW(),0)-SUM(AI17:AJ17)</f>
        <v>-35508</v>
      </c>
    </row>
    <row r="18" spans="1:74" ht="18" hidden="1" customHeight="1" x14ac:dyDescent="0.55000000000000004">
      <c r="A18" s="7170"/>
      <c r="B18" s="7171"/>
      <c r="C18" s="2493"/>
      <c r="D18" s="2493" t="s">
        <v>47</v>
      </c>
      <c r="E18" s="5125"/>
      <c r="F18" s="5256"/>
      <c r="G18" s="3263"/>
      <c r="H18" s="3263"/>
      <c r="I18" s="3263"/>
      <c r="J18" s="3263"/>
      <c r="K18" s="3263"/>
      <c r="L18" s="3263"/>
      <c r="M18" s="3263"/>
      <c r="N18" s="3263"/>
      <c r="O18" s="3263"/>
      <c r="P18" s="3263"/>
      <c r="Q18" s="3263"/>
      <c r="R18" s="3263"/>
      <c r="S18" s="3263"/>
      <c r="T18" s="5256">
        <f t="shared" ref="T18:AG18" si="60">T38+T67+T77+T97</f>
        <v>8377</v>
      </c>
      <c r="U18" s="3263">
        <f t="shared" si="60"/>
        <v>8739</v>
      </c>
      <c r="V18" s="3263">
        <f t="shared" si="60"/>
        <v>7983</v>
      </c>
      <c r="W18" s="3263">
        <f t="shared" si="60"/>
        <v>6054</v>
      </c>
      <c r="X18" s="3263">
        <f t="shared" si="60"/>
        <v>7495</v>
      </c>
      <c r="Y18" s="3263">
        <f t="shared" si="60"/>
        <v>7034</v>
      </c>
      <c r="Z18" s="3263">
        <f t="shared" si="60"/>
        <v>5492</v>
      </c>
      <c r="AA18" s="3263">
        <f t="shared" si="60"/>
        <v>6450</v>
      </c>
      <c r="AB18" s="3263">
        <f t="shared" si="60"/>
        <v>4188</v>
      </c>
      <c r="AC18" s="3263">
        <f t="shared" si="60"/>
        <v>5484</v>
      </c>
      <c r="AD18" s="3263">
        <f t="shared" si="60"/>
        <v>4506</v>
      </c>
      <c r="AE18" s="3263">
        <f t="shared" si="60"/>
        <v>3996</v>
      </c>
      <c r="AF18" s="5257">
        <f t="shared" si="60"/>
        <v>75798</v>
      </c>
      <c r="AG18" s="5257">
        <f t="shared" si="60"/>
        <v>6316.5</v>
      </c>
      <c r="AH18" s="5257"/>
      <c r="AI18" s="5256">
        <f t="shared" si="45"/>
        <v>6545</v>
      </c>
      <c r="AJ18" s="5257">
        <f t="shared" ref="AJ18:AT18" si="61">AJ38+AJ67+AJ77+AJ97+AJ48</f>
        <v>6042</v>
      </c>
      <c r="AK18" s="5257">
        <f t="shared" si="61"/>
        <v>6189</v>
      </c>
      <c r="AL18" s="5257">
        <f t="shared" si="61"/>
        <v>5478</v>
      </c>
      <c r="AM18" s="5257">
        <f t="shared" si="61"/>
        <v>5731</v>
      </c>
      <c r="AN18" s="5257">
        <f t="shared" si="61"/>
        <v>5623</v>
      </c>
      <c r="AO18" s="5257">
        <f t="shared" si="61"/>
        <v>6310</v>
      </c>
      <c r="AP18" s="5257">
        <f t="shared" si="61"/>
        <v>6769</v>
      </c>
      <c r="AQ18" s="5257">
        <f t="shared" si="61"/>
        <v>6301</v>
      </c>
      <c r="AR18" s="5257">
        <f t="shared" si="61"/>
        <v>5429</v>
      </c>
      <c r="AS18" s="5257">
        <f t="shared" si="61"/>
        <v>4939</v>
      </c>
      <c r="AT18" s="3263">
        <f t="shared" si="61"/>
        <v>0</v>
      </c>
      <c r="AU18" s="3263">
        <f>AU38+AU67+AU78+AU97+AU48</f>
        <v>62702</v>
      </c>
      <c r="AV18" s="3263">
        <f>AV38++AV97+AV48</f>
        <v>5478.454545454545</v>
      </c>
      <c r="AW18" s="5256">
        <f t="shared" si="54"/>
        <v>4609</v>
      </c>
      <c r="AX18" s="5257">
        <f>AX38+AX67+AX78+AX97+AX48</f>
        <v>6545</v>
      </c>
      <c r="AY18" s="5257">
        <f t="shared" ref="AY18" si="62">AY38+AY67+AY78+AY97+AY48</f>
        <v>7965</v>
      </c>
      <c r="AZ18" s="5257">
        <f>AZ38+AZ67+AZ77+AZ97+AZ48</f>
        <v>12665</v>
      </c>
      <c r="BA18" s="5257">
        <f>BA38+BA67+BA77+BA97+BA48</f>
        <v>20653</v>
      </c>
      <c r="BB18" s="5257">
        <f t="shared" ref="BB18:BC18" si="63">BB38+BB67+BB77+BB97+BB48</f>
        <v>8318</v>
      </c>
      <c r="BC18" s="5257">
        <f t="shared" si="63"/>
        <v>14672</v>
      </c>
      <c r="BD18" s="5257">
        <f t="shared" ref="BD18:BF18" si="64">BD38+BD67+BD77+BD97+BD48</f>
        <v>6710</v>
      </c>
      <c r="BE18" s="5257">
        <f t="shared" ref="BE18" si="65">BE38+BE67+BE77+BE97+BE48</f>
        <v>6567</v>
      </c>
      <c r="BF18" s="5257">
        <f t="shared" si="64"/>
        <v>5250</v>
      </c>
      <c r="BG18" s="5257">
        <f t="shared" ref="BG18:BH18" si="66">BG38+BG67+BG77+BG97+BG48</f>
        <v>7713</v>
      </c>
      <c r="BH18" s="5257">
        <f t="shared" si="66"/>
        <v>6358</v>
      </c>
      <c r="BI18" s="5257">
        <f>BI38+BI67+BI77+BI97</f>
        <v>87025</v>
      </c>
      <c r="BJ18" s="5259">
        <f>AVERAGE(AW18:BE18)</f>
        <v>9856</v>
      </c>
      <c r="BL18" s="5234">
        <f t="shared" si="7"/>
        <v>6358</v>
      </c>
      <c r="BM18" s="5234">
        <f t="shared" si="8"/>
        <v>4377.545454545455</v>
      </c>
      <c r="BN18" s="5255">
        <f t="shared" si="59"/>
        <v>-6229</v>
      </c>
    </row>
    <row r="19" spans="1:74" ht="18" hidden="1" customHeight="1" x14ac:dyDescent="0.55000000000000004">
      <c r="A19" s="7170"/>
      <c r="B19" s="7171"/>
      <c r="C19" s="2493"/>
      <c r="D19" s="2493" t="s">
        <v>56</v>
      </c>
      <c r="E19" s="5125"/>
      <c r="F19" s="5256"/>
      <c r="G19" s="3263"/>
      <c r="H19" s="3263"/>
      <c r="I19" s="3263"/>
      <c r="J19" s="3263"/>
      <c r="K19" s="3263"/>
      <c r="L19" s="3263"/>
      <c r="M19" s="3263"/>
      <c r="N19" s="3263"/>
      <c r="O19" s="3263"/>
      <c r="P19" s="3263"/>
      <c r="Q19" s="3263"/>
      <c r="R19" s="3263"/>
      <c r="S19" s="3263"/>
      <c r="T19" s="5256">
        <f t="shared" ref="T19:AG19" si="67">T39+T68+T78+T98</f>
        <v>16411</v>
      </c>
      <c r="U19" s="3263">
        <f t="shared" si="67"/>
        <v>25448</v>
      </c>
      <c r="V19" s="3263">
        <f t="shared" si="67"/>
        <v>18725</v>
      </c>
      <c r="W19" s="3263">
        <f t="shared" si="67"/>
        <v>17779</v>
      </c>
      <c r="X19" s="3263">
        <f t="shared" si="67"/>
        <v>20515</v>
      </c>
      <c r="Y19" s="3263">
        <f t="shared" si="67"/>
        <v>18857</v>
      </c>
      <c r="Z19" s="3263">
        <f t="shared" si="67"/>
        <v>17120</v>
      </c>
      <c r="AA19" s="3263">
        <f t="shared" si="67"/>
        <v>28505</v>
      </c>
      <c r="AB19" s="3263">
        <f t="shared" si="67"/>
        <v>16160</v>
      </c>
      <c r="AC19" s="3263">
        <f t="shared" si="67"/>
        <v>31192</v>
      </c>
      <c r="AD19" s="3263">
        <f t="shared" si="67"/>
        <v>16488</v>
      </c>
      <c r="AE19" s="3263">
        <f t="shared" si="67"/>
        <v>13855</v>
      </c>
      <c r="AF19" s="5257">
        <f t="shared" si="67"/>
        <v>241055</v>
      </c>
      <c r="AG19" s="5257">
        <f t="shared" si="67"/>
        <v>20087.916666666668</v>
      </c>
      <c r="AH19" s="5257"/>
      <c r="AI19" s="5256">
        <f t="shared" si="45"/>
        <v>24873</v>
      </c>
      <c r="AJ19" s="5257">
        <f t="shared" ref="AJ19:AT19" si="68">AJ39+AJ68+AJ78+AJ98+AJ49</f>
        <v>13748</v>
      </c>
      <c r="AK19" s="5257">
        <f t="shared" si="68"/>
        <v>13069</v>
      </c>
      <c r="AL19" s="5257">
        <f t="shared" si="68"/>
        <v>14530</v>
      </c>
      <c r="AM19" s="5257">
        <f t="shared" si="68"/>
        <v>13840</v>
      </c>
      <c r="AN19" s="5257">
        <f t="shared" si="68"/>
        <v>12470</v>
      </c>
      <c r="AO19" s="5257">
        <f t="shared" si="68"/>
        <v>20198</v>
      </c>
      <c r="AP19" s="5257">
        <f t="shared" si="68"/>
        <v>13953</v>
      </c>
      <c r="AQ19" s="5257">
        <f t="shared" si="68"/>
        <v>18441</v>
      </c>
      <c r="AR19" s="5257">
        <f t="shared" si="68"/>
        <v>18102</v>
      </c>
      <c r="AS19" s="5257">
        <f t="shared" si="68"/>
        <v>13389</v>
      </c>
      <c r="AT19" s="3263">
        <f t="shared" si="68"/>
        <v>0</v>
      </c>
      <c r="AU19" s="3263">
        <f>AU39+AU68+AU79+AU98+AU49</f>
        <v>152822</v>
      </c>
      <c r="AV19" s="3263">
        <f>AV39+AV79+AV98+AV49</f>
        <v>15997.90909090909</v>
      </c>
      <c r="AW19" s="5256">
        <f t="shared" si="54"/>
        <v>9386</v>
      </c>
      <c r="AX19" s="5257">
        <f>AX39+AX98+AX49</f>
        <v>21632</v>
      </c>
      <c r="AY19" s="5257">
        <f t="shared" ref="AX19:AZ23" si="69">AY39+AY68+AY78+AY98+AY49</f>
        <v>12834</v>
      </c>
      <c r="AZ19" s="5257">
        <f t="shared" si="69"/>
        <v>12456</v>
      </c>
      <c r="BA19" s="5257">
        <f t="shared" ref="BA19:BB19" si="70">BA39+BA68+BA78+BA98+BA49</f>
        <v>11563</v>
      </c>
      <c r="BB19" s="5257">
        <f t="shared" si="70"/>
        <v>11865</v>
      </c>
      <c r="BC19" s="5257">
        <f t="shared" ref="BC19:BF19" si="71">BC39+BC68+BC78+BC98+BC49</f>
        <v>19959</v>
      </c>
      <c r="BD19" s="5257">
        <f t="shared" si="71"/>
        <v>12800</v>
      </c>
      <c r="BE19" s="5257">
        <f t="shared" ref="BE19" si="72">BE39+BE68+BE78+BE98+BE49</f>
        <v>19363</v>
      </c>
      <c r="BF19" s="5257">
        <f t="shared" si="71"/>
        <v>15625</v>
      </c>
      <c r="BG19" s="5257">
        <f t="shared" ref="BG19:BH19" si="73">BG39+BG68+BG78+BG98+BG49</f>
        <v>11158</v>
      </c>
      <c r="BH19" s="5257">
        <f t="shared" si="73"/>
        <v>10059</v>
      </c>
      <c r="BI19" s="5257">
        <f>BI39+BI68+BI78+BI98</f>
        <v>136328</v>
      </c>
      <c r="BJ19" s="5259">
        <f>AVERAGE(AW19:BE19)</f>
        <v>14650.888888888889</v>
      </c>
      <c r="BL19" s="5234">
        <f t="shared" si="7"/>
        <v>10059</v>
      </c>
      <c r="BM19" s="5234">
        <f t="shared" si="8"/>
        <v>-1347.0202020202014</v>
      </c>
      <c r="BN19" s="5255">
        <f t="shared" si="59"/>
        <v>-28562</v>
      </c>
    </row>
    <row r="20" spans="1:74" ht="18" customHeight="1" x14ac:dyDescent="0.55000000000000004">
      <c r="A20" s="7170"/>
      <c r="B20" s="7171"/>
      <c r="C20" s="2493" t="s">
        <v>48</v>
      </c>
      <c r="D20" s="2493"/>
      <c r="E20" s="5125"/>
      <c r="F20" s="5256"/>
      <c r="G20" s="3263"/>
      <c r="H20" s="3263"/>
      <c r="I20" s="3263"/>
      <c r="J20" s="3263"/>
      <c r="K20" s="3263"/>
      <c r="L20" s="3263"/>
      <c r="M20" s="3263"/>
      <c r="N20" s="3263"/>
      <c r="O20" s="3263"/>
      <c r="P20" s="3263"/>
      <c r="Q20" s="3263"/>
      <c r="R20" s="3263"/>
      <c r="S20" s="3263"/>
      <c r="T20" s="5256">
        <f t="shared" ref="T20:AG20" si="74">T40+T69+T79+T99</f>
        <v>7938</v>
      </c>
      <c r="U20" s="3263">
        <f t="shared" si="74"/>
        <v>8081</v>
      </c>
      <c r="V20" s="3263">
        <f t="shared" si="74"/>
        <v>7985</v>
      </c>
      <c r="W20" s="3263">
        <f t="shared" si="74"/>
        <v>7863</v>
      </c>
      <c r="X20" s="3263">
        <f t="shared" si="74"/>
        <v>9280</v>
      </c>
      <c r="Y20" s="3263">
        <f t="shared" si="74"/>
        <v>8431</v>
      </c>
      <c r="Z20" s="3263">
        <f t="shared" si="74"/>
        <v>9705</v>
      </c>
      <c r="AA20" s="3263">
        <f t="shared" si="74"/>
        <v>10354</v>
      </c>
      <c r="AB20" s="3263">
        <f t="shared" si="74"/>
        <v>7610</v>
      </c>
      <c r="AC20" s="3263">
        <f t="shared" si="74"/>
        <v>9291</v>
      </c>
      <c r="AD20" s="3263">
        <f t="shared" si="74"/>
        <v>8392</v>
      </c>
      <c r="AE20" s="3263">
        <f t="shared" si="74"/>
        <v>7845</v>
      </c>
      <c r="AF20" s="5257">
        <f>AF40+AF69+AF79+AF99</f>
        <v>102775</v>
      </c>
      <c r="AG20" s="5257">
        <f t="shared" si="74"/>
        <v>8564.5833333333321</v>
      </c>
      <c r="AH20" s="5257"/>
      <c r="AI20" s="5256">
        <f t="shared" si="45"/>
        <v>7988</v>
      </c>
      <c r="AJ20" s="5257">
        <f t="shared" ref="AJ20:AT20" si="75">AJ40+AJ69+AJ79+AJ99+AJ50</f>
        <v>8249</v>
      </c>
      <c r="AK20" s="5257">
        <f t="shared" si="75"/>
        <v>7584</v>
      </c>
      <c r="AL20" s="5257">
        <f t="shared" si="75"/>
        <v>7833</v>
      </c>
      <c r="AM20" s="5257">
        <f t="shared" si="75"/>
        <v>7802</v>
      </c>
      <c r="AN20" s="5257">
        <f t="shared" si="75"/>
        <v>7002</v>
      </c>
      <c r="AO20" s="5257">
        <f t="shared" si="75"/>
        <v>7605</v>
      </c>
      <c r="AP20" s="5257">
        <f t="shared" si="75"/>
        <v>7286</v>
      </c>
      <c r="AQ20" s="5257">
        <f t="shared" si="75"/>
        <v>6879</v>
      </c>
      <c r="AR20" s="5257">
        <f t="shared" si="75"/>
        <v>7341</v>
      </c>
      <c r="AS20" s="5257">
        <f t="shared" si="75"/>
        <v>7322</v>
      </c>
      <c r="AT20" s="3263">
        <f t="shared" si="75"/>
        <v>7776</v>
      </c>
      <c r="AU20" s="3263">
        <f t="shared" ref="AU20:AV23" si="76">AU40+AU69+AU79+AU99+AU50</f>
        <v>90667</v>
      </c>
      <c r="AV20" s="3263">
        <f t="shared" si="76"/>
        <v>7545.9292929292933</v>
      </c>
      <c r="AW20" s="5256">
        <f t="shared" si="54"/>
        <v>6584</v>
      </c>
      <c r="AX20" s="5257">
        <f>AX40+AX69+AX79+AX99+AX50</f>
        <v>7926</v>
      </c>
      <c r="AY20" s="5257">
        <f t="shared" si="69"/>
        <v>7665</v>
      </c>
      <c r="AZ20" s="5257">
        <f t="shared" si="69"/>
        <v>6992</v>
      </c>
      <c r="BA20" s="5257">
        <f t="shared" ref="BA20:BJ20" si="77">BA40+BA69+BA79+BA99+BA50</f>
        <v>5878</v>
      </c>
      <c r="BB20" s="5257">
        <f t="shared" si="77"/>
        <v>6308</v>
      </c>
      <c r="BC20" s="5257">
        <f t="shared" ref="BC20:BD20" si="78">BC40+BC69+BC79+BC99+BC50</f>
        <v>9055</v>
      </c>
      <c r="BD20" s="5257">
        <f t="shared" si="78"/>
        <v>7814</v>
      </c>
      <c r="BE20" s="5257">
        <f t="shared" ref="BE20" si="79">BE40+BE69+BE79+BE99+BE50</f>
        <v>7417</v>
      </c>
      <c r="BF20" s="5257">
        <f t="shared" ref="BF20:BH21" si="80">BF40+BF69+BF79+BF89+BF50</f>
        <v>8949</v>
      </c>
      <c r="BG20" s="5257">
        <f t="shared" si="80"/>
        <v>8666</v>
      </c>
      <c r="BH20" s="5257">
        <f t="shared" si="80"/>
        <v>10017</v>
      </c>
      <c r="BI20" s="5257">
        <f t="shared" si="77"/>
        <v>86375</v>
      </c>
      <c r="BJ20" s="5259">
        <f t="shared" si="77"/>
        <v>7203.545454545454</v>
      </c>
      <c r="BL20" s="5234">
        <f t="shared" si="7"/>
        <v>2241</v>
      </c>
      <c r="BM20" s="5234">
        <f t="shared" si="8"/>
        <v>-342.38383838383925</v>
      </c>
      <c r="BN20" s="5255">
        <f t="shared" si="59"/>
        <v>-6220</v>
      </c>
      <c r="BU20" s="5337"/>
      <c r="BV20" s="2488"/>
    </row>
    <row r="21" spans="1:74" ht="18" customHeight="1" x14ac:dyDescent="0.55000000000000004">
      <c r="A21" s="7170"/>
      <c r="B21" s="7171"/>
      <c r="C21" s="2493" t="s">
        <v>59</v>
      </c>
      <c r="D21" s="2493"/>
      <c r="E21" s="5125"/>
      <c r="F21" s="5256"/>
      <c r="G21" s="3263"/>
      <c r="H21" s="3263"/>
      <c r="I21" s="3263"/>
      <c r="J21" s="3263"/>
      <c r="K21" s="3263"/>
      <c r="L21" s="3263"/>
      <c r="M21" s="3263"/>
      <c r="N21" s="3263"/>
      <c r="O21" s="3263"/>
      <c r="P21" s="3263"/>
      <c r="Q21" s="3263"/>
      <c r="R21" s="3263"/>
      <c r="S21" s="3263"/>
      <c r="T21" s="5256">
        <f t="shared" ref="T21:AG21" si="81">T41+T70+T80+T100</f>
        <v>436</v>
      </c>
      <c r="U21" s="3263">
        <f t="shared" si="81"/>
        <v>432</v>
      </c>
      <c r="V21" s="3263">
        <f t="shared" si="81"/>
        <v>604</v>
      </c>
      <c r="W21" s="3263">
        <f t="shared" si="81"/>
        <v>506</v>
      </c>
      <c r="X21" s="3263">
        <f t="shared" si="81"/>
        <v>1046</v>
      </c>
      <c r="Y21" s="3263">
        <f t="shared" si="81"/>
        <v>608</v>
      </c>
      <c r="Z21" s="3263">
        <f t="shared" si="81"/>
        <v>571</v>
      </c>
      <c r="AA21" s="3263">
        <f t="shared" si="81"/>
        <v>599</v>
      </c>
      <c r="AB21" s="3263">
        <f t="shared" si="81"/>
        <v>883</v>
      </c>
      <c r="AC21" s="3263">
        <f t="shared" si="81"/>
        <v>550</v>
      </c>
      <c r="AD21" s="3263">
        <f t="shared" si="81"/>
        <v>685</v>
      </c>
      <c r="AE21" s="3263">
        <f t="shared" si="81"/>
        <v>1259</v>
      </c>
      <c r="AF21" s="5257">
        <f t="shared" si="81"/>
        <v>8179</v>
      </c>
      <c r="AG21" s="5257">
        <f t="shared" si="81"/>
        <v>681.58333333333337</v>
      </c>
      <c r="AH21" s="5257"/>
      <c r="AI21" s="5256">
        <f t="shared" si="45"/>
        <v>511</v>
      </c>
      <c r="AJ21" s="5257">
        <f t="shared" ref="AJ21:AT21" si="82">AJ41+AJ70+AJ80+AJ100+AJ51</f>
        <v>485</v>
      </c>
      <c r="AK21" s="5257">
        <f t="shared" si="82"/>
        <v>727</v>
      </c>
      <c r="AL21" s="5257">
        <f t="shared" si="82"/>
        <v>787</v>
      </c>
      <c r="AM21" s="5257">
        <f t="shared" si="82"/>
        <v>1149</v>
      </c>
      <c r="AN21" s="5257">
        <f t="shared" si="82"/>
        <v>600</v>
      </c>
      <c r="AO21" s="5257">
        <f t="shared" si="82"/>
        <v>619</v>
      </c>
      <c r="AP21" s="5257">
        <f t="shared" si="82"/>
        <v>756</v>
      </c>
      <c r="AQ21" s="5257">
        <f t="shared" si="82"/>
        <v>699</v>
      </c>
      <c r="AR21" s="5257">
        <f t="shared" si="82"/>
        <v>689</v>
      </c>
      <c r="AS21" s="5257">
        <f t="shared" si="82"/>
        <v>538</v>
      </c>
      <c r="AT21" s="3263">
        <f t="shared" si="82"/>
        <v>1645</v>
      </c>
      <c r="AU21" s="3263">
        <f t="shared" si="76"/>
        <v>9205</v>
      </c>
      <c r="AV21" s="3263">
        <f t="shared" si="76"/>
        <v>689.49494949494954</v>
      </c>
      <c r="AW21" s="5256">
        <f t="shared" si="54"/>
        <v>497</v>
      </c>
      <c r="AX21" s="5257">
        <f t="shared" si="69"/>
        <v>485</v>
      </c>
      <c r="AY21" s="5257">
        <f t="shared" si="69"/>
        <v>456</v>
      </c>
      <c r="AZ21" s="5257">
        <f t="shared" si="69"/>
        <v>500</v>
      </c>
      <c r="BA21" s="5257">
        <f t="shared" ref="BA21:BJ21" si="83">BA41+BA70+BA80+BA100+BA51</f>
        <v>464</v>
      </c>
      <c r="BB21" s="5257">
        <f>BB41+BB70+BB80+BB100+BB51</f>
        <v>902</v>
      </c>
      <c r="BC21" s="5257">
        <f>BC41+BC70+BC80+BC100+BC51</f>
        <v>428</v>
      </c>
      <c r="BD21" s="5257">
        <f t="shared" ref="BD21" si="84">BD41+BD70+BD80+BD100+BD51</f>
        <v>512</v>
      </c>
      <c r="BE21" s="5257">
        <f t="shared" ref="BE21" si="85">BE41+BE70+BE80+BE100+BE51</f>
        <v>527</v>
      </c>
      <c r="BF21" s="5257">
        <f t="shared" si="80"/>
        <v>729</v>
      </c>
      <c r="BG21" s="5257">
        <f t="shared" si="80"/>
        <v>680</v>
      </c>
      <c r="BH21" s="5257">
        <f t="shared" si="80"/>
        <v>887</v>
      </c>
      <c r="BI21" s="5257">
        <f t="shared" si="83"/>
        <v>6042</v>
      </c>
      <c r="BJ21" s="5259">
        <f t="shared" si="83"/>
        <v>504.27272727272731</v>
      </c>
      <c r="BL21" s="5234">
        <f t="shared" si="7"/>
        <v>-758</v>
      </c>
      <c r="BM21" s="5234">
        <f t="shared" si="8"/>
        <v>-185.22222222222223</v>
      </c>
      <c r="BN21" s="5255">
        <f t="shared" si="59"/>
        <v>-109</v>
      </c>
      <c r="BU21" s="5270"/>
      <c r="BV21" s="5234"/>
    </row>
    <row r="22" spans="1:74" ht="18" customHeight="1" x14ac:dyDescent="0.55000000000000004">
      <c r="A22" s="7170"/>
      <c r="B22" s="7171"/>
      <c r="C22" s="2493" t="s">
        <v>49</v>
      </c>
      <c r="D22" s="2493"/>
      <c r="E22" s="5125"/>
      <c r="F22" s="5256"/>
      <c r="G22" s="3263"/>
      <c r="H22" s="3263"/>
      <c r="I22" s="3263"/>
      <c r="J22" s="3263"/>
      <c r="K22" s="3263"/>
      <c r="L22" s="3263"/>
      <c r="M22" s="3263"/>
      <c r="N22" s="3263"/>
      <c r="O22" s="3263"/>
      <c r="P22" s="3263"/>
      <c r="Q22" s="3263"/>
      <c r="R22" s="3263"/>
      <c r="S22" s="3263"/>
      <c r="T22" s="5256">
        <f t="shared" ref="T22:AG22" si="86">T42+T71+T81+T101</f>
        <v>15668</v>
      </c>
      <c r="U22" s="3263">
        <f t="shared" si="86"/>
        <v>21202</v>
      </c>
      <c r="V22" s="3263">
        <f t="shared" si="86"/>
        <v>-5003</v>
      </c>
      <c r="W22" s="3263">
        <f t="shared" si="86"/>
        <v>7558</v>
      </c>
      <c r="X22" s="3263">
        <f t="shared" si="86"/>
        <v>15934</v>
      </c>
      <c r="Y22" s="3263">
        <f t="shared" si="86"/>
        <v>14510</v>
      </c>
      <c r="Z22" s="3263">
        <f t="shared" si="86"/>
        <v>13820</v>
      </c>
      <c r="AA22" s="3263">
        <f t="shared" si="86"/>
        <v>24385</v>
      </c>
      <c r="AB22" s="3263">
        <f t="shared" si="86"/>
        <v>14493</v>
      </c>
      <c r="AC22" s="3263">
        <f t="shared" si="86"/>
        <v>27785</v>
      </c>
      <c r="AD22" s="3263">
        <f t="shared" si="86"/>
        <v>13917</v>
      </c>
      <c r="AE22" s="3263">
        <f t="shared" si="86"/>
        <v>11939</v>
      </c>
      <c r="AF22" s="5257">
        <f t="shared" si="86"/>
        <v>176208</v>
      </c>
      <c r="AG22" s="5257">
        <f t="shared" si="86"/>
        <v>14684</v>
      </c>
      <c r="AH22" s="5257"/>
      <c r="AI22" s="5256">
        <f>AI42+AI71+AI81+AI101+AI52</f>
        <v>21389</v>
      </c>
      <c r="AJ22" s="5257">
        <f t="shared" ref="AJ22:AT22" si="87">AJ42+AJ71+AJ81+AJ101+AJ52</f>
        <v>18665</v>
      </c>
      <c r="AK22" s="5257">
        <f t="shared" si="87"/>
        <v>16358</v>
      </c>
      <c r="AL22" s="5257">
        <f t="shared" si="87"/>
        <v>14360</v>
      </c>
      <c r="AM22" s="5257">
        <f t="shared" si="87"/>
        <v>11837.999999999998</v>
      </c>
      <c r="AN22" s="5257">
        <f t="shared" si="87"/>
        <v>7628.9999999999982</v>
      </c>
      <c r="AO22" s="5257">
        <f t="shared" si="87"/>
        <v>11975.999999999993</v>
      </c>
      <c r="AP22" s="5257">
        <f t="shared" si="87"/>
        <v>2147.0000000000018</v>
      </c>
      <c r="AQ22" s="5257">
        <f t="shared" si="87"/>
        <v>16274</v>
      </c>
      <c r="AR22" s="5257">
        <f t="shared" si="87"/>
        <v>17268</v>
      </c>
      <c r="AS22" s="5257">
        <f t="shared" si="87"/>
        <v>5586</v>
      </c>
      <c r="AT22" s="3263">
        <f t="shared" si="87"/>
        <v>7082</v>
      </c>
      <c r="AU22" s="3263">
        <f t="shared" si="76"/>
        <v>150572</v>
      </c>
      <c r="AV22" s="3263">
        <f t="shared" si="76"/>
        <v>13045.363636363636</v>
      </c>
      <c r="AW22" s="5256">
        <f>AW42+AW71+AW81+AW101+AW52</f>
        <v>10177</v>
      </c>
      <c r="AX22" s="5257">
        <f t="shared" si="69"/>
        <v>19763</v>
      </c>
      <c r="AY22" s="5257">
        <f t="shared" si="69"/>
        <v>13475</v>
      </c>
      <c r="AZ22" s="5257">
        <f>AZ42+AZ71+AZ81+AZ101+AZ52</f>
        <v>13724</v>
      </c>
      <c r="BA22" s="5257">
        <f>BA42+BA71+BA81+BA101+BA52</f>
        <v>12473</v>
      </c>
      <c r="BB22" s="5257">
        <f t="shared" ref="BB22:BJ22" si="88">BB42+BB71+BB81+BB101+BB52</f>
        <v>12539</v>
      </c>
      <c r="BC22" s="5257">
        <f t="shared" ref="BC22:BD22" si="89">BC42+BC71+BC81+BC101+BC52</f>
        <v>21830</v>
      </c>
      <c r="BD22" s="5257">
        <f t="shared" si="89"/>
        <v>14351</v>
      </c>
      <c r="BE22" s="5257">
        <f t="shared" ref="BE22" si="90">BE42+BE71+BE81+BE101+BE52</f>
        <v>23245</v>
      </c>
      <c r="BF22" s="5257">
        <f>BF42+BF71+BF82+BF91+BF52</f>
        <v>14989</v>
      </c>
      <c r="BG22" s="5257">
        <f>BG42+BG71+BG82+BG91+BG52</f>
        <v>12970</v>
      </c>
      <c r="BH22" s="5257">
        <f>BH42+BH71+BH82+BH91+BH52</f>
        <v>13018</v>
      </c>
      <c r="BI22" s="5257">
        <f t="shared" si="88"/>
        <v>182990</v>
      </c>
      <c r="BJ22" s="5259">
        <f t="shared" si="88"/>
        <v>15468.818181818182</v>
      </c>
      <c r="BL22" s="5234">
        <f t="shared" si="7"/>
        <v>5936</v>
      </c>
      <c r="BM22" s="5234">
        <f t="shared" si="8"/>
        <v>2423.454545454546</v>
      </c>
      <c r="BN22" s="5255">
        <f t="shared" si="59"/>
        <v>-27036</v>
      </c>
      <c r="BU22" s="5676"/>
      <c r="BV22" s="2488"/>
    </row>
    <row r="23" spans="1:74" ht="18" customHeight="1" x14ac:dyDescent="0.55000000000000004">
      <c r="A23" s="7170"/>
      <c r="B23" s="7171"/>
      <c r="C23" s="2493" t="s">
        <v>50</v>
      </c>
      <c r="D23" s="2493"/>
      <c r="E23" s="5125"/>
      <c r="F23" s="5256"/>
      <c r="G23" s="3263"/>
      <c r="H23" s="3263"/>
      <c r="I23" s="3263"/>
      <c r="J23" s="3263"/>
      <c r="K23" s="3263"/>
      <c r="L23" s="3263"/>
      <c r="M23" s="3263"/>
      <c r="N23" s="3263"/>
      <c r="O23" s="3263"/>
      <c r="P23" s="3263"/>
      <c r="Q23" s="3263"/>
      <c r="R23" s="3263"/>
      <c r="S23" s="3263"/>
      <c r="T23" s="5256">
        <f t="shared" ref="T23:AG23" si="91">T43+T72+T82+T102</f>
        <v>4470</v>
      </c>
      <c r="U23" s="3263">
        <f t="shared" si="91"/>
        <v>4222</v>
      </c>
      <c r="V23" s="3263">
        <f t="shared" si="91"/>
        <v>4700</v>
      </c>
      <c r="W23" s="3263">
        <f t="shared" si="91"/>
        <v>3349</v>
      </c>
      <c r="X23" s="3263">
        <f t="shared" si="91"/>
        <v>3731</v>
      </c>
      <c r="Y23" s="3263">
        <f t="shared" si="91"/>
        <v>3671</v>
      </c>
      <c r="Z23" s="3263">
        <f t="shared" si="91"/>
        <v>3660</v>
      </c>
      <c r="AA23" s="3263">
        <f t="shared" si="91"/>
        <v>3493</v>
      </c>
      <c r="AB23" s="3263">
        <f t="shared" si="91"/>
        <v>3071</v>
      </c>
      <c r="AC23" s="3263">
        <f t="shared" si="91"/>
        <v>3115</v>
      </c>
      <c r="AD23" s="3263">
        <f t="shared" si="91"/>
        <v>4003</v>
      </c>
      <c r="AE23" s="3263">
        <f t="shared" si="91"/>
        <v>2883</v>
      </c>
      <c r="AF23" s="5257">
        <f t="shared" si="91"/>
        <v>44368</v>
      </c>
      <c r="AG23" s="5257">
        <f t="shared" si="91"/>
        <v>3697.3333333333335</v>
      </c>
      <c r="AH23" s="5257"/>
      <c r="AI23" s="5256">
        <f>AI43+AI72+AI82+AI102+AI53</f>
        <v>3090</v>
      </c>
      <c r="AJ23" s="5257">
        <f t="shared" ref="AJ23:AT23" si="92">AJ43+AJ72+AJ82+AJ102+AJ53</f>
        <v>2939</v>
      </c>
      <c r="AK23" s="5257">
        <f t="shared" si="92"/>
        <v>3413</v>
      </c>
      <c r="AL23" s="5257">
        <f t="shared" si="92"/>
        <v>3778</v>
      </c>
      <c r="AM23" s="5257">
        <f t="shared" si="92"/>
        <v>4768</v>
      </c>
      <c r="AN23" s="5257">
        <f t="shared" si="92"/>
        <v>4265</v>
      </c>
      <c r="AO23" s="5257">
        <f t="shared" si="92"/>
        <v>7069</v>
      </c>
      <c r="AP23" s="5257">
        <f t="shared" si="92"/>
        <v>5768</v>
      </c>
      <c r="AQ23" s="5257">
        <f t="shared" si="92"/>
        <v>6381</v>
      </c>
      <c r="AR23" s="5257">
        <f t="shared" si="92"/>
        <v>10635</v>
      </c>
      <c r="AS23" s="5257">
        <f t="shared" si="92"/>
        <v>9520</v>
      </c>
      <c r="AT23" s="3263">
        <f t="shared" si="92"/>
        <v>5839</v>
      </c>
      <c r="AU23" s="3263">
        <f t="shared" si="76"/>
        <v>67465</v>
      </c>
      <c r="AV23" s="3263">
        <f t="shared" si="76"/>
        <v>5591.5858585858587</v>
      </c>
      <c r="AW23" s="5256">
        <f>AW43+AW72+AW82+AW102+AW53</f>
        <v>5763</v>
      </c>
      <c r="AX23" s="5257">
        <f t="shared" si="69"/>
        <v>7139</v>
      </c>
      <c r="AY23" s="5257">
        <f t="shared" si="69"/>
        <v>4676</v>
      </c>
      <c r="AZ23" s="5257">
        <f>AZ43+AZ72+AZ82+AZ102+AZ53</f>
        <v>8226</v>
      </c>
      <c r="BA23" s="5257">
        <f>BA43+BA72+BA82+BA102+BA53</f>
        <v>5837</v>
      </c>
      <c r="BB23" s="5257">
        <f t="shared" ref="BB23:BJ23" si="93">BB43+BB72+BB82+BB102+BB53</f>
        <v>8614</v>
      </c>
      <c r="BC23" s="5257">
        <f t="shared" ref="BC23:BD23" si="94">BC43+BC72+BC82+BC102+BC53</f>
        <v>10375</v>
      </c>
      <c r="BD23" s="5257">
        <f t="shared" si="94"/>
        <v>9499</v>
      </c>
      <c r="BE23" s="5257">
        <f t="shared" ref="BE23:BF23" si="95">BE43+BE72+BE82+BE102+BE53</f>
        <v>8398</v>
      </c>
      <c r="BF23" s="5257">
        <f t="shared" si="95"/>
        <v>11969</v>
      </c>
      <c r="BG23" s="5257">
        <f t="shared" ref="BG23:BH23" si="96">BG43+BG72+BG82+BG102+BG53</f>
        <v>10164</v>
      </c>
      <c r="BH23" s="5257">
        <f t="shared" si="96"/>
        <v>9594</v>
      </c>
      <c r="BI23" s="5257">
        <f t="shared" si="93"/>
        <v>100254</v>
      </c>
      <c r="BJ23" s="5259">
        <f t="shared" si="93"/>
        <v>8241.8181818181838</v>
      </c>
      <c r="BL23" s="5234">
        <f t="shared" si="7"/>
        <v>3755</v>
      </c>
      <c r="BM23" s="5234">
        <f t="shared" si="8"/>
        <v>2650.2323232323251</v>
      </c>
      <c r="BN23" s="5255">
        <f t="shared" si="59"/>
        <v>3565</v>
      </c>
      <c r="BU23" s="5270"/>
      <c r="BV23" s="5234"/>
    </row>
    <row r="24" spans="1:74" ht="18" customHeight="1" x14ac:dyDescent="0.55000000000000004">
      <c r="A24" s="7170"/>
      <c r="B24" s="7171"/>
      <c r="C24" s="2493" t="s">
        <v>768</v>
      </c>
      <c r="D24" s="2493"/>
      <c r="E24" s="5125"/>
      <c r="F24" s="5256"/>
      <c r="G24" s="3263"/>
      <c r="H24" s="3263"/>
      <c r="I24" s="3263"/>
      <c r="J24" s="3263"/>
      <c r="K24" s="3263"/>
      <c r="L24" s="3263"/>
      <c r="M24" s="3263"/>
      <c r="N24" s="3263"/>
      <c r="O24" s="3263"/>
      <c r="P24" s="3263"/>
      <c r="Q24" s="3263"/>
      <c r="R24" s="3263"/>
      <c r="S24" s="3263"/>
      <c r="T24" s="5256">
        <f t="shared" ref="T24:AF24" si="97">T44+T73+T83+T103</f>
        <v>0</v>
      </c>
      <c r="U24" s="3263">
        <f t="shared" si="97"/>
        <v>0</v>
      </c>
      <c r="V24" s="3263">
        <f t="shared" si="97"/>
        <v>0</v>
      </c>
      <c r="W24" s="3263">
        <f t="shared" si="97"/>
        <v>0</v>
      </c>
      <c r="X24" s="3263">
        <f t="shared" si="97"/>
        <v>0</v>
      </c>
      <c r="Y24" s="3263">
        <f t="shared" si="97"/>
        <v>0</v>
      </c>
      <c r="Z24" s="3263">
        <f t="shared" si="97"/>
        <v>0</v>
      </c>
      <c r="AA24" s="3263">
        <f t="shared" si="97"/>
        <v>0</v>
      </c>
      <c r="AB24" s="3263">
        <f t="shared" si="97"/>
        <v>0</v>
      </c>
      <c r="AC24" s="3263">
        <f t="shared" si="97"/>
        <v>0</v>
      </c>
      <c r="AD24" s="3263">
        <f t="shared" si="97"/>
        <v>0</v>
      </c>
      <c r="AE24" s="3263">
        <f t="shared" si="97"/>
        <v>0</v>
      </c>
      <c r="AF24" s="5257">
        <f t="shared" si="97"/>
        <v>0</v>
      </c>
      <c r="AG24" s="5257">
        <v>0</v>
      </c>
      <c r="AH24" s="5257"/>
      <c r="AI24" s="5256">
        <f>AI44+AI73+AI83+AI103+AI54</f>
        <v>-302</v>
      </c>
      <c r="AJ24" s="5257">
        <f t="shared" ref="AJ24:AT24" si="98">AJ44+AJ83+AJ103</f>
        <v>-2954</v>
      </c>
      <c r="AK24" s="5257">
        <f t="shared" si="98"/>
        <v>-1926</v>
      </c>
      <c r="AL24" s="5257">
        <f t="shared" si="98"/>
        <v>-17</v>
      </c>
      <c r="AM24" s="5257">
        <f t="shared" si="98"/>
        <v>-10</v>
      </c>
      <c r="AN24" s="5257">
        <f t="shared" si="98"/>
        <v>-12</v>
      </c>
      <c r="AO24" s="5257">
        <f t="shared" si="98"/>
        <v>-13</v>
      </c>
      <c r="AP24" s="5257">
        <f t="shared" si="98"/>
        <v>0</v>
      </c>
      <c r="AQ24" s="5257">
        <f t="shared" si="98"/>
        <v>0</v>
      </c>
      <c r="AR24" s="5257">
        <f t="shared" si="98"/>
        <v>0</v>
      </c>
      <c r="AS24" s="5257">
        <f t="shared" si="98"/>
        <v>0</v>
      </c>
      <c r="AT24" s="5257">
        <f t="shared" si="98"/>
        <v>0</v>
      </c>
      <c r="AU24" s="5257">
        <f>AU44+AU83+AU103+AU54</f>
        <v>-11532</v>
      </c>
      <c r="AV24" s="5257">
        <f>AV44+AV83+AV103+AV54</f>
        <v>-1043.2</v>
      </c>
      <c r="AW24" s="5256">
        <f>AW44+AW83+AW103</f>
        <v>0</v>
      </c>
      <c r="AX24" s="5257">
        <f t="shared" ref="AX24:BB24" si="99">AX44+AX83+AX103</f>
        <v>10</v>
      </c>
      <c r="AY24" s="5257">
        <f t="shared" si="99"/>
        <v>7</v>
      </c>
      <c r="AZ24" s="5257">
        <f t="shared" si="99"/>
        <v>1</v>
      </c>
      <c r="BA24" s="5257">
        <f>BA44+BA83+BA103</f>
        <v>4</v>
      </c>
      <c r="BB24" s="5257">
        <f t="shared" si="99"/>
        <v>3</v>
      </c>
      <c r="BC24" s="5257">
        <f t="shared" ref="BC24:BF24" si="100">BC44+BC83+BC103</f>
        <v>0</v>
      </c>
      <c r="BD24" s="5257">
        <f t="shared" si="100"/>
        <v>0</v>
      </c>
      <c r="BE24" s="5257">
        <f t="shared" ref="BE24" si="101">BE44+BE83+BE103</f>
        <v>0</v>
      </c>
      <c r="BF24" s="5257">
        <f t="shared" si="100"/>
        <v>0</v>
      </c>
      <c r="BG24" s="5257">
        <f t="shared" ref="BG24:BH24" si="102">BG44+BG83+BG103</f>
        <v>0</v>
      </c>
      <c r="BH24" s="5257">
        <f t="shared" si="102"/>
        <v>0</v>
      </c>
      <c r="BI24" s="5257">
        <f t="shared" ref="BI24" si="103">BI44+BI83+BI103+BI54</f>
        <v>-6996</v>
      </c>
      <c r="BJ24" s="5259">
        <f>AVERAGE(AW24:BH24)</f>
        <v>2.0833333333333335</v>
      </c>
      <c r="BL24" s="5234">
        <f t="shared" si="7"/>
        <v>0</v>
      </c>
      <c r="BM24" s="5234">
        <f t="shared" si="8"/>
        <v>1045.2833333333333</v>
      </c>
      <c r="BN24" s="5255">
        <f t="shared" si="59"/>
        <v>3256</v>
      </c>
      <c r="BU24" s="5676"/>
      <c r="BV24" s="2488"/>
    </row>
    <row r="25" spans="1:74" ht="18" customHeight="1" x14ac:dyDescent="0.55000000000000004">
      <c r="A25" s="7172"/>
      <c r="B25" s="7173"/>
      <c r="C25" s="3425" t="s">
        <v>51</v>
      </c>
      <c r="D25" s="3749"/>
      <c r="E25" s="5269"/>
      <c r="F25" s="5268"/>
      <c r="G25" s="5269"/>
      <c r="H25" s="5269"/>
      <c r="I25" s="5269"/>
      <c r="J25" s="5269"/>
      <c r="K25" s="5269"/>
      <c r="L25" s="5269"/>
      <c r="M25" s="5269"/>
      <c r="N25" s="5269"/>
      <c r="O25" s="5269"/>
      <c r="P25" s="5269"/>
      <c r="Q25" s="5269"/>
      <c r="R25" s="5269"/>
      <c r="S25" s="5269"/>
      <c r="T25" s="5268">
        <f t="shared" ref="T25:AF25" si="104">T45+T74+T84+T104</f>
        <v>-3315</v>
      </c>
      <c r="U25" s="5269">
        <f t="shared" si="104"/>
        <v>664</v>
      </c>
      <c r="V25" s="5269">
        <f t="shared" si="104"/>
        <v>18995</v>
      </c>
      <c r="W25" s="5269">
        <f t="shared" si="104"/>
        <v>5035</v>
      </c>
      <c r="X25" s="5269">
        <f t="shared" si="104"/>
        <v>-961</v>
      </c>
      <c r="Y25" s="5269">
        <f t="shared" si="104"/>
        <v>-748</v>
      </c>
      <c r="Z25" s="5269">
        <f t="shared" si="104"/>
        <v>-4598</v>
      </c>
      <c r="AA25" s="5269">
        <f t="shared" si="104"/>
        <v>-3307</v>
      </c>
      <c r="AB25" s="5269">
        <f t="shared" si="104"/>
        <v>-4871</v>
      </c>
      <c r="AC25" s="5269">
        <f t="shared" si="104"/>
        <v>-3570</v>
      </c>
      <c r="AD25" s="5269">
        <f t="shared" si="104"/>
        <v>-5341</v>
      </c>
      <c r="AE25" s="5269">
        <f t="shared" si="104"/>
        <v>-4838</v>
      </c>
      <c r="AF25" s="5270">
        <f t="shared" si="104"/>
        <v>-6855</v>
      </c>
      <c r="AG25" s="5270">
        <f>AG45+AG74+AG84+AG104</f>
        <v>-571.24999999999989</v>
      </c>
      <c r="AH25" s="5270"/>
      <c r="AI25" s="5268">
        <f>AI45+AI74+AI84+AI104+AI54</f>
        <v>-979</v>
      </c>
      <c r="AJ25" s="5270">
        <f t="shared" ref="AJ25:AT25" si="105">AJ45+AJ74+AJ84+AJ104+AJ54</f>
        <v>-6462</v>
      </c>
      <c r="AK25" s="5270">
        <f t="shared" si="105"/>
        <v>-6166</v>
      </c>
      <c r="AL25" s="5270">
        <f t="shared" si="105"/>
        <v>-6020</v>
      </c>
      <c r="AM25" s="5270">
        <f t="shared" si="105"/>
        <v>-4879</v>
      </c>
      <c r="AN25" s="5270">
        <f t="shared" si="105"/>
        <v>-840</v>
      </c>
      <c r="AO25" s="5270">
        <f t="shared" si="105"/>
        <v>-180</v>
      </c>
      <c r="AP25" s="5270">
        <f t="shared" si="105"/>
        <v>5494</v>
      </c>
      <c r="AQ25" s="5270">
        <f t="shared" si="105"/>
        <v>-4805</v>
      </c>
      <c r="AR25" s="5270">
        <f t="shared" si="105"/>
        <v>-11718</v>
      </c>
      <c r="AS25" s="5270">
        <f t="shared" si="105"/>
        <v>-3955</v>
      </c>
      <c r="AT25" s="5269">
        <f t="shared" si="105"/>
        <v>-5056</v>
      </c>
      <c r="AU25" s="5269">
        <f>AU45+AU74+AU84+AU104+AU54</f>
        <v>-45566</v>
      </c>
      <c r="AV25" s="5269">
        <f>AV45+AV74+AV84+AV104+AV54</f>
        <v>-3797.1666666666665</v>
      </c>
      <c r="AW25" s="5268">
        <f>AW45+AW74+AW84+AW104+AW54</f>
        <v>-8529</v>
      </c>
      <c r="AX25" s="5270">
        <f>AX45+AX74+AX84+AX104+AX54</f>
        <v>-6661</v>
      </c>
      <c r="AY25" s="5270">
        <f t="shared" ref="AY25" si="106">AY45+AY74+AY84+AY104+AY54</f>
        <v>-5024</v>
      </c>
      <c r="AZ25" s="5270">
        <f>AZ16-AY16</f>
        <v>-3822</v>
      </c>
      <c r="BA25" s="5270">
        <f>BA16-AZ16</f>
        <v>8024</v>
      </c>
      <c r="BB25" s="5270">
        <f t="shared" ref="BB25:BC25" si="107">BB16-BA16</f>
        <v>-7281</v>
      </c>
      <c r="BC25" s="5270">
        <f t="shared" si="107"/>
        <v>-6629</v>
      </c>
      <c r="BD25" s="5270">
        <f t="shared" ref="BD25:BE25" si="108">BD16-BC16</f>
        <v>-12154</v>
      </c>
      <c r="BE25" s="5270">
        <f t="shared" si="108"/>
        <v>-13130</v>
      </c>
      <c r="BF25" s="5270">
        <f t="shared" ref="BF25:BH25" si="109">BF16-BE16</f>
        <v>-14107</v>
      </c>
      <c r="BG25" s="5270">
        <f t="shared" si="109"/>
        <v>-10460</v>
      </c>
      <c r="BH25" s="5270">
        <f t="shared" si="109"/>
        <v>-13146</v>
      </c>
      <c r="BI25" s="5270">
        <f t="shared" ref="BI25:BJ25" si="110">BI45+BI74+BI84+BI104+BI54</f>
        <v>-92919</v>
      </c>
      <c r="BJ25" s="5272">
        <f t="shared" si="110"/>
        <v>-7743.25</v>
      </c>
      <c r="BL25" s="5234">
        <f t="shared" si="7"/>
        <v>-8090</v>
      </c>
      <c r="BM25" s="5234">
        <f t="shared" si="8"/>
        <v>-3946.0833333333335</v>
      </c>
      <c r="BN25" s="5255">
        <f t="shared" si="59"/>
        <v>-5705</v>
      </c>
      <c r="BQ25" s="5234">
        <f>SUM(AW25:BH25)-SUM(AI25:AT25)</f>
        <v>-47353</v>
      </c>
      <c r="BU25" s="5270"/>
      <c r="BV25" s="5234"/>
    </row>
    <row r="26" spans="1:74" ht="18" customHeight="1" x14ac:dyDescent="0.55000000000000004">
      <c r="A26" s="7154" t="s">
        <v>61</v>
      </c>
      <c r="B26" s="7155"/>
      <c r="C26" s="5674" t="s">
        <v>44</v>
      </c>
      <c r="D26" s="5675"/>
      <c r="E26" s="5676"/>
      <c r="F26" s="5677"/>
      <c r="G26" s="5676"/>
      <c r="H26" s="5676"/>
      <c r="I26" s="5676"/>
      <c r="J26" s="5676"/>
      <c r="K26" s="5676"/>
      <c r="L26" s="5676"/>
      <c r="M26" s="5676"/>
      <c r="N26" s="5676"/>
      <c r="O26" s="5676"/>
      <c r="P26" s="5676"/>
      <c r="Q26" s="5676">
        <f>Q55+Q85</f>
        <v>779990</v>
      </c>
      <c r="R26" s="5677">
        <f>R55+R85</f>
        <v>779990</v>
      </c>
      <c r="S26" s="5676"/>
      <c r="T26" s="5677">
        <f t="shared" ref="T26:AG26" si="111">T55+T85</f>
        <v>779724</v>
      </c>
      <c r="U26" s="5676">
        <f t="shared" si="111"/>
        <v>780722</v>
      </c>
      <c r="V26" s="5676">
        <f t="shared" si="111"/>
        <v>779638</v>
      </c>
      <c r="W26" s="5676">
        <f t="shared" si="111"/>
        <v>778911</v>
      </c>
      <c r="X26" s="5676">
        <f t="shared" si="111"/>
        <v>776888</v>
      </c>
      <c r="Y26" s="5676">
        <f t="shared" si="111"/>
        <v>774460</v>
      </c>
      <c r="Z26" s="5676">
        <f t="shared" si="111"/>
        <v>774140</v>
      </c>
      <c r="AA26" s="5676">
        <f t="shared" si="111"/>
        <v>774080</v>
      </c>
      <c r="AB26" s="5676">
        <f t="shared" si="111"/>
        <v>774579</v>
      </c>
      <c r="AC26" s="5676">
        <f t="shared" si="111"/>
        <v>778535</v>
      </c>
      <c r="AD26" s="5676">
        <f t="shared" si="111"/>
        <v>778067</v>
      </c>
      <c r="AE26" s="5676">
        <f t="shared" si="111"/>
        <v>775751</v>
      </c>
      <c r="AF26" s="5678">
        <f t="shared" si="111"/>
        <v>775751</v>
      </c>
      <c r="AG26" s="5678">
        <f t="shared" si="111"/>
        <v>777124.58333333337</v>
      </c>
      <c r="AH26" s="5678"/>
      <c r="AI26" s="5679">
        <f t="shared" ref="AI26:AT26" si="112">AI55+AI85</f>
        <v>777187</v>
      </c>
      <c r="AJ26" s="5678">
        <f t="shared" si="112"/>
        <v>779411</v>
      </c>
      <c r="AK26" s="5678">
        <f t="shared" si="112"/>
        <v>778155</v>
      </c>
      <c r="AL26" s="5678">
        <f t="shared" si="112"/>
        <v>776021</v>
      </c>
      <c r="AM26" s="5678">
        <f t="shared" si="112"/>
        <v>773540</v>
      </c>
      <c r="AN26" s="5678">
        <f t="shared" si="112"/>
        <v>770644</v>
      </c>
      <c r="AO26" s="5678">
        <f t="shared" si="112"/>
        <v>768036</v>
      </c>
      <c r="AP26" s="5678">
        <f t="shared" si="112"/>
        <v>759356</v>
      </c>
      <c r="AQ26" s="5678">
        <f t="shared" si="112"/>
        <v>760184</v>
      </c>
      <c r="AR26" s="5678">
        <f t="shared" si="112"/>
        <v>756277</v>
      </c>
      <c r="AS26" s="5678">
        <f t="shared" si="112"/>
        <v>744146</v>
      </c>
      <c r="AT26" s="5676">
        <f t="shared" si="112"/>
        <v>732488</v>
      </c>
      <c r="AU26" s="5678">
        <f>INDEX($AI26:$AT26, 1, MATCH(0, $AI26:$AT26, -1))</f>
        <v>732488</v>
      </c>
      <c r="AV26" s="5680">
        <f>AV55+AV85</f>
        <v>764620.41666666674</v>
      </c>
      <c r="AW26" s="5677">
        <f>AW55+AW85</f>
        <v>722118</v>
      </c>
      <c r="AX26" s="5676">
        <f>AX55+AX85</f>
        <v>716163</v>
      </c>
      <c r="AY26" s="5676">
        <f>AY55+AY85</f>
        <v>706173</v>
      </c>
      <c r="AZ26" s="5678">
        <v>700387</v>
      </c>
      <c r="BA26" s="5676">
        <f t="shared" ref="BA26:BB26" si="113">BA55+BA85</f>
        <v>709512</v>
      </c>
      <c r="BB26" s="5676">
        <f t="shared" si="113"/>
        <v>702531</v>
      </c>
      <c r="BC26" s="5676">
        <f t="shared" ref="BC26:BD26" si="114">BC55+BC85</f>
        <v>700688</v>
      </c>
      <c r="BD26" s="5676">
        <f t="shared" si="114"/>
        <v>688035</v>
      </c>
      <c r="BE26" s="5676">
        <f t="shared" ref="BE26:BF26" si="115">BE55+BE85</f>
        <v>683212</v>
      </c>
      <c r="BF26" s="5676">
        <f t="shared" si="115"/>
        <v>673698</v>
      </c>
      <c r="BG26" s="5676">
        <f t="shared" ref="BG26" si="116">BG55+BG85</f>
        <v>662831</v>
      </c>
      <c r="BH26" s="5676">
        <f t="shared" ref="BH26" si="117">BH55+BH85</f>
        <v>651487</v>
      </c>
      <c r="BI26" s="5676">
        <f>INDEX($AW26:$BH26, 1, MATCH(0, $AW26:$BH26, -1))</f>
        <v>651487</v>
      </c>
      <c r="BJ26" s="5680">
        <f>BJ55+BJ85</f>
        <v>693069.58333333326</v>
      </c>
      <c r="BL26" s="5234">
        <f t="shared" si="7"/>
        <v>-81001</v>
      </c>
      <c r="BM26" s="5234">
        <f t="shared" si="8"/>
        <v>-71550.833333333489</v>
      </c>
      <c r="BN26" s="5235">
        <f>AX26-AJ26</f>
        <v>-63248</v>
      </c>
      <c r="BQ26" s="2488">
        <f>BH26-AT26</f>
        <v>-81001</v>
      </c>
    </row>
    <row r="27" spans="1:74" ht="18" customHeight="1" x14ac:dyDescent="0.55000000000000004">
      <c r="A27" s="7156"/>
      <c r="B27" s="7157"/>
      <c r="C27" s="5460" t="s">
        <v>57</v>
      </c>
      <c r="D27" s="3512"/>
      <c r="E27" s="5262"/>
      <c r="F27" s="5262"/>
      <c r="G27" s="5262"/>
      <c r="H27" s="5262"/>
      <c r="I27" s="5262"/>
      <c r="J27" s="5262"/>
      <c r="K27" s="5262"/>
      <c r="L27" s="5262"/>
      <c r="M27" s="5262"/>
      <c r="N27" s="5262"/>
      <c r="O27" s="5262"/>
      <c r="P27" s="5262"/>
      <c r="Q27" s="5262"/>
      <c r="R27" s="5262"/>
      <c r="S27" s="5262"/>
      <c r="T27" s="5261">
        <f t="shared" ref="T27:AE27" si="118">T56+T86</f>
        <v>20072</v>
      </c>
      <c r="U27" s="5262">
        <f t="shared" si="118"/>
        <v>23849</v>
      </c>
      <c r="V27" s="5262">
        <f t="shared" si="118"/>
        <v>19298</v>
      </c>
      <c r="W27" s="5262">
        <f t="shared" si="118"/>
        <v>18484</v>
      </c>
      <c r="X27" s="5262">
        <f t="shared" si="118"/>
        <v>18803</v>
      </c>
      <c r="Y27" s="5262">
        <f t="shared" si="118"/>
        <v>17372</v>
      </c>
      <c r="Z27" s="5262">
        <f t="shared" si="118"/>
        <v>20157</v>
      </c>
      <c r="AA27" s="5262">
        <f t="shared" si="118"/>
        <v>27642</v>
      </c>
      <c r="AB27" s="5262">
        <f t="shared" si="118"/>
        <v>19116</v>
      </c>
      <c r="AC27" s="5262">
        <f t="shared" si="118"/>
        <v>33846</v>
      </c>
      <c r="AD27" s="5262">
        <f t="shared" si="118"/>
        <v>20353</v>
      </c>
      <c r="AE27" s="5262">
        <f t="shared" si="118"/>
        <v>16803</v>
      </c>
      <c r="AF27" s="5263">
        <f>SUM(T27:AE27)</f>
        <v>255795</v>
      </c>
      <c r="AG27" s="5263">
        <f>AVERAGE(T27:AE27)</f>
        <v>21316.25</v>
      </c>
      <c r="AH27" s="5263"/>
      <c r="AI27" s="5264">
        <f t="shared" ref="AI27:AT27" si="119">AI56+AI86</f>
        <v>28977</v>
      </c>
      <c r="AJ27" s="5263">
        <f t="shared" si="119"/>
        <v>23661</v>
      </c>
      <c r="AK27" s="5263">
        <f t="shared" si="119"/>
        <v>26973</v>
      </c>
      <c r="AL27" s="5263">
        <f t="shared" si="119"/>
        <v>27900</v>
      </c>
      <c r="AM27" s="5263">
        <f t="shared" si="119"/>
        <v>29593</v>
      </c>
      <c r="AN27" s="5263">
        <f t="shared" si="119"/>
        <v>26000</v>
      </c>
      <c r="AO27" s="5263">
        <f t="shared" si="119"/>
        <v>34598</v>
      </c>
      <c r="AP27" s="5263">
        <f t="shared" si="119"/>
        <v>27038</v>
      </c>
      <c r="AQ27" s="5263">
        <f t="shared" si="119"/>
        <v>42698</v>
      </c>
      <c r="AR27" s="5263">
        <f t="shared" si="119"/>
        <v>38004</v>
      </c>
      <c r="AS27" s="5263">
        <f t="shared" si="119"/>
        <v>29542</v>
      </c>
      <c r="AT27" s="5262">
        <f t="shared" si="119"/>
        <v>25462</v>
      </c>
      <c r="AU27" s="5263">
        <f t="shared" ref="AU27:AU35" si="120">AU56+AU86</f>
        <v>360446</v>
      </c>
      <c r="AV27" s="5265">
        <f>AVERAGE(AI27:AT27)</f>
        <v>30037.166666666668</v>
      </c>
      <c r="AW27" s="5261">
        <f>AW56+AW86</f>
        <v>24827</v>
      </c>
      <c r="AX27" s="5263">
        <f>AX56+AX86</f>
        <v>46666</v>
      </c>
      <c r="AY27" s="5263">
        <f>AY56+AY86</f>
        <v>29889</v>
      </c>
      <c r="AZ27" s="5263">
        <v>38967</v>
      </c>
      <c r="BA27" s="5263">
        <f>BA56+BA86</f>
        <v>66692</v>
      </c>
      <c r="BB27" s="5263">
        <f t="shared" ref="BB27:BC27" si="121">BB56+BB86</f>
        <v>43382</v>
      </c>
      <c r="BC27" s="5263">
        <f t="shared" si="121"/>
        <v>61341</v>
      </c>
      <c r="BD27" s="5263">
        <f t="shared" ref="BD27:BF27" si="122">BD56+BD86</f>
        <v>38039</v>
      </c>
      <c r="BE27" s="5263">
        <f t="shared" si="122"/>
        <v>50297</v>
      </c>
      <c r="BF27" s="5263">
        <f t="shared" si="122"/>
        <v>41620</v>
      </c>
      <c r="BG27" s="5263">
        <f t="shared" ref="BG27:BH27" si="123">BG56+BG86</f>
        <v>33730</v>
      </c>
      <c r="BH27" s="5263">
        <f t="shared" si="123"/>
        <v>36318</v>
      </c>
      <c r="BI27" s="5263">
        <f t="shared" ref="BI27:BI35" si="124">BI56+BI86</f>
        <v>511768</v>
      </c>
      <c r="BJ27" s="5265">
        <f>AVERAGE(AW27:BE27)</f>
        <v>44455.555555555555</v>
      </c>
      <c r="BL27" s="5234">
        <f t="shared" si="7"/>
        <v>10856</v>
      </c>
      <c r="BM27" s="5234">
        <f t="shared" si="8"/>
        <v>14418.388888888887</v>
      </c>
      <c r="BN27" s="5255">
        <f t="shared" ref="BN27:BN35" si="125">HLOOKUP($A$1,$AW$1:$BH$400,ROW(),0)-SUM(AI27:AJ27)</f>
        <v>-16320</v>
      </c>
    </row>
    <row r="28" spans="1:74" ht="18" hidden="1" customHeight="1" x14ac:dyDescent="0.55000000000000004">
      <c r="A28" s="7156"/>
      <c r="B28" s="7157"/>
      <c r="C28" s="2493"/>
      <c r="D28" s="2493" t="s">
        <v>47</v>
      </c>
      <c r="E28" s="5125"/>
      <c r="F28" s="5256"/>
      <c r="G28" s="3263"/>
      <c r="H28" s="3263"/>
      <c r="I28" s="3263"/>
      <c r="J28" s="3263"/>
      <c r="K28" s="3263"/>
      <c r="L28" s="3263"/>
      <c r="M28" s="3263"/>
      <c r="N28" s="3263"/>
      <c r="O28" s="3263"/>
      <c r="P28" s="3263"/>
      <c r="Q28" s="3263"/>
      <c r="R28" s="3263"/>
      <c r="S28" s="3263"/>
      <c r="T28" s="5256">
        <f t="shared" ref="T28:AE28" si="126">T57+T87</f>
        <v>7740</v>
      </c>
      <c r="U28" s="3263">
        <f t="shared" si="126"/>
        <v>8527</v>
      </c>
      <c r="V28" s="3263">
        <f t="shared" si="126"/>
        <v>8547</v>
      </c>
      <c r="W28" s="3263">
        <f t="shared" si="126"/>
        <v>7906</v>
      </c>
      <c r="X28" s="3263">
        <f t="shared" si="126"/>
        <v>9529</v>
      </c>
      <c r="Y28" s="3263">
        <f t="shared" si="126"/>
        <v>8960</v>
      </c>
      <c r="Z28" s="3263">
        <f t="shared" si="126"/>
        <v>11242</v>
      </c>
      <c r="AA28" s="3263">
        <f t="shared" si="126"/>
        <v>11792</v>
      </c>
      <c r="AB28" s="3263">
        <f t="shared" si="126"/>
        <v>11119</v>
      </c>
      <c r="AC28" s="3263">
        <f t="shared" si="126"/>
        <v>11974</v>
      </c>
      <c r="AD28" s="3263">
        <f t="shared" si="126"/>
        <v>10456</v>
      </c>
      <c r="AE28" s="3263">
        <f t="shared" si="126"/>
        <v>9112</v>
      </c>
      <c r="AF28" s="5257">
        <f t="shared" ref="AF28:AG33" si="127">AF57+AF87</f>
        <v>116904</v>
      </c>
      <c r="AG28" s="5257">
        <f t="shared" si="127"/>
        <v>9742</v>
      </c>
      <c r="AH28" s="5257"/>
      <c r="AI28" s="5258">
        <f t="shared" ref="AI28:AT28" si="128">AI57+AI87</f>
        <v>11088</v>
      </c>
      <c r="AJ28" s="5257">
        <f t="shared" si="128"/>
        <v>11094</v>
      </c>
      <c r="AK28" s="5257">
        <f t="shared" si="128"/>
        <v>14320</v>
      </c>
      <c r="AL28" s="5257">
        <f t="shared" si="128"/>
        <v>14241</v>
      </c>
      <c r="AM28" s="5257">
        <f t="shared" si="128"/>
        <v>17233</v>
      </c>
      <c r="AN28" s="5257">
        <f t="shared" si="128"/>
        <v>15517</v>
      </c>
      <c r="AO28" s="5257">
        <f t="shared" si="128"/>
        <v>14842</v>
      </c>
      <c r="AP28" s="5257">
        <f t="shared" si="128"/>
        <v>12830</v>
      </c>
      <c r="AQ28" s="5257">
        <f t="shared" si="128"/>
        <v>12646</v>
      </c>
      <c r="AR28" s="5257">
        <f t="shared" si="128"/>
        <v>14569</v>
      </c>
      <c r="AS28" s="5257">
        <f t="shared" si="128"/>
        <v>14378</v>
      </c>
      <c r="AT28" s="3263">
        <f t="shared" si="128"/>
        <v>2652</v>
      </c>
      <c r="AU28" s="5257">
        <f t="shared" si="120"/>
        <v>130963</v>
      </c>
      <c r="AV28" s="5259">
        <f t="shared" ref="AV28:AV35" si="129">AV57+AV87</f>
        <v>13806.325757575756</v>
      </c>
      <c r="AW28" s="5256">
        <f t="shared" ref="AW28:AY35" si="130">AW57+AW87</f>
        <v>12525</v>
      </c>
      <c r="AX28" s="5257">
        <f t="shared" si="130"/>
        <v>18359</v>
      </c>
      <c r="AY28" s="5257">
        <f t="shared" si="130"/>
        <v>13723</v>
      </c>
      <c r="AZ28" s="5257">
        <v>21354</v>
      </c>
      <c r="BA28" s="5257">
        <f t="shared" ref="BA28:BB28" si="131">BA57+BA87</f>
        <v>47351</v>
      </c>
      <c r="BB28" s="5257">
        <f t="shared" si="131"/>
        <v>24947</v>
      </c>
      <c r="BC28" s="5257">
        <f t="shared" ref="BC28:BD28" si="132">BC57+BC87</f>
        <v>34395</v>
      </c>
      <c r="BD28" s="5257">
        <f t="shared" si="132"/>
        <v>14356</v>
      </c>
      <c r="BE28" s="5257">
        <f t="shared" ref="BE28" si="133">BE57+BE87</f>
        <v>16492</v>
      </c>
      <c r="BF28" s="5257">
        <f t="shared" ref="BF28:BH28" si="134">BF57+BF87</f>
        <v>14735</v>
      </c>
      <c r="BG28" s="5257">
        <f t="shared" si="134"/>
        <v>13768</v>
      </c>
      <c r="BH28" s="5257">
        <f t="shared" si="134"/>
        <v>15622</v>
      </c>
      <c r="BI28" s="5257">
        <f t="shared" si="124"/>
        <v>211054</v>
      </c>
      <c r="BJ28" s="5259">
        <f t="shared" ref="BJ28:BJ35" si="135">BJ57+BJ87</f>
        <v>20635.583333333336</v>
      </c>
      <c r="BL28" s="5234">
        <f t="shared" si="7"/>
        <v>12970</v>
      </c>
      <c r="BM28" s="5234">
        <f t="shared" si="8"/>
        <v>6829.2575757575796</v>
      </c>
      <c r="BN28" s="5255">
        <f t="shared" si="125"/>
        <v>-6560</v>
      </c>
    </row>
    <row r="29" spans="1:74" ht="18" hidden="1" customHeight="1" x14ac:dyDescent="0.55000000000000004">
      <c r="A29" s="7156"/>
      <c r="B29" s="7157"/>
      <c r="C29" s="2493"/>
      <c r="D29" s="2493" t="s">
        <v>56</v>
      </c>
      <c r="E29" s="5125"/>
      <c r="F29" s="5256"/>
      <c r="G29" s="3263"/>
      <c r="H29" s="3263"/>
      <c r="I29" s="3263"/>
      <c r="J29" s="3263"/>
      <c r="K29" s="3263"/>
      <c r="L29" s="3263"/>
      <c r="M29" s="3263"/>
      <c r="N29" s="3263"/>
      <c r="O29" s="3263"/>
      <c r="P29" s="3263"/>
      <c r="Q29" s="3263"/>
      <c r="R29" s="3263"/>
      <c r="S29" s="3263"/>
      <c r="T29" s="5256">
        <f t="shared" ref="T29:AE29" si="136">T58+T88</f>
        <v>12332</v>
      </c>
      <c r="U29" s="3263">
        <f t="shared" si="136"/>
        <v>15322</v>
      </c>
      <c r="V29" s="3263">
        <f t="shared" si="136"/>
        <v>10752</v>
      </c>
      <c r="W29" s="3263">
        <f t="shared" si="136"/>
        <v>10578</v>
      </c>
      <c r="X29" s="3263">
        <f t="shared" si="136"/>
        <v>9274</v>
      </c>
      <c r="Y29" s="3263">
        <f t="shared" si="136"/>
        <v>8412</v>
      </c>
      <c r="Z29" s="3263">
        <f t="shared" si="136"/>
        <v>8915</v>
      </c>
      <c r="AA29" s="3263">
        <f t="shared" si="136"/>
        <v>15850</v>
      </c>
      <c r="AB29" s="3263">
        <f t="shared" si="136"/>
        <v>7997</v>
      </c>
      <c r="AC29" s="3263">
        <f t="shared" si="136"/>
        <v>21873</v>
      </c>
      <c r="AD29" s="3263">
        <f t="shared" si="136"/>
        <v>9897</v>
      </c>
      <c r="AE29" s="3263">
        <f t="shared" si="136"/>
        <v>7693</v>
      </c>
      <c r="AF29" s="5257">
        <f t="shared" si="127"/>
        <v>138895</v>
      </c>
      <c r="AG29" s="5257">
        <f t="shared" si="127"/>
        <v>11574.583333333334</v>
      </c>
      <c r="AH29" s="5257"/>
      <c r="AI29" s="5258">
        <f t="shared" ref="AI29:AT29" si="137">AI58+AI88</f>
        <v>17083</v>
      </c>
      <c r="AJ29" s="5257">
        <f t="shared" si="137"/>
        <v>11816</v>
      </c>
      <c r="AK29" s="5257">
        <f t="shared" si="137"/>
        <v>12653</v>
      </c>
      <c r="AL29" s="5257">
        <f t="shared" si="137"/>
        <v>13659</v>
      </c>
      <c r="AM29" s="5257">
        <f t="shared" si="137"/>
        <v>12360</v>
      </c>
      <c r="AN29" s="5257">
        <f t="shared" si="137"/>
        <v>10484</v>
      </c>
      <c r="AO29" s="5257">
        <f t="shared" si="137"/>
        <v>19756</v>
      </c>
      <c r="AP29" s="5257">
        <f t="shared" si="137"/>
        <v>14209</v>
      </c>
      <c r="AQ29" s="5257">
        <f t="shared" si="137"/>
        <v>30053</v>
      </c>
      <c r="AR29" s="5257">
        <f t="shared" si="137"/>
        <v>23435</v>
      </c>
      <c r="AS29" s="5257">
        <f t="shared" si="137"/>
        <v>15164</v>
      </c>
      <c r="AT29" s="3263">
        <f t="shared" si="137"/>
        <v>5021</v>
      </c>
      <c r="AU29" s="5257">
        <f t="shared" si="120"/>
        <v>160690</v>
      </c>
      <c r="AV29" s="5259">
        <f t="shared" si="129"/>
        <v>16294.227272727272</v>
      </c>
      <c r="AW29" s="5256">
        <f t="shared" si="130"/>
        <v>12302</v>
      </c>
      <c r="AX29" s="5257">
        <f t="shared" si="130"/>
        <v>28307</v>
      </c>
      <c r="AY29" s="5257">
        <f t="shared" si="130"/>
        <v>16166</v>
      </c>
      <c r="AZ29" s="5257">
        <v>17613</v>
      </c>
      <c r="BA29" s="5257">
        <f t="shared" ref="BA29:BB29" si="138">BA58+BA88</f>
        <v>19341</v>
      </c>
      <c r="BB29" s="5257">
        <f t="shared" si="138"/>
        <v>18435</v>
      </c>
      <c r="BC29" s="5257">
        <f t="shared" ref="BC29:BD29" si="139">BC58+BC88</f>
        <v>26938</v>
      </c>
      <c r="BD29" s="5257">
        <f t="shared" si="139"/>
        <v>23683</v>
      </c>
      <c r="BE29" s="5257">
        <f t="shared" ref="BE29:BH29" si="140">BE58+BE88</f>
        <v>33805</v>
      </c>
      <c r="BF29" s="5257">
        <f t="shared" si="140"/>
        <v>26885</v>
      </c>
      <c r="BG29" s="5257">
        <f t="shared" si="140"/>
        <v>19962</v>
      </c>
      <c r="BH29" s="5257">
        <f t="shared" si="140"/>
        <v>20696</v>
      </c>
      <c r="BI29" s="5257">
        <f t="shared" si="124"/>
        <v>214942</v>
      </c>
      <c r="BJ29" s="5259">
        <f t="shared" si="135"/>
        <v>22011.083333333336</v>
      </c>
      <c r="BL29" s="5234">
        <f t="shared" si="7"/>
        <v>15675</v>
      </c>
      <c r="BM29" s="5234">
        <f t="shared" si="8"/>
        <v>5716.8560606060637</v>
      </c>
      <c r="BN29" s="5255">
        <f t="shared" si="125"/>
        <v>-8203</v>
      </c>
    </row>
    <row r="30" spans="1:74" ht="18" customHeight="1" x14ac:dyDescent="0.55000000000000004">
      <c r="A30" s="7156"/>
      <c r="B30" s="7157"/>
      <c r="C30" s="2493" t="s">
        <v>48</v>
      </c>
      <c r="D30" s="2493"/>
      <c r="E30" s="5125"/>
      <c r="F30" s="5256"/>
      <c r="G30" s="3263"/>
      <c r="H30" s="3263"/>
      <c r="I30" s="3263"/>
      <c r="J30" s="3263"/>
      <c r="K30" s="3263"/>
      <c r="L30" s="3263"/>
      <c r="M30" s="3263"/>
      <c r="N30" s="3263"/>
      <c r="O30" s="3263"/>
      <c r="P30" s="3263"/>
      <c r="Q30" s="3263"/>
      <c r="R30" s="3263"/>
      <c r="S30" s="3263"/>
      <c r="T30" s="5256">
        <f t="shared" ref="T30:AE30" si="141">T59+T89</f>
        <v>7504</v>
      </c>
      <c r="U30" s="3263">
        <f t="shared" si="141"/>
        <v>7524</v>
      </c>
      <c r="V30" s="3263">
        <f t="shared" si="141"/>
        <v>7522</v>
      </c>
      <c r="W30" s="3263">
        <f t="shared" si="141"/>
        <v>7465</v>
      </c>
      <c r="X30" s="3263">
        <f t="shared" si="141"/>
        <v>8889</v>
      </c>
      <c r="Y30" s="3263">
        <f t="shared" si="141"/>
        <v>8619</v>
      </c>
      <c r="Z30" s="3263">
        <f t="shared" si="141"/>
        <v>8988</v>
      </c>
      <c r="AA30" s="3263">
        <f t="shared" si="141"/>
        <v>9948</v>
      </c>
      <c r="AB30" s="3263">
        <f t="shared" si="141"/>
        <v>8825</v>
      </c>
      <c r="AC30" s="3263">
        <f t="shared" si="141"/>
        <v>9519</v>
      </c>
      <c r="AD30" s="3263">
        <f t="shared" si="141"/>
        <v>8945</v>
      </c>
      <c r="AE30" s="3263">
        <f t="shared" si="141"/>
        <v>8901</v>
      </c>
      <c r="AF30" s="5257">
        <f t="shared" si="127"/>
        <v>102649</v>
      </c>
      <c r="AG30" s="5257">
        <f t="shared" si="127"/>
        <v>8554.0833333333339</v>
      </c>
      <c r="AH30" s="5257"/>
      <c r="AI30" s="5258">
        <f t="shared" ref="AI30:AT30" si="142">AI59+AI89</f>
        <v>9418</v>
      </c>
      <c r="AJ30" s="5257">
        <f t="shared" si="142"/>
        <v>8446</v>
      </c>
      <c r="AK30" s="5257">
        <f t="shared" si="142"/>
        <v>9545</v>
      </c>
      <c r="AL30" s="5257">
        <f t="shared" si="142"/>
        <v>9631</v>
      </c>
      <c r="AM30" s="5257">
        <f t="shared" si="142"/>
        <v>10583</v>
      </c>
      <c r="AN30" s="5257">
        <f t="shared" si="142"/>
        <v>9085</v>
      </c>
      <c r="AO30" s="5257">
        <f t="shared" si="142"/>
        <v>10119</v>
      </c>
      <c r="AP30" s="5257">
        <f t="shared" si="142"/>
        <v>9502</v>
      </c>
      <c r="AQ30" s="5257">
        <f t="shared" si="142"/>
        <v>8891</v>
      </c>
      <c r="AR30" s="5257">
        <f t="shared" si="142"/>
        <v>9542</v>
      </c>
      <c r="AS30" s="5257">
        <f t="shared" si="142"/>
        <v>10431</v>
      </c>
      <c r="AT30" s="3263">
        <f t="shared" si="142"/>
        <v>10531</v>
      </c>
      <c r="AU30" s="5257">
        <f t="shared" si="120"/>
        <v>115724</v>
      </c>
      <c r="AV30" s="5259">
        <f t="shared" si="129"/>
        <v>9563</v>
      </c>
      <c r="AW30" s="5256">
        <f t="shared" si="130"/>
        <v>8405</v>
      </c>
      <c r="AX30" s="5257">
        <f t="shared" si="130"/>
        <v>10364</v>
      </c>
      <c r="AY30" s="5257">
        <f t="shared" si="130"/>
        <v>9118</v>
      </c>
      <c r="AZ30" s="5257">
        <v>9064</v>
      </c>
      <c r="BA30" s="5257">
        <f t="shared" ref="BA30:BB30" si="143">BA59+BA89</f>
        <v>7775</v>
      </c>
      <c r="BB30" s="5257">
        <f t="shared" si="143"/>
        <v>9688</v>
      </c>
      <c r="BC30" s="5257">
        <f t="shared" ref="BC30:BD30" si="144">BC59+BC89</f>
        <v>14560</v>
      </c>
      <c r="BD30" s="5257">
        <f t="shared" si="144"/>
        <v>10139</v>
      </c>
      <c r="BE30" s="5257">
        <f t="shared" ref="BE30:BF30" si="145">BE59+BE89</f>
        <v>10545</v>
      </c>
      <c r="BF30" s="5257">
        <f t="shared" si="145"/>
        <v>8829</v>
      </c>
      <c r="BG30" s="5257">
        <f t="shared" ref="BG30:BH30" si="146">BG59+BG89</f>
        <v>8707</v>
      </c>
      <c r="BH30" s="5257">
        <f t="shared" si="146"/>
        <v>9567</v>
      </c>
      <c r="BI30" s="5257">
        <f t="shared" si="124"/>
        <v>116761</v>
      </c>
      <c r="BJ30" s="5259">
        <f t="shared" si="135"/>
        <v>9744.9090909090901</v>
      </c>
      <c r="BL30" s="5234">
        <f t="shared" si="7"/>
        <v>-964</v>
      </c>
      <c r="BM30" s="5234">
        <f t="shared" si="8"/>
        <v>181.90909090909008</v>
      </c>
      <c r="BN30" s="5255">
        <f t="shared" si="125"/>
        <v>-8297</v>
      </c>
    </row>
    <row r="31" spans="1:74" ht="18" customHeight="1" x14ac:dyDescent="0.55000000000000004">
      <c r="A31" s="7156"/>
      <c r="B31" s="7157"/>
      <c r="C31" s="2493" t="s">
        <v>59</v>
      </c>
      <c r="D31" s="2493"/>
      <c r="E31" s="5125"/>
      <c r="F31" s="5256"/>
      <c r="G31" s="3263"/>
      <c r="H31" s="3263"/>
      <c r="I31" s="3263"/>
      <c r="J31" s="3263"/>
      <c r="K31" s="3263"/>
      <c r="L31" s="3263"/>
      <c r="M31" s="3263"/>
      <c r="N31" s="3263"/>
      <c r="O31" s="3263"/>
      <c r="P31" s="3263"/>
      <c r="Q31" s="3263"/>
      <c r="R31" s="3263"/>
      <c r="S31" s="3263"/>
      <c r="T31" s="5256">
        <f t="shared" ref="T31:AE31" si="147">T60+T90</f>
        <v>482</v>
      </c>
      <c r="U31" s="3263">
        <f t="shared" si="147"/>
        <v>471</v>
      </c>
      <c r="V31" s="3263">
        <f t="shared" si="147"/>
        <v>514</v>
      </c>
      <c r="W31" s="3263">
        <f t="shared" si="147"/>
        <v>491</v>
      </c>
      <c r="X31" s="3263">
        <f t="shared" si="147"/>
        <v>1137</v>
      </c>
      <c r="Y31" s="3263">
        <f t="shared" si="147"/>
        <v>618</v>
      </c>
      <c r="Z31" s="3263">
        <f t="shared" si="147"/>
        <v>510</v>
      </c>
      <c r="AA31" s="3263">
        <f t="shared" si="147"/>
        <v>545</v>
      </c>
      <c r="AB31" s="3263">
        <f t="shared" si="147"/>
        <v>833</v>
      </c>
      <c r="AC31" s="3263">
        <f t="shared" si="147"/>
        <v>490</v>
      </c>
      <c r="AD31" s="3263">
        <f t="shared" si="147"/>
        <v>544</v>
      </c>
      <c r="AE31" s="3263">
        <f t="shared" si="147"/>
        <v>1247</v>
      </c>
      <c r="AF31" s="5257">
        <f t="shared" si="127"/>
        <v>7882</v>
      </c>
      <c r="AG31" s="5257">
        <f t="shared" si="127"/>
        <v>656.83333333333337</v>
      </c>
      <c r="AH31" s="5257"/>
      <c r="AI31" s="5258">
        <f t="shared" ref="AI31:AT31" si="148">AI60+AI90</f>
        <v>465</v>
      </c>
      <c r="AJ31" s="5257">
        <f t="shared" si="148"/>
        <v>504</v>
      </c>
      <c r="AK31" s="5257">
        <f t="shared" si="148"/>
        <v>595</v>
      </c>
      <c r="AL31" s="5257">
        <f t="shared" si="148"/>
        <v>553</v>
      </c>
      <c r="AM31" s="5257">
        <f t="shared" si="148"/>
        <v>1040</v>
      </c>
      <c r="AN31" s="5257">
        <f t="shared" si="148"/>
        <v>551</v>
      </c>
      <c r="AO31" s="5257">
        <f t="shared" si="148"/>
        <v>567</v>
      </c>
      <c r="AP31" s="5257">
        <f t="shared" si="148"/>
        <v>658</v>
      </c>
      <c r="AQ31" s="5257">
        <f t="shared" si="148"/>
        <v>806</v>
      </c>
      <c r="AR31" s="5257">
        <f t="shared" si="148"/>
        <v>679</v>
      </c>
      <c r="AS31" s="5257">
        <f t="shared" si="148"/>
        <v>939</v>
      </c>
      <c r="AT31" s="3263">
        <f t="shared" si="148"/>
        <v>1705</v>
      </c>
      <c r="AU31" s="5257">
        <f t="shared" si="120"/>
        <v>9062</v>
      </c>
      <c r="AV31" s="5259">
        <f t="shared" si="129"/>
        <v>668.81818181818176</v>
      </c>
      <c r="AW31" s="5256">
        <f t="shared" si="130"/>
        <v>817</v>
      </c>
      <c r="AX31" s="5257">
        <f t="shared" si="130"/>
        <v>655</v>
      </c>
      <c r="AY31" s="5257">
        <f t="shared" si="130"/>
        <v>627</v>
      </c>
      <c r="AZ31" s="5257">
        <v>670</v>
      </c>
      <c r="BA31" s="5257">
        <f t="shared" ref="BA31:BB31" si="149">BA60+BA90</f>
        <v>696</v>
      </c>
      <c r="BB31" s="5257">
        <f t="shared" si="149"/>
        <v>1140</v>
      </c>
      <c r="BC31" s="5257">
        <f t="shared" ref="BC31:BD31" si="150">BC60+BC90</f>
        <v>703</v>
      </c>
      <c r="BD31" s="5257">
        <f t="shared" si="150"/>
        <v>753</v>
      </c>
      <c r="BE31" s="5257">
        <f t="shared" ref="BE31:BF31" si="151">BE60+BE90</f>
        <v>593</v>
      </c>
      <c r="BF31" s="5257">
        <f t="shared" si="151"/>
        <v>594</v>
      </c>
      <c r="BG31" s="5257">
        <f t="shared" ref="BG31:BH31" si="152">BG60+BG90</f>
        <v>570</v>
      </c>
      <c r="BH31" s="5257">
        <f t="shared" si="152"/>
        <v>658</v>
      </c>
      <c r="BI31" s="5257">
        <f t="shared" si="124"/>
        <v>8476</v>
      </c>
      <c r="BJ31" s="5259">
        <f t="shared" si="135"/>
        <v>710.72727272727275</v>
      </c>
      <c r="BL31" s="5234">
        <f t="shared" si="7"/>
        <v>-1047</v>
      </c>
      <c r="BM31" s="5234">
        <f t="shared" si="8"/>
        <v>41.909090909090992</v>
      </c>
      <c r="BN31" s="5255">
        <f t="shared" si="125"/>
        <v>-311</v>
      </c>
    </row>
    <row r="32" spans="1:74" ht="18" customHeight="1" x14ac:dyDescent="0.55000000000000004">
      <c r="A32" s="7156"/>
      <c r="B32" s="7157"/>
      <c r="C32" s="2493" t="s">
        <v>49</v>
      </c>
      <c r="D32" s="2493"/>
      <c r="E32" s="5125"/>
      <c r="F32" s="5256"/>
      <c r="G32" s="3263"/>
      <c r="H32" s="3263"/>
      <c r="I32" s="3263"/>
      <c r="J32" s="3263"/>
      <c r="K32" s="3263"/>
      <c r="L32" s="3263"/>
      <c r="M32" s="3263"/>
      <c r="N32" s="3263"/>
      <c r="O32" s="3263"/>
      <c r="P32" s="3263"/>
      <c r="Q32" s="3263"/>
      <c r="R32" s="3263"/>
      <c r="S32" s="3263"/>
      <c r="T32" s="5256">
        <f t="shared" ref="T32:AE32" si="153">T61+T91</f>
        <v>6736</v>
      </c>
      <c r="U32" s="3263">
        <f t="shared" si="153"/>
        <v>10073</v>
      </c>
      <c r="V32" s="3263">
        <f t="shared" si="153"/>
        <v>6946</v>
      </c>
      <c r="W32" s="3263">
        <f t="shared" si="153"/>
        <v>7102</v>
      </c>
      <c r="X32" s="3263">
        <f t="shared" si="153"/>
        <v>6999</v>
      </c>
      <c r="Y32" s="3263">
        <f t="shared" si="153"/>
        <v>6130</v>
      </c>
      <c r="Z32" s="3263">
        <f t="shared" si="153"/>
        <v>6569</v>
      </c>
      <c r="AA32" s="3263">
        <f t="shared" si="153"/>
        <v>12470</v>
      </c>
      <c r="AB32" s="3263">
        <f t="shared" si="153"/>
        <v>5074</v>
      </c>
      <c r="AC32" s="3263">
        <f t="shared" si="153"/>
        <v>5749</v>
      </c>
      <c r="AD32" s="3263">
        <f t="shared" si="153"/>
        <v>5994</v>
      </c>
      <c r="AE32" s="3263">
        <f t="shared" si="153"/>
        <v>5314</v>
      </c>
      <c r="AF32" s="5257">
        <f t="shared" si="127"/>
        <v>85156</v>
      </c>
      <c r="AG32" s="5257">
        <f t="shared" si="127"/>
        <v>7096.3333333333339</v>
      </c>
      <c r="AH32" s="5257"/>
      <c r="AI32" s="5258">
        <f t="shared" ref="AI32:AT32" si="154">AI61+AI91</f>
        <v>15433</v>
      </c>
      <c r="AJ32" s="5257">
        <f t="shared" si="154"/>
        <v>7828</v>
      </c>
      <c r="AK32" s="5257">
        <f t="shared" si="154"/>
        <v>14349</v>
      </c>
      <c r="AL32" s="5257">
        <f t="shared" si="154"/>
        <v>18031</v>
      </c>
      <c r="AM32" s="5257">
        <f t="shared" si="154"/>
        <v>18825</v>
      </c>
      <c r="AN32" s="5257">
        <f t="shared" si="154"/>
        <v>17325</v>
      </c>
      <c r="AO32" s="5257">
        <f t="shared" si="154"/>
        <v>23731</v>
      </c>
      <c r="AP32" s="5257">
        <f t="shared" si="154"/>
        <v>22069</v>
      </c>
      <c r="AQ32" s="5257">
        <f t="shared" si="154"/>
        <v>29504</v>
      </c>
      <c r="AR32" s="5257">
        <f t="shared" si="154"/>
        <v>28773</v>
      </c>
      <c r="AS32" s="5257">
        <f t="shared" si="154"/>
        <v>27537</v>
      </c>
      <c r="AT32" s="3263">
        <f t="shared" si="154"/>
        <v>22939</v>
      </c>
      <c r="AU32" s="5257">
        <f t="shared" si="120"/>
        <v>246344</v>
      </c>
      <c r="AV32" s="5259">
        <f t="shared" si="129"/>
        <v>20309.545454545456</v>
      </c>
      <c r="AW32" s="5256">
        <f t="shared" si="130"/>
        <v>23467</v>
      </c>
      <c r="AX32" s="5257">
        <f t="shared" si="130"/>
        <v>38940</v>
      </c>
      <c r="AY32" s="5257">
        <f t="shared" si="130"/>
        <v>27386</v>
      </c>
      <c r="AZ32" s="5257">
        <v>32570</v>
      </c>
      <c r="BA32" s="5257">
        <f t="shared" ref="BA32:BB32" si="155">BA61+BA91</f>
        <v>45777</v>
      </c>
      <c r="BB32" s="5257">
        <f t="shared" si="155"/>
        <v>36821</v>
      </c>
      <c r="BC32" s="5257">
        <f t="shared" ref="BC32:BD32" si="156">BC61+BC91</f>
        <v>45176</v>
      </c>
      <c r="BD32" s="5257">
        <f t="shared" si="156"/>
        <v>35306</v>
      </c>
      <c r="BE32" s="5257">
        <f t="shared" ref="BE32:BF32" si="157">BE61+BE91</f>
        <v>40578</v>
      </c>
      <c r="BF32" s="5257">
        <f t="shared" si="157"/>
        <v>37765</v>
      </c>
      <c r="BG32" s="5257">
        <f t="shared" ref="BG32:BH32" si="158">BG61+BG91</f>
        <v>31122</v>
      </c>
      <c r="BH32" s="5257">
        <f t="shared" si="158"/>
        <v>32788</v>
      </c>
      <c r="BI32" s="5257">
        <f t="shared" si="124"/>
        <v>427697</v>
      </c>
      <c r="BJ32" s="5259">
        <f t="shared" si="135"/>
        <v>35900.818181818184</v>
      </c>
      <c r="BL32" s="5234">
        <f t="shared" si="7"/>
        <v>9849</v>
      </c>
      <c r="BM32" s="5234">
        <f t="shared" si="8"/>
        <v>15591.272727272728</v>
      </c>
      <c r="BN32" s="5255">
        <f t="shared" si="125"/>
        <v>9527</v>
      </c>
    </row>
    <row r="33" spans="1:69" ht="18" customHeight="1" x14ac:dyDescent="0.55000000000000004">
      <c r="A33" s="7156"/>
      <c r="B33" s="7157"/>
      <c r="C33" s="2493" t="s">
        <v>50</v>
      </c>
      <c r="D33" s="2493"/>
      <c r="E33" s="5125"/>
      <c r="F33" s="5682"/>
      <c r="G33" s="5683"/>
      <c r="H33" s="5683"/>
      <c r="I33" s="5683"/>
      <c r="J33" s="3263"/>
      <c r="K33" s="3263"/>
      <c r="L33" s="3263"/>
      <c r="M33" s="3263"/>
      <c r="N33" s="3263"/>
      <c r="O33" s="3263"/>
      <c r="P33" s="3263"/>
      <c r="Q33" s="3263"/>
      <c r="R33" s="3263"/>
      <c r="S33" s="3263"/>
      <c r="T33" s="5256">
        <f t="shared" ref="T33:AE33" si="159">T62+T92</f>
        <v>6098</v>
      </c>
      <c r="U33" s="3263">
        <f t="shared" si="159"/>
        <v>5254</v>
      </c>
      <c r="V33" s="3263">
        <f t="shared" si="159"/>
        <v>5914</v>
      </c>
      <c r="W33" s="3263">
        <f t="shared" si="159"/>
        <v>4644</v>
      </c>
      <c r="X33" s="3263">
        <f t="shared" si="159"/>
        <v>4938</v>
      </c>
      <c r="Y33" s="3263">
        <f t="shared" si="159"/>
        <v>5051</v>
      </c>
      <c r="Z33" s="3263">
        <f t="shared" si="159"/>
        <v>4920</v>
      </c>
      <c r="AA33" s="3263">
        <f t="shared" si="159"/>
        <v>5284</v>
      </c>
      <c r="AB33" s="3263">
        <f t="shared" si="159"/>
        <v>4718</v>
      </c>
      <c r="AC33" s="3263">
        <f t="shared" si="159"/>
        <v>14622</v>
      </c>
      <c r="AD33" s="3263">
        <f t="shared" si="159"/>
        <v>5882</v>
      </c>
      <c r="AE33" s="3263">
        <f t="shared" si="159"/>
        <v>4904</v>
      </c>
      <c r="AF33" s="5257">
        <f t="shared" si="127"/>
        <v>72229</v>
      </c>
      <c r="AG33" s="5257">
        <f t="shared" si="127"/>
        <v>6019.083333333333</v>
      </c>
      <c r="AH33" s="5257"/>
      <c r="AI33" s="5258">
        <f t="shared" ref="AI33:AT33" si="160">AI62+AI92</f>
        <v>2690</v>
      </c>
      <c r="AJ33" s="5257">
        <f t="shared" si="160"/>
        <v>2209</v>
      </c>
      <c r="AK33" s="5257">
        <f t="shared" si="160"/>
        <v>2409</v>
      </c>
      <c r="AL33" s="5257">
        <f t="shared" si="160"/>
        <v>2355</v>
      </c>
      <c r="AM33" s="5257">
        <f t="shared" si="160"/>
        <v>2656</v>
      </c>
      <c r="AN33" s="5257">
        <f t="shared" si="160"/>
        <v>2474</v>
      </c>
      <c r="AO33" s="5257">
        <f t="shared" si="160"/>
        <v>3343</v>
      </c>
      <c r="AP33" s="5257">
        <f t="shared" si="160"/>
        <v>4147</v>
      </c>
      <c r="AQ33" s="5257">
        <f t="shared" si="160"/>
        <v>3475</v>
      </c>
      <c r="AR33" s="5257">
        <f t="shared" si="160"/>
        <v>3596</v>
      </c>
      <c r="AS33" s="5257">
        <f t="shared" si="160"/>
        <v>3705</v>
      </c>
      <c r="AT33" s="3263">
        <f t="shared" si="160"/>
        <v>3650</v>
      </c>
      <c r="AU33" s="5257">
        <f t="shared" si="120"/>
        <v>36709</v>
      </c>
      <c r="AV33" s="5259">
        <f t="shared" si="129"/>
        <v>3005.3636363636365</v>
      </c>
      <c r="AW33" s="5256">
        <f t="shared" si="130"/>
        <v>3325</v>
      </c>
      <c r="AX33" s="5257">
        <f t="shared" si="130"/>
        <v>3327</v>
      </c>
      <c r="AY33" s="5257">
        <f t="shared" si="130"/>
        <v>3382</v>
      </c>
      <c r="AZ33" s="5257">
        <v>3119</v>
      </c>
      <c r="BA33" s="5257">
        <f t="shared" ref="BA33:BB33" si="161">BA62+BA92</f>
        <v>4019</v>
      </c>
      <c r="BB33" s="5257">
        <f t="shared" si="161"/>
        <v>3857</v>
      </c>
      <c r="BC33" s="5257">
        <f t="shared" ref="BC33:BD33" si="162">BC62+BC92</f>
        <v>3448</v>
      </c>
      <c r="BD33" s="5257">
        <f t="shared" si="162"/>
        <v>5247</v>
      </c>
      <c r="BE33" s="5257">
        <f t="shared" ref="BE33:BF33" si="163">BE62+BE92</f>
        <v>3997</v>
      </c>
      <c r="BF33" s="5257">
        <f t="shared" si="163"/>
        <v>4540</v>
      </c>
      <c r="BG33" s="5257">
        <f t="shared" ref="BG33:BH33" si="164">BG62+BG92</f>
        <v>4768</v>
      </c>
      <c r="BH33" s="5257">
        <f t="shared" si="164"/>
        <v>5307</v>
      </c>
      <c r="BI33" s="5257">
        <f t="shared" si="124"/>
        <v>48336</v>
      </c>
      <c r="BJ33" s="5259">
        <f t="shared" si="135"/>
        <v>3911.727272727273</v>
      </c>
      <c r="BL33" s="5234">
        <f t="shared" si="7"/>
        <v>1657</v>
      </c>
      <c r="BM33" s="5234">
        <f t="shared" si="8"/>
        <v>906.36363636363649</v>
      </c>
      <c r="BN33" s="5255">
        <f t="shared" si="125"/>
        <v>408</v>
      </c>
    </row>
    <row r="34" spans="1:69" x14ac:dyDescent="0.55000000000000004">
      <c r="A34" s="7156"/>
      <c r="B34" s="7157"/>
      <c r="C34" s="2493" t="s">
        <v>768</v>
      </c>
      <c r="D34" s="2493"/>
      <c r="E34" s="5125"/>
      <c r="F34" s="5256"/>
      <c r="G34" s="3263"/>
      <c r="H34" s="3263"/>
      <c r="I34" s="3263"/>
      <c r="J34" s="3263"/>
      <c r="K34" s="3263"/>
      <c r="L34" s="3263"/>
      <c r="M34" s="3263"/>
      <c r="N34" s="3263"/>
      <c r="O34" s="3263"/>
      <c r="P34" s="3263"/>
      <c r="Q34" s="3263"/>
      <c r="R34" s="3263"/>
      <c r="S34" s="3263"/>
      <c r="T34" s="5256">
        <f t="shared" ref="T34:AE34" si="165">T63+T93</f>
        <v>0</v>
      </c>
      <c r="U34" s="3263">
        <f t="shared" si="165"/>
        <v>0</v>
      </c>
      <c r="V34" s="3263">
        <f t="shared" si="165"/>
        <v>0</v>
      </c>
      <c r="W34" s="3263">
        <f t="shared" si="165"/>
        <v>0</v>
      </c>
      <c r="X34" s="3263">
        <f t="shared" si="165"/>
        <v>0</v>
      </c>
      <c r="Y34" s="3263">
        <f t="shared" si="165"/>
        <v>0</v>
      </c>
      <c r="Z34" s="3263">
        <f t="shared" si="165"/>
        <v>0</v>
      </c>
      <c r="AA34" s="3263">
        <f t="shared" si="165"/>
        <v>0</v>
      </c>
      <c r="AB34" s="3263">
        <f t="shared" si="165"/>
        <v>0</v>
      </c>
      <c r="AC34" s="3263">
        <f t="shared" si="165"/>
        <v>0</v>
      </c>
      <c r="AD34" s="3263">
        <f t="shared" si="165"/>
        <v>0</v>
      </c>
      <c r="AE34" s="3263">
        <f t="shared" si="165"/>
        <v>0</v>
      </c>
      <c r="AF34" s="5257">
        <f>AF63+AF93</f>
        <v>0</v>
      </c>
      <c r="AG34" s="5257">
        <v>0</v>
      </c>
      <c r="AH34" s="5257"/>
      <c r="AI34" s="5258">
        <f t="shared" ref="AI34:AT34" si="166">AI63+AI93</f>
        <v>0</v>
      </c>
      <c r="AJ34" s="5257">
        <f t="shared" si="166"/>
        <v>2954</v>
      </c>
      <c r="AK34" s="5257">
        <f t="shared" si="166"/>
        <v>1926</v>
      </c>
      <c r="AL34" s="5257">
        <f t="shared" si="166"/>
        <v>17</v>
      </c>
      <c r="AM34" s="5257">
        <f t="shared" si="166"/>
        <v>10</v>
      </c>
      <c r="AN34" s="5257">
        <f t="shared" si="166"/>
        <v>12</v>
      </c>
      <c r="AO34" s="5257">
        <f t="shared" si="166"/>
        <v>13</v>
      </c>
      <c r="AP34" s="5257">
        <f t="shared" si="166"/>
        <v>0</v>
      </c>
      <c r="AQ34" s="5257">
        <f t="shared" si="166"/>
        <v>0</v>
      </c>
      <c r="AR34" s="5257">
        <f t="shared" si="166"/>
        <v>0</v>
      </c>
      <c r="AS34" s="5257">
        <f t="shared" si="166"/>
        <v>0</v>
      </c>
      <c r="AT34" s="5257">
        <f t="shared" si="166"/>
        <v>0</v>
      </c>
      <c r="AU34" s="5257">
        <f t="shared" si="120"/>
        <v>4932</v>
      </c>
      <c r="AV34" s="5259">
        <f t="shared" si="129"/>
        <v>493.2</v>
      </c>
      <c r="AW34" s="5256">
        <f t="shared" si="130"/>
        <v>0</v>
      </c>
      <c r="AX34" s="5257">
        <f t="shared" si="130"/>
        <v>-10</v>
      </c>
      <c r="AY34" s="5257">
        <f t="shared" si="130"/>
        <v>-7</v>
      </c>
      <c r="AZ34" s="5257">
        <v>0</v>
      </c>
      <c r="BA34" s="5257">
        <f t="shared" ref="BA34:BF34" si="167">BA63+BA93</f>
        <v>-4</v>
      </c>
      <c r="BB34" s="5257">
        <f t="shared" si="167"/>
        <v>-3</v>
      </c>
      <c r="BC34" s="5257">
        <f t="shared" ref="BC34:BD34" si="168">BC63+BC93</f>
        <v>0</v>
      </c>
      <c r="BD34" s="5257">
        <f t="shared" si="168"/>
        <v>0</v>
      </c>
      <c r="BE34" s="5257">
        <f t="shared" ref="BE34" si="169">BE63+BE93</f>
        <v>0</v>
      </c>
      <c r="BF34" s="5257">
        <f t="shared" si="167"/>
        <v>0</v>
      </c>
      <c r="BG34" s="5257">
        <f t="shared" ref="BG34:BH34" si="170">BG63+BG93</f>
        <v>0</v>
      </c>
      <c r="BH34" s="5257">
        <f t="shared" si="170"/>
        <v>0</v>
      </c>
      <c r="BI34" s="5257">
        <f t="shared" si="124"/>
        <v>-25</v>
      </c>
      <c r="BJ34" s="5259">
        <f t="shared" si="135"/>
        <v>0</v>
      </c>
      <c r="BL34" s="5234">
        <f t="shared" si="7"/>
        <v>0</v>
      </c>
      <c r="BM34" s="5234">
        <f t="shared" si="8"/>
        <v>-493.2</v>
      </c>
      <c r="BN34" s="5255">
        <f t="shared" si="125"/>
        <v>-2954</v>
      </c>
    </row>
    <row r="35" spans="1:69" ht="18" customHeight="1" x14ac:dyDescent="0.55000000000000004">
      <c r="A35" s="7158"/>
      <c r="B35" s="7159"/>
      <c r="C35" s="3425" t="s">
        <v>51</v>
      </c>
      <c r="D35" s="3749"/>
      <c r="E35" s="5269"/>
      <c r="F35" s="5268"/>
      <c r="G35" s="5269"/>
      <c r="H35" s="5269"/>
      <c r="I35" s="5269"/>
      <c r="J35" s="5269"/>
      <c r="K35" s="5269"/>
      <c r="L35" s="5269"/>
      <c r="M35" s="5269"/>
      <c r="N35" s="5269"/>
      <c r="O35" s="5269"/>
      <c r="P35" s="5269"/>
      <c r="Q35" s="5269"/>
      <c r="R35" s="5269"/>
      <c r="S35" s="5269"/>
      <c r="T35" s="5268">
        <f t="shared" ref="T35:AE35" si="171">T64+T94</f>
        <v>-266</v>
      </c>
      <c r="U35" s="5269">
        <f t="shared" si="171"/>
        <v>998</v>
      </c>
      <c r="V35" s="5269">
        <f t="shared" si="171"/>
        <v>-1084</v>
      </c>
      <c r="W35" s="5269">
        <f t="shared" si="171"/>
        <v>-727</v>
      </c>
      <c r="X35" s="5269">
        <f t="shared" si="171"/>
        <v>-2023</v>
      </c>
      <c r="Y35" s="5269">
        <f t="shared" si="171"/>
        <v>-2428</v>
      </c>
      <c r="Z35" s="5269">
        <f t="shared" si="171"/>
        <v>-320</v>
      </c>
      <c r="AA35" s="5269">
        <f t="shared" si="171"/>
        <v>-60</v>
      </c>
      <c r="AB35" s="5269">
        <f t="shared" si="171"/>
        <v>499</v>
      </c>
      <c r="AC35" s="5269">
        <f t="shared" si="171"/>
        <v>3956</v>
      </c>
      <c r="AD35" s="5269">
        <f t="shared" si="171"/>
        <v>-468</v>
      </c>
      <c r="AE35" s="5269">
        <f t="shared" si="171"/>
        <v>-2316</v>
      </c>
      <c r="AF35" s="5270">
        <f>AF64+AF94</f>
        <v>-4239</v>
      </c>
      <c r="AG35" s="5270">
        <f>AG64+AG94</f>
        <v>-353.24999999999977</v>
      </c>
      <c r="AH35" s="5270"/>
      <c r="AI35" s="5294">
        <f t="shared" ref="AI35:AT35" si="172">AI64+AI94</f>
        <v>1436</v>
      </c>
      <c r="AJ35" s="5270">
        <f t="shared" si="172"/>
        <v>2224</v>
      </c>
      <c r="AK35" s="5270">
        <f t="shared" si="172"/>
        <v>-1256</v>
      </c>
      <c r="AL35" s="5270">
        <f t="shared" si="172"/>
        <v>-2134</v>
      </c>
      <c r="AM35" s="5270">
        <f t="shared" si="172"/>
        <v>-2481</v>
      </c>
      <c r="AN35" s="5270">
        <f t="shared" si="172"/>
        <v>-2896</v>
      </c>
      <c r="AO35" s="5270">
        <f t="shared" si="172"/>
        <v>-2608</v>
      </c>
      <c r="AP35" s="5270">
        <f t="shared" si="172"/>
        <v>-8680</v>
      </c>
      <c r="AQ35" s="5270">
        <f t="shared" si="172"/>
        <v>828</v>
      </c>
      <c r="AR35" s="5270">
        <f t="shared" si="172"/>
        <v>-3907</v>
      </c>
      <c r="AS35" s="5270">
        <f t="shared" si="172"/>
        <v>-12131</v>
      </c>
      <c r="AT35" s="5269">
        <f t="shared" si="172"/>
        <v>-11658</v>
      </c>
      <c r="AU35" s="5270">
        <f t="shared" si="120"/>
        <v>-43263</v>
      </c>
      <c r="AV35" s="5272">
        <f t="shared" si="129"/>
        <v>-3605.25</v>
      </c>
      <c r="AW35" s="5268">
        <f>AW64+AW94</f>
        <v>-10370</v>
      </c>
      <c r="AX35" s="5270">
        <f t="shared" si="130"/>
        <v>-5955</v>
      </c>
      <c r="AY35" s="5270">
        <f t="shared" si="130"/>
        <v>-9990</v>
      </c>
      <c r="AZ35" s="5270">
        <v>-5786</v>
      </c>
      <c r="BA35" s="5270">
        <f t="shared" ref="BA35:BB35" si="173">BA64+BA94</f>
        <v>9125</v>
      </c>
      <c r="BB35" s="5270">
        <f t="shared" si="173"/>
        <v>-6981</v>
      </c>
      <c r="BC35" s="5270">
        <f t="shared" ref="BC35:BD35" si="174">BC64+BC94</f>
        <v>-1843</v>
      </c>
      <c r="BD35" s="5270">
        <f t="shared" si="174"/>
        <v>-12653</v>
      </c>
      <c r="BE35" s="5270">
        <f t="shared" ref="BE35" si="175">BE64+BE94</f>
        <v>-4823</v>
      </c>
      <c r="BF35" s="5270">
        <f>BF64+BF94</f>
        <v>-9514</v>
      </c>
      <c r="BG35" s="5270">
        <f>BG64+BG94</f>
        <v>-10867</v>
      </c>
      <c r="BH35" s="5270">
        <f>BH64+BH94</f>
        <v>-11344</v>
      </c>
      <c r="BI35" s="5270">
        <f t="shared" si="124"/>
        <v>-81001</v>
      </c>
      <c r="BJ35" s="5272">
        <f t="shared" si="135"/>
        <v>-6750.0833333333339</v>
      </c>
      <c r="BL35" s="5234">
        <f t="shared" si="7"/>
        <v>314</v>
      </c>
      <c r="BM35" s="5234">
        <f t="shared" si="8"/>
        <v>-3144.8333333333339</v>
      </c>
      <c r="BN35" s="5255">
        <f t="shared" si="125"/>
        <v>-15004</v>
      </c>
      <c r="BQ35" s="5234">
        <f>SUM(AW35:BH35)-SUM(AI35:AT35)</f>
        <v>-37738</v>
      </c>
    </row>
    <row r="36" spans="1:69" ht="18" customHeight="1" x14ac:dyDescent="0.55000000000000004">
      <c r="A36" s="7130" t="s">
        <v>769</v>
      </c>
      <c r="B36" s="7143"/>
      <c r="C36" s="5674" t="s">
        <v>44</v>
      </c>
      <c r="D36" s="5675"/>
      <c r="E36" s="5676">
        <v>782978</v>
      </c>
      <c r="F36" s="5677">
        <v>768363</v>
      </c>
      <c r="G36" s="5676">
        <v>738921</v>
      </c>
      <c r="H36" s="5676">
        <v>737423</v>
      </c>
      <c r="I36" s="5676">
        <v>736538</v>
      </c>
      <c r="J36" s="5676">
        <v>735645</v>
      </c>
      <c r="K36" s="5676">
        <v>757878</v>
      </c>
      <c r="L36" s="5676">
        <v>757376</v>
      </c>
      <c r="M36" s="5676">
        <v>758364</v>
      </c>
      <c r="N36" s="5676">
        <v>778832</v>
      </c>
      <c r="O36" s="5676">
        <v>779564</v>
      </c>
      <c r="P36" s="5676">
        <v>779860</v>
      </c>
      <c r="Q36" s="5676">
        <v>791484</v>
      </c>
      <c r="R36" s="5676">
        <v>791484</v>
      </c>
      <c r="S36" s="5676">
        <f>AVERAGE(F36:Q36)</f>
        <v>760020.66666666663</v>
      </c>
      <c r="T36" s="5677">
        <v>789472</v>
      </c>
      <c r="U36" s="5676">
        <v>790070</v>
      </c>
      <c r="V36" s="5676">
        <v>799122</v>
      </c>
      <c r="W36" s="5676">
        <v>801458</v>
      </c>
      <c r="X36" s="5676">
        <v>800083</v>
      </c>
      <c r="Y36" s="5676">
        <v>798629</v>
      </c>
      <c r="Z36" s="5676">
        <v>795832</v>
      </c>
      <c r="AA36" s="5676">
        <v>794214</v>
      </c>
      <c r="AB36" s="5676">
        <v>791477</v>
      </c>
      <c r="AC36" s="5676">
        <v>788802</v>
      </c>
      <c r="AD36" s="5676">
        <v>786051</v>
      </c>
      <c r="AE36" s="5676">
        <v>782803</v>
      </c>
      <c r="AF36" s="5678">
        <v>782803</v>
      </c>
      <c r="AG36" s="5678">
        <f>AVERAGE(T36:AE36)</f>
        <v>793167.75</v>
      </c>
      <c r="AH36" s="5678"/>
      <c r="AI36" s="5684">
        <v>749129</v>
      </c>
      <c r="AJ36" s="5678">
        <v>748834</v>
      </c>
      <c r="AK36" s="5678">
        <v>748987</v>
      </c>
      <c r="AL36" s="5678">
        <v>747221</v>
      </c>
      <c r="AM36" s="5678">
        <v>747650</v>
      </c>
      <c r="AN36" s="5678">
        <v>750317</v>
      </c>
      <c r="AO36" s="5678">
        <v>752257</v>
      </c>
      <c r="AP36" s="5678">
        <v>755901</v>
      </c>
      <c r="AQ36" s="5678">
        <v>756168</v>
      </c>
      <c r="AR36" s="5678">
        <v>751500</v>
      </c>
      <c r="AS36" s="5678">
        <v>756006</v>
      </c>
      <c r="AT36" s="5676">
        <v>755811</v>
      </c>
      <c r="AU36" s="5678">
        <f>INDEX($AI36:$AT36, 1, MATCH(0, $AI36:$AT36, -1))</f>
        <v>755811</v>
      </c>
      <c r="AV36" s="5680">
        <f>AVERAGE(AI36:AT36)</f>
        <v>751648.41666666663</v>
      </c>
      <c r="AW36" s="5677">
        <f>778895-AW46</f>
        <v>751971</v>
      </c>
      <c r="AX36" s="5678">
        <f>(779406-AX46)</f>
        <v>752950</v>
      </c>
      <c r="AY36" s="5678">
        <v>752266</v>
      </c>
      <c r="AZ36" s="5678">
        <v>754111</v>
      </c>
      <c r="BA36" s="5678">
        <v>766608</v>
      </c>
      <c r="BB36" s="5678">
        <v>764910</v>
      </c>
      <c r="BC36" s="5678">
        <v>762687</v>
      </c>
      <c r="BD36" s="5678">
        <v>758312</v>
      </c>
      <c r="BE36" s="5678">
        <v>753607</v>
      </c>
      <c r="BF36" s="5678">
        <v>748268</v>
      </c>
      <c r="BG36" s="5678">
        <v>742935</v>
      </c>
      <c r="BH36" s="5678">
        <v>734795</v>
      </c>
      <c r="BI36" s="5676">
        <f>INDEX($AW36:$BH36, 1, MATCH(0, $AW36:$BH36, -1))</f>
        <v>734795</v>
      </c>
      <c r="BJ36" s="5680">
        <f>AVERAGE(AW36:BH36)</f>
        <v>753618.33333333337</v>
      </c>
      <c r="BL36" s="5234">
        <f t="shared" si="7"/>
        <v>-21016</v>
      </c>
      <c r="BM36" s="5234">
        <f t="shared" si="8"/>
        <v>1969.9166666667443</v>
      </c>
      <c r="BN36" s="5235">
        <f>AX36-AJ36</f>
        <v>4116</v>
      </c>
      <c r="BO36" s="5234" t="b">
        <v>1</v>
      </c>
    </row>
    <row r="37" spans="1:69" ht="18" customHeight="1" x14ac:dyDescent="0.55000000000000004">
      <c r="A37" s="7132"/>
      <c r="B37" s="7144"/>
      <c r="C37" s="5460" t="s">
        <v>57</v>
      </c>
      <c r="D37" s="3512"/>
      <c r="E37" s="5262">
        <f>E38+E39</f>
        <v>18877</v>
      </c>
      <c r="F37" s="5261">
        <f t="shared" ref="F37:S37" si="176">F38+F39</f>
        <v>19153</v>
      </c>
      <c r="G37" s="5262">
        <f t="shared" si="176"/>
        <v>20216</v>
      </c>
      <c r="H37" s="5262">
        <f t="shared" si="176"/>
        <v>18486</v>
      </c>
      <c r="I37" s="5262">
        <f t="shared" si="176"/>
        <v>18602</v>
      </c>
      <c r="J37" s="5262">
        <f t="shared" si="176"/>
        <v>18370</v>
      </c>
      <c r="K37" s="5262">
        <f t="shared" si="176"/>
        <v>20561</v>
      </c>
      <c r="L37" s="5262">
        <f t="shared" si="176"/>
        <v>17116</v>
      </c>
      <c r="M37" s="5262">
        <f t="shared" si="176"/>
        <v>25488</v>
      </c>
      <c r="N37" s="5262">
        <f t="shared" si="176"/>
        <v>16739</v>
      </c>
      <c r="O37" s="5262">
        <f t="shared" si="176"/>
        <v>25748</v>
      </c>
      <c r="P37" s="5262">
        <f t="shared" si="176"/>
        <v>18052</v>
      </c>
      <c r="Q37" s="5262">
        <f t="shared" si="176"/>
        <v>15241</v>
      </c>
      <c r="R37" s="5262">
        <f t="shared" si="176"/>
        <v>233772</v>
      </c>
      <c r="S37" s="5262">
        <f t="shared" si="176"/>
        <v>19481</v>
      </c>
      <c r="T37" s="5261">
        <v>16143</v>
      </c>
      <c r="U37" s="5262">
        <v>22113</v>
      </c>
      <c r="V37" s="5262">
        <v>17491</v>
      </c>
      <c r="W37" s="5262">
        <v>16184</v>
      </c>
      <c r="X37" s="5262">
        <v>17751</v>
      </c>
      <c r="Y37" s="5262">
        <v>16531</v>
      </c>
      <c r="Z37" s="5262">
        <v>14914</v>
      </c>
      <c r="AA37" s="5262">
        <v>25019</v>
      </c>
      <c r="AB37" s="5262">
        <v>12348</v>
      </c>
      <c r="AC37" s="5262">
        <v>22323</v>
      </c>
      <c r="AD37" s="5262">
        <v>15153</v>
      </c>
      <c r="AE37" s="5262">
        <v>13005</v>
      </c>
      <c r="AF37" s="5263">
        <f>SUM(T37:AE37)</f>
        <v>208975</v>
      </c>
      <c r="AG37" s="5263">
        <f>AVERAGE(T37:AE37)</f>
        <v>17414.583333333332</v>
      </c>
      <c r="AH37" s="5263"/>
      <c r="AI37" s="5685">
        <v>23395</v>
      </c>
      <c r="AJ37" s="5263">
        <v>14757</v>
      </c>
      <c r="AK37" s="5263">
        <v>16162</v>
      </c>
      <c r="AL37" s="5263">
        <v>15877</v>
      </c>
      <c r="AM37" s="5263">
        <v>16155.999999999998</v>
      </c>
      <c r="AN37" s="5263">
        <v>14590.999999999998</v>
      </c>
      <c r="AO37" s="5263">
        <v>21829.999999999993</v>
      </c>
      <c r="AP37" s="5263">
        <v>16249.000000000002</v>
      </c>
      <c r="AQ37" s="5263">
        <v>20549</v>
      </c>
      <c r="AR37" s="5263">
        <v>16254</v>
      </c>
      <c r="AS37" s="5263">
        <v>15024</v>
      </c>
      <c r="AT37" s="5262">
        <v>13168</v>
      </c>
      <c r="AU37" s="5263">
        <f>SUM(AI37:AT37)</f>
        <v>204012</v>
      </c>
      <c r="AV37" s="5265">
        <f>AVERAGE(AI37:AT37)</f>
        <v>17001</v>
      </c>
      <c r="AW37" s="5261">
        <f>11930</f>
        <v>11930</v>
      </c>
      <c r="AX37" s="5263">
        <f t="shared" ref="AX37:AY37" si="177">AX38+AX39</f>
        <v>25000</v>
      </c>
      <c r="AY37" s="5263">
        <f t="shared" si="177"/>
        <v>17145</v>
      </c>
      <c r="AZ37" s="5263">
        <f>AZ38+AZ39</f>
        <v>22356</v>
      </c>
      <c r="BA37" s="5263">
        <f>BA38+BA39</f>
        <v>29195</v>
      </c>
      <c r="BB37" s="5263">
        <f>BB38+BB39</f>
        <v>18050</v>
      </c>
      <c r="BC37" s="5263">
        <v>29155</v>
      </c>
      <c r="BD37" s="5263">
        <f>BD38+BD39</f>
        <v>17775</v>
      </c>
      <c r="BE37" s="5263">
        <v>23129</v>
      </c>
      <c r="BF37" s="5263">
        <f>BF38+BF39</f>
        <v>15351</v>
      </c>
      <c r="BG37" s="5263">
        <f>BG38+BG39</f>
        <v>13674</v>
      </c>
      <c r="BH37" s="5263">
        <f>BH38+BH39</f>
        <v>12817</v>
      </c>
      <c r="BI37" s="5263">
        <f>SUM(AW37:BH37)</f>
        <v>235577</v>
      </c>
      <c r="BJ37" s="5265">
        <f>AVERAGE(AW37:BE37)</f>
        <v>21526.111111111109</v>
      </c>
      <c r="BL37" s="5234">
        <f t="shared" si="7"/>
        <v>-351</v>
      </c>
      <c r="BM37" s="5234">
        <f t="shared" si="8"/>
        <v>4525.1111111111095</v>
      </c>
      <c r="BN37" s="5255">
        <f t="shared" ref="BN37:BN45" si="178">HLOOKUP($A$1,$AW$1:$BH$400,ROW(),0)-SUM(AI37:AJ37)</f>
        <v>-25335</v>
      </c>
    </row>
    <row r="38" spans="1:69" ht="18" hidden="1" customHeight="1" x14ac:dyDescent="0.55000000000000004">
      <c r="A38" s="7132"/>
      <c r="B38" s="7144"/>
      <c r="C38" s="2493"/>
      <c r="D38" s="2493" t="s">
        <v>47</v>
      </c>
      <c r="E38" s="5125">
        <v>4416</v>
      </c>
      <c r="F38" s="5256">
        <v>4706</v>
      </c>
      <c r="G38" s="3263">
        <v>4977</v>
      </c>
      <c r="H38" s="3263">
        <v>4941</v>
      </c>
      <c r="I38" s="3263">
        <v>4319</v>
      </c>
      <c r="J38" s="3263">
        <v>4687</v>
      </c>
      <c r="K38" s="3263">
        <v>4632</v>
      </c>
      <c r="L38" s="3263">
        <v>4330</v>
      </c>
      <c r="M38" s="3263">
        <v>4822</v>
      </c>
      <c r="N38" s="3263">
        <v>4715</v>
      </c>
      <c r="O38" s="3263">
        <v>5166</v>
      </c>
      <c r="P38" s="3263">
        <v>4798</v>
      </c>
      <c r="Q38" s="3263">
        <v>4243</v>
      </c>
      <c r="R38" s="3263">
        <f t="shared" ref="R38:R105" si="179">SUM(F38:Q38)</f>
        <v>56336</v>
      </c>
      <c r="S38" s="3263">
        <f>AVERAGE(F38:Q38)</f>
        <v>4694.666666666667</v>
      </c>
      <c r="T38" s="5256">
        <v>4699</v>
      </c>
      <c r="U38" s="3263">
        <v>5506</v>
      </c>
      <c r="V38" s="3263">
        <v>5378</v>
      </c>
      <c r="W38" s="3263">
        <v>3942</v>
      </c>
      <c r="X38" s="3263">
        <v>4290</v>
      </c>
      <c r="Y38" s="3263">
        <v>3962</v>
      </c>
      <c r="Z38" s="3263">
        <v>3779</v>
      </c>
      <c r="AA38" s="3263">
        <v>4457</v>
      </c>
      <c r="AB38" s="3263">
        <v>3172</v>
      </c>
      <c r="AC38" s="3263">
        <v>4109</v>
      </c>
      <c r="AD38" s="3263">
        <v>3459</v>
      </c>
      <c r="AE38" s="3263">
        <v>3094</v>
      </c>
      <c r="AF38" s="5257">
        <f t="shared" ref="AF38:AF45" si="180">SUM(T38:AE38)</f>
        <v>49847</v>
      </c>
      <c r="AG38" s="5257">
        <f t="shared" ref="AG38:AG45" si="181">AVERAGE(T38:AE38)</f>
        <v>4153.916666666667</v>
      </c>
      <c r="AH38" s="5257"/>
      <c r="AI38" s="5686">
        <v>4353</v>
      </c>
      <c r="AJ38" s="5257">
        <v>4063</v>
      </c>
      <c r="AK38" s="5257">
        <v>4998</v>
      </c>
      <c r="AL38" s="5257">
        <v>4397</v>
      </c>
      <c r="AM38" s="5257">
        <v>4386</v>
      </c>
      <c r="AN38" s="5257">
        <v>3905</v>
      </c>
      <c r="AO38" s="5257">
        <v>4509</v>
      </c>
      <c r="AP38" s="5257">
        <v>4054</v>
      </c>
      <c r="AQ38" s="5257">
        <v>4203</v>
      </c>
      <c r="AR38" s="5257">
        <v>3881</v>
      </c>
      <c r="AS38" s="5257">
        <v>3606</v>
      </c>
      <c r="AT38" s="3263"/>
      <c r="AU38" s="5257">
        <f>SUM(AI38:AQ38)</f>
        <v>38868</v>
      </c>
      <c r="AV38" s="5259">
        <f>AVERAGE(AI38:AT38)</f>
        <v>4214.090909090909</v>
      </c>
      <c r="AW38" s="5257">
        <v>3475</v>
      </c>
      <c r="AX38" s="5257">
        <v>5509</v>
      </c>
      <c r="AY38" s="5257">
        <v>5047</v>
      </c>
      <c r="AZ38" s="5257">
        <v>10827</v>
      </c>
      <c r="BA38" s="5257">
        <v>18641</v>
      </c>
      <c r="BB38" s="5257">
        <v>7009</v>
      </c>
      <c r="BC38" s="5257">
        <v>10217</v>
      </c>
      <c r="BD38" s="3263">
        <v>5688</v>
      </c>
      <c r="BE38" s="5257">
        <v>4876</v>
      </c>
      <c r="BF38" s="5257">
        <v>3736.9999999999995</v>
      </c>
      <c r="BG38" s="3263">
        <v>3511.9999999999995</v>
      </c>
      <c r="BH38" s="5257">
        <v>3603.0000000000005</v>
      </c>
      <c r="BI38" s="5257">
        <f>SUM(AW38:BE38)</f>
        <v>71289</v>
      </c>
      <c r="BJ38" s="5259">
        <f>AVERAGE(AW38:BH38)</f>
        <v>6845.083333333333</v>
      </c>
      <c r="BL38" s="5234">
        <f t="shared" si="7"/>
        <v>3603.0000000000005</v>
      </c>
      <c r="BM38" s="5234">
        <f t="shared" si="8"/>
        <v>2630.992424242424</v>
      </c>
      <c r="BN38" s="5255">
        <f t="shared" si="178"/>
        <v>-4813</v>
      </c>
    </row>
    <row r="39" spans="1:69" ht="17.05" hidden="1" customHeight="1" x14ac:dyDescent="0.55000000000000004">
      <c r="A39" s="7132"/>
      <c r="B39" s="7144"/>
      <c r="C39" s="2493"/>
      <c r="D39" s="2493" t="s">
        <v>56</v>
      </c>
      <c r="E39" s="5125">
        <v>14461</v>
      </c>
      <c r="F39" s="5256">
        <v>14447</v>
      </c>
      <c r="G39" s="3263">
        <v>15239</v>
      </c>
      <c r="H39" s="3263">
        <v>13545</v>
      </c>
      <c r="I39" s="3263">
        <v>14283</v>
      </c>
      <c r="J39" s="3263">
        <v>13683</v>
      </c>
      <c r="K39" s="3263">
        <v>15929</v>
      </c>
      <c r="L39" s="3263">
        <v>12786</v>
      </c>
      <c r="M39" s="3263">
        <v>20666</v>
      </c>
      <c r="N39" s="3263">
        <v>12024</v>
      </c>
      <c r="O39" s="3263">
        <v>20582</v>
      </c>
      <c r="P39" s="3263">
        <v>13254</v>
      </c>
      <c r="Q39" s="3263">
        <v>10998</v>
      </c>
      <c r="R39" s="3263">
        <f t="shared" si="179"/>
        <v>177436</v>
      </c>
      <c r="S39" s="3263">
        <f>AVERAGE(F39:Q39)</f>
        <v>14786.333333333334</v>
      </c>
      <c r="T39" s="5256">
        <v>12009</v>
      </c>
      <c r="U39" s="3263">
        <v>18271</v>
      </c>
      <c r="V39" s="3263">
        <v>13117</v>
      </c>
      <c r="W39" s="3263">
        <v>13038</v>
      </c>
      <c r="X39" s="3263">
        <v>14162</v>
      </c>
      <c r="Y39" s="3263">
        <v>13223</v>
      </c>
      <c r="Z39" s="3263">
        <v>11732</v>
      </c>
      <c r="AA39" s="3263">
        <v>21227</v>
      </c>
      <c r="AB39" s="3263">
        <v>9510</v>
      </c>
      <c r="AC39" s="3263">
        <v>18914</v>
      </c>
      <c r="AD39" s="3263">
        <v>11901</v>
      </c>
      <c r="AE39" s="3263">
        <v>10279</v>
      </c>
      <c r="AF39" s="5257">
        <f t="shared" si="180"/>
        <v>167383</v>
      </c>
      <c r="AG39" s="5257">
        <f t="shared" si="181"/>
        <v>13948.583333333334</v>
      </c>
      <c r="AH39" s="5257"/>
      <c r="AI39" s="5686">
        <v>19162</v>
      </c>
      <c r="AJ39" s="5257">
        <v>10533</v>
      </c>
      <c r="AK39" s="5257">
        <v>11411</v>
      </c>
      <c r="AL39" s="5257">
        <v>11723</v>
      </c>
      <c r="AM39" s="5257">
        <v>12094</v>
      </c>
      <c r="AN39" s="5257">
        <v>10890</v>
      </c>
      <c r="AO39" s="5257">
        <v>18002</v>
      </c>
      <c r="AP39" s="5257">
        <v>12404</v>
      </c>
      <c r="AQ39" s="5257">
        <v>16608</v>
      </c>
      <c r="AR39" s="5257">
        <v>12593</v>
      </c>
      <c r="AS39" s="5257">
        <v>11418</v>
      </c>
      <c r="AT39" s="3263"/>
      <c r="AU39" s="5257">
        <f>SUM(AI39:AQ39)</f>
        <v>122827</v>
      </c>
      <c r="AV39" s="5259">
        <f>AVERAGE(AI39:AT39)</f>
        <v>13348.90909090909</v>
      </c>
      <c r="AW39" s="5257">
        <v>8455</v>
      </c>
      <c r="AX39" s="5257">
        <v>19491</v>
      </c>
      <c r="AY39" s="5257">
        <v>12098</v>
      </c>
      <c r="AZ39" s="5257">
        <v>11529</v>
      </c>
      <c r="BA39" s="5257">
        <v>10554</v>
      </c>
      <c r="BB39" s="5257">
        <v>11041</v>
      </c>
      <c r="BC39" s="5257">
        <v>18938</v>
      </c>
      <c r="BD39" s="3263">
        <v>12087</v>
      </c>
      <c r="BE39" s="5257">
        <v>18253</v>
      </c>
      <c r="BF39" s="5257">
        <v>11614</v>
      </c>
      <c r="BG39" s="3263">
        <v>10162</v>
      </c>
      <c r="BH39" s="5257">
        <v>9214</v>
      </c>
      <c r="BI39" s="5257">
        <f>SUM(AW39:BE39)</f>
        <v>122446</v>
      </c>
      <c r="BJ39" s="5259">
        <f>AVERAGE(AW39:BH39)</f>
        <v>12786.333333333334</v>
      </c>
      <c r="BL39" s="5234">
        <f t="shared" ref="BL39:BL70" si="182">HLOOKUP($A$1,$AW$1:$BH$400,ROW(),0)-HLOOKUP($A$1,$AI$1:$AT$400,ROW(),0)</f>
        <v>9214</v>
      </c>
      <c r="BM39" s="5234">
        <f t="shared" ref="BM39:BM70" si="183">BJ39-AV39</f>
        <v>-562.57575757575614</v>
      </c>
      <c r="BN39" s="5255">
        <f t="shared" si="178"/>
        <v>-20481</v>
      </c>
    </row>
    <row r="40" spans="1:69" ht="18" customHeight="1" x14ac:dyDescent="0.55000000000000004">
      <c r="A40" s="7132"/>
      <c r="B40" s="7144"/>
      <c r="C40" s="2493" t="s">
        <v>48</v>
      </c>
      <c r="D40" s="2493"/>
      <c r="E40" s="5125">
        <v>6466</v>
      </c>
      <c r="F40" s="5256">
        <v>5594</v>
      </c>
      <c r="G40" s="3263">
        <v>4497</v>
      </c>
      <c r="H40" s="3263">
        <v>5342</v>
      </c>
      <c r="I40" s="3263">
        <v>4289</v>
      </c>
      <c r="J40" s="3263">
        <v>4393</v>
      </c>
      <c r="K40" s="3263">
        <v>4164</v>
      </c>
      <c r="L40" s="3263">
        <v>4258</v>
      </c>
      <c r="M40" s="3263">
        <v>4593</v>
      </c>
      <c r="N40" s="3263">
        <v>4084</v>
      </c>
      <c r="O40" s="3263">
        <v>4602</v>
      </c>
      <c r="P40" s="3263">
        <v>4325</v>
      </c>
      <c r="Q40" s="3263">
        <v>4931</v>
      </c>
      <c r="R40" s="3263">
        <f t="shared" si="179"/>
        <v>55072</v>
      </c>
      <c r="S40" s="3263">
        <f t="shared" ref="S40:S105" si="184">AVERAGE(F40:Q40)</f>
        <v>4589.333333333333</v>
      </c>
      <c r="T40" s="5256">
        <v>4562</v>
      </c>
      <c r="U40" s="3263">
        <v>4830</v>
      </c>
      <c r="V40" s="3263">
        <v>4688</v>
      </c>
      <c r="W40" s="3263">
        <v>4921</v>
      </c>
      <c r="X40" s="3263">
        <v>5592</v>
      </c>
      <c r="Y40" s="3263">
        <v>5213</v>
      </c>
      <c r="Z40" s="3263">
        <v>5502</v>
      </c>
      <c r="AA40" s="3263">
        <v>6086</v>
      </c>
      <c r="AB40" s="3263">
        <v>4923</v>
      </c>
      <c r="AC40" s="3263">
        <v>5993</v>
      </c>
      <c r="AD40" s="3263">
        <v>5445</v>
      </c>
      <c r="AE40" s="3263">
        <v>5459</v>
      </c>
      <c r="AF40" s="5257">
        <f t="shared" si="180"/>
        <v>63214</v>
      </c>
      <c r="AG40" s="5257">
        <f>AVERAGE(T40:AE40)</f>
        <v>5267.833333333333</v>
      </c>
      <c r="AH40" s="5257"/>
      <c r="AI40" s="5686">
        <v>4986</v>
      </c>
      <c r="AJ40" s="5257">
        <v>4537</v>
      </c>
      <c r="AK40" s="5257">
        <v>4780</v>
      </c>
      <c r="AL40" s="5257">
        <v>4591</v>
      </c>
      <c r="AM40" s="5257">
        <v>4955</v>
      </c>
      <c r="AN40" s="5257">
        <v>4217</v>
      </c>
      <c r="AO40" s="5257">
        <v>4860</v>
      </c>
      <c r="AP40" s="5257">
        <v>4735</v>
      </c>
      <c r="AQ40" s="5257">
        <v>4577</v>
      </c>
      <c r="AR40" s="5257">
        <v>4736</v>
      </c>
      <c r="AS40" s="5257">
        <v>4616</v>
      </c>
      <c r="AT40" s="3263">
        <v>4878</v>
      </c>
      <c r="AU40" s="5257">
        <f>SUM(AI40:AT40)</f>
        <v>56468</v>
      </c>
      <c r="AV40" s="5259">
        <f>AVERAGE(AI40:AS40)</f>
        <v>4690</v>
      </c>
      <c r="AW40" s="5257">
        <v>4258</v>
      </c>
      <c r="AX40" s="5257">
        <v>5159</v>
      </c>
      <c r="AY40" s="5257">
        <v>4681</v>
      </c>
      <c r="AZ40" s="5257">
        <v>4288</v>
      </c>
      <c r="BA40" s="5257">
        <v>3646</v>
      </c>
      <c r="BB40" s="5257">
        <v>4195</v>
      </c>
      <c r="BC40" s="5257">
        <v>5672</v>
      </c>
      <c r="BD40" s="5257">
        <v>5374</v>
      </c>
      <c r="BE40" s="5257">
        <v>5187</v>
      </c>
      <c r="BF40" s="5257">
        <v>4551</v>
      </c>
      <c r="BG40" s="3263">
        <v>4269</v>
      </c>
      <c r="BH40" s="5257">
        <v>4838</v>
      </c>
      <c r="BI40" s="5257">
        <f t="shared" ref="BI40:BI45" si="185">SUM(AW40:BH40)</f>
        <v>56118</v>
      </c>
      <c r="BJ40" s="5259">
        <f>AVERAGE(AW40:BG40)</f>
        <v>4661.818181818182</v>
      </c>
      <c r="BL40" s="5234">
        <f t="shared" si="182"/>
        <v>-40</v>
      </c>
      <c r="BM40" s="5234">
        <f t="shared" si="183"/>
        <v>-28.181818181818016</v>
      </c>
      <c r="BN40" s="5255">
        <f t="shared" si="178"/>
        <v>-4685</v>
      </c>
    </row>
    <row r="41" spans="1:69" ht="18" customHeight="1" x14ac:dyDescent="0.55000000000000004">
      <c r="A41" s="7132"/>
      <c r="B41" s="7133"/>
      <c r="C41" s="2648" t="s">
        <v>59</v>
      </c>
      <c r="D41" s="2648"/>
      <c r="E41" s="5687"/>
      <c r="F41" s="5296">
        <v>568</v>
      </c>
      <c r="G41" s="5297">
        <v>255</v>
      </c>
      <c r="H41" s="5297">
        <v>1042</v>
      </c>
      <c r="I41" s="5297">
        <v>301</v>
      </c>
      <c r="J41" s="5297">
        <v>544</v>
      </c>
      <c r="K41" s="5297">
        <v>485</v>
      </c>
      <c r="L41" s="5297">
        <v>339</v>
      </c>
      <c r="M41" s="5297">
        <v>563</v>
      </c>
      <c r="N41" s="5297">
        <v>390</v>
      </c>
      <c r="O41" s="5297">
        <v>338</v>
      </c>
      <c r="P41" s="5297">
        <v>321</v>
      </c>
      <c r="Q41" s="5297">
        <v>1048</v>
      </c>
      <c r="R41" s="5297">
        <f t="shared" si="179"/>
        <v>6194</v>
      </c>
      <c r="S41" s="5297">
        <f t="shared" si="184"/>
        <v>516.16666666666663</v>
      </c>
      <c r="T41" s="5296">
        <v>340</v>
      </c>
      <c r="U41" s="5297">
        <v>338</v>
      </c>
      <c r="V41" s="5297">
        <v>466</v>
      </c>
      <c r="W41" s="5297">
        <v>392</v>
      </c>
      <c r="X41" s="5297">
        <v>811</v>
      </c>
      <c r="Y41" s="5297">
        <v>438</v>
      </c>
      <c r="Z41" s="3263">
        <v>451</v>
      </c>
      <c r="AA41" s="3263">
        <v>451</v>
      </c>
      <c r="AB41" s="3263">
        <v>698</v>
      </c>
      <c r="AC41" s="3263">
        <v>421</v>
      </c>
      <c r="AD41" s="3263">
        <v>509</v>
      </c>
      <c r="AE41" s="3263">
        <v>987</v>
      </c>
      <c r="AF41" s="5257">
        <f t="shared" si="180"/>
        <v>6302</v>
      </c>
      <c r="AG41" s="5257">
        <f t="shared" si="181"/>
        <v>525.16666666666663</v>
      </c>
      <c r="AH41" s="5257"/>
      <c r="AI41" s="5686">
        <v>376</v>
      </c>
      <c r="AJ41" s="5257">
        <v>312</v>
      </c>
      <c r="AK41" s="5257">
        <v>528</v>
      </c>
      <c r="AL41" s="5257">
        <v>430</v>
      </c>
      <c r="AM41" s="5257">
        <v>728</v>
      </c>
      <c r="AN41" s="5257">
        <v>367</v>
      </c>
      <c r="AO41" s="5257">
        <v>424</v>
      </c>
      <c r="AP41" s="5257">
        <v>541</v>
      </c>
      <c r="AQ41" s="5257">
        <v>506</v>
      </c>
      <c r="AR41" s="5257">
        <v>473</v>
      </c>
      <c r="AS41" s="5257">
        <v>390</v>
      </c>
      <c r="AT41" s="3263">
        <v>874</v>
      </c>
      <c r="AU41" s="5257">
        <f>SUM(AI41:AT41)</f>
        <v>5949</v>
      </c>
      <c r="AV41" s="5259">
        <f>AVERAGE(AI41:AS41)</f>
        <v>461.36363636363637</v>
      </c>
      <c r="AW41" s="5257">
        <v>369</v>
      </c>
      <c r="AX41" s="5257">
        <v>361</v>
      </c>
      <c r="AY41" s="5257">
        <v>347</v>
      </c>
      <c r="AZ41" s="5257">
        <v>389</v>
      </c>
      <c r="BA41" s="5257">
        <v>348</v>
      </c>
      <c r="BB41" s="5257">
        <v>687</v>
      </c>
      <c r="BC41" s="5257">
        <v>347</v>
      </c>
      <c r="BD41" s="5257">
        <v>416</v>
      </c>
      <c r="BE41" s="5257">
        <v>423</v>
      </c>
      <c r="BF41" s="5257">
        <v>345</v>
      </c>
      <c r="BG41" s="3263">
        <v>279</v>
      </c>
      <c r="BH41" s="5257">
        <v>393</v>
      </c>
      <c r="BI41" s="5257">
        <f t="shared" si="185"/>
        <v>4704</v>
      </c>
      <c r="BJ41" s="5259">
        <f>AVERAGE(AW41:BG41)</f>
        <v>391.90909090909093</v>
      </c>
      <c r="BL41" s="5234">
        <f t="shared" si="182"/>
        <v>-481</v>
      </c>
      <c r="BM41" s="5234">
        <f t="shared" si="183"/>
        <v>-69.454545454545439</v>
      </c>
      <c r="BN41" s="5255">
        <f t="shared" si="178"/>
        <v>-295</v>
      </c>
    </row>
    <row r="42" spans="1:69" ht="18" customHeight="1" x14ac:dyDescent="0.55000000000000004">
      <c r="A42" s="7132"/>
      <c r="B42" s="7133"/>
      <c r="C42" s="2648" t="s">
        <v>49</v>
      </c>
      <c r="D42" s="2648"/>
      <c r="E42" s="5687"/>
      <c r="F42" s="5296"/>
      <c r="G42" s="5297"/>
      <c r="H42" s="5297"/>
      <c r="I42" s="5297"/>
      <c r="J42" s="5297"/>
      <c r="K42" s="5297"/>
      <c r="L42" s="5297"/>
      <c r="M42" s="5297"/>
      <c r="N42" s="5297"/>
      <c r="O42" s="5297"/>
      <c r="P42" s="5297"/>
      <c r="Q42" s="5297"/>
      <c r="R42" s="5297">
        <f t="shared" si="179"/>
        <v>0</v>
      </c>
      <c r="S42" s="5297" t="e">
        <f t="shared" si="184"/>
        <v>#DIV/0!</v>
      </c>
      <c r="T42" s="5296">
        <f>T37-T40-T43-T45</f>
        <v>11043</v>
      </c>
      <c r="U42" s="5297">
        <f t="shared" ref="U42:AE42" si="186">U37-U40-U43-U45</f>
        <v>14263</v>
      </c>
      <c r="V42" s="5297">
        <f t="shared" si="186"/>
        <v>770</v>
      </c>
      <c r="W42" s="5297">
        <f t="shared" si="186"/>
        <v>6688</v>
      </c>
      <c r="X42" s="5297">
        <f t="shared" si="186"/>
        <v>11257</v>
      </c>
      <c r="Y42" s="5297">
        <f t="shared" si="186"/>
        <v>10313</v>
      </c>
      <c r="Z42" s="3263">
        <f t="shared" si="186"/>
        <v>9547</v>
      </c>
      <c r="AA42" s="3263">
        <f t="shared" si="186"/>
        <v>18036</v>
      </c>
      <c r="AB42" s="3263">
        <f t="shared" si="186"/>
        <v>7956</v>
      </c>
      <c r="AC42" s="3263">
        <f t="shared" si="186"/>
        <v>16700</v>
      </c>
      <c r="AD42" s="3263">
        <f t="shared" si="186"/>
        <v>9986</v>
      </c>
      <c r="AE42" s="3263">
        <f t="shared" si="186"/>
        <v>8689</v>
      </c>
      <c r="AF42" s="5257">
        <f t="shared" si="180"/>
        <v>125248</v>
      </c>
      <c r="AG42" s="5257">
        <f t="shared" si="181"/>
        <v>10437.333333333334</v>
      </c>
      <c r="AH42" s="5257"/>
      <c r="AI42" s="5686">
        <f t="shared" ref="AI42:AT42" si="187">-(AI45-(AI37-AI40-AI43-AI44))</f>
        <v>16223</v>
      </c>
      <c r="AJ42" s="5277">
        <f t="shared" si="187"/>
        <v>8528</v>
      </c>
      <c r="AK42" s="5277">
        <f t="shared" si="187"/>
        <v>8994</v>
      </c>
      <c r="AL42" s="5277">
        <f t="shared" si="187"/>
        <v>10542</v>
      </c>
      <c r="AM42" s="5277">
        <f t="shared" si="187"/>
        <v>8072.9999999999982</v>
      </c>
      <c r="AN42" s="5277">
        <f t="shared" si="187"/>
        <v>4887.9999999999982</v>
      </c>
      <c r="AO42" s="5277">
        <f t="shared" si="187"/>
        <v>9111.9999999999927</v>
      </c>
      <c r="AP42" s="5277">
        <f t="shared" si="187"/>
        <v>3988.0000000000018</v>
      </c>
      <c r="AQ42" s="5277">
        <f t="shared" si="187"/>
        <v>11134</v>
      </c>
      <c r="AR42" s="5277">
        <f t="shared" si="187"/>
        <v>10527</v>
      </c>
      <c r="AS42" s="5277">
        <f t="shared" si="187"/>
        <v>1994</v>
      </c>
      <c r="AT42" s="5277">
        <f t="shared" si="187"/>
        <v>3475</v>
      </c>
      <c r="AU42" s="5257">
        <f>SUM(AI42:AT42)</f>
        <v>97478</v>
      </c>
      <c r="AV42" s="5259">
        <f>AVERAGE(AI42:AS42)</f>
        <v>8545.7272727272721</v>
      </c>
      <c r="AW42" s="5277">
        <f>-(AW45-(AW37-AW40-AW43-AW44))</f>
        <v>7237</v>
      </c>
      <c r="AX42" s="5277">
        <f t="shared" ref="AX42:AZ42" si="188">-(AX45-(AX37-AX40-AX43-AX44))</f>
        <v>14155</v>
      </c>
      <c r="AY42" s="5277">
        <f t="shared" si="188"/>
        <v>9800</v>
      </c>
      <c r="AZ42" s="5277">
        <f t="shared" si="188"/>
        <v>9620</v>
      </c>
      <c r="BA42" s="5277">
        <f>-(BA45-(BA37-BA40-BA43-BA44))</f>
        <v>8723</v>
      </c>
      <c r="BB42" s="5277">
        <f t="shared" ref="BB42:BE42" si="189">-(BB45-(BB37-BB40-BB43-BB44))</f>
        <v>9061</v>
      </c>
      <c r="BC42" s="5277">
        <f t="shared" si="189"/>
        <v>17137</v>
      </c>
      <c r="BD42" s="5277">
        <f t="shared" si="189"/>
        <v>10225</v>
      </c>
      <c r="BE42" s="5277">
        <f t="shared" si="189"/>
        <v>16586</v>
      </c>
      <c r="BF42" s="5277">
        <f>-(BF45-(BF37-BF40-BF43-BF44))</f>
        <v>10427</v>
      </c>
      <c r="BG42" s="5277">
        <f>-(BG45-(BG37-BG40-BG43-BG44))</f>
        <v>8817</v>
      </c>
      <c r="BH42" s="5277">
        <f>-(BH45-(BH37-BH40-BH43-BH44))</f>
        <v>9540</v>
      </c>
      <c r="BI42" s="5257">
        <f t="shared" si="185"/>
        <v>131328</v>
      </c>
      <c r="BJ42" s="5259">
        <f>AVERAGE(AW42:BG42)</f>
        <v>11071.636363636364</v>
      </c>
      <c r="BL42" s="5234">
        <f t="shared" si="182"/>
        <v>6065</v>
      </c>
      <c r="BM42" s="5234">
        <f t="shared" si="183"/>
        <v>2525.9090909090919</v>
      </c>
      <c r="BN42" s="5255">
        <f t="shared" si="178"/>
        <v>-15211</v>
      </c>
    </row>
    <row r="43" spans="1:69" ht="18" customHeight="1" x14ac:dyDescent="0.55000000000000004">
      <c r="A43" s="7132"/>
      <c r="B43" s="7133"/>
      <c r="C43" s="2648" t="s">
        <v>50</v>
      </c>
      <c r="D43" s="2648"/>
      <c r="E43" s="5687"/>
      <c r="F43" s="5296"/>
      <c r="G43" s="5297"/>
      <c r="H43" s="5297"/>
      <c r="I43" s="5297"/>
      <c r="J43" s="5297">
        <v>9965</v>
      </c>
      <c r="K43" s="5297">
        <v>8567</v>
      </c>
      <c r="L43" s="5297">
        <v>9023</v>
      </c>
      <c r="M43" s="5297">
        <v>10343</v>
      </c>
      <c r="N43" s="5297">
        <v>8724</v>
      </c>
      <c r="O43" s="5297">
        <v>10850</v>
      </c>
      <c r="P43" s="5297">
        <v>9180</v>
      </c>
      <c r="Q43" s="5297">
        <v>8267</v>
      </c>
      <c r="R43" s="5297">
        <f t="shared" si="179"/>
        <v>74919</v>
      </c>
      <c r="S43" s="5297">
        <f t="shared" si="184"/>
        <v>9364.875</v>
      </c>
      <c r="T43" s="5296">
        <v>2550</v>
      </c>
      <c r="U43" s="5297">
        <v>2422</v>
      </c>
      <c r="V43" s="5297">
        <v>2981</v>
      </c>
      <c r="W43" s="5297">
        <v>2239</v>
      </c>
      <c r="X43" s="5297">
        <v>2277</v>
      </c>
      <c r="Y43" s="5297">
        <v>2459</v>
      </c>
      <c r="Z43" s="3263">
        <v>2662</v>
      </c>
      <c r="AA43" s="3263">
        <v>2515</v>
      </c>
      <c r="AB43" s="3263">
        <v>2206</v>
      </c>
      <c r="AC43" s="3263">
        <v>2305</v>
      </c>
      <c r="AD43" s="3263">
        <v>2473</v>
      </c>
      <c r="AE43" s="3263">
        <v>2105</v>
      </c>
      <c r="AF43" s="5257">
        <f t="shared" si="180"/>
        <v>29194</v>
      </c>
      <c r="AG43" s="5257">
        <f t="shared" si="181"/>
        <v>2432.8333333333335</v>
      </c>
      <c r="AH43" s="5257"/>
      <c r="AI43" s="5686">
        <v>2124</v>
      </c>
      <c r="AJ43" s="5257">
        <v>1987</v>
      </c>
      <c r="AK43" s="5257">
        <v>2235</v>
      </c>
      <c r="AL43" s="5257">
        <v>2510</v>
      </c>
      <c r="AM43" s="5257">
        <v>2699</v>
      </c>
      <c r="AN43" s="5257">
        <v>2819</v>
      </c>
      <c r="AO43" s="5257">
        <v>5918</v>
      </c>
      <c r="AP43" s="5257">
        <v>3882</v>
      </c>
      <c r="AQ43" s="5257">
        <v>4571</v>
      </c>
      <c r="AR43" s="5257">
        <v>5659</v>
      </c>
      <c r="AS43" s="5257">
        <v>3908</v>
      </c>
      <c r="AT43" s="3263">
        <v>5010</v>
      </c>
      <c r="AU43" s="5257">
        <f>SUM(AI43:AT43)</f>
        <v>43322</v>
      </c>
      <c r="AV43" s="5259">
        <f>AVERAGE(AI43:AS43)</f>
        <v>3482.909090909091</v>
      </c>
      <c r="AW43" s="5257">
        <v>4275</v>
      </c>
      <c r="AX43" s="5257">
        <v>4697</v>
      </c>
      <c r="AY43" s="5257">
        <v>3341</v>
      </c>
      <c r="AZ43" s="5257">
        <v>6602</v>
      </c>
      <c r="BA43" s="5257">
        <v>4325</v>
      </c>
      <c r="BB43" s="5257">
        <v>6489</v>
      </c>
      <c r="BC43" s="5257">
        <v>8569</v>
      </c>
      <c r="BD43" s="3263">
        <v>6551</v>
      </c>
      <c r="BE43" s="5257">
        <v>6061</v>
      </c>
      <c r="BF43" s="5257">
        <v>5712</v>
      </c>
      <c r="BG43" s="5257">
        <v>5921</v>
      </c>
      <c r="BH43" s="5257">
        <v>6579</v>
      </c>
      <c r="BI43" s="5257">
        <f t="shared" si="185"/>
        <v>69122</v>
      </c>
      <c r="BJ43" s="5259">
        <f>AVERAGE(AW43:BG43)</f>
        <v>5685.727272727273</v>
      </c>
      <c r="BL43" s="5234">
        <f t="shared" si="182"/>
        <v>1569</v>
      </c>
      <c r="BM43" s="5234">
        <f t="shared" si="183"/>
        <v>2202.818181818182</v>
      </c>
      <c r="BN43" s="5255">
        <f t="shared" si="178"/>
        <v>2468</v>
      </c>
    </row>
    <row r="44" spans="1:69" ht="18" customHeight="1" x14ac:dyDescent="0.55000000000000004">
      <c r="A44" s="7132"/>
      <c r="B44" s="7133"/>
      <c r="C44" s="2648" t="s">
        <v>768</v>
      </c>
      <c r="D44" s="2648"/>
      <c r="E44" s="5687"/>
      <c r="F44" s="5296"/>
      <c r="G44" s="5297"/>
      <c r="H44" s="5297"/>
      <c r="I44" s="5297"/>
      <c r="J44" s="5297"/>
      <c r="K44" s="5297"/>
      <c r="L44" s="5297"/>
      <c r="M44" s="5297"/>
      <c r="N44" s="5297"/>
      <c r="O44" s="5297"/>
      <c r="P44" s="5297"/>
      <c r="Q44" s="5297"/>
      <c r="R44" s="5297">
        <f t="shared" si="179"/>
        <v>0</v>
      </c>
      <c r="S44" s="5297" t="e">
        <f t="shared" si="184"/>
        <v>#DIV/0!</v>
      </c>
      <c r="T44" s="5296"/>
      <c r="U44" s="5297"/>
      <c r="V44" s="5297"/>
      <c r="W44" s="5297"/>
      <c r="X44" s="5297"/>
      <c r="Y44" s="5297"/>
      <c r="Z44" s="3263"/>
      <c r="AA44" s="3263"/>
      <c r="AB44" s="3263"/>
      <c r="AC44" s="3263"/>
      <c r="AD44" s="3263"/>
      <c r="AE44" s="3263"/>
      <c r="AF44" s="5257"/>
      <c r="AG44" s="5688"/>
      <c r="AH44" s="5257"/>
      <c r="AI44" s="5686"/>
      <c r="AJ44" s="5257"/>
      <c r="AK44" s="5257"/>
      <c r="AL44" s="5257"/>
      <c r="AM44" s="5257"/>
      <c r="AN44" s="5257"/>
      <c r="AO44" s="5257"/>
      <c r="AP44" s="5257"/>
      <c r="AQ44" s="5257"/>
      <c r="AR44" s="5257"/>
      <c r="AS44" s="5257"/>
      <c r="AT44" s="3263"/>
      <c r="AU44" s="5257"/>
      <c r="AV44" s="5689"/>
      <c r="AW44" s="5256"/>
      <c r="AX44" s="5257">
        <v>10</v>
      </c>
      <c r="AY44" s="5257">
        <v>7</v>
      </c>
      <c r="AZ44" s="5257">
        <v>1</v>
      </c>
      <c r="BA44" s="5257">
        <v>4</v>
      </c>
      <c r="BB44" s="5257">
        <v>3</v>
      </c>
      <c r="BC44" s="5257">
        <v>0</v>
      </c>
      <c r="BD44" s="5257">
        <v>0</v>
      </c>
      <c r="BE44" s="5257">
        <v>0</v>
      </c>
      <c r="BF44" s="5257">
        <v>0</v>
      </c>
      <c r="BG44" s="5257">
        <v>0</v>
      </c>
      <c r="BH44" s="5257">
        <v>0</v>
      </c>
      <c r="BI44" s="5257">
        <f t="shared" si="185"/>
        <v>25</v>
      </c>
      <c r="BJ44" s="5259">
        <f>AVERAGE(AW44:BG44)</f>
        <v>2.5</v>
      </c>
      <c r="BL44" s="5234">
        <f t="shared" si="182"/>
        <v>0</v>
      </c>
      <c r="BM44" s="5234">
        <f t="shared" si="183"/>
        <v>2.5</v>
      </c>
      <c r="BN44" s="5255">
        <f t="shared" si="178"/>
        <v>0</v>
      </c>
    </row>
    <row r="45" spans="1:69" ht="18" customHeight="1" x14ac:dyDescent="0.55000000000000004">
      <c r="A45" s="7145"/>
      <c r="B45" s="7146"/>
      <c r="C45" s="5690" t="s">
        <v>51</v>
      </c>
      <c r="D45" s="2655"/>
      <c r="E45" s="5304"/>
      <c r="F45" s="5305">
        <f t="shared" ref="F45:Q45" si="190">F36-E36</f>
        <v>-14615</v>
      </c>
      <c r="G45" s="5304">
        <f t="shared" si="190"/>
        <v>-29442</v>
      </c>
      <c r="H45" s="5304">
        <f t="shared" si="190"/>
        <v>-1498</v>
      </c>
      <c r="I45" s="5304">
        <f t="shared" si="190"/>
        <v>-885</v>
      </c>
      <c r="J45" s="5304">
        <f t="shared" si="190"/>
        <v>-893</v>
      </c>
      <c r="K45" s="5304">
        <f t="shared" si="190"/>
        <v>22233</v>
      </c>
      <c r="L45" s="5304">
        <f t="shared" si="190"/>
        <v>-502</v>
      </c>
      <c r="M45" s="5304">
        <f t="shared" si="190"/>
        <v>988</v>
      </c>
      <c r="N45" s="5304">
        <f t="shared" si="190"/>
        <v>20468</v>
      </c>
      <c r="O45" s="5304">
        <f t="shared" si="190"/>
        <v>732</v>
      </c>
      <c r="P45" s="5304">
        <f t="shared" si="190"/>
        <v>296</v>
      </c>
      <c r="Q45" s="5304">
        <f t="shared" si="190"/>
        <v>11624</v>
      </c>
      <c r="R45" s="5304">
        <f t="shared" si="179"/>
        <v>8506</v>
      </c>
      <c r="S45" s="5304">
        <f t="shared" si="184"/>
        <v>708.83333333333337</v>
      </c>
      <c r="T45" s="5305">
        <f>T36-Q36</f>
        <v>-2012</v>
      </c>
      <c r="U45" s="5304">
        <f t="shared" ref="U45:AE45" si="191">U36-T36</f>
        <v>598</v>
      </c>
      <c r="V45" s="5304">
        <f t="shared" si="191"/>
        <v>9052</v>
      </c>
      <c r="W45" s="5304">
        <f t="shared" si="191"/>
        <v>2336</v>
      </c>
      <c r="X45" s="5304">
        <f t="shared" si="191"/>
        <v>-1375</v>
      </c>
      <c r="Y45" s="5304">
        <f t="shared" si="191"/>
        <v>-1454</v>
      </c>
      <c r="Z45" s="5269">
        <f t="shared" si="191"/>
        <v>-2797</v>
      </c>
      <c r="AA45" s="5269">
        <f t="shared" si="191"/>
        <v>-1618</v>
      </c>
      <c r="AB45" s="5269">
        <f t="shared" si="191"/>
        <v>-2737</v>
      </c>
      <c r="AC45" s="5269">
        <f t="shared" si="191"/>
        <v>-2675</v>
      </c>
      <c r="AD45" s="5269">
        <f t="shared" si="191"/>
        <v>-2751</v>
      </c>
      <c r="AE45" s="5269">
        <f t="shared" si="191"/>
        <v>-3248</v>
      </c>
      <c r="AF45" s="5270">
        <f t="shared" si="180"/>
        <v>-8681</v>
      </c>
      <c r="AG45" s="5270">
        <f t="shared" si="181"/>
        <v>-723.41666666666663</v>
      </c>
      <c r="AH45" s="5270"/>
      <c r="AI45" s="5691">
        <v>62</v>
      </c>
      <c r="AJ45" s="5270">
        <v>-295</v>
      </c>
      <c r="AK45" s="5270">
        <v>153</v>
      </c>
      <c r="AL45" s="5270">
        <v>-1766</v>
      </c>
      <c r="AM45" s="5270">
        <v>429</v>
      </c>
      <c r="AN45" s="5270">
        <v>2667</v>
      </c>
      <c r="AO45" s="5270">
        <v>1940</v>
      </c>
      <c r="AP45" s="5270">
        <v>3644</v>
      </c>
      <c r="AQ45" s="5270">
        <v>267</v>
      </c>
      <c r="AR45" s="5270">
        <v>-4668</v>
      </c>
      <c r="AS45" s="5270">
        <v>4506</v>
      </c>
      <c r="AT45" s="5269">
        <v>-195</v>
      </c>
      <c r="AU45" s="5270">
        <f>SUM(AI45:AT45)</f>
        <v>6744</v>
      </c>
      <c r="AV45" s="5272">
        <f>AVERAGE(AI45:AT45)</f>
        <v>562</v>
      </c>
      <c r="AW45" s="5268">
        <f>AW36-AT36</f>
        <v>-3840</v>
      </c>
      <c r="AX45" s="5270">
        <f>AX36-AW36</f>
        <v>979</v>
      </c>
      <c r="AY45" s="5270">
        <f t="shared" ref="AY45:BA45" si="192">AY36-AX36</f>
        <v>-684</v>
      </c>
      <c r="AZ45" s="5270">
        <f t="shared" si="192"/>
        <v>1845</v>
      </c>
      <c r="BA45" s="5270">
        <f t="shared" si="192"/>
        <v>12497</v>
      </c>
      <c r="BB45" s="5270">
        <f t="shared" ref="BB45" si="193">BB36-BA36</f>
        <v>-1698</v>
      </c>
      <c r="BC45" s="5270">
        <f t="shared" ref="BC45" si="194">BC36-BB36</f>
        <v>-2223</v>
      </c>
      <c r="BD45" s="5270">
        <f t="shared" ref="BD45" si="195">BD36-BC36</f>
        <v>-4375</v>
      </c>
      <c r="BE45" s="5270">
        <v>-4705</v>
      </c>
      <c r="BF45" s="5270">
        <f>BF36-BE36</f>
        <v>-5339</v>
      </c>
      <c r="BG45" s="5270">
        <f>BG36-BF36</f>
        <v>-5333</v>
      </c>
      <c r="BH45" s="5270">
        <f>BH36-BG36</f>
        <v>-8140</v>
      </c>
      <c r="BI45" s="5270">
        <f t="shared" si="185"/>
        <v>-21016</v>
      </c>
      <c r="BJ45" s="5272">
        <f>AVERAGE(AW45:BH45)</f>
        <v>-1751.3333333333333</v>
      </c>
      <c r="BL45" s="5234">
        <f t="shared" si="182"/>
        <v>-7945</v>
      </c>
      <c r="BM45" s="5234">
        <f t="shared" si="183"/>
        <v>-2313.333333333333</v>
      </c>
      <c r="BN45" s="5255">
        <f t="shared" si="178"/>
        <v>-7907</v>
      </c>
    </row>
    <row r="46" spans="1:69" ht="17.5" customHeight="1" x14ac:dyDescent="0.55000000000000004">
      <c r="A46" s="7130" t="s">
        <v>1093</v>
      </c>
      <c r="B46" s="7131"/>
      <c r="C46" s="5692" t="s">
        <v>44</v>
      </c>
      <c r="D46" s="5693"/>
      <c r="E46" s="5694">
        <v>782978</v>
      </c>
      <c r="F46" s="5695">
        <v>768363</v>
      </c>
      <c r="G46" s="5694">
        <v>738921</v>
      </c>
      <c r="H46" s="5694">
        <v>737423</v>
      </c>
      <c r="I46" s="5694">
        <v>736538</v>
      </c>
      <c r="J46" s="5694">
        <v>735645</v>
      </c>
      <c r="K46" s="5694">
        <v>757878</v>
      </c>
      <c r="L46" s="5694">
        <v>757376</v>
      </c>
      <c r="M46" s="5694">
        <v>758364</v>
      </c>
      <c r="N46" s="5694">
        <v>778832</v>
      </c>
      <c r="O46" s="5694">
        <v>779564</v>
      </c>
      <c r="P46" s="5694">
        <v>779860</v>
      </c>
      <c r="Q46" s="5694">
        <v>791484</v>
      </c>
      <c r="R46" s="5694">
        <v>791484</v>
      </c>
      <c r="S46" s="5694">
        <f>AVERAGE(F46:Q46)</f>
        <v>760020.66666666663</v>
      </c>
      <c r="T46" s="5695"/>
      <c r="U46" s="5694"/>
      <c r="V46" s="5694"/>
      <c r="W46" s="5694"/>
      <c r="X46" s="5694"/>
      <c r="Y46" s="5694"/>
      <c r="Z46" s="5676"/>
      <c r="AA46" s="5676"/>
      <c r="AB46" s="5676"/>
      <c r="AC46" s="5676"/>
      <c r="AD46" s="5676"/>
      <c r="AE46" s="5676"/>
      <c r="AF46" s="5696"/>
      <c r="AG46" s="5696"/>
      <c r="AH46" s="5696"/>
      <c r="AI46" s="5697">
        <v>33736</v>
      </c>
      <c r="AJ46" s="5676">
        <v>32878</v>
      </c>
      <c r="AK46" s="5676">
        <v>32324</v>
      </c>
      <c r="AL46" s="5676">
        <v>31758</v>
      </c>
      <c r="AM46" s="5676">
        <v>31143</v>
      </c>
      <c r="AN46" s="5676">
        <v>30580</v>
      </c>
      <c r="AO46" s="5676">
        <v>30333</v>
      </c>
      <c r="AP46" s="5676">
        <v>29924</v>
      </c>
      <c r="AQ46" s="5676">
        <v>29357</v>
      </c>
      <c r="AR46" s="5676">
        <v>28795</v>
      </c>
      <c r="AS46" s="5676">
        <v>28123</v>
      </c>
      <c r="AT46" s="5676">
        <v>27438</v>
      </c>
      <c r="AU46" s="5676">
        <f>AT46</f>
        <v>27438</v>
      </c>
      <c r="AV46" s="5680">
        <f>AVERAGE(AI46:AT46)</f>
        <v>30532.416666666668</v>
      </c>
      <c r="AW46" s="5677">
        <v>26924</v>
      </c>
      <c r="AX46" s="5678">
        <v>26456</v>
      </c>
      <c r="AY46" s="5678">
        <v>25615</v>
      </c>
      <c r="AZ46" s="5678">
        <v>25136</v>
      </c>
      <c r="BA46" s="5678">
        <v>24622</v>
      </c>
      <c r="BB46" s="5678">
        <v>24074</v>
      </c>
      <c r="BC46" s="5678">
        <v>23853</v>
      </c>
      <c r="BD46" s="5678">
        <v>23189</v>
      </c>
      <c r="BE46" s="5678">
        <v>22536</v>
      </c>
      <c r="BF46" s="5678">
        <v>21871</v>
      </c>
      <c r="BG46" s="5678">
        <v>21183</v>
      </c>
      <c r="BH46" s="5678">
        <v>20417</v>
      </c>
      <c r="BI46" s="5676">
        <f>INDEX($AW46:$BH46, 1, MATCH(0, $AW46:$BH46, -1))</f>
        <v>20417</v>
      </c>
      <c r="BJ46" s="5680">
        <f>AVERAGE(AW46:BH46)</f>
        <v>23823</v>
      </c>
      <c r="BL46" s="5234">
        <f t="shared" si="182"/>
        <v>-7021</v>
      </c>
      <c r="BM46" s="5234">
        <f t="shared" si="183"/>
        <v>-6709.4166666666679</v>
      </c>
      <c r="BN46" s="5235">
        <f>AX46-AJ46</f>
        <v>-6422</v>
      </c>
    </row>
    <row r="47" spans="1:69" ht="18" customHeight="1" x14ac:dyDescent="0.55000000000000004">
      <c r="A47" s="7132"/>
      <c r="B47" s="7133"/>
      <c r="C47" s="3626" t="s">
        <v>57</v>
      </c>
      <c r="D47" s="3520"/>
      <c r="E47" s="5300">
        <f>E48+E49</f>
        <v>18877</v>
      </c>
      <c r="F47" s="5299">
        <f t="shared" ref="F47:S47" si="196">F48+F49</f>
        <v>19153</v>
      </c>
      <c r="G47" s="5300">
        <f t="shared" si="196"/>
        <v>20216</v>
      </c>
      <c r="H47" s="5300">
        <f t="shared" si="196"/>
        <v>18486</v>
      </c>
      <c r="I47" s="5300">
        <f t="shared" si="196"/>
        <v>18602</v>
      </c>
      <c r="J47" s="5300">
        <f t="shared" si="196"/>
        <v>18370</v>
      </c>
      <c r="K47" s="5300">
        <f t="shared" si="196"/>
        <v>20561</v>
      </c>
      <c r="L47" s="5300">
        <f t="shared" si="196"/>
        <v>17116</v>
      </c>
      <c r="M47" s="5300">
        <f t="shared" si="196"/>
        <v>25488</v>
      </c>
      <c r="N47" s="5300">
        <f t="shared" si="196"/>
        <v>16739</v>
      </c>
      <c r="O47" s="5300">
        <f t="shared" si="196"/>
        <v>25748</v>
      </c>
      <c r="P47" s="5300">
        <f t="shared" si="196"/>
        <v>18052</v>
      </c>
      <c r="Q47" s="5300">
        <f t="shared" si="196"/>
        <v>15241</v>
      </c>
      <c r="R47" s="5300">
        <f t="shared" si="196"/>
        <v>233772</v>
      </c>
      <c r="S47" s="5300">
        <f t="shared" si="196"/>
        <v>19481</v>
      </c>
      <c r="T47" s="5299"/>
      <c r="U47" s="5300"/>
      <c r="V47" s="5300"/>
      <c r="W47" s="5300"/>
      <c r="X47" s="5300"/>
      <c r="Y47" s="5300"/>
      <c r="Z47" s="5262"/>
      <c r="AA47" s="5262"/>
      <c r="AB47" s="5262"/>
      <c r="AC47" s="5262"/>
      <c r="AD47" s="5262"/>
      <c r="AE47" s="5262"/>
      <c r="AF47" s="5698"/>
      <c r="AG47" s="5698"/>
      <c r="AH47" s="5698"/>
      <c r="AI47" s="5685">
        <v>190</v>
      </c>
      <c r="AJ47" s="5263">
        <v>177</v>
      </c>
      <c r="AK47" s="5263">
        <v>252</v>
      </c>
      <c r="AL47" s="5263">
        <v>239</v>
      </c>
      <c r="AM47" s="5263">
        <v>324</v>
      </c>
      <c r="AN47" s="5263">
        <v>206</v>
      </c>
      <c r="AO47" s="5263">
        <v>678</v>
      </c>
      <c r="AP47" s="5263">
        <v>205</v>
      </c>
      <c r="AQ47" s="5263">
        <v>251</v>
      </c>
      <c r="AR47" s="5263">
        <v>216.99999999999997</v>
      </c>
      <c r="AS47" s="5263">
        <v>145</v>
      </c>
      <c r="AT47" s="5262">
        <v>110</v>
      </c>
      <c r="AU47" s="5263">
        <f>SUM(AI47:AT47)</f>
        <v>2994</v>
      </c>
      <c r="AV47" s="5265">
        <f>AVERAGE(AI47:AT47)</f>
        <v>249.5</v>
      </c>
      <c r="AW47" s="5261">
        <v>154</v>
      </c>
      <c r="AX47" s="5263">
        <v>399</v>
      </c>
      <c r="AY47" s="5263">
        <v>169</v>
      </c>
      <c r="AZ47" s="5263">
        <v>287</v>
      </c>
      <c r="BA47" s="5263">
        <f>BA48+BA49</f>
        <v>430</v>
      </c>
      <c r="BB47" s="5263">
        <f>BB48+BB49</f>
        <v>191</v>
      </c>
      <c r="BC47" s="5263">
        <v>616</v>
      </c>
      <c r="BD47" s="5263">
        <f>BD48+BD49</f>
        <v>192</v>
      </c>
      <c r="BE47" s="5263">
        <v>307</v>
      </c>
      <c r="BF47" s="5263">
        <f>BF48+BF49</f>
        <v>259</v>
      </c>
      <c r="BG47" s="5263">
        <f>BG48+BG49</f>
        <v>193</v>
      </c>
      <c r="BH47" s="5263">
        <f>BH48+BH49</f>
        <v>103</v>
      </c>
      <c r="BI47" s="5263">
        <f>SUM(AW47:BH47)</f>
        <v>3300</v>
      </c>
      <c r="BJ47" s="5265">
        <f>AVERAGE(AW47:BE47)</f>
        <v>305</v>
      </c>
      <c r="BL47" s="5234">
        <f t="shared" si="182"/>
        <v>-7</v>
      </c>
      <c r="BM47" s="5234">
        <f t="shared" si="183"/>
        <v>55.5</v>
      </c>
      <c r="BN47" s="5255">
        <f t="shared" ref="BN47:BN54" si="197">HLOOKUP($A$1,$AW$1:$BH$400,ROW(),0)-SUM(AI47:AJ47)</f>
        <v>-264</v>
      </c>
    </row>
    <row r="48" spans="1:69" ht="18" customHeight="1" x14ac:dyDescent="0.55000000000000004">
      <c r="A48" s="7132"/>
      <c r="B48" s="7133"/>
      <c r="C48" s="2648"/>
      <c r="D48" s="2648" t="s">
        <v>47</v>
      </c>
      <c r="E48" s="5687">
        <v>4416</v>
      </c>
      <c r="F48" s="5296">
        <v>4706</v>
      </c>
      <c r="G48" s="5297">
        <v>4977</v>
      </c>
      <c r="H48" s="5297">
        <v>4941</v>
      </c>
      <c r="I48" s="5297">
        <v>4319</v>
      </c>
      <c r="J48" s="5297">
        <v>4687</v>
      </c>
      <c r="K48" s="5297">
        <v>4632</v>
      </c>
      <c r="L48" s="5297">
        <v>4330</v>
      </c>
      <c r="M48" s="5297">
        <v>4822</v>
      </c>
      <c r="N48" s="5297">
        <v>4715</v>
      </c>
      <c r="O48" s="5297">
        <v>5166</v>
      </c>
      <c r="P48" s="5297">
        <v>4798</v>
      </c>
      <c r="Q48" s="5297">
        <v>4243</v>
      </c>
      <c r="R48" s="5297">
        <f t="shared" ref="R48:R54" si="198">SUM(F48:Q48)</f>
        <v>56336</v>
      </c>
      <c r="S48" s="5297">
        <f t="shared" ref="S48:S54" si="199">AVERAGE(F48:Q48)</f>
        <v>4694.666666666667</v>
      </c>
      <c r="T48" s="5296"/>
      <c r="U48" s="5297"/>
      <c r="V48" s="5297"/>
      <c r="W48" s="5297"/>
      <c r="X48" s="5297"/>
      <c r="Y48" s="5297"/>
      <c r="Z48" s="3263"/>
      <c r="AA48" s="3263"/>
      <c r="AB48" s="3263"/>
      <c r="AC48" s="3263"/>
      <c r="AD48" s="3263"/>
      <c r="AE48" s="3263"/>
      <c r="AF48" s="5698"/>
      <c r="AG48" s="5698"/>
      <c r="AH48" s="5698"/>
      <c r="AI48" s="5698"/>
      <c r="AJ48" s="5698"/>
      <c r="AK48" s="5698"/>
      <c r="AL48" s="5698"/>
      <c r="AM48" s="5698"/>
      <c r="AN48" s="5698"/>
      <c r="AO48" s="5698"/>
      <c r="AP48" s="5698"/>
      <c r="AQ48" s="5698"/>
      <c r="AR48" s="5698"/>
      <c r="AS48" s="5698"/>
      <c r="AT48" s="5698"/>
      <c r="AU48" s="5698"/>
      <c r="AV48" s="5698"/>
      <c r="AW48" s="5256">
        <v>86</v>
      </c>
      <c r="AX48" s="5257">
        <v>109</v>
      </c>
      <c r="AY48" s="5257">
        <v>89</v>
      </c>
      <c r="AZ48" s="5257">
        <v>208</v>
      </c>
      <c r="BA48" s="5257">
        <v>333</v>
      </c>
      <c r="BB48" s="5257">
        <v>118</v>
      </c>
      <c r="BC48" s="5257">
        <v>474</v>
      </c>
      <c r="BD48" s="5293">
        <v>117</v>
      </c>
      <c r="BE48" s="5257">
        <v>145</v>
      </c>
      <c r="BF48" s="5257">
        <v>107</v>
      </c>
      <c r="BG48" s="3263">
        <v>91</v>
      </c>
      <c r="BH48" s="5699">
        <v>41</v>
      </c>
      <c r="BI48" s="5257">
        <f>SUM(AW48:BE48)</f>
        <v>1679</v>
      </c>
      <c r="BJ48" s="5259">
        <f>AVERAGE(AW48:BH48)</f>
        <v>159.83333333333334</v>
      </c>
      <c r="BL48" s="5234">
        <f t="shared" si="182"/>
        <v>41</v>
      </c>
      <c r="BM48" s="5234">
        <f t="shared" si="183"/>
        <v>159.83333333333334</v>
      </c>
      <c r="BN48" s="5255">
        <f t="shared" si="197"/>
        <v>41</v>
      </c>
    </row>
    <row r="49" spans="1:66" ht="17.05" customHeight="1" x14ac:dyDescent="0.55000000000000004">
      <c r="A49" s="7132"/>
      <c r="B49" s="7133"/>
      <c r="C49" s="2648"/>
      <c r="D49" s="2648" t="s">
        <v>56</v>
      </c>
      <c r="E49" s="5687">
        <v>14461</v>
      </c>
      <c r="F49" s="5296">
        <v>14447</v>
      </c>
      <c r="G49" s="5297">
        <v>15239</v>
      </c>
      <c r="H49" s="5297">
        <v>13545</v>
      </c>
      <c r="I49" s="5297">
        <v>14283</v>
      </c>
      <c r="J49" s="5297">
        <v>13683</v>
      </c>
      <c r="K49" s="5297">
        <v>15929</v>
      </c>
      <c r="L49" s="5297">
        <v>12786</v>
      </c>
      <c r="M49" s="5297">
        <v>20666</v>
      </c>
      <c r="N49" s="5297">
        <v>12024</v>
      </c>
      <c r="O49" s="5297">
        <v>20582</v>
      </c>
      <c r="P49" s="5297">
        <v>13254</v>
      </c>
      <c r="Q49" s="5297">
        <v>10998</v>
      </c>
      <c r="R49" s="5297">
        <f t="shared" si="198"/>
        <v>177436</v>
      </c>
      <c r="S49" s="5297">
        <f t="shared" si="199"/>
        <v>14786.333333333334</v>
      </c>
      <c r="T49" s="5296"/>
      <c r="U49" s="5297"/>
      <c r="V49" s="5297"/>
      <c r="W49" s="5297"/>
      <c r="X49" s="5297"/>
      <c r="Y49" s="5297"/>
      <c r="Z49" s="3263"/>
      <c r="AA49" s="3263"/>
      <c r="AB49" s="3263"/>
      <c r="AC49" s="3263"/>
      <c r="AD49" s="3263"/>
      <c r="AE49" s="3263"/>
      <c r="AF49" s="5698"/>
      <c r="AG49" s="5698"/>
      <c r="AH49" s="5698"/>
      <c r="AI49" s="5698"/>
      <c r="AJ49" s="5698"/>
      <c r="AK49" s="5698"/>
      <c r="AL49" s="5698"/>
      <c r="AM49" s="5698"/>
      <c r="AN49" s="5698"/>
      <c r="AO49" s="5698"/>
      <c r="AP49" s="5698"/>
      <c r="AQ49" s="5698"/>
      <c r="AR49" s="5698"/>
      <c r="AS49" s="5698"/>
      <c r="AT49" s="5698"/>
      <c r="AU49" s="5698"/>
      <c r="AV49" s="5698"/>
      <c r="AW49" s="5256">
        <v>68</v>
      </c>
      <c r="AX49" s="5257">
        <v>290</v>
      </c>
      <c r="AY49" s="5257">
        <v>80</v>
      </c>
      <c r="AZ49" s="3263">
        <v>79</v>
      </c>
      <c r="BA49" s="5257">
        <v>97</v>
      </c>
      <c r="BB49" s="5257">
        <v>73</v>
      </c>
      <c r="BC49" s="5257">
        <v>142</v>
      </c>
      <c r="BD49" s="5293">
        <v>75</v>
      </c>
      <c r="BE49" s="5257">
        <v>162</v>
      </c>
      <c r="BF49" s="5257">
        <v>152</v>
      </c>
      <c r="BG49" s="3263">
        <v>102</v>
      </c>
      <c r="BH49" s="5699">
        <v>62</v>
      </c>
      <c r="BI49" s="5257">
        <f>SUM(AW49:BF49)</f>
        <v>1218</v>
      </c>
      <c r="BJ49" s="5259">
        <f>AVERAGE(AW49:BH49)</f>
        <v>115.16666666666667</v>
      </c>
      <c r="BL49" s="5234">
        <f t="shared" si="182"/>
        <v>62</v>
      </c>
      <c r="BM49" s="5234">
        <f t="shared" si="183"/>
        <v>115.16666666666667</v>
      </c>
      <c r="BN49" s="5255">
        <f t="shared" si="197"/>
        <v>62</v>
      </c>
    </row>
    <row r="50" spans="1:66" ht="18" customHeight="1" x14ac:dyDescent="0.45">
      <c r="A50" s="7132"/>
      <c r="B50" s="7133"/>
      <c r="C50" s="2648" t="s">
        <v>48</v>
      </c>
      <c r="D50" s="2648"/>
      <c r="E50" s="5687">
        <v>6466</v>
      </c>
      <c r="F50" s="5296">
        <v>5594</v>
      </c>
      <c r="G50" s="5297">
        <v>4497</v>
      </c>
      <c r="H50" s="5297">
        <v>5342</v>
      </c>
      <c r="I50" s="5297">
        <v>4289</v>
      </c>
      <c r="J50" s="5297">
        <v>4393</v>
      </c>
      <c r="K50" s="5297">
        <v>4164</v>
      </c>
      <c r="L50" s="5297">
        <v>4258</v>
      </c>
      <c r="M50" s="5297">
        <v>4593</v>
      </c>
      <c r="N50" s="5297">
        <v>4084</v>
      </c>
      <c r="O50" s="5297">
        <v>4602</v>
      </c>
      <c r="P50" s="5297">
        <v>4325</v>
      </c>
      <c r="Q50" s="5297">
        <v>4931</v>
      </c>
      <c r="R50" s="5297">
        <f t="shared" si="198"/>
        <v>55072</v>
      </c>
      <c r="S50" s="5297">
        <f t="shared" si="199"/>
        <v>4589.333333333333</v>
      </c>
      <c r="T50" s="5296"/>
      <c r="U50" s="5297"/>
      <c r="V50" s="5297"/>
      <c r="W50" s="5297"/>
      <c r="X50" s="5297"/>
      <c r="Y50" s="5297"/>
      <c r="Z50" s="3263"/>
      <c r="AA50" s="3263"/>
      <c r="AB50" s="3263"/>
      <c r="AC50" s="3263"/>
      <c r="AD50" s="3263"/>
      <c r="AE50" s="3263"/>
      <c r="AF50" s="5698"/>
      <c r="AG50" s="5698"/>
      <c r="AH50" s="5698"/>
      <c r="AI50" s="5700">
        <v>412</v>
      </c>
      <c r="AJ50" s="5701">
        <v>365</v>
      </c>
      <c r="AK50" s="5701">
        <v>375</v>
      </c>
      <c r="AL50" s="5701">
        <v>360</v>
      </c>
      <c r="AM50" s="5701">
        <v>344</v>
      </c>
      <c r="AN50" s="5701">
        <v>327</v>
      </c>
      <c r="AO50" s="5701">
        <v>432</v>
      </c>
      <c r="AP50" s="5701">
        <v>338</v>
      </c>
      <c r="AQ50" s="5701">
        <v>333</v>
      </c>
      <c r="AR50" s="5701">
        <v>321</v>
      </c>
      <c r="AS50" s="5701">
        <v>295</v>
      </c>
      <c r="AT50" s="5701">
        <v>314</v>
      </c>
      <c r="AU50" s="5257">
        <f>SUM(AI50:AT50)</f>
        <v>4216</v>
      </c>
      <c r="AV50" s="5259">
        <f>AVERAGE(AI50:AQ50)</f>
        <v>365.11111111111109</v>
      </c>
      <c r="AW50" s="5256">
        <v>269</v>
      </c>
      <c r="AX50" s="5257">
        <v>388</v>
      </c>
      <c r="AY50" s="5702">
        <v>308</v>
      </c>
      <c r="AZ50" s="5702">
        <v>239</v>
      </c>
      <c r="BA50" s="5702">
        <v>212</v>
      </c>
      <c r="BB50" s="5702">
        <v>238</v>
      </c>
      <c r="BC50" s="5257">
        <v>290</v>
      </c>
      <c r="BD50" s="3263">
        <v>213</v>
      </c>
      <c r="BE50" s="5257">
        <v>287</v>
      </c>
      <c r="BF50" s="5257">
        <v>211</v>
      </c>
      <c r="BG50" s="3263">
        <v>192</v>
      </c>
      <c r="BH50" s="5257">
        <v>222</v>
      </c>
      <c r="BI50" s="5257">
        <f>SUM(AW50:BH50)</f>
        <v>3069</v>
      </c>
      <c r="BJ50" s="5259">
        <f>AVERAGE(AW50:BG50)</f>
        <v>258.81818181818181</v>
      </c>
      <c r="BL50" s="5234">
        <f t="shared" si="182"/>
        <v>-92</v>
      </c>
      <c r="BM50" s="5234">
        <f t="shared" si="183"/>
        <v>-106.29292929292927</v>
      </c>
      <c r="BN50" s="5255">
        <f t="shared" si="197"/>
        <v>-555</v>
      </c>
    </row>
    <row r="51" spans="1:66" ht="18" customHeight="1" x14ac:dyDescent="0.45">
      <c r="A51" s="7132"/>
      <c r="B51" s="7133"/>
      <c r="C51" s="2648" t="s">
        <v>59</v>
      </c>
      <c r="D51" s="2648"/>
      <c r="E51" s="5687"/>
      <c r="F51" s="5296">
        <v>568</v>
      </c>
      <c r="G51" s="5297">
        <v>255</v>
      </c>
      <c r="H51" s="5297">
        <v>1042</v>
      </c>
      <c r="I51" s="5297">
        <v>301</v>
      </c>
      <c r="J51" s="5297">
        <v>544</v>
      </c>
      <c r="K51" s="5297">
        <v>485</v>
      </c>
      <c r="L51" s="5297">
        <v>339</v>
      </c>
      <c r="M51" s="5297">
        <v>563</v>
      </c>
      <c r="N51" s="5297">
        <v>390</v>
      </c>
      <c r="O51" s="5297">
        <v>338</v>
      </c>
      <c r="P51" s="5297">
        <v>321</v>
      </c>
      <c r="Q51" s="5297">
        <v>1048</v>
      </c>
      <c r="R51" s="5297">
        <f t="shared" si="198"/>
        <v>6194</v>
      </c>
      <c r="S51" s="5297">
        <f t="shared" si="199"/>
        <v>516.16666666666663</v>
      </c>
      <c r="T51" s="5296"/>
      <c r="U51" s="5297"/>
      <c r="V51" s="5297"/>
      <c r="W51" s="5297"/>
      <c r="X51" s="5297"/>
      <c r="Y51" s="5297"/>
      <c r="Z51" s="3263"/>
      <c r="AA51" s="3263"/>
      <c r="AB51" s="3263"/>
      <c r="AC51" s="3263"/>
      <c r="AD51" s="3263"/>
      <c r="AE51" s="3263"/>
      <c r="AF51" s="5698"/>
      <c r="AG51" s="5698"/>
      <c r="AH51" s="5698"/>
      <c r="AI51" s="5700">
        <v>25</v>
      </c>
      <c r="AJ51" s="5701">
        <v>25</v>
      </c>
      <c r="AK51" s="5701">
        <v>33</v>
      </c>
      <c r="AL51" s="5701">
        <v>30</v>
      </c>
      <c r="AM51" s="5701">
        <v>48</v>
      </c>
      <c r="AN51" s="5701">
        <v>22</v>
      </c>
      <c r="AO51" s="5701">
        <v>38</v>
      </c>
      <c r="AP51" s="5701">
        <v>24</v>
      </c>
      <c r="AQ51" s="5701">
        <v>36</v>
      </c>
      <c r="AR51" s="5701">
        <v>18</v>
      </c>
      <c r="AS51" s="5701">
        <v>20</v>
      </c>
      <c r="AT51" s="5701">
        <v>38</v>
      </c>
      <c r="AU51" s="5257">
        <f>SUM(AI51:AT51)</f>
        <v>357</v>
      </c>
      <c r="AV51" s="5259">
        <f>AVERAGE(AI51:AQ51)</f>
        <v>31.222222222222221</v>
      </c>
      <c r="AW51" s="5701">
        <v>24</v>
      </c>
      <c r="AX51" s="5257">
        <v>15</v>
      </c>
      <c r="AY51" s="5702">
        <v>12</v>
      </c>
      <c r="AZ51" s="5702">
        <v>15</v>
      </c>
      <c r="BA51" s="5702">
        <v>21</v>
      </c>
      <c r="BB51" s="5702">
        <v>35</v>
      </c>
      <c r="BC51" s="5257">
        <v>13</v>
      </c>
      <c r="BD51" s="3263">
        <v>16</v>
      </c>
      <c r="BE51" s="5257">
        <v>21</v>
      </c>
      <c r="BF51" s="5257">
        <v>15</v>
      </c>
      <c r="BG51" s="3263">
        <v>6</v>
      </c>
      <c r="BH51" s="5257">
        <v>11</v>
      </c>
      <c r="BI51" s="5257">
        <f>SUM(AW51:BH51)</f>
        <v>204</v>
      </c>
      <c r="BJ51" s="5259">
        <f>AVERAGE(AW51:BG51)</f>
        <v>17.545454545454547</v>
      </c>
      <c r="BL51" s="5234">
        <f t="shared" si="182"/>
        <v>-27</v>
      </c>
      <c r="BM51" s="5234">
        <f t="shared" si="183"/>
        <v>-13.676767676767675</v>
      </c>
      <c r="BN51" s="5255">
        <f t="shared" si="197"/>
        <v>-39</v>
      </c>
    </row>
    <row r="52" spans="1:66" ht="18" customHeight="1" x14ac:dyDescent="0.45">
      <c r="A52" s="7132"/>
      <c r="B52" s="7133"/>
      <c r="C52" s="2648" t="s">
        <v>49</v>
      </c>
      <c r="D52" s="2648"/>
      <c r="E52" s="5687"/>
      <c r="F52" s="5296"/>
      <c r="G52" s="5297"/>
      <c r="H52" s="5297"/>
      <c r="I52" s="5297"/>
      <c r="J52" s="5297"/>
      <c r="K52" s="5297"/>
      <c r="L52" s="5297"/>
      <c r="M52" s="5297"/>
      <c r="N52" s="5297"/>
      <c r="O52" s="5297"/>
      <c r="P52" s="5297"/>
      <c r="Q52" s="5297"/>
      <c r="R52" s="5297">
        <f t="shared" si="198"/>
        <v>0</v>
      </c>
      <c r="S52" s="5297" t="e">
        <f t="shared" si="199"/>
        <v>#DIV/0!</v>
      </c>
      <c r="T52" s="5296"/>
      <c r="U52" s="5297"/>
      <c r="V52" s="5297"/>
      <c r="W52" s="5297"/>
      <c r="X52" s="5297"/>
      <c r="Y52" s="5297"/>
      <c r="Z52" s="3263"/>
      <c r="AA52" s="3263"/>
      <c r="AB52" s="3263"/>
      <c r="AC52" s="3263"/>
      <c r="AD52" s="3263"/>
      <c r="AE52" s="3263"/>
      <c r="AF52" s="5698"/>
      <c r="AG52" s="5698"/>
      <c r="AH52" s="5698"/>
      <c r="AI52" s="5700">
        <f>-(AI54-(AI47-AI50-AI53))</f>
        <v>0</v>
      </c>
      <c r="AJ52" s="5257">
        <v>597</v>
      </c>
      <c r="AK52" s="5257">
        <v>371</v>
      </c>
      <c r="AL52" s="5257">
        <v>406</v>
      </c>
      <c r="AM52" s="5257">
        <v>582</v>
      </c>
      <c r="AN52" s="5257">
        <v>423</v>
      </c>
      <c r="AO52" s="5257">
        <v>474</v>
      </c>
      <c r="AP52" s="5257">
        <v>460</v>
      </c>
      <c r="AQ52" s="5257">
        <v>449</v>
      </c>
      <c r="AR52" s="5257">
        <v>372</v>
      </c>
      <c r="AS52" s="5257">
        <v>455</v>
      </c>
      <c r="AT52" s="5257">
        <v>1011</v>
      </c>
      <c r="AU52" s="5257">
        <f>SUM(AI52:AT52)</f>
        <v>5600</v>
      </c>
      <c r="AV52" s="5259">
        <f>AVERAGE(AI52:AQ52)</f>
        <v>418</v>
      </c>
      <c r="AW52" s="5277">
        <f>-(AW54-(AW47-AW50-AW53))</f>
        <v>280</v>
      </c>
      <c r="AX52" s="5277">
        <f t="shared" ref="AX52:BH52" si="200">-(AX54-(AX47-AX50-AX53))</f>
        <v>342</v>
      </c>
      <c r="AY52" s="5277">
        <f t="shared" si="200"/>
        <v>516</v>
      </c>
      <c r="AZ52" s="5277">
        <f t="shared" si="200"/>
        <v>376</v>
      </c>
      <c r="BA52" s="5277">
        <f>-(BA54-(BA47-BA50-BA53))</f>
        <v>350</v>
      </c>
      <c r="BB52" s="5277">
        <f t="shared" si="200"/>
        <v>333</v>
      </c>
      <c r="BC52" s="5277">
        <f t="shared" si="200"/>
        <v>356</v>
      </c>
      <c r="BD52" s="5277">
        <f t="shared" si="200"/>
        <v>414</v>
      </c>
      <c r="BE52" s="5277">
        <f t="shared" si="200"/>
        <v>420</v>
      </c>
      <c r="BF52" s="5277">
        <f t="shared" si="200"/>
        <v>582</v>
      </c>
      <c r="BG52" s="5277">
        <f t="shared" si="200"/>
        <v>359</v>
      </c>
      <c r="BH52" s="5277">
        <f t="shared" si="200"/>
        <v>273</v>
      </c>
      <c r="BI52" s="5257">
        <f>SUM(AW52:BH52)</f>
        <v>4601</v>
      </c>
      <c r="BJ52" s="5259">
        <f>AVERAGE(AW52:BG52)</f>
        <v>393.45454545454544</v>
      </c>
      <c r="BL52" s="5234">
        <f t="shared" si="182"/>
        <v>-738</v>
      </c>
      <c r="BM52" s="5234">
        <f t="shared" si="183"/>
        <v>-24.545454545454561</v>
      </c>
      <c r="BN52" s="5255">
        <f t="shared" si="197"/>
        <v>-324</v>
      </c>
    </row>
    <row r="53" spans="1:66" ht="18" customHeight="1" x14ac:dyDescent="0.45">
      <c r="A53" s="7132"/>
      <c r="B53" s="7133"/>
      <c r="C53" s="2648" t="s">
        <v>50</v>
      </c>
      <c r="D53" s="2648"/>
      <c r="E53" s="5687"/>
      <c r="F53" s="5296"/>
      <c r="G53" s="5297"/>
      <c r="H53" s="5297"/>
      <c r="I53" s="5297"/>
      <c r="J53" s="5297">
        <v>9965</v>
      </c>
      <c r="K53" s="5297">
        <v>8567</v>
      </c>
      <c r="L53" s="5297">
        <v>9023</v>
      </c>
      <c r="M53" s="5297">
        <v>10343</v>
      </c>
      <c r="N53" s="5297">
        <v>8724</v>
      </c>
      <c r="O53" s="5297">
        <v>10850</v>
      </c>
      <c r="P53" s="5297">
        <v>9180</v>
      </c>
      <c r="Q53" s="5297">
        <v>8267</v>
      </c>
      <c r="R53" s="5297">
        <f t="shared" si="198"/>
        <v>74919</v>
      </c>
      <c r="S53" s="5297">
        <f t="shared" si="199"/>
        <v>9364.875</v>
      </c>
      <c r="T53" s="5296"/>
      <c r="U53" s="5297"/>
      <c r="V53" s="5297"/>
      <c r="W53" s="5297"/>
      <c r="X53" s="5297"/>
      <c r="Y53" s="5297"/>
      <c r="Z53" s="3263"/>
      <c r="AA53" s="3263"/>
      <c r="AB53" s="3263"/>
      <c r="AC53" s="3263"/>
      <c r="AD53" s="3263"/>
      <c r="AE53" s="3263"/>
      <c r="AF53" s="5698"/>
      <c r="AG53" s="5698"/>
      <c r="AH53" s="5698"/>
      <c r="AI53" s="5700">
        <v>80</v>
      </c>
      <c r="AJ53" s="5701">
        <v>73</v>
      </c>
      <c r="AK53" s="5701">
        <v>60</v>
      </c>
      <c r="AL53" s="5701">
        <v>39</v>
      </c>
      <c r="AM53" s="5701">
        <v>13</v>
      </c>
      <c r="AN53" s="5701">
        <v>19</v>
      </c>
      <c r="AO53" s="5701">
        <v>19</v>
      </c>
      <c r="AP53" s="5701">
        <v>-184</v>
      </c>
      <c r="AQ53" s="5701">
        <v>36</v>
      </c>
      <c r="AR53" s="5701">
        <v>86</v>
      </c>
      <c r="AS53" s="5701">
        <v>67</v>
      </c>
      <c r="AT53" s="5701">
        <v>-530</v>
      </c>
      <c r="AU53" s="5257">
        <f>SUM(AI53:AT53)</f>
        <v>-222</v>
      </c>
      <c r="AV53" s="5259">
        <f>AVERAGE(AI53:AQ53)</f>
        <v>17.222222222222221</v>
      </c>
      <c r="AW53" s="5701">
        <v>119</v>
      </c>
      <c r="AX53" s="5257">
        <v>137</v>
      </c>
      <c r="AY53" s="5702">
        <v>186</v>
      </c>
      <c r="AZ53" s="5702">
        <v>151</v>
      </c>
      <c r="BA53" s="5702">
        <v>382</v>
      </c>
      <c r="BB53" s="5702">
        <v>168</v>
      </c>
      <c r="BC53" s="5257">
        <v>191</v>
      </c>
      <c r="BD53" s="3263">
        <v>229</v>
      </c>
      <c r="BE53" s="5257">
        <v>253</v>
      </c>
      <c r="BF53" s="5257">
        <v>131</v>
      </c>
      <c r="BG53" s="5257">
        <v>330</v>
      </c>
      <c r="BH53" s="5257">
        <v>374</v>
      </c>
      <c r="BI53" s="5257">
        <f>SUM(AW53:BH53)</f>
        <v>2651</v>
      </c>
      <c r="BJ53" s="5259">
        <f>AVERAGE(AW53:BG53)</f>
        <v>207</v>
      </c>
      <c r="BL53" s="5234">
        <f t="shared" si="182"/>
        <v>904</v>
      </c>
      <c r="BM53" s="5234">
        <f t="shared" si="183"/>
        <v>189.77777777777777</v>
      </c>
      <c r="BN53" s="5255">
        <f t="shared" si="197"/>
        <v>221</v>
      </c>
    </row>
    <row r="54" spans="1:66" ht="18" customHeight="1" thickBot="1" x14ac:dyDescent="0.6">
      <c r="A54" s="7134"/>
      <c r="B54" s="7135"/>
      <c r="C54" s="5345" t="s">
        <v>51</v>
      </c>
      <c r="D54" s="5313"/>
      <c r="E54" s="5324"/>
      <c r="F54" s="5323">
        <f t="shared" ref="F54:Q54" si="201">F46-E46</f>
        <v>-14615</v>
      </c>
      <c r="G54" s="5324">
        <f t="shared" si="201"/>
        <v>-29442</v>
      </c>
      <c r="H54" s="5324">
        <f t="shared" si="201"/>
        <v>-1498</v>
      </c>
      <c r="I54" s="5324">
        <f t="shared" si="201"/>
        <v>-885</v>
      </c>
      <c r="J54" s="5324">
        <f t="shared" si="201"/>
        <v>-893</v>
      </c>
      <c r="K54" s="5324">
        <f t="shared" si="201"/>
        <v>22233</v>
      </c>
      <c r="L54" s="5324">
        <f t="shared" si="201"/>
        <v>-502</v>
      </c>
      <c r="M54" s="5324">
        <f t="shared" si="201"/>
        <v>988</v>
      </c>
      <c r="N54" s="5324">
        <f t="shared" si="201"/>
        <v>20468</v>
      </c>
      <c r="O54" s="5324">
        <f t="shared" si="201"/>
        <v>732</v>
      </c>
      <c r="P54" s="5324">
        <f t="shared" si="201"/>
        <v>296</v>
      </c>
      <c r="Q54" s="5324">
        <f t="shared" si="201"/>
        <v>11624</v>
      </c>
      <c r="R54" s="5324">
        <f t="shared" si="198"/>
        <v>8506</v>
      </c>
      <c r="S54" s="5324">
        <f t="shared" si="199"/>
        <v>708.83333333333337</v>
      </c>
      <c r="T54" s="5323"/>
      <c r="U54" s="5324"/>
      <c r="V54" s="5324"/>
      <c r="W54" s="5324"/>
      <c r="X54" s="5324"/>
      <c r="Y54" s="5324"/>
      <c r="Z54" s="5273"/>
      <c r="AA54" s="5273"/>
      <c r="AB54" s="5273"/>
      <c r="AC54" s="5273"/>
      <c r="AD54" s="5273"/>
      <c r="AE54" s="5273"/>
      <c r="AF54" s="5703"/>
      <c r="AG54" s="5703"/>
      <c r="AH54" s="5703"/>
      <c r="AI54" s="5704">
        <v>-302</v>
      </c>
      <c r="AJ54" s="5318">
        <v>-858</v>
      </c>
      <c r="AK54" s="5318">
        <v>-554</v>
      </c>
      <c r="AL54" s="5318">
        <v>-566</v>
      </c>
      <c r="AM54" s="5318">
        <v>-615</v>
      </c>
      <c r="AN54" s="5318">
        <v>-563</v>
      </c>
      <c r="AO54" s="5318">
        <v>-247</v>
      </c>
      <c r="AP54" s="5318">
        <v>-409</v>
      </c>
      <c r="AQ54" s="5318">
        <v>-567</v>
      </c>
      <c r="AR54" s="5318">
        <v>-562</v>
      </c>
      <c r="AS54" s="5318">
        <v>-672</v>
      </c>
      <c r="AT54" s="5318">
        <v>-685</v>
      </c>
      <c r="AU54" s="5318">
        <f>SUM(AI54:AT54)</f>
        <v>-6600</v>
      </c>
      <c r="AV54" s="5319">
        <f>AVERAGE(AI54:AT54)</f>
        <v>-550</v>
      </c>
      <c r="AW54" s="5268">
        <f>AW46-AT46</f>
        <v>-514</v>
      </c>
      <c r="AX54" s="5270">
        <f>AX46-AW46</f>
        <v>-468</v>
      </c>
      <c r="AY54" s="5270">
        <f t="shared" ref="AY54:BB54" si="202">AY46-AX46</f>
        <v>-841</v>
      </c>
      <c r="AZ54" s="5270">
        <f t="shared" si="202"/>
        <v>-479</v>
      </c>
      <c r="BA54" s="5270">
        <f t="shared" si="202"/>
        <v>-514</v>
      </c>
      <c r="BB54" s="5270">
        <f t="shared" si="202"/>
        <v>-548</v>
      </c>
      <c r="BC54" s="5270">
        <f t="shared" ref="BC54" si="203">BC46-BB46</f>
        <v>-221</v>
      </c>
      <c r="BD54" s="5270">
        <f t="shared" ref="BD54" si="204">BD46-BC46</f>
        <v>-664</v>
      </c>
      <c r="BE54" s="5318">
        <v>-653</v>
      </c>
      <c r="BF54" s="5318">
        <f>BF46-BE46</f>
        <v>-665</v>
      </c>
      <c r="BG54" s="5318">
        <f t="shared" ref="BG54:BH54" si="205">BG46-BF46</f>
        <v>-688</v>
      </c>
      <c r="BH54" s="5318">
        <f t="shared" si="205"/>
        <v>-766</v>
      </c>
      <c r="BI54" s="5318">
        <f>SUM(AW54:BH54)</f>
        <v>-7021</v>
      </c>
      <c r="BJ54" s="5319">
        <f>AVERAGE(AW54:BH54)</f>
        <v>-585.08333333333337</v>
      </c>
      <c r="BL54" s="5234">
        <f t="shared" si="182"/>
        <v>-81</v>
      </c>
      <c r="BM54" s="5234">
        <f t="shared" si="183"/>
        <v>-35.083333333333371</v>
      </c>
      <c r="BN54" s="5255">
        <f t="shared" si="197"/>
        <v>394</v>
      </c>
    </row>
    <row r="55" spans="1:66" ht="18" customHeight="1" x14ac:dyDescent="0.55000000000000004">
      <c r="A55" s="7147" t="s">
        <v>1215</v>
      </c>
      <c r="B55" s="7148"/>
      <c r="C55" s="5705" t="s">
        <v>44</v>
      </c>
      <c r="D55" s="3145"/>
      <c r="E55" s="5336">
        <v>749884</v>
      </c>
      <c r="F55" s="5335">
        <v>748847</v>
      </c>
      <c r="G55" s="5336">
        <v>753014</v>
      </c>
      <c r="H55" s="5336">
        <v>755759</v>
      </c>
      <c r="I55" s="5336">
        <v>761063</v>
      </c>
      <c r="J55" s="5336">
        <v>765856</v>
      </c>
      <c r="K55" s="5336">
        <v>770588</v>
      </c>
      <c r="L55" s="5336">
        <v>773559</v>
      </c>
      <c r="M55" s="5336">
        <v>767192</v>
      </c>
      <c r="N55" s="5336">
        <v>764181</v>
      </c>
      <c r="O55" s="5336">
        <v>767832</v>
      </c>
      <c r="P55" s="5336">
        <v>768365</v>
      </c>
      <c r="Q55" s="5336">
        <v>766636</v>
      </c>
      <c r="R55" s="5336">
        <f>Q55</f>
        <v>766636</v>
      </c>
      <c r="S55" s="5336">
        <f t="shared" si="184"/>
        <v>763574.33333333337</v>
      </c>
      <c r="T55" s="5335">
        <v>766247</v>
      </c>
      <c r="U55" s="5336">
        <v>766640</v>
      </c>
      <c r="V55" s="5336">
        <v>764875</v>
      </c>
      <c r="W55" s="5336">
        <v>763706</v>
      </c>
      <c r="X55" s="5336">
        <v>761365</v>
      </c>
      <c r="Y55" s="5336">
        <v>758681</v>
      </c>
      <c r="Z55" s="5337">
        <v>757611</v>
      </c>
      <c r="AA55" s="5337">
        <v>755174</v>
      </c>
      <c r="AB55" s="5337">
        <v>754842</v>
      </c>
      <c r="AC55" s="5337">
        <v>748949</v>
      </c>
      <c r="AD55" s="5337">
        <v>746076</v>
      </c>
      <c r="AE55" s="5337">
        <v>741959</v>
      </c>
      <c r="AF55" s="5338">
        <v>741959</v>
      </c>
      <c r="AG55" s="5338">
        <f>AVERAGE(T55:AE55)</f>
        <v>757177.08333333337</v>
      </c>
      <c r="AH55" s="5338"/>
      <c r="AI55" s="5339">
        <v>738128</v>
      </c>
      <c r="AJ55" s="5338">
        <v>732399</v>
      </c>
      <c r="AK55" s="5338">
        <v>723831</v>
      </c>
      <c r="AL55" s="5338">
        <v>715204</v>
      </c>
      <c r="AM55" s="5338">
        <v>705819</v>
      </c>
      <c r="AN55" s="5338">
        <v>698238</v>
      </c>
      <c r="AO55" s="5338">
        <v>686150</v>
      </c>
      <c r="AP55" s="5338">
        <v>670865</v>
      </c>
      <c r="AQ55" s="5338">
        <v>652608</v>
      </c>
      <c r="AR55" s="5338">
        <v>634016</v>
      </c>
      <c r="AS55" s="5338">
        <v>615884</v>
      </c>
      <c r="AT55" s="5337">
        <v>598559</v>
      </c>
      <c r="AU55" s="5338">
        <f>INDEX($AI55:$AT55, 1, MATCH(0, $AI55:$AT55, -1))</f>
        <v>598559</v>
      </c>
      <c r="AV55" s="5340">
        <f>AVERAGE(AI55:AT55)</f>
        <v>680975.08333333337</v>
      </c>
      <c r="AW55" s="5341">
        <v>582656</v>
      </c>
      <c r="AX55" s="5338">
        <v>559407</v>
      </c>
      <c r="AY55" s="5338">
        <v>541478</v>
      </c>
      <c r="AZ55" s="5338">
        <v>523578</v>
      </c>
      <c r="BA55" s="5338">
        <v>505468</v>
      </c>
      <c r="BB55" s="5338">
        <v>486487</v>
      </c>
      <c r="BC55" s="5338">
        <v>461592</v>
      </c>
      <c r="BD55" s="5338">
        <v>440697</v>
      </c>
      <c r="BE55" s="5338">
        <v>420214</v>
      </c>
      <c r="BF55" s="5338">
        <v>401593</v>
      </c>
      <c r="BG55" s="5338">
        <v>384875</v>
      </c>
      <c r="BH55" s="5338">
        <v>367479</v>
      </c>
      <c r="BI55" s="5337">
        <f>INDEX($AW55:$BH55, 1, MATCH(0, $AW55:$BH55, -1))</f>
        <v>367479</v>
      </c>
      <c r="BJ55" s="5340">
        <f>AVERAGE(AW55:BH55)</f>
        <v>472960.33333333331</v>
      </c>
      <c r="BL55" s="5234">
        <f t="shared" si="182"/>
        <v>-231080</v>
      </c>
      <c r="BM55" s="5234">
        <f t="shared" si="183"/>
        <v>-208014.75000000006</v>
      </c>
      <c r="BN55" s="5235">
        <f>AX55-AJ55</f>
        <v>-172992</v>
      </c>
    </row>
    <row r="56" spans="1:66" ht="18" customHeight="1" x14ac:dyDescent="0.55000000000000004">
      <c r="A56" s="7132"/>
      <c r="B56" s="7133"/>
      <c r="C56" s="3626" t="s">
        <v>57</v>
      </c>
      <c r="D56" s="3520"/>
      <c r="E56" s="5300">
        <v>22508</v>
      </c>
      <c r="F56" s="5299">
        <v>23473</v>
      </c>
      <c r="G56" s="5300">
        <v>28578</v>
      </c>
      <c r="H56" s="5300">
        <v>25270</v>
      </c>
      <c r="I56" s="5300">
        <v>26700</v>
      </c>
      <c r="J56" s="5300">
        <v>27908</v>
      </c>
      <c r="K56" s="5300">
        <v>25803</v>
      </c>
      <c r="L56" s="5300">
        <v>23884</v>
      </c>
      <c r="M56" s="5300">
        <v>27011</v>
      </c>
      <c r="N56" s="5300">
        <v>19221</v>
      </c>
      <c r="O56" s="5300">
        <v>27425</v>
      </c>
      <c r="P56" s="5300">
        <v>20517</v>
      </c>
      <c r="Q56" s="5300">
        <v>17662</v>
      </c>
      <c r="R56" s="5300">
        <f t="shared" si="179"/>
        <v>293452</v>
      </c>
      <c r="S56" s="5300">
        <f t="shared" si="184"/>
        <v>24454.333333333332</v>
      </c>
      <c r="T56" s="5299">
        <v>19123</v>
      </c>
      <c r="U56" s="5300">
        <v>22637</v>
      </c>
      <c r="V56" s="5300">
        <v>18126</v>
      </c>
      <c r="W56" s="5300">
        <v>17598</v>
      </c>
      <c r="X56" s="5300">
        <v>17909</v>
      </c>
      <c r="Y56" s="5300">
        <v>16554</v>
      </c>
      <c r="Z56" s="5262">
        <v>18859</v>
      </c>
      <c r="AA56" s="5262">
        <v>24418</v>
      </c>
      <c r="AB56" s="5262">
        <v>17028</v>
      </c>
      <c r="AC56" s="5262">
        <v>22675</v>
      </c>
      <c r="AD56" s="5262">
        <v>16998</v>
      </c>
      <c r="AE56" s="5262">
        <v>14092</v>
      </c>
      <c r="AF56" s="5263">
        <f>SUM(T56:AE56)</f>
        <v>226017</v>
      </c>
      <c r="AG56" s="5263">
        <f>AVERAGE(T56:AE56)</f>
        <v>18834.75</v>
      </c>
      <c r="AH56" s="5263"/>
      <c r="AI56" s="5264">
        <v>21687</v>
      </c>
      <c r="AJ56" s="5263">
        <v>17436</v>
      </c>
      <c r="AK56" s="5263">
        <v>19339</v>
      </c>
      <c r="AL56" s="5263">
        <v>19225</v>
      </c>
      <c r="AM56" s="5263">
        <v>20961</v>
      </c>
      <c r="AN56" s="5263">
        <v>19410</v>
      </c>
      <c r="AO56" s="5263">
        <v>23051</v>
      </c>
      <c r="AP56" s="5263">
        <v>18664</v>
      </c>
      <c r="AQ56" s="5263">
        <v>21144</v>
      </c>
      <c r="AR56" s="5263">
        <v>20713</v>
      </c>
      <c r="AS56" s="5263">
        <v>21064</v>
      </c>
      <c r="AT56" s="5262">
        <v>17789</v>
      </c>
      <c r="AU56" s="5263">
        <f>SUM(AI56:AT56)</f>
        <v>240483</v>
      </c>
      <c r="AV56" s="5265">
        <f>AVERAGE(AI56:AT56)</f>
        <v>20040.25</v>
      </c>
      <c r="AW56" s="5261">
        <v>17239</v>
      </c>
      <c r="AX56" s="5263">
        <v>25984</v>
      </c>
      <c r="AY56" s="5263">
        <v>19298</v>
      </c>
      <c r="AZ56" s="5263">
        <v>24280</v>
      </c>
      <c r="BA56" s="5263">
        <f>BA57+BA58</f>
        <v>36457</v>
      </c>
      <c r="BB56" s="5263">
        <f t="shared" ref="BB56:BH56" si="206">BB57+BB58</f>
        <v>28356</v>
      </c>
      <c r="BC56" s="5263">
        <v>32840</v>
      </c>
      <c r="BD56" s="5263">
        <v>24783</v>
      </c>
      <c r="BE56" s="5263">
        <v>27158</v>
      </c>
      <c r="BF56" s="5263">
        <f>BF57+BF58</f>
        <v>26854</v>
      </c>
      <c r="BG56" s="5263">
        <f t="shared" si="206"/>
        <v>22592</v>
      </c>
      <c r="BH56" s="5263">
        <f t="shared" si="206"/>
        <v>24140</v>
      </c>
      <c r="BI56" s="5263">
        <f>SUM(AW56:BH56)</f>
        <v>309981</v>
      </c>
      <c r="BJ56" s="5265">
        <f>AVERAGE(AW56:BE56)</f>
        <v>26266.111111111109</v>
      </c>
      <c r="BL56" s="5234">
        <f t="shared" si="182"/>
        <v>6351</v>
      </c>
      <c r="BM56" s="5234">
        <f t="shared" si="183"/>
        <v>6225.8611111111095</v>
      </c>
      <c r="BN56" s="5255">
        <f t="shared" ref="BN56:BN64" si="207">HLOOKUP($A$1,$AW$1:$BH$400,ROW(),0)-SUM(AI56:AJ56)</f>
        <v>-14983</v>
      </c>
    </row>
    <row r="57" spans="1:66" ht="18" hidden="1" customHeight="1" x14ac:dyDescent="0.55000000000000004">
      <c r="A57" s="7132"/>
      <c r="B57" s="7133"/>
      <c r="C57" s="2648"/>
      <c r="D57" s="2648" t="s">
        <v>47</v>
      </c>
      <c r="E57" s="5687">
        <v>10838</v>
      </c>
      <c r="F57" s="5296">
        <v>11180</v>
      </c>
      <c r="G57" s="5297">
        <v>10428</v>
      </c>
      <c r="H57" s="5297">
        <v>11202</v>
      </c>
      <c r="I57" s="5297">
        <v>9711</v>
      </c>
      <c r="J57" s="5297">
        <v>9799</v>
      </c>
      <c r="K57" s="5297">
        <v>8943</v>
      </c>
      <c r="L57" s="5297">
        <v>8292</v>
      </c>
      <c r="M57" s="5297">
        <v>7897</v>
      </c>
      <c r="N57" s="5297">
        <v>7552</v>
      </c>
      <c r="O57" s="5297">
        <v>10337</v>
      </c>
      <c r="P57" s="5297">
        <v>8769</v>
      </c>
      <c r="Q57" s="5297">
        <v>7260</v>
      </c>
      <c r="R57" s="5297">
        <f t="shared" si="179"/>
        <v>111370</v>
      </c>
      <c r="S57" s="5297">
        <f t="shared" si="184"/>
        <v>9280.8333333333339</v>
      </c>
      <c r="T57" s="5296">
        <v>6791</v>
      </c>
      <c r="U57" s="5297">
        <v>7315</v>
      </c>
      <c r="V57" s="5297">
        <v>7375</v>
      </c>
      <c r="W57" s="5297">
        <v>7020</v>
      </c>
      <c r="X57" s="5297">
        <v>8635</v>
      </c>
      <c r="Y57" s="5297">
        <v>8142</v>
      </c>
      <c r="Z57" s="3263">
        <v>10233</v>
      </c>
      <c r="AA57" s="3263">
        <v>9653</v>
      </c>
      <c r="AB57" s="3263">
        <v>9475</v>
      </c>
      <c r="AC57" s="3263">
        <v>10045</v>
      </c>
      <c r="AD57" s="3263">
        <v>8647</v>
      </c>
      <c r="AE57" s="3263">
        <v>7335</v>
      </c>
      <c r="AF57" s="5257">
        <f t="shared" ref="AF57:AF64" si="208">SUM(T57:AE57)</f>
        <v>100666</v>
      </c>
      <c r="AG57" s="5257">
        <f t="shared" ref="AG57:AG64" si="209">AVERAGE(T57:AE57)</f>
        <v>8388.8333333333339</v>
      </c>
      <c r="AH57" s="5257"/>
      <c r="AI57" s="5258">
        <v>8205</v>
      </c>
      <c r="AJ57" s="5257">
        <v>8309</v>
      </c>
      <c r="AK57" s="5257">
        <v>9958</v>
      </c>
      <c r="AL57" s="5257">
        <v>10485</v>
      </c>
      <c r="AM57" s="5257">
        <v>12911</v>
      </c>
      <c r="AN57" s="5257">
        <v>11909</v>
      </c>
      <c r="AO57" s="5257">
        <v>10832</v>
      </c>
      <c r="AP57" s="5257">
        <v>9383</v>
      </c>
      <c r="AQ57" s="5257">
        <v>9138</v>
      </c>
      <c r="AR57" s="5257">
        <v>10132</v>
      </c>
      <c r="AS57" s="5257">
        <v>11663</v>
      </c>
      <c r="AT57" s="3263"/>
      <c r="AU57" s="5257">
        <f>SUM(AI57:AQ57)</f>
        <v>91130</v>
      </c>
      <c r="AV57" s="5259">
        <f>AVERAGE(AI57:AT57)</f>
        <v>10265.90909090909</v>
      </c>
      <c r="AW57" s="5706">
        <v>9320</v>
      </c>
      <c r="AX57" s="5293">
        <v>11071</v>
      </c>
      <c r="AY57" s="5293">
        <v>9617</v>
      </c>
      <c r="AZ57" s="5293">
        <v>13587</v>
      </c>
      <c r="BA57" s="5293">
        <v>24769</v>
      </c>
      <c r="BB57" s="5293">
        <v>16472</v>
      </c>
      <c r="BC57" s="5293">
        <v>16993</v>
      </c>
      <c r="BD57" s="5293">
        <v>9300</v>
      </c>
      <c r="BE57" s="5293">
        <v>11692</v>
      </c>
      <c r="BF57" s="5293">
        <v>10771</v>
      </c>
      <c r="BG57" s="5293">
        <v>10180</v>
      </c>
      <c r="BH57" s="5293">
        <v>11032</v>
      </c>
      <c r="BI57" s="5257">
        <f>SUM(AW57:BE57)</f>
        <v>122821</v>
      </c>
      <c r="BJ57" s="5259">
        <f>AVERAGE(AW57:BH57)</f>
        <v>12900.333333333334</v>
      </c>
      <c r="BL57" s="5234">
        <f t="shared" si="182"/>
        <v>11032</v>
      </c>
      <c r="BM57" s="5234">
        <f t="shared" si="183"/>
        <v>2634.4242424242439</v>
      </c>
      <c r="BN57" s="5255">
        <f t="shared" si="207"/>
        <v>-5482</v>
      </c>
    </row>
    <row r="58" spans="1:66" ht="18" hidden="1" customHeight="1" x14ac:dyDescent="0.55000000000000004">
      <c r="A58" s="7132"/>
      <c r="B58" s="7133"/>
      <c r="C58" s="2648"/>
      <c r="D58" s="2648" t="s">
        <v>56</v>
      </c>
      <c r="E58" s="5687">
        <v>11670</v>
      </c>
      <c r="F58" s="5296">
        <v>12293</v>
      </c>
      <c r="G58" s="5297">
        <v>18150</v>
      </c>
      <c r="H58" s="5297">
        <v>14068</v>
      </c>
      <c r="I58" s="5297">
        <v>16989</v>
      </c>
      <c r="J58" s="5297">
        <v>18109</v>
      </c>
      <c r="K58" s="5297">
        <v>16860</v>
      </c>
      <c r="L58" s="5297">
        <v>15592</v>
      </c>
      <c r="M58" s="5297">
        <v>19114</v>
      </c>
      <c r="N58" s="5297">
        <v>11669</v>
      </c>
      <c r="O58" s="5297">
        <v>17088</v>
      </c>
      <c r="P58" s="5297">
        <v>11748</v>
      </c>
      <c r="Q58" s="5297">
        <v>10402</v>
      </c>
      <c r="R58" s="5297">
        <f t="shared" si="179"/>
        <v>182082</v>
      </c>
      <c r="S58" s="5297">
        <f t="shared" si="184"/>
        <v>15173.5</v>
      </c>
      <c r="T58" s="5296">
        <v>12332</v>
      </c>
      <c r="U58" s="5297">
        <v>15322</v>
      </c>
      <c r="V58" s="5297">
        <v>10752</v>
      </c>
      <c r="W58" s="5297">
        <v>10578</v>
      </c>
      <c r="X58" s="5297">
        <v>9274</v>
      </c>
      <c r="Y58" s="5297">
        <v>8412</v>
      </c>
      <c r="Z58" s="3263">
        <v>8626</v>
      </c>
      <c r="AA58" s="3263">
        <v>14765</v>
      </c>
      <c r="AB58" s="3263">
        <v>7553</v>
      </c>
      <c r="AC58" s="3263">
        <v>12631</v>
      </c>
      <c r="AD58" s="3263">
        <v>8351</v>
      </c>
      <c r="AE58" s="3263">
        <v>6759</v>
      </c>
      <c r="AF58" s="5257">
        <f t="shared" si="208"/>
        <v>125355</v>
      </c>
      <c r="AG58" s="5257">
        <f t="shared" si="209"/>
        <v>10446.25</v>
      </c>
      <c r="AH58" s="5257"/>
      <c r="AI58" s="5258">
        <v>12676</v>
      </c>
      <c r="AJ58" s="5257">
        <v>8376</v>
      </c>
      <c r="AK58" s="5257">
        <v>9381</v>
      </c>
      <c r="AL58" s="5257">
        <v>8740</v>
      </c>
      <c r="AM58" s="5257">
        <v>8050</v>
      </c>
      <c r="AN58" s="5257">
        <v>7502</v>
      </c>
      <c r="AO58" s="5257">
        <v>12219</v>
      </c>
      <c r="AP58" s="5257">
        <v>9282</v>
      </c>
      <c r="AQ58" s="5257">
        <v>12007</v>
      </c>
      <c r="AR58" s="5257">
        <v>10581</v>
      </c>
      <c r="AS58" s="5257">
        <v>9401</v>
      </c>
      <c r="AT58" s="3263"/>
      <c r="AU58" s="5257">
        <f>SUM(AI58:AQ58)</f>
        <v>88233</v>
      </c>
      <c r="AV58" s="5259">
        <f>AVERAGE(AI58:AT58)</f>
        <v>9837.7272727272721</v>
      </c>
      <c r="AW58" s="5706">
        <v>7919</v>
      </c>
      <c r="AX58" s="5293">
        <v>14913</v>
      </c>
      <c r="AY58" s="5293">
        <v>9681</v>
      </c>
      <c r="AZ58" s="5293">
        <v>10693</v>
      </c>
      <c r="BA58" s="5293">
        <v>11688</v>
      </c>
      <c r="BB58" s="5293">
        <v>11884</v>
      </c>
      <c r="BC58" s="5293">
        <v>15839</v>
      </c>
      <c r="BD58" s="5293">
        <v>15483</v>
      </c>
      <c r="BE58" s="5293">
        <v>15466</v>
      </c>
      <c r="BF58" s="5293">
        <v>16083</v>
      </c>
      <c r="BG58" s="5293">
        <v>12412</v>
      </c>
      <c r="BH58" s="5293">
        <v>13108</v>
      </c>
      <c r="BI58" s="5257">
        <f>SUM(AW58:BE58)</f>
        <v>113566</v>
      </c>
      <c r="BJ58" s="5259">
        <f>AVERAGE(AW58:BH58)</f>
        <v>12930.75</v>
      </c>
      <c r="BL58" s="5234">
        <f t="shared" si="182"/>
        <v>13108</v>
      </c>
      <c r="BM58" s="5234">
        <f t="shared" si="183"/>
        <v>3093.0227272727279</v>
      </c>
      <c r="BN58" s="5255">
        <f t="shared" si="207"/>
        <v>-7944</v>
      </c>
    </row>
    <row r="59" spans="1:66" ht="18" customHeight="1" x14ac:dyDescent="0.55000000000000004">
      <c r="A59" s="7132"/>
      <c r="B59" s="7133"/>
      <c r="C59" s="2648" t="s">
        <v>48</v>
      </c>
      <c r="D59" s="2648"/>
      <c r="E59" s="5687">
        <v>11399</v>
      </c>
      <c r="F59" s="5296">
        <v>10669</v>
      </c>
      <c r="G59" s="5297">
        <v>8216</v>
      </c>
      <c r="H59" s="5297">
        <v>8707</v>
      </c>
      <c r="I59" s="5297">
        <v>7210</v>
      </c>
      <c r="J59" s="5297">
        <v>7794</v>
      </c>
      <c r="K59" s="5297">
        <v>7101</v>
      </c>
      <c r="L59" s="5297">
        <v>6617</v>
      </c>
      <c r="M59" s="5297">
        <v>7059</v>
      </c>
      <c r="N59" s="5297">
        <v>6058</v>
      </c>
      <c r="O59" s="5297">
        <v>7120</v>
      </c>
      <c r="P59" s="5297">
        <v>6743</v>
      </c>
      <c r="Q59" s="5297">
        <v>7510</v>
      </c>
      <c r="R59" s="5297">
        <f t="shared" si="179"/>
        <v>90804</v>
      </c>
      <c r="S59" s="5297">
        <f t="shared" si="184"/>
        <v>7567</v>
      </c>
      <c r="T59" s="5296">
        <v>6749</v>
      </c>
      <c r="U59" s="5297">
        <v>6993</v>
      </c>
      <c r="V59" s="5297">
        <v>7106</v>
      </c>
      <c r="W59" s="5297">
        <v>7095</v>
      </c>
      <c r="X59" s="5297">
        <v>8399</v>
      </c>
      <c r="Y59" s="5297">
        <v>8129</v>
      </c>
      <c r="Z59" s="3263">
        <v>8526</v>
      </c>
      <c r="AA59" s="3263">
        <v>9294</v>
      </c>
      <c r="AB59" s="3263">
        <v>7662</v>
      </c>
      <c r="AC59" s="3263">
        <v>8640</v>
      </c>
      <c r="AD59" s="3263">
        <v>8166</v>
      </c>
      <c r="AE59" s="3263">
        <v>8139</v>
      </c>
      <c r="AF59" s="5257">
        <f t="shared" si="208"/>
        <v>94898</v>
      </c>
      <c r="AG59" s="5257">
        <f t="shared" si="209"/>
        <v>7908.166666666667</v>
      </c>
      <c r="AH59" s="5257"/>
      <c r="AI59" s="5258">
        <v>8194</v>
      </c>
      <c r="AJ59" s="5257">
        <v>7497</v>
      </c>
      <c r="AK59" s="5257">
        <v>7951</v>
      </c>
      <c r="AL59" s="5257">
        <v>8288</v>
      </c>
      <c r="AM59" s="5257">
        <v>9548</v>
      </c>
      <c r="AN59" s="5257">
        <v>7915</v>
      </c>
      <c r="AO59" s="5257">
        <v>8974</v>
      </c>
      <c r="AP59" s="5257">
        <v>8356</v>
      </c>
      <c r="AQ59" s="5257">
        <v>7774</v>
      </c>
      <c r="AR59" s="5257">
        <v>8091</v>
      </c>
      <c r="AS59" s="5257">
        <v>8568</v>
      </c>
      <c r="AT59" s="3263">
        <v>9038</v>
      </c>
      <c r="AU59" s="5257">
        <f>SUM(AI59:AT59)</f>
        <v>100194</v>
      </c>
      <c r="AV59" s="5259">
        <f>AVERAGE(AI59:AS59)</f>
        <v>8286.9090909090901</v>
      </c>
      <c r="AW59" s="5256">
        <v>6839</v>
      </c>
      <c r="AX59" s="5257">
        <v>8133</v>
      </c>
      <c r="AY59" s="5257">
        <v>7281</v>
      </c>
      <c r="AZ59" s="5257">
        <v>7309</v>
      </c>
      <c r="BA59" s="5257">
        <v>5773</v>
      </c>
      <c r="BB59" s="5257">
        <v>7708</v>
      </c>
      <c r="BC59" s="5257">
        <v>11168</v>
      </c>
      <c r="BD59" s="5257">
        <v>6866</v>
      </c>
      <c r="BE59" s="5257">
        <v>6849</v>
      </c>
      <c r="BF59" s="5257">
        <v>5779</v>
      </c>
      <c r="BG59" s="5257">
        <v>5520</v>
      </c>
      <c r="BH59" s="5257">
        <v>5664</v>
      </c>
      <c r="BI59" s="5257">
        <f>SUM(AW59:BH59)</f>
        <v>84889</v>
      </c>
      <c r="BJ59" s="5259">
        <f>AVERAGE(AW59:BG59)</f>
        <v>7202.272727272727</v>
      </c>
      <c r="BL59" s="5234">
        <f t="shared" si="182"/>
        <v>-3374</v>
      </c>
      <c r="BM59" s="5234">
        <f t="shared" si="183"/>
        <v>-1084.6363636363631</v>
      </c>
      <c r="BN59" s="5255">
        <f t="shared" si="207"/>
        <v>-10027</v>
      </c>
    </row>
    <row r="60" spans="1:66" ht="18" customHeight="1" x14ac:dyDescent="0.55000000000000004">
      <c r="A60" s="7132"/>
      <c r="B60" s="7133"/>
      <c r="C60" s="2648" t="s">
        <v>59</v>
      </c>
      <c r="D60" s="2648"/>
      <c r="E60" s="5687"/>
      <c r="F60" s="5296">
        <v>1047</v>
      </c>
      <c r="G60" s="5297">
        <v>388</v>
      </c>
      <c r="H60" s="5297">
        <v>1268</v>
      </c>
      <c r="I60" s="5297">
        <v>447</v>
      </c>
      <c r="J60" s="5297">
        <v>1048</v>
      </c>
      <c r="K60" s="5297">
        <v>786</v>
      </c>
      <c r="L60" s="5297">
        <v>471</v>
      </c>
      <c r="M60" s="5297">
        <v>902</v>
      </c>
      <c r="N60" s="5297">
        <v>491</v>
      </c>
      <c r="O60" s="5297">
        <v>446</v>
      </c>
      <c r="P60" s="5297">
        <v>467</v>
      </c>
      <c r="Q60" s="5297">
        <v>1309</v>
      </c>
      <c r="R60" s="5297">
        <f t="shared" si="179"/>
        <v>9070</v>
      </c>
      <c r="S60" s="5297">
        <f t="shared" si="184"/>
        <v>755.83333333333337</v>
      </c>
      <c r="T60" s="5296">
        <v>457</v>
      </c>
      <c r="U60" s="5297">
        <v>445</v>
      </c>
      <c r="V60" s="5297">
        <v>486</v>
      </c>
      <c r="W60" s="5297">
        <v>453</v>
      </c>
      <c r="X60" s="5297">
        <v>1103</v>
      </c>
      <c r="Y60" s="5297">
        <v>564</v>
      </c>
      <c r="Z60" s="3263">
        <v>467</v>
      </c>
      <c r="AA60" s="3263">
        <v>515</v>
      </c>
      <c r="AB60" s="3263">
        <v>800</v>
      </c>
      <c r="AC60" s="3263">
        <v>440</v>
      </c>
      <c r="AD60" s="3263">
        <v>515</v>
      </c>
      <c r="AE60" s="3263">
        <v>1171</v>
      </c>
      <c r="AF60" s="5257">
        <f t="shared" si="208"/>
        <v>7416</v>
      </c>
      <c r="AG60" s="5257">
        <f t="shared" si="209"/>
        <v>618</v>
      </c>
      <c r="AH60" s="5257"/>
      <c r="AI60" s="5258">
        <v>435</v>
      </c>
      <c r="AJ60" s="5257">
        <v>473</v>
      </c>
      <c r="AK60" s="5257">
        <v>590</v>
      </c>
      <c r="AL60" s="5257">
        <v>512</v>
      </c>
      <c r="AM60" s="5257">
        <v>981</v>
      </c>
      <c r="AN60" s="5257">
        <v>496</v>
      </c>
      <c r="AO60" s="5257">
        <v>502</v>
      </c>
      <c r="AP60" s="5257">
        <v>582</v>
      </c>
      <c r="AQ60" s="5257">
        <v>709</v>
      </c>
      <c r="AR60" s="5257">
        <v>513</v>
      </c>
      <c r="AS60" s="5257">
        <v>550</v>
      </c>
      <c r="AT60" s="3263">
        <v>1365</v>
      </c>
      <c r="AU60" s="5257">
        <f>SUM(AI60:AT60)</f>
        <v>7708</v>
      </c>
      <c r="AV60" s="5259">
        <f>AVERAGE(AI60:AS60)</f>
        <v>576.63636363636363</v>
      </c>
      <c r="AW60" s="5256">
        <v>421</v>
      </c>
      <c r="AX60" s="5257">
        <v>406</v>
      </c>
      <c r="AY60" s="5257">
        <v>397</v>
      </c>
      <c r="AZ60" s="5257">
        <v>397</v>
      </c>
      <c r="BA60" s="5257">
        <v>433</v>
      </c>
      <c r="BB60" s="5257">
        <v>840</v>
      </c>
      <c r="BC60" s="5257">
        <v>317</v>
      </c>
      <c r="BD60" s="5257">
        <v>330</v>
      </c>
      <c r="BE60" s="5257">
        <v>313</v>
      </c>
      <c r="BF60" s="5257">
        <v>277</v>
      </c>
      <c r="BG60" s="5257">
        <v>229</v>
      </c>
      <c r="BH60" s="5257">
        <v>222</v>
      </c>
      <c r="BI60" s="5257">
        <f>SUM(AW60:BH60)</f>
        <v>4582</v>
      </c>
      <c r="BJ60" s="5259">
        <f>AVERAGE(AW60:BG60)</f>
        <v>396.36363636363637</v>
      </c>
      <c r="BL60" s="5234">
        <f t="shared" si="182"/>
        <v>-1143</v>
      </c>
      <c r="BM60" s="5234">
        <f t="shared" si="183"/>
        <v>-180.27272727272725</v>
      </c>
      <c r="BN60" s="5255">
        <f t="shared" si="207"/>
        <v>-686</v>
      </c>
    </row>
    <row r="61" spans="1:66" ht="17.05" customHeight="1" x14ac:dyDescent="0.55000000000000004">
      <c r="A61" s="7132"/>
      <c r="B61" s="7133"/>
      <c r="C61" s="2648" t="s">
        <v>49</v>
      </c>
      <c r="D61" s="2648"/>
      <c r="E61" s="5687"/>
      <c r="F61" s="5296"/>
      <c r="G61" s="5297"/>
      <c r="H61" s="5297"/>
      <c r="I61" s="5297"/>
      <c r="J61" s="5297"/>
      <c r="K61" s="5297"/>
      <c r="L61" s="5297"/>
      <c r="M61" s="5297"/>
      <c r="N61" s="5297"/>
      <c r="O61" s="5297"/>
      <c r="P61" s="5297"/>
      <c r="Q61" s="5297"/>
      <c r="R61" s="5297">
        <f t="shared" si="179"/>
        <v>0</v>
      </c>
      <c r="S61" s="5297" t="e">
        <f t="shared" si="184"/>
        <v>#DIV/0!</v>
      </c>
      <c r="T61" s="5296">
        <f t="shared" ref="T61:AE61" si="210">T56-T59-T62-T64</f>
        <v>9714</v>
      </c>
      <c r="U61" s="5297">
        <f t="shared" si="210"/>
        <v>12624</v>
      </c>
      <c r="V61" s="5297">
        <f t="shared" si="210"/>
        <v>9828</v>
      </c>
      <c r="W61" s="5297">
        <f t="shared" si="210"/>
        <v>9350</v>
      </c>
      <c r="X61" s="5297">
        <f t="shared" si="210"/>
        <v>9382</v>
      </c>
      <c r="Y61" s="5297">
        <f t="shared" si="210"/>
        <v>8585</v>
      </c>
      <c r="Z61" s="3263">
        <f t="shared" si="210"/>
        <v>8943</v>
      </c>
      <c r="AA61" s="3263">
        <f t="shared" si="210"/>
        <v>14919</v>
      </c>
      <c r="AB61" s="3263">
        <f t="shared" si="210"/>
        <v>7339</v>
      </c>
      <c r="AC61" s="3263">
        <f t="shared" si="210"/>
        <v>12617</v>
      </c>
      <c r="AD61" s="3263">
        <f t="shared" si="210"/>
        <v>8764</v>
      </c>
      <c r="AE61" s="3263">
        <f t="shared" si="210"/>
        <v>7618</v>
      </c>
      <c r="AF61" s="5257">
        <f t="shared" si="208"/>
        <v>119683</v>
      </c>
      <c r="AG61" s="5257">
        <f t="shared" si="209"/>
        <v>9973.5833333333339</v>
      </c>
      <c r="AH61" s="5257"/>
      <c r="AI61" s="5258">
        <f t="shared" ref="AI61:AT61" si="211">-(AI64-(AI56-AI59-AI62))</f>
        <v>14790</v>
      </c>
      <c r="AJ61" s="5277">
        <f t="shared" si="211"/>
        <v>13459</v>
      </c>
      <c r="AK61" s="5277">
        <f t="shared" si="211"/>
        <v>17547</v>
      </c>
      <c r="AL61" s="5277">
        <f t="shared" si="211"/>
        <v>17209</v>
      </c>
      <c r="AM61" s="5277">
        <f t="shared" si="211"/>
        <v>18142</v>
      </c>
      <c r="AN61" s="5277">
        <f t="shared" si="211"/>
        <v>16602</v>
      </c>
      <c r="AO61" s="5277">
        <f t="shared" si="211"/>
        <v>22824</v>
      </c>
      <c r="AP61" s="5277">
        <f t="shared" si="211"/>
        <v>21446</v>
      </c>
      <c r="AQ61" s="5277">
        <f t="shared" si="211"/>
        <v>28156</v>
      </c>
      <c r="AR61" s="5277">
        <f t="shared" si="211"/>
        <v>27623</v>
      </c>
      <c r="AS61" s="5277">
        <f t="shared" si="211"/>
        <v>26924</v>
      </c>
      <c r="AT61" s="5277">
        <f t="shared" si="211"/>
        <v>22428</v>
      </c>
      <c r="AU61" s="5257">
        <f>SUM(AI61:AT61)</f>
        <v>247150</v>
      </c>
      <c r="AV61" s="5259">
        <f>AVERAGE(AI61:AS61)</f>
        <v>20429.272727272728</v>
      </c>
      <c r="AW61" s="5277">
        <f>-(AW64-(AW56-AW59-AW62))</f>
        <v>23006</v>
      </c>
      <c r="AX61" s="5277">
        <f t="shared" ref="AX61:BH61" si="212">-(AX64-(AX56-AX59-AX62))</f>
        <v>37790</v>
      </c>
      <c r="AY61" s="5277">
        <f t="shared" si="212"/>
        <v>26655</v>
      </c>
      <c r="AZ61" s="5277">
        <f t="shared" si="212"/>
        <v>31815</v>
      </c>
      <c r="BA61" s="5277">
        <f t="shared" si="212"/>
        <v>44913</v>
      </c>
      <c r="BB61" s="5277">
        <f t="shared" si="212"/>
        <v>35966</v>
      </c>
      <c r="BC61" s="5277">
        <f t="shared" si="212"/>
        <v>43393</v>
      </c>
      <c r="BD61" s="5277">
        <f t="shared" si="212"/>
        <v>34002</v>
      </c>
      <c r="BE61" s="5277">
        <f t="shared" si="212"/>
        <v>37353</v>
      </c>
      <c r="BF61" s="5277">
        <f>-(BF64-(BF56-BF59-BF62))</f>
        <v>35752</v>
      </c>
      <c r="BG61" s="5277">
        <f t="shared" si="212"/>
        <v>29637</v>
      </c>
      <c r="BH61" s="5277">
        <f t="shared" si="212"/>
        <v>31416</v>
      </c>
      <c r="BI61" s="5257">
        <f>SUM(AW61:BH61)</f>
        <v>411698</v>
      </c>
      <c r="BJ61" s="5259">
        <f>AVERAGE(AW61:BG61)</f>
        <v>34571.090909090912</v>
      </c>
      <c r="BL61" s="5234">
        <f t="shared" si="182"/>
        <v>8988</v>
      </c>
      <c r="BM61" s="5234">
        <f t="shared" si="183"/>
        <v>14141.818181818184</v>
      </c>
      <c r="BN61" s="5255">
        <f t="shared" si="207"/>
        <v>3167</v>
      </c>
    </row>
    <row r="62" spans="1:66" ht="18" customHeight="1" x14ac:dyDescent="0.55000000000000004">
      <c r="A62" s="7132"/>
      <c r="B62" s="7133"/>
      <c r="C62" s="2648" t="s">
        <v>50</v>
      </c>
      <c r="D62" s="2648"/>
      <c r="E62" s="5687"/>
      <c r="F62" s="5707"/>
      <c r="G62" s="5708"/>
      <c r="H62" s="5708"/>
      <c r="I62" s="5708"/>
      <c r="J62" s="5297">
        <v>11110</v>
      </c>
      <c r="K62" s="5297">
        <v>9749</v>
      </c>
      <c r="L62" s="5297">
        <v>10575</v>
      </c>
      <c r="M62" s="5297">
        <v>20583</v>
      </c>
      <c r="N62" s="5297">
        <v>13069</v>
      </c>
      <c r="O62" s="5297">
        <v>11504</v>
      </c>
      <c r="P62" s="5297">
        <v>10092</v>
      </c>
      <c r="Q62" s="5297">
        <v>9168</v>
      </c>
      <c r="R62" s="5297">
        <f t="shared" si="179"/>
        <v>95850</v>
      </c>
      <c r="S62" s="5297">
        <f t="shared" si="184"/>
        <v>11981.25</v>
      </c>
      <c r="T62" s="5296">
        <v>3049</v>
      </c>
      <c r="U62" s="5297">
        <v>2627</v>
      </c>
      <c r="V62" s="5297">
        <v>2957</v>
      </c>
      <c r="W62" s="5297">
        <v>2322</v>
      </c>
      <c r="X62" s="5297">
        <v>2469</v>
      </c>
      <c r="Y62" s="5297">
        <v>2524</v>
      </c>
      <c r="Z62" s="3263">
        <v>2460</v>
      </c>
      <c r="AA62" s="3263">
        <v>2642</v>
      </c>
      <c r="AB62" s="3263">
        <v>2359</v>
      </c>
      <c r="AC62" s="3263">
        <v>7311</v>
      </c>
      <c r="AD62" s="3263">
        <v>2941</v>
      </c>
      <c r="AE62" s="3263">
        <v>2452</v>
      </c>
      <c r="AF62" s="5257">
        <f t="shared" si="208"/>
        <v>36113</v>
      </c>
      <c r="AG62" s="5257">
        <f t="shared" si="209"/>
        <v>3009.4166666666665</v>
      </c>
      <c r="AH62" s="5257"/>
      <c r="AI62" s="5258">
        <v>2534</v>
      </c>
      <c r="AJ62" s="5257">
        <v>2209</v>
      </c>
      <c r="AK62" s="5257">
        <v>2409</v>
      </c>
      <c r="AL62" s="5257">
        <v>2355</v>
      </c>
      <c r="AM62" s="5257">
        <v>2656</v>
      </c>
      <c r="AN62" s="5257">
        <v>2474</v>
      </c>
      <c r="AO62" s="5257">
        <v>3341</v>
      </c>
      <c r="AP62" s="5257">
        <v>4147</v>
      </c>
      <c r="AQ62" s="5257">
        <v>3471</v>
      </c>
      <c r="AR62" s="5257">
        <v>3591</v>
      </c>
      <c r="AS62" s="5257">
        <v>3704</v>
      </c>
      <c r="AT62" s="3263">
        <v>3648</v>
      </c>
      <c r="AU62" s="5257">
        <f>SUM(AI62:AT62)</f>
        <v>36539</v>
      </c>
      <c r="AV62" s="5259">
        <f>AVERAGE(AI62:AS62)</f>
        <v>2990.090909090909</v>
      </c>
      <c r="AW62" s="5682">
        <v>3297</v>
      </c>
      <c r="AX62" s="5277">
        <v>3310</v>
      </c>
      <c r="AY62" s="5277">
        <v>3291</v>
      </c>
      <c r="AZ62" s="5277">
        <v>3056</v>
      </c>
      <c r="BA62" s="5277">
        <v>3881</v>
      </c>
      <c r="BB62" s="5277">
        <v>3663</v>
      </c>
      <c r="BC62" s="5257">
        <v>3174</v>
      </c>
      <c r="BD62" s="5257">
        <v>4810</v>
      </c>
      <c r="BE62" s="5257">
        <v>3439</v>
      </c>
      <c r="BF62" s="5257">
        <v>3944</v>
      </c>
      <c r="BG62" s="5257">
        <v>4153</v>
      </c>
      <c r="BH62" s="5257">
        <v>4456</v>
      </c>
      <c r="BI62" s="5257">
        <f>SUM(AW62:BH62)</f>
        <v>44474</v>
      </c>
      <c r="BJ62" s="5259">
        <f>AVERAGE(AW62:BG62)</f>
        <v>3638</v>
      </c>
      <c r="BL62" s="5234">
        <f t="shared" si="182"/>
        <v>808</v>
      </c>
      <c r="BM62" s="5234">
        <f t="shared" si="183"/>
        <v>647.90909090909099</v>
      </c>
      <c r="BN62" s="5255">
        <f t="shared" si="207"/>
        <v>-287</v>
      </c>
    </row>
    <row r="63" spans="1:66" ht="18" hidden="1" customHeight="1" x14ac:dyDescent="0.55000000000000004">
      <c r="A63" s="7132"/>
      <c r="B63" s="7133"/>
      <c r="C63" s="2648" t="s">
        <v>768</v>
      </c>
      <c r="D63" s="2648"/>
      <c r="E63" s="5687"/>
      <c r="F63" s="5296"/>
      <c r="G63" s="5297"/>
      <c r="H63" s="5297"/>
      <c r="I63" s="5297"/>
      <c r="J63" s="5297"/>
      <c r="K63" s="5297"/>
      <c r="L63" s="5297"/>
      <c r="M63" s="5297"/>
      <c r="N63" s="5297"/>
      <c r="O63" s="5297"/>
      <c r="P63" s="5297"/>
      <c r="Q63" s="5297"/>
      <c r="R63" s="5297">
        <f t="shared" si="179"/>
        <v>0</v>
      </c>
      <c r="S63" s="5297" t="e">
        <f t="shared" si="184"/>
        <v>#DIV/0!</v>
      </c>
      <c r="T63" s="5296"/>
      <c r="U63" s="5297"/>
      <c r="V63" s="5297"/>
      <c r="W63" s="5297"/>
      <c r="X63" s="5297"/>
      <c r="Y63" s="5297"/>
      <c r="Z63" s="3263"/>
      <c r="AA63" s="3263"/>
      <c r="AB63" s="3263"/>
      <c r="AC63" s="3263"/>
      <c r="AD63" s="3263"/>
      <c r="AE63" s="3263"/>
      <c r="AF63" s="5257"/>
      <c r="AG63" s="5688"/>
      <c r="AH63" s="5257"/>
      <c r="AI63" s="5258"/>
      <c r="AJ63" s="5257"/>
      <c r="AK63" s="5257"/>
      <c r="AL63" s="5257"/>
      <c r="AM63" s="5257"/>
      <c r="AN63" s="5257"/>
      <c r="AO63" s="5257"/>
      <c r="AP63" s="5257"/>
      <c r="AQ63" s="5257"/>
      <c r="AR63" s="5257"/>
      <c r="AS63" s="5257"/>
      <c r="AT63" s="3263"/>
      <c r="AU63" s="5257"/>
      <c r="AV63" s="5689"/>
      <c r="AW63" s="5256"/>
      <c r="AX63" s="5257"/>
      <c r="AY63" s="5257"/>
      <c r="AZ63" s="5257"/>
      <c r="BA63" s="5257"/>
      <c r="BB63" s="5257"/>
      <c r="BC63" s="5257"/>
      <c r="BD63" s="5257"/>
      <c r="BE63" s="5257"/>
      <c r="BF63" s="5257"/>
      <c r="BG63" s="5257"/>
      <c r="BH63" s="5257"/>
      <c r="BI63" s="5257"/>
      <c r="BJ63" s="5689"/>
      <c r="BL63" s="5234">
        <f t="shared" si="182"/>
        <v>0</v>
      </c>
      <c r="BM63" s="5234">
        <f t="shared" si="183"/>
        <v>0</v>
      </c>
      <c r="BN63" s="5255">
        <f t="shared" si="207"/>
        <v>0</v>
      </c>
    </row>
    <row r="64" spans="1:66" ht="18" customHeight="1" x14ac:dyDescent="0.55000000000000004">
      <c r="A64" s="7145"/>
      <c r="B64" s="7146"/>
      <c r="C64" s="5690" t="s">
        <v>51</v>
      </c>
      <c r="D64" s="2655"/>
      <c r="E64" s="5304"/>
      <c r="F64" s="5305"/>
      <c r="G64" s="5304"/>
      <c r="H64" s="5304"/>
      <c r="I64" s="5304"/>
      <c r="J64" s="5304"/>
      <c r="K64" s="5304"/>
      <c r="L64" s="5304"/>
      <c r="M64" s="5304"/>
      <c r="N64" s="5304"/>
      <c r="O64" s="5304"/>
      <c r="P64" s="5304"/>
      <c r="Q64" s="5304"/>
      <c r="R64" s="5304">
        <f t="shared" si="179"/>
        <v>0</v>
      </c>
      <c r="S64" s="5304" t="e">
        <f t="shared" si="184"/>
        <v>#DIV/0!</v>
      </c>
      <c r="T64" s="5305">
        <f>T55-Q55</f>
        <v>-389</v>
      </c>
      <c r="U64" s="5304">
        <f t="shared" ref="U64:AE64" si="213">U55-T55</f>
        <v>393</v>
      </c>
      <c r="V64" s="5304">
        <f t="shared" si="213"/>
        <v>-1765</v>
      </c>
      <c r="W64" s="5304">
        <f t="shared" si="213"/>
        <v>-1169</v>
      </c>
      <c r="X64" s="5304">
        <f t="shared" si="213"/>
        <v>-2341</v>
      </c>
      <c r="Y64" s="5304">
        <f t="shared" si="213"/>
        <v>-2684</v>
      </c>
      <c r="Z64" s="5269">
        <f t="shared" si="213"/>
        <v>-1070</v>
      </c>
      <c r="AA64" s="5269">
        <f t="shared" si="213"/>
        <v>-2437</v>
      </c>
      <c r="AB64" s="5269">
        <f t="shared" si="213"/>
        <v>-332</v>
      </c>
      <c r="AC64" s="5269">
        <f t="shared" si="213"/>
        <v>-5893</v>
      </c>
      <c r="AD64" s="5269">
        <f t="shared" si="213"/>
        <v>-2873</v>
      </c>
      <c r="AE64" s="5269">
        <f t="shared" si="213"/>
        <v>-4117</v>
      </c>
      <c r="AF64" s="5270">
        <f t="shared" si="208"/>
        <v>-24677</v>
      </c>
      <c r="AG64" s="5270">
        <f t="shared" si="209"/>
        <v>-2056.4166666666665</v>
      </c>
      <c r="AH64" s="5270"/>
      <c r="AI64" s="5294">
        <v>-3831</v>
      </c>
      <c r="AJ64" s="5270">
        <v>-5729</v>
      </c>
      <c r="AK64" s="5270">
        <v>-8568</v>
      </c>
      <c r="AL64" s="5270">
        <v>-8627</v>
      </c>
      <c r="AM64" s="5270">
        <v>-9385</v>
      </c>
      <c r="AN64" s="5270">
        <v>-7581</v>
      </c>
      <c r="AO64" s="5270">
        <v>-12088</v>
      </c>
      <c r="AP64" s="5270">
        <v>-15285</v>
      </c>
      <c r="AQ64" s="5270">
        <v>-18257</v>
      </c>
      <c r="AR64" s="5270">
        <v>-18592</v>
      </c>
      <c r="AS64" s="5270">
        <v>-18132</v>
      </c>
      <c r="AT64" s="5269">
        <v>-17325</v>
      </c>
      <c r="AU64" s="5270">
        <f>SUM(AI64:AT64)</f>
        <v>-143400</v>
      </c>
      <c r="AV64" s="5272">
        <f>AVERAGE(AI64:AT64)</f>
        <v>-11950</v>
      </c>
      <c r="AW64" s="5268">
        <f>AW55-AU55</f>
        <v>-15903</v>
      </c>
      <c r="AX64" s="5270">
        <f>AX55-AW55</f>
        <v>-23249</v>
      </c>
      <c r="AY64" s="5270">
        <f>AY55-AX55</f>
        <v>-17929</v>
      </c>
      <c r="AZ64" s="5270">
        <v>-17900</v>
      </c>
      <c r="BA64" s="5270">
        <f>BA55-AZ55</f>
        <v>-18110</v>
      </c>
      <c r="BB64" s="5270">
        <f>BB55-BA55</f>
        <v>-18981</v>
      </c>
      <c r="BC64" s="5270">
        <f t="shared" ref="BC64" si="214">BC55-BB55</f>
        <v>-24895</v>
      </c>
      <c r="BD64" s="5270">
        <v>-20895</v>
      </c>
      <c r="BE64" s="5270">
        <v>-20483</v>
      </c>
      <c r="BF64" s="5270">
        <f>BF55-BE55</f>
        <v>-18621</v>
      </c>
      <c r="BG64" s="5270">
        <f>BG55-BF55</f>
        <v>-16718</v>
      </c>
      <c r="BH64" s="5270">
        <f>BH55-BG55</f>
        <v>-17396</v>
      </c>
      <c r="BI64" s="5270">
        <f>SUM(AW64:BH64)</f>
        <v>-231080</v>
      </c>
      <c r="BJ64" s="5272">
        <f>AVERAGE(AW64:BH64)</f>
        <v>-19256.666666666668</v>
      </c>
      <c r="BL64" s="5234">
        <f t="shared" si="182"/>
        <v>-71</v>
      </c>
      <c r="BM64" s="5234">
        <f t="shared" si="183"/>
        <v>-7306.6666666666679</v>
      </c>
      <c r="BN64" s="5255">
        <f t="shared" si="207"/>
        <v>-7836</v>
      </c>
    </row>
    <row r="65" spans="1:66" ht="18" customHeight="1" x14ac:dyDescent="0.55000000000000004">
      <c r="A65" s="7130" t="s">
        <v>872</v>
      </c>
      <c r="B65" s="7131"/>
      <c r="C65" s="5692" t="s">
        <v>44</v>
      </c>
      <c r="D65" s="5693"/>
      <c r="E65" s="5694"/>
      <c r="F65" s="5695"/>
      <c r="G65" s="5694">
        <v>38454</v>
      </c>
      <c r="H65" s="5694">
        <v>37438</v>
      </c>
      <c r="I65" s="5694">
        <v>36442</v>
      </c>
      <c r="J65" s="5694">
        <v>35393</v>
      </c>
      <c r="K65" s="5694">
        <v>59493</v>
      </c>
      <c r="L65" s="5694">
        <v>57833</v>
      </c>
      <c r="M65" s="5694">
        <v>56264</v>
      </c>
      <c r="N65" s="5694">
        <v>75025</v>
      </c>
      <c r="O65" s="5694">
        <v>72699</v>
      </c>
      <c r="P65" s="5694">
        <v>70821</v>
      </c>
      <c r="Q65" s="5694">
        <v>84365</v>
      </c>
      <c r="R65" s="5694">
        <f>Q65</f>
        <v>84365</v>
      </c>
      <c r="S65" s="5694">
        <f t="shared" si="184"/>
        <v>56747.909090909088</v>
      </c>
      <c r="T65" s="5695">
        <v>82280</v>
      </c>
      <c r="U65" s="5694">
        <v>80076</v>
      </c>
      <c r="V65" s="5694">
        <v>88717</v>
      </c>
      <c r="W65" s="5694">
        <v>90391</v>
      </c>
      <c r="X65" s="5694">
        <v>88209</v>
      </c>
      <c r="Y65" s="5694">
        <v>86077</v>
      </c>
      <c r="Z65" s="5676">
        <v>83866</v>
      </c>
      <c r="AA65" s="5676">
        <v>81690</v>
      </c>
      <c r="AB65" s="5676">
        <v>80111</v>
      </c>
      <c r="AC65" s="5676">
        <v>78079</v>
      </c>
      <c r="AD65" s="5676">
        <v>76444</v>
      </c>
      <c r="AE65" s="5676">
        <v>74960</v>
      </c>
      <c r="AF65" s="5678">
        <v>74960</v>
      </c>
      <c r="AG65" s="5678">
        <f>AVERAGE(T65:AE65)</f>
        <v>82575</v>
      </c>
      <c r="AH65" s="5678"/>
      <c r="AI65" s="5679">
        <v>73167</v>
      </c>
      <c r="AJ65" s="5678">
        <v>71769</v>
      </c>
      <c r="AK65" s="5678">
        <v>70348</v>
      </c>
      <c r="AL65" s="5678">
        <v>68999</v>
      </c>
      <c r="AM65" s="5678">
        <v>67723</v>
      </c>
      <c r="AN65" s="5678">
        <v>66586</v>
      </c>
      <c r="AO65" s="5678">
        <v>67323</v>
      </c>
      <c r="AP65" s="5678">
        <v>71398</v>
      </c>
      <c r="AQ65" s="5678">
        <v>70622</v>
      </c>
      <c r="AR65" s="5678">
        <v>69381</v>
      </c>
      <c r="AS65" s="5678">
        <v>68650</v>
      </c>
      <c r="AT65" s="5676">
        <v>67590</v>
      </c>
      <c r="AU65" s="5678">
        <f>INDEX($AI65:$AT65, 1, MATCH(0, $AI65:$AT65, -1))</f>
        <v>67590</v>
      </c>
      <c r="AV65" s="5680">
        <f>AVERAGE(AI65:AT65)</f>
        <v>69463</v>
      </c>
      <c r="AW65" s="5677">
        <v>66322</v>
      </c>
      <c r="AX65" s="5678">
        <v>64615</v>
      </c>
      <c r="AY65" s="5678">
        <v>63539</v>
      </c>
      <c r="AZ65" s="5678">
        <v>62009</v>
      </c>
      <c r="BA65" s="5678">
        <v>61102</v>
      </c>
      <c r="BB65" s="5678">
        <v>59733</v>
      </c>
      <c r="BC65" s="5678">
        <v>57967</v>
      </c>
      <c r="BD65" s="5678">
        <v>56554</v>
      </c>
      <c r="BE65" s="5678">
        <v>54874</v>
      </c>
      <c r="BF65" s="5678">
        <v>53548</v>
      </c>
      <c r="BG65" s="5678">
        <v>52451</v>
      </c>
      <c r="BH65" s="5678">
        <v>51216</v>
      </c>
      <c r="BI65" s="5676">
        <f>INDEX($AW65:$BH65, 1, MATCH(0, $AW65:$BH65, -1))</f>
        <v>51216</v>
      </c>
      <c r="BJ65" s="5680">
        <f>AVERAGE(AW65:BH65)</f>
        <v>58660.833333333336</v>
      </c>
      <c r="BL65" s="5234">
        <f t="shared" si="182"/>
        <v>-16374</v>
      </c>
      <c r="BM65" s="5234">
        <f t="shared" si="183"/>
        <v>-10802.166666666664</v>
      </c>
      <c r="BN65" s="5235">
        <f>AX65-AJ65</f>
        <v>-7154</v>
      </c>
    </row>
    <row r="66" spans="1:66" ht="18" hidden="1" customHeight="1" x14ac:dyDescent="0.55000000000000004">
      <c r="A66" s="7132"/>
      <c r="B66" s="7133"/>
      <c r="C66" s="5709" t="s">
        <v>57</v>
      </c>
      <c r="D66" s="5710"/>
      <c r="E66" s="5711"/>
      <c r="F66" s="5712"/>
      <c r="G66" s="5711"/>
      <c r="H66" s="5711"/>
      <c r="I66" s="5711"/>
      <c r="J66" s="5711"/>
      <c r="K66" s="5711"/>
      <c r="L66" s="5711"/>
      <c r="M66" s="5711"/>
      <c r="N66" s="5711"/>
      <c r="O66" s="5711"/>
      <c r="P66" s="5711"/>
      <c r="Q66" s="5711"/>
      <c r="R66" s="5711">
        <f t="shared" si="179"/>
        <v>0</v>
      </c>
      <c r="S66" s="5711" t="e">
        <f t="shared" si="184"/>
        <v>#DIV/0!</v>
      </c>
      <c r="T66" s="5712"/>
      <c r="U66" s="5711"/>
      <c r="V66" s="5711"/>
      <c r="W66" s="5711"/>
      <c r="X66" s="5711"/>
      <c r="Y66" s="5711"/>
      <c r="Z66" s="5713"/>
      <c r="AA66" s="5713"/>
      <c r="AB66" s="5713"/>
      <c r="AC66" s="5713"/>
      <c r="AD66" s="5713"/>
      <c r="AE66" s="5713"/>
      <c r="AF66" s="5714"/>
      <c r="AG66" s="5714"/>
      <c r="AH66" s="5714"/>
      <c r="AI66" s="5715"/>
      <c r="AJ66" s="5714"/>
      <c r="AK66" s="5714"/>
      <c r="AL66" s="5714"/>
      <c r="AM66" s="5714"/>
      <c r="AN66" s="5714"/>
      <c r="AO66" s="5714"/>
      <c r="AP66" s="5714"/>
      <c r="AQ66" s="5714"/>
      <c r="AR66" s="5714"/>
      <c r="AS66" s="5714"/>
      <c r="AT66" s="5713"/>
      <c r="AU66" s="5714">
        <f>SUM(AI66:AQ66)</f>
        <v>0</v>
      </c>
      <c r="AV66" s="5716" t="s">
        <v>483</v>
      </c>
      <c r="AW66" s="5717">
        <f>AW67+AW68</f>
        <v>0</v>
      </c>
      <c r="AX66" s="5714"/>
      <c r="AY66" s="5714"/>
      <c r="AZ66" s="5714"/>
      <c r="BA66" s="5714"/>
      <c r="BB66" s="5714"/>
      <c r="BC66" s="5714"/>
      <c r="BD66" s="5714"/>
      <c r="BE66" s="5714"/>
      <c r="BF66" s="5714"/>
      <c r="BG66" s="5714"/>
      <c r="BH66" s="5714"/>
      <c r="BI66" s="5714">
        <f>SUM(AW66:BE66)</f>
        <v>0</v>
      </c>
      <c r="BJ66" s="5716" t="s">
        <v>483</v>
      </c>
      <c r="BL66" s="5234">
        <f t="shared" si="182"/>
        <v>0</v>
      </c>
      <c r="BM66" s="5234" t="e">
        <f t="shared" si="183"/>
        <v>#VALUE!</v>
      </c>
      <c r="BN66" s="5255">
        <f t="shared" ref="BN66:BN74" si="215">HLOOKUP($A$1,$AW$1:$BH$400,ROW(),0)-SUM(AI66:AJ66)</f>
        <v>0</v>
      </c>
    </row>
    <row r="67" spans="1:66" ht="18" hidden="1" customHeight="1" x14ac:dyDescent="0.55000000000000004">
      <c r="A67" s="7132"/>
      <c r="B67" s="7133"/>
      <c r="C67" s="2648"/>
      <c r="D67" s="2648" t="s">
        <v>47</v>
      </c>
      <c r="E67" s="5687"/>
      <c r="F67" s="5296"/>
      <c r="G67" s="5297"/>
      <c r="H67" s="5297"/>
      <c r="I67" s="5297"/>
      <c r="J67" s="5297"/>
      <c r="K67" s="5297"/>
      <c r="L67" s="5297"/>
      <c r="M67" s="5297"/>
      <c r="N67" s="5297"/>
      <c r="O67" s="5297"/>
      <c r="P67" s="5297"/>
      <c r="Q67" s="5297"/>
      <c r="R67" s="5297">
        <f t="shared" si="179"/>
        <v>0</v>
      </c>
      <c r="S67" s="5297" t="e">
        <f t="shared" si="184"/>
        <v>#DIV/0!</v>
      </c>
      <c r="T67" s="5296"/>
      <c r="U67" s="5297"/>
      <c r="V67" s="5297"/>
      <c r="W67" s="5297"/>
      <c r="X67" s="5297"/>
      <c r="Y67" s="5297"/>
      <c r="Z67" s="3263"/>
      <c r="AA67" s="3263"/>
      <c r="AB67" s="3263"/>
      <c r="AC67" s="3263"/>
      <c r="AD67" s="3263"/>
      <c r="AE67" s="3263"/>
      <c r="AF67" s="5257"/>
      <c r="AG67" s="5257"/>
      <c r="AH67" s="5257"/>
      <c r="AI67" s="5258"/>
      <c r="AJ67" s="5257"/>
      <c r="AK67" s="5257"/>
      <c r="AL67" s="5257"/>
      <c r="AM67" s="5257"/>
      <c r="AN67" s="5257"/>
      <c r="AO67" s="5257"/>
      <c r="AP67" s="5257"/>
      <c r="AQ67" s="5257"/>
      <c r="AR67" s="5257"/>
      <c r="AS67" s="5257"/>
      <c r="AT67" s="3263"/>
      <c r="AU67" s="5257">
        <f>SUM(AI67:AQ67)</f>
        <v>0</v>
      </c>
      <c r="AV67" s="5689" t="s">
        <v>483</v>
      </c>
      <c r="AW67" s="5256"/>
      <c r="AX67" s="5257"/>
      <c r="AY67" s="5257"/>
      <c r="AZ67" s="5257"/>
      <c r="BA67" s="5257"/>
      <c r="BB67" s="5257"/>
      <c r="BC67" s="5257"/>
      <c r="BD67" s="5257"/>
      <c r="BE67" s="5257"/>
      <c r="BF67" s="5257"/>
      <c r="BG67" s="5257"/>
      <c r="BH67" s="5257"/>
      <c r="BI67" s="5257">
        <f>SUM(AW67:BE67)</f>
        <v>0</v>
      </c>
      <c r="BJ67" s="5689" t="s">
        <v>483</v>
      </c>
      <c r="BL67" s="5234">
        <f t="shared" si="182"/>
        <v>0</v>
      </c>
      <c r="BM67" s="5234" t="e">
        <f t="shared" si="183"/>
        <v>#VALUE!</v>
      </c>
      <c r="BN67" s="5255">
        <f t="shared" si="215"/>
        <v>0</v>
      </c>
    </row>
    <row r="68" spans="1:66" ht="18" hidden="1" customHeight="1" x14ac:dyDescent="0.55000000000000004">
      <c r="A68" s="7132"/>
      <c r="B68" s="7133"/>
      <c r="C68" s="2648"/>
      <c r="D68" s="2648" t="s">
        <v>56</v>
      </c>
      <c r="E68" s="5687"/>
      <c r="F68" s="5296"/>
      <c r="G68" s="5297"/>
      <c r="H68" s="5297"/>
      <c r="I68" s="5297"/>
      <c r="J68" s="5297"/>
      <c r="K68" s="5297"/>
      <c r="L68" s="5297"/>
      <c r="M68" s="5297"/>
      <c r="N68" s="5297"/>
      <c r="O68" s="5297"/>
      <c r="P68" s="5297"/>
      <c r="Q68" s="5297"/>
      <c r="R68" s="5297">
        <f t="shared" si="179"/>
        <v>0</v>
      </c>
      <c r="S68" s="5297" t="e">
        <f t="shared" si="184"/>
        <v>#DIV/0!</v>
      </c>
      <c r="T68" s="5296"/>
      <c r="U68" s="5297"/>
      <c r="V68" s="5297"/>
      <c r="W68" s="5297"/>
      <c r="X68" s="5297"/>
      <c r="Y68" s="5297"/>
      <c r="Z68" s="3263"/>
      <c r="AA68" s="3263"/>
      <c r="AB68" s="3263"/>
      <c r="AC68" s="3263"/>
      <c r="AD68" s="3263"/>
      <c r="AE68" s="3263"/>
      <c r="AF68" s="5257"/>
      <c r="AG68" s="5257"/>
      <c r="AH68" s="5257"/>
      <c r="AI68" s="5258"/>
      <c r="AJ68" s="5257"/>
      <c r="AK68" s="5257"/>
      <c r="AL68" s="5257"/>
      <c r="AM68" s="5257"/>
      <c r="AN68" s="5257"/>
      <c r="AO68" s="5257"/>
      <c r="AP68" s="5257"/>
      <c r="AQ68" s="5257"/>
      <c r="AR68" s="5257"/>
      <c r="AS68" s="5257"/>
      <c r="AT68" s="3263"/>
      <c r="AU68" s="5257">
        <f>SUM(AI68:AQ68)</f>
        <v>0</v>
      </c>
      <c r="AV68" s="5689" t="s">
        <v>483</v>
      </c>
      <c r="AW68" s="5256"/>
      <c r="AX68" s="5257"/>
      <c r="AY68" s="5257"/>
      <c r="AZ68" s="5257"/>
      <c r="BA68" s="5257"/>
      <c r="BB68" s="5257"/>
      <c r="BC68" s="5257"/>
      <c r="BD68" s="5257"/>
      <c r="BE68" s="5257"/>
      <c r="BF68" s="5257"/>
      <c r="BG68" s="5257"/>
      <c r="BH68" s="5257"/>
      <c r="BI68" s="5257">
        <f>SUM(AW68:BE68)</f>
        <v>0</v>
      </c>
      <c r="BJ68" s="5689" t="s">
        <v>483</v>
      </c>
      <c r="BL68" s="5234">
        <f t="shared" si="182"/>
        <v>0</v>
      </c>
      <c r="BM68" s="5234" t="e">
        <f t="shared" si="183"/>
        <v>#VALUE!</v>
      </c>
      <c r="BN68" s="5255">
        <f t="shared" si="215"/>
        <v>0</v>
      </c>
    </row>
    <row r="69" spans="1:66" ht="18" customHeight="1" x14ac:dyDescent="0.55000000000000004">
      <c r="A69" s="7132"/>
      <c r="B69" s="7133"/>
      <c r="C69" s="2648" t="s">
        <v>48</v>
      </c>
      <c r="D69" s="2648"/>
      <c r="E69" s="5687"/>
      <c r="F69" s="5296"/>
      <c r="G69" s="5297">
        <v>176</v>
      </c>
      <c r="H69" s="5297">
        <v>334</v>
      </c>
      <c r="I69" s="5297">
        <v>280</v>
      </c>
      <c r="J69" s="5297">
        <v>287</v>
      </c>
      <c r="K69" s="5297">
        <v>324</v>
      </c>
      <c r="L69" s="5297">
        <v>461</v>
      </c>
      <c r="M69" s="5297">
        <v>459</v>
      </c>
      <c r="N69" s="5297">
        <v>444</v>
      </c>
      <c r="O69" s="5297">
        <v>634</v>
      </c>
      <c r="P69" s="5297">
        <v>545</v>
      </c>
      <c r="Q69" s="5297">
        <v>606</v>
      </c>
      <c r="R69" s="5297">
        <f t="shared" si="179"/>
        <v>4550</v>
      </c>
      <c r="S69" s="5297">
        <f t="shared" si="184"/>
        <v>413.63636363636363</v>
      </c>
      <c r="T69" s="5296">
        <v>634</v>
      </c>
      <c r="U69" s="5297">
        <v>710</v>
      </c>
      <c r="V69" s="5297">
        <v>612</v>
      </c>
      <c r="W69" s="5297">
        <v>645</v>
      </c>
      <c r="X69" s="5297">
        <v>881</v>
      </c>
      <c r="Y69" s="5297">
        <v>830</v>
      </c>
      <c r="Z69" s="3263">
        <v>914</v>
      </c>
      <c r="AA69" s="3263">
        <v>867</v>
      </c>
      <c r="AB69" s="3263">
        <v>687</v>
      </c>
      <c r="AC69" s="3263">
        <v>757</v>
      </c>
      <c r="AD69" s="3263">
        <v>709</v>
      </c>
      <c r="AE69" s="3263">
        <v>659</v>
      </c>
      <c r="AF69" s="5257">
        <f t="shared" ref="AF69:AF74" si="216">SUM(T69:AE69)</f>
        <v>8905</v>
      </c>
      <c r="AG69" s="5257">
        <f t="shared" ref="AG69:AG74" si="217">AVERAGE(T69:AE69)</f>
        <v>742.08333333333337</v>
      </c>
      <c r="AH69" s="5257"/>
      <c r="AI69" s="5258">
        <v>654</v>
      </c>
      <c r="AJ69" s="5257">
        <v>592</v>
      </c>
      <c r="AK69" s="5257">
        <v>635</v>
      </c>
      <c r="AL69" s="5257">
        <v>530</v>
      </c>
      <c r="AM69" s="5257">
        <v>543</v>
      </c>
      <c r="AN69" s="5257">
        <v>487</v>
      </c>
      <c r="AO69" s="5257">
        <v>537</v>
      </c>
      <c r="AP69" s="5257">
        <v>561</v>
      </c>
      <c r="AQ69" s="5257">
        <v>468</v>
      </c>
      <c r="AR69" s="5257">
        <v>527</v>
      </c>
      <c r="AS69" s="5257">
        <v>573</v>
      </c>
      <c r="AT69" s="3263">
        <v>537</v>
      </c>
      <c r="AU69" s="5257">
        <f>SUM(AI69:AT69)</f>
        <v>6644</v>
      </c>
      <c r="AV69" s="5259">
        <f>AVERAGE(AI69:AS69)</f>
        <v>555.18181818181813</v>
      </c>
      <c r="AW69" s="5256">
        <v>468</v>
      </c>
      <c r="AX69" s="5257">
        <v>550</v>
      </c>
      <c r="AY69" s="5257">
        <v>499</v>
      </c>
      <c r="AZ69" s="5257">
        <v>471</v>
      </c>
      <c r="BA69" s="5257">
        <v>325</v>
      </c>
      <c r="BB69" s="5257">
        <v>355</v>
      </c>
      <c r="BC69" s="5257">
        <v>510</v>
      </c>
      <c r="BD69" s="5257">
        <v>412</v>
      </c>
      <c r="BE69" s="5257">
        <v>423</v>
      </c>
      <c r="BF69" s="5257">
        <v>350</v>
      </c>
      <c r="BG69" s="5257">
        <v>347</v>
      </c>
      <c r="BH69" s="5257">
        <v>354</v>
      </c>
      <c r="BI69" s="5257">
        <f>SUM(AW69:BH69)</f>
        <v>5064</v>
      </c>
      <c r="BJ69" s="5259">
        <f>AVERAGE(AW69:BG69)</f>
        <v>428.18181818181819</v>
      </c>
      <c r="BL69" s="5234">
        <f t="shared" si="182"/>
        <v>-183</v>
      </c>
      <c r="BM69" s="5234">
        <f t="shared" si="183"/>
        <v>-126.99999999999994</v>
      </c>
      <c r="BN69" s="5255">
        <f t="shared" si="215"/>
        <v>-892</v>
      </c>
    </row>
    <row r="70" spans="1:66" ht="18" customHeight="1" x14ac:dyDescent="0.55000000000000004">
      <c r="A70" s="7132"/>
      <c r="B70" s="7133"/>
      <c r="C70" s="2648" t="s">
        <v>59</v>
      </c>
      <c r="D70" s="2648"/>
      <c r="E70" s="5687"/>
      <c r="F70" s="5296"/>
      <c r="G70" s="5297"/>
      <c r="H70" s="5297">
        <v>2</v>
      </c>
      <c r="I70" s="5297">
        <v>1</v>
      </c>
      <c r="J70" s="5297">
        <v>10</v>
      </c>
      <c r="K70" s="5297">
        <v>1</v>
      </c>
      <c r="L70" s="5297">
        <v>1</v>
      </c>
      <c r="M70" s="5297">
        <v>2</v>
      </c>
      <c r="N70" s="5297">
        <v>3</v>
      </c>
      <c r="O70" s="5297">
        <v>2</v>
      </c>
      <c r="P70" s="5297">
        <v>2</v>
      </c>
      <c r="Q70" s="5297">
        <v>23</v>
      </c>
      <c r="R70" s="5297">
        <f t="shared" si="179"/>
        <v>47</v>
      </c>
      <c r="S70" s="5297">
        <f t="shared" si="184"/>
        <v>4.7</v>
      </c>
      <c r="T70" s="5296">
        <v>0</v>
      </c>
      <c r="U70" s="5297">
        <v>1</v>
      </c>
      <c r="V70" s="5297">
        <v>2</v>
      </c>
      <c r="W70" s="5297">
        <v>1</v>
      </c>
      <c r="X70" s="5297">
        <v>20</v>
      </c>
      <c r="Y70" s="5297">
        <v>3</v>
      </c>
      <c r="Z70" s="3263">
        <v>1</v>
      </c>
      <c r="AA70" s="3263">
        <v>2</v>
      </c>
      <c r="AB70" s="3263">
        <v>2</v>
      </c>
      <c r="AC70" s="3263">
        <v>0</v>
      </c>
      <c r="AD70" s="3263">
        <v>3</v>
      </c>
      <c r="AE70" s="3263">
        <v>37</v>
      </c>
      <c r="AF70" s="5257">
        <f t="shared" si="216"/>
        <v>72</v>
      </c>
      <c r="AG70" s="5257">
        <f t="shared" si="217"/>
        <v>6</v>
      </c>
      <c r="AH70" s="5257"/>
      <c r="AI70" s="5258">
        <v>2</v>
      </c>
      <c r="AJ70" s="5257">
        <v>4</v>
      </c>
      <c r="AK70" s="5257">
        <v>3</v>
      </c>
      <c r="AL70" s="5257">
        <v>4</v>
      </c>
      <c r="AM70" s="5257">
        <v>26</v>
      </c>
      <c r="AN70" s="5257">
        <v>5</v>
      </c>
      <c r="AO70" s="5257">
        <v>2</v>
      </c>
      <c r="AP70" s="5257">
        <v>6</v>
      </c>
      <c r="AQ70" s="5257">
        <v>3</v>
      </c>
      <c r="AR70" s="5257">
        <v>4</v>
      </c>
      <c r="AS70" s="5257">
        <v>4</v>
      </c>
      <c r="AT70" s="3263">
        <v>26</v>
      </c>
      <c r="AU70" s="5257">
        <f>SUM(AI70:AT70)</f>
        <v>89</v>
      </c>
      <c r="AV70" s="5259">
        <f>AVERAGE(AI70:AS70)</f>
        <v>5.7272727272727275</v>
      </c>
      <c r="AW70" s="5256">
        <v>8</v>
      </c>
      <c r="AX70" s="5257">
        <v>6</v>
      </c>
      <c r="AY70" s="5257">
        <v>2</v>
      </c>
      <c r="AZ70" s="5257">
        <v>3</v>
      </c>
      <c r="BA70" s="5257">
        <v>1</v>
      </c>
      <c r="BB70" s="5257">
        <v>25</v>
      </c>
      <c r="BC70" s="5257">
        <v>2</v>
      </c>
      <c r="BD70" s="5257">
        <v>2</v>
      </c>
      <c r="BE70" s="5257">
        <v>2</v>
      </c>
      <c r="BF70" s="5257">
        <v>2</v>
      </c>
      <c r="BG70" s="5257">
        <v>6</v>
      </c>
      <c r="BH70" s="5257">
        <v>0</v>
      </c>
      <c r="BI70" s="5257">
        <f>SUM(AW70:BH70)</f>
        <v>59</v>
      </c>
      <c r="BJ70" s="5259">
        <f>AVERAGE(AW70:BG70)</f>
        <v>5.3636363636363633</v>
      </c>
      <c r="BL70" s="5234">
        <f t="shared" si="182"/>
        <v>-26</v>
      </c>
      <c r="BM70" s="5234">
        <f t="shared" si="183"/>
        <v>-0.3636363636363642</v>
      </c>
      <c r="BN70" s="5255">
        <f t="shared" si="215"/>
        <v>-6</v>
      </c>
    </row>
    <row r="71" spans="1:66" ht="18" customHeight="1" x14ac:dyDescent="0.55000000000000004">
      <c r="A71" s="7132"/>
      <c r="B71" s="7133"/>
      <c r="C71" s="2648" t="s">
        <v>49</v>
      </c>
      <c r="D71" s="2648"/>
      <c r="E71" s="5687"/>
      <c r="F71" s="5296"/>
      <c r="G71" s="5297"/>
      <c r="H71" s="5297"/>
      <c r="I71" s="5297"/>
      <c r="J71" s="5297"/>
      <c r="K71" s="5297"/>
      <c r="L71" s="5297"/>
      <c r="M71" s="5297"/>
      <c r="N71" s="5297"/>
      <c r="O71" s="5297"/>
      <c r="P71" s="5297"/>
      <c r="Q71" s="5297"/>
      <c r="R71" s="5297">
        <f t="shared" si="179"/>
        <v>0</v>
      </c>
      <c r="S71" s="5297" t="e">
        <f t="shared" si="184"/>
        <v>#DIV/0!</v>
      </c>
      <c r="T71" s="5296">
        <f>T66-T69-T72-T74</f>
        <v>1451</v>
      </c>
      <c r="U71" s="5297">
        <f>U66-U69-U72-U74</f>
        <v>1494</v>
      </c>
      <c r="V71" s="5297">
        <f>V66-V69-V72-V74</f>
        <v>-9254</v>
      </c>
      <c r="W71" s="5297">
        <f>W66-W69-W72-W74</f>
        <v>-2336</v>
      </c>
      <c r="X71" s="5297">
        <f t="shared" ref="X71:AE71" si="218">X66-X69-X72-X74</f>
        <v>1300</v>
      </c>
      <c r="Y71" s="5297">
        <f t="shared" si="218"/>
        <v>1228</v>
      </c>
      <c r="Z71" s="3263">
        <f t="shared" si="218"/>
        <v>1296</v>
      </c>
      <c r="AA71" s="3263">
        <f t="shared" si="218"/>
        <v>1303</v>
      </c>
      <c r="AB71" s="3263">
        <f t="shared" si="218"/>
        <v>875</v>
      </c>
      <c r="AC71" s="3263">
        <f t="shared" si="218"/>
        <v>1268</v>
      </c>
      <c r="AD71" s="3263">
        <f t="shared" si="218"/>
        <v>914</v>
      </c>
      <c r="AE71" s="3263">
        <f t="shared" si="218"/>
        <v>814</v>
      </c>
      <c r="AF71" s="5257">
        <f t="shared" si="216"/>
        <v>353</v>
      </c>
      <c r="AG71" s="5257">
        <f t="shared" si="217"/>
        <v>29.416666666666668</v>
      </c>
      <c r="AH71" s="5257"/>
      <c r="AI71" s="5258">
        <f t="shared" ref="AI71:AT71" si="219">-(AI74-(-AI69-AI72))</f>
        <v>1117</v>
      </c>
      <c r="AJ71" s="5277">
        <f t="shared" si="219"/>
        <v>790</v>
      </c>
      <c r="AK71" s="5277">
        <f t="shared" si="219"/>
        <v>759</v>
      </c>
      <c r="AL71" s="5277">
        <f t="shared" si="219"/>
        <v>791</v>
      </c>
      <c r="AM71" s="5277">
        <f t="shared" si="219"/>
        <v>712</v>
      </c>
      <c r="AN71" s="5277">
        <f t="shared" si="219"/>
        <v>632</v>
      </c>
      <c r="AO71" s="5277">
        <f t="shared" si="219"/>
        <v>-1294</v>
      </c>
      <c r="AP71" s="5277">
        <f t="shared" si="219"/>
        <v>-4658</v>
      </c>
      <c r="AQ71" s="5277">
        <f t="shared" si="219"/>
        <v>-98</v>
      </c>
      <c r="AR71" s="5277">
        <f t="shared" si="219"/>
        <v>254</v>
      </c>
      <c r="AS71" s="5277">
        <f t="shared" si="219"/>
        <v>-97</v>
      </c>
      <c r="AT71" s="5277">
        <f t="shared" si="219"/>
        <v>287</v>
      </c>
      <c r="AU71" s="5257">
        <f>SUM(AI71:AT71)</f>
        <v>-805</v>
      </c>
      <c r="AV71" s="5259">
        <f>AVERAGE(AI71:AS71)</f>
        <v>-99.272727272727266</v>
      </c>
      <c r="AW71" s="5277">
        <f>-(AW74-(-AW69-AW72))</f>
        <v>496</v>
      </c>
      <c r="AX71" s="5277">
        <f t="shared" ref="AX71:BG71" si="220">-(AX74-(-AX69-AX72))</f>
        <v>846</v>
      </c>
      <c r="AY71" s="5277">
        <f t="shared" si="220"/>
        <v>574</v>
      </c>
      <c r="AZ71" s="5277">
        <f t="shared" si="220"/>
        <v>616</v>
      </c>
      <c r="BA71" s="5277">
        <f>-(BA74-(-BA69-BA72))</f>
        <v>581</v>
      </c>
      <c r="BB71" s="5277">
        <f t="shared" si="220"/>
        <v>589</v>
      </c>
      <c r="BC71" s="5277">
        <f t="shared" si="220"/>
        <v>611</v>
      </c>
      <c r="BD71" s="5277">
        <f t="shared" si="220"/>
        <v>650</v>
      </c>
      <c r="BE71" s="5277">
        <f t="shared" si="220"/>
        <v>717</v>
      </c>
      <c r="BF71" s="5277">
        <f t="shared" si="220"/>
        <v>651</v>
      </c>
      <c r="BG71" s="5277">
        <f t="shared" si="220"/>
        <v>458</v>
      </c>
      <c r="BH71" s="5277">
        <f>-(BH74-(-BH69-BH72))</f>
        <v>510</v>
      </c>
      <c r="BI71" s="5257">
        <f>SUM(AW71:BH71)</f>
        <v>7299</v>
      </c>
      <c r="BJ71" s="5259">
        <f>AVERAGE(AW71:BG71)</f>
        <v>617.18181818181813</v>
      </c>
      <c r="BL71" s="5234">
        <f t="shared" ref="BL71:BL102" si="221">HLOOKUP($A$1,$AW$1:$BH$400,ROW(),0)-HLOOKUP($A$1,$AI$1:$AT$400,ROW(),0)</f>
        <v>223</v>
      </c>
      <c r="BM71" s="5234">
        <f t="shared" ref="BM71:BM102" si="222">BJ71-AV71</f>
        <v>716.45454545454538</v>
      </c>
      <c r="BN71" s="5255">
        <f t="shared" si="215"/>
        <v>-1397</v>
      </c>
    </row>
    <row r="72" spans="1:66" ht="18" customHeight="1" x14ac:dyDescent="0.55000000000000004">
      <c r="A72" s="7132"/>
      <c r="B72" s="7133"/>
      <c r="C72" s="2648" t="s">
        <v>50</v>
      </c>
      <c r="D72" s="2648"/>
      <c r="E72" s="5687"/>
      <c r="F72" s="5296"/>
      <c r="G72" s="5297"/>
      <c r="H72" s="5297"/>
      <c r="I72" s="5297"/>
      <c r="J72" s="5297">
        <v>605</v>
      </c>
      <c r="K72" s="5297">
        <v>708</v>
      </c>
      <c r="L72" s="5297">
        <v>972</v>
      </c>
      <c r="M72" s="5297">
        <v>873</v>
      </c>
      <c r="N72" s="5297">
        <v>784</v>
      </c>
      <c r="O72" s="5297">
        <v>1322</v>
      </c>
      <c r="P72" s="5297">
        <v>1090</v>
      </c>
      <c r="Q72" s="5297">
        <v>1046</v>
      </c>
      <c r="R72" s="5297">
        <f t="shared" si="179"/>
        <v>7400</v>
      </c>
      <c r="S72" s="5297">
        <f t="shared" si="184"/>
        <v>925</v>
      </c>
      <c r="T72" s="5296">
        <v>0</v>
      </c>
      <c r="U72" s="5297">
        <v>0</v>
      </c>
      <c r="V72" s="5297">
        <v>1</v>
      </c>
      <c r="W72" s="5297">
        <v>17</v>
      </c>
      <c r="X72" s="5297">
        <v>1</v>
      </c>
      <c r="Y72" s="5297">
        <v>74</v>
      </c>
      <c r="Z72" s="3263">
        <v>1</v>
      </c>
      <c r="AA72" s="3263">
        <v>6</v>
      </c>
      <c r="AB72" s="3263">
        <v>17</v>
      </c>
      <c r="AC72" s="3263">
        <v>7</v>
      </c>
      <c r="AD72" s="3263">
        <v>12</v>
      </c>
      <c r="AE72" s="3263">
        <v>11</v>
      </c>
      <c r="AF72" s="5257">
        <f t="shared" si="216"/>
        <v>147</v>
      </c>
      <c r="AG72" s="5257">
        <f t="shared" si="217"/>
        <v>12.25</v>
      </c>
      <c r="AH72" s="5257"/>
      <c r="AI72" s="5258">
        <v>22</v>
      </c>
      <c r="AJ72" s="5257">
        <v>16</v>
      </c>
      <c r="AK72" s="5257">
        <v>27</v>
      </c>
      <c r="AL72" s="5257">
        <v>28</v>
      </c>
      <c r="AM72" s="5257">
        <v>21</v>
      </c>
      <c r="AN72" s="5257">
        <v>18</v>
      </c>
      <c r="AO72" s="5257">
        <v>20</v>
      </c>
      <c r="AP72" s="5257">
        <v>22</v>
      </c>
      <c r="AQ72" s="5257">
        <v>406</v>
      </c>
      <c r="AR72" s="5257">
        <v>460</v>
      </c>
      <c r="AS72" s="5257">
        <v>255</v>
      </c>
      <c r="AT72" s="3263">
        <v>236</v>
      </c>
      <c r="AU72" s="5257">
        <f>SUM(AI72:AT72)</f>
        <v>1531</v>
      </c>
      <c r="AV72" s="5259">
        <f>AVERAGE(AI72:AS72)</f>
        <v>117.72727272727273</v>
      </c>
      <c r="AW72" s="5256">
        <v>304</v>
      </c>
      <c r="AX72" s="5257">
        <v>311</v>
      </c>
      <c r="AY72" s="5257">
        <v>3</v>
      </c>
      <c r="AZ72" s="5257">
        <v>443</v>
      </c>
      <c r="BA72" s="5257">
        <v>1</v>
      </c>
      <c r="BB72" s="5257">
        <v>425</v>
      </c>
      <c r="BC72" s="5257">
        <v>645</v>
      </c>
      <c r="BD72" s="5257">
        <v>351</v>
      </c>
      <c r="BE72" s="5257">
        <v>540</v>
      </c>
      <c r="BF72" s="5257">
        <v>325</v>
      </c>
      <c r="BG72" s="5257">
        <v>292</v>
      </c>
      <c r="BH72" s="5257">
        <v>371</v>
      </c>
      <c r="BI72" s="5257">
        <f>SUM(AW72:BH72)</f>
        <v>4011</v>
      </c>
      <c r="BJ72" s="5259">
        <f>AVERAGE(AW72:BG72)</f>
        <v>330.90909090909093</v>
      </c>
      <c r="BL72" s="5234">
        <f t="shared" si="221"/>
        <v>135</v>
      </c>
      <c r="BM72" s="5234">
        <f t="shared" si="222"/>
        <v>213.18181818181819</v>
      </c>
      <c r="BN72" s="5255">
        <f t="shared" si="215"/>
        <v>333</v>
      </c>
    </row>
    <row r="73" spans="1:66" ht="18" hidden="1" customHeight="1" x14ac:dyDescent="0.55000000000000004">
      <c r="A73" s="7132"/>
      <c r="B73" s="7133"/>
      <c r="C73" s="2648" t="s">
        <v>768</v>
      </c>
      <c r="D73" s="2648"/>
      <c r="E73" s="5687"/>
      <c r="F73" s="5296"/>
      <c r="G73" s="5297"/>
      <c r="H73" s="5297"/>
      <c r="I73" s="5297"/>
      <c r="J73" s="5297"/>
      <c r="K73" s="5297"/>
      <c r="L73" s="5297"/>
      <c r="M73" s="5297"/>
      <c r="N73" s="5297"/>
      <c r="O73" s="5297"/>
      <c r="P73" s="5297"/>
      <c r="Q73" s="5297"/>
      <c r="R73" s="5297">
        <f t="shared" si="179"/>
        <v>0</v>
      </c>
      <c r="S73" s="5297" t="e">
        <f t="shared" si="184"/>
        <v>#DIV/0!</v>
      </c>
      <c r="T73" s="5296"/>
      <c r="U73" s="5297"/>
      <c r="V73" s="5297"/>
      <c r="W73" s="5297"/>
      <c r="X73" s="5297"/>
      <c r="Y73" s="5297"/>
      <c r="Z73" s="3263"/>
      <c r="AA73" s="3263"/>
      <c r="AB73" s="3263"/>
      <c r="AC73" s="3263"/>
      <c r="AD73" s="3263"/>
      <c r="AE73" s="3263"/>
      <c r="AF73" s="5257"/>
      <c r="AG73" s="5688"/>
      <c r="AH73" s="5257"/>
      <c r="AI73" s="5258"/>
      <c r="AJ73" s="5257"/>
      <c r="AK73" s="5257"/>
      <c r="AL73" s="5257"/>
      <c r="AM73" s="5257"/>
      <c r="AN73" s="5257"/>
      <c r="AO73" s="5257"/>
      <c r="AP73" s="5257"/>
      <c r="AQ73" s="5257"/>
      <c r="AR73" s="5257"/>
      <c r="AS73" s="5257"/>
      <c r="AT73" s="3263"/>
      <c r="AU73" s="5257"/>
      <c r="AV73" s="5689"/>
      <c r="AW73" s="5256"/>
      <c r="AX73" s="5257"/>
      <c r="AY73" s="5257"/>
      <c r="AZ73" s="5257"/>
      <c r="BA73" s="5257"/>
      <c r="BB73" s="5257"/>
      <c r="BC73" s="5257"/>
      <c r="BD73" s="5257"/>
      <c r="BE73" s="5257"/>
      <c r="BF73" s="5257"/>
      <c r="BG73" s="5257"/>
      <c r="BH73" s="5257"/>
      <c r="BI73" s="5257"/>
      <c r="BJ73" s="5689"/>
      <c r="BL73" s="5234">
        <f t="shared" si="221"/>
        <v>0</v>
      </c>
      <c r="BM73" s="5234">
        <f t="shared" si="222"/>
        <v>0</v>
      </c>
      <c r="BN73" s="5255">
        <f t="shared" si="215"/>
        <v>0</v>
      </c>
    </row>
    <row r="74" spans="1:66" ht="18" customHeight="1" x14ac:dyDescent="0.55000000000000004">
      <c r="A74" s="7149"/>
      <c r="B74" s="7150"/>
      <c r="C74" s="5718" t="s">
        <v>51</v>
      </c>
      <c r="D74" s="5719"/>
      <c r="E74" s="5720"/>
      <c r="F74" s="5721"/>
      <c r="G74" s="5720"/>
      <c r="H74" s="5720"/>
      <c r="I74" s="5720"/>
      <c r="J74" s="5720"/>
      <c r="K74" s="5720"/>
      <c r="L74" s="5720"/>
      <c r="M74" s="5720"/>
      <c r="N74" s="5720"/>
      <c r="O74" s="5720"/>
      <c r="P74" s="5720"/>
      <c r="Q74" s="5720"/>
      <c r="R74" s="5720">
        <f t="shared" si="179"/>
        <v>0</v>
      </c>
      <c r="S74" s="5720" t="e">
        <f t="shared" si="184"/>
        <v>#DIV/0!</v>
      </c>
      <c r="T74" s="5721">
        <f>T65-Q65</f>
        <v>-2085</v>
      </c>
      <c r="U74" s="5720">
        <f t="shared" ref="U74:AE74" si="223">U65-T65</f>
        <v>-2204</v>
      </c>
      <c r="V74" s="5720">
        <f t="shared" si="223"/>
        <v>8641</v>
      </c>
      <c r="W74" s="5720">
        <f t="shared" si="223"/>
        <v>1674</v>
      </c>
      <c r="X74" s="5720">
        <f t="shared" si="223"/>
        <v>-2182</v>
      </c>
      <c r="Y74" s="5720">
        <f t="shared" si="223"/>
        <v>-2132</v>
      </c>
      <c r="Z74" s="5722">
        <f t="shared" si="223"/>
        <v>-2211</v>
      </c>
      <c r="AA74" s="5722">
        <f t="shared" si="223"/>
        <v>-2176</v>
      </c>
      <c r="AB74" s="5722">
        <f t="shared" si="223"/>
        <v>-1579</v>
      </c>
      <c r="AC74" s="5722">
        <f t="shared" si="223"/>
        <v>-2032</v>
      </c>
      <c r="AD74" s="5722">
        <f t="shared" si="223"/>
        <v>-1635</v>
      </c>
      <c r="AE74" s="5722">
        <f t="shared" si="223"/>
        <v>-1484</v>
      </c>
      <c r="AF74" s="5723">
        <f t="shared" si="216"/>
        <v>-9405</v>
      </c>
      <c r="AG74" s="5723">
        <f t="shared" si="217"/>
        <v>-783.75</v>
      </c>
      <c r="AH74" s="5723"/>
      <c r="AI74" s="5724">
        <v>-1793</v>
      </c>
      <c r="AJ74" s="5723">
        <v>-1398</v>
      </c>
      <c r="AK74" s="5723">
        <v>-1421</v>
      </c>
      <c r="AL74" s="5723">
        <v>-1349</v>
      </c>
      <c r="AM74" s="5723">
        <v>-1276</v>
      </c>
      <c r="AN74" s="5723">
        <v>-1137</v>
      </c>
      <c r="AO74" s="5723">
        <v>737</v>
      </c>
      <c r="AP74" s="5723">
        <v>4075</v>
      </c>
      <c r="AQ74" s="5723">
        <v>-776</v>
      </c>
      <c r="AR74" s="5723">
        <v>-1241</v>
      </c>
      <c r="AS74" s="5723">
        <v>-731</v>
      </c>
      <c r="AT74" s="5722">
        <v>-1060</v>
      </c>
      <c r="AU74" s="5723">
        <f>SUM(AI74:AT74)</f>
        <v>-7370</v>
      </c>
      <c r="AV74" s="5725">
        <f>AVERAGE(AI74:AT74)</f>
        <v>-614.16666666666663</v>
      </c>
      <c r="AW74" s="5726">
        <f>AW65-AU65</f>
        <v>-1268</v>
      </c>
      <c r="AX74" s="5723">
        <f>AX65-AW65</f>
        <v>-1707</v>
      </c>
      <c r="AY74" s="5723">
        <f>AY65-AX65</f>
        <v>-1076</v>
      </c>
      <c r="AZ74" s="5723">
        <v>-1530</v>
      </c>
      <c r="BA74" s="5723">
        <f>BA65-AZ65</f>
        <v>-907</v>
      </c>
      <c r="BB74" s="5723">
        <f>BB65-BA65</f>
        <v>-1369</v>
      </c>
      <c r="BC74" s="5723">
        <f t="shared" ref="BC74" si="224">BC65-BB65</f>
        <v>-1766</v>
      </c>
      <c r="BD74" s="5723">
        <v>-1413</v>
      </c>
      <c r="BE74" s="5723">
        <v>-1680</v>
      </c>
      <c r="BF74" s="5723">
        <f>BF65-BE65</f>
        <v>-1326</v>
      </c>
      <c r="BG74" s="5723">
        <f>BG65-BF65</f>
        <v>-1097</v>
      </c>
      <c r="BH74" s="5723">
        <f>BH65-BG65</f>
        <v>-1235</v>
      </c>
      <c r="BI74" s="5723">
        <f>SUM(AW74:BH74)</f>
        <v>-16374</v>
      </c>
      <c r="BJ74" s="5725">
        <f>AVERAGE(AW74:BH74)</f>
        <v>-1364.5</v>
      </c>
      <c r="BL74" s="5234">
        <f t="shared" si="221"/>
        <v>-175</v>
      </c>
      <c r="BM74" s="5234">
        <f t="shared" si="222"/>
        <v>-750.33333333333337</v>
      </c>
      <c r="BN74" s="5255">
        <f t="shared" si="215"/>
        <v>1956</v>
      </c>
    </row>
    <row r="75" spans="1:66" ht="18" customHeight="1" x14ac:dyDescent="0.55000000000000004">
      <c r="A75" s="7130" t="s">
        <v>1138</v>
      </c>
      <c r="B75" s="7131"/>
      <c r="C75" s="5692" t="s">
        <v>44</v>
      </c>
      <c r="D75" s="5693"/>
      <c r="E75" s="5694">
        <v>124539</v>
      </c>
      <c r="F75" s="5695">
        <v>123412</v>
      </c>
      <c r="G75" s="5694">
        <v>124937</v>
      </c>
      <c r="H75" s="5694">
        <v>125987</v>
      </c>
      <c r="I75" s="5694">
        <v>125855</v>
      </c>
      <c r="J75" s="5694">
        <v>126978</v>
      </c>
      <c r="K75" s="5694">
        <v>126764</v>
      </c>
      <c r="L75" s="5694">
        <v>126613</v>
      </c>
      <c r="M75" s="5694">
        <v>127874</v>
      </c>
      <c r="N75" s="5694">
        <v>128058</v>
      </c>
      <c r="O75" s="5694">
        <v>133746</v>
      </c>
      <c r="P75" s="5694">
        <v>135002</v>
      </c>
      <c r="Q75" s="5694">
        <v>134859</v>
      </c>
      <c r="R75" s="5694">
        <f>Q75</f>
        <v>134859</v>
      </c>
      <c r="S75" s="5694">
        <f t="shared" si="184"/>
        <v>128340.41666666667</v>
      </c>
      <c r="T75" s="5695">
        <v>135167</v>
      </c>
      <c r="U75" s="5694">
        <v>135795</v>
      </c>
      <c r="V75" s="5694">
        <v>135492</v>
      </c>
      <c r="W75" s="5694">
        <v>135830</v>
      </c>
      <c r="X75" s="5694">
        <v>136405</v>
      </c>
      <c r="Y75" s="5694">
        <v>137059</v>
      </c>
      <c r="Z75" s="5676">
        <v>137201</v>
      </c>
      <c r="AA75" s="5676">
        <v>138237</v>
      </c>
      <c r="AB75" s="5676">
        <v>137466</v>
      </c>
      <c r="AC75" s="5676">
        <v>137850</v>
      </c>
      <c r="AD75" s="5676">
        <v>137443</v>
      </c>
      <c r="AE75" s="5676">
        <v>136942</v>
      </c>
      <c r="AF75" s="5678">
        <v>136942</v>
      </c>
      <c r="AG75" s="5678">
        <f>AVERAGE(T75:AE75)</f>
        <v>136740.58333333334</v>
      </c>
      <c r="AH75" s="5678"/>
      <c r="AI75" s="5679">
        <v>137736</v>
      </c>
      <c r="AJ75" s="5678">
        <v>134679</v>
      </c>
      <c r="AK75" s="5678">
        <v>131171</v>
      </c>
      <c r="AL75" s="5678">
        <v>129503</v>
      </c>
      <c r="AM75" s="5678">
        <v>127815</v>
      </c>
      <c r="AN75" s="5678">
        <v>126326</v>
      </c>
      <c r="AO75" s="5678">
        <v>123885</v>
      </c>
      <c r="AP75" s="5678">
        <v>121768</v>
      </c>
      <c r="AQ75" s="5678">
        <v>117729</v>
      </c>
      <c r="AR75" s="5678">
        <v>114308</v>
      </c>
      <c r="AS75" s="5678">
        <v>111904</v>
      </c>
      <c r="AT75" s="5676">
        <v>109489</v>
      </c>
      <c r="AU75" s="5678">
        <f>INDEX($AI75:$AT75, 1, MATCH(0, $AI75:$AT75, -1))</f>
        <v>109489</v>
      </c>
      <c r="AV75" s="5680">
        <f>AVERAGE(AI75:AT75)</f>
        <v>123859.41666666667</v>
      </c>
      <c r="AW75" s="5677">
        <v>107127</v>
      </c>
      <c r="AX75" s="5678">
        <v>102207</v>
      </c>
      <c r="AY75" s="5678">
        <v>99447</v>
      </c>
      <c r="AZ75" s="5678">
        <v>96649</v>
      </c>
      <c r="BA75" s="5678">
        <v>93912</v>
      </c>
      <c r="BB75" s="5678">
        <v>91452</v>
      </c>
      <c r="BC75" s="5678">
        <v>87993</v>
      </c>
      <c r="BD75" s="5678">
        <v>84372</v>
      </c>
      <c r="BE75" s="5678">
        <v>79564</v>
      </c>
      <c r="BF75" s="5678">
        <v>75358</v>
      </c>
      <c r="BG75" s="5678">
        <v>71471</v>
      </c>
      <c r="BH75" s="5678">
        <v>68147</v>
      </c>
      <c r="BI75" s="5676">
        <f>INDEX($AW75:$BH75, 1, MATCH(0, $AW75:$BH75, -1))</f>
        <v>68147</v>
      </c>
      <c r="BJ75" s="5680">
        <f>AVERAGE(AW75:BH75)</f>
        <v>88141.583333333328</v>
      </c>
      <c r="BL75" s="5234">
        <f t="shared" si="221"/>
        <v>-41342</v>
      </c>
      <c r="BM75" s="5234">
        <f t="shared" si="222"/>
        <v>-35717.833333333343</v>
      </c>
      <c r="BN75" s="5235">
        <f>AX75-AJ75</f>
        <v>-32472</v>
      </c>
    </row>
    <row r="76" spans="1:66" ht="18" hidden="1" customHeight="1" x14ac:dyDescent="0.55000000000000004">
      <c r="A76" s="7132"/>
      <c r="B76" s="7133"/>
      <c r="C76" s="3626" t="s">
        <v>57</v>
      </c>
      <c r="D76" s="3520"/>
      <c r="E76" s="5300">
        <v>22508</v>
      </c>
      <c r="F76" s="5300">
        <f>F77+F78</f>
        <v>3092</v>
      </c>
      <c r="G76" s="5300">
        <f t="shared" ref="G76:Q76" si="225">G77+G78</f>
        <v>5669</v>
      </c>
      <c r="H76" s="5300">
        <f t="shared" si="225"/>
        <v>5669</v>
      </c>
      <c r="I76" s="5300">
        <f t="shared" si="225"/>
        <v>4687</v>
      </c>
      <c r="J76" s="5300">
        <f t="shared" si="225"/>
        <v>5186</v>
      </c>
      <c r="K76" s="5300">
        <f t="shared" si="225"/>
        <v>3564</v>
      </c>
      <c r="L76" s="5300">
        <f t="shared" si="225"/>
        <v>3140</v>
      </c>
      <c r="M76" s="5300">
        <f t="shared" si="225"/>
        <v>5444</v>
      </c>
      <c r="N76" s="5300">
        <f t="shared" si="225"/>
        <v>3212</v>
      </c>
      <c r="O76" s="5300">
        <f t="shared" si="225"/>
        <v>10896</v>
      </c>
      <c r="P76" s="5300">
        <f t="shared" si="225"/>
        <v>4854</v>
      </c>
      <c r="Q76" s="5300">
        <f t="shared" si="225"/>
        <v>2828</v>
      </c>
      <c r="R76" s="5300">
        <f t="shared" si="179"/>
        <v>58241</v>
      </c>
      <c r="S76" s="5300">
        <f t="shared" si="184"/>
        <v>4853.416666666667</v>
      </c>
      <c r="T76" s="5299">
        <v>4018</v>
      </c>
      <c r="U76" s="5300">
        <v>6275</v>
      </c>
      <c r="V76" s="5300">
        <v>4054</v>
      </c>
      <c r="W76" s="5300">
        <v>3807</v>
      </c>
      <c r="X76" s="5300">
        <v>5347</v>
      </c>
      <c r="Y76" s="5300">
        <v>4845</v>
      </c>
      <c r="Z76" s="5262">
        <v>4037</v>
      </c>
      <c r="AA76" s="5262">
        <v>6260</v>
      </c>
      <c r="AB76" s="5262">
        <v>2151</v>
      </c>
      <c r="AC76" s="5262">
        <v>7045</v>
      </c>
      <c r="AD76" s="5262">
        <v>3112</v>
      </c>
      <c r="AE76" s="5262">
        <v>2573</v>
      </c>
      <c r="AF76" s="5263">
        <f>SUM(T76:AE76)</f>
        <v>53524</v>
      </c>
      <c r="AG76" s="5263">
        <f>AVERAGE(T76:AE76)</f>
        <v>4460.333333333333</v>
      </c>
      <c r="AH76" s="5263"/>
      <c r="AI76" s="5264">
        <v>4643</v>
      </c>
      <c r="AJ76" s="5263">
        <v>3289</v>
      </c>
      <c r="AK76" s="5263">
        <v>1217</v>
      </c>
      <c r="AL76" s="5263">
        <v>1403</v>
      </c>
      <c r="AM76" s="5263">
        <v>1499</v>
      </c>
      <c r="AN76" s="5263">
        <v>888</v>
      </c>
      <c r="AO76" s="5263">
        <v>1074</v>
      </c>
      <c r="AP76" s="5263">
        <v>1283</v>
      </c>
      <c r="AQ76" s="5263">
        <v>810</v>
      </c>
      <c r="AR76" s="5263">
        <v>802</v>
      </c>
      <c r="AS76" s="5263">
        <v>597</v>
      </c>
      <c r="AT76" s="5262">
        <v>529</v>
      </c>
      <c r="AU76" s="5263">
        <f>SUM(AI76:AT76)</f>
        <v>18034</v>
      </c>
      <c r="AV76" s="5265">
        <f>AVERAGE(AI76:AT76)</f>
        <v>1502.8333333333333</v>
      </c>
      <c r="AW76" s="5261">
        <v>-1</v>
      </c>
      <c r="AX76" s="5263">
        <v>0</v>
      </c>
      <c r="AY76" s="5263">
        <v>0</v>
      </c>
      <c r="AZ76" s="5263">
        <v>0</v>
      </c>
      <c r="BA76" s="5263">
        <v>0</v>
      </c>
      <c r="BB76" s="5263">
        <v>0</v>
      </c>
      <c r="BC76" s="5263">
        <v>0</v>
      </c>
      <c r="BD76" s="5263">
        <v>0</v>
      </c>
      <c r="BE76" s="5263">
        <v>0</v>
      </c>
      <c r="BF76" s="5263">
        <v>0</v>
      </c>
      <c r="BG76" s="5263"/>
      <c r="BH76" s="5263"/>
      <c r="BI76" s="5263">
        <f>SUM(AW76:BH76)</f>
        <v>-1</v>
      </c>
      <c r="BJ76" s="5265">
        <f>AVERAGE(AW76:BE76)</f>
        <v>-0.1111111111111111</v>
      </c>
      <c r="BL76" s="5234">
        <f t="shared" si="221"/>
        <v>-529</v>
      </c>
      <c r="BM76" s="5234">
        <f t="shared" si="222"/>
        <v>-1502.9444444444443</v>
      </c>
      <c r="BN76" s="5255">
        <f t="shared" ref="BN76:BN84" si="226">HLOOKUP($A$1,$AW$1:$BH$400,ROW(),0)-SUM(AI76:AJ76)</f>
        <v>-7932</v>
      </c>
    </row>
    <row r="77" spans="1:66" ht="18" hidden="1" customHeight="1" x14ac:dyDescent="0.55000000000000004">
      <c r="A77" s="7132"/>
      <c r="B77" s="7133"/>
      <c r="C77" s="2648"/>
      <c r="D77" s="2648" t="s">
        <v>47</v>
      </c>
      <c r="E77" s="5687">
        <v>499</v>
      </c>
      <c r="F77" s="5296">
        <v>686</v>
      </c>
      <c r="G77" s="5297">
        <v>911</v>
      </c>
      <c r="H77" s="5297">
        <v>1604</v>
      </c>
      <c r="I77" s="5297">
        <v>805</v>
      </c>
      <c r="J77" s="5297">
        <v>1014</v>
      </c>
      <c r="K77" s="5297">
        <v>501</v>
      </c>
      <c r="L77" s="5297">
        <v>417</v>
      </c>
      <c r="M77" s="5297">
        <v>523</v>
      </c>
      <c r="N77" s="5297">
        <v>487</v>
      </c>
      <c r="O77" s="5297">
        <v>929</v>
      </c>
      <c r="P77" s="5297">
        <v>1042</v>
      </c>
      <c r="Q77" s="5297">
        <v>511</v>
      </c>
      <c r="R77" s="5297">
        <f t="shared" si="179"/>
        <v>9430</v>
      </c>
      <c r="S77" s="5297">
        <f t="shared" si="184"/>
        <v>785.83333333333337</v>
      </c>
      <c r="T77" s="5296">
        <v>780</v>
      </c>
      <c r="U77" s="5297">
        <v>709</v>
      </c>
      <c r="V77" s="5297">
        <v>599</v>
      </c>
      <c r="W77" s="5297">
        <v>750</v>
      </c>
      <c r="X77" s="5297">
        <v>1553</v>
      </c>
      <c r="Y77" s="5297">
        <v>1248</v>
      </c>
      <c r="Z77" s="3263">
        <v>776</v>
      </c>
      <c r="AA77" s="3263">
        <v>615</v>
      </c>
      <c r="AB77" s="3263">
        <v>412</v>
      </c>
      <c r="AC77" s="3263">
        <v>527</v>
      </c>
      <c r="AD77" s="3263">
        <v>371</v>
      </c>
      <c r="AE77" s="3263">
        <v>306</v>
      </c>
      <c r="AF77" s="5277">
        <f t="shared" ref="AF77:AF84" si="227">SUM(T77:AE77)</f>
        <v>8646</v>
      </c>
      <c r="AG77" s="5277">
        <f t="shared" ref="AG77:AG84" si="228">AVERAGE(T77:AE77)</f>
        <v>720.5</v>
      </c>
      <c r="AH77" s="5257"/>
      <c r="AI77" s="5258">
        <v>559</v>
      </c>
      <c r="AJ77" s="5257">
        <v>652</v>
      </c>
      <c r="AK77" s="5257">
        <v>280</v>
      </c>
      <c r="AL77" s="5257">
        <v>370</v>
      </c>
      <c r="AM77" s="5257">
        <v>600</v>
      </c>
      <c r="AN77" s="5257">
        <v>497</v>
      </c>
      <c r="AO77" s="5257">
        <v>487</v>
      </c>
      <c r="AP77" s="5257">
        <v>555</v>
      </c>
      <c r="AQ77" s="5257">
        <v>397</v>
      </c>
      <c r="AR77" s="5257">
        <v>370</v>
      </c>
      <c r="AS77" s="5257">
        <v>326</v>
      </c>
      <c r="AT77" s="3263"/>
      <c r="AU77" s="5257">
        <f>SUM(AI77:AS77)</f>
        <v>5093</v>
      </c>
      <c r="AV77" s="5259">
        <f>AVERAGE(AI77:AT77)</f>
        <v>463</v>
      </c>
      <c r="AW77" s="5256">
        <v>-1</v>
      </c>
      <c r="AX77" s="5257"/>
      <c r="AY77" s="5257"/>
      <c r="AZ77" s="5257"/>
      <c r="BA77" s="5257"/>
      <c r="BB77" s="5257"/>
      <c r="BC77" s="5257"/>
      <c r="BD77" s="5257"/>
      <c r="BE77" s="5257"/>
      <c r="BF77" s="5257"/>
      <c r="BG77" s="5257"/>
      <c r="BH77" s="5257"/>
      <c r="BI77" s="5257">
        <f>SUM(AW77:BG77)</f>
        <v>-1</v>
      </c>
      <c r="BJ77" s="5259">
        <f>AVERAGE(AW77:BH77)</f>
        <v>-1</v>
      </c>
      <c r="BL77" s="5234">
        <f t="shared" si="221"/>
        <v>0</v>
      </c>
      <c r="BM77" s="5234">
        <f t="shared" si="222"/>
        <v>-464</v>
      </c>
      <c r="BN77" s="5255">
        <f t="shared" si="226"/>
        <v>-1211</v>
      </c>
    </row>
    <row r="78" spans="1:66" ht="18" hidden="1" customHeight="1" x14ac:dyDescent="0.55000000000000004">
      <c r="A78" s="7132"/>
      <c r="B78" s="7133"/>
      <c r="C78" s="2648"/>
      <c r="D78" s="2648" t="s">
        <v>56</v>
      </c>
      <c r="E78" s="5687">
        <v>2494</v>
      </c>
      <c r="F78" s="5296">
        <v>2406</v>
      </c>
      <c r="G78" s="5297">
        <v>4758</v>
      </c>
      <c r="H78" s="5297">
        <v>4065</v>
      </c>
      <c r="I78" s="5297">
        <v>3882</v>
      </c>
      <c r="J78" s="5297">
        <v>4172</v>
      </c>
      <c r="K78" s="5297">
        <v>3063</v>
      </c>
      <c r="L78" s="5297">
        <v>2723</v>
      </c>
      <c r="M78" s="5297">
        <v>4921</v>
      </c>
      <c r="N78" s="5297">
        <v>2725</v>
      </c>
      <c r="O78" s="5297">
        <v>9967</v>
      </c>
      <c r="P78" s="5297">
        <v>3812</v>
      </c>
      <c r="Q78" s="5297">
        <v>2317</v>
      </c>
      <c r="R78" s="5297">
        <f t="shared" si="179"/>
        <v>48811</v>
      </c>
      <c r="S78" s="5297">
        <f t="shared" si="184"/>
        <v>4067.5833333333335</v>
      </c>
      <c r="T78" s="5296">
        <v>2699</v>
      </c>
      <c r="U78" s="5297">
        <v>3920</v>
      </c>
      <c r="V78" s="5297">
        <v>2479</v>
      </c>
      <c r="W78" s="5297">
        <v>2283</v>
      </c>
      <c r="X78" s="5297">
        <v>3119</v>
      </c>
      <c r="Y78" s="5297">
        <v>2960</v>
      </c>
      <c r="Z78" s="3263">
        <v>2688</v>
      </c>
      <c r="AA78" s="3263">
        <v>5007</v>
      </c>
      <c r="AB78" s="3263">
        <v>1434</v>
      </c>
      <c r="AC78" s="3263">
        <v>5860</v>
      </c>
      <c r="AD78" s="3263">
        <v>2556</v>
      </c>
      <c r="AE78" s="3263">
        <v>1918</v>
      </c>
      <c r="AF78" s="5257">
        <f t="shared" si="227"/>
        <v>36923</v>
      </c>
      <c r="AG78" s="5257">
        <f t="shared" si="228"/>
        <v>3076.9166666666665</v>
      </c>
      <c r="AH78" s="5257"/>
      <c r="AI78" s="5258">
        <v>4084</v>
      </c>
      <c r="AJ78" s="5257">
        <v>2328</v>
      </c>
      <c r="AK78" s="5257">
        <v>937</v>
      </c>
      <c r="AL78" s="5257">
        <v>1033</v>
      </c>
      <c r="AM78" s="5257">
        <v>899</v>
      </c>
      <c r="AN78" s="5257">
        <v>391</v>
      </c>
      <c r="AO78" s="5257">
        <v>590</v>
      </c>
      <c r="AP78" s="5257">
        <v>729</v>
      </c>
      <c r="AQ78" s="5257">
        <v>415</v>
      </c>
      <c r="AR78" s="5257">
        <v>434</v>
      </c>
      <c r="AS78" s="5257">
        <v>271</v>
      </c>
      <c r="AT78" s="3263"/>
      <c r="AU78" s="5257">
        <f>SUM(AI78:AS78)</f>
        <v>12111</v>
      </c>
      <c r="AV78" s="5259">
        <f>AVERAGE(AI78:AT78)</f>
        <v>1101</v>
      </c>
      <c r="AW78" s="5256"/>
      <c r="AX78" s="5257"/>
      <c r="AY78" s="5257"/>
      <c r="AZ78" s="5257"/>
      <c r="BA78" s="5257"/>
      <c r="BB78" s="5257"/>
      <c r="BC78" s="5257"/>
      <c r="BD78" s="5257"/>
      <c r="BE78" s="5257"/>
      <c r="BF78" s="5257"/>
      <c r="BG78" s="5257"/>
      <c r="BH78" s="5257"/>
      <c r="BI78" s="5257">
        <f>SUM(AW78:BG78)</f>
        <v>0</v>
      </c>
      <c r="BJ78" s="5259" t="e">
        <f>AVERAGE(AW78:BH78)</f>
        <v>#DIV/0!</v>
      </c>
      <c r="BL78" s="5234">
        <f t="shared" si="221"/>
        <v>0</v>
      </c>
      <c r="BM78" s="5234" t="e">
        <f t="shared" si="222"/>
        <v>#DIV/0!</v>
      </c>
      <c r="BN78" s="5255">
        <f t="shared" si="226"/>
        <v>-6412</v>
      </c>
    </row>
    <row r="79" spans="1:66" ht="18" customHeight="1" x14ac:dyDescent="0.55000000000000004">
      <c r="A79" s="7132"/>
      <c r="B79" s="7133"/>
      <c r="C79" s="2648" t="s">
        <v>48</v>
      </c>
      <c r="D79" s="2648"/>
      <c r="E79" s="5687">
        <v>1647</v>
      </c>
      <c r="F79" s="5296">
        <v>1376</v>
      </c>
      <c r="G79" s="5297">
        <v>1003</v>
      </c>
      <c r="H79" s="5297">
        <v>1289</v>
      </c>
      <c r="I79" s="5297">
        <v>1608</v>
      </c>
      <c r="J79" s="5297">
        <v>1094</v>
      </c>
      <c r="K79" s="5297">
        <v>1313</v>
      </c>
      <c r="L79" s="5297">
        <v>956</v>
      </c>
      <c r="M79" s="5297">
        <v>954</v>
      </c>
      <c r="N79" s="5297">
        <v>847</v>
      </c>
      <c r="O79" s="5297">
        <v>1090</v>
      </c>
      <c r="P79" s="5297">
        <v>869</v>
      </c>
      <c r="Q79" s="5297">
        <v>957</v>
      </c>
      <c r="R79" s="5297">
        <f t="shared" si="179"/>
        <v>13356</v>
      </c>
      <c r="S79" s="5297">
        <f t="shared" si="184"/>
        <v>1113</v>
      </c>
      <c r="T79" s="5296">
        <v>913</v>
      </c>
      <c r="U79" s="5297">
        <v>1026</v>
      </c>
      <c r="V79" s="5297">
        <v>950</v>
      </c>
      <c r="W79" s="5297">
        <v>917</v>
      </c>
      <c r="X79" s="5297">
        <v>1785</v>
      </c>
      <c r="Y79" s="5297">
        <v>1622</v>
      </c>
      <c r="Z79" s="3263">
        <v>1403</v>
      </c>
      <c r="AA79" s="3263">
        <v>1401</v>
      </c>
      <c r="AB79" s="3263">
        <v>1095</v>
      </c>
      <c r="AC79" s="3263">
        <v>1402</v>
      </c>
      <c r="AD79" s="3263">
        <v>1182</v>
      </c>
      <c r="AE79" s="3263">
        <v>1079</v>
      </c>
      <c r="AF79" s="5257">
        <f t="shared" si="227"/>
        <v>14775</v>
      </c>
      <c r="AG79" s="5257">
        <f t="shared" si="228"/>
        <v>1231.25</v>
      </c>
      <c r="AH79" s="5257"/>
      <c r="AI79" s="5258">
        <v>1260</v>
      </c>
      <c r="AJ79" s="5257">
        <v>1189</v>
      </c>
      <c r="AK79" s="5257">
        <v>929</v>
      </c>
      <c r="AL79" s="5257">
        <v>966</v>
      </c>
      <c r="AM79" s="5257">
        <v>1100</v>
      </c>
      <c r="AN79" s="5257">
        <v>1173</v>
      </c>
      <c r="AO79" s="5257">
        <v>971</v>
      </c>
      <c r="AP79" s="5257">
        <v>894</v>
      </c>
      <c r="AQ79" s="5257">
        <v>894</v>
      </c>
      <c r="AR79" s="5257">
        <v>1086</v>
      </c>
      <c r="AS79" s="5257">
        <v>1013</v>
      </c>
      <c r="AT79" s="3263">
        <v>856</v>
      </c>
      <c r="AU79" s="5257">
        <f t="shared" ref="AU79:AU84" si="229">SUM(AI79:AT79)</f>
        <v>12331</v>
      </c>
      <c r="AV79" s="5259">
        <f>AVERAGE(AI79:AS79)</f>
        <v>1043.1818181818182</v>
      </c>
      <c r="AW79" s="5256">
        <v>925</v>
      </c>
      <c r="AX79" s="5257">
        <v>1079</v>
      </c>
      <c r="AY79" s="5257">
        <v>824</v>
      </c>
      <c r="AZ79" s="5257">
        <v>836</v>
      </c>
      <c r="BA79" s="5257">
        <v>693</v>
      </c>
      <c r="BB79" s="5257">
        <v>807</v>
      </c>
      <c r="BC79" s="5257">
        <v>916</v>
      </c>
      <c r="BD79" s="5257">
        <v>831</v>
      </c>
      <c r="BE79" s="5257">
        <v>840</v>
      </c>
      <c r="BF79" s="5257">
        <v>787</v>
      </c>
      <c r="BG79" s="5257">
        <v>671</v>
      </c>
      <c r="BH79" s="3263">
        <v>700</v>
      </c>
      <c r="BI79" s="5257">
        <f t="shared" ref="BI79:BI84" si="230">SUM(AW79:BH79)</f>
        <v>9909</v>
      </c>
      <c r="BJ79" s="5259">
        <f>AVERAGE(AW79:BG79)</f>
        <v>837.18181818181813</v>
      </c>
      <c r="BL79" s="5234">
        <f t="shared" si="221"/>
        <v>-156</v>
      </c>
      <c r="BM79" s="5234">
        <f t="shared" si="222"/>
        <v>-206.00000000000011</v>
      </c>
      <c r="BN79" s="5255">
        <f t="shared" si="226"/>
        <v>-1749</v>
      </c>
    </row>
    <row r="80" spans="1:66" ht="18" customHeight="1" x14ac:dyDescent="0.55000000000000004">
      <c r="A80" s="7132"/>
      <c r="B80" s="7133"/>
      <c r="C80" s="2648" t="s">
        <v>59</v>
      </c>
      <c r="D80" s="2648"/>
      <c r="E80" s="5687"/>
      <c r="F80" s="5296">
        <v>98</v>
      </c>
      <c r="G80" s="5297">
        <v>79</v>
      </c>
      <c r="H80" s="5297">
        <v>224</v>
      </c>
      <c r="I80" s="5297">
        <v>120</v>
      </c>
      <c r="J80" s="5297">
        <v>106</v>
      </c>
      <c r="K80" s="5297">
        <v>165</v>
      </c>
      <c r="L80" s="5297">
        <v>101</v>
      </c>
      <c r="M80" s="5297">
        <v>112</v>
      </c>
      <c r="N80" s="5297">
        <v>96</v>
      </c>
      <c r="O80" s="5297">
        <v>112</v>
      </c>
      <c r="P80" s="5297">
        <v>89</v>
      </c>
      <c r="Q80" s="5297">
        <v>188</v>
      </c>
      <c r="R80" s="5297">
        <f t="shared" si="179"/>
        <v>1490</v>
      </c>
      <c r="S80" s="5297">
        <f t="shared" si="184"/>
        <v>124.16666666666667</v>
      </c>
      <c r="T80" s="5296">
        <v>74</v>
      </c>
      <c r="U80" s="5297">
        <v>77</v>
      </c>
      <c r="V80" s="5297">
        <v>114</v>
      </c>
      <c r="W80" s="5297">
        <v>97</v>
      </c>
      <c r="X80" s="5297">
        <v>155</v>
      </c>
      <c r="Y80" s="5297">
        <v>139</v>
      </c>
      <c r="Z80" s="3263">
        <v>96</v>
      </c>
      <c r="AA80" s="3263">
        <v>132</v>
      </c>
      <c r="AB80" s="3263">
        <v>158</v>
      </c>
      <c r="AC80" s="3263">
        <v>112</v>
      </c>
      <c r="AD80" s="3263">
        <v>119</v>
      </c>
      <c r="AE80" s="3263">
        <v>186</v>
      </c>
      <c r="AF80" s="5257">
        <f t="shared" si="227"/>
        <v>1459</v>
      </c>
      <c r="AG80" s="5257">
        <f t="shared" si="228"/>
        <v>121.58333333333333</v>
      </c>
      <c r="AH80" s="5257"/>
      <c r="AI80" s="5258">
        <v>97</v>
      </c>
      <c r="AJ80" s="5257">
        <v>124</v>
      </c>
      <c r="AK80" s="5257">
        <v>128</v>
      </c>
      <c r="AL80" s="5257">
        <v>145</v>
      </c>
      <c r="AM80" s="5257">
        <v>180</v>
      </c>
      <c r="AN80" s="5257">
        <v>103</v>
      </c>
      <c r="AO80" s="5257">
        <v>126</v>
      </c>
      <c r="AP80" s="5257">
        <v>129</v>
      </c>
      <c r="AQ80" s="5257">
        <v>120</v>
      </c>
      <c r="AR80" s="5257">
        <v>109</v>
      </c>
      <c r="AS80" s="5257">
        <v>101</v>
      </c>
      <c r="AT80" s="3263">
        <v>143</v>
      </c>
      <c r="AU80" s="5257">
        <f t="shared" si="229"/>
        <v>1505</v>
      </c>
      <c r="AV80" s="5259">
        <f>AVERAGE(AI80:AS80)</f>
        <v>123.81818181818181</v>
      </c>
      <c r="AW80" s="5256">
        <v>82</v>
      </c>
      <c r="AX80" s="5257">
        <v>80</v>
      </c>
      <c r="AY80" s="5257">
        <v>77</v>
      </c>
      <c r="AZ80" s="5257">
        <v>78</v>
      </c>
      <c r="BA80" s="5257">
        <v>78</v>
      </c>
      <c r="BB80" s="5257">
        <v>86</v>
      </c>
      <c r="BC80" s="5257">
        <v>55</v>
      </c>
      <c r="BD80" s="5257">
        <v>60</v>
      </c>
      <c r="BE80" s="5257">
        <v>52</v>
      </c>
      <c r="BF80" s="5257">
        <v>50</v>
      </c>
      <c r="BG80" s="5257">
        <v>48</v>
      </c>
      <c r="BH80" s="3263">
        <v>47</v>
      </c>
      <c r="BI80" s="5257">
        <f t="shared" si="230"/>
        <v>793</v>
      </c>
      <c r="BJ80" s="5259">
        <f>AVERAGE(AW80:BG80)</f>
        <v>67.818181818181813</v>
      </c>
      <c r="BL80" s="5234">
        <f t="shared" si="221"/>
        <v>-96</v>
      </c>
      <c r="BM80" s="5234">
        <f t="shared" si="222"/>
        <v>-56</v>
      </c>
      <c r="BN80" s="5255">
        <f t="shared" si="226"/>
        <v>-174</v>
      </c>
    </row>
    <row r="81" spans="1:66" ht="18" customHeight="1" x14ac:dyDescent="0.55000000000000004">
      <c r="A81" s="7132"/>
      <c r="B81" s="7133"/>
      <c r="C81" s="2648" t="s">
        <v>49</v>
      </c>
      <c r="D81" s="2648"/>
      <c r="E81" s="5687"/>
      <c r="F81" s="5296"/>
      <c r="G81" s="5297"/>
      <c r="H81" s="5297"/>
      <c r="I81" s="5297"/>
      <c r="J81" s="5297"/>
      <c r="K81" s="5297"/>
      <c r="L81" s="5297"/>
      <c r="M81" s="5297"/>
      <c r="N81" s="5297"/>
      <c r="O81" s="5297"/>
      <c r="P81" s="5297"/>
      <c r="Q81" s="5297"/>
      <c r="R81" s="5297">
        <f t="shared" si="179"/>
        <v>0</v>
      </c>
      <c r="S81" s="5297" t="e">
        <f t="shared" si="184"/>
        <v>#DIV/0!</v>
      </c>
      <c r="T81" s="5296">
        <f>T76-T79-T82-T84</f>
        <v>1830</v>
      </c>
      <c r="U81" s="5297">
        <f t="shared" ref="U81:AE81" si="231">U76-U79-U82-U84</f>
        <v>3516</v>
      </c>
      <c r="V81" s="5297">
        <f t="shared" si="231"/>
        <v>2281</v>
      </c>
      <c r="W81" s="5297">
        <f t="shared" si="231"/>
        <v>2031</v>
      </c>
      <c r="X81" s="5297">
        <f t="shared" si="231"/>
        <v>2035</v>
      </c>
      <c r="Y81" s="5297">
        <f t="shared" si="231"/>
        <v>1948</v>
      </c>
      <c r="Z81" s="3263">
        <f t="shared" si="231"/>
        <v>1910</v>
      </c>
      <c r="AA81" s="3263">
        <f t="shared" si="231"/>
        <v>3272</v>
      </c>
      <c r="AB81" s="3263">
        <f t="shared" si="231"/>
        <v>1349</v>
      </c>
      <c r="AC81" s="3263">
        <f t="shared" si="231"/>
        <v>4776</v>
      </c>
      <c r="AD81" s="3263">
        <f t="shared" si="231"/>
        <v>1860</v>
      </c>
      <c r="AE81" s="3263">
        <f t="shared" si="231"/>
        <v>1567</v>
      </c>
      <c r="AF81" s="5257">
        <f t="shared" si="227"/>
        <v>28375</v>
      </c>
      <c r="AG81" s="5257">
        <f t="shared" si="228"/>
        <v>2364.5833333333335</v>
      </c>
      <c r="AH81" s="5257"/>
      <c r="AI81" s="5258">
        <f t="shared" ref="AI81" si="232">-(AI84-(AI76-AI79-AI82-AI83))</f>
        <v>2097</v>
      </c>
      <c r="AJ81" s="5257">
        <f>-(AJ84-(AJ76-AJ79-AJ82-AJ83))</f>
        <v>7612</v>
      </c>
      <c r="AK81" s="5257">
        <f t="shared" ref="AK81" si="233">-(AK84-(AK76-AK79-AK82-AK83))</f>
        <v>5043</v>
      </c>
      <c r="AL81" s="5257">
        <f t="shared" ref="AL81" si="234">-(AL84-(AL76-AL79-AL82-AL83))</f>
        <v>1460</v>
      </c>
      <c r="AM81" s="5257">
        <f t="shared" ref="AM81" si="235">-(AM84-(AM76-AM79-AM82-AM83))</f>
        <v>1355</v>
      </c>
      <c r="AN81" s="5257">
        <f t="shared" ref="AN81" si="236">-(AN84-(AN76-AN79-AN82-AN83))</f>
        <v>626</v>
      </c>
      <c r="AO81" s="5257">
        <f t="shared" ref="AO81" si="237">-(AO84-(AO76-AO79-AO82-AO83))</f>
        <v>1894</v>
      </c>
      <c r="AP81" s="5257">
        <f t="shared" ref="AP81" si="238">-(AP84-(AP76-AP79-AP82-AP83))</f>
        <v>1322</v>
      </c>
      <c r="AQ81" s="5257">
        <f t="shared" ref="AQ81" si="239">-(AQ84-(AQ76-AQ79-AQ82-AQ83))</f>
        <v>3281</v>
      </c>
      <c r="AR81" s="5257">
        <f t="shared" ref="AR81" si="240">-(AR84-(AR76-AR79-AR82-AR83))</f>
        <v>2275</v>
      </c>
      <c r="AS81" s="5257">
        <f t="shared" ref="AS81" si="241">-(AS84-(AS76-AS79-AS82-AS83))</f>
        <v>1447</v>
      </c>
      <c r="AT81" s="3263">
        <f t="shared" ref="AT81" si="242">-(AT84-(AT76-AT79-AT82-AT83))</f>
        <v>1449</v>
      </c>
      <c r="AU81" s="5257">
        <f t="shared" si="229"/>
        <v>29861</v>
      </c>
      <c r="AV81" s="5259">
        <f>AVERAGE(AI81:AS81)</f>
        <v>2582.909090909091</v>
      </c>
      <c r="AW81" s="5277">
        <f>-(AW84-(AW76-AW79-AW82))</f>
        <v>1070</v>
      </c>
      <c r="AX81" s="5277">
        <f t="shared" ref="AX81:BH81" si="243">-(AX84-(AX76-AX79-AX82))</f>
        <v>2676</v>
      </c>
      <c r="AY81" s="5277">
        <f t="shared" si="243"/>
        <v>1416</v>
      </c>
      <c r="AZ81" s="5277">
        <f t="shared" si="243"/>
        <v>1541</v>
      </c>
      <c r="BA81" s="5277">
        <f>-(BA84-(BA76-BA79-BA82))</f>
        <v>1546</v>
      </c>
      <c r="BB81" s="5277">
        <f t="shared" si="243"/>
        <v>1278</v>
      </c>
      <c r="BC81" s="5277">
        <f t="shared" si="243"/>
        <v>2103</v>
      </c>
      <c r="BD81" s="5277">
        <f t="shared" si="243"/>
        <v>1628</v>
      </c>
      <c r="BE81" s="5277">
        <f t="shared" si="243"/>
        <v>3420</v>
      </c>
      <c r="BF81" s="5277">
        <f t="shared" si="243"/>
        <v>2103</v>
      </c>
      <c r="BG81" s="5277">
        <f t="shared" si="243"/>
        <v>1365</v>
      </c>
      <c r="BH81" s="5277">
        <f t="shared" si="243"/>
        <v>1301</v>
      </c>
      <c r="BI81" s="5257">
        <f t="shared" si="230"/>
        <v>21447</v>
      </c>
      <c r="BJ81" s="5259">
        <f>AVERAGE(AW81:BG81)</f>
        <v>1831.4545454545455</v>
      </c>
      <c r="BL81" s="5234">
        <f t="shared" si="221"/>
        <v>-148</v>
      </c>
      <c r="BM81" s="5234">
        <f t="shared" si="222"/>
        <v>-751.4545454545455</v>
      </c>
      <c r="BN81" s="5255">
        <f t="shared" si="226"/>
        <v>-8408</v>
      </c>
    </row>
    <row r="82" spans="1:66" ht="18" customHeight="1" x14ac:dyDescent="0.55000000000000004">
      <c r="A82" s="7132"/>
      <c r="B82" s="7133"/>
      <c r="C82" s="2648" t="s">
        <v>50</v>
      </c>
      <c r="D82" s="2648"/>
      <c r="E82" s="5687"/>
      <c r="F82" s="5296"/>
      <c r="G82" s="5297"/>
      <c r="H82" s="5297"/>
      <c r="I82" s="5297"/>
      <c r="J82" s="5297">
        <v>2281</v>
      </c>
      <c r="K82" s="5297">
        <v>2064</v>
      </c>
      <c r="L82" s="5297">
        <v>2008</v>
      </c>
      <c r="M82" s="5297">
        <v>2292</v>
      </c>
      <c r="N82" s="5297">
        <v>1851</v>
      </c>
      <c r="O82" s="5297">
        <v>2346</v>
      </c>
      <c r="P82" s="5297">
        <v>2201</v>
      </c>
      <c r="Q82" s="5297">
        <v>1566</v>
      </c>
      <c r="R82" s="5297">
        <f t="shared" si="179"/>
        <v>16609</v>
      </c>
      <c r="S82" s="5297">
        <f t="shared" si="184"/>
        <v>2076.125</v>
      </c>
      <c r="T82" s="5296">
        <v>967</v>
      </c>
      <c r="U82" s="5297">
        <v>1105</v>
      </c>
      <c r="V82" s="5297">
        <v>1126</v>
      </c>
      <c r="W82" s="5297">
        <v>521</v>
      </c>
      <c r="X82" s="5297">
        <v>952</v>
      </c>
      <c r="Y82" s="5297">
        <v>621</v>
      </c>
      <c r="Z82" s="3263">
        <v>582</v>
      </c>
      <c r="AA82" s="3263">
        <v>551</v>
      </c>
      <c r="AB82" s="3263">
        <v>478</v>
      </c>
      <c r="AC82" s="3263">
        <v>483</v>
      </c>
      <c r="AD82" s="3263">
        <v>477</v>
      </c>
      <c r="AE82" s="3263">
        <v>428</v>
      </c>
      <c r="AF82" s="5257">
        <f t="shared" si="227"/>
        <v>8291</v>
      </c>
      <c r="AG82" s="5257">
        <f t="shared" si="228"/>
        <v>690.91666666666663</v>
      </c>
      <c r="AH82" s="5257"/>
      <c r="AI82" s="5258">
        <v>492</v>
      </c>
      <c r="AJ82" s="5257">
        <v>499</v>
      </c>
      <c r="AK82" s="5257">
        <v>679</v>
      </c>
      <c r="AL82" s="5257">
        <v>662</v>
      </c>
      <c r="AM82" s="5257">
        <v>742</v>
      </c>
      <c r="AN82" s="5257">
        <v>590</v>
      </c>
      <c r="AO82" s="5257">
        <v>663</v>
      </c>
      <c r="AP82" s="5257">
        <v>1184</v>
      </c>
      <c r="AQ82" s="5257">
        <v>674</v>
      </c>
      <c r="AR82" s="5257">
        <v>862</v>
      </c>
      <c r="AS82" s="5257">
        <v>541</v>
      </c>
      <c r="AT82" s="3263">
        <v>639</v>
      </c>
      <c r="AU82" s="5257">
        <f t="shared" si="229"/>
        <v>8227</v>
      </c>
      <c r="AV82" s="5259">
        <f>AVERAGE(AI82:AS82)</f>
        <v>689.81818181818187</v>
      </c>
      <c r="AW82" s="5256">
        <v>366</v>
      </c>
      <c r="AX82" s="5257">
        <v>1165</v>
      </c>
      <c r="AY82" s="5257">
        <v>520</v>
      </c>
      <c r="AZ82" s="5257">
        <v>421</v>
      </c>
      <c r="BA82" s="5257">
        <v>498</v>
      </c>
      <c r="BB82" s="5257">
        <v>375</v>
      </c>
      <c r="BC82" s="5257">
        <v>440</v>
      </c>
      <c r="BD82" s="5257">
        <v>1162</v>
      </c>
      <c r="BE82" s="5257">
        <v>548</v>
      </c>
      <c r="BF82" s="5257">
        <v>1316</v>
      </c>
      <c r="BG82" s="5257">
        <v>1851</v>
      </c>
      <c r="BH82" s="3263">
        <v>1323</v>
      </c>
      <c r="BI82" s="5257">
        <f>SUM(AW82:BH82)</f>
        <v>9985</v>
      </c>
      <c r="BJ82" s="5259">
        <f>AVERAGE(AW82:BG82)</f>
        <v>787.4545454545455</v>
      </c>
      <c r="BL82" s="5234">
        <f t="shared" si="221"/>
        <v>684</v>
      </c>
      <c r="BM82" s="5234">
        <f t="shared" si="222"/>
        <v>97.636363636363626</v>
      </c>
      <c r="BN82" s="5255">
        <f t="shared" si="226"/>
        <v>332</v>
      </c>
    </row>
    <row r="83" spans="1:66" ht="18" hidden="1" customHeight="1" x14ac:dyDescent="0.55000000000000004">
      <c r="A83" s="7132"/>
      <c r="B83" s="7133"/>
      <c r="C83" s="2648" t="s">
        <v>768</v>
      </c>
      <c r="D83" s="2648"/>
      <c r="E83" s="5687"/>
      <c r="F83" s="5296"/>
      <c r="G83" s="5297"/>
      <c r="H83" s="5297"/>
      <c r="I83" s="5297"/>
      <c r="J83" s="5297"/>
      <c r="K83" s="5297"/>
      <c r="L83" s="5297"/>
      <c r="M83" s="5297"/>
      <c r="N83" s="5297"/>
      <c r="O83" s="5297"/>
      <c r="P83" s="5297"/>
      <c r="Q83" s="5297"/>
      <c r="R83" s="5297">
        <f t="shared" si="179"/>
        <v>0</v>
      </c>
      <c r="S83" s="5297" t="e">
        <f t="shared" si="184"/>
        <v>#DIV/0!</v>
      </c>
      <c r="T83" s="5296">
        <v>0</v>
      </c>
      <c r="U83" s="5297">
        <v>0</v>
      </c>
      <c r="V83" s="5297">
        <v>0</v>
      </c>
      <c r="W83" s="5297">
        <v>0</v>
      </c>
      <c r="X83" s="5297">
        <v>0</v>
      </c>
      <c r="Y83" s="5297">
        <v>0</v>
      </c>
      <c r="Z83" s="3263">
        <v>0</v>
      </c>
      <c r="AA83" s="3263">
        <v>0</v>
      </c>
      <c r="AB83" s="3263">
        <v>0</v>
      </c>
      <c r="AC83" s="3263">
        <v>0</v>
      </c>
      <c r="AD83" s="3263">
        <v>0</v>
      </c>
      <c r="AE83" s="3263">
        <v>0</v>
      </c>
      <c r="AF83" s="5257">
        <f t="shared" si="227"/>
        <v>0</v>
      </c>
      <c r="AG83" s="5257">
        <f t="shared" si="228"/>
        <v>0</v>
      </c>
      <c r="AH83" s="5257"/>
      <c r="AI83" s="5258"/>
      <c r="AJ83" s="5257">
        <f>-AJ93</f>
        <v>-2954</v>
      </c>
      <c r="AK83" s="5257">
        <f t="shared" ref="AK83:AT83" si="244">-AK93</f>
        <v>-1926</v>
      </c>
      <c r="AL83" s="5257">
        <f t="shared" si="244"/>
        <v>-17</v>
      </c>
      <c r="AM83" s="5257">
        <f t="shared" si="244"/>
        <v>-10</v>
      </c>
      <c r="AN83" s="5257">
        <f t="shared" si="244"/>
        <v>-12</v>
      </c>
      <c r="AO83" s="5257">
        <f t="shared" si="244"/>
        <v>-13</v>
      </c>
      <c r="AP83" s="5257">
        <f t="shared" si="244"/>
        <v>0</v>
      </c>
      <c r="AQ83" s="5257">
        <f t="shared" si="244"/>
        <v>0</v>
      </c>
      <c r="AR83" s="5257">
        <f t="shared" si="244"/>
        <v>0</v>
      </c>
      <c r="AS83" s="5257">
        <f t="shared" si="244"/>
        <v>0</v>
      </c>
      <c r="AT83" s="5257">
        <f t="shared" si="244"/>
        <v>0</v>
      </c>
      <c r="AU83" s="5257">
        <f t="shared" si="229"/>
        <v>-4932</v>
      </c>
      <c r="AV83" s="5259">
        <f>AVERAGE(AI83:AS83)</f>
        <v>-493.2</v>
      </c>
      <c r="AW83" s="5256"/>
      <c r="AX83" s="5257"/>
      <c r="AY83" s="5257"/>
      <c r="AZ83" s="5257"/>
      <c r="BA83" s="5257"/>
      <c r="BB83" s="5257"/>
      <c r="BC83" s="5257"/>
      <c r="BD83" s="5257"/>
      <c r="BE83" s="5257"/>
      <c r="BF83" s="5257"/>
      <c r="BG83" s="5257"/>
      <c r="BH83" s="5257"/>
      <c r="BI83" s="5257">
        <f t="shared" si="230"/>
        <v>0</v>
      </c>
      <c r="BJ83" s="5259">
        <v>0</v>
      </c>
      <c r="BL83" s="5234">
        <f t="shared" si="221"/>
        <v>0</v>
      </c>
      <c r="BM83" s="5234">
        <f t="shared" si="222"/>
        <v>493.2</v>
      </c>
      <c r="BN83" s="5255">
        <f t="shared" si="226"/>
        <v>2954</v>
      </c>
    </row>
    <row r="84" spans="1:66" ht="18" customHeight="1" x14ac:dyDescent="0.55000000000000004">
      <c r="A84" s="7145"/>
      <c r="B84" s="7146"/>
      <c r="C84" s="5690" t="s">
        <v>51</v>
      </c>
      <c r="D84" s="2655"/>
      <c r="E84" s="5304"/>
      <c r="F84" s="5305"/>
      <c r="G84" s="5304"/>
      <c r="H84" s="5304"/>
      <c r="I84" s="5304"/>
      <c r="J84" s="5304"/>
      <c r="K84" s="5304"/>
      <c r="L84" s="5304"/>
      <c r="M84" s="5304"/>
      <c r="N84" s="5304"/>
      <c r="O84" s="5304"/>
      <c r="P84" s="5304"/>
      <c r="Q84" s="5304"/>
      <c r="R84" s="5304">
        <f t="shared" si="179"/>
        <v>0</v>
      </c>
      <c r="S84" s="5304" t="e">
        <f t="shared" si="184"/>
        <v>#DIV/0!</v>
      </c>
      <c r="T84" s="5305">
        <f>T75-Q75</f>
        <v>308</v>
      </c>
      <c r="U84" s="5304">
        <f t="shared" ref="U84:AE84" si="245">U75-T75</f>
        <v>628</v>
      </c>
      <c r="V84" s="5304">
        <f t="shared" si="245"/>
        <v>-303</v>
      </c>
      <c r="W84" s="5304">
        <f t="shared" si="245"/>
        <v>338</v>
      </c>
      <c r="X84" s="5304">
        <f t="shared" si="245"/>
        <v>575</v>
      </c>
      <c r="Y84" s="5304">
        <f t="shared" si="245"/>
        <v>654</v>
      </c>
      <c r="Z84" s="5269">
        <f t="shared" si="245"/>
        <v>142</v>
      </c>
      <c r="AA84" s="5269">
        <f t="shared" si="245"/>
        <v>1036</v>
      </c>
      <c r="AB84" s="5269">
        <f t="shared" si="245"/>
        <v>-771</v>
      </c>
      <c r="AC84" s="5269">
        <f t="shared" si="245"/>
        <v>384</v>
      </c>
      <c r="AD84" s="5269">
        <f t="shared" si="245"/>
        <v>-407</v>
      </c>
      <c r="AE84" s="5269">
        <f t="shared" si="245"/>
        <v>-501</v>
      </c>
      <c r="AF84" s="5270">
        <f t="shared" si="227"/>
        <v>2083</v>
      </c>
      <c r="AG84" s="5270">
        <f t="shared" si="228"/>
        <v>173.58333333333334</v>
      </c>
      <c r="AH84" s="5270"/>
      <c r="AI84" s="5294">
        <v>794</v>
      </c>
      <c r="AJ84" s="5270">
        <v>-3057</v>
      </c>
      <c r="AK84" s="5270">
        <v>-3508</v>
      </c>
      <c r="AL84" s="5270">
        <v>-1668</v>
      </c>
      <c r="AM84" s="5270">
        <v>-1688</v>
      </c>
      <c r="AN84" s="5270">
        <v>-1489</v>
      </c>
      <c r="AO84" s="5270">
        <v>-2441</v>
      </c>
      <c r="AP84" s="5270">
        <v>-2117</v>
      </c>
      <c r="AQ84" s="5270">
        <v>-4039</v>
      </c>
      <c r="AR84" s="5270">
        <v>-3421</v>
      </c>
      <c r="AS84" s="5270">
        <v>-2404</v>
      </c>
      <c r="AT84" s="5269">
        <v>-2415</v>
      </c>
      <c r="AU84" s="5270">
        <f t="shared" si="229"/>
        <v>-27453</v>
      </c>
      <c r="AV84" s="5272">
        <f>AVERAGE(AI84:AT84)</f>
        <v>-2287.75</v>
      </c>
      <c r="AW84" s="5268">
        <f>AW75-AT75</f>
        <v>-2362</v>
      </c>
      <c r="AX84" s="5270">
        <f>AX75-AW75</f>
        <v>-4920</v>
      </c>
      <c r="AY84" s="5270">
        <f t="shared" ref="AY84:BA84" si="246">AY75-AX75</f>
        <v>-2760</v>
      </c>
      <c r="AZ84" s="5270">
        <f t="shared" si="246"/>
        <v>-2798</v>
      </c>
      <c r="BA84" s="5270">
        <f t="shared" si="246"/>
        <v>-2737</v>
      </c>
      <c r="BB84" s="5270">
        <f>BB75-BA75</f>
        <v>-2460</v>
      </c>
      <c r="BC84" s="5270">
        <f t="shared" ref="BC84" si="247">BC75-BB75</f>
        <v>-3459</v>
      </c>
      <c r="BD84" s="5270">
        <v>-3621</v>
      </c>
      <c r="BE84" s="5270">
        <v>-4808</v>
      </c>
      <c r="BF84" s="5270">
        <f>BF75-BE75</f>
        <v>-4206</v>
      </c>
      <c r="BG84" s="5270">
        <f>BG75-BF75</f>
        <v>-3887</v>
      </c>
      <c r="BH84" s="5270">
        <f>BH75-BG75</f>
        <v>-3324</v>
      </c>
      <c r="BI84" s="5270">
        <f t="shared" si="230"/>
        <v>-41342</v>
      </c>
      <c r="BJ84" s="5272">
        <f>AVERAGE(AW84:BH84)</f>
        <v>-3445.1666666666665</v>
      </c>
      <c r="BL84" s="5234">
        <f t="shared" si="221"/>
        <v>-909</v>
      </c>
      <c r="BM84" s="5234">
        <f t="shared" si="222"/>
        <v>-1157.4166666666665</v>
      </c>
      <c r="BN84" s="5255">
        <f t="shared" si="226"/>
        <v>-1061</v>
      </c>
    </row>
    <row r="85" spans="1:66" ht="18" customHeight="1" x14ac:dyDescent="0.55000000000000004">
      <c r="A85" s="7130" t="s">
        <v>1216</v>
      </c>
      <c r="B85" s="7131"/>
      <c r="C85" s="5692" t="s">
        <v>44</v>
      </c>
      <c r="D85" s="5693"/>
      <c r="E85" s="5694">
        <v>7305</v>
      </c>
      <c r="F85" s="5695">
        <v>7708</v>
      </c>
      <c r="G85" s="5694">
        <v>8289</v>
      </c>
      <c r="H85" s="5694">
        <v>8820</v>
      </c>
      <c r="I85" s="5694">
        <v>9254</v>
      </c>
      <c r="J85" s="5694">
        <v>9687</v>
      </c>
      <c r="K85" s="5694">
        <v>10138</v>
      </c>
      <c r="L85" s="5694">
        <v>10527</v>
      </c>
      <c r="M85" s="5694">
        <v>11128</v>
      </c>
      <c r="N85" s="5694">
        <v>11793</v>
      </c>
      <c r="O85" s="5694">
        <v>12476</v>
      </c>
      <c r="P85" s="5694">
        <v>12996</v>
      </c>
      <c r="Q85" s="5694">
        <v>13354</v>
      </c>
      <c r="R85" s="5694">
        <f>Q85</f>
        <v>13354</v>
      </c>
      <c r="S85" s="5694">
        <f t="shared" si="184"/>
        <v>10514.166666666666</v>
      </c>
      <c r="T85" s="5695">
        <v>13477</v>
      </c>
      <c r="U85" s="5694">
        <v>14082</v>
      </c>
      <c r="V85" s="5694">
        <v>14763</v>
      </c>
      <c r="W85" s="5694">
        <v>15205</v>
      </c>
      <c r="X85" s="5694">
        <v>15523</v>
      </c>
      <c r="Y85" s="5694">
        <v>15779</v>
      </c>
      <c r="Z85" s="5676">
        <v>16529</v>
      </c>
      <c r="AA85" s="5676">
        <v>18906</v>
      </c>
      <c r="AB85" s="5676">
        <v>19737</v>
      </c>
      <c r="AC85" s="5676">
        <v>29586</v>
      </c>
      <c r="AD85" s="5676">
        <v>31991</v>
      </c>
      <c r="AE85" s="5676">
        <v>33792</v>
      </c>
      <c r="AF85" s="5678">
        <v>33792</v>
      </c>
      <c r="AG85" s="5678">
        <f>AVERAGE(T85:AE85)</f>
        <v>19947.5</v>
      </c>
      <c r="AH85" s="5678"/>
      <c r="AI85" s="5679">
        <v>39059</v>
      </c>
      <c r="AJ85" s="5678">
        <v>47012</v>
      </c>
      <c r="AK85" s="5678">
        <v>54324</v>
      </c>
      <c r="AL85" s="5678">
        <v>60817</v>
      </c>
      <c r="AM85" s="5678">
        <v>67721</v>
      </c>
      <c r="AN85" s="5678">
        <v>72406</v>
      </c>
      <c r="AO85" s="5678">
        <v>81886</v>
      </c>
      <c r="AP85" s="5678">
        <v>88491</v>
      </c>
      <c r="AQ85" s="5678">
        <v>107576</v>
      </c>
      <c r="AR85" s="5678">
        <v>122261</v>
      </c>
      <c r="AS85" s="5678">
        <v>128262</v>
      </c>
      <c r="AT85" s="5676">
        <v>133929</v>
      </c>
      <c r="AU85" s="5678">
        <f>INDEX($AI85:$AT85, 1, MATCH(0, $AI85:$AT85, -1))</f>
        <v>133929</v>
      </c>
      <c r="AV85" s="5680">
        <f>AVERAGE(AI85:AT85)</f>
        <v>83645.333333333328</v>
      </c>
      <c r="AW85" s="5677">
        <v>139462</v>
      </c>
      <c r="AX85" s="5678">
        <v>156756</v>
      </c>
      <c r="AY85" s="5678">
        <v>164695</v>
      </c>
      <c r="AZ85" s="5678">
        <v>176809</v>
      </c>
      <c r="BA85" s="5678">
        <v>204044</v>
      </c>
      <c r="BB85" s="5678">
        <v>216044</v>
      </c>
      <c r="BC85" s="5678">
        <v>239096</v>
      </c>
      <c r="BD85" s="5678">
        <v>247338</v>
      </c>
      <c r="BE85" s="5678">
        <v>262998</v>
      </c>
      <c r="BF85" s="5678">
        <v>272105</v>
      </c>
      <c r="BG85" s="5678">
        <v>277956</v>
      </c>
      <c r="BH85" s="5678">
        <v>284008</v>
      </c>
      <c r="BI85" s="5676">
        <f>INDEX($AW85:$BH85, 1, MATCH(0, $AW85:$BH85, -1))</f>
        <v>284008</v>
      </c>
      <c r="BJ85" s="5680">
        <f>AVERAGE(AW85:BH85)</f>
        <v>220109.25</v>
      </c>
      <c r="BL85" s="5234">
        <f t="shared" si="221"/>
        <v>150079</v>
      </c>
      <c r="BM85" s="5234">
        <f t="shared" si="222"/>
        <v>136463.91666666669</v>
      </c>
      <c r="BN85" s="5235">
        <f>AX85-AJ85</f>
        <v>109744</v>
      </c>
    </row>
    <row r="86" spans="1:66" ht="18" customHeight="1" x14ac:dyDescent="0.55000000000000004">
      <c r="A86" s="7132"/>
      <c r="B86" s="7133"/>
      <c r="C86" s="3626" t="s">
        <v>57</v>
      </c>
      <c r="D86" s="3520"/>
      <c r="E86" s="5300">
        <f t="shared" ref="E86:AE86" si="248">E87+E88</f>
        <v>719</v>
      </c>
      <c r="F86" s="5299">
        <f t="shared" si="248"/>
        <v>684</v>
      </c>
      <c r="G86" s="5300">
        <f t="shared" si="248"/>
        <v>839</v>
      </c>
      <c r="H86" s="5300">
        <f t="shared" si="248"/>
        <v>828</v>
      </c>
      <c r="I86" s="5300">
        <f t="shared" si="248"/>
        <v>702</v>
      </c>
      <c r="J86" s="5300">
        <f t="shared" si="248"/>
        <v>728</v>
      </c>
      <c r="K86" s="5300">
        <f t="shared" si="248"/>
        <v>708</v>
      </c>
      <c r="L86" s="5300">
        <f t="shared" si="248"/>
        <v>715</v>
      </c>
      <c r="M86" s="5300">
        <f t="shared" si="248"/>
        <v>970</v>
      </c>
      <c r="N86" s="5300">
        <f t="shared" si="248"/>
        <v>1045</v>
      </c>
      <c r="O86" s="5300">
        <f t="shared" si="248"/>
        <v>1156</v>
      </c>
      <c r="P86" s="5300">
        <f t="shared" si="248"/>
        <v>979</v>
      </c>
      <c r="Q86" s="5300">
        <f t="shared" si="248"/>
        <v>827</v>
      </c>
      <c r="R86" s="5300">
        <f t="shared" si="248"/>
        <v>10181</v>
      </c>
      <c r="S86" s="5300">
        <f t="shared" si="248"/>
        <v>848.41666666666663</v>
      </c>
      <c r="T86" s="5299">
        <f t="shared" si="248"/>
        <v>949</v>
      </c>
      <c r="U86" s="5300">
        <f t="shared" si="248"/>
        <v>1212</v>
      </c>
      <c r="V86" s="5300">
        <f t="shared" si="248"/>
        <v>1172</v>
      </c>
      <c r="W86" s="5300">
        <f t="shared" si="248"/>
        <v>886</v>
      </c>
      <c r="X86" s="5300">
        <f t="shared" si="248"/>
        <v>894</v>
      </c>
      <c r="Y86" s="5300">
        <f t="shared" si="248"/>
        <v>818</v>
      </c>
      <c r="Z86" s="5262">
        <f t="shared" si="248"/>
        <v>1298</v>
      </c>
      <c r="AA86" s="5262">
        <f t="shared" si="248"/>
        <v>3224</v>
      </c>
      <c r="AB86" s="5262">
        <f t="shared" si="248"/>
        <v>2088</v>
      </c>
      <c r="AC86" s="5262">
        <f t="shared" si="248"/>
        <v>11171</v>
      </c>
      <c r="AD86" s="5262">
        <f t="shared" si="248"/>
        <v>3355</v>
      </c>
      <c r="AE86" s="5262">
        <f t="shared" si="248"/>
        <v>2711</v>
      </c>
      <c r="AF86" s="5263">
        <f>SUM(T86:AE86)</f>
        <v>29778</v>
      </c>
      <c r="AG86" s="5263">
        <f>AVERAGE(T86:AE86)</f>
        <v>2481.5</v>
      </c>
      <c r="AH86" s="5263"/>
      <c r="AI86" s="5262">
        <f t="shared" ref="AI86:AS86" si="249">AI87+AI88</f>
        <v>7290</v>
      </c>
      <c r="AJ86" s="5262">
        <f t="shared" si="249"/>
        <v>6225</v>
      </c>
      <c r="AK86" s="5262">
        <f t="shared" si="249"/>
        <v>7634</v>
      </c>
      <c r="AL86" s="5262">
        <f t="shared" si="249"/>
        <v>8675</v>
      </c>
      <c r="AM86" s="5262">
        <f t="shared" si="249"/>
        <v>8632</v>
      </c>
      <c r="AN86" s="5262">
        <f t="shared" si="249"/>
        <v>6590</v>
      </c>
      <c r="AO86" s="5262">
        <f t="shared" si="249"/>
        <v>11547</v>
      </c>
      <c r="AP86" s="5262">
        <f t="shared" si="249"/>
        <v>8374</v>
      </c>
      <c r="AQ86" s="5262">
        <f t="shared" si="249"/>
        <v>21554</v>
      </c>
      <c r="AR86" s="5262">
        <f t="shared" si="249"/>
        <v>17291</v>
      </c>
      <c r="AS86" s="5262">
        <f t="shared" si="249"/>
        <v>8478</v>
      </c>
      <c r="AT86" s="5262">
        <f>AT87+AT88</f>
        <v>7673</v>
      </c>
      <c r="AU86" s="5263">
        <f>SUM(AI86:AT86)</f>
        <v>119963</v>
      </c>
      <c r="AV86" s="5265">
        <f>AVERAGE(AI86:AT86)</f>
        <v>9996.9166666666661</v>
      </c>
      <c r="AW86" s="5261">
        <v>7588</v>
      </c>
      <c r="AX86" s="5263">
        <v>20682</v>
      </c>
      <c r="AY86" s="5263">
        <v>10591</v>
      </c>
      <c r="AZ86" s="5263">
        <v>14687</v>
      </c>
      <c r="BA86" s="5263">
        <f>BA87+BA88</f>
        <v>30235</v>
      </c>
      <c r="BB86" s="5263">
        <f t="shared" ref="BB86" si="250">BB87+BB88</f>
        <v>15026</v>
      </c>
      <c r="BC86" s="5263">
        <v>28501</v>
      </c>
      <c r="BD86" s="5263">
        <v>13256</v>
      </c>
      <c r="BE86" s="5263">
        <v>23139</v>
      </c>
      <c r="BF86" s="5263">
        <f>BF87+BF88</f>
        <v>14766</v>
      </c>
      <c r="BG86" s="5263">
        <f t="shared" ref="BG86:BH86" si="251">BG87+BG88</f>
        <v>11138</v>
      </c>
      <c r="BH86" s="5263">
        <f t="shared" si="251"/>
        <v>12178</v>
      </c>
      <c r="BI86" s="5263">
        <f>SUM(AW86:BH86)</f>
        <v>201787</v>
      </c>
      <c r="BJ86" s="5265">
        <f>AVERAGE(AW86:BE86)</f>
        <v>18189.444444444445</v>
      </c>
      <c r="BL86" s="5234">
        <f t="shared" si="221"/>
        <v>4505</v>
      </c>
      <c r="BM86" s="5234">
        <f t="shared" si="222"/>
        <v>8192.5277777777792</v>
      </c>
      <c r="BN86" s="5255">
        <f t="shared" ref="BN86:BN94" si="252">HLOOKUP($A$1,$AW$1:$BH$400,ROW(),0)-SUM(AI86:AJ86)</f>
        <v>-1337</v>
      </c>
    </row>
    <row r="87" spans="1:66" ht="18" customHeight="1" x14ac:dyDescent="0.55000000000000004">
      <c r="A87" s="7132"/>
      <c r="B87" s="7133"/>
      <c r="C87" s="2648"/>
      <c r="D87" s="2648" t="s">
        <v>47</v>
      </c>
      <c r="E87" s="5687">
        <v>719</v>
      </c>
      <c r="F87" s="5296">
        <v>684</v>
      </c>
      <c r="G87" s="5297">
        <v>839</v>
      </c>
      <c r="H87" s="5297">
        <v>828</v>
      </c>
      <c r="I87" s="5297">
        <v>702</v>
      </c>
      <c r="J87" s="5297">
        <v>728</v>
      </c>
      <c r="K87" s="5297">
        <v>708</v>
      </c>
      <c r="L87" s="5297">
        <v>715</v>
      </c>
      <c r="M87" s="5297">
        <v>970</v>
      </c>
      <c r="N87" s="5297">
        <v>1045</v>
      </c>
      <c r="O87" s="5297">
        <v>1156</v>
      </c>
      <c r="P87" s="5297">
        <v>979</v>
      </c>
      <c r="Q87" s="5297">
        <v>827</v>
      </c>
      <c r="R87" s="5297">
        <f t="shared" si="179"/>
        <v>10181</v>
      </c>
      <c r="S87" s="5297">
        <f t="shared" si="184"/>
        <v>848.41666666666663</v>
      </c>
      <c r="T87" s="5296">
        <v>949</v>
      </c>
      <c r="U87" s="5297">
        <v>1212</v>
      </c>
      <c r="V87" s="5297">
        <v>1172</v>
      </c>
      <c r="W87" s="5297">
        <v>886</v>
      </c>
      <c r="X87" s="5297">
        <v>894</v>
      </c>
      <c r="Y87" s="5297">
        <v>818</v>
      </c>
      <c r="Z87" s="3263">
        <v>1009</v>
      </c>
      <c r="AA87" s="3263">
        <v>2139</v>
      </c>
      <c r="AB87" s="3263">
        <v>1644</v>
      </c>
      <c r="AC87" s="3263">
        <v>1929</v>
      </c>
      <c r="AD87" s="3263">
        <v>1809</v>
      </c>
      <c r="AE87" s="3263">
        <v>1777</v>
      </c>
      <c r="AF87" s="5257">
        <f t="shared" ref="AF87:AF94" si="253">SUM(T87:AE87)</f>
        <v>16238</v>
      </c>
      <c r="AG87" s="5257">
        <f t="shared" ref="AG87:AG94" si="254">AVERAGE(T87:AE87)</f>
        <v>1353.1666666666667</v>
      </c>
      <c r="AH87" s="5257"/>
      <c r="AI87" s="5258">
        <v>2883</v>
      </c>
      <c r="AJ87" s="5257">
        <v>2785</v>
      </c>
      <c r="AK87" s="5257">
        <v>4362</v>
      </c>
      <c r="AL87" s="5257">
        <v>3756</v>
      </c>
      <c r="AM87" s="5257">
        <v>4322</v>
      </c>
      <c r="AN87" s="5257">
        <v>3608</v>
      </c>
      <c r="AO87" s="5257">
        <v>4010</v>
      </c>
      <c r="AP87" s="5257">
        <v>3447</v>
      </c>
      <c r="AQ87" s="5257">
        <v>3508</v>
      </c>
      <c r="AR87" s="5257">
        <v>4437</v>
      </c>
      <c r="AS87" s="5257">
        <v>2715</v>
      </c>
      <c r="AT87" s="3263">
        <v>2652</v>
      </c>
      <c r="AU87" s="5257">
        <f>SUM(AI87:AS87)</f>
        <v>39833</v>
      </c>
      <c r="AV87" s="5259">
        <f>AVERAGE(AI87:AT87)</f>
        <v>3540.4166666666665</v>
      </c>
      <c r="AW87" s="5256">
        <v>3205</v>
      </c>
      <c r="AX87" s="5257">
        <v>7288</v>
      </c>
      <c r="AY87" s="5257">
        <v>4106</v>
      </c>
      <c r="AZ87" s="5257">
        <v>7767</v>
      </c>
      <c r="BA87" s="5257">
        <v>22582</v>
      </c>
      <c r="BB87" s="5257">
        <v>8475</v>
      </c>
      <c r="BC87" s="5257">
        <v>17402</v>
      </c>
      <c r="BD87" s="5257">
        <v>5056</v>
      </c>
      <c r="BE87" s="5257">
        <v>4800</v>
      </c>
      <c r="BF87" s="5257">
        <v>3964</v>
      </c>
      <c r="BG87" s="5257">
        <v>3588.0000000000005</v>
      </c>
      <c r="BH87" s="5257">
        <v>4590</v>
      </c>
      <c r="BI87" s="5257">
        <f>SUM(AW87:BG87)</f>
        <v>88233</v>
      </c>
      <c r="BJ87" s="5259">
        <f>AVERAGE(AW87:BH87)</f>
        <v>7735.25</v>
      </c>
      <c r="BL87" s="5234">
        <f t="shared" si="221"/>
        <v>1938</v>
      </c>
      <c r="BM87" s="5234">
        <f t="shared" si="222"/>
        <v>4194.8333333333339</v>
      </c>
      <c r="BN87" s="5255">
        <f t="shared" si="252"/>
        <v>-1078</v>
      </c>
    </row>
    <row r="88" spans="1:66" ht="18" customHeight="1" x14ac:dyDescent="0.55000000000000004">
      <c r="A88" s="7132"/>
      <c r="B88" s="7133"/>
      <c r="C88" s="2648"/>
      <c r="D88" s="2648" t="s">
        <v>56</v>
      </c>
      <c r="E88" s="5687">
        <v>0</v>
      </c>
      <c r="F88" s="5296">
        <v>0</v>
      </c>
      <c r="G88" s="5297">
        <v>0</v>
      </c>
      <c r="H88" s="5297">
        <v>0</v>
      </c>
      <c r="I88" s="5297">
        <v>0</v>
      </c>
      <c r="J88" s="5297">
        <v>0</v>
      </c>
      <c r="K88" s="5297">
        <v>0</v>
      </c>
      <c r="L88" s="5297">
        <v>0</v>
      </c>
      <c r="M88" s="5297">
        <v>0</v>
      </c>
      <c r="N88" s="5297">
        <v>0</v>
      </c>
      <c r="O88" s="5297">
        <v>0</v>
      </c>
      <c r="P88" s="5297">
        <v>0</v>
      </c>
      <c r="Q88" s="5297">
        <v>0</v>
      </c>
      <c r="R88" s="5297">
        <f t="shared" si="179"/>
        <v>0</v>
      </c>
      <c r="S88" s="5297">
        <f t="shared" si="184"/>
        <v>0</v>
      </c>
      <c r="T88" s="5296">
        <v>0</v>
      </c>
      <c r="U88" s="5297">
        <v>0</v>
      </c>
      <c r="V88" s="5297">
        <v>0</v>
      </c>
      <c r="W88" s="5297">
        <v>0</v>
      </c>
      <c r="X88" s="5297">
        <v>0</v>
      </c>
      <c r="Y88" s="5297">
        <v>0</v>
      </c>
      <c r="Z88" s="3263">
        <v>289</v>
      </c>
      <c r="AA88" s="3263">
        <v>1085</v>
      </c>
      <c r="AB88" s="3263">
        <v>444</v>
      </c>
      <c r="AC88" s="3263">
        <v>9242</v>
      </c>
      <c r="AD88" s="3263">
        <v>1546</v>
      </c>
      <c r="AE88" s="3263">
        <v>934</v>
      </c>
      <c r="AF88" s="5257">
        <f t="shared" si="253"/>
        <v>13540</v>
      </c>
      <c r="AG88" s="5257">
        <f t="shared" si="254"/>
        <v>1128.3333333333333</v>
      </c>
      <c r="AH88" s="5257"/>
      <c r="AI88" s="5258">
        <v>4407</v>
      </c>
      <c r="AJ88" s="5257">
        <v>3440</v>
      </c>
      <c r="AK88" s="5257">
        <v>3272</v>
      </c>
      <c r="AL88" s="5257">
        <v>4919</v>
      </c>
      <c r="AM88" s="5257">
        <v>4310</v>
      </c>
      <c r="AN88" s="5257">
        <v>2982</v>
      </c>
      <c r="AO88" s="5257">
        <v>7537</v>
      </c>
      <c r="AP88" s="5257">
        <v>4927</v>
      </c>
      <c r="AQ88" s="5257">
        <v>18046</v>
      </c>
      <c r="AR88" s="5257">
        <v>12854</v>
      </c>
      <c r="AS88" s="5257">
        <v>5763</v>
      </c>
      <c r="AT88" s="3263">
        <v>5021</v>
      </c>
      <c r="AU88" s="5257">
        <f>SUM(AI88:AS88)</f>
        <v>72457</v>
      </c>
      <c r="AV88" s="5259">
        <f>AVERAGE(AI88:AT88)</f>
        <v>6456.5</v>
      </c>
      <c r="AW88" s="5256">
        <v>4383</v>
      </c>
      <c r="AX88" s="5257">
        <v>13394</v>
      </c>
      <c r="AY88" s="5257">
        <v>6485</v>
      </c>
      <c r="AZ88" s="5257">
        <v>6920</v>
      </c>
      <c r="BA88" s="5257">
        <v>7653</v>
      </c>
      <c r="BB88" s="5257">
        <v>6551</v>
      </c>
      <c r="BC88" s="5257">
        <v>11099</v>
      </c>
      <c r="BD88" s="5257">
        <v>8200</v>
      </c>
      <c r="BE88" s="5257">
        <v>18339</v>
      </c>
      <c r="BF88" s="5257">
        <v>10802</v>
      </c>
      <c r="BG88" s="5257">
        <v>7550</v>
      </c>
      <c r="BH88" s="5257">
        <v>7588</v>
      </c>
      <c r="BI88" s="5257">
        <f>SUM(AW88:BG88)</f>
        <v>101376</v>
      </c>
      <c r="BJ88" s="5259">
        <f>AVERAGE(AW88:BH88)</f>
        <v>9080.3333333333339</v>
      </c>
      <c r="BL88" s="5234">
        <f t="shared" si="221"/>
        <v>2567</v>
      </c>
      <c r="BM88" s="5234">
        <f t="shared" si="222"/>
        <v>2623.8333333333339</v>
      </c>
      <c r="BN88" s="5255">
        <f t="shared" si="252"/>
        <v>-259</v>
      </c>
    </row>
    <row r="89" spans="1:66" ht="18" customHeight="1" x14ac:dyDescent="0.55000000000000004">
      <c r="A89" s="7132"/>
      <c r="B89" s="7133"/>
      <c r="C89" s="2648" t="s">
        <v>48</v>
      </c>
      <c r="D89" s="2648"/>
      <c r="E89" s="5687">
        <v>255</v>
      </c>
      <c r="F89" s="5296">
        <v>232</v>
      </c>
      <c r="G89" s="5297">
        <v>209</v>
      </c>
      <c r="H89" s="5297">
        <v>257</v>
      </c>
      <c r="I89" s="5297">
        <v>207</v>
      </c>
      <c r="J89" s="5297">
        <v>228</v>
      </c>
      <c r="K89" s="5297">
        <v>230</v>
      </c>
      <c r="L89" s="5297">
        <v>273</v>
      </c>
      <c r="M89" s="5297">
        <v>308</v>
      </c>
      <c r="N89" s="5297">
        <v>321</v>
      </c>
      <c r="O89" s="5297">
        <v>345</v>
      </c>
      <c r="P89" s="5297">
        <v>385</v>
      </c>
      <c r="Q89" s="5297">
        <v>393</v>
      </c>
      <c r="R89" s="5297">
        <f t="shared" si="179"/>
        <v>3388</v>
      </c>
      <c r="S89" s="5297">
        <f t="shared" si="184"/>
        <v>282.33333333333331</v>
      </c>
      <c r="T89" s="5296">
        <v>755</v>
      </c>
      <c r="U89" s="5297">
        <v>531</v>
      </c>
      <c r="V89" s="5297">
        <v>416</v>
      </c>
      <c r="W89" s="5297">
        <v>370</v>
      </c>
      <c r="X89" s="5297">
        <v>490</v>
      </c>
      <c r="Y89" s="5297">
        <v>490</v>
      </c>
      <c r="Z89" s="3263">
        <v>462</v>
      </c>
      <c r="AA89" s="3263">
        <v>654</v>
      </c>
      <c r="AB89" s="3263">
        <v>1163</v>
      </c>
      <c r="AC89" s="3263">
        <v>879</v>
      </c>
      <c r="AD89" s="3263">
        <v>779</v>
      </c>
      <c r="AE89" s="3263">
        <v>762</v>
      </c>
      <c r="AF89" s="5257">
        <f t="shared" si="253"/>
        <v>7751</v>
      </c>
      <c r="AG89" s="5257">
        <f t="shared" si="254"/>
        <v>645.91666666666663</v>
      </c>
      <c r="AH89" s="5257"/>
      <c r="AI89" s="5258">
        <v>1224</v>
      </c>
      <c r="AJ89" s="5257">
        <v>949</v>
      </c>
      <c r="AK89" s="5257">
        <v>1594</v>
      </c>
      <c r="AL89" s="5257">
        <v>1343</v>
      </c>
      <c r="AM89" s="5257">
        <v>1035</v>
      </c>
      <c r="AN89" s="5257">
        <v>1170</v>
      </c>
      <c r="AO89" s="5257">
        <v>1145</v>
      </c>
      <c r="AP89" s="5257">
        <v>1146</v>
      </c>
      <c r="AQ89" s="5257">
        <v>1117</v>
      </c>
      <c r="AR89" s="5257">
        <v>1451</v>
      </c>
      <c r="AS89" s="5257">
        <v>1863</v>
      </c>
      <c r="AT89" s="3263">
        <v>1493</v>
      </c>
      <c r="AU89" s="5257">
        <f t="shared" ref="AU89:AU94" si="255">SUM(AI89:AT89)</f>
        <v>15530</v>
      </c>
      <c r="AV89" s="5259">
        <f>AVERAGE(AI89:AS89)</f>
        <v>1276.090909090909</v>
      </c>
      <c r="AW89" s="5256">
        <v>1566</v>
      </c>
      <c r="AX89" s="5257">
        <v>2231</v>
      </c>
      <c r="AY89" s="5257">
        <v>1837</v>
      </c>
      <c r="AZ89" s="5257">
        <v>1755</v>
      </c>
      <c r="BA89" s="5257">
        <v>2002</v>
      </c>
      <c r="BB89" s="5257">
        <v>1980</v>
      </c>
      <c r="BC89" s="5257">
        <v>3392</v>
      </c>
      <c r="BD89" s="5257">
        <v>3273</v>
      </c>
      <c r="BE89" s="5257">
        <v>3696</v>
      </c>
      <c r="BF89" s="5257">
        <v>3050</v>
      </c>
      <c r="BG89" s="5257">
        <v>3187</v>
      </c>
      <c r="BH89" s="5257">
        <v>3903</v>
      </c>
      <c r="BI89" s="5257">
        <f t="shared" ref="BI89:BI94" si="256">SUM(AW89:BH89)</f>
        <v>31872</v>
      </c>
      <c r="BJ89" s="5259">
        <f>AVERAGE(AW89:BG89)</f>
        <v>2542.6363636363635</v>
      </c>
      <c r="BL89" s="5234">
        <f t="shared" si="221"/>
        <v>2410</v>
      </c>
      <c r="BM89" s="5234">
        <f t="shared" si="222"/>
        <v>1266.5454545454545</v>
      </c>
      <c r="BN89" s="5255">
        <f t="shared" si="252"/>
        <v>1730</v>
      </c>
    </row>
    <row r="90" spans="1:66" ht="17.05" customHeight="1" x14ac:dyDescent="0.55000000000000004">
      <c r="A90" s="7132"/>
      <c r="B90" s="7133"/>
      <c r="C90" s="2648" t="s">
        <v>59</v>
      </c>
      <c r="D90" s="2648"/>
      <c r="E90" s="5687"/>
      <c r="F90" s="5296">
        <v>29</v>
      </c>
      <c r="G90" s="5297">
        <v>6</v>
      </c>
      <c r="H90" s="5297">
        <v>28</v>
      </c>
      <c r="I90" s="5297">
        <v>12</v>
      </c>
      <c r="J90" s="5297">
        <v>12</v>
      </c>
      <c r="K90" s="5297">
        <v>23</v>
      </c>
      <c r="L90" s="5297">
        <v>14</v>
      </c>
      <c r="M90" s="5297">
        <v>24</v>
      </c>
      <c r="N90" s="5297">
        <v>17</v>
      </c>
      <c r="O90" s="5297">
        <v>28</v>
      </c>
      <c r="P90" s="5297">
        <v>38</v>
      </c>
      <c r="Q90" s="5297">
        <v>34</v>
      </c>
      <c r="R90" s="5297">
        <f t="shared" si="179"/>
        <v>265</v>
      </c>
      <c r="S90" s="5297">
        <f t="shared" si="184"/>
        <v>22.083333333333332</v>
      </c>
      <c r="T90" s="5296">
        <v>25</v>
      </c>
      <c r="U90" s="5297">
        <v>26</v>
      </c>
      <c r="V90" s="5297">
        <v>28</v>
      </c>
      <c r="W90" s="5297">
        <v>38</v>
      </c>
      <c r="X90" s="5297">
        <v>34</v>
      </c>
      <c r="Y90" s="5297">
        <v>54</v>
      </c>
      <c r="Z90" s="3263">
        <v>43</v>
      </c>
      <c r="AA90" s="3263">
        <v>30</v>
      </c>
      <c r="AB90" s="3263">
        <v>33</v>
      </c>
      <c r="AC90" s="3263">
        <v>50</v>
      </c>
      <c r="AD90" s="3263">
        <v>29</v>
      </c>
      <c r="AE90" s="3263">
        <v>76</v>
      </c>
      <c r="AF90" s="5257">
        <f t="shared" si="253"/>
        <v>466</v>
      </c>
      <c r="AG90" s="5257">
        <f t="shared" si="254"/>
        <v>38.833333333333336</v>
      </c>
      <c r="AH90" s="5257"/>
      <c r="AI90" s="5258">
        <v>30</v>
      </c>
      <c r="AJ90" s="5257">
        <v>31</v>
      </c>
      <c r="AK90" s="5257">
        <v>5</v>
      </c>
      <c r="AL90" s="5257">
        <v>41</v>
      </c>
      <c r="AM90" s="5257">
        <v>59</v>
      </c>
      <c r="AN90" s="5257">
        <v>55</v>
      </c>
      <c r="AO90" s="5257">
        <v>65</v>
      </c>
      <c r="AP90" s="5257">
        <v>76</v>
      </c>
      <c r="AQ90" s="5257">
        <v>97</v>
      </c>
      <c r="AR90" s="5257">
        <v>166</v>
      </c>
      <c r="AS90" s="5257">
        <v>389</v>
      </c>
      <c r="AT90" s="3263">
        <v>340</v>
      </c>
      <c r="AU90" s="5257">
        <f t="shared" si="255"/>
        <v>1354</v>
      </c>
      <c r="AV90" s="5259">
        <f>AVERAGE(AI90:AS90)</f>
        <v>92.181818181818187</v>
      </c>
      <c r="AW90" s="5256">
        <v>396</v>
      </c>
      <c r="AX90" s="5257">
        <v>249</v>
      </c>
      <c r="AY90" s="5257">
        <v>230</v>
      </c>
      <c r="AZ90" s="5257">
        <v>273</v>
      </c>
      <c r="BA90" s="5257">
        <v>263</v>
      </c>
      <c r="BB90" s="5257">
        <v>300</v>
      </c>
      <c r="BC90" s="5257">
        <v>386</v>
      </c>
      <c r="BD90" s="5257">
        <v>423</v>
      </c>
      <c r="BE90" s="5257">
        <v>280</v>
      </c>
      <c r="BF90" s="5257">
        <v>317</v>
      </c>
      <c r="BG90" s="5257">
        <v>341</v>
      </c>
      <c r="BH90" s="5257">
        <v>436</v>
      </c>
      <c r="BI90" s="5257">
        <f t="shared" si="256"/>
        <v>3894</v>
      </c>
      <c r="BJ90" s="5259">
        <f>AVERAGE(AW90:BG90)</f>
        <v>314.36363636363637</v>
      </c>
      <c r="BL90" s="5234">
        <f t="shared" si="221"/>
        <v>96</v>
      </c>
      <c r="BM90" s="5234">
        <f t="shared" si="222"/>
        <v>222.18181818181819</v>
      </c>
      <c r="BN90" s="5255">
        <f t="shared" si="252"/>
        <v>375</v>
      </c>
    </row>
    <row r="91" spans="1:66" ht="18" customHeight="1" x14ac:dyDescent="0.55000000000000004">
      <c r="A91" s="7132"/>
      <c r="B91" s="7133"/>
      <c r="C91" s="2648" t="s">
        <v>49</v>
      </c>
      <c r="D91" s="2648"/>
      <c r="E91" s="5687"/>
      <c r="F91" s="5296"/>
      <c r="G91" s="5297"/>
      <c r="H91" s="5297"/>
      <c r="I91" s="5297"/>
      <c r="J91" s="5297"/>
      <c r="K91" s="5297"/>
      <c r="L91" s="5297"/>
      <c r="M91" s="5297"/>
      <c r="N91" s="5297"/>
      <c r="O91" s="5297"/>
      <c r="P91" s="5297"/>
      <c r="Q91" s="5297"/>
      <c r="R91" s="5297">
        <f t="shared" si="179"/>
        <v>0</v>
      </c>
      <c r="S91" s="5297" t="e">
        <f t="shared" si="184"/>
        <v>#DIV/0!</v>
      </c>
      <c r="T91" s="5296">
        <f t="shared" ref="T91:AE91" si="257">T86-T89-T92-T94-T93</f>
        <v>-2978</v>
      </c>
      <c r="U91" s="5297">
        <f t="shared" si="257"/>
        <v>-2551</v>
      </c>
      <c r="V91" s="5297">
        <f t="shared" si="257"/>
        <v>-2882</v>
      </c>
      <c r="W91" s="5297">
        <f t="shared" si="257"/>
        <v>-2248</v>
      </c>
      <c r="X91" s="5297">
        <f t="shared" si="257"/>
        <v>-2383</v>
      </c>
      <c r="Y91" s="5297">
        <f t="shared" si="257"/>
        <v>-2455</v>
      </c>
      <c r="Z91" s="3263">
        <f t="shared" si="257"/>
        <v>-2374</v>
      </c>
      <c r="AA91" s="3263">
        <f t="shared" si="257"/>
        <v>-2449</v>
      </c>
      <c r="AB91" s="3263">
        <f t="shared" si="257"/>
        <v>-2265</v>
      </c>
      <c r="AC91" s="3263">
        <f t="shared" si="257"/>
        <v>-6868</v>
      </c>
      <c r="AD91" s="3263">
        <f t="shared" si="257"/>
        <v>-2770</v>
      </c>
      <c r="AE91" s="3263">
        <f t="shared" si="257"/>
        <v>-2304</v>
      </c>
      <c r="AF91" s="5257">
        <f t="shared" si="253"/>
        <v>-34527</v>
      </c>
      <c r="AG91" s="5257">
        <f t="shared" si="254"/>
        <v>-2877.25</v>
      </c>
      <c r="AH91" s="5257"/>
      <c r="AI91" s="5258">
        <f t="shared" ref="AI91:AT91" si="258">-(AI94-(AI86-AI89-AI92-AI93))</f>
        <v>643</v>
      </c>
      <c r="AJ91" s="5257">
        <f>-(AJ94-(AJ86-AJ89-AJ92-AJ93))</f>
        <v>-5631</v>
      </c>
      <c r="AK91" s="5257">
        <f t="shared" si="258"/>
        <v>-3198</v>
      </c>
      <c r="AL91" s="5257">
        <f t="shared" si="258"/>
        <v>822</v>
      </c>
      <c r="AM91" s="5257">
        <f t="shared" si="258"/>
        <v>683</v>
      </c>
      <c r="AN91" s="5257">
        <f t="shared" si="258"/>
        <v>723</v>
      </c>
      <c r="AO91" s="5257">
        <f t="shared" si="258"/>
        <v>907</v>
      </c>
      <c r="AP91" s="5257">
        <f t="shared" si="258"/>
        <v>623</v>
      </c>
      <c r="AQ91" s="5257">
        <f t="shared" si="258"/>
        <v>1348</v>
      </c>
      <c r="AR91" s="5257">
        <f t="shared" si="258"/>
        <v>1150</v>
      </c>
      <c r="AS91" s="5257">
        <f t="shared" si="258"/>
        <v>613</v>
      </c>
      <c r="AT91" s="3263">
        <f t="shared" si="258"/>
        <v>511</v>
      </c>
      <c r="AU91" s="5257">
        <f t="shared" si="255"/>
        <v>-806</v>
      </c>
      <c r="AV91" s="5259">
        <f>AVERAGE(AI91:AS91)</f>
        <v>-119.72727272727273</v>
      </c>
      <c r="AW91" s="5277">
        <f>-(AW94-(AW86-AW89-AW92-AW93))</f>
        <v>461</v>
      </c>
      <c r="AX91" s="5277">
        <f t="shared" ref="AX91:BH91" si="259">-(AX94-(AX86-AX89-AX92-AX93))</f>
        <v>1150</v>
      </c>
      <c r="AY91" s="5277">
        <f t="shared" si="259"/>
        <v>731</v>
      </c>
      <c r="AZ91" s="5277">
        <f t="shared" si="259"/>
        <v>756</v>
      </c>
      <c r="BA91" s="5277">
        <f>-(BA94-(BA86-BA89-BA92-BA93))</f>
        <v>864</v>
      </c>
      <c r="BB91" s="5277">
        <f t="shared" si="259"/>
        <v>855</v>
      </c>
      <c r="BC91" s="5277">
        <f t="shared" si="259"/>
        <v>1783</v>
      </c>
      <c r="BD91" s="5277">
        <f t="shared" si="259"/>
        <v>1304</v>
      </c>
      <c r="BE91" s="5277">
        <f t="shared" si="259"/>
        <v>3225</v>
      </c>
      <c r="BF91" s="5277">
        <f t="shared" si="259"/>
        <v>2013</v>
      </c>
      <c r="BG91" s="5277">
        <f t="shared" si="259"/>
        <v>1485</v>
      </c>
      <c r="BH91" s="5277">
        <f t="shared" si="259"/>
        <v>1372</v>
      </c>
      <c r="BI91" s="5257">
        <f t="shared" si="256"/>
        <v>15999</v>
      </c>
      <c r="BJ91" s="5259">
        <f>AVERAGE(AW91:BG91)</f>
        <v>1329.7272727272727</v>
      </c>
      <c r="BL91" s="5234">
        <f t="shared" si="221"/>
        <v>861</v>
      </c>
      <c r="BM91" s="5234">
        <f t="shared" si="222"/>
        <v>1449.4545454545455</v>
      </c>
      <c r="BN91" s="5255">
        <f t="shared" si="252"/>
        <v>6360</v>
      </c>
    </row>
    <row r="92" spans="1:66" ht="18" customHeight="1" x14ac:dyDescent="0.55000000000000004">
      <c r="A92" s="7132"/>
      <c r="B92" s="7133"/>
      <c r="C92" s="2648" t="s">
        <v>50</v>
      </c>
      <c r="D92" s="2648"/>
      <c r="E92" s="5687"/>
      <c r="F92" s="5707"/>
      <c r="G92" s="5708"/>
      <c r="H92" s="5708"/>
      <c r="I92" s="5708"/>
      <c r="J92" s="5297">
        <v>44</v>
      </c>
      <c r="K92" s="5297">
        <v>23</v>
      </c>
      <c r="L92" s="5297">
        <v>41</v>
      </c>
      <c r="M92" s="5297">
        <v>47</v>
      </c>
      <c r="N92" s="5297">
        <v>36</v>
      </c>
      <c r="O92" s="5297">
        <v>78</v>
      </c>
      <c r="P92" s="5297">
        <v>41</v>
      </c>
      <c r="Q92" s="5297">
        <v>33</v>
      </c>
      <c r="R92" s="5297">
        <f t="shared" si="179"/>
        <v>343</v>
      </c>
      <c r="S92" s="5297">
        <f t="shared" si="184"/>
        <v>42.875</v>
      </c>
      <c r="T92" s="5296">
        <v>3049</v>
      </c>
      <c r="U92" s="5297">
        <v>2627</v>
      </c>
      <c r="V92" s="5297">
        <v>2957</v>
      </c>
      <c r="W92" s="5297">
        <v>2322</v>
      </c>
      <c r="X92" s="5297">
        <v>2469</v>
      </c>
      <c r="Y92" s="5297">
        <v>2527</v>
      </c>
      <c r="Z92" s="3263">
        <v>2460</v>
      </c>
      <c r="AA92" s="3263">
        <v>2642</v>
      </c>
      <c r="AB92" s="3263">
        <v>2359</v>
      </c>
      <c r="AC92" s="3263">
        <v>7311</v>
      </c>
      <c r="AD92" s="3263">
        <v>2941</v>
      </c>
      <c r="AE92" s="3263">
        <v>2452</v>
      </c>
      <c r="AF92" s="5257">
        <f t="shared" si="253"/>
        <v>36116</v>
      </c>
      <c r="AG92" s="5257">
        <f t="shared" si="254"/>
        <v>3009.6666666666665</v>
      </c>
      <c r="AH92" s="5257"/>
      <c r="AI92" s="5258">
        <v>156</v>
      </c>
      <c r="AJ92" s="5257">
        <v>0</v>
      </c>
      <c r="AK92" s="5257">
        <v>0</v>
      </c>
      <c r="AL92" s="5257">
        <v>0</v>
      </c>
      <c r="AM92" s="5257">
        <v>0</v>
      </c>
      <c r="AN92" s="5257">
        <v>0</v>
      </c>
      <c r="AO92" s="5257">
        <v>2</v>
      </c>
      <c r="AP92" s="5257">
        <v>0</v>
      </c>
      <c r="AQ92" s="5257">
        <v>4</v>
      </c>
      <c r="AR92" s="5257">
        <v>5</v>
      </c>
      <c r="AS92" s="5257">
        <v>1</v>
      </c>
      <c r="AT92" s="3263">
        <v>2</v>
      </c>
      <c r="AU92" s="5257">
        <f t="shared" si="255"/>
        <v>170</v>
      </c>
      <c r="AV92" s="5259">
        <f>AVERAGE(AI92:AS92)</f>
        <v>15.272727272727273</v>
      </c>
      <c r="AW92" s="5682">
        <v>28</v>
      </c>
      <c r="AX92" s="5277">
        <v>17</v>
      </c>
      <c r="AY92" s="5277">
        <v>91</v>
      </c>
      <c r="AZ92" s="5277">
        <v>63</v>
      </c>
      <c r="BA92" s="5277">
        <v>138</v>
      </c>
      <c r="BB92" s="5277">
        <v>194</v>
      </c>
      <c r="BC92" s="5257">
        <v>274</v>
      </c>
      <c r="BD92" s="5257">
        <v>437</v>
      </c>
      <c r="BE92" s="5257">
        <v>558</v>
      </c>
      <c r="BF92" s="5257">
        <v>596</v>
      </c>
      <c r="BG92" s="5257">
        <v>615</v>
      </c>
      <c r="BH92" s="5257">
        <v>851</v>
      </c>
      <c r="BI92" s="5257">
        <f t="shared" si="256"/>
        <v>3862</v>
      </c>
      <c r="BJ92" s="5259">
        <f>AVERAGE(AW92:BG92)</f>
        <v>273.72727272727275</v>
      </c>
      <c r="BL92" s="5234">
        <f t="shared" si="221"/>
        <v>849</v>
      </c>
      <c r="BM92" s="5234">
        <f t="shared" si="222"/>
        <v>258.4545454545455</v>
      </c>
      <c r="BN92" s="5255">
        <f t="shared" si="252"/>
        <v>695</v>
      </c>
    </row>
    <row r="93" spans="1:66" ht="18" customHeight="1" x14ac:dyDescent="0.55000000000000004">
      <c r="A93" s="7132"/>
      <c r="B93" s="7133"/>
      <c r="C93" s="2648" t="s">
        <v>768</v>
      </c>
      <c r="D93" s="2648"/>
      <c r="E93" s="5687"/>
      <c r="F93" s="5296"/>
      <c r="G93" s="5297"/>
      <c r="H93" s="5297"/>
      <c r="I93" s="5297"/>
      <c r="J93" s="5297"/>
      <c r="K93" s="5297"/>
      <c r="L93" s="5297"/>
      <c r="M93" s="5297"/>
      <c r="N93" s="5297"/>
      <c r="O93" s="5297"/>
      <c r="P93" s="5297"/>
      <c r="Q93" s="5297"/>
      <c r="R93" s="5297">
        <f t="shared" si="179"/>
        <v>0</v>
      </c>
      <c r="S93" s="5297" t="e">
        <f t="shared" si="184"/>
        <v>#DIV/0!</v>
      </c>
      <c r="T93" s="5296">
        <v>0</v>
      </c>
      <c r="U93" s="5297">
        <v>0</v>
      </c>
      <c r="V93" s="5297">
        <v>0</v>
      </c>
      <c r="W93" s="5297">
        <v>0</v>
      </c>
      <c r="X93" s="5297">
        <v>0</v>
      </c>
      <c r="Y93" s="5297">
        <v>0</v>
      </c>
      <c r="Z93" s="3263">
        <v>0</v>
      </c>
      <c r="AA93" s="3263">
        <v>0</v>
      </c>
      <c r="AB93" s="3263">
        <v>0</v>
      </c>
      <c r="AC93" s="3263">
        <v>0</v>
      </c>
      <c r="AD93" s="3263">
        <v>0</v>
      </c>
      <c r="AE93" s="3263">
        <v>0</v>
      </c>
      <c r="AF93" s="5257">
        <f t="shared" si="253"/>
        <v>0</v>
      </c>
      <c r="AG93" s="5257">
        <f t="shared" si="254"/>
        <v>0</v>
      </c>
      <c r="AH93" s="5257"/>
      <c r="AI93" s="5258"/>
      <c r="AJ93" s="5257">
        <v>2954</v>
      </c>
      <c r="AK93" s="5257">
        <v>1926</v>
      </c>
      <c r="AL93" s="5257">
        <v>17</v>
      </c>
      <c r="AM93" s="5257">
        <v>10</v>
      </c>
      <c r="AN93" s="5257">
        <v>12</v>
      </c>
      <c r="AO93" s="5257">
        <v>13</v>
      </c>
      <c r="AP93" s="5257">
        <v>0</v>
      </c>
      <c r="AQ93" s="5257">
        <v>0</v>
      </c>
      <c r="AR93" s="5257">
        <v>0</v>
      </c>
      <c r="AS93" s="5257">
        <v>0</v>
      </c>
      <c r="AT93" s="5257">
        <v>0</v>
      </c>
      <c r="AU93" s="5257">
        <f t="shared" si="255"/>
        <v>4932</v>
      </c>
      <c r="AV93" s="5259">
        <f>AVERAGE(AI93:AS93)</f>
        <v>493.2</v>
      </c>
      <c r="AW93" s="5256">
        <v>0</v>
      </c>
      <c r="AX93" s="5257">
        <f>-AX44</f>
        <v>-10</v>
      </c>
      <c r="AY93" s="5257">
        <f t="shared" ref="AY93:BB93" si="260">-AY44</f>
        <v>-7</v>
      </c>
      <c r="AZ93" s="5257">
        <f t="shared" si="260"/>
        <v>-1</v>
      </c>
      <c r="BA93" s="5257">
        <f t="shared" si="260"/>
        <v>-4</v>
      </c>
      <c r="BB93" s="5257">
        <f t="shared" si="260"/>
        <v>-3</v>
      </c>
      <c r="BC93" s="5257">
        <v>0</v>
      </c>
      <c r="BD93" s="5257">
        <v>0</v>
      </c>
      <c r="BE93" s="5257">
        <v>0</v>
      </c>
      <c r="BF93" s="5257">
        <v>0</v>
      </c>
      <c r="BG93" s="5257">
        <v>0</v>
      </c>
      <c r="BH93" s="5257">
        <v>0</v>
      </c>
      <c r="BI93" s="5257">
        <f t="shared" si="256"/>
        <v>-25</v>
      </c>
      <c r="BJ93" s="5259">
        <v>0</v>
      </c>
      <c r="BL93" s="5234">
        <f t="shared" si="221"/>
        <v>0</v>
      </c>
      <c r="BM93" s="5234">
        <f t="shared" si="222"/>
        <v>-493.2</v>
      </c>
      <c r="BN93" s="5255">
        <f t="shared" si="252"/>
        <v>-2954</v>
      </c>
    </row>
    <row r="94" spans="1:66" ht="18" customHeight="1" x14ac:dyDescent="0.55000000000000004">
      <c r="A94" s="7145"/>
      <c r="B94" s="7146"/>
      <c r="C94" s="5690" t="s">
        <v>51</v>
      </c>
      <c r="D94" s="2655"/>
      <c r="E94" s="5304"/>
      <c r="F94" s="5305"/>
      <c r="G94" s="5304"/>
      <c r="H94" s="5304"/>
      <c r="I94" s="5304"/>
      <c r="J94" s="5304"/>
      <c r="K94" s="5304"/>
      <c r="L94" s="5304"/>
      <c r="M94" s="5304"/>
      <c r="N94" s="5304"/>
      <c r="O94" s="5304"/>
      <c r="P94" s="5304"/>
      <c r="Q94" s="5304"/>
      <c r="R94" s="5304">
        <f t="shared" si="179"/>
        <v>0</v>
      </c>
      <c r="S94" s="5304" t="e">
        <f t="shared" si="184"/>
        <v>#DIV/0!</v>
      </c>
      <c r="T94" s="5305">
        <f>T85-Q85</f>
        <v>123</v>
      </c>
      <c r="U94" s="5304">
        <f t="shared" ref="U94:AE94" si="261">U85-T85</f>
        <v>605</v>
      </c>
      <c r="V94" s="5304">
        <f t="shared" si="261"/>
        <v>681</v>
      </c>
      <c r="W94" s="5304">
        <f t="shared" si="261"/>
        <v>442</v>
      </c>
      <c r="X94" s="5304">
        <f t="shared" si="261"/>
        <v>318</v>
      </c>
      <c r="Y94" s="5304">
        <f t="shared" si="261"/>
        <v>256</v>
      </c>
      <c r="Z94" s="5269">
        <f t="shared" si="261"/>
        <v>750</v>
      </c>
      <c r="AA94" s="5269">
        <f t="shared" si="261"/>
        <v>2377</v>
      </c>
      <c r="AB94" s="5269">
        <f t="shared" si="261"/>
        <v>831</v>
      </c>
      <c r="AC94" s="5269">
        <f t="shared" si="261"/>
        <v>9849</v>
      </c>
      <c r="AD94" s="5269">
        <f t="shared" si="261"/>
        <v>2405</v>
      </c>
      <c r="AE94" s="5269">
        <f t="shared" si="261"/>
        <v>1801</v>
      </c>
      <c r="AF94" s="5270">
        <f t="shared" si="253"/>
        <v>20438</v>
      </c>
      <c r="AG94" s="5270">
        <f t="shared" si="254"/>
        <v>1703.1666666666667</v>
      </c>
      <c r="AH94" s="5270"/>
      <c r="AI94" s="5294">
        <v>5267</v>
      </c>
      <c r="AJ94" s="5270">
        <f>AJ85-AI85</f>
        <v>7953</v>
      </c>
      <c r="AK94" s="5270">
        <f t="shared" ref="AK94:AT94" si="262">AK85-AJ85</f>
        <v>7312</v>
      </c>
      <c r="AL94" s="5270">
        <f t="shared" si="262"/>
        <v>6493</v>
      </c>
      <c r="AM94" s="5270">
        <f t="shared" si="262"/>
        <v>6904</v>
      </c>
      <c r="AN94" s="5270">
        <f t="shared" si="262"/>
        <v>4685</v>
      </c>
      <c r="AO94" s="5270">
        <f t="shared" si="262"/>
        <v>9480</v>
      </c>
      <c r="AP94" s="5270">
        <f t="shared" si="262"/>
        <v>6605</v>
      </c>
      <c r="AQ94" s="5270">
        <f t="shared" si="262"/>
        <v>19085</v>
      </c>
      <c r="AR94" s="5270">
        <f t="shared" si="262"/>
        <v>14685</v>
      </c>
      <c r="AS94" s="5270">
        <f t="shared" si="262"/>
        <v>6001</v>
      </c>
      <c r="AT94" s="5270">
        <f t="shared" si="262"/>
        <v>5667</v>
      </c>
      <c r="AU94" s="5270">
        <f t="shared" si="255"/>
        <v>100137</v>
      </c>
      <c r="AV94" s="5272">
        <f>AVERAGE(AI94:AT94)</f>
        <v>8344.75</v>
      </c>
      <c r="AW94" s="5268">
        <v>5533</v>
      </c>
      <c r="AX94" s="5270">
        <f>AX85-AW85</f>
        <v>17294</v>
      </c>
      <c r="AY94" s="5270">
        <f>AY85-AX85</f>
        <v>7939</v>
      </c>
      <c r="AZ94" s="5270">
        <v>12114</v>
      </c>
      <c r="BA94" s="5270">
        <f>BA85-AZ85</f>
        <v>27235</v>
      </c>
      <c r="BB94" s="5270">
        <f>BB85-BA85</f>
        <v>12000</v>
      </c>
      <c r="BC94" s="5270">
        <f t="shared" ref="BC94" si="263">BC85-BB85</f>
        <v>23052</v>
      </c>
      <c r="BD94" s="5270">
        <v>8242</v>
      </c>
      <c r="BE94" s="5270">
        <v>15660</v>
      </c>
      <c r="BF94" s="5270">
        <f>BF85-BE85</f>
        <v>9107</v>
      </c>
      <c r="BG94" s="5270">
        <f>BG85-BF85</f>
        <v>5851</v>
      </c>
      <c r="BH94" s="5270">
        <f>BH85-BG85</f>
        <v>6052</v>
      </c>
      <c r="BI94" s="5270">
        <f t="shared" si="256"/>
        <v>150079</v>
      </c>
      <c r="BJ94" s="5272">
        <f>AVERAGE(AW94:BH94)</f>
        <v>12506.583333333334</v>
      </c>
      <c r="BL94" s="5234">
        <f t="shared" si="221"/>
        <v>385</v>
      </c>
      <c r="BM94" s="5234">
        <f t="shared" si="222"/>
        <v>4161.8333333333339</v>
      </c>
      <c r="BN94" s="5255">
        <f t="shared" si="252"/>
        <v>-7168</v>
      </c>
    </row>
    <row r="95" spans="1:66" ht="18" customHeight="1" x14ac:dyDescent="0.55000000000000004">
      <c r="A95" s="7130" t="s">
        <v>770</v>
      </c>
      <c r="B95" s="7131"/>
      <c r="C95" s="5692" t="s">
        <v>44</v>
      </c>
      <c r="D95" s="5693"/>
      <c r="E95" s="5694">
        <v>111715</v>
      </c>
      <c r="F95" s="5695">
        <v>112728</v>
      </c>
      <c r="G95" s="5694">
        <v>114001</v>
      </c>
      <c r="H95" s="5694">
        <v>115474</v>
      </c>
      <c r="I95" s="5694">
        <v>116950</v>
      </c>
      <c r="J95" s="5694">
        <v>119166</v>
      </c>
      <c r="K95" s="5694">
        <v>120686</v>
      </c>
      <c r="L95" s="5694">
        <v>122388</v>
      </c>
      <c r="M95" s="5694">
        <v>124043</v>
      </c>
      <c r="N95" s="5694">
        <v>128410</v>
      </c>
      <c r="O95" s="5694">
        <v>131380</v>
      </c>
      <c r="P95" s="5694">
        <v>131733</v>
      </c>
      <c r="Q95" s="5694">
        <v>131402</v>
      </c>
      <c r="R95" s="5694">
        <f>Q95</f>
        <v>131402</v>
      </c>
      <c r="S95" s="5694">
        <f t="shared" si="184"/>
        <v>122363.41666666667</v>
      </c>
      <c r="T95" s="5695">
        <v>131876</v>
      </c>
      <c r="U95" s="5694">
        <v>133518</v>
      </c>
      <c r="V95" s="5694">
        <v>135123</v>
      </c>
      <c r="W95" s="5694">
        <v>135810</v>
      </c>
      <c r="X95" s="5694">
        <v>137831</v>
      </c>
      <c r="Y95" s="5694">
        <v>140015</v>
      </c>
      <c r="Z95" s="5676">
        <v>140283</v>
      </c>
      <c r="AA95" s="5676">
        <v>139734</v>
      </c>
      <c r="AB95" s="5676">
        <v>139950</v>
      </c>
      <c r="AC95" s="5676">
        <v>140703</v>
      </c>
      <c r="AD95" s="5676">
        <v>140155</v>
      </c>
      <c r="AE95" s="5676">
        <v>140550</v>
      </c>
      <c r="AF95" s="5678">
        <v>140550</v>
      </c>
      <c r="AG95" s="5678">
        <f>AVERAGE(T95:AE95)</f>
        <v>137962.33333333334</v>
      </c>
      <c r="AH95" s="5678"/>
      <c r="AI95" s="5679">
        <v>140810</v>
      </c>
      <c r="AJ95" s="5678">
        <v>139956</v>
      </c>
      <c r="AK95" s="5678">
        <v>139120</v>
      </c>
      <c r="AL95" s="5678">
        <v>138449</v>
      </c>
      <c r="AM95" s="5678">
        <v>136720</v>
      </c>
      <c r="AN95" s="5678">
        <v>136402</v>
      </c>
      <c r="AO95" s="5678">
        <v>136233</v>
      </c>
      <c r="AP95" s="5678">
        <v>136534</v>
      </c>
      <c r="AQ95" s="5678">
        <v>136844</v>
      </c>
      <c r="AR95" s="5678">
        <v>135018</v>
      </c>
      <c r="AS95" s="5678">
        <v>130364</v>
      </c>
      <c r="AT95" s="5676">
        <v>129663</v>
      </c>
      <c r="AU95" s="5678">
        <f>INDEX($AI95:$AT95, 1, MATCH(0, $AI95:$AT95, -1))</f>
        <v>129663</v>
      </c>
      <c r="AV95" s="5680">
        <f>AVERAGE(AI95:AT95)</f>
        <v>136342.75</v>
      </c>
      <c r="AW95" s="5677">
        <v>129118</v>
      </c>
      <c r="AX95" s="5678">
        <v>127813</v>
      </c>
      <c r="AY95" s="5678">
        <v>128150</v>
      </c>
      <c r="AZ95" s="5678">
        <v>127290</v>
      </c>
      <c r="BA95" s="5678">
        <v>126975</v>
      </c>
      <c r="BB95" s="5678">
        <v>125769</v>
      </c>
      <c r="BC95" s="5678">
        <v>126809</v>
      </c>
      <c r="BD95" s="5678">
        <v>124728</v>
      </c>
      <c r="BE95" s="5678">
        <v>123444</v>
      </c>
      <c r="BF95" s="5678">
        <v>120873</v>
      </c>
      <c r="BG95" s="5678">
        <v>121418</v>
      </c>
      <c r="BH95" s="5678">
        <v>121737</v>
      </c>
      <c r="BI95" s="5676">
        <f>INDEX($AW95:$BH95, 1, MATCH(0, $AW95:$BH95, -1))</f>
        <v>121737</v>
      </c>
      <c r="BJ95" s="5680">
        <f>AVERAGE(AW95:BH95)</f>
        <v>125343.66666666667</v>
      </c>
      <c r="BL95" s="5234">
        <f t="shared" si="221"/>
        <v>-7926</v>
      </c>
      <c r="BM95" s="5234">
        <f t="shared" si="222"/>
        <v>-10999.083333333328</v>
      </c>
      <c r="BN95" s="5235">
        <f>AX95-AJ95</f>
        <v>-12143</v>
      </c>
    </row>
    <row r="96" spans="1:66" ht="18" customHeight="1" x14ac:dyDescent="0.55000000000000004">
      <c r="A96" s="7132"/>
      <c r="B96" s="7133"/>
      <c r="C96" s="3626" t="s">
        <v>57</v>
      </c>
      <c r="D96" s="3520"/>
      <c r="E96" s="5300">
        <f t="shared" ref="E96:S96" si="264">E97+E98</f>
        <v>3909</v>
      </c>
      <c r="F96" s="5299">
        <f t="shared" si="264"/>
        <v>4855</v>
      </c>
      <c r="G96" s="5300">
        <f t="shared" si="264"/>
        <v>5412</v>
      </c>
      <c r="H96" s="5300">
        <f t="shared" si="264"/>
        <v>5081</v>
      </c>
      <c r="I96" s="5300">
        <f t="shared" si="264"/>
        <v>4556</v>
      </c>
      <c r="J96" s="5300">
        <f t="shared" si="264"/>
        <v>5665</v>
      </c>
      <c r="K96" s="5300">
        <f t="shared" si="264"/>
        <v>5165</v>
      </c>
      <c r="L96" s="5300">
        <f t="shared" si="264"/>
        <v>5879</v>
      </c>
      <c r="M96" s="5300">
        <f t="shared" si="264"/>
        <v>5182</v>
      </c>
      <c r="N96" s="5300">
        <f t="shared" si="264"/>
        <v>7519</v>
      </c>
      <c r="O96" s="5300">
        <f t="shared" si="264"/>
        <v>6164</v>
      </c>
      <c r="P96" s="5300">
        <f t="shared" si="264"/>
        <v>4628</v>
      </c>
      <c r="Q96" s="5300">
        <f t="shared" si="264"/>
        <v>3315</v>
      </c>
      <c r="R96" s="5300">
        <f t="shared" si="264"/>
        <v>63421</v>
      </c>
      <c r="S96" s="5300">
        <f t="shared" si="264"/>
        <v>5285.0833333333339</v>
      </c>
      <c r="T96" s="5299">
        <v>4600</v>
      </c>
      <c r="U96" s="5300">
        <v>5781</v>
      </c>
      <c r="V96" s="5300">
        <v>5132</v>
      </c>
      <c r="W96" s="5300">
        <v>3814</v>
      </c>
      <c r="X96" s="5300">
        <v>4886</v>
      </c>
      <c r="Y96" s="5300">
        <v>4488</v>
      </c>
      <c r="Z96" s="5262">
        <v>3636</v>
      </c>
      <c r="AA96" s="5262">
        <v>3646</v>
      </c>
      <c r="AB96" s="5262">
        <v>5804</v>
      </c>
      <c r="AC96" s="5262">
        <v>7253</v>
      </c>
      <c r="AD96" s="5262">
        <v>2706</v>
      </c>
      <c r="AE96" s="5262">
        <v>2251</v>
      </c>
      <c r="AF96" s="5263">
        <f>SUM(T96:AE96)</f>
        <v>53997</v>
      </c>
      <c r="AG96" s="5263">
        <f>AVERAGE(T96:AE96)</f>
        <v>4499.75</v>
      </c>
      <c r="AH96" s="5263"/>
      <c r="AI96" s="5264">
        <v>3260</v>
      </c>
      <c r="AJ96" s="5263">
        <v>2214</v>
      </c>
      <c r="AK96" s="5263">
        <v>1632</v>
      </c>
      <c r="AL96" s="5263">
        <v>2415</v>
      </c>
      <c r="AM96" s="5263">
        <v>1540</v>
      </c>
      <c r="AN96" s="5263">
        <v>2359</v>
      </c>
      <c r="AO96" s="5263">
        <v>2875</v>
      </c>
      <c r="AP96" s="5263">
        <v>2958</v>
      </c>
      <c r="AQ96" s="5263">
        <v>3119</v>
      </c>
      <c r="AR96" s="5263">
        <v>6253</v>
      </c>
      <c r="AS96" s="5263">
        <v>2707</v>
      </c>
      <c r="AT96" s="5262">
        <v>1833.9999999999998</v>
      </c>
      <c r="AU96" s="5263">
        <f>SUM(AI96:AT96)</f>
        <v>33166</v>
      </c>
      <c r="AV96" s="5265">
        <f>AVERAGE(AI96:AT96)</f>
        <v>2763.8333333333335</v>
      </c>
      <c r="AW96" s="5261">
        <v>1912</v>
      </c>
      <c r="AX96" s="5263">
        <v>2778</v>
      </c>
      <c r="AY96" s="5263">
        <v>3485</v>
      </c>
      <c r="AZ96" s="5263">
        <v>2478</v>
      </c>
      <c r="BA96" s="5263">
        <f>BA97+BA98</f>
        <v>2591</v>
      </c>
      <c r="BB96" s="5263">
        <f>BB97+BB98</f>
        <v>1942</v>
      </c>
      <c r="BC96" s="5263">
        <v>4860</v>
      </c>
      <c r="BD96" s="5263">
        <v>1543</v>
      </c>
      <c r="BE96" s="5263">
        <v>2494</v>
      </c>
      <c r="BF96" s="5263">
        <f>BF97+BF98</f>
        <v>5265</v>
      </c>
      <c r="BG96" s="5263">
        <f t="shared" ref="BG96:BH96" si="265">BG97+BG98</f>
        <v>5004</v>
      </c>
      <c r="BH96" s="5263">
        <f t="shared" si="265"/>
        <v>3497</v>
      </c>
      <c r="BI96" s="5263">
        <f>SUM(AW96:BH96)</f>
        <v>37849</v>
      </c>
      <c r="BJ96" s="5265">
        <f>AVERAGE(AW96:BH96)</f>
        <v>3154.0833333333335</v>
      </c>
      <c r="BL96" s="5234">
        <f t="shared" si="221"/>
        <v>1663.0000000000002</v>
      </c>
      <c r="BM96" s="5234">
        <f t="shared" si="222"/>
        <v>390.25</v>
      </c>
      <c r="BN96" s="5255">
        <f t="shared" ref="BN96:BN104" si="266">HLOOKUP($A$1,$AW$1:$BH$400,ROW(),0)-SUM(AI96:AJ96)</f>
        <v>-1977</v>
      </c>
    </row>
    <row r="97" spans="1:66" ht="18" customHeight="1" x14ac:dyDescent="0.55000000000000004">
      <c r="A97" s="7132"/>
      <c r="B97" s="7133"/>
      <c r="C97" s="2648"/>
      <c r="D97" s="2648" t="s">
        <v>47</v>
      </c>
      <c r="E97" s="5687">
        <v>1717</v>
      </c>
      <c r="F97" s="5296">
        <v>2343</v>
      </c>
      <c r="G97" s="5297">
        <v>1988</v>
      </c>
      <c r="H97" s="5297">
        <v>2123</v>
      </c>
      <c r="I97" s="5297">
        <v>2005</v>
      </c>
      <c r="J97" s="5297">
        <v>3171</v>
      </c>
      <c r="K97" s="5297">
        <v>2269</v>
      </c>
      <c r="L97" s="5297">
        <v>3172</v>
      </c>
      <c r="M97" s="5297">
        <v>1824</v>
      </c>
      <c r="N97" s="5297">
        <v>4945</v>
      </c>
      <c r="O97" s="5297">
        <v>3984</v>
      </c>
      <c r="P97" s="5297">
        <v>2380</v>
      </c>
      <c r="Q97" s="5297">
        <v>1957</v>
      </c>
      <c r="R97" s="5297">
        <f t="shared" si="179"/>
        <v>32161</v>
      </c>
      <c r="S97" s="5297">
        <f t="shared" si="184"/>
        <v>2680.0833333333335</v>
      </c>
      <c r="T97" s="5296">
        <v>2898</v>
      </c>
      <c r="U97" s="5297">
        <v>2524</v>
      </c>
      <c r="V97" s="5297">
        <v>2006</v>
      </c>
      <c r="W97" s="5297">
        <v>1362</v>
      </c>
      <c r="X97" s="5297">
        <v>1652</v>
      </c>
      <c r="Y97" s="5297">
        <v>1824</v>
      </c>
      <c r="Z97" s="3263">
        <v>937</v>
      </c>
      <c r="AA97" s="3263">
        <v>1378</v>
      </c>
      <c r="AB97" s="3263">
        <v>604</v>
      </c>
      <c r="AC97" s="3263">
        <v>848</v>
      </c>
      <c r="AD97" s="3263">
        <v>676</v>
      </c>
      <c r="AE97" s="3263">
        <v>596</v>
      </c>
      <c r="AF97" s="5257">
        <f t="shared" ref="AF97:AF104" si="267">SUM(T97:AE97)</f>
        <v>17305</v>
      </c>
      <c r="AG97" s="5257">
        <f t="shared" ref="AG97:AG104" si="268">AVERAGE(T97:AE97)</f>
        <v>1442.0833333333333</v>
      </c>
      <c r="AH97" s="5257"/>
      <c r="AI97" s="5258">
        <v>1633</v>
      </c>
      <c r="AJ97" s="5257">
        <v>1327</v>
      </c>
      <c r="AK97" s="5257">
        <v>911</v>
      </c>
      <c r="AL97" s="5257">
        <v>711</v>
      </c>
      <c r="AM97" s="5257">
        <v>745</v>
      </c>
      <c r="AN97" s="5257">
        <v>1221</v>
      </c>
      <c r="AO97" s="5257">
        <v>1314</v>
      </c>
      <c r="AP97" s="5257">
        <v>2160</v>
      </c>
      <c r="AQ97" s="5257">
        <v>1701</v>
      </c>
      <c r="AR97" s="5257">
        <v>1178</v>
      </c>
      <c r="AS97" s="5257">
        <v>1007</v>
      </c>
      <c r="AT97" s="3263"/>
      <c r="AU97" s="5257">
        <f>SUM(AI97:AQ97)</f>
        <v>11723</v>
      </c>
      <c r="AV97" s="5259">
        <f t="shared" ref="AV97:AV104" si="269">AVERAGE(AI97:AT97)</f>
        <v>1264.3636363636363</v>
      </c>
      <c r="AW97" s="5256">
        <v>1049</v>
      </c>
      <c r="AX97" s="5257">
        <v>927</v>
      </c>
      <c r="AY97" s="5257">
        <v>2829</v>
      </c>
      <c r="AZ97" s="5257">
        <v>1630</v>
      </c>
      <c r="BA97" s="5257">
        <v>1679</v>
      </c>
      <c r="BB97" s="5257">
        <v>1191</v>
      </c>
      <c r="BC97" s="5257">
        <v>3981</v>
      </c>
      <c r="BD97" s="5257">
        <v>905</v>
      </c>
      <c r="BE97" s="5257">
        <v>1546</v>
      </c>
      <c r="BF97" s="3263">
        <v>1406</v>
      </c>
      <c r="BG97" s="5257">
        <v>4110</v>
      </c>
      <c r="BH97" s="5257">
        <v>2714</v>
      </c>
      <c r="BI97" s="5257">
        <f>SUM(AW97:BE97)</f>
        <v>15737</v>
      </c>
      <c r="BJ97" s="5259">
        <f>AVERAGE(AW97:BH97)</f>
        <v>1997.25</v>
      </c>
      <c r="BL97" s="5234">
        <f t="shared" si="221"/>
        <v>2714</v>
      </c>
      <c r="BM97" s="5234">
        <f t="shared" si="222"/>
        <v>732.88636363636374</v>
      </c>
      <c r="BN97" s="5255">
        <f t="shared" si="266"/>
        <v>-246</v>
      </c>
    </row>
    <row r="98" spans="1:66" ht="18" customHeight="1" x14ac:dyDescent="0.55000000000000004">
      <c r="A98" s="7132"/>
      <c r="B98" s="7133"/>
      <c r="C98" s="2648"/>
      <c r="D98" s="2648" t="s">
        <v>56</v>
      </c>
      <c r="E98" s="5687">
        <v>2192</v>
      </c>
      <c r="F98" s="5296">
        <v>2512</v>
      </c>
      <c r="G98" s="5297">
        <v>3424</v>
      </c>
      <c r="H98" s="5297">
        <v>2958</v>
      </c>
      <c r="I98" s="5297">
        <v>2551</v>
      </c>
      <c r="J98" s="5297">
        <v>2494</v>
      </c>
      <c r="K98" s="5297">
        <v>2896</v>
      </c>
      <c r="L98" s="5297">
        <v>2707</v>
      </c>
      <c r="M98" s="5297">
        <v>3358</v>
      </c>
      <c r="N98" s="5297">
        <v>2574</v>
      </c>
      <c r="O98" s="5297">
        <v>2180</v>
      </c>
      <c r="P98" s="5297">
        <v>2248</v>
      </c>
      <c r="Q98" s="5297">
        <v>1358</v>
      </c>
      <c r="R98" s="5297">
        <f t="shared" si="179"/>
        <v>31260</v>
      </c>
      <c r="S98" s="5297">
        <f t="shared" si="184"/>
        <v>2605</v>
      </c>
      <c r="T98" s="5296">
        <v>1703</v>
      </c>
      <c r="U98" s="5297">
        <v>3257</v>
      </c>
      <c r="V98" s="5297">
        <v>3129</v>
      </c>
      <c r="W98" s="5297">
        <v>2458</v>
      </c>
      <c r="X98" s="5297">
        <v>3234</v>
      </c>
      <c r="Y98" s="5297">
        <v>2674</v>
      </c>
      <c r="Z98" s="3263">
        <v>2700</v>
      </c>
      <c r="AA98" s="3263">
        <v>2271</v>
      </c>
      <c r="AB98" s="3263">
        <v>5216</v>
      </c>
      <c r="AC98" s="3263">
        <v>6418</v>
      </c>
      <c r="AD98" s="3263">
        <v>2031</v>
      </c>
      <c r="AE98" s="3263">
        <v>1658</v>
      </c>
      <c r="AF98" s="5257">
        <f t="shared" si="267"/>
        <v>36749</v>
      </c>
      <c r="AG98" s="5257">
        <f t="shared" si="268"/>
        <v>3062.4166666666665</v>
      </c>
      <c r="AH98" s="5257"/>
      <c r="AI98" s="5258">
        <v>1627</v>
      </c>
      <c r="AJ98" s="5257">
        <v>887</v>
      </c>
      <c r="AK98" s="5257">
        <v>721</v>
      </c>
      <c r="AL98" s="5257">
        <v>1774</v>
      </c>
      <c r="AM98" s="5257">
        <v>847</v>
      </c>
      <c r="AN98" s="5257">
        <v>1189</v>
      </c>
      <c r="AO98" s="5257">
        <v>1606</v>
      </c>
      <c r="AP98" s="5257">
        <v>820</v>
      </c>
      <c r="AQ98" s="5257">
        <v>1418</v>
      </c>
      <c r="AR98" s="5257">
        <v>5075</v>
      </c>
      <c r="AS98" s="5257">
        <v>1700</v>
      </c>
      <c r="AT98" s="3263"/>
      <c r="AU98" s="5257">
        <f>SUM(AI98:AS98)</f>
        <v>17664</v>
      </c>
      <c r="AV98" s="5259">
        <f t="shared" si="269"/>
        <v>1605.8181818181818</v>
      </c>
      <c r="AW98" s="5256">
        <v>863</v>
      </c>
      <c r="AX98" s="5257">
        <v>1851</v>
      </c>
      <c r="AY98" s="5257">
        <v>656</v>
      </c>
      <c r="AZ98" s="5257">
        <v>848</v>
      </c>
      <c r="BA98" s="5257">
        <v>912</v>
      </c>
      <c r="BB98" s="5257">
        <v>751</v>
      </c>
      <c r="BC98" s="5257">
        <v>879</v>
      </c>
      <c r="BD98" s="5257">
        <v>638</v>
      </c>
      <c r="BE98" s="5257">
        <v>948</v>
      </c>
      <c r="BF98" s="3263">
        <v>3859</v>
      </c>
      <c r="BG98" s="5257">
        <v>894</v>
      </c>
      <c r="BH98" s="5257">
        <v>783</v>
      </c>
      <c r="BI98" s="5257">
        <f>SUM(AW98:BH98)</f>
        <v>13882</v>
      </c>
      <c r="BJ98" s="5259">
        <f>AVERAGE(AW98:BH98)</f>
        <v>1156.8333333333333</v>
      </c>
      <c r="BL98" s="5234">
        <f t="shared" si="221"/>
        <v>783</v>
      </c>
      <c r="BM98" s="5234">
        <f t="shared" si="222"/>
        <v>-448.9848484848485</v>
      </c>
      <c r="BN98" s="5255">
        <f t="shared" si="266"/>
        <v>-1731</v>
      </c>
    </row>
    <row r="99" spans="1:66" ht="16.75" customHeight="1" x14ac:dyDescent="0.55000000000000004">
      <c r="A99" s="7132"/>
      <c r="B99" s="7133"/>
      <c r="C99" s="2648" t="s">
        <v>48</v>
      </c>
      <c r="D99" s="2648"/>
      <c r="E99" s="5687">
        <v>1344</v>
      </c>
      <c r="F99" s="5296">
        <v>1163</v>
      </c>
      <c r="G99" s="5297">
        <v>1267</v>
      </c>
      <c r="H99" s="5297">
        <v>1372</v>
      </c>
      <c r="I99" s="5297">
        <v>1296</v>
      </c>
      <c r="J99" s="5297">
        <v>1410</v>
      </c>
      <c r="K99" s="5297">
        <v>1506</v>
      </c>
      <c r="L99" s="5297">
        <v>1809</v>
      </c>
      <c r="M99" s="5297">
        <v>1305</v>
      </c>
      <c r="N99" s="5297">
        <v>1176</v>
      </c>
      <c r="O99" s="5297">
        <v>1132</v>
      </c>
      <c r="P99" s="5297">
        <v>1390</v>
      </c>
      <c r="Q99" s="5297">
        <v>2206</v>
      </c>
      <c r="R99" s="5297">
        <f t="shared" si="179"/>
        <v>17032</v>
      </c>
      <c r="S99" s="5297">
        <f t="shared" si="184"/>
        <v>1419.3333333333333</v>
      </c>
      <c r="T99" s="5296">
        <v>1829</v>
      </c>
      <c r="U99" s="5297">
        <v>1515</v>
      </c>
      <c r="V99" s="5297">
        <v>1735</v>
      </c>
      <c r="W99" s="5297">
        <v>1380</v>
      </c>
      <c r="X99" s="5297">
        <v>1022</v>
      </c>
      <c r="Y99" s="5297">
        <v>766</v>
      </c>
      <c r="Z99" s="3263">
        <v>1886</v>
      </c>
      <c r="AA99" s="3263">
        <v>2000</v>
      </c>
      <c r="AB99" s="3263">
        <v>905</v>
      </c>
      <c r="AC99" s="3263">
        <v>1139</v>
      </c>
      <c r="AD99" s="3263">
        <v>1056</v>
      </c>
      <c r="AE99" s="3263">
        <v>648</v>
      </c>
      <c r="AF99" s="5257">
        <f t="shared" si="267"/>
        <v>15881</v>
      </c>
      <c r="AG99" s="5257">
        <f t="shared" si="268"/>
        <v>1323.4166666666667</v>
      </c>
      <c r="AH99" s="5257"/>
      <c r="AI99" s="5258">
        <v>676</v>
      </c>
      <c r="AJ99" s="5257">
        <v>1566</v>
      </c>
      <c r="AK99" s="5257">
        <v>865</v>
      </c>
      <c r="AL99" s="5257">
        <v>1386</v>
      </c>
      <c r="AM99" s="5257">
        <v>860</v>
      </c>
      <c r="AN99" s="5257">
        <v>798</v>
      </c>
      <c r="AO99" s="5257">
        <v>805</v>
      </c>
      <c r="AP99" s="5257">
        <v>758</v>
      </c>
      <c r="AQ99" s="5257">
        <v>607</v>
      </c>
      <c r="AR99" s="5257">
        <v>671</v>
      </c>
      <c r="AS99" s="5257">
        <v>825</v>
      </c>
      <c r="AT99" s="3263">
        <v>1191</v>
      </c>
      <c r="AU99" s="5257">
        <f t="shared" ref="AU99:AU104" si="270">SUM(AI99:AT99)</f>
        <v>11008</v>
      </c>
      <c r="AV99" s="5259">
        <f>AVERAGE(AI99:AS99)</f>
        <v>892.4545454545455</v>
      </c>
      <c r="AW99" s="5256">
        <v>664</v>
      </c>
      <c r="AX99" s="5257">
        <v>750</v>
      </c>
      <c r="AY99" s="5257">
        <v>1353</v>
      </c>
      <c r="AZ99" s="5257">
        <v>1158</v>
      </c>
      <c r="BA99" s="5257">
        <v>1002</v>
      </c>
      <c r="BB99" s="5257">
        <v>713</v>
      </c>
      <c r="BC99" s="5257">
        <v>1667</v>
      </c>
      <c r="BD99" s="5257">
        <v>984</v>
      </c>
      <c r="BE99" s="5257">
        <v>680</v>
      </c>
      <c r="BF99" s="3053">
        <v>1074</v>
      </c>
      <c r="BG99" s="5257">
        <v>1148</v>
      </c>
      <c r="BH99" s="5257">
        <v>1022</v>
      </c>
      <c r="BI99" s="5257">
        <f t="shared" ref="BI99:BI104" si="271">SUM(AW99:BH99)</f>
        <v>12215</v>
      </c>
      <c r="BJ99" s="5259">
        <f>AVERAGE(AW99:BG99)</f>
        <v>1017.5454545454545</v>
      </c>
      <c r="BL99" s="5234">
        <f t="shared" si="221"/>
        <v>-169</v>
      </c>
      <c r="BM99" s="5234">
        <f t="shared" si="222"/>
        <v>125.09090909090901</v>
      </c>
      <c r="BN99" s="5255">
        <f t="shared" si="266"/>
        <v>-1220</v>
      </c>
    </row>
    <row r="100" spans="1:66" ht="17.05" customHeight="1" x14ac:dyDescent="0.55000000000000004">
      <c r="A100" s="7132"/>
      <c r="B100" s="7133"/>
      <c r="C100" s="2648" t="s">
        <v>59</v>
      </c>
      <c r="D100" s="2648"/>
      <c r="E100" s="5687"/>
      <c r="F100" s="5296">
        <v>40</v>
      </c>
      <c r="G100" s="5297">
        <v>9</v>
      </c>
      <c r="H100" s="5297">
        <v>128</v>
      </c>
      <c r="I100" s="5297">
        <v>13</v>
      </c>
      <c r="J100" s="5297">
        <v>32</v>
      </c>
      <c r="K100" s="5297">
        <v>28</v>
      </c>
      <c r="L100" s="5297">
        <v>14</v>
      </c>
      <c r="M100" s="5297">
        <v>9</v>
      </c>
      <c r="N100" s="5297">
        <v>24</v>
      </c>
      <c r="O100" s="5297">
        <v>11</v>
      </c>
      <c r="P100" s="5297">
        <v>23</v>
      </c>
      <c r="Q100" s="5297">
        <v>167</v>
      </c>
      <c r="R100" s="5297">
        <f t="shared" si="179"/>
        <v>498</v>
      </c>
      <c r="S100" s="5297">
        <f t="shared" si="184"/>
        <v>41.5</v>
      </c>
      <c r="T100" s="5296">
        <v>22</v>
      </c>
      <c r="U100" s="5297">
        <v>16</v>
      </c>
      <c r="V100" s="5297">
        <v>22</v>
      </c>
      <c r="W100" s="5297">
        <v>16</v>
      </c>
      <c r="X100" s="5297">
        <v>60</v>
      </c>
      <c r="Y100" s="5297">
        <v>28</v>
      </c>
      <c r="Z100" s="3263">
        <v>23</v>
      </c>
      <c r="AA100" s="3263">
        <v>14</v>
      </c>
      <c r="AB100" s="3263">
        <v>25</v>
      </c>
      <c r="AC100" s="3263">
        <v>17</v>
      </c>
      <c r="AD100" s="3263">
        <v>54</v>
      </c>
      <c r="AE100" s="3263">
        <v>49</v>
      </c>
      <c r="AF100" s="5257">
        <f t="shared" si="267"/>
        <v>346</v>
      </c>
      <c r="AG100" s="5257">
        <f t="shared" si="268"/>
        <v>28.833333333333332</v>
      </c>
      <c r="AH100" s="5257"/>
      <c r="AI100" s="5258">
        <v>11</v>
      </c>
      <c r="AJ100" s="5257">
        <v>20</v>
      </c>
      <c r="AK100" s="5257">
        <v>35</v>
      </c>
      <c r="AL100" s="5257">
        <v>178</v>
      </c>
      <c r="AM100" s="5257">
        <v>167</v>
      </c>
      <c r="AN100" s="5257">
        <v>103</v>
      </c>
      <c r="AO100" s="5257">
        <v>29</v>
      </c>
      <c r="AP100" s="5257">
        <v>56</v>
      </c>
      <c r="AQ100" s="5257">
        <v>34</v>
      </c>
      <c r="AR100" s="5257">
        <v>85</v>
      </c>
      <c r="AS100" s="5257">
        <v>23</v>
      </c>
      <c r="AT100" s="3263">
        <v>564</v>
      </c>
      <c r="AU100" s="5257">
        <f t="shared" si="270"/>
        <v>1305</v>
      </c>
      <c r="AV100" s="5259">
        <f>AVERAGE(AI100:AS100)</f>
        <v>67.36363636363636</v>
      </c>
      <c r="AW100" s="5256">
        <v>14</v>
      </c>
      <c r="AX100" s="5257">
        <v>23</v>
      </c>
      <c r="AY100" s="5257">
        <v>18</v>
      </c>
      <c r="AZ100" s="5257">
        <v>15</v>
      </c>
      <c r="BA100" s="5257">
        <v>16</v>
      </c>
      <c r="BB100" s="5257">
        <v>69</v>
      </c>
      <c r="BC100" s="5257">
        <v>11</v>
      </c>
      <c r="BD100" s="5257">
        <v>18</v>
      </c>
      <c r="BE100" s="5257">
        <v>29</v>
      </c>
      <c r="BF100" s="3053">
        <v>10</v>
      </c>
      <c r="BG100" s="5257">
        <v>15</v>
      </c>
      <c r="BH100" s="5257">
        <v>44</v>
      </c>
      <c r="BI100" s="5257">
        <f t="shared" si="271"/>
        <v>282</v>
      </c>
      <c r="BJ100" s="5259">
        <f>AVERAGE(AW100:BG100)</f>
        <v>21.636363636363637</v>
      </c>
      <c r="BL100" s="5234">
        <f t="shared" si="221"/>
        <v>-520</v>
      </c>
      <c r="BM100" s="5234">
        <f t="shared" si="222"/>
        <v>-45.72727272727272</v>
      </c>
      <c r="BN100" s="5255">
        <f t="shared" si="266"/>
        <v>13</v>
      </c>
    </row>
    <row r="101" spans="1:66" ht="17.05" customHeight="1" x14ac:dyDescent="0.55000000000000004">
      <c r="A101" s="7132"/>
      <c r="B101" s="7133"/>
      <c r="C101" s="2648" t="s">
        <v>49</v>
      </c>
      <c r="D101" s="2648"/>
      <c r="E101" s="5687"/>
      <c r="F101" s="5296"/>
      <c r="G101" s="5297"/>
      <c r="H101" s="5297"/>
      <c r="I101" s="5297"/>
      <c r="J101" s="5297"/>
      <c r="K101" s="5297"/>
      <c r="L101" s="5297"/>
      <c r="M101" s="5297"/>
      <c r="N101" s="5297"/>
      <c r="O101" s="5297"/>
      <c r="P101" s="5297"/>
      <c r="Q101" s="5297"/>
      <c r="R101" s="5297">
        <f t="shared" si="179"/>
        <v>0</v>
      </c>
      <c r="S101" s="5297" t="e">
        <f t="shared" si="184"/>
        <v>#DIV/0!</v>
      </c>
      <c r="T101" s="5296">
        <f>T96-T99-T102-T104-T103</f>
        <v>1344</v>
      </c>
      <c r="U101" s="5297">
        <f t="shared" ref="U101:AE101" si="272">U96-U99-U102-U104-U103</f>
        <v>1929</v>
      </c>
      <c r="V101" s="5297">
        <f t="shared" si="272"/>
        <v>1200</v>
      </c>
      <c r="W101" s="5297">
        <f t="shared" si="272"/>
        <v>1175</v>
      </c>
      <c r="X101" s="5297">
        <f t="shared" si="272"/>
        <v>1342</v>
      </c>
      <c r="Y101" s="5297">
        <f t="shared" si="272"/>
        <v>1021</v>
      </c>
      <c r="Z101" s="3263">
        <f t="shared" si="272"/>
        <v>1067</v>
      </c>
      <c r="AA101" s="3263">
        <f t="shared" si="272"/>
        <v>1774</v>
      </c>
      <c r="AB101" s="3263">
        <f t="shared" si="272"/>
        <v>4313</v>
      </c>
      <c r="AC101" s="3263">
        <f t="shared" si="272"/>
        <v>5041</v>
      </c>
      <c r="AD101" s="3263">
        <f t="shared" si="272"/>
        <v>1157</v>
      </c>
      <c r="AE101" s="3263">
        <f t="shared" si="272"/>
        <v>869</v>
      </c>
      <c r="AF101" s="5257">
        <f t="shared" si="267"/>
        <v>22232</v>
      </c>
      <c r="AG101" s="5257">
        <f t="shared" si="268"/>
        <v>1852.6666666666667</v>
      </c>
      <c r="AH101" s="5257"/>
      <c r="AI101" s="5258">
        <v>1952</v>
      </c>
      <c r="AJ101" s="5257">
        <v>1138</v>
      </c>
      <c r="AK101" s="5257">
        <v>1191</v>
      </c>
      <c r="AL101" s="5257">
        <v>1161</v>
      </c>
      <c r="AM101" s="5257">
        <v>1116</v>
      </c>
      <c r="AN101" s="5257">
        <v>1060</v>
      </c>
      <c r="AO101" s="5257">
        <v>1790</v>
      </c>
      <c r="AP101" s="5257">
        <v>1035</v>
      </c>
      <c r="AQ101" s="5257">
        <v>1508</v>
      </c>
      <c r="AR101" s="5257">
        <v>3840</v>
      </c>
      <c r="AS101" s="5257">
        <v>1787</v>
      </c>
      <c r="AT101" s="3263">
        <v>859.99999999999977</v>
      </c>
      <c r="AU101" s="5257">
        <f t="shared" si="270"/>
        <v>18438</v>
      </c>
      <c r="AV101" s="5259">
        <f>AVERAGE(AI101:AS101)</f>
        <v>1598</v>
      </c>
      <c r="AW101" s="5277">
        <f>-(AW104-(AW96-AW99-AW102))</f>
        <v>1094</v>
      </c>
      <c r="AX101" s="5277">
        <f t="shared" ref="AX101:BH101" si="273">-(AX104-(AX96-AX99-AX102))</f>
        <v>1744</v>
      </c>
      <c r="AY101" s="5277">
        <f t="shared" si="273"/>
        <v>1169</v>
      </c>
      <c r="AZ101" s="5277">
        <f t="shared" si="273"/>
        <v>1571</v>
      </c>
      <c r="BA101" s="5277">
        <f>-(BA104-(BA96-BA99-BA102))</f>
        <v>1273</v>
      </c>
      <c r="BB101" s="5277">
        <f t="shared" si="273"/>
        <v>1278</v>
      </c>
      <c r="BC101" s="5277">
        <f t="shared" si="273"/>
        <v>1623</v>
      </c>
      <c r="BD101" s="5277">
        <f t="shared" si="273"/>
        <v>1434</v>
      </c>
      <c r="BE101" s="5277">
        <f t="shared" si="273"/>
        <v>2102</v>
      </c>
      <c r="BF101" s="5683">
        <f t="shared" si="273"/>
        <v>2277</v>
      </c>
      <c r="BG101" s="5683">
        <f t="shared" si="273"/>
        <v>1541</v>
      </c>
      <c r="BH101" s="5683">
        <f t="shared" si="273"/>
        <v>1209</v>
      </c>
      <c r="BI101" s="5257">
        <f t="shared" si="271"/>
        <v>18315</v>
      </c>
      <c r="BJ101" s="5259">
        <f>AVERAGE(AW101:BG101)</f>
        <v>1555.090909090909</v>
      </c>
      <c r="BL101" s="5234">
        <f t="shared" si="221"/>
        <v>349.00000000000023</v>
      </c>
      <c r="BM101" s="5234">
        <f t="shared" si="222"/>
        <v>-42.909090909090992</v>
      </c>
      <c r="BN101" s="5255">
        <f t="shared" si="266"/>
        <v>-1881</v>
      </c>
    </row>
    <row r="102" spans="1:66" ht="17.05" customHeight="1" x14ac:dyDescent="0.55000000000000004">
      <c r="A102" s="7132"/>
      <c r="B102" s="7133"/>
      <c r="C102" s="2648" t="s">
        <v>50</v>
      </c>
      <c r="D102" s="2648"/>
      <c r="E102" s="5687"/>
      <c r="F102" s="5296"/>
      <c r="G102" s="5297"/>
      <c r="H102" s="5297"/>
      <c r="I102" s="5297"/>
      <c r="J102" s="5297">
        <v>1598</v>
      </c>
      <c r="K102" s="5297">
        <v>1531</v>
      </c>
      <c r="L102" s="5297">
        <v>1269</v>
      </c>
      <c r="M102" s="5297">
        <v>1754</v>
      </c>
      <c r="N102" s="5297">
        <v>1428</v>
      </c>
      <c r="O102" s="5297">
        <v>1553</v>
      </c>
      <c r="P102" s="5297">
        <v>2549</v>
      </c>
      <c r="Q102" s="5297">
        <v>1140</v>
      </c>
      <c r="R102" s="5297">
        <f t="shared" si="179"/>
        <v>12822</v>
      </c>
      <c r="S102" s="5297">
        <f t="shared" si="184"/>
        <v>1602.75</v>
      </c>
      <c r="T102" s="5296">
        <v>953</v>
      </c>
      <c r="U102" s="5297">
        <v>695</v>
      </c>
      <c r="V102" s="5297">
        <v>592</v>
      </c>
      <c r="W102" s="5297">
        <v>572</v>
      </c>
      <c r="X102" s="5297">
        <v>501</v>
      </c>
      <c r="Y102" s="5297">
        <v>517</v>
      </c>
      <c r="Z102" s="3263">
        <v>415</v>
      </c>
      <c r="AA102" s="3263">
        <v>421</v>
      </c>
      <c r="AB102" s="3263">
        <v>370</v>
      </c>
      <c r="AC102" s="3263">
        <v>320</v>
      </c>
      <c r="AD102" s="3263">
        <v>1041</v>
      </c>
      <c r="AE102" s="3263">
        <v>339</v>
      </c>
      <c r="AF102" s="5257">
        <f t="shared" si="267"/>
        <v>6736</v>
      </c>
      <c r="AG102" s="5257">
        <f t="shared" si="268"/>
        <v>561.33333333333337</v>
      </c>
      <c r="AH102" s="5257"/>
      <c r="AI102" s="5258">
        <v>372</v>
      </c>
      <c r="AJ102" s="5257">
        <v>364</v>
      </c>
      <c r="AK102" s="5257">
        <v>412</v>
      </c>
      <c r="AL102" s="5257">
        <v>539</v>
      </c>
      <c r="AM102" s="5257">
        <v>1293</v>
      </c>
      <c r="AN102" s="5257">
        <v>819</v>
      </c>
      <c r="AO102" s="5257">
        <v>449</v>
      </c>
      <c r="AP102" s="5257">
        <v>864</v>
      </c>
      <c r="AQ102" s="5257">
        <v>694</v>
      </c>
      <c r="AR102" s="5257">
        <v>3568</v>
      </c>
      <c r="AS102" s="5257">
        <v>4749</v>
      </c>
      <c r="AT102" s="3263">
        <v>484</v>
      </c>
      <c r="AU102" s="5257">
        <f t="shared" si="270"/>
        <v>14607</v>
      </c>
      <c r="AV102" s="5259">
        <f>AVERAGE(AI102:AS102)</f>
        <v>1283.909090909091</v>
      </c>
      <c r="AW102" s="5256">
        <v>699</v>
      </c>
      <c r="AX102" s="5257">
        <v>829</v>
      </c>
      <c r="AY102" s="5257">
        <v>626</v>
      </c>
      <c r="AZ102" s="5257">
        <v>609</v>
      </c>
      <c r="BA102" s="5257">
        <v>631</v>
      </c>
      <c r="BB102" s="5257">
        <v>1157</v>
      </c>
      <c r="BC102" s="5257">
        <v>530</v>
      </c>
      <c r="BD102" s="5257">
        <v>1206</v>
      </c>
      <c r="BE102" s="5257">
        <v>996</v>
      </c>
      <c r="BF102" s="3263">
        <v>4485</v>
      </c>
      <c r="BG102" s="5257">
        <v>1770</v>
      </c>
      <c r="BH102" s="5257">
        <v>947</v>
      </c>
      <c r="BI102" s="5257">
        <f t="shared" si="271"/>
        <v>14485</v>
      </c>
      <c r="BJ102" s="5259">
        <f>AVERAGE(AW102:BG102)</f>
        <v>1230.7272727272727</v>
      </c>
      <c r="BL102" s="5234">
        <f t="shared" si="221"/>
        <v>463</v>
      </c>
      <c r="BM102" s="5234">
        <f t="shared" si="222"/>
        <v>-53.181818181818244</v>
      </c>
      <c r="BN102" s="5255">
        <f t="shared" si="266"/>
        <v>211</v>
      </c>
    </row>
    <row r="103" spans="1:66" ht="17.05" hidden="1" customHeight="1" x14ac:dyDescent="0.55000000000000004">
      <c r="A103" s="7132"/>
      <c r="B103" s="7133"/>
      <c r="C103" s="2648" t="s">
        <v>768</v>
      </c>
      <c r="D103" s="2648"/>
      <c r="E103" s="5687"/>
      <c r="F103" s="5296"/>
      <c r="G103" s="5297"/>
      <c r="H103" s="5297"/>
      <c r="I103" s="5297"/>
      <c r="J103" s="5297"/>
      <c r="K103" s="5297"/>
      <c r="L103" s="5297"/>
      <c r="M103" s="5297"/>
      <c r="N103" s="5297"/>
      <c r="O103" s="5297"/>
      <c r="P103" s="5297"/>
      <c r="Q103" s="5297"/>
      <c r="R103" s="5297">
        <f t="shared" si="179"/>
        <v>0</v>
      </c>
      <c r="S103" s="5297" t="e">
        <f t="shared" si="184"/>
        <v>#DIV/0!</v>
      </c>
      <c r="T103" s="5296">
        <v>0</v>
      </c>
      <c r="U103" s="5297">
        <v>0</v>
      </c>
      <c r="V103" s="5297">
        <v>0</v>
      </c>
      <c r="W103" s="5297">
        <v>0</v>
      </c>
      <c r="X103" s="5297">
        <v>0</v>
      </c>
      <c r="Y103" s="5297">
        <v>0</v>
      </c>
      <c r="Z103" s="3263">
        <v>0</v>
      </c>
      <c r="AA103" s="3263">
        <v>0</v>
      </c>
      <c r="AB103" s="3263">
        <v>0</v>
      </c>
      <c r="AC103" s="3263">
        <v>0</v>
      </c>
      <c r="AD103" s="3263">
        <v>0</v>
      </c>
      <c r="AE103" s="3263">
        <v>0</v>
      </c>
      <c r="AF103" s="5257">
        <f t="shared" si="267"/>
        <v>0</v>
      </c>
      <c r="AG103" s="5257">
        <f t="shared" si="268"/>
        <v>0</v>
      </c>
      <c r="AH103" s="5257"/>
      <c r="AI103" s="5258">
        <v>0</v>
      </c>
      <c r="AJ103" s="5257">
        <v>0</v>
      </c>
      <c r="AK103" s="5257">
        <v>0</v>
      </c>
      <c r="AL103" s="5257">
        <v>0</v>
      </c>
      <c r="AM103" s="5257">
        <v>0</v>
      </c>
      <c r="AN103" s="5257">
        <v>0</v>
      </c>
      <c r="AO103" s="5257">
        <v>0</v>
      </c>
      <c r="AP103" s="5257">
        <v>0</v>
      </c>
      <c r="AQ103" s="5257">
        <v>0</v>
      </c>
      <c r="AR103" s="5257">
        <v>0</v>
      </c>
      <c r="AS103" s="5257">
        <v>0</v>
      </c>
      <c r="AT103" s="5257">
        <v>0</v>
      </c>
      <c r="AU103" s="5257">
        <f t="shared" si="270"/>
        <v>0</v>
      </c>
      <c r="AV103" s="5259">
        <f>AVERAGE(AI103:AS103)</f>
        <v>0</v>
      </c>
      <c r="AW103" s="5256"/>
      <c r="AX103" s="5257"/>
      <c r="AY103" s="5257"/>
      <c r="AZ103" s="5257"/>
      <c r="BA103" s="5257"/>
      <c r="BB103" s="5257"/>
      <c r="BC103" s="5257"/>
      <c r="BD103" s="5257"/>
      <c r="BE103" s="5257"/>
      <c r="BF103" s="5257"/>
      <c r="BG103" s="5257"/>
      <c r="BH103" s="5257"/>
      <c r="BI103" s="5257">
        <f t="shared" si="271"/>
        <v>0</v>
      </c>
      <c r="BJ103" s="5259" t="e">
        <f>AVERAGE(AW103:BG103)</f>
        <v>#DIV/0!</v>
      </c>
      <c r="BL103" s="5234">
        <f t="shared" ref="BL103:BL111" si="274">HLOOKUP($A$1,$AW$1:$BH$400,ROW(),0)-HLOOKUP($A$1,$AI$1:$AT$400,ROW(),0)</f>
        <v>0</v>
      </c>
      <c r="BM103" s="5234" t="e">
        <f t="shared" ref="BM103:BM110" si="275">BJ103-AV103</f>
        <v>#DIV/0!</v>
      </c>
      <c r="BN103" s="5255">
        <f t="shared" si="266"/>
        <v>0</v>
      </c>
    </row>
    <row r="104" spans="1:66" ht="17.05" customHeight="1" thickBot="1" x14ac:dyDescent="0.6">
      <c r="A104" s="7134"/>
      <c r="B104" s="7135"/>
      <c r="C104" s="5345" t="s">
        <v>51</v>
      </c>
      <c r="D104" s="5313"/>
      <c r="E104" s="5324"/>
      <c r="F104" s="5323"/>
      <c r="G104" s="5324"/>
      <c r="H104" s="5324"/>
      <c r="I104" s="5324"/>
      <c r="J104" s="5324"/>
      <c r="K104" s="5324"/>
      <c r="L104" s="5324"/>
      <c r="M104" s="5324"/>
      <c r="N104" s="5324"/>
      <c r="O104" s="5324"/>
      <c r="P104" s="5324"/>
      <c r="Q104" s="5324"/>
      <c r="R104" s="5324">
        <f t="shared" si="179"/>
        <v>0</v>
      </c>
      <c r="S104" s="5324" t="e">
        <f t="shared" si="184"/>
        <v>#DIV/0!</v>
      </c>
      <c r="T104" s="5323">
        <f>T95-Q95</f>
        <v>474</v>
      </c>
      <c r="U104" s="5324">
        <f t="shared" ref="U104:AE104" si="276">U95-T95</f>
        <v>1642</v>
      </c>
      <c r="V104" s="5324">
        <f t="shared" si="276"/>
        <v>1605</v>
      </c>
      <c r="W104" s="5324">
        <f t="shared" si="276"/>
        <v>687</v>
      </c>
      <c r="X104" s="5324">
        <f t="shared" si="276"/>
        <v>2021</v>
      </c>
      <c r="Y104" s="5324">
        <f t="shared" si="276"/>
        <v>2184</v>
      </c>
      <c r="Z104" s="5273">
        <f t="shared" si="276"/>
        <v>268</v>
      </c>
      <c r="AA104" s="5273">
        <f t="shared" si="276"/>
        <v>-549</v>
      </c>
      <c r="AB104" s="5273">
        <f t="shared" si="276"/>
        <v>216</v>
      </c>
      <c r="AC104" s="5273">
        <f t="shared" si="276"/>
        <v>753</v>
      </c>
      <c r="AD104" s="5273">
        <f t="shared" si="276"/>
        <v>-548</v>
      </c>
      <c r="AE104" s="5273">
        <f t="shared" si="276"/>
        <v>395</v>
      </c>
      <c r="AF104" s="5318">
        <f t="shared" si="267"/>
        <v>9148</v>
      </c>
      <c r="AG104" s="5318">
        <f t="shared" si="268"/>
        <v>762.33333333333337</v>
      </c>
      <c r="AH104" s="5318"/>
      <c r="AI104" s="5317">
        <v>260</v>
      </c>
      <c r="AJ104" s="5318">
        <v>-854</v>
      </c>
      <c r="AK104" s="5318">
        <v>-836</v>
      </c>
      <c r="AL104" s="5318">
        <v>-671</v>
      </c>
      <c r="AM104" s="5318">
        <v>-1729</v>
      </c>
      <c r="AN104" s="5318">
        <v>-318</v>
      </c>
      <c r="AO104" s="5318">
        <v>-169</v>
      </c>
      <c r="AP104" s="5318">
        <v>301</v>
      </c>
      <c r="AQ104" s="5318">
        <v>310</v>
      </c>
      <c r="AR104" s="5318">
        <v>-1826</v>
      </c>
      <c r="AS104" s="5318">
        <v>-4654</v>
      </c>
      <c r="AT104" s="5273">
        <v>-701</v>
      </c>
      <c r="AU104" s="5318">
        <f t="shared" si="270"/>
        <v>-10887</v>
      </c>
      <c r="AV104" s="5319">
        <f t="shared" si="269"/>
        <v>-907.25</v>
      </c>
      <c r="AW104" s="5350">
        <v>-545</v>
      </c>
      <c r="AX104" s="5318">
        <v>-545</v>
      </c>
      <c r="AY104" s="5318">
        <f>AY95-AX95</f>
        <v>337</v>
      </c>
      <c r="AZ104" s="5318">
        <v>-860</v>
      </c>
      <c r="BA104" s="5318">
        <f>BA95-AZ95</f>
        <v>-315</v>
      </c>
      <c r="BB104" s="5318">
        <f>BB95-BA95</f>
        <v>-1206</v>
      </c>
      <c r="BC104" s="5318">
        <f t="shared" ref="BC104" si="277">BC95-BB95</f>
        <v>1040</v>
      </c>
      <c r="BD104" s="5318">
        <v>-2081</v>
      </c>
      <c r="BE104" s="5318">
        <v>-1284</v>
      </c>
      <c r="BF104" s="5318">
        <f>BF95-BE95</f>
        <v>-2571</v>
      </c>
      <c r="BG104" s="5318">
        <f>BG95-BF95</f>
        <v>545</v>
      </c>
      <c r="BH104" s="5318">
        <f>BH95-BG95</f>
        <v>319</v>
      </c>
      <c r="BI104" s="5318">
        <f t="shared" si="271"/>
        <v>-7166</v>
      </c>
      <c r="BJ104" s="5319">
        <f>AVERAGE(AW104:BH104)</f>
        <v>-597.16666666666663</v>
      </c>
      <c r="BL104" s="5234">
        <f t="shared" si="274"/>
        <v>1020</v>
      </c>
      <c r="BM104" s="5234">
        <f t="shared" si="275"/>
        <v>310.08333333333337</v>
      </c>
      <c r="BN104" s="5255">
        <f t="shared" si="266"/>
        <v>913</v>
      </c>
    </row>
    <row r="105" spans="1:66" ht="6.55" customHeight="1" x14ac:dyDescent="0.55000000000000004">
      <c r="A105" s="3228"/>
      <c r="B105" s="2788"/>
      <c r="C105" s="2648"/>
      <c r="D105" s="2648"/>
      <c r="E105" s="5687"/>
      <c r="F105" s="5687"/>
      <c r="G105" s="5687"/>
      <c r="H105" s="5687"/>
      <c r="I105" s="5687"/>
      <c r="J105" s="5687"/>
      <c r="K105" s="5687"/>
      <c r="L105" s="5687"/>
      <c r="M105" s="5687"/>
      <c r="N105" s="5687"/>
      <c r="O105" s="5687"/>
      <c r="P105" s="5687"/>
      <c r="Q105" s="5687"/>
      <c r="R105" s="5687">
        <f t="shared" si="179"/>
        <v>0</v>
      </c>
      <c r="S105" s="5687" t="e">
        <f t="shared" si="184"/>
        <v>#DIV/0!</v>
      </c>
      <c r="T105" s="5687"/>
      <c r="U105" s="5687"/>
      <c r="V105" s="5687"/>
      <c r="W105" s="5687"/>
      <c r="X105" s="5687"/>
      <c r="Y105" s="5687"/>
      <c r="Z105" s="5125"/>
      <c r="AA105" s="5125"/>
      <c r="AB105" s="5125"/>
      <c r="AC105" s="5125"/>
      <c r="AD105" s="5125"/>
      <c r="AE105" s="5125"/>
      <c r="AF105" s="5727"/>
      <c r="AG105" s="5727"/>
      <c r="AH105" s="5727"/>
      <c r="AI105" s="5727"/>
      <c r="AJ105" s="5727"/>
      <c r="AK105" s="5727"/>
      <c r="AL105" s="5727"/>
      <c r="AM105" s="5727"/>
      <c r="AN105" s="5727"/>
      <c r="AO105" s="5727"/>
      <c r="AP105" s="5727"/>
      <c r="AQ105" s="5727"/>
      <c r="AR105" s="5727"/>
      <c r="AS105" s="5727"/>
      <c r="AT105" s="5125"/>
      <c r="AU105" s="5727"/>
      <c r="AV105" s="5727"/>
      <c r="AW105" s="5727"/>
      <c r="AX105" s="5727"/>
      <c r="AY105" s="5727"/>
      <c r="AZ105" s="5727"/>
      <c r="BA105" s="5727"/>
      <c r="BB105" s="5727"/>
      <c r="BC105" s="5727"/>
      <c r="BD105" s="5727"/>
      <c r="BE105" s="5727"/>
      <c r="BF105" s="5727"/>
      <c r="BG105" s="5727"/>
      <c r="BH105" s="5727"/>
      <c r="BI105" s="5727"/>
      <c r="BJ105" s="5727"/>
      <c r="BL105" s="5234">
        <f t="shared" si="274"/>
        <v>0</v>
      </c>
      <c r="BM105" s="5234">
        <f t="shared" si="275"/>
        <v>0</v>
      </c>
      <c r="BN105" s="5235">
        <f t="shared" ref="BN105" si="278">AW105-AI105</f>
        <v>0</v>
      </c>
    </row>
    <row r="106" spans="1:66" x14ac:dyDescent="0.55000000000000004">
      <c r="A106" s="7136" t="s">
        <v>53</v>
      </c>
      <c r="B106" s="7137"/>
      <c r="C106" s="5692" t="s">
        <v>44</v>
      </c>
      <c r="D106" s="5693"/>
      <c r="E106" s="5694">
        <v>507003</v>
      </c>
      <c r="F106" s="5695">
        <v>502982</v>
      </c>
      <c r="G106" s="5694">
        <v>497847</v>
      </c>
      <c r="H106" s="5694">
        <v>486092</v>
      </c>
      <c r="I106" s="5694">
        <v>478715</v>
      </c>
      <c r="J106" s="5694">
        <v>476087</v>
      </c>
      <c r="K106" s="5694">
        <v>466804</v>
      </c>
      <c r="L106" s="5694">
        <v>459112</v>
      </c>
      <c r="M106" s="5694">
        <v>454681</v>
      </c>
      <c r="N106" s="5694">
        <v>443137</v>
      </c>
      <c r="O106" s="5694">
        <v>427592</v>
      </c>
      <c r="P106" s="5694">
        <v>408463</v>
      </c>
      <c r="Q106" s="5694">
        <v>419278</v>
      </c>
      <c r="R106" s="5694">
        <v>419278</v>
      </c>
      <c r="S106" s="5694">
        <v>460065.83333333331</v>
      </c>
      <c r="T106" s="5695">
        <v>411876</v>
      </c>
      <c r="U106" s="5694">
        <v>406172</v>
      </c>
      <c r="V106" s="5694">
        <v>394966</v>
      </c>
      <c r="W106" s="5694">
        <v>397471</v>
      </c>
      <c r="X106" s="5694">
        <v>397780</v>
      </c>
      <c r="Y106" s="5694">
        <v>398545</v>
      </c>
      <c r="Z106" s="5676">
        <v>400986</v>
      </c>
      <c r="AA106" s="5676">
        <v>404550</v>
      </c>
      <c r="AB106" s="5676">
        <v>410132</v>
      </c>
      <c r="AC106" s="5676">
        <v>413864</v>
      </c>
      <c r="AD106" s="5676">
        <v>419133</v>
      </c>
      <c r="AE106" s="5676">
        <v>422904</v>
      </c>
      <c r="AF106" s="5678">
        <v>422904</v>
      </c>
      <c r="AG106" s="5678">
        <v>406531.58333333331</v>
      </c>
      <c r="AH106" s="5678"/>
      <c r="AI106" s="5677">
        <v>423790</v>
      </c>
      <c r="AJ106" s="5676">
        <v>407221</v>
      </c>
      <c r="AK106" s="5676">
        <v>406627</v>
      </c>
      <c r="AL106" s="5676">
        <v>387138</v>
      </c>
      <c r="AM106" s="5676">
        <v>374845</v>
      </c>
      <c r="AN106" s="5676">
        <v>374952</v>
      </c>
      <c r="AO106" s="5676">
        <v>370571</v>
      </c>
      <c r="AP106" s="5676">
        <v>362880</v>
      </c>
      <c r="AQ106" s="5676">
        <v>360824</v>
      </c>
      <c r="AR106" s="5676">
        <v>360009</v>
      </c>
      <c r="AS106" s="5676">
        <v>354826</v>
      </c>
      <c r="AT106" s="5676">
        <v>356314</v>
      </c>
      <c r="AU106" s="5678">
        <f>INDEX($AI106:$AT106, 1, MATCH(0, $AI106:$AT106, -1))</f>
        <v>356314</v>
      </c>
      <c r="AV106" s="5678">
        <f>AVERAGE(AI106:AT106)</f>
        <v>378333.08333333331</v>
      </c>
      <c r="AW106" s="5677">
        <v>357494</v>
      </c>
      <c r="AX106" s="5676">
        <v>354156</v>
      </c>
      <c r="AY106" s="5676">
        <v>348871</v>
      </c>
      <c r="AZ106" s="5676">
        <v>353902</v>
      </c>
      <c r="BA106" s="5676">
        <v>355492</v>
      </c>
      <c r="BB106" s="5676">
        <v>351132</v>
      </c>
      <c r="BC106" s="5678">
        <v>351748</v>
      </c>
      <c r="BD106" s="5678">
        <v>350150</v>
      </c>
      <c r="BE106" s="5678">
        <v>354955</v>
      </c>
      <c r="BF106" s="5678">
        <v>352521</v>
      </c>
      <c r="BG106" s="5678">
        <v>351881</v>
      </c>
      <c r="BH106" s="5678">
        <v>352210</v>
      </c>
      <c r="BI106" s="5676">
        <f>INDEX($AW106:$BH106, 1, MATCH(0, $AW106:$BH106, -1))</f>
        <v>352210</v>
      </c>
      <c r="BJ106" s="5678">
        <f>AVERAGE(AW106:BH106)</f>
        <v>352876</v>
      </c>
      <c r="BL106" s="5234">
        <f t="shared" si="274"/>
        <v>-4104</v>
      </c>
      <c r="BM106" s="5234">
        <f t="shared" si="275"/>
        <v>-25457.083333333314</v>
      </c>
      <c r="BN106" s="5235">
        <f>AX106-AJ106</f>
        <v>-53065</v>
      </c>
    </row>
    <row r="107" spans="1:66" x14ac:dyDescent="0.55000000000000004">
      <c r="A107" s="7138"/>
      <c r="B107" s="7139"/>
      <c r="C107" s="2648" t="s">
        <v>47</v>
      </c>
      <c r="D107" s="2648"/>
      <c r="E107" s="2648"/>
      <c r="F107" s="5296">
        <v>10034</v>
      </c>
      <c r="G107" s="5297">
        <v>12077</v>
      </c>
      <c r="H107" s="5297">
        <v>12628</v>
      </c>
      <c r="I107" s="5297">
        <v>9921</v>
      </c>
      <c r="J107" s="5297">
        <v>10589</v>
      </c>
      <c r="K107" s="5297">
        <v>9739</v>
      </c>
      <c r="L107" s="5297">
        <v>10675</v>
      </c>
      <c r="M107" s="5297">
        <v>7347</v>
      </c>
      <c r="N107" s="5297">
        <v>6973</v>
      </c>
      <c r="O107" s="5297">
        <v>6648</v>
      </c>
      <c r="P107" s="5297">
        <v>8848</v>
      </c>
      <c r="Q107" s="5297">
        <v>21209</v>
      </c>
      <c r="R107" s="5297">
        <v>126688</v>
      </c>
      <c r="S107" s="5297">
        <v>10557.333333333334</v>
      </c>
      <c r="T107" s="5296">
        <v>10932</v>
      </c>
      <c r="U107" s="5297">
        <v>5657</v>
      </c>
      <c r="V107" s="5297">
        <v>5068</v>
      </c>
      <c r="W107" s="5297">
        <v>10620</v>
      </c>
      <c r="X107" s="5297">
        <v>5758</v>
      </c>
      <c r="Y107" s="5297">
        <v>9038</v>
      </c>
      <c r="Z107" s="3263">
        <v>8317</v>
      </c>
      <c r="AA107" s="3263">
        <v>10015</v>
      </c>
      <c r="AB107" s="3263">
        <v>11650</v>
      </c>
      <c r="AC107" s="3263">
        <v>7865</v>
      </c>
      <c r="AD107" s="3263">
        <v>9912</v>
      </c>
      <c r="AE107" s="3263">
        <v>8568</v>
      </c>
      <c r="AF107" s="5257">
        <v>103400</v>
      </c>
      <c r="AG107" s="5257">
        <v>8616.6666666666661</v>
      </c>
      <c r="AH107" s="5257"/>
      <c r="AI107" s="5258">
        <v>10975</v>
      </c>
      <c r="AJ107" s="5257">
        <v>3910</v>
      </c>
      <c r="AK107" s="5257">
        <v>5347</v>
      </c>
      <c r="AL107" s="5257">
        <v>2829</v>
      </c>
      <c r="AM107" s="5257">
        <v>5359</v>
      </c>
      <c r="AN107" s="5257">
        <v>4278</v>
      </c>
      <c r="AO107" s="5257">
        <v>5171</v>
      </c>
      <c r="AP107" s="5257">
        <v>5224</v>
      </c>
      <c r="AQ107" s="5257">
        <v>3683</v>
      </c>
      <c r="AR107" s="5257">
        <v>4845</v>
      </c>
      <c r="AS107" s="5257">
        <v>5666</v>
      </c>
      <c r="AT107" s="3263">
        <v>6485</v>
      </c>
      <c r="AU107" s="5257">
        <f>SUM(AI107:AT107)</f>
        <v>63772</v>
      </c>
      <c r="AV107" s="5257">
        <f>AVERAGE(AI107:AT107)</f>
        <v>5314.333333333333</v>
      </c>
      <c r="AW107" s="5258">
        <v>5549</v>
      </c>
      <c r="AX107" s="5257">
        <v>3086</v>
      </c>
      <c r="AY107" s="5257">
        <v>2916</v>
      </c>
      <c r="AZ107" s="5257">
        <v>11432</v>
      </c>
      <c r="BA107" s="5257">
        <v>7680</v>
      </c>
      <c r="BB107" s="5257">
        <v>7724</v>
      </c>
      <c r="BC107" s="5257">
        <v>6988</v>
      </c>
      <c r="BD107" s="5257">
        <v>5537</v>
      </c>
      <c r="BE107" s="5257">
        <v>8871</v>
      </c>
      <c r="BF107" s="3263">
        <v>3123</v>
      </c>
      <c r="BG107" s="5257">
        <v>4673</v>
      </c>
      <c r="BH107" s="5257">
        <v>4972</v>
      </c>
      <c r="BI107" s="5257">
        <f>SUM(AW107:BH107)</f>
        <v>72551</v>
      </c>
      <c r="BJ107" s="5257">
        <f>AVERAGE(AW107:BH107)</f>
        <v>6045.916666666667</v>
      </c>
      <c r="BL107" s="5234">
        <f t="shared" si="274"/>
        <v>-1513</v>
      </c>
      <c r="BM107" s="5234">
        <f t="shared" si="275"/>
        <v>731.58333333333394</v>
      </c>
      <c r="BN107" s="5255">
        <f t="shared" ref="BN107:BN115" si="279">HLOOKUP($A$1,$AW$1:$BH$400,ROW(),0)-SUM(AI107:AJ107)</f>
        <v>-9913</v>
      </c>
    </row>
    <row r="108" spans="1:66" x14ac:dyDescent="0.55000000000000004">
      <c r="A108" s="7138"/>
      <c r="B108" s="7140"/>
      <c r="C108" s="2493" t="s">
        <v>48</v>
      </c>
      <c r="D108" s="2493"/>
      <c r="E108" s="2493">
        <v>3222</v>
      </c>
      <c r="F108" s="5256">
        <v>1321</v>
      </c>
      <c r="G108" s="3263">
        <v>4194</v>
      </c>
      <c r="H108" s="3263">
        <v>7088</v>
      </c>
      <c r="I108" s="3263">
        <v>3272</v>
      </c>
      <c r="J108" s="3263">
        <v>3542</v>
      </c>
      <c r="K108" s="3263">
        <v>3294</v>
      </c>
      <c r="L108" s="3263">
        <v>2873</v>
      </c>
      <c r="M108" s="3263">
        <v>3523</v>
      </c>
      <c r="N108" s="3263">
        <v>7831</v>
      </c>
      <c r="O108" s="3263">
        <v>3251</v>
      </c>
      <c r="P108" s="3263">
        <v>6226</v>
      </c>
      <c r="Q108" s="3263">
        <v>7540</v>
      </c>
      <c r="R108" s="3263">
        <v>53955</v>
      </c>
      <c r="S108" s="3263">
        <v>4496.25</v>
      </c>
      <c r="T108" s="5256">
        <v>4705</v>
      </c>
      <c r="U108" s="3263">
        <v>1384</v>
      </c>
      <c r="V108" s="3263">
        <v>1404</v>
      </c>
      <c r="W108" s="3263">
        <v>5086</v>
      </c>
      <c r="X108" s="3263">
        <v>3148</v>
      </c>
      <c r="Y108" s="3263">
        <v>4591</v>
      </c>
      <c r="Z108" s="3263">
        <v>2765</v>
      </c>
      <c r="AA108" s="3263">
        <v>3611</v>
      </c>
      <c r="AB108" s="3263">
        <v>2690</v>
      </c>
      <c r="AC108" s="3263">
        <v>1570</v>
      </c>
      <c r="AD108" s="3263">
        <v>1845</v>
      </c>
      <c r="AE108" s="3263">
        <v>2257</v>
      </c>
      <c r="AF108" s="5257">
        <v>35056</v>
      </c>
      <c r="AG108" s="5257">
        <v>2921.3333333333335</v>
      </c>
      <c r="AH108" s="5257"/>
      <c r="AI108" s="5258">
        <v>8263</v>
      </c>
      <c r="AJ108" s="5257">
        <v>3358</v>
      </c>
      <c r="AK108" s="5257">
        <v>3622</v>
      </c>
      <c r="AL108" s="5257">
        <v>14616</v>
      </c>
      <c r="AM108" s="5257">
        <v>14650</v>
      </c>
      <c r="AN108" s="5257">
        <v>1313</v>
      </c>
      <c r="AO108" s="5257">
        <v>4431</v>
      </c>
      <c r="AP108" s="5257">
        <v>6103</v>
      </c>
      <c r="AQ108" s="5257">
        <v>3901</v>
      </c>
      <c r="AR108" s="5257">
        <v>2147</v>
      </c>
      <c r="AS108" s="5257">
        <v>6285</v>
      </c>
      <c r="AT108" s="3263">
        <v>1588</v>
      </c>
      <c r="AU108" s="5257">
        <f>SUM(AI108:AT108)</f>
        <v>70277</v>
      </c>
      <c r="AV108" s="5257">
        <f>AVERAGE(AI108:AT108)</f>
        <v>5856.416666666667</v>
      </c>
      <c r="AW108" s="5728">
        <v>2104</v>
      </c>
      <c r="AX108" s="5257">
        <v>3509</v>
      </c>
      <c r="AY108" s="5257">
        <v>5605</v>
      </c>
      <c r="AZ108" s="5257">
        <v>3976</v>
      </c>
      <c r="BA108" s="5257">
        <v>2630</v>
      </c>
      <c r="BB108" s="5257">
        <v>8919</v>
      </c>
      <c r="BC108" s="5257">
        <v>1746</v>
      </c>
      <c r="BD108" s="5257">
        <v>4075</v>
      </c>
      <c r="BE108" s="5257">
        <v>1519</v>
      </c>
      <c r="BF108" s="3263">
        <v>1638</v>
      </c>
      <c r="BG108" s="5257">
        <v>1842</v>
      </c>
      <c r="BH108" s="5257">
        <v>1524</v>
      </c>
      <c r="BI108" s="5257">
        <f>SUM(AW108:BH108)</f>
        <v>39087</v>
      </c>
      <c r="BJ108" s="5257">
        <f>AVERAGE(AW108:BH108)</f>
        <v>3257.25</v>
      </c>
      <c r="BL108" s="5234">
        <f t="shared" si="274"/>
        <v>-64</v>
      </c>
      <c r="BM108" s="5234">
        <f t="shared" si="275"/>
        <v>-2599.166666666667</v>
      </c>
      <c r="BN108" s="5255">
        <f t="shared" si="279"/>
        <v>-10097</v>
      </c>
    </row>
    <row r="109" spans="1:66" x14ac:dyDescent="0.55000000000000004">
      <c r="A109" s="7138"/>
      <c r="B109" s="7140"/>
      <c r="C109" s="2493" t="s">
        <v>50</v>
      </c>
      <c r="D109" s="2493"/>
      <c r="E109" s="2493"/>
      <c r="F109" s="5256">
        <v>11075</v>
      </c>
      <c r="G109" s="3263">
        <v>13018</v>
      </c>
      <c r="H109" s="3263">
        <v>17295</v>
      </c>
      <c r="I109" s="3263">
        <v>14026</v>
      </c>
      <c r="J109" s="3263">
        <v>9675</v>
      </c>
      <c r="K109" s="3263">
        <v>15728</v>
      </c>
      <c r="L109" s="3263">
        <v>15494</v>
      </c>
      <c r="M109" s="3263">
        <v>8255</v>
      </c>
      <c r="N109" s="3263">
        <v>10686</v>
      </c>
      <c r="O109" s="3263">
        <v>18942</v>
      </c>
      <c r="P109" s="3263">
        <v>21751</v>
      </c>
      <c r="Q109" s="3263">
        <v>2854</v>
      </c>
      <c r="R109" s="3263">
        <v>158799</v>
      </c>
      <c r="S109" s="3263">
        <v>13233.25</v>
      </c>
      <c r="T109" s="5256">
        <v>13629</v>
      </c>
      <c r="U109" s="3263">
        <v>9977</v>
      </c>
      <c r="V109" s="3263">
        <v>14870</v>
      </c>
      <c r="W109" s="3263">
        <v>3029</v>
      </c>
      <c r="X109" s="3263">
        <v>2301</v>
      </c>
      <c r="Y109" s="3263">
        <v>3682</v>
      </c>
      <c r="Z109" s="3263">
        <v>3111</v>
      </c>
      <c r="AA109" s="3263">
        <v>2840</v>
      </c>
      <c r="AB109" s="3263">
        <v>3378</v>
      </c>
      <c r="AC109" s="3263">
        <v>2563</v>
      </c>
      <c r="AD109" s="3263">
        <v>2798</v>
      </c>
      <c r="AE109" s="3263">
        <v>2540</v>
      </c>
      <c r="AF109" s="5257">
        <v>64718</v>
      </c>
      <c r="AG109" s="5257">
        <v>5393.166666666667</v>
      </c>
      <c r="AH109" s="5257"/>
      <c r="AI109" s="5258">
        <v>1826</v>
      </c>
      <c r="AJ109" s="5257">
        <v>17121</v>
      </c>
      <c r="AK109" s="5257">
        <v>1849</v>
      </c>
      <c r="AL109" s="5257">
        <v>8127</v>
      </c>
      <c r="AM109" s="5257">
        <v>3004</v>
      </c>
      <c r="AN109" s="5257">
        <v>2859</v>
      </c>
      <c r="AO109" s="5257">
        <v>5121</v>
      </c>
      <c r="AP109" s="5257">
        <v>6812</v>
      </c>
      <c r="AQ109" s="5257">
        <v>1839</v>
      </c>
      <c r="AR109" s="5257">
        <v>4755</v>
      </c>
      <c r="AS109" s="5257">
        <v>-5801</v>
      </c>
      <c r="AT109" s="3263">
        <v>6385</v>
      </c>
      <c r="AU109" s="5257">
        <f>SUM(AI109:AT109)</f>
        <v>53897</v>
      </c>
      <c r="AV109" s="5257">
        <f>AVERAGE(AI109:AT109)</f>
        <v>4491.416666666667</v>
      </c>
      <c r="AW109" s="5258">
        <f t="shared" ref="AW109:BF109" si="280">AW107-AW108-AW110</f>
        <v>4625</v>
      </c>
      <c r="AX109" s="5257">
        <f t="shared" si="280"/>
        <v>2915</v>
      </c>
      <c r="AY109" s="5257">
        <f t="shared" si="280"/>
        <v>2596</v>
      </c>
      <c r="AZ109" s="5257">
        <f t="shared" si="280"/>
        <v>2424</v>
      </c>
      <c r="BA109" s="5257">
        <f t="shared" si="280"/>
        <v>3460</v>
      </c>
      <c r="BB109" s="5257">
        <f t="shared" si="280"/>
        <v>3165</v>
      </c>
      <c r="BC109" s="5257">
        <f t="shared" si="280"/>
        <v>4626</v>
      </c>
      <c r="BD109" s="5257">
        <f t="shared" si="280"/>
        <v>3060</v>
      </c>
      <c r="BE109" s="5257">
        <f t="shared" si="280"/>
        <v>2547</v>
      </c>
      <c r="BF109" s="5257">
        <f t="shared" si="280"/>
        <v>3919</v>
      </c>
      <c r="BG109" s="5257">
        <v>3471</v>
      </c>
      <c r="BH109" s="5257">
        <v>3119</v>
      </c>
      <c r="BI109" s="5257">
        <f>SUM(AW109:BH109)</f>
        <v>39927</v>
      </c>
      <c r="BJ109" s="5257">
        <f>AVERAGE(AW109:BH109)</f>
        <v>3327.25</v>
      </c>
      <c r="BL109" s="5234">
        <f t="shared" si="274"/>
        <v>-3266</v>
      </c>
      <c r="BM109" s="5234">
        <f t="shared" si="275"/>
        <v>-1164.166666666667</v>
      </c>
      <c r="BN109" s="5255">
        <f t="shared" si="279"/>
        <v>-15828</v>
      </c>
    </row>
    <row r="110" spans="1:66" ht="15.45" thickBot="1" x14ac:dyDescent="0.6">
      <c r="A110" s="7141"/>
      <c r="B110" s="7142"/>
      <c r="C110" s="5423" t="s">
        <v>51</v>
      </c>
      <c r="D110" s="5729"/>
      <c r="E110" s="5729"/>
      <c r="F110" s="5730">
        <v>-2362</v>
      </c>
      <c r="G110" s="5731">
        <v>-5135</v>
      </c>
      <c r="H110" s="5731">
        <v>-11755</v>
      </c>
      <c r="I110" s="5731">
        <v>-7377</v>
      </c>
      <c r="J110" s="5731">
        <v>-2628</v>
      </c>
      <c r="K110" s="5731">
        <v>-9283</v>
      </c>
      <c r="L110" s="5731">
        <v>-7692</v>
      </c>
      <c r="M110" s="5731">
        <v>-4431</v>
      </c>
      <c r="N110" s="5731">
        <v>-11544</v>
      </c>
      <c r="O110" s="5731">
        <v>-15545</v>
      </c>
      <c r="P110" s="5731">
        <v>-19129</v>
      </c>
      <c r="Q110" s="5731">
        <v>10815</v>
      </c>
      <c r="R110" s="5731">
        <v>-86066</v>
      </c>
      <c r="S110" s="5731">
        <v>-7172.166666666667</v>
      </c>
      <c r="T110" s="5731">
        <v>-7402</v>
      </c>
      <c r="U110" s="5731">
        <v>-5704</v>
      </c>
      <c r="V110" s="5731">
        <v>-11206</v>
      </c>
      <c r="W110" s="5731">
        <v>2505</v>
      </c>
      <c r="X110" s="5731">
        <v>309</v>
      </c>
      <c r="Y110" s="5731">
        <v>765</v>
      </c>
      <c r="Z110" s="5731">
        <v>2441</v>
      </c>
      <c r="AA110" s="5731">
        <v>3564</v>
      </c>
      <c r="AB110" s="5731">
        <v>5582</v>
      </c>
      <c r="AC110" s="5731">
        <v>3732</v>
      </c>
      <c r="AD110" s="5731">
        <v>5269</v>
      </c>
      <c r="AE110" s="5731">
        <v>3771</v>
      </c>
      <c r="AF110" s="5732">
        <v>3626</v>
      </c>
      <c r="AG110" s="5732">
        <v>302.16666666666669</v>
      </c>
      <c r="AH110" s="5732"/>
      <c r="AI110" s="5733">
        <v>886</v>
      </c>
      <c r="AJ110" s="5732">
        <v>-16569</v>
      </c>
      <c r="AK110" s="5732">
        <v>-124</v>
      </c>
      <c r="AL110" s="5732">
        <v>-19914</v>
      </c>
      <c r="AM110" s="5732">
        <v>-12295</v>
      </c>
      <c r="AN110" s="5732">
        <v>106</v>
      </c>
      <c r="AO110" s="5732">
        <v>-4381</v>
      </c>
      <c r="AP110" s="5732">
        <v>-7691</v>
      </c>
      <c r="AQ110" s="5732">
        <v>-2057</v>
      </c>
      <c r="AR110" s="5732">
        <v>-2057</v>
      </c>
      <c r="AS110" s="5732">
        <v>5182</v>
      </c>
      <c r="AT110" s="5732">
        <v>-1488</v>
      </c>
      <c r="AU110" s="5732">
        <f>SUM(AI110:AT110)</f>
        <v>-60402</v>
      </c>
      <c r="AV110" s="5732">
        <f>AVERAGE(AI110:AT110)</f>
        <v>-5033.5</v>
      </c>
      <c r="AW110" s="5732">
        <f>AT106-AW106</f>
        <v>-1180</v>
      </c>
      <c r="AX110" s="5732">
        <f>AX106-AW106</f>
        <v>-3338</v>
      </c>
      <c r="AY110" s="5732">
        <f>AY106-AX106</f>
        <v>-5285</v>
      </c>
      <c r="AZ110" s="5732">
        <v>5032</v>
      </c>
      <c r="BA110" s="5732">
        <f>BA106-AZ106</f>
        <v>1590</v>
      </c>
      <c r="BB110" s="5732">
        <f t="shared" ref="BB110" si="281">BB106-BA106</f>
        <v>-4360</v>
      </c>
      <c r="BC110" s="5732">
        <f t="shared" ref="BC110" si="282">BC106-BB106</f>
        <v>616</v>
      </c>
      <c r="BD110" s="5732">
        <v>-1598</v>
      </c>
      <c r="BE110" s="5732">
        <v>4805</v>
      </c>
      <c r="BF110" s="5732">
        <f>BF106-BE106</f>
        <v>-2434</v>
      </c>
      <c r="BG110" s="5732">
        <v>-640</v>
      </c>
      <c r="BH110" s="5732">
        <v>329</v>
      </c>
      <c r="BI110" s="5732">
        <f>SUM(AW110:BH110)</f>
        <v>-6463</v>
      </c>
      <c r="BJ110" s="5732">
        <f>AVERAGE(AW110:BH110)</f>
        <v>-538.58333333333337</v>
      </c>
      <c r="BL110" s="5234">
        <f t="shared" si="274"/>
        <v>1817</v>
      </c>
      <c r="BM110" s="5234">
        <f t="shared" si="275"/>
        <v>4494.916666666667</v>
      </c>
      <c r="BN110" s="5255">
        <f t="shared" si="279"/>
        <v>16012</v>
      </c>
    </row>
    <row r="111" spans="1:66" ht="10.3" customHeight="1" x14ac:dyDescent="0.55000000000000004">
      <c r="A111" s="5076"/>
      <c r="B111" s="5076"/>
      <c r="AG111" s="3311"/>
      <c r="AH111" s="3311"/>
      <c r="AI111" s="5734" t="b">
        <v>1</v>
      </c>
      <c r="AJ111" s="5734" t="b">
        <v>1</v>
      </c>
      <c r="AK111" s="5734" t="b">
        <v>1</v>
      </c>
      <c r="AL111" s="5734" t="b">
        <v>1</v>
      </c>
      <c r="AM111" s="5734" t="b">
        <v>1</v>
      </c>
      <c r="AN111" s="5734" t="b">
        <v>1</v>
      </c>
      <c r="AO111" s="5734" t="b">
        <v>1</v>
      </c>
      <c r="AP111" s="5734" t="b">
        <v>1</v>
      </c>
      <c r="AQ111" s="5734" t="b">
        <v>1</v>
      </c>
      <c r="AR111" s="5734" t="b">
        <v>1</v>
      </c>
      <c r="AS111" s="5734" t="b">
        <v>1</v>
      </c>
      <c r="AT111" s="5734" t="b">
        <v>1</v>
      </c>
      <c r="AU111" s="5734" t="b">
        <f t="shared" ref="AU111:AX111" si="283">AU107-AU108-AU109=AU110</f>
        <v>1</v>
      </c>
      <c r="AV111" s="5734" t="b">
        <f t="shared" si="283"/>
        <v>1</v>
      </c>
      <c r="AW111" s="5734" t="b">
        <f>AW107-AW108-AW109=AW110</f>
        <v>1</v>
      </c>
      <c r="AX111" s="5734" t="b">
        <f t="shared" si="283"/>
        <v>1</v>
      </c>
      <c r="AZ111" s="3311"/>
      <c r="BA111" s="3311"/>
      <c r="BB111" s="3311"/>
      <c r="BC111" s="3311"/>
      <c r="BD111" s="3311"/>
      <c r="BE111" s="3311"/>
      <c r="BF111" s="3311"/>
      <c r="BG111" s="3311"/>
      <c r="BH111" s="3311"/>
      <c r="BI111" s="3311"/>
      <c r="BJ111" s="3311"/>
      <c r="BK111" s="3311"/>
      <c r="BL111" s="5234">
        <f t="shared" si="274"/>
        <v>-1</v>
      </c>
      <c r="BM111" s="5234"/>
      <c r="BN111" s="5255">
        <f t="shared" si="279"/>
        <v>0</v>
      </c>
    </row>
    <row r="112" spans="1:66" x14ac:dyDescent="0.55000000000000004">
      <c r="BL112" s="5234"/>
      <c r="BM112" s="5234"/>
      <c r="BN112" s="5255">
        <f t="shared" si="279"/>
        <v>0</v>
      </c>
    </row>
    <row r="113" spans="64:66" x14ac:dyDescent="0.55000000000000004">
      <c r="BL113" s="5234"/>
      <c r="BM113" s="5234"/>
      <c r="BN113" s="5255">
        <f t="shared" si="279"/>
        <v>0</v>
      </c>
    </row>
    <row r="114" spans="64:66" x14ac:dyDescent="0.55000000000000004">
      <c r="BL114" s="5234"/>
      <c r="BM114" s="5234"/>
      <c r="BN114" s="5255">
        <f t="shared" si="279"/>
        <v>0</v>
      </c>
    </row>
    <row r="115" spans="64:66" x14ac:dyDescent="0.55000000000000004">
      <c r="BL115" s="5234"/>
      <c r="BM115" s="5234"/>
      <c r="BN115" s="5255">
        <f t="shared" si="279"/>
        <v>0</v>
      </c>
    </row>
    <row r="116" spans="64:66" x14ac:dyDescent="0.55000000000000004">
      <c r="BL116" s="5234"/>
      <c r="BM116" s="5234"/>
      <c r="BN116" s="5234"/>
    </row>
    <row r="117" spans="64:66" x14ac:dyDescent="0.55000000000000004">
      <c r="BL117" s="5234"/>
      <c r="BM117" s="5234"/>
      <c r="BN117" s="5234"/>
    </row>
    <row r="118" spans="64:66" x14ac:dyDescent="0.55000000000000004">
      <c r="BL118" s="5234"/>
      <c r="BM118" s="5234"/>
      <c r="BN118" s="5234"/>
    </row>
    <row r="119" spans="64:66" x14ac:dyDescent="0.55000000000000004">
      <c r="BL119" s="5234"/>
      <c r="BM119" s="5234"/>
      <c r="BN119" s="5234"/>
    </row>
    <row r="120" spans="64:66" x14ac:dyDescent="0.55000000000000004">
      <c r="BL120" s="5234"/>
      <c r="BM120" s="5234"/>
      <c r="BN120" s="5234"/>
    </row>
    <row r="121" spans="64:66" x14ac:dyDescent="0.55000000000000004">
      <c r="BL121" s="5234"/>
      <c r="BM121" s="5234"/>
      <c r="BN121" s="5234"/>
    </row>
    <row r="122" spans="64:66" x14ac:dyDescent="0.55000000000000004">
      <c r="BL122" s="5234"/>
      <c r="BM122" s="5234"/>
      <c r="BN122" s="5234"/>
    </row>
    <row r="123" spans="64:66" x14ac:dyDescent="0.55000000000000004">
      <c r="BL123" s="5234"/>
      <c r="BM123" s="5234"/>
      <c r="BN123" s="5234"/>
    </row>
    <row r="124" spans="64:66" x14ac:dyDescent="0.55000000000000004">
      <c r="BL124" s="5234"/>
      <c r="BM124" s="5234"/>
      <c r="BN124" s="5234"/>
    </row>
    <row r="125" spans="64:66" x14ac:dyDescent="0.55000000000000004">
      <c r="BL125" s="5234"/>
      <c r="BM125" s="5234"/>
      <c r="BN125" s="5234"/>
    </row>
    <row r="126" spans="64:66" x14ac:dyDescent="0.55000000000000004">
      <c r="BL126" s="5234"/>
      <c r="BM126" s="5234"/>
      <c r="BN126" s="5234"/>
    </row>
    <row r="127" spans="64:66" x14ac:dyDescent="0.55000000000000004">
      <c r="BL127" s="5234"/>
      <c r="BM127" s="5234"/>
      <c r="BN127" s="5234"/>
    </row>
    <row r="128" spans="64:66" x14ac:dyDescent="0.55000000000000004">
      <c r="BL128" s="5234"/>
      <c r="BM128" s="5234"/>
      <c r="BN128" s="5234"/>
    </row>
    <row r="129" spans="64:66" x14ac:dyDescent="0.55000000000000004">
      <c r="BL129" s="5234"/>
      <c r="BM129" s="5234"/>
      <c r="BN129" s="5234"/>
    </row>
    <row r="130" spans="64:66" x14ac:dyDescent="0.55000000000000004">
      <c r="BL130" s="5234"/>
      <c r="BM130" s="5234"/>
      <c r="BN130" s="5234"/>
    </row>
    <row r="131" spans="64:66" x14ac:dyDescent="0.55000000000000004">
      <c r="BL131" s="5234"/>
      <c r="BM131" s="5234"/>
      <c r="BN131" s="5234"/>
    </row>
    <row r="132" spans="64:66" x14ac:dyDescent="0.55000000000000004">
      <c r="BL132" s="5234"/>
      <c r="BM132" s="5234"/>
      <c r="BN132" s="5234"/>
    </row>
    <row r="133" spans="64:66" x14ac:dyDescent="0.55000000000000004">
      <c r="BL133" s="5234"/>
      <c r="BM133" s="5234"/>
      <c r="BN133" s="5234"/>
    </row>
    <row r="134" spans="64:66" x14ac:dyDescent="0.55000000000000004">
      <c r="BL134" s="5234"/>
      <c r="BM134" s="5234"/>
      <c r="BN134" s="5234"/>
    </row>
    <row r="135" spans="64:66" x14ac:dyDescent="0.55000000000000004">
      <c r="BL135" s="5234"/>
      <c r="BM135" s="5234"/>
      <c r="BN135" s="5234"/>
    </row>
    <row r="136" spans="64:66" x14ac:dyDescent="0.55000000000000004">
      <c r="BL136" s="5234"/>
      <c r="BM136" s="5234"/>
      <c r="BN136" s="5234"/>
    </row>
    <row r="137" spans="64:66" x14ac:dyDescent="0.55000000000000004">
      <c r="BL137" s="5234"/>
      <c r="BM137" s="5234"/>
      <c r="BN137" s="5234"/>
    </row>
    <row r="138" spans="64:66" x14ac:dyDescent="0.55000000000000004">
      <c r="BL138" s="5234"/>
      <c r="BM138" s="5234"/>
      <c r="BN138" s="5234"/>
    </row>
    <row r="139" spans="64:66" x14ac:dyDescent="0.55000000000000004">
      <c r="BL139" s="5234"/>
      <c r="BM139" s="5234"/>
      <c r="BN139" s="5234"/>
    </row>
    <row r="140" spans="64:66" x14ac:dyDescent="0.55000000000000004">
      <c r="BL140" s="5234"/>
      <c r="BM140" s="5234"/>
      <c r="BN140" s="5234"/>
    </row>
    <row r="141" spans="64:66" x14ac:dyDescent="0.55000000000000004">
      <c r="BL141" s="5234"/>
      <c r="BM141" s="5234"/>
      <c r="BN141" s="5234"/>
    </row>
    <row r="142" spans="64:66" x14ac:dyDescent="0.55000000000000004">
      <c r="BL142" s="5234"/>
      <c r="BM142" s="5234"/>
      <c r="BN142" s="5234"/>
    </row>
    <row r="143" spans="64:66" x14ac:dyDescent="0.55000000000000004">
      <c r="BL143" s="5234"/>
      <c r="BM143" s="5234"/>
      <c r="BN143" s="5234"/>
    </row>
    <row r="144" spans="64:66" x14ac:dyDescent="0.55000000000000004">
      <c r="BL144" s="5234"/>
      <c r="BM144" s="5234"/>
      <c r="BN144" s="5234"/>
    </row>
    <row r="145" spans="64:66" x14ac:dyDescent="0.55000000000000004">
      <c r="BL145" s="5234"/>
      <c r="BM145" s="5234"/>
      <c r="BN145" s="5234"/>
    </row>
    <row r="146" spans="64:66" x14ac:dyDescent="0.55000000000000004">
      <c r="BL146" s="5234"/>
      <c r="BM146" s="5234"/>
      <c r="BN146" s="5234"/>
    </row>
    <row r="147" spans="64:66" x14ac:dyDescent="0.55000000000000004">
      <c r="BL147" s="5234"/>
      <c r="BM147" s="5234"/>
      <c r="BN147" s="5234"/>
    </row>
    <row r="148" spans="64:66" x14ac:dyDescent="0.55000000000000004">
      <c r="BL148" s="5234"/>
      <c r="BM148" s="5234"/>
      <c r="BN148" s="5234"/>
    </row>
    <row r="149" spans="64:66" x14ac:dyDescent="0.55000000000000004">
      <c r="BL149" s="5234"/>
      <c r="BM149" s="5234"/>
      <c r="BN149" s="5234"/>
    </row>
    <row r="150" spans="64:66" x14ac:dyDescent="0.55000000000000004">
      <c r="BL150" s="5234"/>
      <c r="BM150" s="5234"/>
      <c r="BN150" s="5234"/>
    </row>
    <row r="151" spans="64:66" x14ac:dyDescent="0.55000000000000004">
      <c r="BL151" s="5234"/>
      <c r="BM151" s="5234"/>
      <c r="BN151" s="5234"/>
    </row>
    <row r="152" spans="64:66" x14ac:dyDescent="0.55000000000000004">
      <c r="BL152" s="5234"/>
      <c r="BM152" s="5234"/>
      <c r="BN152" s="5234"/>
    </row>
    <row r="153" spans="64:66" x14ac:dyDescent="0.55000000000000004">
      <c r="BL153" s="5234"/>
      <c r="BM153" s="5234"/>
      <c r="BN153" s="5234"/>
    </row>
    <row r="154" spans="64:66" x14ac:dyDescent="0.55000000000000004">
      <c r="BL154" s="5234"/>
      <c r="BM154" s="5234"/>
      <c r="BN154" s="5234"/>
    </row>
    <row r="155" spans="64:66" x14ac:dyDescent="0.55000000000000004">
      <c r="BL155" s="5234"/>
      <c r="BM155" s="5234"/>
      <c r="BN155" s="5234"/>
    </row>
    <row r="156" spans="64:66" x14ac:dyDescent="0.55000000000000004">
      <c r="BL156" s="5234"/>
      <c r="BM156" s="5234"/>
      <c r="BN156" s="5234"/>
    </row>
    <row r="157" spans="64:66" x14ac:dyDescent="0.55000000000000004">
      <c r="BL157" s="5234"/>
      <c r="BM157" s="5234"/>
      <c r="BN157" s="5234"/>
    </row>
    <row r="158" spans="64:66" x14ac:dyDescent="0.55000000000000004">
      <c r="BL158" s="5234"/>
      <c r="BM158" s="5234"/>
      <c r="BN158" s="5234"/>
    </row>
    <row r="159" spans="64:66" x14ac:dyDescent="0.55000000000000004">
      <c r="BL159" s="5234"/>
      <c r="BM159" s="5234"/>
      <c r="BN159" s="5234"/>
    </row>
    <row r="160" spans="64:66" x14ac:dyDescent="0.55000000000000004">
      <c r="BL160" s="5234"/>
      <c r="BM160" s="5234"/>
      <c r="BN160" s="5234"/>
    </row>
    <row r="161" spans="64:66" x14ac:dyDescent="0.55000000000000004">
      <c r="BL161" s="5234"/>
      <c r="BM161" s="5234"/>
      <c r="BN161" s="5234"/>
    </row>
    <row r="162" spans="64:66" x14ac:dyDescent="0.55000000000000004">
      <c r="BL162" s="5234"/>
      <c r="BM162" s="5234"/>
      <c r="BN162" s="5234"/>
    </row>
    <row r="163" spans="64:66" x14ac:dyDescent="0.55000000000000004">
      <c r="BL163" s="5234"/>
      <c r="BM163" s="5234"/>
      <c r="BN163" s="5234"/>
    </row>
    <row r="164" spans="64:66" x14ac:dyDescent="0.55000000000000004">
      <c r="BL164" s="5234"/>
      <c r="BM164" s="5234"/>
      <c r="BN164" s="5234"/>
    </row>
    <row r="165" spans="64:66" x14ac:dyDescent="0.55000000000000004">
      <c r="BL165" s="5234"/>
      <c r="BM165" s="5234"/>
      <c r="BN165" s="5234"/>
    </row>
    <row r="166" spans="64:66" x14ac:dyDescent="0.55000000000000004">
      <c r="BL166" s="5234"/>
      <c r="BM166" s="5234"/>
      <c r="BN166" s="5234"/>
    </row>
    <row r="167" spans="64:66" x14ac:dyDescent="0.55000000000000004">
      <c r="BL167" s="5234"/>
      <c r="BM167" s="5234"/>
      <c r="BN167" s="5234"/>
    </row>
    <row r="168" spans="64:66" x14ac:dyDescent="0.55000000000000004">
      <c r="BL168" s="5234"/>
      <c r="BM168" s="5234"/>
      <c r="BN168" s="5234"/>
    </row>
    <row r="169" spans="64:66" x14ac:dyDescent="0.55000000000000004">
      <c r="BL169" s="5234"/>
      <c r="BM169" s="5234"/>
      <c r="BN169" s="5234"/>
    </row>
    <row r="170" spans="64:66" x14ac:dyDescent="0.55000000000000004">
      <c r="BL170" s="5234"/>
      <c r="BM170" s="5234"/>
      <c r="BN170" s="5234"/>
    </row>
    <row r="171" spans="64:66" x14ac:dyDescent="0.55000000000000004">
      <c r="BL171" s="5234"/>
      <c r="BM171" s="5234"/>
      <c r="BN171" s="5234"/>
    </row>
    <row r="172" spans="64:66" x14ac:dyDescent="0.55000000000000004">
      <c r="BL172" s="5234"/>
      <c r="BM172" s="5234"/>
      <c r="BN172" s="5234"/>
    </row>
    <row r="173" spans="64:66" x14ac:dyDescent="0.55000000000000004">
      <c r="BL173" s="5234"/>
      <c r="BM173" s="5234"/>
      <c r="BN173" s="5234"/>
    </row>
    <row r="174" spans="64:66" x14ac:dyDescent="0.55000000000000004">
      <c r="BL174" s="5234"/>
      <c r="BM174" s="5234"/>
      <c r="BN174" s="5234"/>
    </row>
    <row r="175" spans="64:66" x14ac:dyDescent="0.55000000000000004">
      <c r="BL175" s="5234"/>
      <c r="BM175" s="5234"/>
      <c r="BN175" s="5234"/>
    </row>
    <row r="176" spans="64:66" x14ac:dyDescent="0.55000000000000004">
      <c r="BL176" s="5234"/>
      <c r="BM176" s="5234"/>
      <c r="BN176" s="5234"/>
    </row>
    <row r="177" spans="64:66" x14ac:dyDescent="0.55000000000000004">
      <c r="BL177" s="5234"/>
      <c r="BM177" s="5234"/>
      <c r="BN177" s="5234"/>
    </row>
    <row r="178" spans="64:66" x14ac:dyDescent="0.55000000000000004">
      <c r="BL178" s="5234"/>
      <c r="BM178" s="5234"/>
      <c r="BN178" s="5234"/>
    </row>
    <row r="179" spans="64:66" x14ac:dyDescent="0.55000000000000004">
      <c r="BL179" s="5234"/>
      <c r="BM179" s="5234"/>
      <c r="BN179" s="5234"/>
    </row>
    <row r="180" spans="64:66" x14ac:dyDescent="0.55000000000000004">
      <c r="BL180" s="5234"/>
      <c r="BM180" s="5234"/>
      <c r="BN180" s="5234"/>
    </row>
    <row r="181" spans="64:66" x14ac:dyDescent="0.55000000000000004">
      <c r="BL181" s="5234"/>
      <c r="BM181" s="5234"/>
      <c r="BN181" s="5234"/>
    </row>
    <row r="182" spans="64:66" x14ac:dyDescent="0.55000000000000004">
      <c r="BL182" s="5234"/>
      <c r="BM182" s="5234"/>
      <c r="BN182" s="5234"/>
    </row>
    <row r="183" spans="64:66" x14ac:dyDescent="0.55000000000000004">
      <c r="BL183" s="5234"/>
      <c r="BM183" s="5234"/>
      <c r="BN183" s="5234"/>
    </row>
    <row r="184" spans="64:66" x14ac:dyDescent="0.55000000000000004">
      <c r="BL184" s="5234"/>
      <c r="BM184" s="5234"/>
      <c r="BN184" s="5234"/>
    </row>
    <row r="185" spans="64:66" x14ac:dyDescent="0.55000000000000004">
      <c r="BL185" s="5234"/>
      <c r="BM185" s="5234"/>
      <c r="BN185" s="5234"/>
    </row>
    <row r="186" spans="64:66" x14ac:dyDescent="0.55000000000000004">
      <c r="BL186" s="5234"/>
      <c r="BM186" s="5234"/>
      <c r="BN186" s="5234"/>
    </row>
    <row r="187" spans="64:66" x14ac:dyDescent="0.55000000000000004">
      <c r="BL187" s="5234"/>
      <c r="BM187" s="5234"/>
      <c r="BN187" s="5234"/>
    </row>
    <row r="188" spans="64:66" x14ac:dyDescent="0.55000000000000004">
      <c r="BL188" s="5234"/>
      <c r="BM188" s="5234"/>
      <c r="BN188" s="5234"/>
    </row>
    <row r="189" spans="64:66" x14ac:dyDescent="0.55000000000000004">
      <c r="BL189" s="5234"/>
      <c r="BM189" s="5234"/>
      <c r="BN189" s="5234"/>
    </row>
    <row r="190" spans="64:66" x14ac:dyDescent="0.55000000000000004">
      <c r="BL190" s="5234"/>
      <c r="BM190" s="5234"/>
      <c r="BN190" s="5234"/>
    </row>
    <row r="191" spans="64:66" x14ac:dyDescent="0.55000000000000004">
      <c r="BL191" s="5234"/>
      <c r="BM191" s="5234"/>
      <c r="BN191" s="5234"/>
    </row>
    <row r="192" spans="64:66" x14ac:dyDescent="0.55000000000000004">
      <c r="BL192" s="5234"/>
      <c r="BM192" s="5234"/>
      <c r="BN192" s="5234"/>
    </row>
    <row r="193" spans="64:66" x14ac:dyDescent="0.55000000000000004">
      <c r="BL193" s="5234"/>
      <c r="BM193" s="5234"/>
      <c r="BN193" s="5234"/>
    </row>
    <row r="194" spans="64:66" x14ac:dyDescent="0.55000000000000004">
      <c r="BL194" s="5234"/>
      <c r="BM194" s="5234"/>
      <c r="BN194" s="5234"/>
    </row>
    <row r="195" spans="64:66" x14ac:dyDescent="0.55000000000000004">
      <c r="BL195" s="5234"/>
      <c r="BM195" s="5234"/>
      <c r="BN195" s="5234"/>
    </row>
    <row r="196" spans="64:66" x14ac:dyDescent="0.55000000000000004">
      <c r="BL196" s="5234"/>
      <c r="BM196" s="5234"/>
      <c r="BN196" s="5234"/>
    </row>
    <row r="197" spans="64:66" x14ac:dyDescent="0.55000000000000004">
      <c r="BL197" s="5234"/>
      <c r="BM197" s="5234"/>
      <c r="BN197" s="5234"/>
    </row>
    <row r="198" spans="64:66" x14ac:dyDescent="0.55000000000000004">
      <c r="BL198" s="5234"/>
      <c r="BM198" s="5234"/>
      <c r="BN198" s="5234"/>
    </row>
    <row r="199" spans="64:66" x14ac:dyDescent="0.55000000000000004">
      <c r="BL199" s="5234"/>
      <c r="BM199" s="5234"/>
      <c r="BN199" s="5234"/>
    </row>
    <row r="200" spans="64:66" x14ac:dyDescent="0.55000000000000004">
      <c r="BL200" s="5234"/>
      <c r="BM200" s="5234"/>
      <c r="BN200" s="5234"/>
    </row>
    <row r="201" spans="64:66" x14ac:dyDescent="0.55000000000000004">
      <c r="BL201" s="5234"/>
      <c r="BM201" s="5234"/>
      <c r="BN201" s="5234"/>
    </row>
    <row r="202" spans="64:66" x14ac:dyDescent="0.55000000000000004">
      <c r="BL202" s="5234"/>
      <c r="BM202" s="5234"/>
      <c r="BN202" s="5234"/>
    </row>
    <row r="203" spans="64:66" x14ac:dyDescent="0.55000000000000004">
      <c r="BL203" s="5234"/>
      <c r="BM203" s="5234"/>
      <c r="BN203" s="5234"/>
    </row>
    <row r="204" spans="64:66" x14ac:dyDescent="0.55000000000000004">
      <c r="BL204" s="5234"/>
      <c r="BM204" s="5234"/>
      <c r="BN204" s="5234"/>
    </row>
    <row r="205" spans="64:66" x14ac:dyDescent="0.55000000000000004">
      <c r="BL205" s="5234"/>
      <c r="BM205" s="5234"/>
      <c r="BN205" s="5234"/>
    </row>
    <row r="206" spans="64:66" x14ac:dyDescent="0.55000000000000004">
      <c r="BL206" s="5234"/>
      <c r="BM206" s="5234"/>
      <c r="BN206" s="5234"/>
    </row>
    <row r="207" spans="64:66" x14ac:dyDescent="0.55000000000000004">
      <c r="BL207" s="5234"/>
      <c r="BM207" s="5234"/>
      <c r="BN207" s="5234"/>
    </row>
    <row r="208" spans="64:66" x14ac:dyDescent="0.55000000000000004">
      <c r="BL208" s="5234"/>
      <c r="BM208" s="5234"/>
      <c r="BN208" s="5234"/>
    </row>
    <row r="209" spans="64:66" x14ac:dyDescent="0.55000000000000004">
      <c r="BL209" s="5234"/>
      <c r="BM209" s="5234"/>
      <c r="BN209" s="5234"/>
    </row>
    <row r="210" spans="64:66" x14ac:dyDescent="0.55000000000000004">
      <c r="BL210" s="5234"/>
      <c r="BM210" s="5234"/>
      <c r="BN210" s="5234"/>
    </row>
    <row r="211" spans="64:66" x14ac:dyDescent="0.55000000000000004">
      <c r="BL211" s="5234"/>
      <c r="BM211" s="5234"/>
      <c r="BN211" s="5234"/>
    </row>
    <row r="212" spans="64:66" x14ac:dyDescent="0.55000000000000004">
      <c r="BL212" s="5234"/>
      <c r="BM212" s="5234"/>
      <c r="BN212" s="5234"/>
    </row>
    <row r="213" spans="64:66" x14ac:dyDescent="0.55000000000000004">
      <c r="BL213" s="5234"/>
      <c r="BM213" s="5234"/>
      <c r="BN213" s="5234"/>
    </row>
    <row r="214" spans="64:66" x14ac:dyDescent="0.55000000000000004">
      <c r="BL214" s="5234"/>
      <c r="BM214" s="5234"/>
      <c r="BN214" s="5234"/>
    </row>
    <row r="215" spans="64:66" x14ac:dyDescent="0.55000000000000004">
      <c r="BL215" s="5234"/>
      <c r="BM215" s="5234"/>
      <c r="BN215" s="5234"/>
    </row>
    <row r="216" spans="64:66" x14ac:dyDescent="0.55000000000000004">
      <c r="BL216" s="5234"/>
      <c r="BM216" s="5234"/>
      <c r="BN216" s="5234"/>
    </row>
    <row r="217" spans="64:66" x14ac:dyDescent="0.55000000000000004">
      <c r="BL217" s="5234"/>
      <c r="BM217" s="5234"/>
      <c r="BN217" s="5234"/>
    </row>
    <row r="218" spans="64:66" x14ac:dyDescent="0.55000000000000004">
      <c r="BL218" s="5234"/>
      <c r="BM218" s="5234"/>
      <c r="BN218" s="5234"/>
    </row>
    <row r="219" spans="64:66" x14ac:dyDescent="0.55000000000000004">
      <c r="BL219" s="5234"/>
      <c r="BM219" s="5234"/>
      <c r="BN219" s="5234"/>
    </row>
    <row r="220" spans="64:66" x14ac:dyDescent="0.55000000000000004">
      <c r="BL220" s="5234"/>
      <c r="BM220" s="5234"/>
      <c r="BN220" s="5234"/>
    </row>
    <row r="221" spans="64:66" x14ac:dyDescent="0.55000000000000004">
      <c r="BL221" s="5234"/>
      <c r="BM221" s="5234"/>
      <c r="BN221" s="5234"/>
    </row>
    <row r="222" spans="64:66" x14ac:dyDescent="0.55000000000000004">
      <c r="BL222" s="5234"/>
      <c r="BM222" s="5234"/>
      <c r="BN222" s="5234"/>
    </row>
    <row r="223" spans="64:66" x14ac:dyDescent="0.55000000000000004">
      <c r="BL223" s="5234"/>
      <c r="BM223" s="5234"/>
      <c r="BN223" s="5234"/>
    </row>
    <row r="224" spans="64:66" x14ac:dyDescent="0.55000000000000004">
      <c r="BL224" s="5234"/>
      <c r="BM224" s="5234"/>
      <c r="BN224" s="5234"/>
    </row>
    <row r="225" spans="64:66" x14ac:dyDescent="0.55000000000000004">
      <c r="BL225" s="5234"/>
      <c r="BM225" s="5234"/>
      <c r="BN225" s="5234"/>
    </row>
    <row r="226" spans="64:66" x14ac:dyDescent="0.55000000000000004">
      <c r="BL226" s="5234"/>
      <c r="BM226" s="5234"/>
      <c r="BN226" s="5234"/>
    </row>
    <row r="227" spans="64:66" x14ac:dyDescent="0.55000000000000004">
      <c r="BL227" s="5234"/>
      <c r="BM227" s="5234"/>
      <c r="BN227" s="5234"/>
    </row>
    <row r="228" spans="64:66" x14ac:dyDescent="0.55000000000000004">
      <c r="BL228" s="5234"/>
      <c r="BM228" s="5234"/>
      <c r="BN228" s="5234"/>
    </row>
    <row r="229" spans="64:66" x14ac:dyDescent="0.55000000000000004">
      <c r="BL229" s="5234"/>
      <c r="BM229" s="5234"/>
      <c r="BN229" s="5234"/>
    </row>
    <row r="230" spans="64:66" x14ac:dyDescent="0.55000000000000004">
      <c r="BL230" s="5234"/>
      <c r="BM230" s="5234"/>
      <c r="BN230" s="5234"/>
    </row>
    <row r="231" spans="64:66" x14ac:dyDescent="0.55000000000000004">
      <c r="BL231" s="5234"/>
      <c r="BM231" s="5234"/>
      <c r="BN231" s="5234"/>
    </row>
    <row r="232" spans="64:66" x14ac:dyDescent="0.55000000000000004">
      <c r="BL232" s="5234"/>
      <c r="BM232" s="5234"/>
      <c r="BN232" s="5234"/>
    </row>
    <row r="233" spans="64:66" x14ac:dyDescent="0.55000000000000004">
      <c r="BL233" s="5234"/>
      <c r="BM233" s="5234"/>
      <c r="BN233" s="5234"/>
    </row>
    <row r="234" spans="64:66" x14ac:dyDescent="0.55000000000000004">
      <c r="BL234" s="5234"/>
      <c r="BM234" s="5234"/>
      <c r="BN234" s="5234"/>
    </row>
    <row r="235" spans="64:66" x14ac:dyDescent="0.55000000000000004">
      <c r="BL235" s="5234"/>
      <c r="BM235" s="5234"/>
      <c r="BN235" s="5234"/>
    </row>
    <row r="236" spans="64:66" x14ac:dyDescent="0.55000000000000004">
      <c r="BL236" s="5234"/>
      <c r="BM236" s="5234"/>
      <c r="BN236" s="5234"/>
    </row>
    <row r="237" spans="64:66" x14ac:dyDescent="0.55000000000000004">
      <c r="BL237" s="5234"/>
      <c r="BM237" s="5234"/>
      <c r="BN237" s="5234"/>
    </row>
    <row r="238" spans="64:66" x14ac:dyDescent="0.55000000000000004">
      <c r="BL238" s="5234"/>
      <c r="BM238" s="5234"/>
      <c r="BN238" s="5234"/>
    </row>
    <row r="239" spans="64:66" x14ac:dyDescent="0.55000000000000004">
      <c r="BL239" s="5234"/>
      <c r="BM239" s="5234"/>
      <c r="BN239" s="5234"/>
    </row>
    <row r="240" spans="64:66" x14ac:dyDescent="0.55000000000000004">
      <c r="BL240" s="5234"/>
      <c r="BM240" s="5234"/>
      <c r="BN240" s="5234"/>
    </row>
    <row r="241" spans="64:66" x14ac:dyDescent="0.55000000000000004">
      <c r="BL241" s="5234"/>
      <c r="BM241" s="5234"/>
      <c r="BN241" s="5234"/>
    </row>
    <row r="242" spans="64:66" x14ac:dyDescent="0.55000000000000004">
      <c r="BL242" s="5234"/>
      <c r="BM242" s="5234"/>
      <c r="BN242" s="5234"/>
    </row>
    <row r="243" spans="64:66" x14ac:dyDescent="0.55000000000000004">
      <c r="BL243" s="5234"/>
      <c r="BM243" s="5234"/>
      <c r="BN243" s="5234"/>
    </row>
    <row r="244" spans="64:66" x14ac:dyDescent="0.55000000000000004">
      <c r="BL244" s="5234"/>
      <c r="BM244" s="5234"/>
      <c r="BN244" s="5234"/>
    </row>
    <row r="245" spans="64:66" x14ac:dyDescent="0.55000000000000004">
      <c r="BL245" s="5234"/>
      <c r="BM245" s="5234"/>
      <c r="BN245" s="5234"/>
    </row>
    <row r="246" spans="64:66" x14ac:dyDescent="0.55000000000000004">
      <c r="BL246" s="5234"/>
      <c r="BM246" s="5234"/>
      <c r="BN246" s="5234"/>
    </row>
    <row r="247" spans="64:66" x14ac:dyDescent="0.55000000000000004">
      <c r="BL247" s="5234"/>
      <c r="BM247" s="5234"/>
      <c r="BN247" s="5234"/>
    </row>
    <row r="248" spans="64:66" x14ac:dyDescent="0.55000000000000004">
      <c r="BL248" s="5234"/>
      <c r="BM248" s="5234"/>
      <c r="BN248" s="5234"/>
    </row>
    <row r="249" spans="64:66" x14ac:dyDescent="0.55000000000000004">
      <c r="BL249" s="5234"/>
      <c r="BM249" s="5234"/>
      <c r="BN249" s="5234"/>
    </row>
    <row r="250" spans="64:66" x14ac:dyDescent="0.55000000000000004">
      <c r="BL250" s="5234"/>
      <c r="BM250" s="5234"/>
      <c r="BN250" s="5234"/>
    </row>
    <row r="251" spans="64:66" x14ac:dyDescent="0.55000000000000004">
      <c r="BL251" s="5234"/>
      <c r="BM251" s="5234"/>
      <c r="BN251" s="5234"/>
    </row>
    <row r="252" spans="64:66" x14ac:dyDescent="0.55000000000000004">
      <c r="BL252" s="5234"/>
      <c r="BM252" s="5234"/>
      <c r="BN252" s="5234"/>
    </row>
    <row r="253" spans="64:66" x14ac:dyDescent="0.55000000000000004">
      <c r="BL253" s="5234"/>
      <c r="BM253" s="5234"/>
      <c r="BN253" s="5234"/>
    </row>
    <row r="254" spans="64:66" x14ac:dyDescent="0.55000000000000004">
      <c r="BL254" s="5234"/>
      <c r="BM254" s="5234"/>
      <c r="BN254" s="5234"/>
    </row>
    <row r="255" spans="64:66" x14ac:dyDescent="0.55000000000000004">
      <c r="BL255" s="5234"/>
      <c r="BM255" s="5234"/>
      <c r="BN255" s="5234"/>
    </row>
    <row r="256" spans="64:66" x14ac:dyDescent="0.55000000000000004">
      <c r="BL256" s="5234"/>
      <c r="BM256" s="5234"/>
      <c r="BN256" s="5234"/>
    </row>
    <row r="257" spans="64:66" x14ac:dyDescent="0.55000000000000004">
      <c r="BL257" s="5234"/>
      <c r="BM257" s="5234"/>
      <c r="BN257" s="5234"/>
    </row>
    <row r="258" spans="64:66" x14ac:dyDescent="0.55000000000000004">
      <c r="BL258" s="5234"/>
      <c r="BM258" s="5234"/>
      <c r="BN258" s="5234"/>
    </row>
    <row r="259" spans="64:66" x14ac:dyDescent="0.55000000000000004">
      <c r="BL259" s="5234"/>
      <c r="BM259" s="5234"/>
      <c r="BN259" s="5234"/>
    </row>
    <row r="260" spans="64:66" x14ac:dyDescent="0.55000000000000004">
      <c r="BL260" s="5234"/>
      <c r="BM260" s="5234"/>
      <c r="BN260" s="5234"/>
    </row>
    <row r="261" spans="64:66" x14ac:dyDescent="0.55000000000000004">
      <c r="BL261" s="5234"/>
      <c r="BM261" s="5234"/>
      <c r="BN261" s="5234"/>
    </row>
    <row r="262" spans="64:66" x14ac:dyDescent="0.55000000000000004">
      <c r="BL262" s="5234"/>
      <c r="BM262" s="5234"/>
      <c r="BN262" s="5234"/>
    </row>
    <row r="263" spans="64:66" x14ac:dyDescent="0.55000000000000004">
      <c r="BL263" s="5234"/>
      <c r="BM263" s="5234"/>
      <c r="BN263" s="5234"/>
    </row>
    <row r="264" spans="64:66" x14ac:dyDescent="0.55000000000000004">
      <c r="BL264" s="5234"/>
      <c r="BM264" s="5234"/>
      <c r="BN264" s="5234"/>
    </row>
    <row r="265" spans="64:66" x14ac:dyDescent="0.55000000000000004">
      <c r="BL265" s="5234"/>
      <c r="BM265" s="5234"/>
      <c r="BN265" s="5234"/>
    </row>
    <row r="266" spans="64:66" x14ac:dyDescent="0.55000000000000004">
      <c r="BL266" s="5234"/>
      <c r="BM266" s="5234"/>
      <c r="BN266" s="5234"/>
    </row>
    <row r="267" spans="64:66" x14ac:dyDescent="0.55000000000000004">
      <c r="BL267" s="5234"/>
      <c r="BM267" s="5234"/>
      <c r="BN267" s="5234"/>
    </row>
    <row r="268" spans="64:66" x14ac:dyDescent="0.55000000000000004">
      <c r="BL268" s="5234"/>
      <c r="BM268" s="5234"/>
      <c r="BN268" s="5234"/>
    </row>
    <row r="269" spans="64:66" x14ac:dyDescent="0.55000000000000004">
      <c r="BL269" s="5234"/>
      <c r="BM269" s="5234"/>
      <c r="BN269" s="5234"/>
    </row>
    <row r="270" spans="64:66" x14ac:dyDescent="0.55000000000000004">
      <c r="BL270" s="5234"/>
      <c r="BM270" s="5234"/>
      <c r="BN270" s="5234"/>
    </row>
    <row r="271" spans="64:66" x14ac:dyDescent="0.55000000000000004">
      <c r="BL271" s="5234"/>
      <c r="BM271" s="5234"/>
      <c r="BN271" s="5234"/>
    </row>
    <row r="272" spans="64:66" x14ac:dyDescent="0.55000000000000004">
      <c r="BL272" s="5234"/>
      <c r="BM272" s="5234"/>
      <c r="BN272" s="5234"/>
    </row>
    <row r="273" spans="64:66" x14ac:dyDescent="0.55000000000000004">
      <c r="BL273" s="5234"/>
      <c r="BM273" s="5234"/>
      <c r="BN273" s="5234"/>
    </row>
    <row r="274" spans="64:66" x14ac:dyDescent="0.55000000000000004">
      <c r="BL274" s="5234"/>
      <c r="BM274" s="5234"/>
      <c r="BN274" s="5234"/>
    </row>
    <row r="275" spans="64:66" x14ac:dyDescent="0.55000000000000004">
      <c r="BL275" s="5234"/>
      <c r="BM275" s="5234"/>
      <c r="BN275" s="5234"/>
    </row>
    <row r="276" spans="64:66" x14ac:dyDescent="0.55000000000000004">
      <c r="BL276" s="5234"/>
      <c r="BM276" s="5234"/>
      <c r="BN276" s="5234"/>
    </row>
    <row r="277" spans="64:66" x14ac:dyDescent="0.55000000000000004">
      <c r="BL277" s="5234"/>
      <c r="BM277" s="5234"/>
      <c r="BN277" s="5234"/>
    </row>
    <row r="278" spans="64:66" x14ac:dyDescent="0.55000000000000004">
      <c r="BL278" s="5234"/>
      <c r="BM278" s="5234"/>
      <c r="BN278" s="5234"/>
    </row>
    <row r="279" spans="64:66" x14ac:dyDescent="0.55000000000000004">
      <c r="BL279" s="5234"/>
      <c r="BM279" s="5234"/>
      <c r="BN279" s="5234"/>
    </row>
    <row r="280" spans="64:66" x14ac:dyDescent="0.55000000000000004">
      <c r="BL280" s="5234"/>
      <c r="BM280" s="5234"/>
      <c r="BN280" s="5234"/>
    </row>
    <row r="281" spans="64:66" x14ac:dyDescent="0.55000000000000004">
      <c r="BL281" s="5234"/>
      <c r="BM281" s="5234"/>
      <c r="BN281" s="5234"/>
    </row>
    <row r="282" spans="64:66" x14ac:dyDescent="0.55000000000000004">
      <c r="BL282" s="5234"/>
      <c r="BM282" s="5234"/>
      <c r="BN282" s="5234"/>
    </row>
    <row r="283" spans="64:66" x14ac:dyDescent="0.55000000000000004">
      <c r="BL283" s="5234"/>
      <c r="BM283" s="5234"/>
      <c r="BN283" s="5234"/>
    </row>
    <row r="284" spans="64:66" x14ac:dyDescent="0.55000000000000004">
      <c r="BL284" s="5234"/>
      <c r="BM284" s="5234"/>
      <c r="BN284" s="5234"/>
    </row>
    <row r="285" spans="64:66" x14ac:dyDescent="0.55000000000000004">
      <c r="BL285" s="5234"/>
      <c r="BM285" s="5234"/>
      <c r="BN285" s="5234"/>
    </row>
    <row r="286" spans="64:66" x14ac:dyDescent="0.55000000000000004">
      <c r="BL286" s="5234"/>
      <c r="BM286" s="5234"/>
      <c r="BN286" s="5234"/>
    </row>
    <row r="287" spans="64:66" x14ac:dyDescent="0.55000000000000004">
      <c r="BL287" s="5234"/>
      <c r="BM287" s="5234"/>
      <c r="BN287" s="5234"/>
    </row>
    <row r="288" spans="64:66" x14ac:dyDescent="0.55000000000000004">
      <c r="BL288" s="5234"/>
      <c r="BM288" s="5234"/>
      <c r="BN288" s="5234"/>
    </row>
    <row r="289" spans="64:66" x14ac:dyDescent="0.55000000000000004">
      <c r="BL289" s="5234"/>
      <c r="BM289" s="5234"/>
      <c r="BN289" s="5234"/>
    </row>
    <row r="290" spans="64:66" x14ac:dyDescent="0.55000000000000004">
      <c r="BL290" s="5234"/>
      <c r="BM290" s="5234"/>
      <c r="BN290" s="5234"/>
    </row>
    <row r="291" spans="64:66" x14ac:dyDescent="0.55000000000000004">
      <c r="BL291" s="5234"/>
      <c r="BM291" s="5234"/>
      <c r="BN291" s="5234"/>
    </row>
    <row r="292" spans="64:66" x14ac:dyDescent="0.55000000000000004">
      <c r="BL292" s="5234"/>
      <c r="BM292" s="5234"/>
      <c r="BN292" s="5234"/>
    </row>
    <row r="293" spans="64:66" x14ac:dyDescent="0.55000000000000004">
      <c r="BL293" s="5234"/>
      <c r="BM293" s="5234"/>
      <c r="BN293" s="5234"/>
    </row>
    <row r="294" spans="64:66" x14ac:dyDescent="0.55000000000000004">
      <c r="BL294" s="5234"/>
      <c r="BM294" s="5234"/>
      <c r="BN294" s="5234"/>
    </row>
    <row r="295" spans="64:66" x14ac:dyDescent="0.55000000000000004">
      <c r="BL295" s="5234"/>
      <c r="BM295" s="5234"/>
      <c r="BN295" s="5234"/>
    </row>
    <row r="296" spans="64:66" x14ac:dyDescent="0.55000000000000004">
      <c r="BL296" s="5234"/>
      <c r="BM296" s="5234"/>
      <c r="BN296" s="5234"/>
    </row>
    <row r="297" spans="64:66" x14ac:dyDescent="0.55000000000000004">
      <c r="BL297" s="5234"/>
      <c r="BM297" s="5234"/>
      <c r="BN297" s="5234"/>
    </row>
    <row r="298" spans="64:66" x14ac:dyDescent="0.55000000000000004">
      <c r="BL298" s="5234"/>
      <c r="BM298" s="5234"/>
      <c r="BN298" s="5234"/>
    </row>
    <row r="299" spans="64:66" x14ac:dyDescent="0.55000000000000004">
      <c r="BL299" s="5234"/>
      <c r="BM299" s="5234"/>
      <c r="BN299" s="5234"/>
    </row>
    <row r="300" spans="64:66" x14ac:dyDescent="0.55000000000000004">
      <c r="BL300" s="5234"/>
      <c r="BM300" s="5234"/>
      <c r="BN300" s="5234"/>
    </row>
    <row r="301" spans="64:66" x14ac:dyDescent="0.55000000000000004">
      <c r="BL301" s="5234"/>
      <c r="BM301" s="5234"/>
      <c r="BN301" s="5234"/>
    </row>
    <row r="302" spans="64:66" x14ac:dyDescent="0.55000000000000004">
      <c r="BL302" s="5234"/>
      <c r="BM302" s="5234"/>
      <c r="BN302" s="5234"/>
    </row>
    <row r="303" spans="64:66" x14ac:dyDescent="0.55000000000000004">
      <c r="BL303" s="5234"/>
      <c r="BM303" s="5234"/>
      <c r="BN303" s="5234"/>
    </row>
    <row r="304" spans="64:66" x14ac:dyDescent="0.55000000000000004">
      <c r="BL304" s="5234"/>
      <c r="BM304" s="5234"/>
      <c r="BN304" s="5234"/>
    </row>
    <row r="305" spans="64:66" x14ac:dyDescent="0.55000000000000004">
      <c r="BL305" s="5234"/>
      <c r="BM305" s="5234"/>
      <c r="BN305" s="5234"/>
    </row>
    <row r="306" spans="64:66" x14ac:dyDescent="0.55000000000000004">
      <c r="BL306" s="5234"/>
      <c r="BM306" s="5234"/>
      <c r="BN306" s="5234"/>
    </row>
    <row r="307" spans="64:66" x14ac:dyDescent="0.55000000000000004">
      <c r="BL307" s="5234"/>
      <c r="BM307" s="5234"/>
      <c r="BN307" s="5234"/>
    </row>
    <row r="308" spans="64:66" x14ac:dyDescent="0.55000000000000004">
      <c r="BL308" s="5234"/>
      <c r="BM308" s="5234"/>
      <c r="BN308" s="5234"/>
    </row>
    <row r="309" spans="64:66" x14ac:dyDescent="0.55000000000000004">
      <c r="BL309" s="5234"/>
      <c r="BM309" s="5234"/>
      <c r="BN309" s="5234"/>
    </row>
    <row r="310" spans="64:66" x14ac:dyDescent="0.55000000000000004">
      <c r="BL310" s="5234"/>
      <c r="BM310" s="5234"/>
      <c r="BN310" s="5234"/>
    </row>
    <row r="311" spans="64:66" x14ac:dyDescent="0.55000000000000004">
      <c r="BL311" s="5234"/>
      <c r="BM311" s="5234"/>
      <c r="BN311" s="5234"/>
    </row>
    <row r="312" spans="64:66" x14ac:dyDescent="0.55000000000000004">
      <c r="BL312" s="5234"/>
      <c r="BM312" s="5234"/>
      <c r="BN312" s="5234"/>
    </row>
    <row r="313" spans="64:66" x14ac:dyDescent="0.55000000000000004">
      <c r="BL313" s="5234"/>
      <c r="BM313" s="5234"/>
      <c r="BN313" s="5234"/>
    </row>
    <row r="314" spans="64:66" x14ac:dyDescent="0.55000000000000004">
      <c r="BL314" s="5234"/>
      <c r="BM314" s="5234"/>
      <c r="BN314" s="5234"/>
    </row>
    <row r="315" spans="64:66" x14ac:dyDescent="0.55000000000000004">
      <c r="BL315" s="5234"/>
      <c r="BM315" s="5234"/>
      <c r="BN315" s="5234"/>
    </row>
    <row r="316" spans="64:66" x14ac:dyDescent="0.55000000000000004">
      <c r="BL316" s="5234"/>
      <c r="BM316" s="5234"/>
      <c r="BN316" s="5234"/>
    </row>
    <row r="317" spans="64:66" x14ac:dyDescent="0.55000000000000004">
      <c r="BL317" s="5234"/>
      <c r="BM317" s="5234"/>
      <c r="BN317" s="5234"/>
    </row>
    <row r="318" spans="64:66" x14ac:dyDescent="0.55000000000000004">
      <c r="BL318" s="5234"/>
      <c r="BM318" s="5234"/>
      <c r="BN318" s="5234"/>
    </row>
    <row r="319" spans="64:66" x14ac:dyDescent="0.55000000000000004">
      <c r="BL319" s="5234"/>
      <c r="BM319" s="5234"/>
      <c r="BN319" s="5234"/>
    </row>
    <row r="320" spans="64:66" x14ac:dyDescent="0.55000000000000004">
      <c r="BL320" s="5234"/>
      <c r="BM320" s="5234"/>
      <c r="BN320" s="5234"/>
    </row>
    <row r="321" spans="64:66" x14ac:dyDescent="0.55000000000000004">
      <c r="BL321" s="5234"/>
      <c r="BM321" s="5234"/>
      <c r="BN321" s="5234"/>
    </row>
    <row r="322" spans="64:66" x14ac:dyDescent="0.55000000000000004">
      <c r="BL322" s="5234"/>
      <c r="BM322" s="5234"/>
      <c r="BN322" s="5234"/>
    </row>
    <row r="323" spans="64:66" x14ac:dyDescent="0.55000000000000004">
      <c r="BL323" s="5234"/>
      <c r="BM323" s="5234"/>
      <c r="BN323" s="5234"/>
    </row>
    <row r="324" spans="64:66" x14ac:dyDescent="0.55000000000000004">
      <c r="BL324" s="5234"/>
      <c r="BM324" s="5234"/>
      <c r="BN324" s="5234"/>
    </row>
    <row r="325" spans="64:66" x14ac:dyDescent="0.55000000000000004">
      <c r="BL325" s="5234"/>
      <c r="BM325" s="5234"/>
      <c r="BN325" s="5234"/>
    </row>
    <row r="326" spans="64:66" x14ac:dyDescent="0.55000000000000004">
      <c r="BL326" s="5234"/>
      <c r="BM326" s="5234"/>
      <c r="BN326" s="5234"/>
    </row>
    <row r="327" spans="64:66" x14ac:dyDescent="0.55000000000000004">
      <c r="BL327" s="5234"/>
      <c r="BM327" s="5234"/>
      <c r="BN327" s="5234"/>
    </row>
    <row r="328" spans="64:66" x14ac:dyDescent="0.55000000000000004">
      <c r="BL328" s="5234"/>
      <c r="BM328" s="5234"/>
      <c r="BN328" s="5234"/>
    </row>
    <row r="329" spans="64:66" x14ac:dyDescent="0.55000000000000004">
      <c r="BL329" s="5234"/>
      <c r="BM329" s="5234"/>
      <c r="BN329" s="5234"/>
    </row>
    <row r="330" spans="64:66" x14ac:dyDescent="0.55000000000000004">
      <c r="BL330" s="5234"/>
      <c r="BM330" s="5234"/>
      <c r="BN330" s="5234"/>
    </row>
    <row r="331" spans="64:66" x14ac:dyDescent="0.55000000000000004">
      <c r="BL331" s="5234"/>
      <c r="BM331" s="5234"/>
      <c r="BN331" s="5234"/>
    </row>
    <row r="332" spans="64:66" x14ac:dyDescent="0.55000000000000004">
      <c r="BL332" s="5234"/>
      <c r="BM332" s="5234"/>
      <c r="BN332" s="5234"/>
    </row>
    <row r="333" spans="64:66" x14ac:dyDescent="0.55000000000000004">
      <c r="BL333" s="5234"/>
      <c r="BM333" s="5234"/>
      <c r="BN333" s="5234"/>
    </row>
    <row r="334" spans="64:66" x14ac:dyDescent="0.55000000000000004">
      <c r="BL334" s="5234"/>
      <c r="BM334" s="5234"/>
      <c r="BN334" s="5234"/>
    </row>
    <row r="335" spans="64:66" x14ac:dyDescent="0.55000000000000004">
      <c r="BL335" s="5234"/>
      <c r="BM335" s="5234"/>
      <c r="BN335" s="5234"/>
    </row>
    <row r="336" spans="64:66" x14ac:dyDescent="0.55000000000000004">
      <c r="BL336" s="5234"/>
      <c r="BM336" s="5234"/>
      <c r="BN336" s="5234"/>
    </row>
    <row r="337" spans="64:66" x14ac:dyDescent="0.55000000000000004">
      <c r="BL337" s="5234"/>
      <c r="BM337" s="5234"/>
      <c r="BN337" s="5234"/>
    </row>
    <row r="338" spans="64:66" x14ac:dyDescent="0.55000000000000004">
      <c r="BL338" s="5234"/>
      <c r="BM338" s="5234"/>
      <c r="BN338" s="5234"/>
    </row>
    <row r="339" spans="64:66" x14ac:dyDescent="0.55000000000000004">
      <c r="BL339" s="5234"/>
      <c r="BM339" s="5234"/>
      <c r="BN339" s="5234"/>
    </row>
    <row r="340" spans="64:66" x14ac:dyDescent="0.55000000000000004">
      <c r="BL340" s="5234"/>
      <c r="BM340" s="5234"/>
      <c r="BN340" s="5234"/>
    </row>
    <row r="341" spans="64:66" x14ac:dyDescent="0.55000000000000004">
      <c r="BL341" s="5234"/>
      <c r="BM341" s="5234"/>
      <c r="BN341" s="5234"/>
    </row>
    <row r="342" spans="64:66" x14ac:dyDescent="0.55000000000000004">
      <c r="BL342" s="5234"/>
      <c r="BM342" s="5234"/>
      <c r="BN342" s="5234"/>
    </row>
    <row r="343" spans="64:66" x14ac:dyDescent="0.55000000000000004">
      <c r="BL343" s="5234"/>
      <c r="BM343" s="5234"/>
      <c r="BN343" s="5234"/>
    </row>
    <row r="344" spans="64:66" x14ac:dyDescent="0.55000000000000004">
      <c r="BL344" s="5234"/>
      <c r="BM344" s="5234"/>
      <c r="BN344" s="5234"/>
    </row>
    <row r="345" spans="64:66" x14ac:dyDescent="0.55000000000000004">
      <c r="BL345" s="5234"/>
      <c r="BM345" s="5234"/>
      <c r="BN345" s="5234"/>
    </row>
    <row r="346" spans="64:66" x14ac:dyDescent="0.55000000000000004">
      <c r="BL346" s="5234"/>
      <c r="BM346" s="5234"/>
      <c r="BN346" s="5234"/>
    </row>
    <row r="347" spans="64:66" x14ac:dyDescent="0.55000000000000004">
      <c r="BL347" s="5234"/>
      <c r="BM347" s="5234"/>
      <c r="BN347" s="5234"/>
    </row>
    <row r="348" spans="64:66" x14ac:dyDescent="0.55000000000000004">
      <c r="BL348" s="5234"/>
      <c r="BM348" s="5234"/>
      <c r="BN348" s="5234"/>
    </row>
    <row r="349" spans="64:66" x14ac:dyDescent="0.55000000000000004">
      <c r="BL349" s="5234"/>
      <c r="BM349" s="5234"/>
      <c r="BN349" s="5234"/>
    </row>
    <row r="350" spans="64:66" x14ac:dyDescent="0.55000000000000004">
      <c r="BL350" s="5234"/>
      <c r="BM350" s="5234"/>
      <c r="BN350" s="5234"/>
    </row>
    <row r="351" spans="64:66" x14ac:dyDescent="0.55000000000000004">
      <c r="BL351" s="5234"/>
      <c r="BM351" s="5234"/>
      <c r="BN351" s="5234"/>
    </row>
    <row r="352" spans="64:66" x14ac:dyDescent="0.55000000000000004">
      <c r="BL352" s="5234"/>
      <c r="BM352" s="5234"/>
      <c r="BN352" s="5234"/>
    </row>
    <row r="353" spans="64:66" x14ac:dyDescent="0.55000000000000004">
      <c r="BL353" s="5234"/>
      <c r="BM353" s="5234"/>
      <c r="BN353" s="5234"/>
    </row>
    <row r="354" spans="64:66" x14ac:dyDescent="0.55000000000000004">
      <c r="BL354" s="5234"/>
      <c r="BM354" s="5234"/>
      <c r="BN354" s="5234"/>
    </row>
    <row r="355" spans="64:66" x14ac:dyDescent="0.55000000000000004">
      <c r="BL355" s="5234"/>
      <c r="BM355" s="5234"/>
      <c r="BN355" s="5234"/>
    </row>
    <row r="356" spans="64:66" x14ac:dyDescent="0.55000000000000004">
      <c r="BL356" s="5234"/>
      <c r="BM356" s="5234"/>
      <c r="BN356" s="5234"/>
    </row>
    <row r="357" spans="64:66" x14ac:dyDescent="0.55000000000000004">
      <c r="BL357" s="5234"/>
      <c r="BM357" s="5234"/>
      <c r="BN357" s="5234"/>
    </row>
    <row r="358" spans="64:66" x14ac:dyDescent="0.55000000000000004">
      <c r="BL358" s="5234"/>
      <c r="BM358" s="5234"/>
      <c r="BN358" s="5234"/>
    </row>
    <row r="359" spans="64:66" x14ac:dyDescent="0.55000000000000004">
      <c r="BL359" s="5234"/>
      <c r="BM359" s="5234"/>
      <c r="BN359" s="5234"/>
    </row>
    <row r="360" spans="64:66" x14ac:dyDescent="0.55000000000000004">
      <c r="BL360" s="5234"/>
      <c r="BM360" s="5234"/>
      <c r="BN360" s="5234"/>
    </row>
    <row r="361" spans="64:66" x14ac:dyDescent="0.55000000000000004">
      <c r="BL361" s="5234"/>
      <c r="BM361" s="5234"/>
      <c r="BN361" s="5234"/>
    </row>
    <row r="362" spans="64:66" x14ac:dyDescent="0.55000000000000004">
      <c r="BL362" s="5234"/>
      <c r="BM362" s="5234"/>
      <c r="BN362" s="5234"/>
    </row>
    <row r="363" spans="64:66" x14ac:dyDescent="0.55000000000000004">
      <c r="BL363" s="5234"/>
      <c r="BM363" s="5234"/>
      <c r="BN363" s="5234"/>
    </row>
    <row r="364" spans="64:66" x14ac:dyDescent="0.55000000000000004">
      <c r="BL364" s="5234"/>
      <c r="BM364" s="5234"/>
      <c r="BN364" s="5234"/>
    </row>
    <row r="365" spans="64:66" x14ac:dyDescent="0.55000000000000004">
      <c r="BL365" s="5234"/>
      <c r="BM365" s="5234"/>
      <c r="BN365" s="5234"/>
    </row>
    <row r="366" spans="64:66" x14ac:dyDescent="0.55000000000000004">
      <c r="BL366" s="5234"/>
      <c r="BM366" s="5234"/>
      <c r="BN366" s="5234"/>
    </row>
    <row r="367" spans="64:66" x14ac:dyDescent="0.55000000000000004">
      <c r="BL367" s="5234"/>
      <c r="BM367" s="5234"/>
      <c r="BN367" s="5234"/>
    </row>
    <row r="368" spans="64:66" x14ac:dyDescent="0.55000000000000004">
      <c r="BL368" s="5234"/>
      <c r="BM368" s="5234"/>
      <c r="BN368" s="5234"/>
    </row>
    <row r="369" spans="64:66" x14ac:dyDescent="0.55000000000000004">
      <c r="BL369" s="5234"/>
      <c r="BM369" s="5234"/>
      <c r="BN369" s="5234"/>
    </row>
    <row r="370" spans="64:66" x14ac:dyDescent="0.55000000000000004">
      <c r="BL370" s="5234"/>
      <c r="BM370" s="5234"/>
      <c r="BN370" s="5234"/>
    </row>
    <row r="371" spans="64:66" x14ac:dyDescent="0.55000000000000004">
      <c r="BL371" s="5234"/>
      <c r="BM371" s="5234"/>
      <c r="BN371" s="5234"/>
    </row>
    <row r="372" spans="64:66" x14ac:dyDescent="0.55000000000000004">
      <c r="BL372" s="5234"/>
      <c r="BM372" s="5234"/>
      <c r="BN372" s="5234"/>
    </row>
    <row r="373" spans="64:66" x14ac:dyDescent="0.55000000000000004">
      <c r="BL373" s="5234"/>
      <c r="BM373" s="5234"/>
      <c r="BN373" s="5234"/>
    </row>
    <row r="374" spans="64:66" x14ac:dyDescent="0.55000000000000004">
      <c r="BL374" s="5234"/>
      <c r="BM374" s="5234"/>
      <c r="BN374" s="5234"/>
    </row>
    <row r="375" spans="64:66" x14ac:dyDescent="0.55000000000000004">
      <c r="BL375" s="5234"/>
      <c r="BM375" s="5234"/>
      <c r="BN375" s="5234"/>
    </row>
    <row r="376" spans="64:66" x14ac:dyDescent="0.55000000000000004">
      <c r="BL376" s="5234"/>
      <c r="BM376" s="5234"/>
      <c r="BN376" s="5234"/>
    </row>
    <row r="377" spans="64:66" x14ac:dyDescent="0.55000000000000004">
      <c r="BL377" s="5234"/>
      <c r="BM377" s="5234"/>
      <c r="BN377" s="5234"/>
    </row>
    <row r="378" spans="64:66" x14ac:dyDescent="0.55000000000000004">
      <c r="BL378" s="5234"/>
      <c r="BM378" s="5234"/>
      <c r="BN378" s="5234"/>
    </row>
    <row r="379" spans="64:66" x14ac:dyDescent="0.55000000000000004">
      <c r="BL379" s="5234"/>
      <c r="BM379" s="5234"/>
      <c r="BN379" s="5234"/>
    </row>
    <row r="380" spans="64:66" x14ac:dyDescent="0.55000000000000004">
      <c r="BL380" s="5234"/>
      <c r="BM380" s="5234"/>
      <c r="BN380" s="5234"/>
    </row>
    <row r="381" spans="64:66" x14ac:dyDescent="0.55000000000000004">
      <c r="BL381" s="5234"/>
      <c r="BM381" s="5234"/>
      <c r="BN381" s="5234"/>
    </row>
    <row r="382" spans="64:66" x14ac:dyDescent="0.55000000000000004">
      <c r="BL382" s="5234"/>
      <c r="BM382" s="5234"/>
      <c r="BN382" s="5234"/>
    </row>
    <row r="383" spans="64:66" x14ac:dyDescent="0.55000000000000004">
      <c r="BL383" s="5234"/>
      <c r="BM383" s="5234"/>
      <c r="BN383" s="5234"/>
    </row>
    <row r="384" spans="64:66" x14ac:dyDescent="0.55000000000000004">
      <c r="BL384" s="5234"/>
      <c r="BM384" s="5234"/>
      <c r="BN384" s="5234"/>
    </row>
    <row r="385" spans="64:66" x14ac:dyDescent="0.55000000000000004">
      <c r="BL385" s="5234"/>
      <c r="BM385" s="5234"/>
      <c r="BN385" s="5234"/>
    </row>
    <row r="386" spans="64:66" x14ac:dyDescent="0.55000000000000004">
      <c r="BL386" s="5234"/>
      <c r="BM386" s="5234"/>
      <c r="BN386" s="5234"/>
    </row>
    <row r="387" spans="64:66" x14ac:dyDescent="0.55000000000000004">
      <c r="BL387" s="5234"/>
      <c r="BM387" s="5234"/>
      <c r="BN387" s="5234"/>
    </row>
    <row r="388" spans="64:66" x14ac:dyDescent="0.55000000000000004">
      <c r="BL388" s="5234"/>
      <c r="BM388" s="5234"/>
      <c r="BN388" s="5234"/>
    </row>
    <row r="389" spans="64:66" x14ac:dyDescent="0.55000000000000004">
      <c r="BL389" s="5234"/>
      <c r="BM389" s="5234"/>
      <c r="BN389" s="5234"/>
    </row>
    <row r="390" spans="64:66" x14ac:dyDescent="0.55000000000000004">
      <c r="BL390" s="5234"/>
      <c r="BM390" s="5234"/>
      <c r="BN390" s="5234"/>
    </row>
    <row r="391" spans="64:66" x14ac:dyDescent="0.55000000000000004">
      <c r="BL391" s="5234"/>
      <c r="BM391" s="5234"/>
      <c r="BN391" s="5234"/>
    </row>
    <row r="392" spans="64:66" x14ac:dyDescent="0.55000000000000004">
      <c r="BL392" s="5234"/>
      <c r="BM392" s="5234"/>
      <c r="BN392" s="5234"/>
    </row>
    <row r="393" spans="64:66" x14ac:dyDescent="0.55000000000000004">
      <c r="BL393" s="5234"/>
      <c r="BM393" s="5234"/>
      <c r="BN393" s="5234"/>
    </row>
    <row r="394" spans="64:66" x14ac:dyDescent="0.55000000000000004">
      <c r="BL394" s="5234"/>
      <c r="BM394" s="5234"/>
      <c r="BN394" s="5234"/>
    </row>
    <row r="395" spans="64:66" x14ac:dyDescent="0.55000000000000004">
      <c r="BL395" s="5234"/>
      <c r="BM395" s="5234"/>
      <c r="BN395" s="5234"/>
    </row>
    <row r="396" spans="64:66" x14ac:dyDescent="0.55000000000000004">
      <c r="BL396" s="5234"/>
      <c r="BM396" s="5234"/>
      <c r="BN396" s="5234"/>
    </row>
    <row r="397" spans="64:66" x14ac:dyDescent="0.55000000000000004">
      <c r="BL397" s="5234"/>
      <c r="BM397" s="5234"/>
      <c r="BN397" s="5234"/>
    </row>
    <row r="398" spans="64:66" x14ac:dyDescent="0.55000000000000004">
      <c r="BL398" s="5234"/>
      <c r="BM398" s="5234"/>
      <c r="BN398" s="5234"/>
    </row>
    <row r="399" spans="64:66" x14ac:dyDescent="0.55000000000000004">
      <c r="BL399" s="5234"/>
      <c r="BM399" s="5234"/>
      <c r="BN399" s="5234"/>
    </row>
    <row r="400" spans="64:66" x14ac:dyDescent="0.55000000000000004">
      <c r="BL400" s="5234"/>
      <c r="BM400" s="5234"/>
      <c r="BN400" s="5234"/>
    </row>
    <row r="401" spans="64:66" x14ac:dyDescent="0.55000000000000004">
      <c r="BL401" s="5234"/>
      <c r="BM401" s="5234"/>
      <c r="BN401" s="5234"/>
    </row>
    <row r="402" spans="64:66" x14ac:dyDescent="0.55000000000000004">
      <c r="BL402" s="5234"/>
      <c r="BM402" s="5234"/>
      <c r="BN402" s="5234"/>
    </row>
    <row r="403" spans="64:66" x14ac:dyDescent="0.55000000000000004">
      <c r="BL403" s="5234"/>
      <c r="BM403" s="5234"/>
      <c r="BN403" s="5234"/>
    </row>
    <row r="404" spans="64:66" x14ac:dyDescent="0.55000000000000004">
      <c r="BL404" s="5234"/>
      <c r="BM404" s="5234"/>
      <c r="BN404" s="5234"/>
    </row>
    <row r="405" spans="64:66" x14ac:dyDescent="0.55000000000000004">
      <c r="BL405" s="5234"/>
      <c r="BM405" s="5234"/>
      <c r="BN405" s="5234"/>
    </row>
    <row r="406" spans="64:66" x14ac:dyDescent="0.55000000000000004">
      <c r="BL406" s="5234"/>
      <c r="BM406" s="5234"/>
      <c r="BN406" s="5234"/>
    </row>
    <row r="407" spans="64:66" x14ac:dyDescent="0.55000000000000004">
      <c r="BL407" s="5234"/>
      <c r="BM407" s="5234"/>
      <c r="BN407" s="5234"/>
    </row>
    <row r="408" spans="64:66" x14ac:dyDescent="0.55000000000000004">
      <c r="BL408" s="5234"/>
      <c r="BM408" s="5234"/>
      <c r="BN408" s="5234"/>
    </row>
    <row r="409" spans="64:66" x14ac:dyDescent="0.55000000000000004">
      <c r="BL409" s="5234"/>
      <c r="BM409" s="5234"/>
      <c r="BN409" s="5234"/>
    </row>
    <row r="410" spans="64:66" x14ac:dyDescent="0.55000000000000004">
      <c r="BL410" s="5234"/>
      <c r="BM410" s="5234"/>
      <c r="BN410" s="5234"/>
    </row>
    <row r="411" spans="64:66" x14ac:dyDescent="0.55000000000000004">
      <c r="BL411" s="5234"/>
      <c r="BM411" s="5234"/>
      <c r="BN411" s="5234"/>
    </row>
    <row r="412" spans="64:66" x14ac:dyDescent="0.55000000000000004">
      <c r="BL412" s="5234"/>
      <c r="BM412" s="5234"/>
      <c r="BN412" s="5234"/>
    </row>
    <row r="413" spans="64:66" x14ac:dyDescent="0.55000000000000004">
      <c r="BL413" s="5234"/>
      <c r="BM413" s="5234"/>
      <c r="BN413" s="5234"/>
    </row>
    <row r="414" spans="64:66" x14ac:dyDescent="0.55000000000000004">
      <c r="BL414" s="5234"/>
      <c r="BM414" s="5234"/>
      <c r="BN414" s="5234"/>
    </row>
  </sheetData>
  <mergeCells count="15">
    <mergeCell ref="A2:BJ2"/>
    <mergeCell ref="AW5:BJ5"/>
    <mergeCell ref="A26:B35"/>
    <mergeCell ref="T5:AG5"/>
    <mergeCell ref="AI5:AV5"/>
    <mergeCell ref="A7:B15"/>
    <mergeCell ref="A16:B25"/>
    <mergeCell ref="A95:B104"/>
    <mergeCell ref="A106:B110"/>
    <mergeCell ref="A36:B45"/>
    <mergeCell ref="A55:B64"/>
    <mergeCell ref="A65:B74"/>
    <mergeCell ref="A75:B84"/>
    <mergeCell ref="A85:B94"/>
    <mergeCell ref="A46:B54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5" fitToHeight="0" orientation="landscape" r:id="rId1"/>
  <headerFooter scaleWithDoc="0">
    <oddFooter>&amp;R&amp;"-,기울임꼴"&amp;8&amp;P &amp; 페이지</oddFooter>
  </headerFooter>
  <rowBreaks count="1" manualBreakCount="1">
    <brk id="54" max="6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7" tint="0.79998168889431442"/>
    <pageSetUpPr fitToPage="1"/>
  </sheetPr>
  <dimension ref="A1:BJ119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AG13" sqref="AG13"/>
    </sheetView>
  </sheetViews>
  <sheetFormatPr defaultRowHeight="15" x14ac:dyDescent="0.55000000000000004"/>
  <cols>
    <col min="1" max="1" width="16.42578125" style="2441" customWidth="1"/>
    <col min="2" max="2" width="2.2109375" style="2441" customWidth="1"/>
    <col min="3" max="3" width="13.35546875" style="2441" customWidth="1"/>
    <col min="4" max="5" width="10.85546875" style="2441" customWidth="1"/>
    <col min="6" max="14" width="11.640625" style="2441" customWidth="1"/>
    <col min="15" max="17" width="11.85546875" style="2441" customWidth="1"/>
    <col min="18" max="18" width="9.5" style="2441" customWidth="1"/>
    <col min="19" max="20" width="9.7109375" style="2441" customWidth="1"/>
    <col min="21" max="21" width="10.640625" style="2441" customWidth="1"/>
    <col min="22" max="22" width="13.5" style="2441" customWidth="1"/>
    <col min="23" max="23" width="11.640625" style="2441" customWidth="1"/>
    <col min="24" max="25" width="10.640625" style="2441" customWidth="1"/>
    <col min="26" max="26" width="12.5703125" style="2441" customWidth="1"/>
    <col min="27" max="27" width="11.640625" style="2441" customWidth="1"/>
    <col min="28" max="28" width="10.640625" style="2441" customWidth="1"/>
    <col min="29" max="29" width="6.640625" style="5359" customWidth="1"/>
    <col min="30" max="30" width="6.640625" style="5360" customWidth="1"/>
    <col min="31" max="33" width="9.140625" style="2441"/>
    <col min="34" max="46" width="12.42578125" style="2441" customWidth="1"/>
    <col min="47" max="48" width="12.42578125" style="2441" hidden="1" customWidth="1"/>
    <col min="49" max="50" width="12.42578125" style="2441" customWidth="1"/>
    <col min="51" max="16384" width="9.140625" style="2441"/>
  </cols>
  <sheetData>
    <row r="1" spans="1:62" ht="16.3" x14ac:dyDescent="0.55000000000000004">
      <c r="D1" s="3468" t="s">
        <v>663</v>
      </c>
      <c r="E1" s="3468" t="s">
        <v>462</v>
      </c>
      <c r="F1" s="4029" t="s">
        <v>738</v>
      </c>
      <c r="G1" s="4029" t="s">
        <v>466</v>
      </c>
      <c r="H1" s="4029" t="s">
        <v>467</v>
      </c>
      <c r="I1" s="4029" t="s">
        <v>468</v>
      </c>
      <c r="J1" s="4029" t="s">
        <v>472</v>
      </c>
      <c r="K1" s="4029" t="s">
        <v>927</v>
      </c>
      <c r="L1" s="4029" t="s">
        <v>740</v>
      </c>
      <c r="M1" s="4029" t="s">
        <v>874</v>
      </c>
      <c r="N1" s="4029" t="s">
        <v>875</v>
      </c>
      <c r="O1" s="4029" t="s">
        <v>876</v>
      </c>
      <c r="P1" s="4029" t="s">
        <v>877</v>
      </c>
      <c r="Q1" s="4029" t="s">
        <v>878</v>
      </c>
      <c r="R1" s="5355" t="s">
        <v>1177</v>
      </c>
      <c r="S1" s="5355" t="s">
        <v>881</v>
      </c>
      <c r="T1" s="5355" t="s">
        <v>882</v>
      </c>
      <c r="U1" s="4029" t="s">
        <v>947</v>
      </c>
      <c r="V1" s="4029" t="s">
        <v>804</v>
      </c>
      <c r="W1" s="4029" t="s">
        <v>879</v>
      </c>
      <c r="X1" s="4029" t="s">
        <v>881</v>
      </c>
      <c r="Y1" s="4029" t="s">
        <v>938</v>
      </c>
      <c r="Z1" s="4029" t="s">
        <v>938</v>
      </c>
      <c r="AA1" s="4029" t="s">
        <v>880</v>
      </c>
      <c r="AB1" s="4029" t="s">
        <v>881</v>
      </c>
      <c r="AC1" s="3693" t="s">
        <v>474</v>
      </c>
      <c r="AD1" s="5356" t="s">
        <v>475</v>
      </c>
    </row>
    <row r="2" spans="1:62" ht="14.5" customHeight="1" thickBot="1" x14ac:dyDescent="0.6">
      <c r="C2" s="4032">
        <f>'2-(1) 수수료 기준_가입자(무선)'!A1-0.001</f>
        <v>12</v>
      </c>
      <c r="D2" s="4032"/>
      <c r="E2" s="4032"/>
      <c r="F2" s="4029" t="s">
        <v>738</v>
      </c>
      <c r="G2" s="4029" t="s">
        <v>466</v>
      </c>
      <c r="H2" s="4029" t="s">
        <v>467</v>
      </c>
      <c r="I2" s="4029" t="s">
        <v>468</v>
      </c>
      <c r="J2" s="4029" t="s">
        <v>472</v>
      </c>
      <c r="K2" s="4029" t="s">
        <v>927</v>
      </c>
      <c r="L2" s="4029" t="s">
        <v>740</v>
      </c>
      <c r="M2" s="4029" t="s">
        <v>874</v>
      </c>
      <c r="N2" s="4029" t="s">
        <v>875</v>
      </c>
      <c r="O2" s="4029" t="s">
        <v>876</v>
      </c>
      <c r="P2" s="4029" t="s">
        <v>877</v>
      </c>
      <c r="Q2" s="4029" t="s">
        <v>878</v>
      </c>
      <c r="R2" s="4028"/>
      <c r="U2" s="2441" t="s">
        <v>882</v>
      </c>
      <c r="V2" s="2441" t="s">
        <v>881</v>
      </c>
      <c r="Z2" s="2441" t="s">
        <v>947</v>
      </c>
      <c r="AC2" s="5357"/>
      <c r="AD2" s="5358"/>
    </row>
    <row r="3" spans="1:62" ht="60" customHeight="1" thickTop="1" thickBot="1" x14ac:dyDescent="0.6">
      <c r="A3" s="7078" t="s">
        <v>912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7078"/>
      <c r="Y3" s="7078"/>
      <c r="Z3" s="7078"/>
      <c r="AA3" s="7078"/>
      <c r="AB3" s="7107"/>
    </row>
    <row r="4" spans="1:62" s="2444" customFormat="1" ht="15.55" customHeight="1" thickTop="1" thickBot="1" x14ac:dyDescent="0.6">
      <c r="A4" s="2447"/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F4" s="2449"/>
      <c r="BG4" s="2449"/>
      <c r="BH4" s="2449"/>
      <c r="BI4" s="2449"/>
      <c r="BJ4" s="2449"/>
    </row>
    <row r="5" spans="1:62" ht="16.75" thickBot="1" x14ac:dyDescent="0.6">
      <c r="B5" s="2450"/>
      <c r="C5" s="2450"/>
      <c r="D5" s="2450"/>
      <c r="E5" s="3313"/>
      <c r="F5" s="7152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60"/>
      <c r="T5" s="7160"/>
      <c r="U5" s="7160"/>
      <c r="V5" s="7193"/>
      <c r="W5" s="7086" t="str">
        <f>"연간누적실적(~"&amp;C2&amp;"월)"</f>
        <v>연간누적실적(~12월)</v>
      </c>
      <c r="X5" s="7087"/>
      <c r="Y5" s="7087"/>
      <c r="Z5" s="7087"/>
      <c r="AA5" s="7087"/>
      <c r="AB5" s="7113"/>
    </row>
    <row r="6" spans="1:62" ht="16.75" thickBot="1" x14ac:dyDescent="0.6">
      <c r="A6" s="2441" t="s">
        <v>156</v>
      </c>
      <c r="B6" s="7174" t="s">
        <v>646</v>
      </c>
      <c r="C6" s="7175"/>
      <c r="D6" s="5361" t="s">
        <v>888</v>
      </c>
      <c r="E6" s="5362" t="s">
        <v>889</v>
      </c>
      <c r="F6" s="2996" t="str" cm="1">
        <f t="array" aca="1" ref="F6" ca="1">INDIRECT("'※ 수수료 기준_가입자'!"&amp;F$2&amp;$AC6, TRUE)</f>
        <v>'25.1월</v>
      </c>
      <c r="G6" s="2429" t="str" cm="1">
        <f t="array" aca="1" ref="G6" ca="1">INDIRECT("'※ 수수료 기준_가입자'!"&amp;G$2&amp;$AC6, TRUE)</f>
        <v>'25.2월</v>
      </c>
      <c r="H6" s="2429" t="str" cm="1">
        <f t="array" aca="1" ref="H6" ca="1">INDIRECT("'※ 수수료 기준_가입자'!"&amp;H$2&amp;$AC6, TRUE)</f>
        <v>'25.3월</v>
      </c>
      <c r="I6" s="2429" t="str" cm="1">
        <f t="array" aca="1" ref="I6" ca="1">INDIRECT("'※ 수수료 기준_가입자'!"&amp;I$2&amp;$AC6, TRUE)</f>
        <v>'25.4월</v>
      </c>
      <c r="J6" s="2429" t="str" cm="1">
        <f t="array" aca="1" ref="J6" ca="1">INDIRECT("'※ 수수료 기준_가입자'!"&amp;J$2&amp;$AC6, TRUE)</f>
        <v>'25.5월</v>
      </c>
      <c r="K6" s="2429" t="str" cm="1">
        <f t="array" aca="1" ref="K6" ca="1">INDIRECT("'※ 수수료 기준_가입자'!"&amp;K$2&amp;$AC6, TRUE)</f>
        <v>'25.6월</v>
      </c>
      <c r="L6" s="2429" t="str" cm="1">
        <f t="array" aca="1" ref="L6" ca="1">INDIRECT("'※ 수수료 기준_가입자'!"&amp;L$2&amp;$AC6, TRUE)</f>
        <v>'25.7월</v>
      </c>
      <c r="M6" s="2429" t="str" cm="1">
        <f t="array" aca="1" ref="M6" ca="1">INDIRECT("'※ 수수료 기준_가입자'!"&amp;M$2&amp;$AC6, TRUE)</f>
        <v>'25.8월</v>
      </c>
      <c r="N6" s="2429" t="str" cm="1">
        <f t="array" aca="1" ref="N6" ca="1">INDIRECT("'※ 수수료 기준_가입자'!"&amp;N$2&amp;$AC6, TRUE)</f>
        <v>'25.9월</v>
      </c>
      <c r="O6" s="2429" t="str" cm="1">
        <f t="array" aca="1" ref="O6" ca="1">INDIRECT("'※ 수수료 기준_가입자'!"&amp;O$2&amp;$AC6, TRUE)</f>
        <v>'25.10월</v>
      </c>
      <c r="P6" s="2429" t="str" cm="1">
        <f t="array" aca="1" ref="P6" ca="1">INDIRECT("'※ 수수료 기준_가입자'!"&amp;P$2&amp;$AC6, TRUE)</f>
        <v>'25.11월</v>
      </c>
      <c r="Q6" s="2429" t="str" cm="1">
        <f t="array" aca="1" ref="Q6" ca="1">INDIRECT("'※ 수수료 기준_가입자'!"&amp;Q$2&amp;$AC6, TRUE)</f>
        <v>'25.12월</v>
      </c>
      <c r="R6" s="4715" t="str">
        <f>C2&amp;"월 목표"</f>
        <v>12월 목표</v>
      </c>
      <c r="S6" s="4715" t="s">
        <v>8</v>
      </c>
      <c r="T6" s="4715" t="s">
        <v>9</v>
      </c>
      <c r="U6" s="4714" t="s">
        <v>133</v>
      </c>
      <c r="V6" s="5363" t="s">
        <v>463</v>
      </c>
      <c r="W6" s="4716" t="s">
        <v>45</v>
      </c>
      <c r="X6" s="3318" t="s">
        <v>8</v>
      </c>
      <c r="Y6" s="3318" t="s">
        <v>9</v>
      </c>
      <c r="Z6" s="3318" t="s">
        <v>609</v>
      </c>
      <c r="AA6" s="3319" t="s">
        <v>46</v>
      </c>
      <c r="AB6" s="3001" t="s">
        <v>1108</v>
      </c>
      <c r="AC6" s="5364">
        <f>ROW('※ 수수료 기준_가입자'!Y3)</f>
        <v>3</v>
      </c>
    </row>
    <row r="7" spans="1:62" x14ac:dyDescent="0.55000000000000004">
      <c r="A7" s="7179" t="s">
        <v>85</v>
      </c>
      <c r="B7" s="3004" t="s">
        <v>44</v>
      </c>
      <c r="C7" s="3005"/>
      <c r="D7" s="3321" cm="1">
        <f t="array" aca="1" ref="D7" ca="1">INDIRECT("'※ 수수료 기준_가입자'!"&amp;D$1&amp;$AC7, TRUE)</f>
        <v>362563</v>
      </c>
      <c r="E7" s="5365" cm="1">
        <f t="array" aca="1" ref="E7" ca="1">INDIRECT("'※ 수수료 기준_가입자'!"&amp;E$1&amp;$AC7, TRUE)</f>
        <v>299670</v>
      </c>
      <c r="F7" s="3322" cm="1">
        <f t="array" aca="1" ref="F7" ca="1">INDIRECT("'※ 수수료 기준_가입자'!"&amp;F$1&amp;$AC7, TRUE)</f>
        <v>293230</v>
      </c>
      <c r="G7" s="3323" cm="1">
        <f t="array" aca="1" ref="G7" ca="1">INDIRECT("'※ 수수료 기준_가입자'!"&amp;G$1&amp;$AC7, TRUE)</f>
        <v>289323</v>
      </c>
      <c r="H7" s="3323" cm="1">
        <f t="array" aca="1" ref="H7" ca="1">INDIRECT("'※ 수수료 기준_가입자'!"&amp;H$1&amp;$AC7, TRUE)</f>
        <v>283808</v>
      </c>
      <c r="I7" s="3323" cm="1">
        <f t="array" aca="1" ref="I7" ca="1">INDIRECT("'※ 수수료 기준_가입자'!"&amp;I$1&amp;$AC7, TRUE)</f>
        <v>279924</v>
      </c>
      <c r="J7" s="3323" cm="1">
        <f t="array" aca="1" ref="J7" ca="1">INDIRECT("'※ 수수료 기준_가입자'!"&amp;J$1&amp;$AC7, TRUE)</f>
        <v>279331</v>
      </c>
      <c r="K7" s="3323" cm="1">
        <f t="array" aca="1" ref="K7" ca="1">INDIRECT("'※ 수수료 기준_가입자'!"&amp;K$1&amp;$AC7, TRUE)</f>
        <v>275030</v>
      </c>
      <c r="L7" s="3323" cm="1">
        <f t="array" aca="1" ref="L7" ca="1">INDIRECT("'※ 수수료 기준_가입자'!"&amp;L$1&amp;$AC7, TRUE)</f>
        <v>273151</v>
      </c>
      <c r="M7" s="3323" cm="1">
        <f t="array" aca="1" ref="M7" ca="1">INDIRECT("'※ 수수료 기준_가입자'!"&amp;M$1&amp;$AC7, TRUE)</f>
        <v>269333</v>
      </c>
      <c r="N7" s="3323" cm="1">
        <f t="array" aca="1" ref="N7" ca="1">INDIRECT("'※ 수수료 기준_가입자'!"&amp;N$1&amp;$AC7, TRUE)</f>
        <v>266054</v>
      </c>
      <c r="O7" s="3323" cm="1">
        <f t="array" aca="1" ref="O7" ca="1">INDIRECT("'※ 수수료 기준_가입자'!"&amp;O$1&amp;$AC7, TRUE)</f>
        <v>260645</v>
      </c>
      <c r="P7" s="3323" cm="1">
        <f t="array" aca="1" ref="P7" ca="1">INDIRECT("'※ 수수료 기준_가입자'!"&amp;P$1&amp;$AC7, TRUE)</f>
        <v>254480</v>
      </c>
      <c r="Q7" s="3323" cm="1">
        <f t="array" aca="1" ref="Q7" ca="1">INDIRECT("'※ 수수료 기준_가입자'!"&amp;Q$1&amp;$AC7, TRUE)</f>
        <v>265343</v>
      </c>
      <c r="R7" s="5366"/>
      <c r="S7" s="5366"/>
      <c r="T7" s="5367"/>
      <c r="U7" s="3051" cm="1">
        <f t="array" aca="1" ref="U7" ca="1">INDIRECT("'※ 수수료 기준_가입자'!"&amp;U$1&amp;$AC7, TRUE)</f>
        <v>10863</v>
      </c>
      <c r="V7" s="3051" cm="1">
        <f t="array" aca="1" ref="V7" ca="1">INDIRECT("'※ 수수료 기준_가입자'!"&amp;V$1&amp;$AC7, TRUE)</f>
        <v>-34327</v>
      </c>
      <c r="W7" s="3325" cm="1">
        <f t="array" aca="1" ref="W7" ca="1">INDIRECT("'※ 수수료 기준_가입자'!"&amp;W$1&amp;$AC7, TRUE)</f>
        <v>265343</v>
      </c>
      <c r="X7" s="5368"/>
      <c r="Y7" s="5366"/>
      <c r="Z7" s="3051" cm="1">
        <f t="array" aca="1" ref="Z7" ca="1">INDIRECT("'※ 수수료 기준_가입자'!"&amp;Z$1&amp;$AC7, TRUE)</f>
        <v>-34327</v>
      </c>
      <c r="AA7" s="3326" cm="1">
        <f t="array" aca="1" ref="AA7" ca="1">INDIRECT("'※ 수수료 기준_가입자'!"&amp;AA$1&amp;$AC7, TRUE)</f>
        <v>274137.66666666669</v>
      </c>
      <c r="AB7" s="5369" cm="1">
        <f t="array" aca="1" ref="AB7" ca="1">INDIRECT("'※ 수수료 기준_가입자'!"&amp;AB$1&amp;$AC7, TRUE)</f>
        <v>-57758.166666666628</v>
      </c>
      <c r="AC7" s="5364">
        <f>ROW('※ 수수료 기준_가입자'!Y43)</f>
        <v>43</v>
      </c>
    </row>
    <row r="8" spans="1:62" x14ac:dyDescent="0.55000000000000004">
      <c r="A8" s="7180"/>
      <c r="B8" s="3228" t="s">
        <v>47</v>
      </c>
      <c r="C8" s="2493"/>
      <c r="D8" s="5370" cm="1">
        <f t="array" aca="1" ref="D8" ca="1">INDIRECT("'※ 수수료 기준_가입자'!"&amp;D$1&amp;$AC8, TRUE)</f>
        <v>92868</v>
      </c>
      <c r="E8" s="5371" cm="1">
        <f t="array" aca="1" ref="E8" ca="1">INDIRECT("'※ 수수료 기준_가입자'!"&amp;E$1&amp;$AC8, TRUE)</f>
        <v>102519</v>
      </c>
      <c r="F8" s="5372" cm="1">
        <f t="array" aca="1" ref="F8" ca="1">INDIRECT("'※ 수수료 기준_가입자'!"&amp;F$1&amp;$AC8, TRUE)</f>
        <v>6847</v>
      </c>
      <c r="G8" s="5371" cm="1">
        <f t="array" aca="1" ref="G8" ca="1">INDIRECT("'※ 수수료 기준_가입자'!"&amp;G$1&amp;$AC8, TRUE)</f>
        <v>10197</v>
      </c>
      <c r="H8" s="5371" cm="1">
        <f t="array" aca="1" ref="H8" ca="1">INDIRECT("'※ 수수료 기준_가입자'!"&amp;H$1&amp;$AC8, TRUE)</f>
        <v>8908</v>
      </c>
      <c r="I8" s="5371" cm="1">
        <f t="array" aca="1" ref="I8" ca="1">INDIRECT("'※ 수수료 기준_가입자'!"&amp;I$1&amp;$AC8, TRUE)</f>
        <v>9832</v>
      </c>
      <c r="J8" s="5371" cm="1">
        <f t="array" aca="1" ref="J8" ca="1">INDIRECT("'※ 수수료 기준_가입자'!"&amp;J$1&amp;$AC8, TRUE)</f>
        <v>17314</v>
      </c>
      <c r="K8" s="5371" cm="1">
        <f t="array" aca="1" ref="K8" ca="1">INDIRECT("'※ 수수료 기준_가입자'!"&amp;K$1&amp;$AC8, TRUE)</f>
        <v>11650</v>
      </c>
      <c r="L8" s="5371" cm="1">
        <f t="array" aca="1" ref="L8" ca="1">INDIRECT("'※ 수수료 기준_가입자'!"&amp;L$1&amp;$AC8, TRUE)</f>
        <v>13532</v>
      </c>
      <c r="M8" s="5371" cm="1">
        <f t="array" aca="1" ref="M8" ca="1">INDIRECT("'※ 수수료 기준_가입자'!"&amp;M$1&amp;$AC8, TRUE)</f>
        <v>11128</v>
      </c>
      <c r="N8" s="5371" cm="1">
        <f t="array" aca="1" ref="N8" ca="1">INDIRECT("'※ 수수료 기준_가입자'!"&amp;N$1&amp;$AC8, TRUE)</f>
        <v>11339</v>
      </c>
      <c r="O8" s="5371" cm="1">
        <f t="array" aca="1" ref="O8" ca="1">INDIRECT("'※ 수수료 기준_가입자'!"&amp;O$1&amp;$AC8, TRUE)</f>
        <v>7545</v>
      </c>
      <c r="P8" s="5371" cm="1">
        <f t="array" aca="1" ref="P8" ca="1">INDIRECT("'※ 수수료 기준_가입자'!"&amp;P$1&amp;$AC8, TRUE)</f>
        <v>7481</v>
      </c>
      <c r="Q8" s="5371" cm="1">
        <f t="array" aca="1" ref="Q8" ca="1">INDIRECT("'※ 수수료 기준_가입자'!"&amp;Q$1&amp;$AC8, TRUE)</f>
        <v>7134</v>
      </c>
      <c r="R8" s="4351"/>
      <c r="S8" s="4351"/>
      <c r="T8" s="5373"/>
      <c r="U8" s="5374" cm="1">
        <f t="array" aca="1" ref="U8" ca="1">INDIRECT("'※ 수수료 기준_가입자'!"&amp;U$1&amp;$AC8, TRUE)</f>
        <v>-347</v>
      </c>
      <c r="V8" s="5375" cm="1">
        <f t="array" aca="1" ref="V8" ca="1">INDIRECT("'※ 수수료 기준_가입자'!"&amp;V$1&amp;$AC8, TRUE)</f>
        <v>-357</v>
      </c>
      <c r="W8" s="5376" cm="1">
        <f t="array" aca="1" ref="W8" ca="1">INDIRECT("'※ 수수료 기준_가입자'!"&amp;W$1&amp;$AC8, TRUE)</f>
        <v>122907</v>
      </c>
      <c r="X8" s="5377"/>
      <c r="Y8" s="4351"/>
      <c r="Z8" s="5378" cm="1">
        <f t="array" aca="1" ref="Z8" ca="1">INDIRECT("'※ 수수료 기준_가입자'!"&amp;Z$1&amp;$AC8, TRUE)</f>
        <v>27879</v>
      </c>
      <c r="AA8" s="5379" cm="1">
        <f t="array" aca="1" ref="AA8" ca="1">INDIRECT("'※ 수수료 기준_가입자'!"&amp;AA$1&amp;$AC8, TRUE)</f>
        <v>10242.25</v>
      </c>
      <c r="AB8" s="5380" cm="1">
        <f t="array" aca="1" ref="AB8" ca="1">INDIRECT("'※ 수수료 기준_가입자'!"&amp;AB$1&amp;$AC8, TRUE)</f>
        <v>1699</v>
      </c>
      <c r="AC8" s="5364">
        <f>ROW('※ 수수료 기준_가입자'!Y44)</f>
        <v>44</v>
      </c>
    </row>
    <row r="9" spans="1:62" x14ac:dyDescent="0.55000000000000004">
      <c r="A9" s="7180"/>
      <c r="B9" s="2493" t="s">
        <v>48</v>
      </c>
      <c r="C9" s="2493"/>
      <c r="D9" s="5370" cm="1">
        <f t="array" aca="1" ref="D9" ca="1">INDIRECT("'※ 수수료 기준_가입자'!"&amp;D$1&amp;$AC9, TRUE)</f>
        <v>47015</v>
      </c>
      <c r="E9" s="5371" cm="1">
        <f t="array" aca="1" ref="E9" ca="1">INDIRECT("'※ 수수료 기준_가입자'!"&amp;E$1&amp;$AC9, TRUE)</f>
        <v>42266</v>
      </c>
      <c r="F9" s="5372" cm="1">
        <f t="array" aca="1" ref="F9" ca="1">INDIRECT("'※ 수수료 기준_가입자'!"&amp;F$1&amp;$AC9, TRUE)</f>
        <v>2845</v>
      </c>
      <c r="G9" s="5371" cm="1">
        <f t="array" aca="1" ref="G9" ca="1">INDIRECT("'※ 수수료 기준_가입자'!"&amp;G$1&amp;$AC9, TRUE)</f>
        <v>3689</v>
      </c>
      <c r="H9" s="5371" cm="1">
        <f t="array" aca="1" ref="H9" ca="1">INDIRECT("'※ 수수료 기준_가입자'!"&amp;H$1&amp;$AC9, TRUE)</f>
        <v>3594</v>
      </c>
      <c r="I9" s="5371" cm="1">
        <f t="array" aca="1" ref="I9" ca="1">INDIRECT("'※ 수수료 기준_가입자'!"&amp;I$1&amp;$AC9, TRUE)</f>
        <v>3559</v>
      </c>
      <c r="J9" s="5371" cm="1">
        <f t="array" aca="1" ref="J9" ca="1">INDIRECT("'※ 수수료 기준_가입자'!"&amp;J$1&amp;$AC9, TRUE)</f>
        <v>3118</v>
      </c>
      <c r="K9" s="5371" cm="1">
        <f t="array" aca="1" ref="K9" ca="1">INDIRECT("'※ 수수료 기준_가입자'!"&amp;K$1&amp;$AC9, TRUE)</f>
        <v>3230</v>
      </c>
      <c r="L9" s="5371" cm="1">
        <f t="array" aca="1" ref="L9" ca="1">INDIRECT("'※ 수수료 기준_가입자'!"&amp;L$1&amp;$AC9, TRUE)</f>
        <v>3142</v>
      </c>
      <c r="M9" s="5371" cm="1">
        <f t="array" aca="1" ref="M9" ca="1">INDIRECT("'※ 수수료 기준_가입자'!"&amp;M$1&amp;$AC9, TRUE)</f>
        <v>2748</v>
      </c>
      <c r="N9" s="5371" cm="1">
        <f t="array" aca="1" ref="N9" ca="1">INDIRECT("'※ 수수료 기준_가입자'!"&amp;N$1&amp;$AC9, TRUE)</f>
        <v>3047</v>
      </c>
      <c r="O9" s="5371" cm="1">
        <f t="array" aca="1" ref="O9" ca="1">INDIRECT("'※ 수수료 기준_가입자'!"&amp;O$1&amp;$AC9, TRUE)</f>
        <v>3030</v>
      </c>
      <c r="P9" s="5371" cm="1">
        <f t="array" aca="1" ref="P9" ca="1">INDIRECT("'※ 수수료 기준_가입자'!"&amp;P$1&amp;$AC9, TRUE)</f>
        <v>2850</v>
      </c>
      <c r="Q9" s="5371" cm="1">
        <f t="array" aca="1" ref="Q9" ca="1">INDIRECT("'※ 수수료 기준_가입자'!"&amp;Q$1&amp;$AC9, TRUE)</f>
        <v>3051</v>
      </c>
      <c r="R9" s="4351"/>
      <c r="S9" s="4351"/>
      <c r="T9" s="5373"/>
      <c r="U9" s="5374" cm="1">
        <f t="array" aca="1" ref="U9" ca="1">INDIRECT("'※ 수수료 기준_가입자'!"&amp;U$1&amp;$AC9, TRUE)</f>
        <v>201</v>
      </c>
      <c r="V9" s="5375" cm="1">
        <f t="array" aca="1" ref="V9" ca="1">INDIRECT("'※ 수수료 기준_가입자'!"&amp;V$1&amp;$AC9, TRUE)</f>
        <v>384</v>
      </c>
      <c r="W9" s="5376" cm="1">
        <f t="array" aca="1" ref="W9" ca="1">INDIRECT("'※ 수수료 기준_가입자'!"&amp;W$1&amp;$AC9, TRUE)</f>
        <v>37903</v>
      </c>
      <c r="X9" s="5377"/>
      <c r="Y9" s="4351"/>
      <c r="Z9" s="5378" cm="1">
        <f t="array" aca="1" ref="Z9" ca="1">INDIRECT("'※ 수수료 기준_가입자'!"&amp;Z$1&amp;$AC9, TRUE)</f>
        <v>-1696</v>
      </c>
      <c r="AA9" s="5379" cm="1">
        <f t="array" aca="1" ref="AA9" ca="1">INDIRECT("'※ 수수료 기준_가입자'!"&amp;AA$1&amp;$AC9, TRUE)</f>
        <v>3158.5833333333335</v>
      </c>
      <c r="AB9" s="5380" cm="1">
        <f t="array" aca="1" ref="AB9" ca="1">INDIRECT("'※ 수수료 기준_가입자'!"&amp;AB$1&amp;$AC9, TRUE)</f>
        <v>-363.58333333333303</v>
      </c>
      <c r="AC9" s="5364">
        <f>ROW('※ 수수료 기준_가입자'!Y45)</f>
        <v>45</v>
      </c>
    </row>
    <row r="10" spans="1:62" x14ac:dyDescent="0.55000000000000004">
      <c r="A10" s="7180"/>
      <c r="B10" s="3723" t="s">
        <v>59</v>
      </c>
      <c r="C10" s="2493"/>
      <c r="D10" s="5370" cm="1">
        <f t="array" aca="1" ref="D10" ca="1">INDIRECT("'※ 수수료 기준_가입자'!"&amp;D$1&amp;$AC10, TRUE)</f>
        <v>3527</v>
      </c>
      <c r="E10" s="5371" cm="1">
        <f t="array" aca="1" ref="E10" ca="1">INDIRECT("'※ 수수료 기준_가입자'!"&amp;E$1&amp;$AC10, TRUE)</f>
        <v>3036</v>
      </c>
      <c r="F10" s="5372" cm="1">
        <f t="array" aca="1" ref="F10" ca="1">INDIRECT("'※ 수수료 기준_가입자'!"&amp;F$1&amp;$AC10, TRUE)</f>
        <v>187</v>
      </c>
      <c r="G10" s="5371" cm="1">
        <f t="array" aca="1" ref="G10" ca="1">INDIRECT("'※ 수수료 기준_가입자'!"&amp;G$1&amp;$AC10, TRUE)</f>
        <v>206</v>
      </c>
      <c r="H10" s="5371" cm="1">
        <f t="array" aca="1" ref="H10" ca="1">INDIRECT("'※ 수수료 기준_가입자'!"&amp;H$1&amp;$AC10, TRUE)</f>
        <v>269</v>
      </c>
      <c r="I10" s="5371" cm="1">
        <f t="array" aca="1" ref="I10" ca="1">INDIRECT("'※ 수수료 기준_가입자'!"&amp;I$1&amp;$AC10, TRUE)</f>
        <v>271</v>
      </c>
      <c r="J10" s="5371" cm="1">
        <f t="array" aca="1" ref="J10" ca="1">INDIRECT("'※ 수수료 기준_가입자'!"&amp;J$1&amp;$AC10, TRUE)</f>
        <v>308</v>
      </c>
      <c r="K10" s="5371" cm="1">
        <f t="array" aca="1" ref="K10" ca="1">INDIRECT("'※ 수수료 기준_가입자'!"&amp;K$1&amp;$AC10, TRUE)</f>
        <v>209</v>
      </c>
      <c r="L10" s="5371" cm="1">
        <f t="array" aca="1" ref="L10" ca="1">INDIRECT("'※ 수수료 기준_가입자'!"&amp;L$1&amp;$AC10, TRUE)</f>
        <v>195</v>
      </c>
      <c r="M10" s="5371" cm="1">
        <f t="array" aca="1" ref="M10" ca="1">INDIRECT("'※ 수수료 기준_가입자'!"&amp;M$1&amp;$AC10, TRUE)</f>
        <v>150</v>
      </c>
      <c r="N10" s="5371" cm="1">
        <f t="array" aca="1" ref="N10" ca="1">INDIRECT("'※ 수수료 기준_가입자'!"&amp;N$1&amp;$AC10, TRUE)</f>
        <v>171</v>
      </c>
      <c r="O10" s="5371" cm="1">
        <f t="array" aca="1" ref="O10" ca="1">INDIRECT("'※ 수수료 기준_가입자'!"&amp;O$1&amp;$AC10, TRUE)</f>
        <v>158</v>
      </c>
      <c r="P10" s="5371" cm="1">
        <f t="array" aca="1" ref="P10" ca="1">INDIRECT("'※ 수수료 기준_가입자'!"&amp;P$1&amp;$AC10, TRUE)</f>
        <v>108</v>
      </c>
      <c r="Q10" s="5371" cm="1">
        <f t="array" aca="1" ref="Q10" ca="1">INDIRECT("'※ 수수료 기준_가입자'!"&amp;Q$1&amp;$AC10, TRUE)</f>
        <v>160</v>
      </c>
      <c r="R10" s="4351"/>
      <c r="S10" s="4351"/>
      <c r="T10" s="5373"/>
      <c r="U10" s="5374" cm="1">
        <f t="array" aca="1" ref="U10" ca="1">INDIRECT("'※ 수수료 기준_가입자'!"&amp;U$1&amp;$AC10, TRUE)</f>
        <v>52</v>
      </c>
      <c r="V10" s="5375" cm="1">
        <f t="array" aca="1" ref="V10" ca="1">INDIRECT("'※ 수수료 기준_가입자'!"&amp;V$1&amp;$AC10, TRUE)</f>
        <v>-15</v>
      </c>
      <c r="W10" s="5376" cm="1">
        <f t="array" aca="1" ref="W10" ca="1">INDIRECT("'※ 수수료 기준_가입자'!"&amp;W$1&amp;$AC10, TRUE)</f>
        <v>2392</v>
      </c>
      <c r="X10" s="5377"/>
      <c r="Y10" s="4351"/>
      <c r="Z10" s="5378" cm="1">
        <f t="array" aca="1" ref="Z10" ca="1">INDIRECT("'※ 수수료 기준_가입자'!"&amp;Z$1&amp;$AC10, TRUE)</f>
        <v>-469</v>
      </c>
      <c r="AA10" s="5379" cm="1">
        <f t="array" aca="1" ref="AA10" ca="1">INDIRECT("'※ 수수료 기준_가입자'!"&amp;AA$1&amp;$AC10, TRUE)</f>
        <v>199.33333333333334</v>
      </c>
      <c r="AB10" s="5380" cm="1">
        <f t="array" aca="1" ref="AB10" ca="1">INDIRECT("'※ 수수료 기준_가입자'!"&amp;AB$1&amp;$AC10, TRUE)</f>
        <v>-53.666666666666657</v>
      </c>
      <c r="AC10" s="5364">
        <f>ROW('※ 수수료 기준_가입자'!Y46)</f>
        <v>46</v>
      </c>
    </row>
    <row r="11" spans="1:62" x14ac:dyDescent="0.55000000000000004">
      <c r="A11" s="7180"/>
      <c r="B11" s="2884" t="s">
        <v>86</v>
      </c>
      <c r="C11" s="2884"/>
      <c r="D11" s="5381" cm="1">
        <f t="array" aca="1" ref="D11" ca="1">INDIRECT("'※ 수수료 기준_가입자'!"&amp;D$1&amp;$AC11, TRUE)</f>
        <v>45853</v>
      </c>
      <c r="E11" s="5382" cm="1">
        <f t="array" aca="1" ref="E11" ca="1">INDIRECT("'※ 수수료 기준_가입자'!"&amp;E$1&amp;$AC11, TRUE)</f>
        <v>60253</v>
      </c>
      <c r="F11" s="5383" cm="1">
        <f t="array" aca="1" ref="F11" ca="1">INDIRECT("'※ 수수료 기준_가입자'!"&amp;F$1&amp;$AC11, TRUE)</f>
        <v>3994</v>
      </c>
      <c r="G11" s="5382" cm="1">
        <f t="array" aca="1" ref="G11" ca="1">INDIRECT("'※ 수수료 기준_가입자'!"&amp;G$1&amp;$AC11, TRUE)</f>
        <v>6202</v>
      </c>
      <c r="H11" s="5382" cm="1">
        <f t="array" aca="1" ref="H11" ca="1">INDIRECT("'※ 수수료 기준_가입자'!"&amp;H$1&amp;$AC11, TRUE)</f>
        <v>5314</v>
      </c>
      <c r="I11" s="5382" cm="1">
        <f t="array" aca="1" ref="I11" ca="1">INDIRECT("'※ 수수료 기준_가입자'!"&amp;I$1&amp;$AC11, TRUE)</f>
        <v>6273</v>
      </c>
      <c r="J11" s="5382" cm="1">
        <f t="array" aca="1" ref="J11" ca="1">INDIRECT("'※ 수수료 기준_가입자'!"&amp;J$1&amp;$AC11, TRUE)</f>
        <v>14196</v>
      </c>
      <c r="K11" s="5382" cm="1">
        <f t="array" aca="1" ref="K11" ca="1">INDIRECT("'※ 수수료 기준_가입자'!"&amp;K$1&amp;$AC11, TRUE)</f>
        <v>8420</v>
      </c>
      <c r="L11" s="5382" cm="1">
        <f t="array" aca="1" ref="L11" ca="1">INDIRECT("'※ 수수료 기준_가입자'!"&amp;L$1&amp;$AC11, TRUE)</f>
        <v>10390</v>
      </c>
      <c r="M11" s="5382" cm="1">
        <f t="array" aca="1" ref="M11" ca="1">INDIRECT("'※ 수수료 기준_가입자'!"&amp;M$1&amp;$AC11, TRUE)</f>
        <v>8380</v>
      </c>
      <c r="N11" s="5382" cm="1">
        <f t="array" aca="1" ref="N11" ca="1">INDIRECT("'※ 수수료 기준_가입자'!"&amp;N$1&amp;$AC11, TRUE)</f>
        <v>8292</v>
      </c>
      <c r="O11" s="5382" cm="1">
        <f t="array" aca="1" ref="O11" ca="1">INDIRECT("'※ 수수료 기준_가입자'!"&amp;O$1&amp;$AC11, TRUE)</f>
        <v>4515</v>
      </c>
      <c r="P11" s="5382" cm="1">
        <f t="array" aca="1" ref="P11" ca="1">INDIRECT("'※ 수수료 기준_가입자'!"&amp;P$1&amp;$AC11, TRUE)</f>
        <v>4631</v>
      </c>
      <c r="Q11" s="5382" cm="1">
        <f t="array" aca="1" ref="Q11" ca="1">INDIRECT("'※ 수수료 기준_가입자'!"&amp;Q$1&amp;$AC11, TRUE)</f>
        <v>7258</v>
      </c>
      <c r="R11" s="4351"/>
      <c r="S11" s="4351"/>
      <c r="T11" s="5373"/>
      <c r="U11" s="5384" cm="1">
        <f t="array" aca="1" ref="U11" ca="1">INDIRECT("'※ 수수료 기준_가입자'!"&amp;U$1&amp;$AC11, TRUE)</f>
        <v>2627</v>
      </c>
      <c r="V11" s="5385" cm="1">
        <f t="array" aca="1" ref="V11" ca="1">INDIRECT("'※ 수수료 기준_가입자'!"&amp;V$1&amp;$AC11, TRUE)</f>
        <v>2434</v>
      </c>
      <c r="W11" s="5386" cm="1">
        <f t="array" aca="1" ref="W11" ca="1">INDIRECT("'※ 수수료 기준_가입자'!"&amp;W$1&amp;$AC11, TRUE)</f>
        <v>87865</v>
      </c>
      <c r="X11" s="5377"/>
      <c r="Y11" s="4351"/>
      <c r="Z11" s="5387" cm="1">
        <f t="array" aca="1" ref="Z11" ca="1">INDIRECT("'※ 수수료 기준_가입자'!"&amp;Z$1&amp;$AC11, TRUE)</f>
        <v>32436</v>
      </c>
      <c r="AA11" s="5388" cm="1">
        <f t="array" aca="1" ref="AA11" ca="1">INDIRECT("'※ 수수료 기준_가입자'!"&amp;AA$1&amp;$AC11, TRUE)</f>
        <v>7322.083333333333</v>
      </c>
      <c r="AB11" s="5389" cm="1">
        <f t="array" aca="1" ref="AB11" ca="1">INDIRECT("'※ 수수료 기준_가입자'!"&amp;AB$1&amp;$AC11, TRUE)</f>
        <v>2301</v>
      </c>
      <c r="AC11" s="5364">
        <f>ROW('※ 수수료 기준_가입자'!Y47)</f>
        <v>47</v>
      </c>
    </row>
    <row r="12" spans="1:62" x14ac:dyDescent="0.55000000000000004">
      <c r="A12" s="7180"/>
      <c r="B12" s="2493" t="s">
        <v>50</v>
      </c>
      <c r="C12" s="2493"/>
      <c r="D12" s="5370" cm="1">
        <f t="array" aca="1" ref="D12" ca="1">INDIRECT("'※ 수수료 기준_가입자'!"&amp;D$1&amp;$AC12, TRUE)</f>
        <v>92090</v>
      </c>
      <c r="E12" s="5371" cm="1">
        <f t="array" aca="1" ref="E12" ca="1">INDIRECT("'※ 수수료 기준_가입자'!"&amp;E$1&amp;$AC12, TRUE)</f>
        <v>126187</v>
      </c>
      <c r="F12" s="5372" cm="1">
        <f t="array" aca="1" ref="F12" ca="1">INDIRECT("'※ 수수료 기준_가입자'!"&amp;F$1&amp;$AC12, TRUE)</f>
        <v>10716</v>
      </c>
      <c r="G12" s="5371" cm="1">
        <f t="array" aca="1" ref="G12" ca="1">INDIRECT("'※ 수수료 기준_가입자'!"&amp;G$1&amp;$AC12, TRUE)</f>
        <v>10556</v>
      </c>
      <c r="H12" s="5371" cm="1">
        <f t="array" aca="1" ref="H12" ca="1">INDIRECT("'※ 수수료 기준_가입자'!"&amp;H$1&amp;$AC12, TRUE)</f>
        <v>10829</v>
      </c>
      <c r="I12" s="5371" cm="1">
        <f t="array" aca="1" ref="I12" ca="1">INDIRECT("'※ 수수료 기준_가입자'!"&amp;I$1&amp;$AC12, TRUE)</f>
        <v>10157</v>
      </c>
      <c r="J12" s="5371" cm="1">
        <f t="array" aca="1" ref="J12" ca="1">INDIRECT("'※ 수수료 기준_가입자'!"&amp;J$1&amp;$AC12, TRUE)</f>
        <v>14789</v>
      </c>
      <c r="K12" s="5371" cm="1">
        <f t="array" aca="1" ref="K12" ca="1">INDIRECT("'※ 수수료 기준_가입자'!"&amp;K$1&amp;$AC12, TRUE)</f>
        <v>12721</v>
      </c>
      <c r="L12" s="5371" cm="1">
        <f t="array" aca="1" ref="L12" ca="1">INDIRECT("'※ 수수료 기준_가입자'!"&amp;L$1&amp;$AC12, TRUE)</f>
        <v>12269</v>
      </c>
      <c r="M12" s="5371" cm="1">
        <f t="array" aca="1" ref="M12" ca="1">INDIRECT("'※ 수수료 기준_가입자'!"&amp;M$1&amp;$AC12, TRUE)</f>
        <v>12198</v>
      </c>
      <c r="N12" s="5371" cm="1">
        <f t="array" aca="1" ref="N12" ca="1">INDIRECT("'※ 수수료 기준_가입자'!"&amp;N$1&amp;$AC12, TRUE)</f>
        <v>11571</v>
      </c>
      <c r="O12" s="5371" cm="1">
        <f t="array" aca="1" ref="O12" ca="1">INDIRECT("'※ 수수료 기준_가입자'!"&amp;O$1&amp;$AC12, TRUE)</f>
        <v>9924</v>
      </c>
      <c r="P12" s="5371" cm="1">
        <f t="array" aca="1" ref="P12" ca="1">INDIRECT("'※ 수수료 기준_가입자'!"&amp;P$1&amp;$AC12, TRUE)</f>
        <v>10796</v>
      </c>
      <c r="Q12" s="5371" cm="1">
        <f t="array" aca="1" ref="Q12" ca="1">INDIRECT("'※ 수수료 기준_가입자'!"&amp;Q$1&amp;$AC12, TRUE)</f>
        <v>11913</v>
      </c>
      <c r="R12" s="4351"/>
      <c r="S12" s="4351"/>
      <c r="T12" s="5373"/>
      <c r="U12" s="5374" cm="1">
        <f t="array" aca="1" ref="U12" ca="1">INDIRECT("'※ 수수료 기준_가입자'!"&amp;U$1&amp;$AC12, TRUE)</f>
        <v>1117</v>
      </c>
      <c r="V12" s="5375" cm="1">
        <f t="array" aca="1" ref="V12" ca="1">INDIRECT("'※ 수수료 기준_가입자'!"&amp;V$1&amp;$AC12, TRUE)</f>
        <v>776</v>
      </c>
      <c r="W12" s="5376" cm="1">
        <f t="array" aca="1" ref="W12" ca="1">INDIRECT("'※ 수수료 기준_가입자'!"&amp;W$1&amp;$AC12, TRUE)</f>
        <v>138439</v>
      </c>
      <c r="X12" s="5377"/>
      <c r="Y12" s="4351"/>
      <c r="Z12" s="5378" cm="1">
        <f t="array" aca="1" ref="Z12" ca="1">INDIRECT("'※ 수수료 기준_가입자'!"&amp;Z$1&amp;$AC12, TRUE)</f>
        <v>23389</v>
      </c>
      <c r="AA12" s="5379" cm="1">
        <f t="array" aca="1" ref="AA12" ca="1">INDIRECT("'※ 수수료 기준_가입자'!"&amp;AA$1&amp;$AC12, TRUE)</f>
        <v>11536.583333333334</v>
      </c>
      <c r="AB12" s="5380" cm="1">
        <f t="array" aca="1" ref="AB12" ca="1">INDIRECT("'※ 수수료 기준_가입자'!"&amp;AB$1&amp;$AC12, TRUE)</f>
        <v>1021</v>
      </c>
      <c r="AC12" s="5364">
        <f>ROW('※ 수수료 기준_가입자'!Y48)</f>
        <v>48</v>
      </c>
    </row>
    <row r="13" spans="1:62" x14ac:dyDescent="0.55000000000000004">
      <c r="A13" s="7180"/>
      <c r="B13" s="3425" t="s">
        <v>51</v>
      </c>
      <c r="C13" s="3425"/>
      <c r="D13" s="5390" cm="1">
        <f t="array" aca="1" ref="D13" ca="1">INDIRECT("'※ 수수료 기준_가입자'!"&amp;D$1&amp;$AC13, TRUE)</f>
        <v>-46237</v>
      </c>
      <c r="E13" s="4825" cm="1">
        <f t="array" aca="1" ref="E13" ca="1">INDIRECT("'※ 수수료 기준_가입자'!"&amp;E$1&amp;$AC13, TRUE)</f>
        <v>-65934</v>
      </c>
      <c r="F13" s="5391" cm="1">
        <f t="array" aca="1" ref="F13" ca="1">INDIRECT("'※ 수수료 기준_가입자'!"&amp;F$1&amp;$AC13, TRUE)</f>
        <v>-6440</v>
      </c>
      <c r="G13" s="5392" cm="1">
        <f t="array" aca="1" ref="G13" ca="1">INDIRECT("'※ 수수료 기준_가입자'!"&amp;G$1&amp;$AC13, TRUE)</f>
        <v>-3907</v>
      </c>
      <c r="H13" s="5392" cm="1">
        <f t="array" aca="1" ref="H13" ca="1">INDIRECT("'※ 수수료 기준_가입자'!"&amp;H$1&amp;$AC13, TRUE)</f>
        <v>-5515</v>
      </c>
      <c r="I13" s="5392" cm="1">
        <f t="array" aca="1" ref="I13" ca="1">INDIRECT("'※ 수수료 기준_가입자'!"&amp;I$1&amp;$AC13, TRUE)</f>
        <v>-3884</v>
      </c>
      <c r="J13" s="5392" cm="1">
        <f t="array" aca="1" ref="J13" ca="1">INDIRECT("'※ 수수료 기준_가입자'!"&amp;J$1&amp;$AC13, TRUE)</f>
        <v>-593</v>
      </c>
      <c r="K13" s="5392" cm="1">
        <f t="array" aca="1" ref="K13" ca="1">INDIRECT("'※ 수수료 기준_가입자'!"&amp;K$1&amp;$AC13, TRUE)</f>
        <v>-4301</v>
      </c>
      <c r="L13" s="5392" cm="1">
        <f t="array" aca="1" ref="L13" ca="1">INDIRECT("'※ 수수료 기준_가입자'!"&amp;L$1&amp;$AC13, TRUE)</f>
        <v>-1879</v>
      </c>
      <c r="M13" s="5392" cm="1">
        <f t="array" aca="1" ref="M13" ca="1">INDIRECT("'※ 수수료 기준_가입자'!"&amp;M$1&amp;$AC13, TRUE)</f>
        <v>-3818</v>
      </c>
      <c r="N13" s="5392" cm="1">
        <f t="array" aca="1" ref="N13" ca="1">INDIRECT("'※ 수수료 기준_가입자'!"&amp;N$1&amp;$AC13, TRUE)</f>
        <v>-3279</v>
      </c>
      <c r="O13" s="5392" cm="1">
        <f t="array" aca="1" ref="O13" ca="1">INDIRECT("'※ 수수료 기준_가입자'!"&amp;O$1&amp;$AC13, TRUE)</f>
        <v>-5409</v>
      </c>
      <c r="P13" s="5392" cm="1">
        <f t="array" aca="1" ref="P13" ca="1">INDIRECT("'※ 수수료 기준_가입자'!"&amp;P$1&amp;$AC13, TRUE)</f>
        <v>-6165</v>
      </c>
      <c r="Q13" s="5392" cm="1">
        <f t="array" aca="1" ref="Q13" ca="1">INDIRECT("'※ 수수료 기준_가입자'!"&amp;Q$1&amp;$AC13, TRUE)</f>
        <v>-4655</v>
      </c>
      <c r="R13" s="4351"/>
      <c r="S13" s="4351"/>
      <c r="T13" s="5373"/>
      <c r="U13" s="5393" cm="1">
        <f t="array" aca="1" ref="U13" ca="1">INDIRECT("'※ 수수료 기준_가입자'!"&amp;U$1&amp;$AC13, TRUE)</f>
        <v>1510</v>
      </c>
      <c r="V13" s="5394" cm="1">
        <f t="array" aca="1" ref="V13" ca="1">INDIRECT("'※ 수수료 기준_가입자'!"&amp;V$1&amp;$AC13, TRUE)</f>
        <v>1658</v>
      </c>
      <c r="W13" s="5395" cm="1">
        <f t="array" aca="1" ref="W13" ca="1">INDIRECT("'※ 수수료 기준_가입자'!"&amp;W$1&amp;$AC13, TRUE)</f>
        <v>-49845</v>
      </c>
      <c r="X13" s="5377"/>
      <c r="Y13" s="4351"/>
      <c r="Z13" s="5396" cm="1">
        <f t="array" aca="1" ref="Z13" ca="1">INDIRECT("'※ 수수료 기준_가입자'!"&amp;Z$1&amp;$AC13, TRUE)</f>
        <v>9776</v>
      </c>
      <c r="AA13" s="5397" cm="1">
        <f t="array" aca="1" ref="AA13" ca="1">INDIRECT("'※ 수수료 기준_가입자'!"&amp;AA$1&amp;$AC13, TRUE)</f>
        <v>-4153.75</v>
      </c>
      <c r="AB13" s="5398" cm="1">
        <f t="array" aca="1" ref="AB13" ca="1">INDIRECT("'※ 수수료 기준_가입자'!"&amp;AB$1&amp;$AC13, TRUE)</f>
        <v>1340.75</v>
      </c>
      <c r="AC13" s="5364">
        <f>ROW('※ 수수료 기준_가입자'!Y49)</f>
        <v>49</v>
      </c>
    </row>
    <row r="14" spans="1:62" x14ac:dyDescent="0.55000000000000004">
      <c r="A14" s="7181" t="s">
        <v>87</v>
      </c>
      <c r="B14" s="5283" t="s">
        <v>44</v>
      </c>
      <c r="C14" s="5284"/>
      <c r="D14" s="5399" cm="1">
        <f t="array" aca="1" ref="D14" ca="1">INDIRECT("'※ 수수료 기준_가입자'!"&amp;D$1&amp;$AC14, TRUE)</f>
        <v>204798</v>
      </c>
      <c r="E14" s="5400" cm="1">
        <f t="array" aca="1" ref="E14" ca="1">INDIRECT("'※ 수수료 기준_가입자'!"&amp;E$1&amp;$AC14, TRUE)</f>
        <v>157704</v>
      </c>
      <c r="F14" s="5401" cm="1">
        <f t="array" aca="1" ref="F14" ca="1">INDIRECT("'※ 수수료 기준_가입자'!"&amp;F$1&amp;$AC14, TRUE)</f>
        <v>153599</v>
      </c>
      <c r="G14" s="5400" cm="1">
        <f t="array" aca="1" ref="G14" ca="1">INDIRECT("'※ 수수료 기준_가입자'!"&amp;G$1&amp;$AC14, TRUE)</f>
        <v>150408</v>
      </c>
      <c r="H14" s="5400" cm="1">
        <f t="array" aca="1" ref="H14" ca="1">INDIRECT("'※ 수수료 기준_가입자'!"&amp;H$1&amp;$AC14, TRUE)</f>
        <v>146972</v>
      </c>
      <c r="I14" s="5400" cm="1">
        <f t="array" aca="1" ref="I14" ca="1">INDIRECT("'※ 수수료 기준_가입자'!"&amp;I$1&amp;$AC14, TRUE)</f>
        <v>144200</v>
      </c>
      <c r="J14" s="5400" cm="1">
        <f t="array" aca="1" ref="J14" ca="1">INDIRECT("'※ 수수료 기준_가입자'!"&amp;J$1&amp;$AC14, TRUE)</f>
        <v>143217</v>
      </c>
      <c r="K14" s="5400" cm="1">
        <f t="array" aca="1" ref="K14" ca="1">INDIRECT("'※ 수수료 기준_가입자'!"&amp;K$1&amp;$AC14, TRUE)</f>
        <v>140264</v>
      </c>
      <c r="L14" s="5400" cm="1">
        <f t="array" aca="1" ref="L14" ca="1">INDIRECT("'※ 수수료 기준_가입자'!"&amp;L$1&amp;$AC14, TRUE)</f>
        <v>138462</v>
      </c>
      <c r="M14" s="5400" cm="1">
        <f t="array" aca="1" ref="M14" ca="1">INDIRECT("'※ 수수료 기준_가입자'!"&amp;M$1&amp;$AC14, TRUE)</f>
        <v>135180</v>
      </c>
      <c r="N14" s="5400" cm="1">
        <f t="array" aca="1" ref="N14" ca="1">INDIRECT("'※ 수수료 기준_가입자'!"&amp;N$1&amp;$AC14, TRUE)</f>
        <v>132452</v>
      </c>
      <c r="O14" s="5400" cm="1">
        <f t="array" aca="1" ref="O14" ca="1">INDIRECT("'※ 수수료 기준_가입자'!"&amp;O$1&amp;$AC14, TRUE)</f>
        <v>128701</v>
      </c>
      <c r="P14" s="5400" cm="1">
        <f t="array" aca="1" ref="P14" ca="1">INDIRECT("'※ 수수료 기준_가입자'!"&amp;P$1&amp;$AC14, TRUE)</f>
        <v>124746</v>
      </c>
      <c r="Q14" s="5400" cm="1">
        <f t="array" aca="1" ref="Q14" ca="1">INDIRECT("'※ 수수료 기준_가입자'!"&amp;Q$1&amp;$AC14, TRUE)</f>
        <v>138462</v>
      </c>
      <c r="R14" s="4351"/>
      <c r="S14" s="4351"/>
      <c r="T14" s="5373"/>
      <c r="U14" s="5402" cm="1">
        <f t="array" aca="1" ref="U14" ca="1">INDIRECT("'※ 수수료 기준_가입자'!"&amp;U$1&amp;$AC14, TRUE)</f>
        <v>13716</v>
      </c>
      <c r="V14" s="5403" cm="1">
        <f t="array" aca="1" ref="V14" ca="1">INDIRECT("'※ 수수료 기준_가입자'!"&amp;V$1&amp;$AC14, TRUE)</f>
        <v>-19242</v>
      </c>
      <c r="W14" s="5404" cm="1">
        <f t="array" aca="1" ref="W14" ca="1">INDIRECT("'※ 수수료 기준_가입자'!"&amp;W$1&amp;$AC14, TRUE)</f>
        <v>138462</v>
      </c>
      <c r="X14" s="5377"/>
      <c r="Y14" s="4351"/>
      <c r="Z14" s="5405" cm="1">
        <f t="array" aca="1" ref="Z14" ca="1">INDIRECT("'※ 수수료 기준_가입자'!"&amp;Z$1&amp;$AC14, TRUE)</f>
        <v>-19242</v>
      </c>
      <c r="AA14" s="5406" cm="1">
        <f t="array" aca="1" ref="AA14" ca="1">INDIRECT("'※ 수수료 기준_가입자'!"&amp;AA$1&amp;$AC14, TRUE)</f>
        <v>139721.91666666666</v>
      </c>
      <c r="AB14" s="5407" cm="1">
        <f t="array" aca="1" ref="AB14" ca="1">INDIRECT("'※ 수수료 기준_가입자'!"&amp;AB$1&amp;$AC14, TRUE)</f>
        <v>-42980.083333333343</v>
      </c>
      <c r="AC14" s="5364">
        <f>ROW('※ 수수료 기준_가입자'!Y50)</f>
        <v>50</v>
      </c>
    </row>
    <row r="15" spans="1:62" x14ac:dyDescent="0.55000000000000004">
      <c r="A15" s="7182"/>
      <c r="B15" s="3228" t="s">
        <v>58</v>
      </c>
      <c r="C15" s="2493"/>
      <c r="D15" s="5370" cm="1">
        <f t="array" aca="1" ref="D15" ca="1">INDIRECT("'※ 수수료 기준_가입자'!"&amp;D$1&amp;$AC15, TRUE)</f>
        <v>42873</v>
      </c>
      <c r="E15" s="5371"/>
      <c r="F15" s="5372" cm="1">
        <f t="array" aca="1" ref="F15" ca="1">INDIRECT("'※ 수수료 기준_가입자'!"&amp;F$1&amp;$AC15, TRUE)</f>
        <v>3388</v>
      </c>
      <c r="G15" s="5371" cm="1">
        <f t="array" aca="1" ref="G15" ca="1">INDIRECT("'※ 수수료 기준_가입자'!"&amp;G$1&amp;$AC15, TRUE)</f>
        <v>4840</v>
      </c>
      <c r="H15" s="5371" cm="1">
        <f t="array" aca="1" ref="H15" ca="1">INDIRECT("'※ 수수료 기준_가입자'!"&amp;H$1&amp;$AC15, TRUE)</f>
        <v>4374</v>
      </c>
      <c r="I15" s="5371" cm="1">
        <f t="array" aca="1" ref="I15" ca="1">INDIRECT("'※ 수수료 기준_가입자'!"&amp;I$1&amp;$AC15, TRUE)</f>
        <v>4830</v>
      </c>
      <c r="J15" s="5371" cm="1">
        <f t="array" aca="1" ref="J15" ca="1">INDIRECT("'※ 수수료 기준_가입자'!"&amp;J$1&amp;$AC15, TRUE)</f>
        <v>8532</v>
      </c>
      <c r="K15" s="5371" cm="1">
        <f t="array" aca="1" ref="K15" ca="1">INDIRECT("'※ 수수료 기준_가입자'!"&amp;K$1&amp;$AC15, TRUE)</f>
        <v>5784</v>
      </c>
      <c r="L15" s="5371" cm="1">
        <f t="array" aca="1" ref="L15" ca="1">INDIRECT("'※ 수수료 기준_가입자'!"&amp;L$1&amp;$AC15, TRUE)</f>
        <v>6665</v>
      </c>
      <c r="M15" s="5371" cm="1">
        <f t="array" aca="1" ref="M15" ca="1">INDIRECT("'※ 수수료 기준_가입자'!"&amp;M$1&amp;$AC15, TRUE)</f>
        <v>5417</v>
      </c>
      <c r="N15" s="5371" cm="1">
        <f t="array" aca="1" ref="N15" ca="1">INDIRECT("'※ 수수료 기준_가입자'!"&amp;N$1&amp;$AC15, TRUE)</f>
        <v>5655</v>
      </c>
      <c r="O15" s="5371" cm="1">
        <f t="array" aca="1" ref="O15" ca="1">INDIRECT("'※ 수수료 기준_가입자'!"&amp;O$1&amp;$AC15, TRUE)</f>
        <v>3747</v>
      </c>
      <c r="P15" s="5371" cm="1">
        <f t="array" aca="1" ref="P15" ca="1">INDIRECT("'※ 수수료 기준_가입자'!"&amp;P$1&amp;$AC15, TRUE)</f>
        <v>3673</v>
      </c>
      <c r="Q15" s="5371" cm="1">
        <f t="array" aca="1" ref="Q15" ca="1">INDIRECT("'※ 수수료 기준_가입자'!"&amp;Q$1&amp;$AC15, TRUE)</f>
        <v>3490</v>
      </c>
      <c r="R15" s="4351"/>
      <c r="S15" s="4351"/>
      <c r="T15" s="5373"/>
      <c r="U15" s="5374" cm="1">
        <f t="array" aca="1" ref="U15" ca="1">INDIRECT("'※ 수수료 기준_가입자'!"&amp;U$1&amp;$AC15, TRUE)</f>
        <v>-183</v>
      </c>
      <c r="V15" s="5375" cm="1">
        <f t="array" aca="1" ref="V15" ca="1">INDIRECT("'※ 수수료 기준_가입자'!"&amp;V$1&amp;$AC15, TRUE)</f>
        <v>-145</v>
      </c>
      <c r="W15" s="5376" cm="1">
        <f t="array" aca="1" ref="W15" ca="1">INDIRECT("'※ 수수료 기준_가입자'!"&amp;W$1&amp;$AC15, TRUE)</f>
        <v>60395</v>
      </c>
      <c r="X15" s="5377"/>
      <c r="Y15" s="4351"/>
      <c r="Z15" s="5378" cm="1">
        <f t="array" aca="1" ref="Z15" ca="1">INDIRECT("'※ 수수료 기준_가입자'!"&amp;Z$1&amp;$AC15, TRUE)</f>
        <v>13170</v>
      </c>
      <c r="AA15" s="5379" cm="1">
        <f t="array" aca="1" ref="AA15" ca="1">INDIRECT("'※ 수수료 기준_가입자'!"&amp;AA$1&amp;$AC15, TRUE)</f>
        <v>5032.916666666667</v>
      </c>
      <c r="AB15" s="5380" cm="1">
        <f t="array" aca="1" ref="AB15" ca="1">INDIRECT("'※ 수수료 기준_가입자'!"&amp;AB$1&amp;$AC15, TRUE)</f>
        <v>794.58333333333394</v>
      </c>
      <c r="AC15" s="5364">
        <f>ROW('※ 수수료 기준_가입자'!Y51)</f>
        <v>51</v>
      </c>
    </row>
    <row r="16" spans="1:62" ht="18" customHeight="1" x14ac:dyDescent="0.55000000000000004">
      <c r="A16" s="7182"/>
      <c r="B16" s="2493" t="s">
        <v>48</v>
      </c>
      <c r="C16" s="2493"/>
      <c r="D16" s="5370" cm="1">
        <f t="array" aca="1" ref="D16" ca="1">INDIRECT("'※ 수수료 기준_가입자'!"&amp;D$1&amp;$AC16, TRUE)</f>
        <v>25574</v>
      </c>
      <c r="E16" s="5371" cm="1">
        <f t="array" aca="1" ref="E16" ca="1">INDIRECT("'※ 수수료 기준_가입자'!"&amp;E$1&amp;$AC16, TRUE)</f>
        <v>22534</v>
      </c>
      <c r="F16" s="5372" cm="1">
        <f t="array" aca="1" ref="F16" ca="1">INDIRECT("'※ 수수료 기준_가입자'!"&amp;F$1&amp;$AC16, TRUE)</f>
        <v>1347</v>
      </c>
      <c r="G16" s="5371" cm="1">
        <f t="array" aca="1" ref="G16" ca="1">INDIRECT("'※ 수수료 기준_가입자'!"&amp;G$1&amp;$AC16, TRUE)</f>
        <v>1740</v>
      </c>
      <c r="H16" s="5371" cm="1">
        <f t="array" aca="1" ref="H16" ca="1">INDIRECT("'※ 수수료 기준_가입자'!"&amp;H$1&amp;$AC16, TRUE)</f>
        <v>1600</v>
      </c>
      <c r="I16" s="5371" cm="1">
        <f t="array" aca="1" ref="I16" ca="1">INDIRECT("'※ 수수료 기준_가입자'!"&amp;I$1&amp;$AC16, TRUE)</f>
        <v>1596</v>
      </c>
      <c r="J16" s="5371" cm="1">
        <f t="array" aca="1" ref="J16" ca="1">INDIRECT("'※ 수수료 기준_가입자'!"&amp;J$1&amp;$AC16, TRUE)</f>
        <v>1369</v>
      </c>
      <c r="K16" s="5371" cm="1">
        <f t="array" aca="1" ref="K16" ca="1">INDIRECT("'※ 수수료 기준_가입자'!"&amp;K$1&amp;$AC16, TRUE)</f>
        <v>1426</v>
      </c>
      <c r="L16" s="5371" cm="1">
        <f t="array" aca="1" ref="L16" ca="1">INDIRECT("'※ 수수료 기준_가입자'!"&amp;L$1&amp;$AC16, TRUE)</f>
        <v>1486</v>
      </c>
      <c r="M16" s="5371" cm="1">
        <f t="array" aca="1" ref="M16" ca="1">INDIRECT("'※ 수수료 기준_가입자'!"&amp;M$1&amp;$AC16, TRUE)</f>
        <v>1275</v>
      </c>
      <c r="N16" s="5371" cm="1">
        <f t="array" aca="1" ref="N16" ca="1">INDIRECT("'※ 수수료 기준_가입자'!"&amp;N$1&amp;$AC16, TRUE)</f>
        <v>1347</v>
      </c>
      <c r="O16" s="5371" cm="1">
        <f t="array" aca="1" ref="O16" ca="1">INDIRECT("'※ 수수료 기준_가입자'!"&amp;O$1&amp;$AC16, TRUE)</f>
        <v>1302</v>
      </c>
      <c r="P16" s="5371" cm="1">
        <f t="array" aca="1" ref="P16" ca="1">INDIRECT("'※ 수수료 기준_가입자'!"&amp;P$1&amp;$AC16, TRUE)</f>
        <v>1135</v>
      </c>
      <c r="Q16" s="5371" cm="1">
        <f t="array" aca="1" ref="Q16" ca="1">INDIRECT("'※ 수수료 기준_가입자'!"&amp;Q$1&amp;$AC16, TRUE)</f>
        <v>1486</v>
      </c>
      <c r="R16" s="4351"/>
      <c r="S16" s="4351"/>
      <c r="T16" s="5373"/>
      <c r="U16" s="5374" cm="1">
        <f t="array" aca="1" ref="U16" ca="1">INDIRECT("'※ 수수료 기준_가입자'!"&amp;U$1&amp;$AC16, TRUE)</f>
        <v>351</v>
      </c>
      <c r="V16" s="5375" cm="1">
        <f t="array" aca="1" ref="V16" ca="1">INDIRECT("'※ 수수료 기준_가입자'!"&amp;V$1&amp;$AC16, TRUE)</f>
        <v>251</v>
      </c>
      <c r="W16" s="5376" cm="1">
        <f t="array" aca="1" ref="W16" ca="1">INDIRECT("'※ 수수료 기준_가입자'!"&amp;W$1&amp;$AC16, TRUE)</f>
        <v>17109</v>
      </c>
      <c r="X16" s="5377"/>
      <c r="Y16" s="4351"/>
      <c r="Z16" s="5378" cm="1">
        <f t="array" aca="1" ref="Z16" ca="1">INDIRECT("'※ 수수료 기준_가입자'!"&amp;Z$1&amp;$AC16, TRUE)</f>
        <v>-4190</v>
      </c>
      <c r="AA16" s="5379" cm="1">
        <f t="array" aca="1" ref="AA16" ca="1">INDIRECT("'※ 수수료 기준_가입자'!"&amp;AA$1&amp;$AC16, TRUE)</f>
        <v>1425.75</v>
      </c>
      <c r="AB16" s="5380" cm="1">
        <f t="array" aca="1" ref="AB16" ca="1">INDIRECT("'※ 수수료 기준_가입자'!"&amp;AB$1&amp;$AC16, TRUE)</f>
        <v>-452.08333333333326</v>
      </c>
      <c r="AC16" s="5364">
        <f>ROW('※ 수수료 기준_가입자'!Y52)</f>
        <v>52</v>
      </c>
    </row>
    <row r="17" spans="1:30" ht="18" customHeight="1" x14ac:dyDescent="0.55000000000000004">
      <c r="A17" s="7182"/>
      <c r="B17" s="3723" t="s">
        <v>59</v>
      </c>
      <c r="C17" s="2493"/>
      <c r="D17" s="5370" cm="1">
        <f t="array" aca="1" ref="D17" ca="1">INDIRECT("'※ 수수료 기준_가입자'!"&amp;D$1&amp;$AC17, TRUE)</f>
        <v>1990</v>
      </c>
      <c r="E17" s="5371" cm="1">
        <f t="array" aca="1" ref="E17" ca="1">INDIRECT("'※ 수수료 기준_가입자'!"&amp;E$1&amp;$AC17, TRUE)</f>
        <v>1722</v>
      </c>
      <c r="F17" s="5372" cm="1">
        <f t="array" aca="1" ref="F17" ca="1">INDIRECT("'※ 수수료 기준_가입자'!"&amp;F$1&amp;$AC17, TRUE)</f>
        <v>108</v>
      </c>
      <c r="G17" s="5371" cm="1">
        <f t="array" aca="1" ref="G17" ca="1">INDIRECT("'※ 수수료 기준_가입자'!"&amp;G$1&amp;$AC17, TRUE)</f>
        <v>132</v>
      </c>
      <c r="H17" s="5371" cm="1">
        <f t="array" aca="1" ref="H17" ca="1">INDIRECT("'※ 수수료 기준_가입자'!"&amp;H$1&amp;$AC17, TRUE)</f>
        <v>128</v>
      </c>
      <c r="I17" s="5371" cm="1">
        <f t="array" aca="1" ref="I17" ca="1">INDIRECT("'※ 수수료 기준_가입자'!"&amp;I$1&amp;$AC17, TRUE)</f>
        <v>148</v>
      </c>
      <c r="J17" s="5371" cm="1">
        <f t="array" aca="1" ref="J17" ca="1">INDIRECT("'※ 수수료 기준_가입자'!"&amp;J$1&amp;$AC17, TRUE)</f>
        <v>143</v>
      </c>
      <c r="K17" s="5371" cm="1">
        <f t="array" aca="1" ref="K17" ca="1">INDIRECT("'※ 수수료 기준_가입자'!"&amp;K$1&amp;$AC17, TRUE)</f>
        <v>116</v>
      </c>
      <c r="L17" s="5371" cm="1">
        <f t="array" aca="1" ref="L17" ca="1">INDIRECT("'※ 수수료 기준_가입자'!"&amp;L$1&amp;$AC17, TRUE)</f>
        <v>115</v>
      </c>
      <c r="M17" s="5371" cm="1">
        <f t="array" aca="1" ref="M17" ca="1">INDIRECT("'※ 수수료 기준_가입자'!"&amp;M$1&amp;$AC17, TRUE)</f>
        <v>101</v>
      </c>
      <c r="N17" s="5371" cm="1">
        <f t="array" aca="1" ref="N17" ca="1">INDIRECT("'※ 수수료 기준_가입자'!"&amp;N$1&amp;$AC17, TRUE)</f>
        <v>114</v>
      </c>
      <c r="O17" s="5371" cm="1">
        <f t="array" aca="1" ref="O17" ca="1">INDIRECT("'※ 수수료 기준_가입자'!"&amp;O$1&amp;$AC17, TRUE)</f>
        <v>94</v>
      </c>
      <c r="P17" s="5371" cm="1">
        <f t="array" aca="1" ref="P17" ca="1">INDIRECT("'※ 수수료 기준_가입자'!"&amp;P$1&amp;$AC17, TRUE)</f>
        <v>66</v>
      </c>
      <c r="Q17" s="5371" cm="1">
        <f t="array" aca="1" ref="Q17" ca="1">INDIRECT("'※ 수수료 기준_가입자'!"&amp;Q$1&amp;$AC17, TRUE)</f>
        <v>115</v>
      </c>
      <c r="R17" s="4351"/>
      <c r="S17" s="4351"/>
      <c r="T17" s="5373"/>
      <c r="U17" s="5374" cm="1">
        <f t="array" aca="1" ref="U17" ca="1">INDIRECT("'※ 수수료 기준_가입자'!"&amp;U$1&amp;$AC17, TRUE)</f>
        <v>49</v>
      </c>
      <c r="V17" s="5375" cm="1">
        <f t="array" aca="1" ref="V17" ca="1">INDIRECT("'※ 수수료 기준_가입자'!"&amp;V$1&amp;$AC17, TRUE)</f>
        <v>15</v>
      </c>
      <c r="W17" s="5376" cm="1">
        <f t="array" aca="1" ref="W17" ca="1">INDIRECT("'※ 수수료 기준_가입자'!"&amp;W$1&amp;$AC17, TRUE)</f>
        <v>1380</v>
      </c>
      <c r="X17" s="5377"/>
      <c r="Y17" s="4351"/>
      <c r="Z17" s="5378" cm="1">
        <f t="array" aca="1" ref="Z17" ca="1">INDIRECT("'※ 수수료 기준_가입자'!"&amp;Z$1&amp;$AC17, TRUE)</f>
        <v>-242</v>
      </c>
      <c r="AA17" s="5379" cm="1">
        <f t="array" aca="1" ref="AA17" ca="1">INDIRECT("'※ 수수료 기준_가입자'!"&amp;AA$1&amp;$AC17, TRUE)</f>
        <v>115</v>
      </c>
      <c r="AB17" s="5380" cm="1">
        <f t="array" aca="1" ref="AB17" ca="1">INDIRECT("'※ 수수료 기준_가입자'!"&amp;AB$1&amp;$AC17, TRUE)</f>
        <v>-28.5</v>
      </c>
      <c r="AC17" s="5364">
        <f>ROW('※ 수수료 기준_가입자'!Y53)</f>
        <v>53</v>
      </c>
    </row>
    <row r="18" spans="1:30" ht="18" customHeight="1" x14ac:dyDescent="0.55000000000000004">
      <c r="A18" s="7182"/>
      <c r="B18" s="2884" t="s">
        <v>86</v>
      </c>
      <c r="C18" s="2884"/>
      <c r="D18" s="5381" cm="1">
        <f t="array" aca="1" ref="D18" ca="1">INDIRECT("'※ 수수료 기준_가입자'!"&amp;D$1&amp;$AC18, TRUE)</f>
        <v>17299</v>
      </c>
      <c r="E18" s="5382" cm="1">
        <f t="array" aca="1" ref="E18" ca="1">INDIRECT("'※ 수수료 기준_가입자'!"&amp;E$1&amp;$AC18, TRUE)</f>
        <v>28322</v>
      </c>
      <c r="F18" s="5383" cm="1">
        <f t="array" aca="1" ref="F18" ca="1">INDIRECT("'※ 수수료 기준_가입자'!"&amp;F$1&amp;$AC18, TRUE)</f>
        <v>2041</v>
      </c>
      <c r="G18" s="5382" cm="1">
        <f t="array" aca="1" ref="G18" ca="1">INDIRECT("'※ 수수료 기준_가입자'!"&amp;G$1&amp;$AC18, TRUE)</f>
        <v>3100</v>
      </c>
      <c r="H18" s="5382" cm="1">
        <f t="array" aca="1" ref="H18" ca="1">INDIRECT("'※ 수수료 기준_가입자'!"&amp;H$1&amp;$AC18, TRUE)</f>
        <v>2774</v>
      </c>
      <c r="I18" s="5382" cm="1">
        <f t="array" aca="1" ref="I18" ca="1">INDIRECT("'※ 수수료 기준_가입자'!"&amp;I$1&amp;$AC18, TRUE)</f>
        <v>3234</v>
      </c>
      <c r="J18" s="5382" cm="1">
        <f t="array" aca="1" ref="J18" ca="1">INDIRECT("'※ 수수료 기준_가입자'!"&amp;J$1&amp;$AC18, TRUE)</f>
        <v>7163</v>
      </c>
      <c r="K18" s="5382" cm="1">
        <f t="array" aca="1" ref="K18" ca="1">INDIRECT("'※ 수수료 기준_가입자'!"&amp;K$1&amp;$AC18, TRUE)</f>
        <v>4358</v>
      </c>
      <c r="L18" s="5382" cm="1">
        <f t="array" aca="1" ref="L18" ca="1">INDIRECT("'※ 수수료 기준_가입자'!"&amp;L$1&amp;$AC18, TRUE)</f>
        <v>5179</v>
      </c>
      <c r="M18" s="5382" cm="1">
        <f t="array" aca="1" ref="M18" ca="1">INDIRECT("'※ 수수료 기준_가입자'!"&amp;M$1&amp;$AC18, TRUE)</f>
        <v>4142</v>
      </c>
      <c r="N18" s="5382" cm="1">
        <f t="array" aca="1" ref="N18" ca="1">INDIRECT("'※ 수수료 기준_가입자'!"&amp;N$1&amp;$AC18, TRUE)</f>
        <v>4308</v>
      </c>
      <c r="O18" s="5382" cm="1">
        <f t="array" aca="1" ref="O18" ca="1">INDIRECT("'※ 수수료 기준_가입자'!"&amp;O$1&amp;$AC18, TRUE)</f>
        <v>2445</v>
      </c>
      <c r="P18" s="5382" cm="1">
        <f t="array" aca="1" ref="P18" ca="1">INDIRECT("'※ 수수료 기준_가입자'!"&amp;P$1&amp;$AC18, TRUE)</f>
        <v>2538</v>
      </c>
      <c r="Q18" s="5382" cm="1">
        <f t="array" aca="1" ref="Q18" ca="1">INDIRECT("'※ 수수료 기준_가입자'!"&amp;Q$1&amp;$AC18, TRUE)</f>
        <v>5179</v>
      </c>
      <c r="R18" s="4351"/>
      <c r="S18" s="4351"/>
      <c r="T18" s="5373"/>
      <c r="U18" s="5384" cm="1">
        <f t="array" aca="1" ref="U18" ca="1">INDIRECT("'※ 수수료 기준_가입자'!"&amp;U$1&amp;$AC18, TRUE)</f>
        <v>2641</v>
      </c>
      <c r="V18" s="5385" cm="1">
        <f t="array" aca="1" ref="V18" ca="1">INDIRECT("'※ 수수료 기준_가입자'!"&amp;V$1&amp;$AC18, TRUE)</f>
        <v>2779</v>
      </c>
      <c r="W18" s="5386" cm="1">
        <f t="array" aca="1" ref="W18" ca="1">INDIRECT("'※ 수수료 기준_가입자'!"&amp;W$1&amp;$AC18, TRUE)</f>
        <v>46461</v>
      </c>
      <c r="X18" s="5377"/>
      <c r="Y18" s="4351"/>
      <c r="Z18" s="5387" cm="1">
        <f t="array" aca="1" ref="Z18" ca="1">INDIRECT("'※ 수수료 기준_가입자'!"&amp;Z$1&amp;$AC18, TRUE)</f>
        <v>20539</v>
      </c>
      <c r="AA18" s="5388" cm="1">
        <f t="array" aca="1" ref="AA18" ca="1">INDIRECT("'※ 수수료 기준_가입자'!"&amp;AA$1&amp;$AC18, TRUE)</f>
        <v>3871.75</v>
      </c>
      <c r="AB18" s="5389" cm="1">
        <f t="array" aca="1" ref="AB18" ca="1">INDIRECT("'※ 수수료 기준_가입자'!"&amp;AB$1&amp;$AC18, TRUE)</f>
        <v>1511.5833333333335</v>
      </c>
      <c r="AC18" s="5364">
        <f>ROW('※ 수수료 기준_가입자'!Y54)</f>
        <v>54</v>
      </c>
    </row>
    <row r="19" spans="1:30" ht="18" customHeight="1" x14ac:dyDescent="0.55000000000000004">
      <c r="A19" s="7182"/>
      <c r="B19" s="2493" t="s">
        <v>50</v>
      </c>
      <c r="C19" s="2493"/>
      <c r="D19" s="5370" cm="1">
        <f t="array" aca="1" ref="D19" ca="1">INDIRECT("'※ 수수료 기준_가입자'!"&amp;D$1&amp;$AC19, TRUE)</f>
        <v>47638</v>
      </c>
      <c r="E19" s="5371" cm="1">
        <f t="array" aca="1" ref="E19" ca="1">INDIRECT("'※ 수수료 기준_가입자'!"&amp;E$1&amp;$AC19, TRUE)</f>
        <v>71188</v>
      </c>
      <c r="F19" s="5372" cm="1">
        <f t="array" aca="1" ref="F19" ca="1">INDIRECT("'※ 수수료 기준_가입자'!"&amp;F$1&amp;$AC19, TRUE)</f>
        <v>6146</v>
      </c>
      <c r="G19" s="5371" cm="1">
        <f t="array" aca="1" ref="G19" ca="1">INDIRECT("'※ 수수료 기준_가입자'!"&amp;G$1&amp;$AC19, TRUE)</f>
        <v>6291</v>
      </c>
      <c r="H19" s="5371" cm="1">
        <f t="array" aca="1" ref="H19" ca="1">INDIRECT("'※ 수수료 기준_가입자'!"&amp;H$1&amp;$AC19, TRUE)</f>
        <v>6210</v>
      </c>
      <c r="I19" s="5371" cm="1">
        <f t="array" aca="1" ref="I19" ca="1">INDIRECT("'※ 수수료 기준_가입자'!"&amp;I$1&amp;$AC19, TRUE)</f>
        <v>6006</v>
      </c>
      <c r="J19" s="5371" cm="1">
        <f t="array" aca="1" ref="J19" ca="1">INDIRECT("'※ 수수료 기준_가입자'!"&amp;J$1&amp;$AC19, TRUE)</f>
        <v>8146</v>
      </c>
      <c r="K19" s="5371" cm="1">
        <f t="array" aca="1" ref="K19" ca="1">INDIRECT("'※ 수수료 기준_가입자'!"&amp;K$1&amp;$AC19, TRUE)</f>
        <v>7311</v>
      </c>
      <c r="L19" s="5371" cm="1">
        <f t="array" aca="1" ref="L19" ca="1">INDIRECT("'※ 수수료 기준_가입자'!"&amp;L$1&amp;$AC19, TRUE)</f>
        <v>6981</v>
      </c>
      <c r="M19" s="5371" cm="1">
        <f t="array" aca="1" ref="M19" ca="1">INDIRECT("'※ 수수료 기준_가입자'!"&amp;M$1&amp;$AC19, TRUE)</f>
        <v>7424</v>
      </c>
      <c r="N19" s="5371" cm="1">
        <f t="array" aca="1" ref="N19" ca="1">INDIRECT("'※ 수수료 기준_가입자'!"&amp;N$1&amp;$AC19, TRUE)</f>
        <v>7036</v>
      </c>
      <c r="O19" s="5371" cm="1">
        <f t="array" aca="1" ref="O19" ca="1">INDIRECT("'※ 수수료 기준_가입자'!"&amp;O$1&amp;$AC19, TRUE)</f>
        <v>6196</v>
      </c>
      <c r="P19" s="5371" cm="1">
        <f t="array" aca="1" ref="P19" ca="1">INDIRECT("'※ 수수료 기준_가입자'!"&amp;P$1&amp;$AC19, TRUE)</f>
        <v>6493</v>
      </c>
      <c r="Q19" s="5371" cm="1">
        <f t="array" aca="1" ref="Q19" ca="1">INDIRECT("'※ 수수료 기준_가입자'!"&amp;Q$1&amp;$AC19, TRUE)</f>
        <v>6981</v>
      </c>
      <c r="R19" s="4351"/>
      <c r="S19" s="4351"/>
      <c r="T19" s="5373"/>
      <c r="U19" s="5374" cm="1">
        <f t="array" aca="1" ref="U19" ca="1">INDIRECT("'※ 수수료 기준_가입자'!"&amp;U$1&amp;$AC19, TRUE)</f>
        <v>488</v>
      </c>
      <c r="V19" s="5375" cm="1">
        <f t="array" aca="1" ref="V19" ca="1">INDIRECT("'※ 수수료 기준_가입자'!"&amp;V$1&amp;$AC19, TRUE)</f>
        <v>313</v>
      </c>
      <c r="W19" s="5376" cm="1">
        <f t="array" aca="1" ref="W19" ca="1">INDIRECT("'※ 수수료 기준_가입자'!"&amp;W$1&amp;$AC19, TRUE)</f>
        <v>81221</v>
      </c>
      <c r="X19" s="5377"/>
      <c r="Y19" s="4351"/>
      <c r="Z19" s="5378" cm="1">
        <f t="array" aca="1" ref="Z19" ca="1">INDIRECT("'※ 수수료 기준_가입자'!"&amp;Z$1&amp;$AC19, TRUE)</f>
        <v>16701</v>
      </c>
      <c r="AA19" s="5379" cm="1">
        <f t="array" aca="1" ref="AA19" ca="1">INDIRECT("'※ 수수료 기준_가입자'!"&amp;AA$1&amp;$AC19, TRUE)</f>
        <v>6768.416666666667</v>
      </c>
      <c r="AB19" s="5380" cm="1">
        <f t="array" aca="1" ref="AB19" ca="1">INDIRECT("'※ 수수료 기준_가입자'!"&amp;AB$1&amp;$AC19, TRUE)</f>
        <v>836.08333333333394</v>
      </c>
      <c r="AC19" s="5364">
        <f>ROW('※ 수수료 기준_가입자'!Y55)</f>
        <v>55</v>
      </c>
    </row>
    <row r="20" spans="1:30" ht="18" customHeight="1" x14ac:dyDescent="0.55000000000000004">
      <c r="A20" s="7183"/>
      <c r="B20" s="5408" t="s">
        <v>51</v>
      </c>
      <c r="C20" s="5408"/>
      <c r="D20" s="5409" cm="1">
        <f t="array" aca="1" ref="D20" ca="1">INDIRECT("'※ 수수료 기준_가입자'!"&amp;D$1&amp;$AC20, TRUE)</f>
        <v>-30339</v>
      </c>
      <c r="E20" s="5392" cm="1">
        <f t="array" aca="1" ref="E20" ca="1">INDIRECT("'※ 수수료 기준_가입자'!"&amp;E$1&amp;$AC20, TRUE)</f>
        <v>-42866</v>
      </c>
      <c r="F20" s="5391" cm="1">
        <f t="array" aca="1" ref="F20" ca="1">INDIRECT("'※ 수수료 기준_가입자'!"&amp;F$1&amp;$AC20, TRUE)</f>
        <v>-4105</v>
      </c>
      <c r="G20" s="5392" cm="1">
        <f t="array" aca="1" ref="G20" ca="1">INDIRECT("'※ 수수료 기준_가입자'!"&amp;G$1&amp;$AC20, TRUE)</f>
        <v>-3191</v>
      </c>
      <c r="H20" s="5392" cm="1">
        <f t="array" aca="1" ref="H20" ca="1">INDIRECT("'※ 수수료 기준_가입자'!"&amp;H$1&amp;$AC20, TRUE)</f>
        <v>-3436</v>
      </c>
      <c r="I20" s="5392" cm="1">
        <f t="array" aca="1" ref="I20" ca="1">INDIRECT("'※ 수수료 기준_가입자'!"&amp;I$1&amp;$AC20, TRUE)</f>
        <v>-2772</v>
      </c>
      <c r="J20" s="5392" cm="1">
        <f t="array" aca="1" ref="J20" ca="1">INDIRECT("'※ 수수료 기준_가입자'!"&amp;J$1&amp;$AC20, TRUE)</f>
        <v>-983</v>
      </c>
      <c r="K20" s="5392" cm="1">
        <f t="array" aca="1" ref="K20" ca="1">INDIRECT("'※ 수수료 기준_가입자'!"&amp;K$1&amp;$AC20, TRUE)</f>
        <v>-2953</v>
      </c>
      <c r="L20" s="5392" cm="1">
        <f t="array" aca="1" ref="L20" ca="1">INDIRECT("'※ 수수료 기준_가입자'!"&amp;L$1&amp;$AC20, TRUE)</f>
        <v>-1802</v>
      </c>
      <c r="M20" s="5392" cm="1">
        <f t="array" aca="1" ref="M20" ca="1">INDIRECT("'※ 수수료 기준_가입자'!"&amp;M$1&amp;$AC20, TRUE)</f>
        <v>-3282</v>
      </c>
      <c r="N20" s="5392" cm="1">
        <f t="array" aca="1" ref="N20" ca="1">INDIRECT("'※ 수수료 기준_가입자'!"&amp;N$1&amp;$AC20, TRUE)</f>
        <v>-2728</v>
      </c>
      <c r="O20" s="5392" cm="1">
        <f t="array" aca="1" ref="O20" ca="1">INDIRECT("'※ 수수료 기준_가입자'!"&amp;O$1&amp;$AC20, TRUE)</f>
        <v>-3751</v>
      </c>
      <c r="P20" s="5392" cm="1">
        <f t="array" aca="1" ref="P20" ca="1">INDIRECT("'※ 수수료 기준_가입자'!"&amp;P$1&amp;$AC20, TRUE)</f>
        <v>-3955</v>
      </c>
      <c r="Q20" s="5392" cm="1">
        <f t="array" aca="1" ref="Q20" ca="1">INDIRECT("'※ 수수료 기준_가입자'!"&amp;Q$1&amp;$AC20, TRUE)</f>
        <v>-1802</v>
      </c>
      <c r="R20" s="4351"/>
      <c r="S20" s="4351"/>
      <c r="T20" s="5373"/>
      <c r="U20" s="5410" cm="1">
        <f t="array" aca="1" ref="U20" ca="1">INDIRECT("'※ 수수료 기준_가입자'!"&amp;U$1&amp;$AC20, TRUE)</f>
        <v>2153</v>
      </c>
      <c r="V20" s="5411" cm="1">
        <f t="array" aca="1" ref="V20" ca="1">INDIRECT("'※ 수수료 기준_가입자'!"&amp;V$1&amp;$AC20, TRUE)</f>
        <v>2466</v>
      </c>
      <c r="W20" s="5412" cm="1">
        <f t="array" aca="1" ref="W20" ca="1">INDIRECT("'※ 수수료 기준_가입자'!"&amp;W$1&amp;$AC20, TRUE)</f>
        <v>-34760</v>
      </c>
      <c r="X20" s="5377"/>
      <c r="Y20" s="4351"/>
      <c r="Z20" s="5413" cm="1">
        <f t="array" aca="1" ref="Z20" ca="1">INDIRECT("'※ 수수료 기준_가입자'!"&amp;Z$1&amp;$AC20, TRUE)</f>
        <v>3838</v>
      </c>
      <c r="AA20" s="5414" cm="1">
        <f t="array" aca="1" ref="AA20" ca="1">INDIRECT("'※ 수수료 기준_가입자'!"&amp;AA$1&amp;$AC20, TRUE)</f>
        <v>-2896.6666666666665</v>
      </c>
      <c r="AB20" s="5415" cm="1">
        <f t="array" aca="1" ref="AB20" ca="1">INDIRECT("'※ 수수료 기준_가입자'!"&amp;AB$1&amp;$AC20, TRUE)</f>
        <v>675.5</v>
      </c>
      <c r="AC20" s="5364">
        <f>ROW('※ 수수료 기준_가입자'!Y56)</f>
        <v>56</v>
      </c>
    </row>
    <row r="21" spans="1:30" ht="18" customHeight="1" x14ac:dyDescent="0.55000000000000004">
      <c r="A21" s="7184" t="s">
        <v>1116</v>
      </c>
      <c r="B21" s="3329" t="s">
        <v>44</v>
      </c>
      <c r="C21" s="3014"/>
      <c r="D21" s="5416" cm="1">
        <f t="array" aca="1" ref="D21" ca="1">INDIRECT("'※ 수수료 기준_가입자'!"&amp;D$1&amp;$AC21, TRUE)</f>
        <v>157765</v>
      </c>
      <c r="E21" s="5417" cm="1">
        <f t="array" aca="1" ref="E21" ca="1">INDIRECT("'※ 수수료 기준_가입자'!"&amp;E$1&amp;$AC21, TRUE)</f>
        <v>141966</v>
      </c>
      <c r="F21" s="5418" cm="1">
        <f t="array" aca="1" ref="F21" ca="1">INDIRECT("'※ 수수료 기준_가입자'!"&amp;F$1&amp;$AC21, TRUE)</f>
        <v>139631</v>
      </c>
      <c r="G21" s="5417" cm="1">
        <f t="array" aca="1" ref="G21" ca="1">INDIRECT("'※ 수수료 기준_가입자'!"&amp;G$1&amp;$AC21, TRUE)</f>
        <v>138915</v>
      </c>
      <c r="H21" s="5417" cm="1">
        <f t="array" aca="1" ref="H21" ca="1">INDIRECT("'※ 수수료 기준_가입자'!"&amp;H$1&amp;$AC21, TRUE)</f>
        <v>136836</v>
      </c>
      <c r="I21" s="5417" cm="1">
        <f t="array" aca="1" ref="I21" ca="1">INDIRECT("'※ 수수료 기준_가입자'!"&amp;I$1&amp;$AC21, TRUE)</f>
        <v>135724</v>
      </c>
      <c r="J21" s="5417" cm="1">
        <f t="array" aca="1" ref="J21" ca="1">INDIRECT("'※ 수수료 기준_가입자'!"&amp;J$1&amp;$AC21, TRUE)</f>
        <v>136114</v>
      </c>
      <c r="K21" s="5417" cm="1">
        <f t="array" aca="1" ref="K21" ca="1">INDIRECT("'※ 수수료 기준_가입자'!"&amp;K$1&amp;$AC21, TRUE)</f>
        <v>134766</v>
      </c>
      <c r="L21" s="5417" cm="1">
        <f t="array" aca="1" ref="L21" ca="1">INDIRECT("'※ 수수료 기준_가입자'!"&amp;L$1&amp;$AC21, TRUE)</f>
        <v>134689</v>
      </c>
      <c r="M21" s="5417" cm="1">
        <f t="array" aca="1" ref="M21" ca="1">INDIRECT("'※ 수수료 기준_가입자'!"&amp;M$1&amp;$AC21, TRUE)</f>
        <v>134153</v>
      </c>
      <c r="N21" s="5417" cm="1">
        <f t="array" aca="1" ref="N21" ca="1">INDIRECT("'※ 수수료 기준_가입자'!"&amp;N$1&amp;$AC21, TRUE)</f>
        <v>133602</v>
      </c>
      <c r="O21" s="5417" cm="1">
        <f t="array" aca="1" ref="O21" ca="1">INDIRECT("'※ 수수료 기준_가입자'!"&amp;O$1&amp;$AC21, TRUE)</f>
        <v>131944</v>
      </c>
      <c r="P21" s="5417" cm="1">
        <f t="array" aca="1" ref="P21" ca="1">INDIRECT("'※ 수수료 기준_가입자'!"&amp;P$1&amp;$AC21, TRUE)</f>
        <v>129734</v>
      </c>
      <c r="Q21" s="5417" cm="1">
        <f t="array" aca="1" ref="Q21" ca="1">INDIRECT("'※ 수수료 기준_가입자'!"&amp;Q$1&amp;$AC21, TRUE)</f>
        <v>126881</v>
      </c>
      <c r="R21" s="4351"/>
      <c r="S21" s="4351"/>
      <c r="T21" s="5373"/>
      <c r="U21" s="5419" cm="1">
        <f t="array" aca="1" ref="U21" ca="1">INDIRECT("'※ 수수료 기준_가입자'!"&amp;U$1&amp;$AC21, TRUE)</f>
        <v>-2853</v>
      </c>
      <c r="V21" s="5420" cm="1">
        <f t="array" aca="1" ref="V21" ca="1">INDIRECT("'※ 수수료 기준_가입자'!"&amp;V$1&amp;$AC21, TRUE)</f>
        <v>-15085</v>
      </c>
      <c r="W21" s="4738" cm="1">
        <f t="array" aca="1" ref="W21" ca="1">INDIRECT("'※ 수수료 기준_가입자'!"&amp;W$1&amp;$AC21, TRUE)</f>
        <v>126881</v>
      </c>
      <c r="X21" s="5377"/>
      <c r="Y21" s="4351"/>
      <c r="Z21" s="5421" cm="1">
        <f t="array" aca="1" ref="Z21" ca="1">INDIRECT("'※ 수수료 기준_가입자'!"&amp;Z$1&amp;$AC21, TRUE)</f>
        <v>-15085</v>
      </c>
      <c r="AA21" s="4741" cm="1">
        <f t="array" aca="1" ref="AA21" ca="1">INDIRECT("'※ 수수료 기준_가입자'!"&amp;AA$1&amp;$AC21, TRUE)</f>
        <v>134415.75</v>
      </c>
      <c r="AB21" s="5422" cm="1">
        <f t="array" aca="1" ref="AB21" ca="1">INDIRECT("'※ 수수료 기준_가입자'!"&amp;AB$1&amp;$AC21, TRUE)</f>
        <v>-14778.083333333343</v>
      </c>
      <c r="AC21" s="5364">
        <f>ROW('※ 수수료 기준_가입자'!Y57)</f>
        <v>57</v>
      </c>
    </row>
    <row r="22" spans="1:30" ht="18" customHeight="1" x14ac:dyDescent="0.55000000000000004">
      <c r="A22" s="7182"/>
      <c r="B22" s="2493" t="s">
        <v>58</v>
      </c>
      <c r="C22" s="2493"/>
      <c r="D22" s="5370" cm="1">
        <f t="array" aca="1" ref="D22" ca="1">INDIRECT("'※ 수수료 기준_가입자'!"&amp;D$1&amp;$AC22, TRUE)</f>
        <v>49995</v>
      </c>
      <c r="E22" s="5371" cm="1">
        <f t="array" aca="1" ref="E22" ca="1">INDIRECT("'※ 수수료 기준_가입자'!"&amp;E$1&amp;$AC22, TRUE)</f>
        <v>51663</v>
      </c>
      <c r="F22" s="5372" cm="1">
        <f t="array" aca="1" ref="F22" ca="1">INDIRECT("'※ 수수료 기준_가입자'!"&amp;F$1&amp;$AC22, TRUE)</f>
        <v>3459</v>
      </c>
      <c r="G22" s="5371" cm="1">
        <f t="array" aca="1" ref="G22" ca="1">INDIRECT("'※ 수수료 기준_가입자'!"&amp;G$1&amp;$AC22, TRUE)</f>
        <v>5357</v>
      </c>
      <c r="H22" s="5371" cm="1">
        <f t="array" aca="1" ref="H22" ca="1">INDIRECT("'※ 수수료 기준_가입자'!"&amp;H$1&amp;$AC22, TRUE)</f>
        <v>4534</v>
      </c>
      <c r="I22" s="5371" cm="1">
        <f t="array" aca="1" ref="I22" ca="1">INDIRECT("'※ 수수료 기준_가입자'!"&amp;I$1&amp;$AC22, TRUE)</f>
        <v>5002</v>
      </c>
      <c r="J22" s="5371" cm="1">
        <f t="array" aca="1" ref="J22" ca="1">INDIRECT("'※ 수수료 기준_가입자'!"&amp;J$1&amp;$AC22, TRUE)</f>
        <v>8782</v>
      </c>
      <c r="K22" s="5371" cm="1">
        <f t="array" aca="1" ref="K22" ca="1">INDIRECT("'※ 수수료 기준_가입자'!"&amp;K$1&amp;$AC22, TRUE)</f>
        <v>5866</v>
      </c>
      <c r="L22" s="5371" cm="1">
        <f t="array" aca="1" ref="L22" ca="1">INDIRECT("'※ 수수료 기준_가입자'!"&amp;L$1&amp;$AC22, TRUE)</f>
        <v>6867</v>
      </c>
      <c r="M22" s="5371" cm="1">
        <f t="array" aca="1" ref="M22" ca="1">INDIRECT("'※ 수수료 기준_가입자'!"&amp;M$1&amp;$AC22, TRUE)</f>
        <v>5711</v>
      </c>
      <c r="N22" s="5371" cm="1">
        <f t="array" aca="1" ref="N22" ca="1">INDIRECT("'※ 수수료 기준_가입자'!"&amp;N$1&amp;$AC22, TRUE)</f>
        <v>5684</v>
      </c>
      <c r="O22" s="5371" cm="1">
        <f t="array" aca="1" ref="O22" ca="1">INDIRECT("'※ 수수료 기준_가입자'!"&amp;O$1&amp;$AC22, TRUE)</f>
        <v>3798</v>
      </c>
      <c r="P22" s="5371" cm="1">
        <f t="array" aca="1" ref="P22" ca="1">INDIRECT("'※ 수수료 기준_가입자'!"&amp;P$1&amp;$AC22, TRUE)</f>
        <v>3808</v>
      </c>
      <c r="Q22" s="5371" cm="1">
        <f t="array" aca="1" ref="Q22" ca="1">INDIRECT("'※ 수수료 기준_가입자'!"&amp;Q$1&amp;$AC22, TRUE)</f>
        <v>3644</v>
      </c>
      <c r="R22" s="4351"/>
      <c r="S22" s="4351"/>
      <c r="T22" s="5373"/>
      <c r="U22" s="5374" cm="1">
        <f t="array" aca="1" ref="U22" ca="1">INDIRECT("'※ 수수료 기준_가입자'!"&amp;U$1&amp;$AC22, TRUE)</f>
        <v>-164</v>
      </c>
      <c r="V22" s="5375" cm="1">
        <f t="array" aca="1" ref="V22" ca="1">INDIRECT("'※ 수수료 기준_가입자'!"&amp;V$1&amp;$AC22, TRUE)</f>
        <v>-212</v>
      </c>
      <c r="W22" s="5376" cm="1">
        <f t="array" aca="1" ref="W22" ca="1">INDIRECT("'※ 수수료 기준_가입자'!"&amp;W$1&amp;$AC22, TRUE)</f>
        <v>62512</v>
      </c>
      <c r="X22" s="5377"/>
      <c r="Y22" s="4351"/>
      <c r="Z22" s="5378" cm="1">
        <f t="array" aca="1" ref="Z22" ca="1">INDIRECT("'※ 수수료 기준_가입자'!"&amp;Z$1&amp;$AC22, TRUE)</f>
        <v>14705</v>
      </c>
      <c r="AA22" s="5379" cm="1">
        <f t="array" aca="1" ref="AA22" ca="1">INDIRECT("'※ 수수료 기준_가입자'!"&amp;AA$1&amp;$AC22, TRUE)</f>
        <v>5209.333333333333</v>
      </c>
      <c r="AB22" s="5380" cm="1">
        <f t="array" aca="1" ref="AB22" ca="1">INDIRECT("'※ 수수료 기준_가입자'!"&amp;AB$1&amp;$AC22, TRUE)</f>
        <v>904.08333333333303</v>
      </c>
      <c r="AC22" s="5364">
        <f>ROW('※ 수수료 기준_가입자'!Y58)</f>
        <v>58</v>
      </c>
    </row>
    <row r="23" spans="1:30" ht="18" customHeight="1" x14ac:dyDescent="0.55000000000000004">
      <c r="A23" s="7182"/>
      <c r="B23" s="2493" t="s">
        <v>48</v>
      </c>
      <c r="C23" s="2493"/>
      <c r="D23" s="5370" cm="1">
        <f t="array" aca="1" ref="D23" ca="1">INDIRECT("'※ 수수료 기준_가입자'!"&amp;D$1&amp;$AC23, TRUE)</f>
        <v>21441</v>
      </c>
      <c r="E23" s="5371" cm="1">
        <f t="array" aca="1" ref="E23" ca="1">INDIRECT("'※ 수수료 기준_가입자'!"&amp;E$1&amp;$AC23, TRUE)</f>
        <v>19732</v>
      </c>
      <c r="F23" s="5372" cm="1">
        <f t="array" aca="1" ref="F23" ca="1">INDIRECT("'※ 수수료 기준_가입자'!"&amp;F$1&amp;$AC23, TRUE)</f>
        <v>1498</v>
      </c>
      <c r="G23" s="5371" cm="1">
        <f t="array" aca="1" ref="G23" ca="1">INDIRECT("'※ 수수료 기준_가입자'!"&amp;G$1&amp;$AC23, TRUE)</f>
        <v>1949</v>
      </c>
      <c r="H23" s="5371" cm="1">
        <f t="array" aca="1" ref="H23" ca="1">INDIRECT("'※ 수수료 기준_가입자'!"&amp;H$1&amp;$AC23, TRUE)</f>
        <v>1994</v>
      </c>
      <c r="I23" s="5371" cm="1">
        <f t="array" aca="1" ref="I23" ca="1">INDIRECT("'※ 수수료 기준_가입자'!"&amp;I$1&amp;$AC23, TRUE)</f>
        <v>1963</v>
      </c>
      <c r="J23" s="5371" cm="1">
        <f t="array" aca="1" ref="J23" ca="1">INDIRECT("'※ 수수료 기준_가입자'!"&amp;J$1&amp;$AC23, TRUE)</f>
        <v>1749</v>
      </c>
      <c r="K23" s="5371" cm="1">
        <f t="array" aca="1" ref="K23" ca="1">INDIRECT("'※ 수수료 기준_가입자'!"&amp;K$1&amp;$AC23, TRUE)</f>
        <v>1804</v>
      </c>
      <c r="L23" s="5371" cm="1">
        <f t="array" aca="1" ref="L23" ca="1">INDIRECT("'※ 수수료 기준_가입자'!"&amp;L$1&amp;$AC23, TRUE)</f>
        <v>1656</v>
      </c>
      <c r="M23" s="5371" cm="1">
        <f t="array" aca="1" ref="M23" ca="1">INDIRECT("'※ 수수료 기준_가입자'!"&amp;M$1&amp;$AC23, TRUE)</f>
        <v>1473</v>
      </c>
      <c r="N23" s="5371" cm="1">
        <f t="array" aca="1" ref="N23" ca="1">INDIRECT("'※ 수수료 기준_가입자'!"&amp;N$1&amp;$AC23, TRUE)</f>
        <v>1700</v>
      </c>
      <c r="O23" s="5371" cm="1">
        <f t="array" aca="1" ref="O23" ca="1">INDIRECT("'※ 수수료 기준_가입자'!"&amp;O$1&amp;$AC23, TRUE)</f>
        <v>1728</v>
      </c>
      <c r="P23" s="5371" cm="1">
        <f t="array" aca="1" ref="P23" ca="1">INDIRECT("'※ 수수료 기준_가입자'!"&amp;P$1&amp;$AC23, TRUE)</f>
        <v>1715</v>
      </c>
      <c r="Q23" s="5371" cm="1">
        <f t="array" aca="1" ref="Q23" ca="1">INDIRECT("'※ 수수료 기준_가입자'!"&amp;Q$1&amp;$AC23, TRUE)</f>
        <v>1565</v>
      </c>
      <c r="R23" s="4351"/>
      <c r="S23" s="4351"/>
      <c r="T23" s="5373"/>
      <c r="U23" s="5374" cm="1">
        <f t="array" aca="1" ref="U23" ca="1">INDIRECT("'※ 수수료 기준_가입자'!"&amp;U$1&amp;$AC23, TRUE)</f>
        <v>-150</v>
      </c>
      <c r="V23" s="5375" cm="1">
        <f t="array" aca="1" ref="V23" ca="1">INDIRECT("'※ 수수료 기준_가입자'!"&amp;V$1&amp;$AC23, TRUE)</f>
        <v>133</v>
      </c>
      <c r="W23" s="5376" cm="1">
        <f t="array" aca="1" ref="W23" ca="1">INDIRECT("'※ 수수료 기준_가입자'!"&amp;W$1&amp;$AC23, TRUE)</f>
        <v>20794</v>
      </c>
      <c r="X23" s="5377"/>
      <c r="Y23" s="4351"/>
      <c r="Z23" s="5378" cm="1">
        <f t="array" aca="1" ref="Z23" ca="1">INDIRECT("'※ 수수료 기준_가입자'!"&amp;Z$1&amp;$AC23, TRUE)</f>
        <v>2494</v>
      </c>
      <c r="AA23" s="5379" cm="1">
        <f t="array" aca="1" ref="AA23" ca="1">INDIRECT("'※ 수수료 기준_가입자'!"&amp;AA$1&amp;$AC23, TRUE)</f>
        <v>1732.8333333333333</v>
      </c>
      <c r="AB23" s="5380" cm="1">
        <f t="array" aca="1" ref="AB23" ca="1">INDIRECT("'※ 수수료 기준_가입자'!"&amp;AB$1&amp;$AC23, TRUE)</f>
        <v>88.5</v>
      </c>
      <c r="AC23" s="5364">
        <f>ROW('※ 수수료 기준_가입자'!Y59)</f>
        <v>59</v>
      </c>
    </row>
    <row r="24" spans="1:30" ht="18" customHeight="1" x14ac:dyDescent="0.55000000000000004">
      <c r="A24" s="7182"/>
      <c r="B24" s="3723" t="s">
        <v>59</v>
      </c>
      <c r="C24" s="2493"/>
      <c r="D24" s="5370" cm="1">
        <f t="array" aca="1" ref="D24" ca="1">INDIRECT("'※ 수수료 기준_가입자'!"&amp;D$1&amp;$AC24, TRUE)</f>
        <v>1537</v>
      </c>
      <c r="E24" s="5371" cm="1">
        <f t="array" aca="1" ref="E24" ca="1">INDIRECT("'※ 수수료 기준_가입자'!"&amp;E$1&amp;$AC24, TRUE)</f>
        <v>1314</v>
      </c>
      <c r="F24" s="5372" cm="1">
        <f t="array" aca="1" ref="F24" ca="1">INDIRECT("'※ 수수료 기준_가입자'!"&amp;F$1&amp;$AC24, TRUE)</f>
        <v>79</v>
      </c>
      <c r="G24" s="5371" cm="1">
        <f t="array" aca="1" ref="G24" ca="1">INDIRECT("'※ 수수료 기준_가입자'!"&amp;G$1&amp;$AC24, TRUE)</f>
        <v>74</v>
      </c>
      <c r="H24" s="5371" cm="1">
        <f t="array" aca="1" ref="H24" ca="1">INDIRECT("'※ 수수료 기준_가입자'!"&amp;H$1&amp;$AC24, TRUE)</f>
        <v>141</v>
      </c>
      <c r="I24" s="5371" cm="1">
        <f t="array" aca="1" ref="I24" ca="1">INDIRECT("'※ 수수료 기준_가입자'!"&amp;I$1&amp;$AC24, TRUE)</f>
        <v>123</v>
      </c>
      <c r="J24" s="5371" cm="1">
        <f t="array" aca="1" ref="J24" ca="1">INDIRECT("'※ 수수료 기준_가입자'!"&amp;J$1&amp;$AC24, TRUE)</f>
        <v>165</v>
      </c>
      <c r="K24" s="5371" cm="1">
        <f t="array" aca="1" ref="K24" ca="1">INDIRECT("'※ 수수료 기준_가입자'!"&amp;K$1&amp;$AC24, TRUE)</f>
        <v>93</v>
      </c>
      <c r="L24" s="5371" cm="1">
        <f t="array" aca="1" ref="L24" ca="1">INDIRECT("'※ 수수료 기준_가입자'!"&amp;L$1&amp;$AC24, TRUE)</f>
        <v>80</v>
      </c>
      <c r="M24" s="5371" cm="1">
        <f t="array" aca="1" ref="M24" ca="1">INDIRECT("'※ 수수료 기준_가입자'!"&amp;M$1&amp;$AC24, TRUE)</f>
        <v>49</v>
      </c>
      <c r="N24" s="5371" cm="1">
        <f t="array" aca="1" ref="N24" ca="1">INDIRECT("'※ 수수료 기준_가입자'!"&amp;N$1&amp;$AC24, TRUE)</f>
        <v>57</v>
      </c>
      <c r="O24" s="5371" cm="1">
        <f t="array" aca="1" ref="O24" ca="1">INDIRECT("'※ 수수료 기준_가입자'!"&amp;O$1&amp;$AC24, TRUE)</f>
        <v>64</v>
      </c>
      <c r="P24" s="5371" cm="1">
        <f t="array" aca="1" ref="P24" ca="1">INDIRECT("'※ 수수료 기준_가입자'!"&amp;P$1&amp;$AC24, TRUE)</f>
        <v>42</v>
      </c>
      <c r="Q24" s="5371" cm="1">
        <f t="array" aca="1" ref="Q24" ca="1">INDIRECT("'※ 수수료 기준_가입자'!"&amp;Q$1&amp;$AC24, TRUE)</f>
        <v>45</v>
      </c>
      <c r="R24" s="4351"/>
      <c r="S24" s="4351"/>
      <c r="T24" s="5373"/>
      <c r="U24" s="5374" cm="1">
        <f t="array" aca="1" ref="U24" ca="1">INDIRECT("'※ 수수료 기준_가입자'!"&amp;U$1&amp;$AC24, TRUE)</f>
        <v>3</v>
      </c>
      <c r="V24" s="5375" cm="1">
        <f t="array" aca="1" ref="V24" ca="1">INDIRECT("'※ 수수료 기준_가입자'!"&amp;V$1&amp;$AC24, TRUE)</f>
        <v>-30</v>
      </c>
      <c r="W24" s="5376" cm="1">
        <f t="array" aca="1" ref="W24" ca="1">INDIRECT("'※ 수수료 기준_가입자'!"&amp;W$1&amp;$AC24, TRUE)</f>
        <v>1012</v>
      </c>
      <c r="X24" s="5377"/>
      <c r="Y24" s="4351"/>
      <c r="Z24" s="5378" cm="1">
        <f t="array" aca="1" ref="Z24" ca="1">INDIRECT("'※ 수수료 기준_가입자'!"&amp;Z$1&amp;$AC24, TRUE)</f>
        <v>-227</v>
      </c>
      <c r="AA24" s="5379" cm="1">
        <f t="array" aca="1" ref="AA24" ca="1">INDIRECT("'※ 수수료 기준_가입자'!"&amp;AA$1&amp;$AC24, TRUE)</f>
        <v>84.333333333333329</v>
      </c>
      <c r="AB24" s="5380" cm="1">
        <f t="array" aca="1" ref="AB24" ca="1">INDIRECT("'※ 수수료 기준_가입자'!"&amp;AB$1&amp;$AC24, TRUE)</f>
        <v>-25.166666666666671</v>
      </c>
      <c r="AC24" s="5364">
        <f>ROW('※ 수수료 기준_가입자'!Y60)</f>
        <v>60</v>
      </c>
    </row>
    <row r="25" spans="1:30" ht="18" customHeight="1" x14ac:dyDescent="0.55000000000000004">
      <c r="A25" s="7182"/>
      <c r="B25" s="2884" t="s">
        <v>86</v>
      </c>
      <c r="C25" s="2884"/>
      <c r="D25" s="5381" cm="1">
        <f t="array" aca="1" ref="D25" ca="1">INDIRECT("'※ 수수료 기준_가입자'!"&amp;D$1&amp;$AC25, TRUE)</f>
        <v>28554</v>
      </c>
      <c r="E25" s="5382" cm="1">
        <f t="array" aca="1" ref="E25" ca="1">INDIRECT("'※ 수수료 기준_가입자'!"&amp;E$1&amp;$AC25, TRUE)</f>
        <v>31931</v>
      </c>
      <c r="F25" s="5383" cm="1">
        <f t="array" aca="1" ref="F25" ca="1">INDIRECT("'※ 수수료 기준_가입자'!"&amp;F$1&amp;$AC25, TRUE)</f>
        <v>1953</v>
      </c>
      <c r="G25" s="5382" cm="1">
        <f t="array" aca="1" ref="G25" ca="1">INDIRECT("'※ 수수료 기준_가입자'!"&amp;G$1&amp;$AC25, TRUE)</f>
        <v>3102</v>
      </c>
      <c r="H25" s="5382" cm="1">
        <f t="array" aca="1" ref="H25" ca="1">INDIRECT("'※ 수수료 기준_가입자'!"&amp;H$1&amp;$AC25, TRUE)</f>
        <v>2540</v>
      </c>
      <c r="I25" s="5382" cm="1">
        <f t="array" aca="1" ref="I25" ca="1">INDIRECT("'※ 수수료 기준_가입자'!"&amp;I$1&amp;$AC25, TRUE)</f>
        <v>3039</v>
      </c>
      <c r="J25" s="5382" cm="1">
        <f t="array" aca="1" ref="J25" ca="1">INDIRECT("'※ 수수료 기준_가입자'!"&amp;J$1&amp;$AC25, TRUE)</f>
        <v>7033</v>
      </c>
      <c r="K25" s="5382" cm="1">
        <f t="array" aca="1" ref="K25" ca="1">INDIRECT("'※ 수수료 기준_가입자'!"&amp;K$1&amp;$AC25, TRUE)</f>
        <v>4062</v>
      </c>
      <c r="L25" s="5382" cm="1">
        <f t="array" aca="1" ref="L25" ca="1">INDIRECT("'※ 수수료 기준_가입자'!"&amp;L$1&amp;$AC25, TRUE)</f>
        <v>5211</v>
      </c>
      <c r="M25" s="5382" cm="1">
        <f t="array" aca="1" ref="M25" ca="1">INDIRECT("'※ 수수료 기준_가입자'!"&amp;M$1&amp;$AC25, TRUE)</f>
        <v>4238</v>
      </c>
      <c r="N25" s="5382" cm="1">
        <f t="array" aca="1" ref="N25" ca="1">INDIRECT("'※ 수수료 기준_가입자'!"&amp;N$1&amp;$AC25, TRUE)</f>
        <v>3984</v>
      </c>
      <c r="O25" s="5382" cm="1">
        <f t="array" aca="1" ref="O25" ca="1">INDIRECT("'※ 수수료 기준_가입자'!"&amp;O$1&amp;$AC25, TRUE)</f>
        <v>2070</v>
      </c>
      <c r="P25" s="5382" cm="1">
        <f t="array" aca="1" ref="P25" ca="1">INDIRECT("'※ 수수료 기준_가입자'!"&amp;P$1&amp;$AC25, TRUE)</f>
        <v>2093</v>
      </c>
      <c r="Q25" s="5382" cm="1">
        <f t="array" aca="1" ref="Q25" ca="1">INDIRECT("'※ 수수료 기준_가입자'!"&amp;Q$1&amp;$AC25, TRUE)</f>
        <v>2079</v>
      </c>
      <c r="R25" s="4351"/>
      <c r="S25" s="4351"/>
      <c r="T25" s="5373"/>
      <c r="U25" s="5384" cm="1">
        <f t="array" aca="1" ref="U25" ca="1">INDIRECT("'※ 수수료 기준_가입자'!"&amp;U$1&amp;$AC25, TRUE)</f>
        <v>-14</v>
      </c>
      <c r="V25" s="5385" cm="1">
        <f t="array" aca="1" ref="V25" ca="1">INDIRECT("'※ 수수료 기준_가입자'!"&amp;V$1&amp;$AC25, TRUE)</f>
        <v>-345</v>
      </c>
      <c r="W25" s="5386" cm="1">
        <f t="array" aca="1" ref="W25" ca="1">INDIRECT("'※ 수수료 기준_가입자'!"&amp;W$1&amp;$AC25, TRUE)</f>
        <v>41404</v>
      </c>
      <c r="X25" s="5377"/>
      <c r="Y25" s="4351"/>
      <c r="Z25" s="5387" cm="1">
        <f t="array" aca="1" ref="Z25" ca="1">INDIRECT("'※ 수수료 기준_가입자'!"&amp;Z$1&amp;$AC25, TRUE)</f>
        <v>11897</v>
      </c>
      <c r="AA25" s="5388" cm="1">
        <f t="array" aca="1" ref="AA25" ca="1">INDIRECT("'※ 수수료 기준_가입자'!"&amp;AA$1&amp;$AC25, TRUE)</f>
        <v>3450.3333333333335</v>
      </c>
      <c r="AB25" s="5389" cm="1">
        <f t="array" aca="1" ref="AB25" ca="1">INDIRECT("'※ 수수료 기준_가입자'!"&amp;AB$1&amp;$AC25, TRUE)</f>
        <v>789.41666666666697</v>
      </c>
      <c r="AC25" s="5364">
        <f>ROW('※ 수수료 기준_가입자'!Y61)</f>
        <v>61</v>
      </c>
    </row>
    <row r="26" spans="1:30" ht="18" customHeight="1" x14ac:dyDescent="0.55000000000000004">
      <c r="A26" s="7182"/>
      <c r="B26" s="2493" t="s">
        <v>50</v>
      </c>
      <c r="C26" s="2493"/>
      <c r="D26" s="5370" cm="1">
        <f t="array" aca="1" ref="D26" ca="1">INDIRECT("'※ 수수료 기준_가입자'!"&amp;D$1&amp;$AC26, TRUE)</f>
        <v>44452</v>
      </c>
      <c r="E26" s="5371" cm="1">
        <f t="array" aca="1" ref="E26" ca="1">INDIRECT("'※ 수수료 기준_가입자'!"&amp;E$1&amp;$AC26, TRUE)</f>
        <v>54999</v>
      </c>
      <c r="F26" s="5372" cm="1">
        <f t="array" aca="1" ref="F26" ca="1">INDIRECT("'※ 수수료 기준_가입자'!"&amp;F$1&amp;$AC26, TRUE)</f>
        <v>4570</v>
      </c>
      <c r="G26" s="5371" cm="1">
        <f t="array" aca="1" ref="G26" ca="1">INDIRECT("'※ 수수료 기준_가입자'!"&amp;G$1&amp;$AC26, TRUE)</f>
        <v>4265</v>
      </c>
      <c r="H26" s="5371" cm="1">
        <f t="array" aca="1" ref="H26" ca="1">INDIRECT("'※ 수수료 기준_가입자'!"&amp;H$1&amp;$AC26, TRUE)</f>
        <v>4619</v>
      </c>
      <c r="I26" s="5371" cm="1">
        <f t="array" aca="1" ref="I26" ca="1">INDIRECT("'※ 수수료 기준_가입자'!"&amp;I$1&amp;$AC26, TRUE)</f>
        <v>4151</v>
      </c>
      <c r="J26" s="5371" cm="1">
        <f t="array" aca="1" ref="J26" ca="1">INDIRECT("'※ 수수료 기준_가입자'!"&amp;J$1&amp;$AC26, TRUE)</f>
        <v>6643</v>
      </c>
      <c r="K26" s="5371" cm="1">
        <f t="array" aca="1" ref="K26" ca="1">INDIRECT("'※ 수수료 기준_가입자'!"&amp;K$1&amp;$AC26, TRUE)</f>
        <v>5410</v>
      </c>
      <c r="L26" s="5371" cm="1">
        <f t="array" aca="1" ref="L26" ca="1">INDIRECT("'※ 수수료 기준_가입자'!"&amp;L$1&amp;$AC26, TRUE)</f>
        <v>5288</v>
      </c>
      <c r="M26" s="5371" cm="1">
        <f t="array" aca="1" ref="M26" ca="1">INDIRECT("'※ 수수료 기준_가입자'!"&amp;M$1&amp;$AC26, TRUE)</f>
        <v>4774</v>
      </c>
      <c r="N26" s="5371" cm="1">
        <f t="array" aca="1" ref="N26" ca="1">INDIRECT("'※ 수수료 기준_가입자'!"&amp;N$1&amp;$AC26, TRUE)</f>
        <v>4535</v>
      </c>
      <c r="O26" s="5371" cm="1">
        <f t="array" aca="1" ref="O26" ca="1">INDIRECT("'※ 수수료 기준_가입자'!"&amp;O$1&amp;$AC26, TRUE)</f>
        <v>3728</v>
      </c>
      <c r="P26" s="5371" cm="1">
        <f t="array" aca="1" ref="P26" ca="1">INDIRECT("'※ 수수료 기준_가입자'!"&amp;P$1&amp;$AC26, TRUE)</f>
        <v>4303</v>
      </c>
      <c r="Q26" s="5371" cm="1">
        <f t="array" aca="1" ref="Q26" ca="1">INDIRECT("'※ 수수료 기준_가입자'!"&amp;Q$1&amp;$AC26, TRUE)</f>
        <v>4932</v>
      </c>
      <c r="R26" s="4351"/>
      <c r="S26" s="4351"/>
      <c r="T26" s="5373"/>
      <c r="U26" s="5374" cm="1">
        <f t="array" aca="1" ref="U26" ca="1">INDIRECT("'※ 수수료 기준_가입자'!"&amp;U$1&amp;$AC26, TRUE)</f>
        <v>629</v>
      </c>
      <c r="V26" s="5375" cm="1">
        <f t="array" aca="1" ref="V26" ca="1">INDIRECT("'※ 수수료 기준_가입자'!"&amp;V$1&amp;$AC26, TRUE)</f>
        <v>463</v>
      </c>
      <c r="W26" s="5376" cm="1">
        <f t="array" aca="1" ref="W26" ca="1">INDIRECT("'※ 수수료 기준_가입자'!"&amp;W$1&amp;$AC26, TRUE)</f>
        <v>57218</v>
      </c>
      <c r="X26" s="5377"/>
      <c r="Y26" s="4351"/>
      <c r="Z26" s="5378" cm="1">
        <f t="array" aca="1" ref="Z26" ca="1">INDIRECT("'※ 수수료 기준_가입자'!"&amp;Z$1&amp;$AC26, TRUE)</f>
        <v>6688</v>
      </c>
      <c r="AA26" s="5379" cm="1">
        <f t="array" aca="1" ref="AA26" ca="1">INDIRECT("'※ 수수료 기준_가입자'!"&amp;AA$1&amp;$AC26, TRUE)</f>
        <v>4768.166666666667</v>
      </c>
      <c r="AB26" s="5380" cm="1">
        <f t="array" aca="1" ref="AB26" ca="1">INDIRECT("'※ 수수료 기준_가입자'!"&amp;AB$1&amp;$AC26, TRUE)</f>
        <v>184.91666666666697</v>
      </c>
      <c r="AC26" s="5364">
        <f>ROW('※ 수수료 기준_가입자'!Y62)</f>
        <v>62</v>
      </c>
    </row>
    <row r="27" spans="1:30" ht="18" customHeight="1" thickBot="1" x14ac:dyDescent="0.6">
      <c r="A27" s="7185"/>
      <c r="B27" s="5423" t="s">
        <v>51</v>
      </c>
      <c r="C27" s="5423"/>
      <c r="D27" s="5424" cm="1">
        <f t="array" aca="1" ref="D27" ca="1">INDIRECT("'※ 수수료 기준_가입자'!"&amp;D$1&amp;$AC27, TRUE)</f>
        <v>-15898</v>
      </c>
      <c r="E27" s="5425" cm="1">
        <f t="array" aca="1" ref="E27" ca="1">INDIRECT("'※ 수수료 기준_가입자'!"&amp;E$1&amp;$AC27, TRUE)</f>
        <v>-23068</v>
      </c>
      <c r="F27" s="5426" cm="1">
        <f t="array" aca="1" ref="F27" ca="1">INDIRECT("'※ 수수료 기준_가입자'!"&amp;F$1&amp;$AC27, TRUE)</f>
        <v>-2335</v>
      </c>
      <c r="G27" s="5425" cm="1">
        <f t="array" aca="1" ref="G27" ca="1">INDIRECT("'※ 수수료 기준_가입자'!"&amp;G$1&amp;$AC27, TRUE)</f>
        <v>876</v>
      </c>
      <c r="H27" s="5425" cm="1">
        <f t="array" aca="1" ref="H27" ca="1">INDIRECT("'※ 수수료 기준_가입자'!"&amp;H$1&amp;$AC27, TRUE)</f>
        <v>-2079</v>
      </c>
      <c r="I27" s="5425" cm="1">
        <f t="array" aca="1" ref="I27" ca="1">INDIRECT("'※ 수수료 기준_가입자'!"&amp;I$1&amp;$AC27, TRUE)</f>
        <v>-1112</v>
      </c>
      <c r="J27" s="5425" cm="1">
        <f t="array" aca="1" ref="J27" ca="1">INDIRECT("'※ 수수료 기준_가입자'!"&amp;J$1&amp;$AC27, TRUE)</f>
        <v>390</v>
      </c>
      <c r="K27" s="5425" cm="1">
        <f t="array" aca="1" ref="K27" ca="1">INDIRECT("'※ 수수료 기준_가입자'!"&amp;K$1&amp;$AC27, TRUE)</f>
        <v>-1348</v>
      </c>
      <c r="L27" s="5425" cm="1">
        <f t="array" aca="1" ref="L27" ca="1">INDIRECT("'※ 수수료 기준_가입자'!"&amp;L$1&amp;$AC27, TRUE)</f>
        <v>-77</v>
      </c>
      <c r="M27" s="5425" cm="1">
        <f t="array" aca="1" ref="M27" ca="1">INDIRECT("'※ 수수료 기준_가입자'!"&amp;M$1&amp;$AC27, TRUE)</f>
        <v>-536</v>
      </c>
      <c r="N27" s="5425" cm="1">
        <f t="array" aca="1" ref="N27" ca="1">INDIRECT("'※ 수수료 기준_가입자'!"&amp;N$1&amp;$AC27, TRUE)</f>
        <v>-551</v>
      </c>
      <c r="O27" s="5425" cm="1">
        <f t="array" aca="1" ref="O27" ca="1">INDIRECT("'※ 수수료 기준_가입자'!"&amp;O$1&amp;$AC27, TRUE)</f>
        <v>-1658</v>
      </c>
      <c r="P27" s="5425" cm="1">
        <f t="array" aca="1" ref="P27" ca="1">INDIRECT("'※ 수수료 기준_가입자'!"&amp;P$1&amp;$AC27, TRUE)</f>
        <v>-2210</v>
      </c>
      <c r="Q27" s="5425" cm="1">
        <f t="array" aca="1" ref="Q27" ca="1">INDIRECT("'※ 수수료 기준_가입자'!"&amp;Q$1&amp;$AC27, TRUE)</f>
        <v>-2853</v>
      </c>
      <c r="R27" s="5427"/>
      <c r="S27" s="5427"/>
      <c r="T27" s="5428"/>
      <c r="U27" s="5429" cm="1">
        <f t="array" aca="1" ref="U27" ca="1">INDIRECT("'※ 수수료 기준_가입자'!"&amp;U$1&amp;$AC27, TRUE)</f>
        <v>-643</v>
      </c>
      <c r="V27" s="5430" cm="1">
        <f t="array" aca="1" ref="V27" ca="1">INDIRECT("'※ 수수료 기준_가입자'!"&amp;V$1&amp;$AC27, TRUE)</f>
        <v>-808</v>
      </c>
      <c r="W27" s="5431" cm="1">
        <f t="array" aca="1" ref="W27" ca="1">INDIRECT("'※ 수수료 기준_가입자'!"&amp;W$1&amp;$AC27, TRUE)</f>
        <v>-13493</v>
      </c>
      <c r="X27" s="5432"/>
      <c r="Y27" s="5427"/>
      <c r="Z27" s="5433" cm="1">
        <f t="array" aca="1" ref="Z27" ca="1">INDIRECT("'※ 수수료 기준_가입자'!"&amp;Z$1&amp;$AC27, TRUE)</f>
        <v>7530</v>
      </c>
      <c r="AA27" s="5434" cm="1">
        <f t="array" aca="1" ref="AA27" ca="1">INDIRECT("'※ 수수료 기준_가입자'!"&amp;AA$1&amp;$AC27, TRUE)</f>
        <v>-1124.4166666666667</v>
      </c>
      <c r="AB27" s="5435" cm="1">
        <f t="array" aca="1" ref="AB27" ca="1">INDIRECT("'※ 수수료 기준_가입자'!"&amp;AB$1&amp;$AC27, TRUE)</f>
        <v>797.91666666666652</v>
      </c>
      <c r="AC27" s="5364">
        <f>ROW('※ 수수료 기준_가입자'!Y63)</f>
        <v>63</v>
      </c>
    </row>
    <row r="28" spans="1:30" ht="6" customHeight="1" thickBot="1" x14ac:dyDescent="0.6">
      <c r="A28" s="5076"/>
      <c r="D28" s="3045"/>
      <c r="E28" s="2467"/>
      <c r="F28" s="2683"/>
      <c r="G28" s="3045"/>
      <c r="H28" s="3045"/>
      <c r="I28" s="3045"/>
      <c r="J28" s="3045"/>
      <c r="K28" s="3045"/>
      <c r="L28" s="3045"/>
      <c r="M28" s="3045"/>
      <c r="N28" s="3045"/>
      <c r="O28" s="3045"/>
      <c r="P28" s="3045"/>
      <c r="Q28" s="3045"/>
      <c r="R28" s="5436"/>
      <c r="S28" s="5436"/>
      <c r="T28" s="3045"/>
      <c r="U28" s="3045"/>
      <c r="V28" s="3045"/>
      <c r="W28" s="2467"/>
      <c r="X28" s="2467"/>
      <c r="Y28" s="2467"/>
      <c r="Z28" s="2467"/>
      <c r="AA28" s="2467"/>
      <c r="AB28" s="2467"/>
    </row>
    <row r="29" spans="1:30" ht="18" customHeight="1" thickTop="1" x14ac:dyDescent="0.55000000000000004">
      <c r="A29" s="7189" t="s">
        <v>1130</v>
      </c>
      <c r="B29" s="5437" t="s">
        <v>1131</v>
      </c>
      <c r="C29" s="5438"/>
      <c r="D29" s="5439" cm="1">
        <f t="array" aca="1" ref="D29" ca="1">INDIRECT("'※ 영기팀 작성_가입자'!"&amp;D$1&amp;$AC29, TRUE)</f>
        <v>86193</v>
      </c>
      <c r="E29" s="5440" cm="1">
        <f t="array" aca="1" ref="E29" ca="1">INDIRECT("'※ 영기팀 작성_가입자'!"&amp;E$1&amp;$AC29, TRUE)</f>
        <v>99761</v>
      </c>
      <c r="F29" s="5441">
        <f ca="1">F35+F41</f>
        <v>6832</v>
      </c>
      <c r="G29" s="5440">
        <f ca="1">G35+G41</f>
        <v>10184</v>
      </c>
      <c r="H29" s="5440">
        <f t="shared" ref="H29:K29" ca="1" si="0">H35+H41</f>
        <v>8872</v>
      </c>
      <c r="I29" s="5440">
        <f t="shared" ca="1" si="0"/>
        <v>9817</v>
      </c>
      <c r="J29" s="5440">
        <f t="shared" ca="1" si="0"/>
        <v>17314</v>
      </c>
      <c r="K29" s="5440">
        <f t="shared" ca="1" si="0"/>
        <v>11644</v>
      </c>
      <c r="L29" s="5440">
        <f t="shared" ref="L29:M29" ca="1" si="1">L35+L41</f>
        <v>13364</v>
      </c>
      <c r="M29" s="5440">
        <f t="shared" ca="1" si="1"/>
        <v>9193</v>
      </c>
      <c r="N29" s="5440">
        <f t="shared" ref="N29:O29" ca="1" si="2">N35+N41</f>
        <v>9551</v>
      </c>
      <c r="O29" s="5440">
        <f t="shared" ca="1" si="2"/>
        <v>7532</v>
      </c>
      <c r="P29" s="5440">
        <f t="shared" ref="P29:Q29" ca="1" si="3">P35+P41</f>
        <v>7459</v>
      </c>
      <c r="Q29" s="5440">
        <f t="shared" ca="1" si="3"/>
        <v>7130</v>
      </c>
      <c r="R29" s="5442" cm="1">
        <f t="array" aca="1" ref="R29" ca="1">INDIRECT("'※ 영기팀 작성_가입자'!"&amp;R$1&amp;$AD29, TRUE)</f>
        <v>8550</v>
      </c>
      <c r="S29" s="5442" cm="1">
        <f t="array" aca="1" ref="S29" ca="1">INDIRECT("'※ 영기팀 작성_가입자'!"&amp;S$1&amp;$AD29, TRUE)</f>
        <v>-1027</v>
      </c>
      <c r="T29" s="5443" cm="1">
        <f t="array" aca="1" ref="T29" ca="1">INDIRECT("'※ 영기팀 작성_가입자'!"&amp;T$1&amp;$AD29, TRUE)</f>
        <v>0.98665314559850226</v>
      </c>
      <c r="U29" s="5444" cm="1">
        <f t="array" aca="1" ref="U29" ca="1">INDIRECT("'※ 영기팀 작성_가입자'!"&amp;U$2&amp;$AC29,TRUE)</f>
        <v>-631</v>
      </c>
      <c r="V29" s="5445" cm="1">
        <f t="array" aca="1" ref="V29" ca="1">INDIRECT("'※ 영기팀 작성_가입자'!"&amp;V$1&amp;$AC29, TRUE)</f>
        <v>192</v>
      </c>
      <c r="W29" s="5446" cm="1">
        <f t="array" aca="1" ref="W29" ca="1">INDIRECT("'※ 영기팀 작성_가입자'!"&amp;W$1&amp;$AC29, TRUE)</f>
        <v>126484</v>
      </c>
      <c r="X29" s="5442" cm="1">
        <f t="array" aca="1" ref="X29" ca="1">INDIRECT("'※ 영기팀 작성_가입자'!"&amp;X$1&amp;$AD29, TRUE)</f>
        <v>-1027</v>
      </c>
      <c r="Y29" s="5443" cm="1">
        <f t="array" aca="1" ref="Y29" ca="1">INDIRECT("'※ 영기팀 작성_가입자'!"&amp;Y$1&amp;$AD29, TRUE)</f>
        <v>1.6526415094339624</v>
      </c>
      <c r="Z29" s="5447" cm="1">
        <f t="array" aca="1" ref="Z29" ca="1">INDIRECT("'※ 영기팀 작성_가입자'!"&amp;Z$1&amp;$AC29, TRUE)</f>
        <v>2226.038378746216</v>
      </c>
      <c r="AA29" s="5448" cm="1">
        <f t="array" aca="1" ref="AA29" ca="1">INDIRECT("'※ 영기팀 작성_가입자'!"&amp;AA$1&amp;$AC29, TRUE)</f>
        <v>10539.455045412882</v>
      </c>
      <c r="AB29" s="5449" cm="1">
        <f t="array" aca="1" ref="AB29" ca="1">INDIRECT("'※ 영기팀 작성_가입자'!"&amp;AB$1&amp;$AC29, TRUE)</f>
        <v>-367</v>
      </c>
      <c r="AC29" s="5364">
        <f>ROW('※ 영기팀 작성_가입자'!AW192)</f>
        <v>192</v>
      </c>
      <c r="AD29" s="5360">
        <f>ROW('※ 영기팀 작성_가입자'!AI478)</f>
        <v>478</v>
      </c>
    </row>
    <row r="30" spans="1:30" ht="18" customHeight="1" x14ac:dyDescent="0.55000000000000004">
      <c r="A30" s="7190"/>
      <c r="B30" s="3452"/>
      <c r="C30" s="2493" t="s">
        <v>19</v>
      </c>
      <c r="D30" s="5450">
        <f t="shared" ref="D30:E32" ca="1" si="4">D36+D46</f>
        <v>33874</v>
      </c>
      <c r="E30" s="5451">
        <f t="shared" ca="1" si="4"/>
        <v>39817</v>
      </c>
      <c r="F30" s="5452">
        <f t="shared" ref="F30:K30" ca="1" si="5">F36+F46</f>
        <v>2493</v>
      </c>
      <c r="G30" s="5451">
        <f t="shared" ca="1" si="5"/>
        <v>4919</v>
      </c>
      <c r="H30" s="5451">
        <f ca="1">H36+H46</f>
        <v>3745</v>
      </c>
      <c r="I30" s="5451">
        <f t="shared" ca="1" si="5"/>
        <v>4421</v>
      </c>
      <c r="J30" s="5451">
        <f t="shared" ca="1" si="5"/>
        <v>7562.9999999999991</v>
      </c>
      <c r="K30" s="5451">
        <f t="shared" ca="1" si="5"/>
        <v>4089</v>
      </c>
      <c r="L30" s="5451">
        <f t="shared" ref="L30:M30" ca="1" si="6">L36+L46</f>
        <v>5722</v>
      </c>
      <c r="M30" s="5451">
        <f t="shared" ca="1" si="6"/>
        <v>3850</v>
      </c>
      <c r="N30" s="5451">
        <f t="shared" ref="N30:O30" ca="1" si="7">N36+N46</f>
        <v>3971</v>
      </c>
      <c r="O30" s="5451">
        <f t="shared" ca="1" si="7"/>
        <v>2765</v>
      </c>
      <c r="P30" s="5451">
        <f t="shared" ref="P30:Q30" ca="1" si="8">P36+P46</f>
        <v>2827</v>
      </c>
      <c r="Q30" s="5451">
        <f t="shared" ca="1" si="8"/>
        <v>2685</v>
      </c>
      <c r="R30" s="5378" cm="1">
        <f t="array" aca="1" ref="R30" ca="1">INDIRECT("'※ 영기팀 작성_가입자'!"&amp;R$1&amp;$AD30, TRUE)</f>
        <v>3000</v>
      </c>
      <c r="S30" s="5378" cm="1">
        <f t="array" aca="1" ref="S30" ca="1">INDIRECT("'※ 영기팀 작성_가입자'!"&amp;S$1&amp;$AD30, TRUE)</f>
        <v>-315</v>
      </c>
      <c r="T30" s="5453" cm="1">
        <f t="array" aca="1" ref="T30" ca="1">INDIRECT("'※ 영기팀 작성_가입자'!"&amp;T$1&amp;$AD30, TRUE)</f>
        <v>0.95394174757281558</v>
      </c>
      <c r="U30" s="5454" cm="1">
        <f t="array" aca="1" ref="U30" ca="1">INDIRECT("'※ 영기팀 작성_가입자'!"&amp;U$2&amp;$AC30,TRUE)</f>
        <v>-150</v>
      </c>
      <c r="V30" s="5455" cm="1">
        <f t="array" aca="1" ref="V30" ca="1">INDIRECT("'※ 영기팀 작성_가입자'!"&amp;V$2&amp;$AC30,TRUE)</f>
        <v>-235</v>
      </c>
      <c r="W30" s="5456">
        <f ca="1">W36+W46</f>
        <v>49050</v>
      </c>
      <c r="X30" s="5378" cm="1">
        <f t="array" aca="1" ref="X30" ca="1">INDIRECT("'※ 영기팀 작성_가입자'!"&amp;X$1&amp;$AD30, TRUE)</f>
        <v>-315</v>
      </c>
      <c r="Y30" s="5453" cm="1">
        <f t="array" aca="1" ref="Y30" ca="1">INDIRECT("'※ 영기팀 작성_가입자'!"&amp;Y$1&amp;$AD30, TRUE)</f>
        <v>1.8446341463414633</v>
      </c>
      <c r="Z30" s="5457">
        <f t="shared" ref="Z30:AB32" ca="1" si="9">Z36+Z46</f>
        <v>9233</v>
      </c>
      <c r="AA30" s="4890">
        <f t="shared" ca="1" si="9"/>
        <v>4087.1594033830515</v>
      </c>
      <c r="AB30" s="5458">
        <f t="shared" ca="1" si="9"/>
        <v>-235</v>
      </c>
      <c r="AC30" s="5364">
        <f>ROW('※ 영기팀 작성_가입자'!AW199)</f>
        <v>199</v>
      </c>
      <c r="AD30" s="5360">
        <f>ROW('※ 영기팀 작성_가입자'!AI479)</f>
        <v>479</v>
      </c>
    </row>
    <row r="31" spans="1:30" ht="18" customHeight="1" x14ac:dyDescent="0.55000000000000004">
      <c r="A31" s="7190"/>
      <c r="B31" s="3452"/>
      <c r="C31" s="2493" t="s">
        <v>1019</v>
      </c>
      <c r="D31" s="5450">
        <f ca="1">D37+D47</f>
        <v>12391</v>
      </c>
      <c r="E31" s="5451">
        <f t="shared" ca="1" si="4"/>
        <v>13384</v>
      </c>
      <c r="F31" s="5452">
        <f t="shared" ref="F31:K31" ca="1" si="10">F37+F47</f>
        <v>827</v>
      </c>
      <c r="G31" s="5451">
        <f t="shared" ca="1" si="10"/>
        <v>811</v>
      </c>
      <c r="H31" s="5451">
        <f t="shared" ca="1" si="10"/>
        <v>1119</v>
      </c>
      <c r="I31" s="5451">
        <f t="shared" ca="1" si="10"/>
        <v>1194</v>
      </c>
      <c r="J31" s="5451">
        <f t="shared" ca="1" si="10"/>
        <v>1475</v>
      </c>
      <c r="K31" s="5451">
        <f t="shared" ca="1" si="10"/>
        <v>1163</v>
      </c>
      <c r="L31" s="5451">
        <f t="shared" ref="L31:M31" ca="1" si="11">L37+L47</f>
        <v>1714</v>
      </c>
      <c r="M31" s="5451">
        <f t="shared" ca="1" si="11"/>
        <v>1176</v>
      </c>
      <c r="N31" s="5451">
        <f t="shared" ref="N31:O31" ca="1" si="12">N37+N47</f>
        <v>1260</v>
      </c>
      <c r="O31" s="5451">
        <f t="shared" ca="1" si="12"/>
        <v>769</v>
      </c>
      <c r="P31" s="5451">
        <f t="shared" ref="P31:Q31" ca="1" si="13">P37+P47</f>
        <v>648</v>
      </c>
      <c r="Q31" s="5451">
        <f t="shared" ca="1" si="13"/>
        <v>509</v>
      </c>
      <c r="R31" s="5378" cm="1">
        <f t="array" aca="1" ref="R31" ca="1">INDIRECT("'※ 영기팀 작성_가입자'!"&amp;R$1&amp;$AD31, TRUE)</f>
        <v>1500</v>
      </c>
      <c r="S31" s="5378" cm="1">
        <f t="array" aca="1" ref="S31" ca="1">INDIRECT("'※ 영기팀 작성_가입자'!"&amp;S$1&amp;$AD31, TRUE)</f>
        <v>-614</v>
      </c>
      <c r="T31" s="5453" cm="1">
        <f t="array" aca="1" ref="T31" ca="1">INDIRECT("'※ 영기팀 작성_가입자'!"&amp;T$1&amp;$AD31, TRUE)</f>
        <v>0.8584090909090909</v>
      </c>
      <c r="U31" s="5454" cm="1">
        <f t="array" aca="1" ref="U31" ca="1">INDIRECT("'※ 영기팀 작성_가입자'!"&amp;U$2&amp;$AC31,TRUE)</f>
        <v>-427</v>
      </c>
      <c r="V31" s="5455" cm="1">
        <f t="array" aca="1" ref="V31" ca="1">INDIRECT("'※ 영기팀 작성_가입자'!"&amp;V$2&amp;$AC31,TRUE)</f>
        <v>68</v>
      </c>
      <c r="W31" s="5456">
        <f ca="1">W37+W47</f>
        <v>12665</v>
      </c>
      <c r="X31" s="5378" cm="1">
        <f t="array" aca="1" ref="X31" ca="1">INDIRECT("'※ 영기팀 작성_가입자'!"&amp;X$1&amp;$AD31, TRUE)</f>
        <v>-614</v>
      </c>
      <c r="Y31" s="5453" cm="1">
        <f t="array" aca="1" ref="Y31" ca="1">INDIRECT("'※ 영기팀 작성_가입자'!"&amp;Y$1&amp;$AD31, TRUE)</f>
        <v>0.83950000000000002</v>
      </c>
      <c r="Z31" s="5457">
        <f t="shared" ca="1" si="9"/>
        <v>-719</v>
      </c>
      <c r="AA31" s="4890">
        <f t="shared" ca="1" si="9"/>
        <v>1055.3287226064494</v>
      </c>
      <c r="AB31" s="5458">
        <f t="shared" ca="1" si="9"/>
        <v>-309</v>
      </c>
      <c r="AC31" s="5364">
        <f>ROW('※ 영기팀 작성_가입자'!AW200)</f>
        <v>200</v>
      </c>
      <c r="AD31" s="5360">
        <f>ROW('※ 영기팀 작성_가입자'!AI480)</f>
        <v>480</v>
      </c>
    </row>
    <row r="32" spans="1:30" ht="18" customHeight="1" x14ac:dyDescent="0.55000000000000004">
      <c r="A32" s="7190"/>
      <c r="B32" s="3452"/>
      <c r="C32" s="2493" t="s">
        <v>20</v>
      </c>
      <c r="D32" s="5450">
        <f t="shared" ca="1" si="4"/>
        <v>31901</v>
      </c>
      <c r="E32" s="5451">
        <f t="shared" ca="1" si="4"/>
        <v>39552</v>
      </c>
      <c r="F32" s="5452">
        <f t="shared" ref="F32:K32" ca="1" si="14">F38+F48</f>
        <v>3465</v>
      </c>
      <c r="G32" s="5451">
        <f t="shared" ca="1" si="14"/>
        <v>4420</v>
      </c>
      <c r="H32" s="5451">
        <f t="shared" ca="1" si="14"/>
        <v>3884</v>
      </c>
      <c r="I32" s="5451">
        <f t="shared" ca="1" si="14"/>
        <v>4016</v>
      </c>
      <c r="J32" s="5451">
        <f t="shared" ca="1" si="14"/>
        <v>7752</v>
      </c>
      <c r="K32" s="5451">
        <f t="shared" ca="1" si="14"/>
        <v>6076</v>
      </c>
      <c r="L32" s="5451">
        <f t="shared" ref="L32:M32" ca="1" si="15">L38+L48</f>
        <v>5412</v>
      </c>
      <c r="M32" s="5451">
        <f t="shared" ca="1" si="15"/>
        <v>3967</v>
      </c>
      <c r="N32" s="5451">
        <f t="shared" ref="N32:O32" ca="1" si="16">N38+N48</f>
        <v>4043</v>
      </c>
      <c r="O32" s="5451">
        <f t="shared" ca="1" si="16"/>
        <v>3808</v>
      </c>
      <c r="P32" s="5451">
        <f t="shared" ref="P32:Q32" ca="1" si="17">P38+P48</f>
        <v>3714</v>
      </c>
      <c r="Q32" s="5451">
        <f t="shared" ca="1" si="17"/>
        <v>3694</v>
      </c>
      <c r="R32" s="5378" cm="1">
        <f t="array" aca="1" ref="R32" ca="1">INDIRECT("'※ 영기팀 작성_가입자'!"&amp;R$1&amp;$AD32, TRUE)</f>
        <v>3800</v>
      </c>
      <c r="S32" s="5378" cm="1">
        <f t="array" aca="1" ref="S32" ca="1">INDIRECT("'※ 영기팀 작성_가입자'!"&amp;S$1&amp;$AD32, TRUE)</f>
        <v>-106</v>
      </c>
      <c r="T32" s="5453" cm="1">
        <f t="array" aca="1" ref="T32" ca="1">INDIRECT("'※ 영기팀 작성_가입자'!"&amp;T$1&amp;$AD32, TRUE)</f>
        <v>0.96880357142857143</v>
      </c>
      <c r="U32" s="5454" cm="1">
        <f t="array" aca="1" ref="U32" ca="1">INDIRECT("'※ 영기팀 작성_가입자'!"&amp;U$2&amp;$AC32,TRUE)</f>
        <v>-20</v>
      </c>
      <c r="V32" s="5455" cm="1">
        <f t="array" aca="1" ref="V32" ca="1">INDIRECT("'※ 영기팀 작성_가입자'!"&amp;V$2&amp;$AC32,TRUE)</f>
        <v>30</v>
      </c>
      <c r="W32" s="5456">
        <f ca="1">W38+W48</f>
        <v>54251</v>
      </c>
      <c r="X32" s="5378" cm="1">
        <f t="array" aca="1" ref="X32" ca="1">INDIRECT("'※ 영기팀 작성_가입자'!"&amp;X$1&amp;$AD32, TRUE)</f>
        <v>-106</v>
      </c>
      <c r="Y32" s="5453" cm="1">
        <f t="array" aca="1" ref="Y32" ca="1">INDIRECT("'※ 영기팀 작성_가입자'!"&amp;Y$1&amp;$AD32, TRUE)</f>
        <v>1.8457142857142856</v>
      </c>
      <c r="Z32" s="5457">
        <f t="shared" ca="1" si="9"/>
        <v>14699</v>
      </c>
      <c r="AA32" s="4890">
        <f t="shared" ca="1" si="9"/>
        <v>4520.5399550037491</v>
      </c>
      <c r="AB32" s="5458">
        <f t="shared" ca="1" si="9"/>
        <v>30</v>
      </c>
      <c r="AC32" s="5364">
        <f>ROW('※ 영기팀 작성_가입자'!AW201)</f>
        <v>201</v>
      </c>
      <c r="AD32" s="5360">
        <f>ROW('※ 영기팀 작성_가입자'!AI481)</f>
        <v>481</v>
      </c>
    </row>
    <row r="33" spans="1:30" ht="18" customHeight="1" x14ac:dyDescent="0.55000000000000004">
      <c r="A33" s="7190"/>
      <c r="B33" s="3452"/>
      <c r="C33" s="3033" t="s">
        <v>954</v>
      </c>
      <c r="D33" s="5450">
        <f ca="1">D39+D50</f>
        <v>598</v>
      </c>
      <c r="E33" s="5451">
        <f ca="1">E39+E50</f>
        <v>594</v>
      </c>
      <c r="F33" s="5452">
        <f t="shared" ref="F33:K33" ca="1" si="18">F39+F49</f>
        <v>47</v>
      </c>
      <c r="G33" s="5451">
        <f t="shared" ca="1" si="18"/>
        <v>34</v>
      </c>
      <c r="H33" s="5451">
        <f t="shared" ca="1" si="18"/>
        <v>124</v>
      </c>
      <c r="I33" s="5451">
        <f t="shared" ca="1" si="18"/>
        <v>186</v>
      </c>
      <c r="J33" s="5451">
        <f t="shared" ca="1" si="18"/>
        <v>524</v>
      </c>
      <c r="K33" s="5451">
        <f t="shared" ca="1" si="18"/>
        <v>316</v>
      </c>
      <c r="L33" s="5451">
        <f t="shared" ref="L33:M33" ca="1" si="19">L39+L49</f>
        <v>516</v>
      </c>
      <c r="M33" s="5451">
        <f t="shared" ca="1" si="19"/>
        <v>200</v>
      </c>
      <c r="N33" s="5451">
        <f t="shared" ref="N33:O33" ca="1" si="20">N39+N49</f>
        <v>277</v>
      </c>
      <c r="O33" s="5451">
        <f t="shared" ca="1" si="20"/>
        <v>190</v>
      </c>
      <c r="P33" s="5451">
        <f t="shared" ref="P33:Q33" ca="1" si="21">P39+P49</f>
        <v>270</v>
      </c>
      <c r="Q33" s="5451">
        <f t="shared" ca="1" si="21"/>
        <v>242</v>
      </c>
      <c r="R33" s="5378" cm="1">
        <f t="array" aca="1" ref="R33" ca="1">INDIRECT("'※ 영기팀 작성_가입자'!"&amp;R$1&amp;$AD33, TRUE)</f>
        <v>250</v>
      </c>
      <c r="S33" s="5378" cm="1">
        <f t="array" aca="1" ref="S33" ca="1">INDIRECT("'※ 영기팀 작성_가입자'!"&amp;S$1&amp;$AD33, TRUE)</f>
        <v>-8</v>
      </c>
      <c r="T33" s="5453" cm="1">
        <f t="array" aca="1" ref="T33" ca="1">INDIRECT("'※ 영기팀 작성_가입자'!"&amp;T$1&amp;$AD33, TRUE)</f>
        <v>0.81277777777777782</v>
      </c>
      <c r="U33" s="5454" cm="1">
        <f t="array" aca="1" ref="U33" ca="1">INDIRECT("'※ 영기팀 작성_가입자'!"&amp;U$2&amp;$AC33,TRUE)</f>
        <v>-28</v>
      </c>
      <c r="V33" s="5455" cm="1">
        <f t="array" aca="1" ref="V33" ca="1">INDIRECT("'※ 영기팀 작성_가입자'!"&amp;V$2&amp;$AC33,TRUE)</f>
        <v>153</v>
      </c>
      <c r="W33" s="5456">
        <f ca="1">W39+W50</f>
        <v>1702</v>
      </c>
      <c r="X33" s="5378" cm="1">
        <f t="array" aca="1" ref="X33" ca="1">INDIRECT("'※ 영기팀 작성_가입자'!"&amp;X$1&amp;$AD33, TRUE)</f>
        <v>-8</v>
      </c>
      <c r="Y33" s="5453" cm="1">
        <f t="array" aca="1" ref="Y33" ca="1">INDIRECT("'※ 영기팀 작성_가입자'!"&amp;Y$1&amp;$AD33, TRUE)</f>
        <v>1.7466666666666666</v>
      </c>
      <c r="Z33" s="5457">
        <f t="shared" ref="Z33:AB34" ca="1" si="22">Z39+Z50</f>
        <v>1108</v>
      </c>
      <c r="AA33" s="4890">
        <f t="shared" ca="1" si="22"/>
        <v>141.82151487376052</v>
      </c>
      <c r="AB33" s="5458">
        <f t="shared" ca="1" si="22"/>
        <v>82</v>
      </c>
      <c r="AC33" s="5364">
        <f>ROW('※ 영기팀 작성_가입자'!AW202)</f>
        <v>202</v>
      </c>
      <c r="AD33" s="5360">
        <f>ROW('※ 영기팀 작성_가입자'!AI482)</f>
        <v>482</v>
      </c>
    </row>
    <row r="34" spans="1:30" ht="18" hidden="1" customHeight="1" x14ac:dyDescent="0.55000000000000004">
      <c r="A34" s="7190"/>
      <c r="B34" s="3452"/>
      <c r="C34" s="3033" t="s">
        <v>22</v>
      </c>
      <c r="D34" s="5450">
        <f>D40+D51</f>
        <v>0</v>
      </c>
      <c r="E34" s="5451">
        <f>E40+E51</f>
        <v>0</v>
      </c>
      <c r="F34" s="5452">
        <f t="shared" ref="F34:K34" si="23">F40+F51</f>
        <v>0</v>
      </c>
      <c r="G34" s="5451">
        <f t="shared" si="23"/>
        <v>0</v>
      </c>
      <c r="H34" s="5451">
        <f t="shared" si="23"/>
        <v>0</v>
      </c>
      <c r="I34" s="5451">
        <f t="shared" si="23"/>
        <v>0</v>
      </c>
      <c r="J34" s="5451">
        <f t="shared" si="23"/>
        <v>0</v>
      </c>
      <c r="K34" s="5451">
        <f t="shared" si="23"/>
        <v>0</v>
      </c>
      <c r="L34" s="5451">
        <f t="shared" ref="L34:M34" si="24">L40+L51</f>
        <v>0</v>
      </c>
      <c r="M34" s="5451">
        <f t="shared" si="24"/>
        <v>0</v>
      </c>
      <c r="N34" s="5451">
        <f t="shared" ref="N34:O34" si="25">N40+N51</f>
        <v>0</v>
      </c>
      <c r="O34" s="5451">
        <f t="shared" si="25"/>
        <v>0</v>
      </c>
      <c r="P34" s="5451">
        <f t="shared" ref="P34:Q34" si="26">P40+P51</f>
        <v>0</v>
      </c>
      <c r="Q34" s="5451">
        <f t="shared" si="26"/>
        <v>0</v>
      </c>
      <c r="R34" s="5378" t="e" cm="1">
        <f t="array" aca="1" ref="R34" ca="1">INDIRECT("'※ 영기팀 작성_가입자'!"&amp;R$1&amp;$AD34, TRUE)</f>
        <v>#REF!</v>
      </c>
      <c r="S34" s="5378" t="e" cm="1">
        <f t="array" aca="1" ref="S34" ca="1">INDIRECT("'※ 영기팀 작성_가입자'!"&amp;S$1&amp;$AD34, TRUE)</f>
        <v>#REF!</v>
      </c>
      <c r="T34" s="5453" t="e" cm="1">
        <f t="array" aca="1" ref="T34" ca="1">INDIRECT("'※ 영기팀 작성_가입자'!"&amp;T$1&amp;$AD34, TRUE)</f>
        <v>#REF!</v>
      </c>
      <c r="U34" s="5454" cm="1">
        <f t="array" aca="1" ref="U34" ca="1">INDIRECT("'※ 영기팀 작성_가입자'!"&amp;U$2&amp;$AC34,TRUE)</f>
        <v>-44</v>
      </c>
      <c r="V34" s="5455" cm="1">
        <f t="array" aca="1" ref="V34" ca="1">INDIRECT("'※ 영기팀 작성_가입자'!"&amp;V$2&amp;$AC34,TRUE)</f>
        <v>-39</v>
      </c>
      <c r="W34" s="5456">
        <f>W40+W51</f>
        <v>0</v>
      </c>
      <c r="X34" s="5378" t="e" cm="1">
        <f t="array" aca="1" ref="X34" ca="1">INDIRECT("'※ 영기팀 작성_가입자'!"&amp;X$1&amp;$AD34, TRUE)</f>
        <v>#REF!</v>
      </c>
      <c r="Y34" s="5453" t="e" cm="1">
        <f t="array" aca="1" ref="Y34" ca="1">INDIRECT("'※ 영기팀 작성_가입자'!"&amp;Y$1&amp;$AD34, TRUE)</f>
        <v>#REF!</v>
      </c>
      <c r="Z34" s="5457">
        <f t="shared" si="22"/>
        <v>0</v>
      </c>
      <c r="AA34" s="4890">
        <f t="shared" si="22"/>
        <v>0</v>
      </c>
      <c r="AB34" s="5458">
        <f t="shared" si="22"/>
        <v>0</v>
      </c>
      <c r="AC34" s="5364">
        <f>ROW('※ 영기팀 작성_가입자'!AW204)</f>
        <v>204</v>
      </c>
      <c r="AD34" s="5360" t="e">
        <f>ROW('※ 영기팀 작성_가입자'!#REF!)</f>
        <v>#REF!</v>
      </c>
    </row>
    <row r="35" spans="1:30" ht="18" customHeight="1" x14ac:dyDescent="0.55000000000000004">
      <c r="A35" s="7191"/>
      <c r="B35" s="5459" t="s">
        <v>90</v>
      </c>
      <c r="C35" s="5460"/>
      <c r="D35" s="3513">
        <f ca="1">SUM(D36:D39)</f>
        <v>39357</v>
      </c>
      <c r="E35" s="3514">
        <f ca="1">SUM(E36:E39)</f>
        <v>46226</v>
      </c>
      <c r="F35" s="5461">
        <f t="shared" ref="F35" ca="1" si="27">SUM(F36:F39)</f>
        <v>3381</v>
      </c>
      <c r="G35" s="3514">
        <f t="shared" ref="G35:L35" ca="1" si="28">SUM(G36:G39)</f>
        <v>4834</v>
      </c>
      <c r="H35" s="3514">
        <f t="shared" ca="1" si="28"/>
        <v>4355</v>
      </c>
      <c r="I35" s="3514">
        <f t="shared" ca="1" si="28"/>
        <v>4818</v>
      </c>
      <c r="J35" s="3514">
        <f t="shared" ca="1" si="28"/>
        <v>8532</v>
      </c>
      <c r="K35" s="3514">
        <f t="shared" ca="1" si="28"/>
        <v>5781</v>
      </c>
      <c r="L35" s="3514">
        <f t="shared" ca="1" si="28"/>
        <v>6583</v>
      </c>
      <c r="M35" s="3514">
        <f t="shared" ref="M35:N35" ca="1" si="29">SUM(M36:M39)</f>
        <v>4479</v>
      </c>
      <c r="N35" s="3514">
        <f t="shared" ca="1" si="29"/>
        <v>4816</v>
      </c>
      <c r="O35" s="3514">
        <f t="shared" ref="O35:P35" ca="1" si="30">SUM(O36:O39)</f>
        <v>3741</v>
      </c>
      <c r="P35" s="3514">
        <f t="shared" ca="1" si="30"/>
        <v>3661</v>
      </c>
      <c r="Q35" s="3514">
        <f t="shared" ref="Q35" ca="1" si="31">SUM(Q36:Q39)</f>
        <v>3490</v>
      </c>
      <c r="R35" s="5462"/>
      <c r="S35" s="5462"/>
      <c r="T35" s="5462"/>
      <c r="U35" s="5463" cm="1">
        <f t="array" aca="1" ref="U35" ca="1">INDIRECT("'※ 영기팀 작성_가입자'!"&amp;U$2&amp;$AC35,TRUE)</f>
        <v>-171</v>
      </c>
      <c r="V35" s="5464" cm="1">
        <f t="array" aca="1" ref="V35" ca="1">INDIRECT("'※ 영기팀 작성_가입자'!"&amp;V$2&amp;$AC35,TRUE)</f>
        <v>-133</v>
      </c>
      <c r="W35" s="5465">
        <f ca="1">SUM(W36:W39)</f>
        <v>58471</v>
      </c>
      <c r="X35" s="5462"/>
      <c r="Y35" s="5462"/>
      <c r="Z35" s="5466">
        <f ca="1">SUM(Z36:Z39)</f>
        <v>12245</v>
      </c>
      <c r="AA35" s="5467">
        <f ca="1">SUM(AA36:AA39)</f>
        <v>4872.1773185567872</v>
      </c>
      <c r="AB35" s="5468">
        <f ca="1">SUM(AB36:AB39)</f>
        <v>-145</v>
      </c>
      <c r="AC35" s="5364">
        <f>ROW('※ 영기팀 작성_가입자'!AW193)</f>
        <v>193</v>
      </c>
    </row>
    <row r="36" spans="1:30" ht="18" customHeight="1" x14ac:dyDescent="0.55000000000000004">
      <c r="A36" s="7191"/>
      <c r="B36" s="3452"/>
      <c r="C36" s="2493" t="s">
        <v>19</v>
      </c>
      <c r="D36" s="5450" cm="1">
        <f t="array" aca="1" ref="D36" ca="1">INDIRECT("'※ 영기팀 작성_가입자'!"&amp;D$1&amp;$AC36, TRUE)</f>
        <v>15859</v>
      </c>
      <c r="E36" s="5451" cm="1">
        <f t="array" aca="1" ref="E36" ca="1">INDIRECT("'※ 영기팀 작성_가입자'!"&amp;E$1&amp;$AC36, TRUE)</f>
        <v>18230</v>
      </c>
      <c r="F36" s="5452" cm="1">
        <f t="array" aca="1" ref="F36" ca="1">INDIRECT("'※ 영기팀 작성_가입자'!"&amp;F$1&amp;$AC36, TRUE)</f>
        <v>1166</v>
      </c>
      <c r="G36" s="5451" cm="1">
        <f t="array" aca="1" ref="G36" ca="1">INDIRECT("'※ 영기팀 작성_가입자'!"&amp;G$1&amp;$AC36, TRUE)</f>
        <v>2200</v>
      </c>
      <c r="H36" s="5451" cm="1">
        <f t="array" aca="1" ref="H36" ca="1">INDIRECT("'※ 영기팀 작성_가입자'!"&amp;H$1&amp;$AC36, TRUE)</f>
        <v>1692</v>
      </c>
      <c r="I36" s="5451" cm="1">
        <f t="array" aca="1" ref="I36" ca="1">INDIRECT("'※ 영기팀 작성_가입자'!"&amp;I$1&amp;$AC36, TRUE)</f>
        <v>2007</v>
      </c>
      <c r="J36" s="5451" cm="1">
        <f t="array" aca="1" ref="J36" ca="1">INDIRECT("'※ 영기팀 작성_가입자'!"&amp;J$1&amp;$AC36, TRUE)</f>
        <v>3633.9999999999995</v>
      </c>
      <c r="K36" s="5451" cm="1">
        <f t="array" aca="1" ref="K36" ca="1">INDIRECT("'※ 영기팀 작성_가입자'!"&amp;K$1&amp;$AC36, TRUE)</f>
        <v>1880.9999999999998</v>
      </c>
      <c r="L36" s="5451" cm="1">
        <f t="array" aca="1" ref="L36" ca="1">INDIRECT("'※ 영기팀 작성_가입자'!"&amp;L$1&amp;$AC36, TRUE)</f>
        <v>2673</v>
      </c>
      <c r="M36" s="5451" cm="1">
        <f t="array" aca="1" ref="M36" ca="1">INDIRECT("'※ 영기팀 작성_가입자'!"&amp;M$1&amp;$AC36, TRUE)</f>
        <v>1663</v>
      </c>
      <c r="N36" s="5451" cm="1">
        <f t="array" aca="1" ref="N36" ca="1">INDIRECT("'※ 영기팀 작성_가입자'!"&amp;N$1&amp;$AC36, TRUE)</f>
        <v>1839</v>
      </c>
      <c r="O36" s="5451" cm="1">
        <f t="array" aca="1" ref="O36" ca="1">INDIRECT("'※ 영기팀 작성_가입자'!"&amp;O$1&amp;$AC36, TRUE)</f>
        <v>1232</v>
      </c>
      <c r="P36" s="5451" cm="1">
        <f t="array" aca="1" ref="P36" ca="1">INDIRECT("'※ 영기팀 작성_가입자'!"&amp;P$1&amp;$AC36, TRUE)</f>
        <v>1248</v>
      </c>
      <c r="Q36" s="5451" cm="1">
        <f t="array" aca="1" ref="Q36" ca="1">INDIRECT("'※ 영기팀 작성_가입자'!"&amp;Q$1&amp;$AC36, TRUE)</f>
        <v>1202</v>
      </c>
      <c r="R36" s="5462"/>
      <c r="S36" s="5462"/>
      <c r="T36" s="5462"/>
      <c r="U36" s="5454" cm="1">
        <f t="array" aca="1" ref="U36" ca="1">INDIRECT("'※ 영기팀 작성_가입자'!"&amp;U$2&amp;$AC36,TRUE)</f>
        <v>-46</v>
      </c>
      <c r="V36" s="5455" cm="1">
        <f t="array" aca="1" ref="V36" ca="1">INDIRECT("'※ 영기팀 작성_가입자'!"&amp;V$2&amp;$AC36,TRUE)</f>
        <v>-110</v>
      </c>
      <c r="W36" s="5456" cm="1">
        <f t="array" aca="1" ref="W36" ca="1">INDIRECT("'※ 영기팀 작성_가입자'!"&amp;W$1&amp;$AC36, TRUE)</f>
        <v>22437</v>
      </c>
      <c r="X36" s="5462"/>
      <c r="Y36" s="5462"/>
      <c r="Z36" s="5469" cm="1">
        <f t="array" aca="1" ref="Z36" ca="1">INDIRECT("'※ 영기팀 작성_가입자'!"&amp;Z$2&amp;$AC36, TRUE)</f>
        <v>4207</v>
      </c>
      <c r="AA36" s="5470" cm="1">
        <f t="array" aca="1" ref="AA36" ca="1">INDIRECT("'※ 영기팀 작성_가입자'!"&amp;AA$1&amp;$AC36, TRUE)</f>
        <v>1869.5942004832932</v>
      </c>
      <c r="AB36" s="5458" cm="1">
        <f t="array" aca="1" ref="AB36" ca="1">INDIRECT("'※ 영기팀 작성_가입자'!"&amp;AB$1&amp;$AC36, TRUE)</f>
        <v>-110</v>
      </c>
      <c r="AC36" s="5364">
        <f>ROW('※ 영기팀 작성_가입자'!AH232)</f>
        <v>232</v>
      </c>
    </row>
    <row r="37" spans="1:30" x14ac:dyDescent="0.55000000000000004">
      <c r="A37" s="7191"/>
      <c r="B37" s="3452"/>
      <c r="C37" s="2493" t="s">
        <v>1019</v>
      </c>
      <c r="D37" s="5450" cm="1">
        <f t="array" aca="1" ref="D37" ca="1">INDIRECT("'※ 영기팀 작성_가입자'!"&amp;D$1&amp;$AC37, TRUE)</f>
        <v>8419</v>
      </c>
      <c r="E37" s="5451" cm="1">
        <f t="array" aca="1" ref="E37" ca="1">INDIRECT("'※ 영기팀 작성_가입자'!"&amp;E$1&amp;$AC37, TRUE)</f>
        <v>8872</v>
      </c>
      <c r="F37" s="5452" cm="1">
        <f t="array" aca="1" ref="F37" ca="1">INDIRECT("'※ 영기팀 작성_가입자'!"&amp;F$1&amp;$AC37, TRUE)</f>
        <v>551</v>
      </c>
      <c r="G37" s="5451" cm="1">
        <f t="array" aca="1" ref="G37" ca="1">INDIRECT("'※ 영기팀 작성_가입자'!"&amp;G$1&amp;$AC37, TRUE)</f>
        <v>529</v>
      </c>
      <c r="H37" s="5451" cm="1">
        <f t="array" aca="1" ref="H37" ca="1">INDIRECT("'※ 영기팀 작성_가입자'!"&amp;H$1&amp;$AC37, TRUE)</f>
        <v>772</v>
      </c>
      <c r="I37" s="5451" cm="1">
        <f t="array" aca="1" ref="I37" ca="1">INDIRECT("'※ 영기팀 작성_가입자'!"&amp;I$1&amp;$AC37, TRUE)</f>
        <v>791</v>
      </c>
      <c r="J37" s="5451" cm="1">
        <f t="array" aca="1" ref="J37" ca="1">INDIRECT("'※ 영기팀 작성_가입자'!"&amp;J$1&amp;$AC37, TRUE)</f>
        <v>948.00000000000011</v>
      </c>
      <c r="K37" s="5451" cm="1">
        <f t="array" aca="1" ref="K37" ca="1">INDIRECT("'※ 영기팀 작성_가입자'!"&amp;K$1&amp;$AC37, TRUE)</f>
        <v>807</v>
      </c>
      <c r="L37" s="5451" cm="1">
        <f t="array" aca="1" ref="L37" ca="1">INDIRECT("'※ 영기팀 작성_가입자'!"&amp;L$1&amp;$AC37, TRUE)</f>
        <v>1069</v>
      </c>
      <c r="M37" s="5451" cm="1">
        <f t="array" aca="1" ref="M37" ca="1">INDIRECT("'※ 영기팀 작성_가입자'!"&amp;M$1&amp;$AC37, TRUE)</f>
        <v>828</v>
      </c>
      <c r="N37" s="5451" cm="1">
        <f t="array" aca="1" ref="N37" ca="1">INDIRECT("'※ 영기팀 작성_가입자'!"&amp;N$1&amp;$AC37, TRUE)</f>
        <v>887</v>
      </c>
      <c r="O37" s="5451" cm="1">
        <f t="array" aca="1" ref="O37" ca="1">INDIRECT("'※ 영기팀 작성_가입자'!"&amp;O$1&amp;$AC37, TRUE)</f>
        <v>578</v>
      </c>
      <c r="P37" s="5451" cm="1">
        <f t="array" aca="1" ref="P37" ca="1">INDIRECT("'※ 영기팀 작성_가입자'!"&amp;P$1&amp;$AC37, TRUE)</f>
        <v>487</v>
      </c>
      <c r="Q37" s="5451" cm="1">
        <f t="array" aca="1" ref="Q37" ca="1">INDIRECT("'※ 영기팀 작성_가입자'!"&amp;Q$1&amp;$AC37, TRUE)</f>
        <v>381</v>
      </c>
      <c r="R37" s="5462"/>
      <c r="S37" s="5462"/>
      <c r="T37" s="5462"/>
      <c r="U37" s="5454" cm="1">
        <f t="array" aca="1" ref="U37" ca="1">INDIRECT("'※ 영기팀 작성_가입자'!"&amp;U$2&amp;$AC37,TRUE)</f>
        <v>-106</v>
      </c>
      <c r="V37" s="5455" cm="1">
        <f t="array" aca="1" ref="V37" ca="1">INDIRECT("'※ 영기팀 작성_가입자'!"&amp;V$2&amp;$AC37,TRUE)</f>
        <v>-172</v>
      </c>
      <c r="W37" s="5456" cm="1">
        <f t="array" aca="1" ref="W37" ca="1">INDIRECT("'※ 영기팀 작성_가입자'!"&amp;W$1&amp;$AC37, TRUE)</f>
        <v>8628</v>
      </c>
      <c r="X37" s="5462"/>
      <c r="Y37" s="5462"/>
      <c r="Z37" s="5469" cm="1">
        <f t="array" aca="1" ref="Z37" ca="1">INDIRECT("'※ 영기팀 작성_가입자'!"&amp;Z$2&amp;$AC37, TRUE)</f>
        <v>-244</v>
      </c>
      <c r="AA37" s="5470" cm="1">
        <f t="array" aca="1" ref="AA37" ca="1">INDIRECT("'※ 영기팀 작성_가입자'!"&amp;AA$1&amp;$AC37, TRUE)</f>
        <v>718.94008832597285</v>
      </c>
      <c r="AB37" s="5458" cm="1">
        <f t="array" aca="1" ref="AB37" ca="1">INDIRECT("'※ 영기팀 작성_가입자'!"&amp;AB$1&amp;$AC37, TRUE)</f>
        <v>-172</v>
      </c>
      <c r="AC37" s="5364">
        <f>ROW('※ 영기팀 작성_가입자'!AH233)</f>
        <v>233</v>
      </c>
    </row>
    <row r="38" spans="1:30" ht="18" customHeight="1" x14ac:dyDescent="0.55000000000000004">
      <c r="A38" s="7191"/>
      <c r="B38" s="3452"/>
      <c r="C38" s="2493" t="s">
        <v>20</v>
      </c>
      <c r="D38" s="5450" cm="1">
        <f t="array" aca="1" ref="D38" ca="1">INDIRECT("'※ 영기팀 작성_가입자'!"&amp;D$1&amp;$AC38, TRUE)</f>
        <v>14481</v>
      </c>
      <c r="E38" s="5451" cm="1">
        <f t="array" aca="1" ref="E38" ca="1">INDIRECT("'※ 영기팀 작성_가입자'!"&amp;E$1&amp;$AC38, TRUE)</f>
        <v>18530</v>
      </c>
      <c r="F38" s="5452" cm="1">
        <f t="array" aca="1" ref="F38" ca="1">INDIRECT("'※ 영기팀 작성_가입자'!"&amp;F$1&amp;$AC38, TRUE)</f>
        <v>1637</v>
      </c>
      <c r="G38" s="5451" cm="1">
        <f t="array" aca="1" ref="G38" ca="1">INDIRECT("'※ 영기팀 작성_가입자'!"&amp;G$1&amp;$AC38, TRUE)</f>
        <v>2086</v>
      </c>
      <c r="H38" s="5451" cm="1">
        <f t="array" aca="1" ref="H38" ca="1">INDIRECT("'※ 영기팀 작성_가입자'!"&amp;H$1&amp;$AC38, TRUE)</f>
        <v>1810</v>
      </c>
      <c r="I38" s="5451" cm="1">
        <f t="array" aca="1" ref="I38" ca="1">INDIRECT("'※ 영기팀 작성_가입자'!"&amp;I$1&amp;$AC38, TRUE)</f>
        <v>1896</v>
      </c>
      <c r="J38" s="5451" cm="1">
        <f t="array" aca="1" ref="J38" ca="1">INDIRECT("'※ 영기팀 작성_가입자'!"&amp;J$1&amp;$AC38, TRUE)</f>
        <v>3639</v>
      </c>
      <c r="K38" s="5451" cm="1">
        <f t="array" aca="1" ref="K38" ca="1">INDIRECT("'※ 영기팀 작성_가입자'!"&amp;K$1&amp;$AC38, TRUE)</f>
        <v>2896</v>
      </c>
      <c r="L38" s="5451" cm="1">
        <f t="array" aca="1" ref="L38" ca="1">INDIRECT("'※ 영기팀 작성_가입자'!"&amp;L$1&amp;$AC38, TRUE)</f>
        <v>2548</v>
      </c>
      <c r="M38" s="5451" cm="1">
        <f t="array" aca="1" ref="M38" ca="1">INDIRECT("'※ 영기팀 작성_가입자'!"&amp;M$1&amp;$AC38, TRUE)</f>
        <v>1876</v>
      </c>
      <c r="N38" s="5451" cm="1">
        <f t="array" aca="1" ref="N38" ca="1">INDIRECT("'※ 영기팀 작성_가입자'!"&amp;N$1&amp;$AC38, TRUE)</f>
        <v>1939</v>
      </c>
      <c r="O38" s="5451" cm="1">
        <f t="array" aca="1" ref="O38" ca="1">INDIRECT("'※ 영기팀 작성_가입자'!"&amp;O$1&amp;$AC38, TRUE)</f>
        <v>1819.0000000000002</v>
      </c>
      <c r="P38" s="5451" cm="1">
        <f t="array" aca="1" ref="P38" ca="1">INDIRECT("'※ 영기팀 작성_가입자'!"&amp;P$1&amp;$AC38, TRUE)</f>
        <v>1781</v>
      </c>
      <c r="Q38" s="5451" cm="1">
        <f t="array" aca="1" ref="Q38" ca="1">INDIRECT("'※ 영기팀 작성_가입자'!"&amp;Q$1&amp;$AC38, TRUE)</f>
        <v>1777</v>
      </c>
      <c r="R38" s="5462"/>
      <c r="S38" s="5462"/>
      <c r="T38" s="5462"/>
      <c r="U38" s="5454" cm="1">
        <f t="array" aca="1" ref="U38" ca="1">INDIRECT("'※ 영기팀 작성_가입자'!"&amp;U$2&amp;$AC38,TRUE)</f>
        <v>-4</v>
      </c>
      <c r="V38" s="5455" cm="1">
        <f t="array" aca="1" ref="V38" ca="1">INDIRECT("'※ 영기팀 작성_가입자'!"&amp;V$2&amp;$AC38,TRUE)</f>
        <v>55</v>
      </c>
      <c r="W38" s="5456" cm="1">
        <f t="array" aca="1" ref="W38" ca="1">INDIRECT("'※ 영기팀 작성_가입자'!"&amp;W$1&amp;$AC38, TRUE)</f>
        <v>25704</v>
      </c>
      <c r="X38" s="5462"/>
      <c r="Y38" s="5462"/>
      <c r="Z38" s="5469" cm="1">
        <f t="array" aca="1" ref="Z38" ca="1">INDIRECT("'※ 영기팀 작성_가입자'!"&amp;Z$2&amp;$AC38, TRUE)</f>
        <v>7174</v>
      </c>
      <c r="AA38" s="5470" cm="1">
        <f t="array" aca="1" ref="AA38" ca="1">INDIRECT("'※ 영기팀 작성_가입자'!"&amp;AA$1&amp;$AC38, TRUE)</f>
        <v>2141.8215148737604</v>
      </c>
      <c r="AB38" s="5458" cm="1">
        <f t="array" aca="1" ref="AB38" ca="1">INDIRECT("'※ 영기팀 작성_가입자'!"&amp;AB$1&amp;$AC38, TRUE)</f>
        <v>55</v>
      </c>
      <c r="AC38" s="5364">
        <f>ROW('※ 영기팀 작성_가입자'!AH234)</f>
        <v>234</v>
      </c>
    </row>
    <row r="39" spans="1:30" ht="18" customHeight="1" x14ac:dyDescent="0.55000000000000004">
      <c r="A39" s="7191"/>
      <c r="B39" s="3452"/>
      <c r="C39" s="3033" t="s">
        <v>954</v>
      </c>
      <c r="D39" s="5450" cm="1">
        <f t="array" aca="1" ref="D39" ca="1">INDIRECT("'※ 영기팀 작성_가입자'!"&amp;D$1&amp;$AC39, TRUE)</f>
        <v>598</v>
      </c>
      <c r="E39" s="5451" cm="1">
        <f t="array" aca="1" ref="E39" ca="1">INDIRECT("'※ 영기팀 작성_가입자'!"&amp;E$1&amp;$AC39, TRUE)</f>
        <v>594</v>
      </c>
      <c r="F39" s="5452" cm="1">
        <f t="array" aca="1" ref="F39" ca="1">INDIRECT("'※ 영기팀 작성_가입자'!"&amp;F$1&amp;$AC39, TRUE)</f>
        <v>27</v>
      </c>
      <c r="G39" s="5451" cm="1">
        <f t="array" aca="1" ref="G39" ca="1">INDIRECT("'※ 영기팀 작성_가입자'!"&amp;G$1&amp;$AC39, TRUE)</f>
        <v>19</v>
      </c>
      <c r="H39" s="5451" cm="1">
        <f t="array" aca="1" ref="H39" ca="1">INDIRECT("'※ 영기팀 작성_가입자'!"&amp;H$1&amp;$AC39, TRUE)</f>
        <v>81</v>
      </c>
      <c r="I39" s="5451" cm="1">
        <f t="array" aca="1" ref="I39" ca="1">INDIRECT("'※ 영기팀 작성_가입자'!"&amp;I$1&amp;$AC39, TRUE)</f>
        <v>124</v>
      </c>
      <c r="J39" s="5451" cm="1">
        <f t="array" aca="1" ref="J39" ca="1">INDIRECT("'※ 영기팀 작성_가입자'!"&amp;J$1&amp;$AC39, TRUE)</f>
        <v>311</v>
      </c>
      <c r="K39" s="5451" cm="1">
        <f t="array" aca="1" ref="K39" ca="1">INDIRECT("'※ 영기팀 작성_가입자'!"&amp;K$1&amp;$AC39, TRUE)</f>
        <v>197</v>
      </c>
      <c r="L39" s="5451" cm="1">
        <f t="array" aca="1" ref="L39" ca="1">INDIRECT("'※ 영기팀 작성_가입자'!"&amp;L$1&amp;$AC39, TRUE)</f>
        <v>293</v>
      </c>
      <c r="M39" s="5451" cm="1">
        <f t="array" aca="1" ref="M39" ca="1">INDIRECT("'※ 영기팀 작성_가입자'!"&amp;M$1&amp;$AC39, TRUE)</f>
        <v>112</v>
      </c>
      <c r="N39" s="5451" cm="1">
        <f t="array" aca="1" ref="N39" ca="1">INDIRECT("'※ 영기팀 작성_가입자'!"&amp;N$1&amp;$AC39, TRUE)</f>
        <v>151</v>
      </c>
      <c r="O39" s="5451" cm="1">
        <f t="array" aca="1" ref="O39" ca="1">INDIRECT("'※ 영기팀 작성_가입자'!"&amp;O$1&amp;$AC39, TRUE)</f>
        <v>112.00000000000001</v>
      </c>
      <c r="P39" s="5451" cm="1">
        <f t="array" aca="1" ref="P39" ca="1">INDIRECT("'※ 영기팀 작성_가입자'!"&amp;P$1&amp;$AC39, TRUE)</f>
        <v>145</v>
      </c>
      <c r="Q39" s="5451" cm="1">
        <f t="array" aca="1" ref="Q39" ca="1">INDIRECT("'※ 영기팀 작성_가입자'!"&amp;Q$1&amp;$AC39, TRUE)</f>
        <v>130</v>
      </c>
      <c r="R39" s="5462"/>
      <c r="S39" s="5462"/>
      <c r="T39" s="5462"/>
      <c r="U39" s="5454" cm="1">
        <f t="array" aca="1" ref="U39" ca="1">INDIRECT("'※ 영기팀 작성_가입자'!"&amp;U$2&amp;$AC39,TRUE)</f>
        <v>-15</v>
      </c>
      <c r="V39" s="5455" cm="1">
        <f t="array" aca="1" ref="V39" ca="1">INDIRECT("'※ 영기팀 작성_가입자'!"&amp;V$2&amp;$AC39,TRUE)</f>
        <v>82</v>
      </c>
      <c r="W39" s="5456" cm="1">
        <f t="array" aca="1" ref="W39" ca="1">INDIRECT("'※ 영기팀 작성_가입자'!"&amp;W$1&amp;$AC39, TRUE)</f>
        <v>1702</v>
      </c>
      <c r="X39" s="5462"/>
      <c r="Y39" s="5462"/>
      <c r="Z39" s="5469" cm="1">
        <f t="array" aca="1" ref="Z39" ca="1">INDIRECT("'※ 영기팀 작성_가입자'!"&amp;Z$2&amp;$AC39, TRUE)</f>
        <v>1108</v>
      </c>
      <c r="AA39" s="5470" cm="1">
        <f t="array" aca="1" ref="AA39" ca="1">INDIRECT("'※ 영기팀 작성_가입자'!"&amp;AA$1&amp;$AC39, TRUE)</f>
        <v>141.82151487376052</v>
      </c>
      <c r="AB39" s="5458" cm="1">
        <f t="array" aca="1" ref="AB39" ca="1">INDIRECT("'※ 영기팀 작성_가입자'!"&amp;AB$1&amp;$AC39, TRUE)</f>
        <v>82</v>
      </c>
      <c r="AC39" s="5364">
        <f>ROW('※ 영기팀 작성_가입자'!AH235)</f>
        <v>235</v>
      </c>
    </row>
    <row r="40" spans="1:30" ht="18" hidden="1" customHeight="1" x14ac:dyDescent="0.55000000000000004">
      <c r="A40" s="7191"/>
      <c r="B40" s="3452"/>
      <c r="C40" s="3033" t="s">
        <v>22</v>
      </c>
      <c r="D40" s="5450"/>
      <c r="E40" s="5451"/>
      <c r="F40" s="5452"/>
      <c r="G40" s="5451"/>
      <c r="H40" s="5451"/>
      <c r="I40" s="5451"/>
      <c r="J40" s="5451"/>
      <c r="K40" s="5451"/>
      <c r="L40" s="5451"/>
      <c r="M40" s="5451"/>
      <c r="N40" s="5451"/>
      <c r="O40" s="5451"/>
      <c r="P40" s="5451"/>
      <c r="Q40" s="5451"/>
      <c r="R40" s="5462"/>
      <c r="S40" s="5462"/>
      <c r="T40" s="5462"/>
      <c r="U40" s="5454"/>
      <c r="V40" s="5455"/>
      <c r="W40" s="5456"/>
      <c r="X40" s="5462"/>
      <c r="Y40" s="5462"/>
      <c r="Z40" s="5469"/>
      <c r="AA40" s="5470"/>
      <c r="AB40" s="5458"/>
      <c r="AC40" s="5364"/>
    </row>
    <row r="41" spans="1:30" ht="18" customHeight="1" x14ac:dyDescent="0.55000000000000004">
      <c r="A41" s="7191"/>
      <c r="B41" s="5459" t="s">
        <v>651</v>
      </c>
      <c r="C41" s="5460"/>
      <c r="D41" s="3513">
        <f ca="1">SUM(D46:D50)</f>
        <v>39961</v>
      </c>
      <c r="E41" s="3514">
        <f ca="1">SUM(E46:E50)</f>
        <v>47869</v>
      </c>
      <c r="F41" s="5461">
        <f ca="1">SUM(F46:F50)</f>
        <v>3451</v>
      </c>
      <c r="G41" s="3514">
        <f t="shared" ref="G41:H41" ca="1" si="32">SUM(G46:G50)</f>
        <v>5350</v>
      </c>
      <c r="H41" s="3514">
        <f t="shared" ca="1" si="32"/>
        <v>4517</v>
      </c>
      <c r="I41" s="3514">
        <f t="shared" ref="I41:N41" ca="1" si="33">SUM(I46:I50)</f>
        <v>4999</v>
      </c>
      <c r="J41" s="3514">
        <f t="shared" ca="1" si="33"/>
        <v>8782</v>
      </c>
      <c r="K41" s="3514">
        <f t="shared" ca="1" si="33"/>
        <v>5863</v>
      </c>
      <c r="L41" s="3514">
        <f t="shared" ca="1" si="33"/>
        <v>6781</v>
      </c>
      <c r="M41" s="3514">
        <f t="shared" ca="1" si="33"/>
        <v>4714</v>
      </c>
      <c r="N41" s="3514">
        <f t="shared" ca="1" si="33"/>
        <v>4735</v>
      </c>
      <c r="O41" s="3514">
        <f t="shared" ref="O41:P41" ca="1" si="34">SUM(O46:O50)</f>
        <v>3791</v>
      </c>
      <c r="P41" s="3514">
        <f t="shared" ca="1" si="34"/>
        <v>3798</v>
      </c>
      <c r="Q41" s="3514">
        <f t="shared" ref="Q41" ca="1" si="35">SUM(Q46:Q50)</f>
        <v>3640</v>
      </c>
      <c r="R41" s="5462"/>
      <c r="S41" s="5462"/>
      <c r="T41" s="5462"/>
      <c r="U41" s="5463" cm="1">
        <f t="array" aca="1" ref="U41" ca="1">INDIRECT("'※ 영기팀 작성_가입자'!"&amp;U$2&amp;$AC41,TRUE)</f>
        <v>-460</v>
      </c>
      <c r="V41" s="5464" cm="1">
        <f t="array" aca="1" ref="V41" ca="1">INDIRECT("'※ 영기팀 작성_가입자'!"&amp;V$2&amp;$AC41,TRUE)</f>
        <v>-234</v>
      </c>
      <c r="W41" s="5465">
        <f ca="1">SUM(W46:W50)</f>
        <v>60421</v>
      </c>
      <c r="X41" s="5462"/>
      <c r="Y41" s="5462"/>
      <c r="Z41" s="5466">
        <f ca="1">SUM(Z46:Z50)</f>
        <v>12147</v>
      </c>
      <c r="AA41" s="5467">
        <f ca="1">SUM(AA46:AA50)</f>
        <v>5034.6637780184992</v>
      </c>
      <c r="AB41" s="5468">
        <f ca="1">SUM(AB46:AB50)</f>
        <v>-216</v>
      </c>
      <c r="AC41" s="5364">
        <f>ROW('※ 영기팀 작성_가입자'!AW194)</f>
        <v>194</v>
      </c>
    </row>
    <row r="42" spans="1:30" ht="18" customHeight="1" x14ac:dyDescent="0.55000000000000004">
      <c r="A42" s="7191"/>
      <c r="B42" s="5471"/>
      <c r="C42" s="2857" t="s">
        <v>91</v>
      </c>
      <c r="D42" s="5472" cm="1">
        <f t="array" aca="1" ref="D42" ca="1">INDIRECT("'※ 영기팀 작성_가입자'!"&amp;D$1&amp;$AC42, TRUE)</f>
        <v>39961</v>
      </c>
      <c r="E42" s="5473" cm="1">
        <f t="array" aca="1" ref="E42" ca="1">INDIRECT("'※ 영기팀 작성_가입자'!"&amp;E$1&amp;$AC42, TRUE)</f>
        <v>47886</v>
      </c>
      <c r="F42" s="5474" cm="1">
        <f t="array" aca="1" ref="F42" ca="1">INDIRECT("'※ 영기팀 작성_가입자'!"&amp;F$1&amp;$AC42, TRUE)</f>
        <v>3460</v>
      </c>
      <c r="G42" s="5473" cm="1">
        <f t="array" aca="1" ref="G42" ca="1">INDIRECT("'※ 영기팀 작성_가입자'!"&amp;G$1&amp;$AC42, TRUE)</f>
        <v>5357</v>
      </c>
      <c r="H42" s="5473" cm="1">
        <f t="array" aca="1" ref="H42" ca="1">INDIRECT("'※ 영기팀 작성_가입자'!"&amp;H$1&amp;$AC42, TRUE)</f>
        <v>4534</v>
      </c>
      <c r="I42" s="5473" cm="1">
        <f t="array" aca="1" ref="I42" ca="1">INDIRECT("'※ 영기팀 작성_가입자'!"&amp;I$1&amp;$AC42, TRUE)</f>
        <v>5003</v>
      </c>
      <c r="J42" s="5473" cm="1">
        <f t="array" aca="1" ref="J42" ca="1">INDIRECT("'※ 영기팀 작성_가입자'!"&amp;J$1&amp;$AC42, TRUE)</f>
        <v>8818</v>
      </c>
      <c r="K42" s="5473" cm="1">
        <f t="array" aca="1" ref="K42" ca="1">INDIRECT("'※ 영기팀 작성_가입자'!"&amp;K$1&amp;$AC42, TRUE)</f>
        <v>5900</v>
      </c>
      <c r="L42" s="5473" cm="1">
        <f t="array" aca="1" ref="L42" ca="1">INDIRECT("'※ 영기팀 작성_가입자'!"&amp;L$1&amp;$AC42, TRUE)</f>
        <v>6867</v>
      </c>
      <c r="M42" s="5473" cm="1">
        <f t="array" aca="1" ref="M42" ca="1">INDIRECT("'※ 영기팀 작성_가입자'!"&amp;M$1&amp;$AC42, TRUE)</f>
        <v>4725</v>
      </c>
      <c r="N42" s="5473" cm="1">
        <f t="array" aca="1" ref="N42" ca="1">INDIRECT("'※ 영기팀 작성_가입자'!"&amp;N$1&amp;$AC42, TRUE)</f>
        <v>4742</v>
      </c>
      <c r="O42" s="5473" cm="1">
        <f t="array" aca="1" ref="O42" ca="1">INDIRECT("'※ 영기팀 작성_가입자'!"&amp;O$1&amp;$AC42, TRUE)</f>
        <v>3798</v>
      </c>
      <c r="P42" s="5473" cm="1">
        <f t="array" aca="1" ref="P42" ca="1">INDIRECT("'※ 영기팀 작성_가입자'!"&amp;P$1&amp;$AC42, TRUE)</f>
        <v>3801</v>
      </c>
      <c r="Q42" s="5473" cm="1">
        <f t="array" aca="1" ref="Q42" ca="1">INDIRECT("'※ 영기팀 작성_가입자'!"&amp;Q$1&amp;$AC42, TRUE)</f>
        <v>3644</v>
      </c>
      <c r="R42" s="5462"/>
      <c r="S42" s="5462"/>
      <c r="T42" s="5462"/>
      <c r="U42" s="5475" cm="1">
        <f t="array" aca="1" ref="U42" ca="1">INDIRECT("'※ 영기팀 작성_가입자'!"&amp;U$2&amp;$AC42,TRUE)</f>
        <v>-157</v>
      </c>
      <c r="V42" s="5476" cm="1">
        <f t="array" aca="1" ref="V42" ca="1">INDIRECT("'※ 영기팀 작성_가입자'!"&amp;V$2&amp;$AC42,TRUE)</f>
        <v>-212.00000000000045</v>
      </c>
      <c r="W42" s="5477" cm="1">
        <f t="array" aca="1" ref="W42" ca="1">INDIRECT("'※ 영기팀 작성_가입자'!"&amp;W$1&amp;$AC42, TRUE)</f>
        <v>60649</v>
      </c>
      <c r="X42" s="5462"/>
      <c r="Y42" s="5462"/>
      <c r="Z42" s="5478" cm="1">
        <f t="array" aca="1" ref="Z42" ca="1">INDIRECT("'※ 영기팀 작성_가입자'!"&amp;Z$2&amp;$AC42, TRUE)</f>
        <v>12763</v>
      </c>
      <c r="AA42" s="5479" cm="1">
        <f t="array" aca="1" ref="AA42" ca="1">INDIRECT("'※ 영기팀 작성_가입자'!"&amp;AA$1&amp;$AC42, TRUE)</f>
        <v>5053.6621948170987</v>
      </c>
      <c r="AB42" s="5480" cm="1">
        <f t="array" aca="1" ref="AB42" ca="1">INDIRECT("'※ 영기팀 작성_가입자'!"&amp;AB$1&amp;$AC42, TRUE)</f>
        <v>-212.00000000000045</v>
      </c>
      <c r="AC42" s="5364">
        <f>ROW('※ 영기팀 작성_가입자'!AH195)</f>
        <v>195</v>
      </c>
    </row>
    <row r="43" spans="1:30" s="5295" customFormat="1" ht="18" customHeight="1" x14ac:dyDescent="0.55000000000000004">
      <c r="A43" s="7191"/>
      <c r="B43" s="5481"/>
      <c r="C43" s="5482" t="s">
        <v>484</v>
      </c>
      <c r="D43" s="5483" cm="1">
        <f t="array" aca="1" ref="D43" ca="1">INDIRECT("'※ 영기팀 작성_가입자'!"&amp;D$1&amp;$AC43, TRUE)</f>
        <v>31910</v>
      </c>
      <c r="E43" s="5484" cm="1">
        <f t="array" aca="1" ref="E43" ca="1">INDIRECT("'※ 영기팀 작성_가입자'!"&amp;E$1&amp;$AC43, TRUE)</f>
        <v>36979</v>
      </c>
      <c r="F43" s="5485" cm="1">
        <f t="array" aca="1" ref="F43" ca="1">INDIRECT("'※ 영기팀 작성_가입자'!"&amp;F$1&amp;$AC43, TRUE)</f>
        <v>2800</v>
      </c>
      <c r="G43" s="5484" cm="1">
        <f t="array" aca="1" ref="G43" ca="1">INDIRECT("'※ 영기팀 작성_가입자'!"&amp;G$1&amp;$AC43, TRUE)</f>
        <v>4207</v>
      </c>
      <c r="H43" s="5484" cm="1">
        <f t="array" aca="1" ref="H43" ca="1">INDIRECT("'※ 영기팀 작성_가입자'!"&amp;H$1&amp;$AC43, TRUE)</f>
        <v>3498</v>
      </c>
      <c r="I43" s="5484" cm="1">
        <f t="array" aca="1" ref="I43" ca="1">INDIRECT("'※ 영기팀 작성_가입자'!"&amp;I$1&amp;$AC43, TRUE)</f>
        <v>3916</v>
      </c>
      <c r="J43" s="5484" cm="1">
        <f t="array" aca="1" ref="J43" ca="1">INDIRECT("'※ 영기팀 작성_가입자'!"&amp;J$1&amp;$AC43, TRUE)</f>
        <v>7296</v>
      </c>
      <c r="K43" s="5484" cm="1">
        <f t="array" aca="1" ref="K43" ca="1">INDIRECT("'※ 영기팀 작성_가입자'!"&amp;K$1&amp;$AC43, TRUE)</f>
        <v>4820</v>
      </c>
      <c r="L43" s="5484" cm="1">
        <f t="array" aca="1" ref="L43" ca="1">INDIRECT("'※ 영기팀 작성_가입자'!"&amp;L$1&amp;$AC43, TRUE)</f>
        <v>5674</v>
      </c>
      <c r="M43" s="5484" cm="1">
        <f t="array" aca="1" ref="M43" ca="1">INDIRECT("'※ 영기팀 작성_가입자'!"&amp;M$1&amp;$AC43, TRUE)</f>
        <v>3600</v>
      </c>
      <c r="N43" s="5484" cm="1">
        <f t="array" aca="1" ref="N43" ca="1">INDIRECT("'※ 영기팀 작성_가입자'!"&amp;N$1&amp;$AC43, TRUE)</f>
        <v>3867</v>
      </c>
      <c r="O43" s="5484" cm="1">
        <f t="array" aca="1" ref="O43" ca="1">INDIRECT("'※ 영기팀 작성_가입자'!"&amp;O$1&amp;$AC43, TRUE)</f>
        <v>3025</v>
      </c>
      <c r="P43" s="5484" cm="1">
        <f t="array" aca="1" ref="P43" ca="1">INDIRECT("'※ 영기팀 작성_가입자'!"&amp;P$1&amp;$AC43, TRUE)</f>
        <v>2945</v>
      </c>
      <c r="Q43" s="5484" cm="1">
        <f t="array" aca="1" ref="Q43" ca="1">INDIRECT("'※ 영기팀 작성_가입자'!"&amp;Q$1&amp;$AC43, TRUE)</f>
        <v>2855</v>
      </c>
      <c r="R43" s="5486"/>
      <c r="S43" s="5486"/>
      <c r="T43" s="5486"/>
      <c r="U43" s="5487" cm="1">
        <f t="array" aca="1" ref="U43" ca="1">INDIRECT("'※ 영기팀 작성_가입자'!"&amp;U$2&amp;$AC43,TRUE)</f>
        <v>-90</v>
      </c>
      <c r="V43" s="5488" cm="1">
        <f t="array" aca="1" ref="V43" ca="1">INDIRECT("'※ 영기팀 작성_가입자'!"&amp;V$2&amp;$AC43,TRUE)</f>
        <v>-172.00000000000045</v>
      </c>
      <c r="W43" s="5489" cm="1">
        <f t="array" aca="1" ref="W43" ca="1">INDIRECT("'※ 영기팀 작성_가입자'!"&amp;W$1&amp;$AC43, TRUE)</f>
        <v>48503</v>
      </c>
      <c r="X43" s="5486"/>
      <c r="Y43" s="5486"/>
      <c r="Z43" s="5490" cm="1">
        <f t="array" aca="1" ref="Z43" ca="1">INDIRECT("'※ 영기팀 작성_가입자'!"&amp;Z$2&amp;$AC43, TRUE)</f>
        <v>11524</v>
      </c>
      <c r="AA43" s="5491" cm="1">
        <f t="array" aca="1" ref="AA43" ca="1">INDIRECT("'※ 영기팀 작성_가입자'!"&amp;AA$1&amp;$AC43, TRUE)</f>
        <v>4041.5798683443049</v>
      </c>
      <c r="AB43" s="5492" cm="1">
        <f t="array" aca="1" ref="AB43" ca="1">INDIRECT("'※ 영기팀 작성_가입자'!"&amp;AB$1&amp;$AC43, TRUE)</f>
        <v>-172.00000000000045</v>
      </c>
      <c r="AC43" s="5493">
        <f>ROW('※ 영기팀 작성_가입자'!AH196)</f>
        <v>196</v>
      </c>
      <c r="AD43" s="5494"/>
    </row>
    <row r="44" spans="1:30" s="5295" customFormat="1" ht="13.3" x14ac:dyDescent="0.55000000000000004">
      <c r="A44" s="7191"/>
      <c r="B44" s="5481"/>
      <c r="C44" s="5482" t="s">
        <v>485</v>
      </c>
      <c r="D44" s="5483" cm="1">
        <f t="array" aca="1" ref="D44" ca="1">INDIRECT("'※ 영기팀 작성_가입자'!"&amp;D$1&amp;$AC44, TRUE)</f>
        <v>11211</v>
      </c>
      <c r="E44" s="5484" cm="1">
        <f t="array" aca="1" ref="E44" ca="1">INDIRECT("'※ 영기팀 작성_가입자'!"&amp;E$1&amp;$AC44, TRUE)</f>
        <v>10907</v>
      </c>
      <c r="F44" s="5485" cm="1">
        <f t="array" aca="1" ref="F44" ca="1">INDIRECT("'※ 영기팀 작성_가입자'!"&amp;F$1&amp;$AC44, TRUE)</f>
        <v>660</v>
      </c>
      <c r="G44" s="5484" cm="1">
        <f t="array" aca="1" ref="G44" ca="1">INDIRECT("'※ 영기팀 작성_가입자'!"&amp;G$1&amp;$AC44, TRUE)</f>
        <v>1150</v>
      </c>
      <c r="H44" s="5484" cm="1">
        <f t="array" aca="1" ref="H44" ca="1">INDIRECT("'※ 영기팀 작성_가입자'!"&amp;H$1&amp;$AC44, TRUE)</f>
        <v>1036</v>
      </c>
      <c r="I44" s="5484" cm="1">
        <f t="array" aca="1" ref="I44" ca="1">INDIRECT("'※ 영기팀 작성_가입자'!"&amp;I$1&amp;$AC44, TRUE)</f>
        <v>1087</v>
      </c>
      <c r="J44" s="5484" cm="1">
        <f t="array" aca="1" ref="J44" ca="1">INDIRECT("'※ 영기팀 작성_가입자'!"&amp;J$1&amp;$AC44, TRUE)</f>
        <v>1522</v>
      </c>
      <c r="K44" s="5484" cm="1">
        <f t="array" aca="1" ref="K44" ca="1">INDIRECT("'※ 영기팀 작성_가입자'!"&amp;K$1&amp;$AC44, TRUE)</f>
        <v>1080</v>
      </c>
      <c r="L44" s="5484" cm="1">
        <f t="array" aca="1" ref="L44" ca="1">INDIRECT("'※ 영기팀 작성_가입자'!"&amp;L$1&amp;$AC44, TRUE)</f>
        <v>1193</v>
      </c>
      <c r="M44" s="5484" cm="1">
        <f t="array" aca="1" ref="M44" ca="1">INDIRECT("'※ 영기팀 작성_가입자'!"&amp;M$1&amp;$AC44, TRUE)</f>
        <v>1125</v>
      </c>
      <c r="N44" s="5484" cm="1">
        <f t="array" aca="1" ref="N44" ca="1">INDIRECT("'※ 영기팀 작성_가입자'!"&amp;N$1&amp;$AC44, TRUE)</f>
        <v>875</v>
      </c>
      <c r="O44" s="5484" cm="1">
        <f t="array" aca="1" ref="O44" ca="1">INDIRECT("'※ 영기팀 작성_가입자'!"&amp;O$1&amp;$AC44, TRUE)</f>
        <v>773</v>
      </c>
      <c r="P44" s="5484" cm="1">
        <f t="array" aca="1" ref="P44" ca="1">INDIRECT("'※ 영기팀 작성_가입자'!"&amp;P$1&amp;$AC44, TRUE)</f>
        <v>856</v>
      </c>
      <c r="Q44" s="5484" cm="1">
        <f t="array" aca="1" ref="Q44" ca="1">INDIRECT("'※ 영기팀 작성_가입자'!"&amp;Q$1&amp;$AC44, TRUE)</f>
        <v>789</v>
      </c>
      <c r="R44" s="5486"/>
      <c r="S44" s="5486"/>
      <c r="T44" s="5486"/>
      <c r="U44" s="5487" cm="1">
        <f t="array" aca="1" ref="U44" ca="1">INDIRECT("'※ 영기팀 작성_가입자'!"&amp;U$2&amp;$AC44,TRUE)</f>
        <v>-67</v>
      </c>
      <c r="V44" s="5488" cm="1">
        <f t="array" aca="1" ref="V44" ca="1">INDIRECT("'※ 영기팀 작성_가입자'!"&amp;V$2&amp;$AC44,TRUE)</f>
        <v>-40</v>
      </c>
      <c r="W44" s="5489" cm="1">
        <f t="array" aca="1" ref="W44" ca="1">INDIRECT("'※ 영기팀 작성_가입자'!"&amp;W$1&amp;$AC44, TRUE)</f>
        <v>12146</v>
      </c>
      <c r="X44" s="5486"/>
      <c r="Y44" s="5486"/>
      <c r="Z44" s="5490" cm="1">
        <f t="array" aca="1" ref="Z44" ca="1">INDIRECT("'※ 영기팀 작성_가입자'!"&amp;Z$2&amp;$AC44, TRUE)</f>
        <v>1239</v>
      </c>
      <c r="AA44" s="5491" cm="1">
        <f t="array" aca="1" ref="AA44" ca="1">INDIRECT("'※ 영기팀 작성_가입자'!"&amp;AA$1&amp;$AC44, TRUE)</f>
        <v>1012.082326472794</v>
      </c>
      <c r="AB44" s="5492" cm="1">
        <f t="array" aca="1" ref="AB44" ca="1">INDIRECT("'※ 영기팀 작성_가입자'!"&amp;AB$1&amp;$AC44, TRUE)</f>
        <v>-40</v>
      </c>
      <c r="AC44" s="5493">
        <f>ROW('※ 영기팀 작성_가입자'!AH197)</f>
        <v>197</v>
      </c>
      <c r="AD44" s="5494"/>
    </row>
    <row r="45" spans="1:30" ht="18" customHeight="1" x14ac:dyDescent="0.55000000000000004">
      <c r="A45" s="7191"/>
      <c r="B45" s="5471"/>
      <c r="C45" s="2857" t="s">
        <v>92</v>
      </c>
      <c r="D45" s="5472" cm="1">
        <f t="array" aca="1" ref="D45" ca="1">INDIRECT("'※ 영기팀 작성_가입자'!"&amp;D$1&amp;$AC45, TRUE)</f>
        <v>6874</v>
      </c>
      <c r="E45" s="5473" cm="1">
        <f t="array" aca="1" ref="E45" ca="1">INDIRECT("'※ 영기팀 작성_가입자'!"&amp;E$1&amp;$AC45, TRUE)</f>
        <v>5948</v>
      </c>
      <c r="F45" s="5474" cm="1">
        <f t="array" aca="1" ref="F45" ca="1">INDIRECT("'※ 영기팀 작성_가입자'!"&amp;F$1&amp;$AC45, TRUE)</f>
        <v>316</v>
      </c>
      <c r="G45" s="5473" cm="1">
        <f t="array" aca="1" ref="G45" ca="1">INDIRECT("'※ 영기팀 작성_가입자'!"&amp;G$1&amp;$AC45, TRUE)</f>
        <v>363</v>
      </c>
      <c r="H45" s="5473" cm="1">
        <f t="array" aca="1" ref="H45" ca="1">INDIRECT("'※ 영기팀 작성_가입자'!"&amp;H$1&amp;$AC45, TRUE)</f>
        <v>349</v>
      </c>
      <c r="I45" s="5473" cm="1">
        <f t="array" aca="1" ref="I45" ca="1">INDIRECT("'※ 영기팀 작성_가입자'!"&amp;I$1&amp;$AC45, TRUE)</f>
        <v>453</v>
      </c>
      <c r="J45" s="5473" cm="1">
        <f t="array" aca="1" ref="J45" ca="1">INDIRECT("'※ 영기팀 작성_가입자'!"&amp;J$1&amp;$AC45, TRUE)</f>
        <v>204</v>
      </c>
      <c r="K45" s="5473" cm="1">
        <f t="array" aca="1" ref="K45" ca="1">INDIRECT("'※ 영기팀 작성_가입자'!"&amp;K$1&amp;$AC45, TRUE)</f>
        <v>631</v>
      </c>
      <c r="L45" s="5473" cm="1">
        <f t="array" aca="1" ref="L45" ca="1">INDIRECT("'※ 영기팀 작성_가입자'!"&amp;L$1&amp;$AC45, TRUE)</f>
        <v>709</v>
      </c>
      <c r="M45" s="5473" cm="1">
        <f t="array" aca="1" ref="M45" ca="1">INDIRECT("'※ 영기팀 작성_가입자'!"&amp;M$1&amp;$AC45, TRUE)</f>
        <v>1097</v>
      </c>
      <c r="N45" s="5473" cm="1">
        <f t="array" aca="1" ref="N45" ca="1">INDIRECT("'※ 영기팀 작성_가입자'!"&amp;N$1&amp;$AC45, TRUE)</f>
        <v>997</v>
      </c>
      <c r="O45" s="5473" cm="1">
        <f t="array" aca="1" ref="O45" ca="1">INDIRECT("'※ 영기팀 작성_가입자'!"&amp;O$1&amp;$AC45, TRUE)</f>
        <v>1157</v>
      </c>
      <c r="P45" s="5473" cm="1">
        <f t="array" aca="1" ref="P45" ca="1">INDIRECT("'※ 영기팀 작성_가입자'!"&amp;P$1&amp;$AC45, TRUE)</f>
        <v>680</v>
      </c>
      <c r="Q45" s="5473" cm="1">
        <f t="array" aca="1" ref="Q45" ca="1">INDIRECT("'※ 영기팀 작성_가입자'!"&amp;Q$1&amp;$AC45, TRUE)</f>
        <v>377</v>
      </c>
      <c r="R45" s="5462"/>
      <c r="S45" s="5462"/>
      <c r="T45" s="5462"/>
      <c r="U45" s="5475" cm="1">
        <f t="array" aca="1" ref="U45" ca="1">INDIRECT("'※ 영기팀 작성_가입자'!"&amp;U$2&amp;$AC45,TRUE)</f>
        <v>-303</v>
      </c>
      <c r="V45" s="5476" cm="1">
        <f t="array" aca="1" ref="V45" ca="1">INDIRECT("'※ 영기팀 작성_가입자'!"&amp;V$2&amp;$AC45,TRUE)</f>
        <v>-22</v>
      </c>
      <c r="W45" s="5477" cm="1">
        <f t="array" aca="1" ref="W45" ca="1">INDIRECT("'※ 영기팀 작성_가입자'!"&amp;W$1&amp;$AC45, TRUE)</f>
        <v>7333</v>
      </c>
      <c r="X45" s="5462"/>
      <c r="Y45" s="5462"/>
      <c r="Z45" s="5478" cm="1">
        <f t="array" aca="1" ref="Z45" ca="1">INDIRECT("'※ 영기팀 작성_가입자'!"&amp;Z$2&amp;$AC45, TRUE)</f>
        <v>1385</v>
      </c>
      <c r="AA45" s="5479" cm="1">
        <f t="array" aca="1" ref="AA45" ca="1">INDIRECT("'※ 영기팀 작성_가입자'!"&amp;AA$1&amp;$AC45, TRUE)</f>
        <v>611.03241396550288</v>
      </c>
      <c r="AB45" s="5480" cm="1">
        <f t="array" aca="1" ref="AB45" ca="1">INDIRECT("'※ 영기팀 작성_가입자'!"&amp;AB$1&amp;$AC45, TRUE)</f>
        <v>-22</v>
      </c>
      <c r="AC45" s="5364">
        <f>ROW('※ 영기팀 작성_가입자'!AH198)</f>
        <v>198</v>
      </c>
    </row>
    <row r="46" spans="1:30" ht="18" customHeight="1" x14ac:dyDescent="0.55000000000000004">
      <c r="A46" s="7191"/>
      <c r="B46" s="3452"/>
      <c r="C46" s="2493" t="s">
        <v>19</v>
      </c>
      <c r="D46" s="5450" cm="1">
        <f t="array" aca="1" ref="D46" ca="1">INDIRECT("'※ 영기팀 작성_가입자'!"&amp;D$1&amp;$AC46, TRUE)</f>
        <v>18015</v>
      </c>
      <c r="E46" s="5451" cm="1">
        <f t="array" aca="1" ref="E46" ca="1">INDIRECT("'※ 영기팀 작성_가입자'!"&amp;E$1&amp;$AC46, TRUE)</f>
        <v>21587</v>
      </c>
      <c r="F46" s="5452" cm="1">
        <f t="array" aca="1" ref="F46" ca="1">INDIRECT("'※ 영기팀 작성_가입자'!"&amp;F$1&amp;$AC46, TRUE)</f>
        <v>1327</v>
      </c>
      <c r="G46" s="5451" cm="1">
        <f t="array" aca="1" ref="G46" ca="1">INDIRECT("'※ 영기팀 작성_가입자'!"&amp;G$1&amp;$AC46, TRUE)</f>
        <v>2719</v>
      </c>
      <c r="H46" s="5451" cm="1">
        <f t="array" aca="1" ref="H46" ca="1">INDIRECT("'※ 영기팀 작성_가입자'!"&amp;H$1&amp;$AC46, TRUE)</f>
        <v>2053</v>
      </c>
      <c r="I46" s="5451" cm="1">
        <f t="array" aca="1" ref="I46" ca="1">INDIRECT("'※ 영기팀 작성_가입자'!"&amp;I$1&amp;$AC46, TRUE)</f>
        <v>2414</v>
      </c>
      <c r="J46" s="5451" cm="1">
        <f t="array" aca="1" ref="J46" ca="1">INDIRECT("'※ 영기팀 작성_가입자'!"&amp;J$1&amp;$AC46, TRUE)</f>
        <v>3928.9999999999995</v>
      </c>
      <c r="K46" s="5451" cm="1">
        <f t="array" aca="1" ref="K46" ca="1">INDIRECT("'※ 영기팀 작성_가입자'!"&amp;K$1&amp;$AC46, TRUE)</f>
        <v>2208</v>
      </c>
      <c r="L46" s="5451" cm="1">
        <f t="array" aca="1" ref="L46" ca="1">INDIRECT("'※ 영기팀 작성_가입자'!"&amp;L$1&amp;$AC46, TRUE)</f>
        <v>3049</v>
      </c>
      <c r="M46" s="5451" cm="1">
        <f t="array" aca="1" ref="M46" ca="1">INDIRECT("'※ 영기팀 작성_가입자'!"&amp;M$1&amp;$AC46, TRUE)</f>
        <v>2187</v>
      </c>
      <c r="N46" s="5451" cm="1">
        <f t="array" aca="1" ref="N46" ca="1">INDIRECT("'※ 영기팀 작성_가입자'!"&amp;N$1&amp;$AC46, TRUE)</f>
        <v>2132</v>
      </c>
      <c r="O46" s="5451" cm="1">
        <f t="array" aca="1" ref="O46" ca="1">INDIRECT("'※ 영기팀 작성_가입자'!"&amp;O$1&amp;$AC46, TRUE)</f>
        <v>1533</v>
      </c>
      <c r="P46" s="5451" cm="1">
        <f t="array" aca="1" ref="P46" ca="1">INDIRECT("'※ 영기팀 작성_가입자'!"&amp;P$1&amp;$AC46, TRUE)</f>
        <v>1579</v>
      </c>
      <c r="Q46" s="5451" cm="1">
        <f t="array" aca="1" ref="Q46" ca="1">INDIRECT("'※ 영기팀 작성_가입자'!"&amp;Q$1&amp;$AC46, TRUE)</f>
        <v>1483</v>
      </c>
      <c r="R46" s="5462"/>
      <c r="S46" s="5462"/>
      <c r="T46" s="5462"/>
      <c r="U46" s="5454" cm="1">
        <f t="array" aca="1" ref="U46" ca="1">INDIRECT("'※ 영기팀 작성_가입자'!"&amp;U$2&amp;$AC46,TRUE)</f>
        <v>-96</v>
      </c>
      <c r="V46" s="5455" cm="1">
        <f t="array" aca="1" ref="V46" ca="1">INDIRECT("'※ 영기팀 작성_가입자'!"&amp;V$2&amp;$AC46,TRUE)</f>
        <v>-125</v>
      </c>
      <c r="W46" s="5456" cm="1">
        <f t="array" aca="1" ref="W46" ca="1">INDIRECT("'※ 영기팀 작성_가입자'!"&amp;W$1&amp;$AC46, TRUE)</f>
        <v>26613</v>
      </c>
      <c r="X46" s="5462"/>
      <c r="Y46" s="5462"/>
      <c r="Z46" s="5469" cm="1">
        <f t="array" aca="1" ref="Z46" ca="1">INDIRECT("'※ 영기팀 작성_가입자'!"&amp;Z$2&amp;$AC46, TRUE)</f>
        <v>5026</v>
      </c>
      <c r="AA46" s="5470" cm="1">
        <f t="array" aca="1" ref="AA46" ca="1">INDIRECT("'※ 영기팀 작성_가입자'!"&amp;AA$1&amp;$AC46, TRUE)</f>
        <v>2217.5652028997583</v>
      </c>
      <c r="AB46" s="5458" cm="1">
        <f t="array" aca="1" ref="AB46" ca="1">INDIRECT("'※ 영기팀 작성_가입자'!"&amp;AB$1&amp;$AC46, TRUE)</f>
        <v>-125</v>
      </c>
      <c r="AC46" s="5364">
        <f>ROW('※ 영기팀 작성_가입자'!AH280)</f>
        <v>280</v>
      </c>
    </row>
    <row r="47" spans="1:30" ht="18" customHeight="1" x14ac:dyDescent="0.55000000000000004">
      <c r="A47" s="7191"/>
      <c r="B47" s="3460"/>
      <c r="C47" s="2648" t="s">
        <v>1019</v>
      </c>
      <c r="D47" s="5495" cm="1">
        <f t="array" aca="1" ref="D47" ca="1">INDIRECT("'※ 영기팀 작성_가입자'!"&amp;D$1&amp;$AC47, TRUE)</f>
        <v>3972</v>
      </c>
      <c r="E47" s="5496" cm="1">
        <f t="array" aca="1" ref="E47" ca="1">INDIRECT("'※ 영기팀 작성_가입자'!"&amp;E$1&amp;$AC47, TRUE)</f>
        <v>4512</v>
      </c>
      <c r="F47" s="5497" cm="1">
        <f t="array" aca="1" ref="F47" ca="1">INDIRECT("'※ 영기팀 작성_가입자'!"&amp;F$1&amp;$AC47, TRUE)</f>
        <v>276</v>
      </c>
      <c r="G47" s="5496" cm="1">
        <f t="array" aca="1" ref="G47" ca="1">INDIRECT("'※ 영기팀 작성_가입자'!"&amp;G$1&amp;$AC47, TRUE)</f>
        <v>282</v>
      </c>
      <c r="H47" s="5496" cm="1">
        <f t="array" aca="1" ref="H47" ca="1">INDIRECT("'※ 영기팀 작성_가입자'!"&amp;H$1&amp;$AC47, TRUE)</f>
        <v>347</v>
      </c>
      <c r="I47" s="5496" cm="1">
        <f t="array" aca="1" ref="I47" ca="1">INDIRECT("'※ 영기팀 작성_가입자'!"&amp;I$1&amp;$AC47, TRUE)</f>
        <v>403</v>
      </c>
      <c r="J47" s="5496" cm="1">
        <f t="array" aca="1" ref="J47" ca="1">INDIRECT("'※ 영기팀 작성_가입자'!"&amp;J$1&amp;$AC47, TRUE)</f>
        <v>527</v>
      </c>
      <c r="K47" s="5496" cm="1">
        <f t="array" aca="1" ref="K47" ca="1">INDIRECT("'※ 영기팀 작성_가입자'!"&amp;K$1&amp;$AC47, TRUE)</f>
        <v>356</v>
      </c>
      <c r="L47" s="5496" cm="1">
        <f t="array" aca="1" ref="L47" ca="1">INDIRECT("'※ 영기팀 작성_가입자'!"&amp;L$1&amp;$AC47, TRUE)</f>
        <v>645</v>
      </c>
      <c r="M47" s="5496" cm="1">
        <f t="array" aca="1" ref="M47" ca="1">INDIRECT("'※ 영기팀 작성_가입자'!"&amp;M$1&amp;$AC47, TRUE)</f>
        <v>348</v>
      </c>
      <c r="N47" s="5496" cm="1">
        <f t="array" aca="1" ref="N47" ca="1">INDIRECT("'※ 영기팀 작성_가입자'!"&amp;N$1&amp;$AC47, TRUE)</f>
        <v>373</v>
      </c>
      <c r="O47" s="5496" cm="1">
        <f t="array" aca="1" ref="O47" ca="1">INDIRECT("'※ 영기팀 작성_가입자'!"&amp;O$1&amp;$AC47, TRUE)</f>
        <v>191</v>
      </c>
      <c r="P47" s="5496" cm="1">
        <f t="array" aca="1" ref="P47" ca="1">INDIRECT("'※ 영기팀 작성_가입자'!"&amp;P$1&amp;$AC47, TRUE)</f>
        <v>161</v>
      </c>
      <c r="Q47" s="5496" cm="1">
        <f t="array" aca="1" ref="Q47" ca="1">INDIRECT("'※ 영기팀 작성_가입자'!"&amp;Q$1&amp;$AC47, TRUE)</f>
        <v>128</v>
      </c>
      <c r="R47" s="5498"/>
      <c r="S47" s="5498"/>
      <c r="T47" s="5498"/>
      <c r="U47" s="5499" cm="1">
        <f t="array" aca="1" ref="U47" ca="1">INDIRECT("'※ 영기팀 작성_가입자'!"&amp;U$2&amp;$AC47,TRUE)</f>
        <v>-33</v>
      </c>
      <c r="V47" s="5500" cm="1">
        <f t="array" aca="1" ref="V47" ca="1">INDIRECT("'※ 영기팀 작성_가입자'!"&amp;V$2&amp;$AC47,TRUE)</f>
        <v>-137</v>
      </c>
      <c r="W47" s="3649" cm="1">
        <f t="array" aca="1" ref="W47" ca="1">INDIRECT("'※ 영기팀 작성_가입자'!"&amp;W$1&amp;$AC47, TRUE)</f>
        <v>4037</v>
      </c>
      <c r="X47" s="5498"/>
      <c r="Y47" s="5498"/>
      <c r="Z47" s="5469" cm="1">
        <f t="array" aca="1" ref="Z47" ca="1">INDIRECT("'※ 영기팀 작성_가입자'!"&amp;Z$2&amp;$AC47, TRUE)</f>
        <v>-475</v>
      </c>
      <c r="AA47" s="5470" cm="1">
        <f t="array" aca="1" ref="AA47" ca="1">INDIRECT("'※ 영기팀 작성_가입자'!"&amp;AA$1&amp;$AC47, TRUE)</f>
        <v>336.38863428047665</v>
      </c>
      <c r="AB47" s="5458" cm="1">
        <f t="array" aca="1" ref="AB47" ca="1">INDIRECT("'※ 영기팀 작성_가입자'!"&amp;AB$1&amp;$AC47, TRUE)</f>
        <v>-137</v>
      </c>
      <c r="AC47" s="5364">
        <f>ROW('※ 영기팀 작성_가입자'!AH281)</f>
        <v>281</v>
      </c>
      <c r="AD47" s="5494"/>
    </row>
    <row r="48" spans="1:30" ht="18" customHeight="1" x14ac:dyDescent="0.55000000000000004">
      <c r="A48" s="7191"/>
      <c r="B48" s="3460"/>
      <c r="C48" s="2648" t="s">
        <v>20</v>
      </c>
      <c r="D48" s="5495" cm="1">
        <f t="array" aca="1" ref="D48" ca="1">INDIRECT("'※ 영기팀 작성_가입자'!"&amp;D$1&amp;$AC48, TRUE)</f>
        <v>17420</v>
      </c>
      <c r="E48" s="5496" cm="1">
        <f t="array" aca="1" ref="E48" ca="1">INDIRECT("'※ 영기팀 작성_가입자'!"&amp;E$1&amp;$AC48, TRUE)</f>
        <v>21022</v>
      </c>
      <c r="F48" s="5497" cm="1">
        <f t="array" aca="1" ref="F48" ca="1">INDIRECT("'※ 영기팀 작성_가입자'!"&amp;F$1&amp;$AC48, TRUE)</f>
        <v>1828</v>
      </c>
      <c r="G48" s="5496" cm="1">
        <f t="array" aca="1" ref="G48" ca="1">INDIRECT("'※ 영기팀 작성_가입자'!"&amp;G$1&amp;$AC48, TRUE)</f>
        <v>2334</v>
      </c>
      <c r="H48" s="5496" cm="1">
        <f t="array" aca="1" ref="H48" ca="1">INDIRECT("'※ 영기팀 작성_가입자'!"&amp;H$1&amp;$AC48, TRUE)</f>
        <v>2074</v>
      </c>
      <c r="I48" s="5496" cm="1">
        <f t="array" aca="1" ref="I48" ca="1">INDIRECT("'※ 영기팀 작성_가입자'!"&amp;I$1&amp;$AC48, TRUE)</f>
        <v>2120</v>
      </c>
      <c r="J48" s="5496" cm="1">
        <f t="array" aca="1" ref="J48" ca="1">INDIRECT("'※ 영기팀 작성_가입자'!"&amp;J$1&amp;$AC48, TRUE)</f>
        <v>4113</v>
      </c>
      <c r="K48" s="5496" cm="1">
        <f t="array" aca="1" ref="K48" ca="1">INDIRECT("'※ 영기팀 작성_가입자'!"&amp;K$1&amp;$AC48, TRUE)</f>
        <v>3180</v>
      </c>
      <c r="L48" s="5496" cm="1">
        <f t="array" aca="1" ref="L48" ca="1">INDIRECT("'※ 영기팀 작성_가입자'!"&amp;L$1&amp;$AC48, TRUE)</f>
        <v>2864</v>
      </c>
      <c r="M48" s="5496" cm="1">
        <f t="array" aca="1" ref="M48" ca="1">INDIRECT("'※ 영기팀 작성_가입자'!"&amp;M$1&amp;$AC48, TRUE)</f>
        <v>2091</v>
      </c>
      <c r="N48" s="5496" cm="1">
        <f t="array" aca="1" ref="N48" ca="1">INDIRECT("'※ 영기팀 작성_가입자'!"&amp;N$1&amp;$AC48, TRUE)</f>
        <v>2104</v>
      </c>
      <c r="O48" s="5496" cm="1">
        <f t="array" aca="1" ref="O48" ca="1">INDIRECT("'※ 영기팀 작성_가입자'!"&amp;O$1&amp;$AC48, TRUE)</f>
        <v>1989</v>
      </c>
      <c r="P48" s="5496" cm="1">
        <f t="array" aca="1" ref="P48" ca="1">INDIRECT("'※ 영기팀 작성_가입자'!"&amp;P$1&amp;$AC48, TRUE)</f>
        <v>1933</v>
      </c>
      <c r="Q48" s="5496" cm="1">
        <f t="array" aca="1" ref="Q48" ca="1">INDIRECT("'※ 영기팀 작성_가입자'!"&amp;Q$1&amp;$AC48, TRUE)</f>
        <v>1917</v>
      </c>
      <c r="R48" s="5498"/>
      <c r="S48" s="5498"/>
      <c r="T48" s="5498"/>
      <c r="U48" s="5499" cm="1">
        <f t="array" aca="1" ref="U48" ca="1">INDIRECT("'※ 영기팀 작성_가입자'!"&amp;U$2&amp;$AC48,TRUE)</f>
        <v>-16</v>
      </c>
      <c r="V48" s="5500" cm="1">
        <f t="array" aca="1" ref="V48" ca="1">INDIRECT("'※ 영기팀 작성_가입자'!"&amp;V$2&amp;$AC48,TRUE)</f>
        <v>-25</v>
      </c>
      <c r="W48" s="3649" cm="1">
        <f t="array" aca="1" ref="W48" ca="1">INDIRECT("'※ 영기팀 작성_가입자'!"&amp;W$1&amp;$AC48, TRUE)</f>
        <v>28547</v>
      </c>
      <c r="X48" s="5498"/>
      <c r="Y48" s="5498"/>
      <c r="Z48" s="5469" cm="1">
        <f t="array" aca="1" ref="Z48" ca="1">INDIRECT("'※ 영기팀 작성_가입자'!"&amp;Z$2&amp;$AC48, TRUE)</f>
        <v>7525</v>
      </c>
      <c r="AA48" s="5470" cm="1">
        <f t="array" aca="1" ref="AA48" ca="1">INDIRECT("'※ 영기팀 작성_가입자'!"&amp;AA$1&amp;$AC48, TRUE)</f>
        <v>2378.7184401299892</v>
      </c>
      <c r="AB48" s="5458" cm="1">
        <f t="array" aca="1" ref="AB48" ca="1">INDIRECT("'※ 영기팀 작성_가입자'!"&amp;AB$1&amp;$AC48, TRUE)</f>
        <v>-25</v>
      </c>
      <c r="AC48" s="5364">
        <f>ROW('※ 영기팀 작성_가입자'!AH282)</f>
        <v>282</v>
      </c>
    </row>
    <row r="49" spans="1:31" ht="18" customHeight="1" x14ac:dyDescent="0.55000000000000004">
      <c r="A49" s="7191"/>
      <c r="B49" s="3460"/>
      <c r="C49" s="2648" t="s">
        <v>948</v>
      </c>
      <c r="D49" s="5495" cm="1">
        <f t="array" aca="1" ref="D49" ca="1">INDIRECT("'※ 영기팀 작성_가입자'!"&amp;D$1&amp;$AC49, TRUE)</f>
        <v>554</v>
      </c>
      <c r="E49" s="5496" cm="1">
        <f t="array" aca="1" ref="E49" ca="1">INDIRECT("'※ 영기팀 작성_가입자'!"&amp;E$1&amp;$AC49, TRUE)</f>
        <v>748</v>
      </c>
      <c r="F49" s="5497" cm="1">
        <f t="array" aca="1" ref="F49" ca="1">INDIRECT("'※ 영기팀 작성_가입자'!"&amp;F$1&amp;$AC49, TRUE)</f>
        <v>20</v>
      </c>
      <c r="G49" s="5496" cm="1">
        <f t="array" aca="1" ref="G49" ca="1">INDIRECT("'※ 영기팀 작성_가입자'!"&amp;G$1&amp;$AC49, TRUE)</f>
        <v>15</v>
      </c>
      <c r="H49" s="5496" cm="1">
        <f t="array" aca="1" ref="H49" ca="1">INDIRECT("'※ 영기팀 작성_가입자'!"&amp;H$1&amp;$AC49, TRUE)</f>
        <v>43</v>
      </c>
      <c r="I49" s="5496" cm="1">
        <f t="array" aca="1" ref="I49" ca="1">INDIRECT("'※ 영기팀 작성_가입자'!"&amp;I$1&amp;$AC49, TRUE)</f>
        <v>62</v>
      </c>
      <c r="J49" s="5496" cm="1">
        <f t="array" aca="1" ref="J49" ca="1">INDIRECT("'※ 영기팀 작성_가입자'!"&amp;J$1&amp;$AC49, TRUE)</f>
        <v>213</v>
      </c>
      <c r="K49" s="5496" cm="1">
        <f t="array" aca="1" ref="K49" ca="1">INDIRECT("'※ 영기팀 작성_가입자'!"&amp;K$1&amp;$AC49, TRUE)</f>
        <v>119</v>
      </c>
      <c r="L49" s="5496" cm="1">
        <f t="array" aca="1" ref="L49" ca="1">INDIRECT("'※ 영기팀 작성_가입자'!"&amp;L$1&amp;$AC49, TRUE)</f>
        <v>223</v>
      </c>
      <c r="M49" s="5496" cm="1">
        <f t="array" aca="1" ref="M49" ca="1">INDIRECT("'※ 영기팀 작성_가입자'!"&amp;M$1&amp;$AC49, TRUE)</f>
        <v>88</v>
      </c>
      <c r="N49" s="5496" cm="1">
        <f t="array" aca="1" ref="N49" ca="1">INDIRECT("'※ 영기팀 작성_가입자'!"&amp;N$1&amp;$AC49, TRUE)</f>
        <v>126</v>
      </c>
      <c r="O49" s="5496" cm="1">
        <f t="array" aca="1" ref="O49" ca="1">INDIRECT("'※ 영기팀 작성_가입자'!"&amp;O$1&amp;$AC49, TRUE)</f>
        <v>78</v>
      </c>
      <c r="P49" s="5496" cm="1">
        <f t="array" aca="1" ref="P49" ca="1">INDIRECT("'※ 영기팀 작성_가입자'!"&amp;P$1&amp;$AC49, TRUE)</f>
        <v>125</v>
      </c>
      <c r="Q49" s="5496" cm="1">
        <f t="array" aca="1" ref="Q49" ca="1">INDIRECT("'※ 영기팀 작성_가입자'!"&amp;Q$1&amp;$AC49, TRUE)</f>
        <v>112</v>
      </c>
      <c r="R49" s="5498"/>
      <c r="S49" s="5498"/>
      <c r="T49" s="5498"/>
      <c r="U49" s="5499" cm="1">
        <f t="array" aca="1" ref="U49" ca="1">INDIRECT("'※ 영기팀 작성_가입자'!"&amp;U$2&amp;$AC49,TRUE)</f>
        <v>-13</v>
      </c>
      <c r="V49" s="5500" cm="1">
        <f t="array" aca="1" ref="V49" ca="1">INDIRECT("'※ 영기팀 작성_가입자'!"&amp;V$2&amp;$AC49,TRUE)</f>
        <v>71</v>
      </c>
      <c r="W49" s="3649" cm="1">
        <f t="array" aca="1" ref="W49" ca="1">INDIRECT("'※ 영기팀 작성_가입자'!"&amp;W$1&amp;$AC49, TRUE)</f>
        <v>1224</v>
      </c>
      <c r="X49" s="5498"/>
      <c r="Y49" s="5498"/>
      <c r="Z49" s="5469" cm="1">
        <f t="array" aca="1" ref="Z49" ca="1">INDIRECT("'※ 영기팀 작성_가입자'!"&amp;Z$2&amp;$AC49, TRUE)</f>
        <v>71</v>
      </c>
      <c r="AA49" s="5470" cm="1">
        <f t="array" aca="1" ref="AA49" ca="1">INDIRECT("'※ 영기팀 작성_가입자'!"&amp;AA$1&amp;$AC49, TRUE)</f>
        <v>101.99150070827432</v>
      </c>
      <c r="AB49" s="5458" cm="1">
        <f t="array" aca="1" ref="AB49" ca="1">INDIRECT("'※ 영기팀 작성_가입자'!"&amp;AB$1&amp;$AC49, TRUE)</f>
        <v>71</v>
      </c>
      <c r="AC49" s="5364">
        <f>ROW('※ 영기팀 작성_가입자'!AH283)</f>
        <v>283</v>
      </c>
    </row>
    <row r="50" spans="1:31" ht="18" hidden="1" customHeight="1" x14ac:dyDescent="0.55000000000000004">
      <c r="A50" s="7192"/>
      <c r="B50" s="5501"/>
      <c r="C50" s="5502"/>
      <c r="D50" s="5503"/>
      <c r="E50" s="5504"/>
      <c r="F50" s="5505"/>
      <c r="G50" s="5504"/>
      <c r="H50" s="5504"/>
      <c r="I50" s="5504"/>
      <c r="J50" s="5504"/>
      <c r="K50" s="5504"/>
      <c r="L50" s="5504"/>
      <c r="M50" s="5504"/>
      <c r="N50" s="5504"/>
      <c r="O50" s="5504"/>
      <c r="P50" s="5504"/>
      <c r="Q50" s="5504"/>
      <c r="R50" s="5506"/>
      <c r="S50" s="5506"/>
      <c r="T50" s="5506"/>
      <c r="U50" s="5507"/>
      <c r="V50" s="5508"/>
      <c r="W50" s="5509"/>
      <c r="X50" s="5506"/>
      <c r="Y50" s="5506"/>
      <c r="Z50" s="5510"/>
      <c r="AA50" s="5511"/>
      <c r="AB50" s="5512"/>
      <c r="AC50" s="5364">
        <f>ROW('※ 영기팀 작성_가입자'!AH283)</f>
        <v>283</v>
      </c>
      <c r="AD50" s="5494"/>
    </row>
    <row r="51" spans="1:31" ht="4.75" customHeight="1" thickBot="1" x14ac:dyDescent="0.6">
      <c r="A51" s="5076"/>
      <c r="B51" s="2682"/>
      <c r="C51" s="2682"/>
      <c r="D51" s="3128"/>
      <c r="E51" s="3468"/>
      <c r="F51" s="3127"/>
      <c r="G51" s="3128"/>
      <c r="H51" s="3128"/>
      <c r="I51" s="3128"/>
      <c r="J51" s="3128"/>
      <c r="K51" s="3128"/>
      <c r="L51" s="3128"/>
      <c r="M51" s="3128"/>
      <c r="N51" s="3128"/>
      <c r="O51" s="3128"/>
      <c r="P51" s="3128"/>
      <c r="Q51" s="3128"/>
      <c r="R51" s="3128"/>
      <c r="S51" s="3128"/>
      <c r="T51" s="3128"/>
      <c r="U51" s="3128"/>
      <c r="V51" s="3128"/>
      <c r="W51" s="3468"/>
      <c r="X51" s="3468"/>
      <c r="Y51" s="3468"/>
      <c r="Z51" s="2467"/>
      <c r="AA51" s="2467"/>
      <c r="AB51" s="2467"/>
      <c r="AC51" s="5364"/>
    </row>
    <row r="52" spans="1:31" ht="18" customHeight="1" x14ac:dyDescent="0.55000000000000004">
      <c r="A52" s="7186" t="s">
        <v>94</v>
      </c>
      <c r="B52" s="5513" t="s">
        <v>652</v>
      </c>
      <c r="C52" s="5513"/>
      <c r="D52" s="4543" cm="1">
        <f t="array" aca="1" ref="D52" ca="1">INDIRECT("'※ 영기팀 작성_가입자'!"&amp;D$1&amp;$AC52, TRUE)</f>
        <v>33874</v>
      </c>
      <c r="E52" s="4545" cm="1">
        <f t="array" aca="1" ref="E52" ca="1">INDIRECT("'※ 영기팀 작성_가입자'!"&amp;E$1&amp;$AC52, TRUE)</f>
        <v>39819</v>
      </c>
      <c r="F52" s="5514" cm="1">
        <f t="array" aca="1" ref="F52" ca="1">INDIRECT("'※ 영기팀 작성_가입자'!"&amp;F$1&amp;$AC52, TRUE)</f>
        <v>2493</v>
      </c>
      <c r="G52" s="4545" cm="1">
        <f t="array" aca="1" ref="G52" ca="1">INDIRECT("'※ 영기팀 작성_가입자'!"&amp;G$1&amp;$AC52, TRUE)</f>
        <v>4919</v>
      </c>
      <c r="H52" s="4545" cm="1">
        <f t="array" aca="1" ref="H52" ca="1">INDIRECT("'※ 영기팀 작성_가입자'!"&amp;H$1&amp;$AC52, TRUE)</f>
        <v>3745</v>
      </c>
      <c r="I52" s="4545" cm="1">
        <f t="array" aca="1" ref="I52" ca="1">INDIRECT("'※ 영기팀 작성_가입자'!"&amp;I$1&amp;$AC52, TRUE)</f>
        <v>4432</v>
      </c>
      <c r="J52" s="4545" cm="1">
        <f t="array" aca="1" ref="J52" ca="1">INDIRECT("'※ 영기팀 작성_가입자'!"&amp;J$1&amp;$AC52, TRUE)</f>
        <v>7562.9999999999991</v>
      </c>
      <c r="K52" s="4545" cm="1">
        <f t="array" aca="1" ref="K52" ca="1">INDIRECT("'※ 영기팀 작성_가입자'!"&amp;K$1&amp;$AC52, TRUE)</f>
        <v>4089</v>
      </c>
      <c r="L52" s="4545" cm="1">
        <f t="array" aca="1" ref="L52" ca="1">INDIRECT("'※ 영기팀 작성_가입자'!"&amp;L$1&amp;$AC52, TRUE)</f>
        <v>5772</v>
      </c>
      <c r="M52" s="4545" cm="1">
        <f t="array" aca="1" ref="M52" ca="1">INDIRECT("'※ 영기팀 작성_가입자'!"&amp;M$1&amp;$AC52, TRUE)</f>
        <v>3850</v>
      </c>
      <c r="N52" s="4545" cm="1">
        <f t="array" aca="1" ref="N52" ca="1">INDIRECT("'※ 영기팀 작성_가입자'!"&amp;N$1&amp;$AC52, TRUE)</f>
        <v>3971</v>
      </c>
      <c r="O52" s="4545" cm="1">
        <f t="array" aca="1" ref="O52" ca="1">INDIRECT("'※ 영기팀 작성_가입자'!"&amp;O$1&amp;$AC52, TRUE)</f>
        <v>2774</v>
      </c>
      <c r="P52" s="4545" cm="1">
        <f t="array" aca="1" ref="P52" ca="1">INDIRECT("'※ 영기팀 작성_가입자'!"&amp;P$1&amp;$AC52, TRUE)</f>
        <v>2835</v>
      </c>
      <c r="Q52" s="4545" cm="1">
        <f t="array" aca="1" ref="Q52" ca="1">INDIRECT("'※ 영기팀 작성_가입자'!"&amp;Q$1&amp;$AC52, TRUE)</f>
        <v>2685</v>
      </c>
      <c r="R52" s="5515" cm="1">
        <f t="array" aca="1" ref="R52" ca="1">INDIRECT("'※ 영기팀 작성_가입자'!"&amp;R$1&amp;$AD52, TRUE)</f>
        <v>3000</v>
      </c>
      <c r="S52" s="5515" cm="1">
        <f t="array" aca="1" ref="S52" ca="1">INDIRECT("'※ 영기팀 작성_가입자'!"&amp;S$1&amp;$AD52, TRUE)</f>
        <v>-315</v>
      </c>
      <c r="T52" s="5516" cm="1">
        <f t="array" aca="1" ref="T52" ca="1">INDIRECT("'※ 영기팀 작성_가입자'!"&amp;T$1&amp;$AD52, TRUE)</f>
        <v>0.95394174757281558</v>
      </c>
      <c r="U52" s="5517" cm="1">
        <f t="array" aca="1" ref="U52" ca="1">INDIRECT("'※ 영기팀 작성_가입자'!"&amp;U$2&amp;$AC52,TRUE)</f>
        <v>-150</v>
      </c>
      <c r="V52" s="5518" cm="1">
        <f t="array" aca="1" ref="V52" ca="1">INDIRECT("'※ 영기팀 작성_가입자'!"&amp;V$2&amp;$AC52,TRUE)</f>
        <v>-235</v>
      </c>
      <c r="W52" s="5519" cm="1">
        <f t="array" aca="1" ref="W52" ca="1">INDIRECT("'※ 영기팀 작성_가입자'!"&amp;W$1&amp;$AC52, TRUE)</f>
        <v>49128</v>
      </c>
      <c r="X52" s="5515" cm="1">
        <f t="array" aca="1" ref="X52" ca="1">INDIRECT("'※ 영기팀 작성_가입자'!"&amp;X$1&amp;$AD52, TRUE)</f>
        <v>-315</v>
      </c>
      <c r="Y52" s="5516" cm="1">
        <f t="array" aca="1" ref="Y52" ca="1">INDIRECT("'※ 영기팀 작성_가입자'!"&amp;Y$1&amp;$AD52, TRUE)</f>
        <v>1.8446341463414633</v>
      </c>
      <c r="Z52" s="5520" cm="1">
        <f t="array" aca="1" ref="Z52" ca="1">INDIRECT("'※ 영기팀 작성_가입자'!"&amp;Z$2&amp;$AC52, TRUE)</f>
        <v>9309</v>
      </c>
      <c r="AA52" s="5521" cm="1">
        <f t="array" aca="1" ref="AA52" ca="1">INDIRECT("'※ 영기팀 작성_가입자'!"&amp;AA$1&amp;$AC52, TRUE)</f>
        <v>4093.6588617615203</v>
      </c>
      <c r="AB52" s="5449" cm="1">
        <f t="array" aca="1" ref="AB52" ca="1">INDIRECT("'※ 영기팀 작성_가입자'!"&amp;AB$1&amp;$AC52, TRUE)</f>
        <v>-235</v>
      </c>
      <c r="AC52" s="5364">
        <f>ROW('※ 영기팀 작성_가입자'!AH199)</f>
        <v>199</v>
      </c>
      <c r="AD52" s="5360">
        <f>ROW('※ 영기팀 작성_가입자'!AI479)</f>
        <v>479</v>
      </c>
    </row>
    <row r="53" spans="1:31" ht="18" customHeight="1" x14ac:dyDescent="0.55000000000000004">
      <c r="A53" s="7187"/>
      <c r="B53" s="2648" t="s">
        <v>77</v>
      </c>
      <c r="C53" s="2648"/>
      <c r="D53" s="5495" cm="1">
        <f t="array" aca="1" ref="D53" ca="1">INDIRECT("'※ 영기팀 작성_가입자'!"&amp;D$1&amp;$AC53, TRUE)</f>
        <v>4666</v>
      </c>
      <c r="E53" s="5496" cm="1">
        <f t="array" aca="1" ref="E53" ca="1">INDIRECT("'※ 영기팀 작성_가입자'!"&amp;E$1&amp;$AC53, TRUE)</f>
        <v>6230</v>
      </c>
      <c r="F53" s="5497" cm="1">
        <f t="array" aca="1" ref="F53" ca="1">INDIRECT("'※ 영기팀 작성_가입자'!"&amp;F$1&amp;$AC53, TRUE)</f>
        <v>388</v>
      </c>
      <c r="G53" s="5496" cm="1">
        <f t="array" aca="1" ref="G53" ca="1">INDIRECT("'※ 영기팀 작성_가입자'!"&amp;G$1&amp;$AC53, TRUE)</f>
        <v>750</v>
      </c>
      <c r="H53" s="5496" cm="1">
        <f t="array" aca="1" ref="H53" ca="1">INDIRECT("'※ 영기팀 작성_가입자'!"&amp;H$1&amp;$AC53, TRUE)</f>
        <v>562</v>
      </c>
      <c r="I53" s="5496" cm="1">
        <f t="array" aca="1" ref="I53" ca="1">INDIRECT("'※ 영기팀 작성_가입자'!"&amp;I$1&amp;$AC53, TRUE)</f>
        <v>699</v>
      </c>
      <c r="J53" s="5496" cm="1">
        <f t="array" aca="1" ref="J53" ca="1">INDIRECT("'※ 영기팀 작성_가입자'!"&amp;J$1&amp;$AC53, TRUE)</f>
        <v>1336</v>
      </c>
      <c r="K53" s="5496" cm="1">
        <f t="array" aca="1" ref="K53" ca="1">INDIRECT("'※ 영기팀 작성_가입자'!"&amp;K$1&amp;$AC53, TRUE)</f>
        <v>642</v>
      </c>
      <c r="L53" s="5496" cm="1">
        <f t="array" aca="1" ref="L53" ca="1">INDIRECT("'※ 영기팀 작성_가입자'!"&amp;L$1&amp;$AC53, TRUE)</f>
        <v>914</v>
      </c>
      <c r="M53" s="5496" cm="1">
        <f t="array" aca="1" ref="M53" ca="1">INDIRECT("'※ 영기팀 작성_가입자'!"&amp;M$1&amp;$AC53, TRUE)</f>
        <v>560</v>
      </c>
      <c r="N53" s="5496" cm="1">
        <f t="array" aca="1" ref="N53" ca="1">INDIRECT("'※ 영기팀 작성_가입자'!"&amp;N$1&amp;$AC53, TRUE)</f>
        <v>574</v>
      </c>
      <c r="O53" s="5496" cm="1">
        <f t="array" aca="1" ref="O53" ca="1">INDIRECT("'※ 영기팀 작성_가입자'!"&amp;O$1&amp;$AC53, TRUE)</f>
        <v>378</v>
      </c>
      <c r="P53" s="5496" cm="1">
        <f t="array" aca="1" ref="P53" ca="1">INDIRECT("'※ 영기팀 작성_가입자'!"&amp;P$1&amp;$AC53, TRUE)</f>
        <v>468</v>
      </c>
      <c r="Q53" s="5496" cm="1">
        <f t="array" aca="1" ref="Q53" ca="1">INDIRECT("'※ 영기팀 작성_가입자'!"&amp;Q$1&amp;$AC53, TRUE)</f>
        <v>424</v>
      </c>
      <c r="R53" s="5522" cm="1">
        <f t="array" aca="1" ref="R53" ca="1">INDIRECT("'※ 영기팀 작성_가입자'!"&amp;R$1&amp;$AD53, TRUE)</f>
        <v>446</v>
      </c>
      <c r="S53" s="5522" cm="1">
        <f t="array" aca="1" ref="S53" ca="1">INDIRECT("'※ 영기팀 작성_가입자'!"&amp;S$1&amp;$AD53, TRUE)</f>
        <v>-22</v>
      </c>
      <c r="T53" s="5523" cm="1">
        <f t="array" aca="1" ref="T53" ca="1">INDIRECT("'※ 영기팀 작성_가입자'!"&amp;T$1&amp;$AD53, TRUE)</f>
        <v>1.0058823529411764</v>
      </c>
      <c r="U53" s="5081" cm="1">
        <f t="array" aca="1" ref="U53" ca="1">INDIRECT("'※ 영기팀 작성_가입자'!"&amp;U$2&amp;$AC53,TRUE)</f>
        <v>-44</v>
      </c>
      <c r="V53" s="5082" cm="1">
        <f t="array" aca="1" ref="V53" ca="1">INDIRECT("'※ 영기팀 작성_가입자'!"&amp;V$2&amp;$AC53,TRUE)</f>
        <v>-39</v>
      </c>
      <c r="W53" s="5524" cm="1">
        <f t="array" aca="1" ref="W53" ca="1">INDIRECT("'※ 영기팀 작성_가입자'!"&amp;W$1&amp;$AC53, TRUE)</f>
        <v>7695</v>
      </c>
      <c r="X53" s="5522" cm="1">
        <f t="array" aca="1" ref="X53" ca="1">INDIRECT("'※ 영기팀 작성_가입자'!"&amp;X$1&amp;$AD53, TRUE)</f>
        <v>-22</v>
      </c>
      <c r="Y53" s="5523" cm="1">
        <f t="array" aca="1" ref="Y53" ca="1">INDIRECT("'※ 영기팀 작성_가입자'!"&amp;Y$1&amp;$AD53, TRUE)</f>
        <v>2.19376026272578</v>
      </c>
      <c r="Z53" s="4910" cm="1">
        <f t="array" aca="1" ref="Z53" ca="1">INDIRECT("'※ 영기팀 작성_가입자'!"&amp;Z$2&amp;$AC53, TRUE)</f>
        <v>1465</v>
      </c>
      <c r="AA53" s="5525" cm="1">
        <f t="array" aca="1" ref="AA53" ca="1">INDIRECT("'※ 영기팀 작성_가입자'!"&amp;AA$1&amp;$AC53, TRUE)</f>
        <v>641.19656695275398</v>
      </c>
      <c r="AB53" s="5458" cm="1">
        <f t="array" aca="1" ref="AB53" ca="1">INDIRECT("'※ 영기팀 작성_가입자'!"&amp;AB$1&amp;$AC53, TRUE)</f>
        <v>-39</v>
      </c>
      <c r="AC53" s="5364">
        <f>ROW('※ 영기팀 작성_가입자'!AH204)</f>
        <v>204</v>
      </c>
      <c r="AD53" s="5360">
        <f>ROW('※ 영기팀 작성_가입자'!AI483)</f>
        <v>483</v>
      </c>
    </row>
    <row r="54" spans="1:31" ht="18" customHeight="1" x14ac:dyDescent="0.55000000000000004">
      <c r="A54" s="7187"/>
      <c r="B54" s="2639" t="s">
        <v>78</v>
      </c>
      <c r="C54" s="2648"/>
      <c r="D54" s="5495" cm="1">
        <f t="array" aca="1" ref="D54" ca="1">INDIRECT("'※ 영기팀 작성_가입자'!"&amp;D$1&amp;$AC54, TRUE)</f>
        <v>6025</v>
      </c>
      <c r="E54" s="5496" cm="1">
        <f t="array" aca="1" ref="E54" ca="1">INDIRECT("'※ 영기팀 작성_가입자'!"&amp;E$1&amp;$AC54, TRUE)</f>
        <v>7061</v>
      </c>
      <c r="F54" s="5497" cm="1">
        <f t="array" aca="1" ref="F54" ca="1">INDIRECT("'※ 영기팀 작성_가입자'!"&amp;F$1&amp;$AC54, TRUE)</f>
        <v>499</v>
      </c>
      <c r="G54" s="5496" cm="1">
        <f t="array" aca="1" ref="G54" ca="1">INDIRECT("'※ 영기팀 작성_가입자'!"&amp;G$1&amp;$AC54, TRUE)</f>
        <v>921</v>
      </c>
      <c r="H54" s="5496" cm="1">
        <f t="array" aca="1" ref="H54" ca="1">INDIRECT("'※ 영기팀 작성_가입자'!"&amp;H$1&amp;$AC54, TRUE)</f>
        <v>681</v>
      </c>
      <c r="I54" s="5496" cm="1">
        <f t="array" aca="1" ref="I54" ca="1">INDIRECT("'※ 영기팀 작성_가입자'!"&amp;I$1&amp;$AC54, TRUE)</f>
        <v>727</v>
      </c>
      <c r="J54" s="5496" cm="1">
        <f t="array" aca="1" ref="J54" ca="1">INDIRECT("'※ 영기팀 작성_가입자'!"&amp;J$1&amp;$AC54, TRUE)</f>
        <v>1433</v>
      </c>
      <c r="K54" s="5496" cm="1">
        <f t="array" aca="1" ref="K54" ca="1">INDIRECT("'※ 영기팀 작성_가입자'!"&amp;K$1&amp;$AC54, TRUE)</f>
        <v>661</v>
      </c>
      <c r="L54" s="5496" cm="1">
        <f t="array" aca="1" ref="L54" ca="1">INDIRECT("'※ 영기팀 작성_가입자'!"&amp;L$1&amp;$AC54, TRUE)</f>
        <v>944</v>
      </c>
      <c r="M54" s="5496" cm="1">
        <f t="array" aca="1" ref="M54" ca="1">INDIRECT("'※ 영기팀 작성_가입자'!"&amp;M$1&amp;$AC54, TRUE)</f>
        <v>665</v>
      </c>
      <c r="N54" s="5496" cm="1">
        <f t="array" aca="1" ref="N54" ca="1">INDIRECT("'※ 영기팀 작성_가입자'!"&amp;N$1&amp;$AC54, TRUE)</f>
        <v>775</v>
      </c>
      <c r="O54" s="5496" cm="1">
        <f t="array" aca="1" ref="O54" ca="1">INDIRECT("'※ 영기팀 작성_가입자'!"&amp;O$1&amp;$AC54, TRUE)</f>
        <v>490</v>
      </c>
      <c r="P54" s="5496" cm="1">
        <f t="array" aca="1" ref="P54" ca="1">INDIRECT("'※ 영기팀 작성_가입자'!"&amp;P$1&amp;$AC54, TRUE)</f>
        <v>470</v>
      </c>
      <c r="Q54" s="5496" cm="1">
        <f t="array" aca="1" ref="Q54" ca="1">INDIRECT("'※ 영기팀 작성_가입자'!"&amp;Q$1&amp;$AC54, TRUE)</f>
        <v>506</v>
      </c>
      <c r="R54" s="5522" cm="1">
        <f t="array" aca="1" ref="R54" ca="1">INDIRECT("'※ 영기팀 작성_가입자'!"&amp;R$1&amp;$AD54, TRUE)</f>
        <v>510</v>
      </c>
      <c r="S54" s="5522" cm="1">
        <f t="array" aca="1" ref="S54" ca="1">INDIRECT("'※ 영기팀 작성_가입자'!"&amp;S$1&amp;$AD54, TRUE)</f>
        <v>-4</v>
      </c>
      <c r="T54" s="5523" cm="1">
        <f t="array" aca="1" ref="T54" ca="1">INDIRECT("'※ 영기팀 작성_가입자'!"&amp;T$1&amp;$AD54, TRUE)</f>
        <v>1.0012555644332839</v>
      </c>
      <c r="U54" s="5081" cm="1">
        <f t="array" aca="1" ref="U54" ca="1">INDIRECT("'※ 영기팀 작성_가입자'!"&amp;U$2&amp;$AC54,TRUE)</f>
        <v>36</v>
      </c>
      <c r="V54" s="5082" cm="1">
        <f t="array" aca="1" ref="V54" ca="1">INDIRECT("'※ 영기팀 작성_가입자'!"&amp;V$2&amp;$AC54,TRUE)</f>
        <v>-7</v>
      </c>
      <c r="W54" s="5524" cm="1">
        <f t="array" aca="1" ref="W54" ca="1">INDIRECT("'※ 영기팀 작성_가입자'!"&amp;W$1&amp;$AC54, TRUE)</f>
        <v>8772</v>
      </c>
      <c r="X54" s="5522" cm="1">
        <f t="array" aca="1" ref="X54" ca="1">INDIRECT("'※ 영기팀 작성_가입자'!"&amp;X$1&amp;$AD54, TRUE)</f>
        <v>-4</v>
      </c>
      <c r="Y54" s="5523" cm="1">
        <f t="array" aca="1" ref="Y54" ca="1">INDIRECT("'※ 영기팀 작성_가입자'!"&amp;Y$1&amp;$AD54, TRUE)</f>
        <v>2.0530085959885387</v>
      </c>
      <c r="Z54" s="4910" cm="1">
        <f t="array" aca="1" ref="Z54" ca="1">INDIRECT("'※ 영기팀 작성_가입자'!"&amp;Z$2&amp;$AC54, TRUE)</f>
        <v>1711</v>
      </c>
      <c r="AA54" s="5525" cm="1">
        <f t="array" aca="1" ref="AA54" ca="1">INDIRECT("'※ 영기팀 작성_가입자'!"&amp;AA$1&amp;$AC54, TRUE)</f>
        <v>730.9390884092993</v>
      </c>
      <c r="AB54" s="5458" cm="1">
        <f t="array" aca="1" ref="AB54" ca="1">INDIRECT("'※ 영기팀 작성_가입자'!"&amp;AB$1&amp;$AC54, TRUE)</f>
        <v>-7</v>
      </c>
      <c r="AC54" s="5364">
        <f>ROW('※ 영기팀 작성_가입자'!AH205)</f>
        <v>205</v>
      </c>
      <c r="AD54" s="5360">
        <f>ROW('※ 영기팀 작성_가입자'!AI484)</f>
        <v>484</v>
      </c>
      <c r="AE54" s="5526"/>
    </row>
    <row r="55" spans="1:31" ht="18" customHeight="1" x14ac:dyDescent="0.55000000000000004">
      <c r="A55" s="7187"/>
      <c r="B55" s="2639" t="s">
        <v>79</v>
      </c>
      <c r="C55" s="2648"/>
      <c r="D55" s="5495" cm="1">
        <f t="array" aca="1" ref="D55" ca="1">INDIRECT("'※ 영기팀 작성_가입자'!"&amp;D$1&amp;$AC55, TRUE)</f>
        <v>7893</v>
      </c>
      <c r="E55" s="5496" cm="1">
        <f t="array" aca="1" ref="E55" ca="1">INDIRECT("'※ 영기팀 작성_가입자'!"&amp;E$1&amp;$AC55, TRUE)</f>
        <v>9835</v>
      </c>
      <c r="F55" s="5497" cm="1">
        <f t="array" aca="1" ref="F55" ca="1">INDIRECT("'※ 영기팀 작성_가입자'!"&amp;F$1&amp;$AC55, TRUE)</f>
        <v>595</v>
      </c>
      <c r="G55" s="5496" cm="1">
        <f t="array" aca="1" ref="G55" ca="1">INDIRECT("'※ 영기팀 작성_가입자'!"&amp;G$1&amp;$AC55, TRUE)</f>
        <v>1159</v>
      </c>
      <c r="H55" s="5496" cm="1">
        <f t="array" aca="1" ref="H55" ca="1">INDIRECT("'※ 영기팀 작성_가입자'!"&amp;H$1&amp;$AC55, TRUE)</f>
        <v>838</v>
      </c>
      <c r="I55" s="5496" cm="1">
        <f t="array" aca="1" ref="I55" ca="1">INDIRECT("'※ 영기팀 작성_가입자'!"&amp;I$1&amp;$AC55, TRUE)</f>
        <v>1024</v>
      </c>
      <c r="J55" s="5496" cm="1">
        <f t="array" aca="1" ref="J55" ca="1">INDIRECT("'※ 영기팀 작성_가입자'!"&amp;J$1&amp;$AC55, TRUE)</f>
        <v>1765</v>
      </c>
      <c r="K55" s="5496" cm="1">
        <f t="array" aca="1" ref="K55" ca="1">INDIRECT("'※ 영기팀 작성_가입자'!"&amp;K$1&amp;$AC55, TRUE)</f>
        <v>999</v>
      </c>
      <c r="L55" s="5496" cm="1">
        <f t="array" aca="1" ref="L55" ca="1">INDIRECT("'※ 영기팀 작성_가입자'!"&amp;L$1&amp;$AC55, TRUE)</f>
        <v>1362</v>
      </c>
      <c r="M55" s="5496" cm="1">
        <f t="array" aca="1" ref="M55" ca="1">INDIRECT("'※ 영기팀 작성_가입자'!"&amp;M$1&amp;$AC55, TRUE)</f>
        <v>918</v>
      </c>
      <c r="N55" s="5496" cm="1">
        <f t="array" aca="1" ref="N55" ca="1">INDIRECT("'※ 영기팀 작성_가입자'!"&amp;N$1&amp;$AC55, TRUE)</f>
        <v>981</v>
      </c>
      <c r="O55" s="5496" cm="1">
        <f t="array" aca="1" ref="O55" ca="1">INDIRECT("'※ 영기팀 작성_가입자'!"&amp;O$1&amp;$AC55, TRUE)</f>
        <v>648</v>
      </c>
      <c r="P55" s="5496" cm="1">
        <f t="array" aca="1" ref="P55" ca="1">INDIRECT("'※ 영기팀 작성_가입자'!"&amp;P$1&amp;$AC55, TRUE)</f>
        <v>715</v>
      </c>
      <c r="Q55" s="5496" cm="1">
        <f t="array" aca="1" ref="Q55" ca="1">INDIRECT("'※ 영기팀 작성_가입자'!"&amp;Q$1&amp;$AC55, TRUE)</f>
        <v>692</v>
      </c>
      <c r="R55" s="5522" cm="1">
        <f t="array" aca="1" ref="R55" ca="1">INDIRECT("'※ 영기팀 작성_가입자'!"&amp;R$1&amp;$AD55, TRUE)</f>
        <v>705</v>
      </c>
      <c r="S55" s="5522" cm="1">
        <f t="array" aca="1" ref="S55" ca="1">INDIRECT("'※ 영기팀 작성_가입자'!"&amp;S$1&amp;$AD55, TRUE)</f>
        <v>-13</v>
      </c>
      <c r="T55" s="5523" cm="1">
        <f t="array" aca="1" ref="T55" ca="1">INDIRECT("'※ 영기팀 작성_가입자'!"&amp;T$1&amp;$AD55, TRUE)</f>
        <v>0.96621230896323829</v>
      </c>
      <c r="U55" s="5081" cm="1">
        <f t="array" aca="1" ref="U55" ca="1">INDIRECT("'※ 영기팀 작성_가입자'!"&amp;U$2&amp;$AC55,TRUE)</f>
        <v>-23</v>
      </c>
      <c r="V55" s="5082" cm="1">
        <f t="array" aca="1" ref="V55" ca="1">INDIRECT("'※ 영기팀 작성_가입자'!"&amp;V$2&amp;$AC55,TRUE)</f>
        <v>-34</v>
      </c>
      <c r="W55" s="5524" cm="1">
        <f t="array" aca="1" ref="W55" ca="1">INDIRECT("'※ 영기팀 작성_가입자'!"&amp;W$1&amp;$AC55, TRUE)</f>
        <v>11696</v>
      </c>
      <c r="X55" s="5522" cm="1">
        <f t="array" aca="1" ref="X55" ca="1">INDIRECT("'※ 영기팀 작성_가입자'!"&amp;X$1&amp;$AD55, TRUE)</f>
        <v>-13</v>
      </c>
      <c r="Y55" s="5523" cm="1">
        <f t="array" aca="1" ref="Y55" ca="1">INDIRECT("'※ 영기팀 작성_가입자'!"&amp;Y$1&amp;$AD55, TRUE)</f>
        <v>1.8309128630705394</v>
      </c>
      <c r="Z55" s="4910" cm="1">
        <f t="array" aca="1" ref="Z55" ca="1">INDIRECT("'※ 영기팀 작성_가입자'!"&amp;Z$2&amp;$AC55, TRUE)</f>
        <v>1861</v>
      </c>
      <c r="AA55" s="5525" cm="1">
        <f t="array" aca="1" ref="AA55" ca="1">INDIRECT("'※ 영기팀 작성_가입자'!"&amp;AA$1&amp;$AC55, TRUE)</f>
        <v>974.58545121239899</v>
      </c>
      <c r="AB55" s="5458" cm="1">
        <f t="array" aca="1" ref="AB55" ca="1">INDIRECT("'※ 영기팀 작성_가입자'!"&amp;AB$1&amp;$AC55, TRUE)</f>
        <v>-34</v>
      </c>
      <c r="AC55" s="5364">
        <f>ROW('※ 영기팀 작성_가입자'!AH206)</f>
        <v>206</v>
      </c>
      <c r="AD55" s="5360">
        <f>ROW('※ 영기팀 작성_가입자'!AI485)</f>
        <v>485</v>
      </c>
    </row>
    <row r="56" spans="1:31" ht="18" customHeight="1" x14ac:dyDescent="0.55000000000000004">
      <c r="A56" s="7187"/>
      <c r="B56" s="2639" t="s">
        <v>425</v>
      </c>
      <c r="C56" s="2648"/>
      <c r="D56" s="5495" cm="1">
        <f t="array" aca="1" ref="D56" ca="1">INDIRECT("'※ 영기팀 작성_가입자'!"&amp;D$1&amp;$AC56, TRUE)</f>
        <v>9472</v>
      </c>
      <c r="E56" s="5496" cm="1">
        <f t="array" aca="1" ref="E56" ca="1">INDIRECT("'※ 영기팀 작성_가입자'!"&amp;E$1&amp;$AC56, TRUE)</f>
        <v>11641</v>
      </c>
      <c r="F56" s="5497" cm="1">
        <f t="array" aca="1" ref="F56" ca="1">INDIRECT("'※ 영기팀 작성_가입자'!"&amp;F$1&amp;$AC56, TRUE)</f>
        <v>587</v>
      </c>
      <c r="G56" s="5496" cm="1">
        <f t="array" aca="1" ref="G56" ca="1">INDIRECT("'※ 영기팀 작성_가입자'!"&amp;G$1&amp;$AC56, TRUE)</f>
        <v>1218</v>
      </c>
      <c r="H56" s="5496" cm="1">
        <f t="array" aca="1" ref="H56" ca="1">INDIRECT("'※ 영기팀 작성_가입자'!"&amp;H$1&amp;$AC56, TRUE)</f>
        <v>941</v>
      </c>
      <c r="I56" s="5496" cm="1">
        <f t="array" aca="1" ref="I56" ca="1">INDIRECT("'※ 영기팀 작성_가입자'!"&amp;I$1&amp;$AC56, TRUE)</f>
        <v>1292</v>
      </c>
      <c r="J56" s="5496" cm="1">
        <f t="array" aca="1" ref="J56" ca="1">INDIRECT("'※ 영기팀 작성_가입자'!"&amp;J$1&amp;$AC56, TRUE)</f>
        <v>1818</v>
      </c>
      <c r="K56" s="5496" cm="1">
        <f t="array" aca="1" ref="K56" ca="1">INDIRECT("'※ 영기팀 작성_가입자'!"&amp;K$1&amp;$AC56, TRUE)</f>
        <v>1109</v>
      </c>
      <c r="L56" s="5496" cm="1">
        <f t="array" aca="1" ref="L56" ca="1">INDIRECT("'※ 영기팀 작성_가입자'!"&amp;L$1&amp;$AC56, TRUE)</f>
        <v>1571</v>
      </c>
      <c r="M56" s="5496" cm="1">
        <f t="array" aca="1" ref="M56" ca="1">INDIRECT("'※ 영기팀 작성_가입자'!"&amp;M$1&amp;$AC56, TRUE)</f>
        <v>1032</v>
      </c>
      <c r="N56" s="5496" cm="1">
        <f t="array" aca="1" ref="N56" ca="1">INDIRECT("'※ 영기팀 작성_가입자'!"&amp;N$1&amp;$AC56, TRUE)</f>
        <v>1015</v>
      </c>
      <c r="O56" s="5496" cm="1">
        <f t="array" aca="1" ref="O56" ca="1">INDIRECT("'※ 영기팀 작성_가입자'!"&amp;O$1&amp;$AC56, TRUE)</f>
        <v>763</v>
      </c>
      <c r="P56" s="5496" cm="1">
        <f t="array" aca="1" ref="P56" ca="1">INDIRECT("'※ 영기팀 작성_가입자'!"&amp;P$1&amp;$AC56, TRUE)</f>
        <v>697</v>
      </c>
      <c r="Q56" s="5496" cm="1">
        <f t="array" aca="1" ref="Q56" ca="1">INDIRECT("'※ 영기팀 작성_가입자'!"&amp;Q$1&amp;$AC56, TRUE)</f>
        <v>611</v>
      </c>
      <c r="R56" s="5522" cm="1">
        <f t="array" aca="1" ref="R56" ca="1">INDIRECT("'※ 영기팀 작성_가입자'!"&amp;R$1&amp;$AD56, TRUE)</f>
        <v>811</v>
      </c>
      <c r="S56" s="5522" cm="1">
        <f t="array" aca="1" ref="S56" ca="1">INDIRECT("'※ 영기팀 작성_가입자'!"&amp;S$1&amp;$AD56, TRUE)</f>
        <v>-200</v>
      </c>
      <c r="T56" s="5523" cm="1">
        <f t="array" aca="1" ref="T56" ca="1">INDIRECT("'※ 영기팀 작성_가입자'!"&amp;T$1&amp;$AD56, TRUE)</f>
        <v>0.90866006031882807</v>
      </c>
      <c r="U56" s="5081" cm="1">
        <f t="array" aca="1" ref="U56" ca="1">INDIRECT("'※ 영기팀 작성_가입자'!"&amp;U$2&amp;$AC56,TRUE)</f>
        <v>-86</v>
      </c>
      <c r="V56" s="5082" cm="1">
        <f t="array" aca="1" ref="V56" ca="1">INDIRECT("'※ 영기팀 작성_가입자'!"&amp;V$2&amp;$AC56,TRUE)</f>
        <v>-144</v>
      </c>
      <c r="W56" s="5524" cm="1">
        <f t="array" aca="1" ref="W56" ca="1">INDIRECT("'※ 영기팀 작성_가입자'!"&amp;W$1&amp;$AC56, TRUE)</f>
        <v>12654</v>
      </c>
      <c r="X56" s="5522" cm="1">
        <f t="array" aca="1" ref="X56" ca="1">INDIRECT("'※ 영기팀 작성_가입자'!"&amp;X$1&amp;$AD56, TRUE)</f>
        <v>-200</v>
      </c>
      <c r="Y56" s="5523" cm="1">
        <f t="array" aca="1" ref="Y56" ca="1">INDIRECT("'※ 영기팀 작성_가입자'!"&amp;Y$1&amp;$AD56, TRUE)</f>
        <v>1.6407942238267148</v>
      </c>
      <c r="Z56" s="4910" cm="1">
        <f t="array" aca="1" ref="Z56" ca="1">INDIRECT("'※ 영기팀 작성_가입자'!"&amp;Z$2&amp;$AC56, TRUE)</f>
        <v>1013</v>
      </c>
      <c r="AA56" s="5525" cm="1">
        <f t="array" aca="1" ref="AA56" ca="1">INDIRECT("'※ 영기팀 작성_가입자'!"&amp;AA$1&amp;$AC56, TRUE)</f>
        <v>1054.4121323223064</v>
      </c>
      <c r="AB56" s="5458" cm="1">
        <f t="array" aca="1" ref="AB56" ca="1">INDIRECT("'※ 영기팀 작성_가입자'!"&amp;AB$1&amp;$AC56, TRUE)</f>
        <v>-144</v>
      </c>
      <c r="AC56" s="5364">
        <f>ROW('※ 영기팀 작성_가입자'!AH207)</f>
        <v>207</v>
      </c>
      <c r="AD56" s="5360">
        <f>ROW('※ 영기팀 작성_가입자'!AI486)</f>
        <v>486</v>
      </c>
    </row>
    <row r="57" spans="1:31" ht="18" customHeight="1" x14ac:dyDescent="0.55000000000000004">
      <c r="A57" s="7187"/>
      <c r="B57" s="5527" t="s">
        <v>80</v>
      </c>
      <c r="C57" s="5527"/>
      <c r="D57" s="5528" cm="1">
        <f t="array" aca="1" ref="D57" ca="1">INDIRECT("'※ 영기팀 작성_가입자'!"&amp;D$1&amp;$AC57, TRUE)</f>
        <v>5818</v>
      </c>
      <c r="E57" s="5529" cm="1">
        <f t="array" aca="1" ref="E57" ca="1">INDIRECT("'※ 영기팀 작성_가입자'!"&amp;E$1&amp;$AC57, TRUE)</f>
        <v>7324</v>
      </c>
      <c r="F57" s="5530" cm="1">
        <f t="array" aca="1" ref="F57" ca="1">INDIRECT("'※ 영기팀 작성_가입자'!"&amp;F$1&amp;$AC57, TRUE)</f>
        <v>424</v>
      </c>
      <c r="G57" s="5529" cm="1">
        <f t="array" aca="1" ref="G57" ca="1">INDIRECT("'※ 영기팀 작성_가입자'!"&amp;G$1&amp;$AC57, TRUE)</f>
        <v>873</v>
      </c>
      <c r="H57" s="5529" cm="1">
        <f t="array" aca="1" ref="H57" ca="1">INDIRECT("'※ 영기팀 작성_가입자'!"&amp;H$1&amp;$AC57, TRUE)</f>
        <v>723</v>
      </c>
      <c r="I57" s="5529" cm="1">
        <f t="array" aca="1" ref="I57" ca="1">INDIRECT("'※ 영기팀 작성_가입자'!"&amp;I$1&amp;$AC57, TRUE)</f>
        <v>690</v>
      </c>
      <c r="J57" s="5529" cm="1">
        <f t="array" aca="1" ref="J57" ca="1">INDIRECT("'※ 영기팀 작성_가입자'!"&amp;J$1&amp;$AC57, TRUE)</f>
        <v>1211</v>
      </c>
      <c r="K57" s="5529" cm="1">
        <f t="array" aca="1" ref="K57" ca="1">INDIRECT("'※ 영기팀 작성_가입자'!"&amp;K$1&amp;$AC57, TRUE)</f>
        <v>678</v>
      </c>
      <c r="L57" s="5529" cm="1">
        <f t="array" aca="1" ref="L57" ca="1">INDIRECT("'※ 영기팀 작성_가입자'!"&amp;L$1&amp;$AC57, TRUE)</f>
        <v>981</v>
      </c>
      <c r="M57" s="5529" cm="1">
        <f t="array" aca="1" ref="M57" ca="1">INDIRECT("'※ 영기팀 작성_가입자'!"&amp;M$1&amp;$AC57, TRUE)</f>
        <v>675</v>
      </c>
      <c r="N57" s="5529" cm="1">
        <f t="array" aca="1" ref="N57" ca="1">INDIRECT("'※ 영기팀 작성_가입자'!"&amp;N$1&amp;$AC57, TRUE)</f>
        <v>626</v>
      </c>
      <c r="O57" s="5529" cm="1">
        <f t="array" aca="1" ref="O57" ca="1">INDIRECT("'※ 영기팀 작성_가입자'!"&amp;O$1&amp;$AC57, TRUE)</f>
        <v>495</v>
      </c>
      <c r="P57" s="5529" cm="1">
        <f t="array" aca="1" ref="P57" ca="1">INDIRECT("'※ 영기팀 작성_가입자'!"&amp;P$1&amp;$AC57, TRUE)</f>
        <v>485</v>
      </c>
      <c r="Q57" s="5529" cm="1">
        <f t="array" aca="1" ref="Q57" ca="1">INDIRECT("'※ 영기팀 작성_가입자'!"&amp;Q$1&amp;$AC57, TRUE)</f>
        <v>452</v>
      </c>
      <c r="R57" s="5531" cm="1">
        <f t="array" aca="1" ref="R57" ca="1">INDIRECT("'※ 영기팀 작성_가입자'!"&amp;R$1&amp;$AD57, TRUE)</f>
        <v>528</v>
      </c>
      <c r="S57" s="5531" cm="1">
        <f t="array" aca="1" ref="S57" ca="1">INDIRECT("'※ 영기팀 작성_가입자'!"&amp;S$1&amp;$AD57, TRUE)</f>
        <v>-76</v>
      </c>
      <c r="T57" s="5532" cm="1">
        <f t="array" aca="1" ref="T57" ca="1">INDIRECT("'※ 영기팀 작성_가입자'!"&amp;T$1&amp;$AD57, TRUE)</f>
        <v>0.91775226319275782</v>
      </c>
      <c r="U57" s="5533" cm="1">
        <f t="array" aca="1" ref="U57" ca="1">INDIRECT("'※ 영기팀 작성_가입자'!"&amp;U$2&amp;$AC57,TRUE)</f>
        <v>-33</v>
      </c>
      <c r="V57" s="5534" cm="1">
        <f t="array" aca="1" ref="V57" ca="1">INDIRECT("'※ 영기팀 작성_가입자'!"&amp;V$2&amp;$AC57,TRUE)</f>
        <v>-11</v>
      </c>
      <c r="W57" s="5535" cm="1">
        <f t="array" aca="1" ref="W57" ca="1">INDIRECT("'※ 영기팀 작성_가입자'!"&amp;W$1&amp;$AC57, TRUE)</f>
        <v>8313</v>
      </c>
      <c r="X57" s="5531" cm="1">
        <f t="array" aca="1" ref="X57" ca="1">INDIRECT("'※ 영기팀 작성_가입자'!"&amp;X$1&amp;$AD57, TRUE)</f>
        <v>-76</v>
      </c>
      <c r="Y57" s="5532" cm="1">
        <f t="array" aca="1" ref="Y57" ca="1">INDIRECT("'※ 영기팀 작성_가입자'!"&amp;Y$1&amp;$AD57, TRUE)</f>
        <v>1.6796116504854368</v>
      </c>
      <c r="Z57" s="5536" cm="1">
        <f t="array" aca="1" ref="Z57" ca="1">INDIRECT("'※ 영기팀 작성_가입자'!"&amp;Z$2&amp;$AC57, TRUE)</f>
        <v>989</v>
      </c>
      <c r="AA57" s="5537" cm="1">
        <f t="array" aca="1" ref="AA57" ca="1">INDIRECT("'※ 영기팀 작성_가입자'!"&amp;AA$1&amp;$AC57, TRUE)</f>
        <v>692.69227564369635</v>
      </c>
      <c r="AB57" s="5538" cm="1">
        <f t="array" aca="1" ref="AB57" ca="1">INDIRECT("'※ 영기팀 작성_가입자'!"&amp;AB$1&amp;$AC57, TRUE)</f>
        <v>-11</v>
      </c>
      <c r="AC57" s="5364">
        <f>ROW('※ 영기팀 작성_가입자'!AH208)</f>
        <v>208</v>
      </c>
      <c r="AD57" s="5360">
        <f>ROW('※ 영기팀 작성_가입자'!AI487)</f>
        <v>487</v>
      </c>
    </row>
    <row r="58" spans="1:31" ht="18" customHeight="1" x14ac:dyDescent="0.55000000000000004">
      <c r="A58" s="7187"/>
      <c r="B58" s="2639" t="s">
        <v>487</v>
      </c>
      <c r="C58" s="2648"/>
      <c r="D58" s="5495" cm="1">
        <f t="array" aca="1" ref="D58" ca="1">INDIRECT("'※ 영기팀 작성_가입자'!"&amp;D$1&amp;$AC58, TRUE)</f>
        <v>2408</v>
      </c>
      <c r="E58" s="5496" cm="1">
        <f t="array" aca="1" ref="E58" ca="1">INDIRECT("'※ 영기팀 작성_가입자'!"&amp;E$1&amp;$AC58, TRUE)</f>
        <v>2844</v>
      </c>
      <c r="F58" s="5497" cm="1">
        <f t="array" aca="1" ref="F58" ca="1">INDIRECT("'※ 영기팀 작성_가입자'!"&amp;F$1&amp;$AC58, TRUE)</f>
        <v>193</v>
      </c>
      <c r="G58" s="5496" cm="1">
        <f t="array" aca="1" ref="G58" ca="1">INDIRECT("'※ 영기팀 작성_가입자'!"&amp;G$1&amp;$AC58, TRUE)</f>
        <v>333</v>
      </c>
      <c r="H58" s="5496" cm="1">
        <f t="array" aca="1" ref="H58" ca="1">INDIRECT("'※ 영기팀 작성_가입자'!"&amp;H$1&amp;$AC58, TRUE)</f>
        <v>266</v>
      </c>
      <c r="I58" s="5496" cm="1">
        <f t="array" aca="1" ref="I58" ca="1">INDIRECT("'※ 영기팀 작성_가입자'!"&amp;I$1&amp;$AC58, TRUE)</f>
        <v>337</v>
      </c>
      <c r="J58" s="5496" cm="1">
        <f t="array" aca="1" ref="J58" ca="1">INDIRECT("'※ 영기팀 작성_가입자'!"&amp;J$1&amp;$AC58, TRUE)</f>
        <v>668</v>
      </c>
      <c r="K58" s="5496" cm="1">
        <f t="array" aca="1" ref="K58" ca="1">INDIRECT("'※ 영기팀 작성_가입자'!"&amp;K$1&amp;$AC58, TRUE)</f>
        <v>333</v>
      </c>
      <c r="L58" s="5496" cm="1">
        <f t="array" aca="1" ref="L58" ca="1">INDIRECT("'※ 영기팀 작성_가입자'!"&amp;L$1&amp;$AC58, TRUE)</f>
        <v>466</v>
      </c>
      <c r="M58" s="5496" cm="1">
        <f t="array" aca="1" ref="M58" ca="1">INDIRECT("'※ 영기팀 작성_가입자'!"&amp;M$1&amp;$AC58, TRUE)</f>
        <v>252</v>
      </c>
      <c r="N58" s="5496" cm="1">
        <f t="array" aca="1" ref="N58" ca="1">INDIRECT("'※ 영기팀 작성_가입자'!"&amp;N$1&amp;$AC58, TRUE)</f>
        <v>285</v>
      </c>
      <c r="O58" s="5496" cm="1">
        <f t="array" aca="1" ref="O58" ca="1">INDIRECT("'※ 영기팀 작성_가입자'!"&amp;O$1&amp;$AC58, TRUE)</f>
        <v>178</v>
      </c>
      <c r="P58" s="5496" cm="1">
        <f t="array" aca="1" ref="P58" ca="1">INDIRECT("'※ 영기팀 작성_가입자'!"&amp;P$1&amp;$AC58, TRUE)</f>
        <v>213</v>
      </c>
      <c r="Q58" s="5496" cm="1">
        <f t="array" aca="1" ref="Q58" ca="1">INDIRECT("'※ 영기팀 작성_가입자'!"&amp;Q$1&amp;$AC58, TRUE)</f>
        <v>194</v>
      </c>
      <c r="R58" s="5522" cm="1">
        <f t="array" aca="1" ref="R58" ca="1">INDIRECT("'※ 영기팀 작성_가입자'!"&amp;R$1&amp;$AD58, TRUE)</f>
        <v>224</v>
      </c>
      <c r="S58" s="5522" cm="1">
        <f t="array" aca="1" ref="S58" ca="1">INDIRECT("'※ 영기팀 작성_가입자'!"&amp;S$1&amp;$AD58, TRUE)</f>
        <v>-30</v>
      </c>
      <c r="T58" s="5523" cm="1">
        <f t="array" aca="1" ref="T58" ca="1">INDIRECT("'※ 영기팀 작성_가입자'!"&amp;T$1&amp;$AD58, TRUE)</f>
        <v>0.96671866874674983</v>
      </c>
      <c r="U58" s="5081" cm="1">
        <f t="array" aca="1" ref="U58" ca="1">INDIRECT("'※ 영기팀 작성_가입자'!"&amp;U$2&amp;$AC58,TRUE)</f>
        <v>-19</v>
      </c>
      <c r="V58" s="5082" cm="1">
        <f t="array" aca="1" ref="V58" ca="1">INDIRECT("'※ 영기팀 작성_가입자'!"&amp;V$2&amp;$AC58,TRUE)</f>
        <v>-24</v>
      </c>
      <c r="W58" s="5524" cm="1">
        <f t="array" aca="1" ref="W58" ca="1">INDIRECT("'※ 영기팀 작성_가입자'!"&amp;W$1&amp;$AC58, TRUE)</f>
        <v>3718</v>
      </c>
      <c r="X58" s="5522" cm="1">
        <f t="array" aca="1" ref="X58" ca="1">INDIRECT("'※ 영기팀 작성_가입자'!"&amp;X$1&amp;$AD58, TRUE)</f>
        <v>-30</v>
      </c>
      <c r="Y58" s="5523" cm="1">
        <f t="array" aca="1" ref="Y58" ca="1">INDIRECT("'※ 영기팀 작성_가입자'!"&amp;Y$1&amp;$AD58, TRUE)</f>
        <v>2.1830065359477122</v>
      </c>
      <c r="Z58" s="4910" cm="1">
        <f t="array" aca="1" ref="Z58" ca="1">INDIRECT("'※ 영기팀 작성_가입자'!"&amp;Z$2&amp;$AC58, TRUE)</f>
        <v>874</v>
      </c>
      <c r="AA58" s="5525" cm="1">
        <f t="array" aca="1" ref="AA58" ca="1">INDIRECT("'※ 영기팀 작성_가입자'!"&amp;AA$1&amp;$AC58, TRUE)</f>
        <v>309.80751604032997</v>
      </c>
      <c r="AB58" s="5458" cm="1">
        <f t="array" aca="1" ref="AB58" ca="1">INDIRECT("'※ 영기팀 작성_가입자'!"&amp;AB$1&amp;$AC58, TRUE)</f>
        <v>-24</v>
      </c>
      <c r="AC58" s="5364">
        <f>ROW('※ 영기팀 작성_가입자'!AH209)</f>
        <v>209</v>
      </c>
      <c r="AD58" s="5360">
        <f>ROW('※ 영기팀 작성_가입자'!AI488)</f>
        <v>488</v>
      </c>
    </row>
    <row r="59" spans="1:31" x14ac:dyDescent="0.55000000000000004">
      <c r="A59" s="7187"/>
      <c r="B59" s="2648" t="s">
        <v>488</v>
      </c>
      <c r="C59" s="2648"/>
      <c r="D59" s="5495" cm="1">
        <f t="array" aca="1" ref="D59" ca="1">INDIRECT("'※ 영기팀 작성_가입자'!"&amp;D$1&amp;$AC59, TRUE)</f>
        <v>2258</v>
      </c>
      <c r="E59" s="5496" cm="1">
        <f t="array" aca="1" ref="E59" ca="1">INDIRECT("'※ 영기팀 작성_가입자'!"&amp;E$1&amp;$AC59, TRUE)</f>
        <v>3386</v>
      </c>
      <c r="F59" s="5497" cm="1">
        <f t="array" aca="1" ref="F59" ca="1">INDIRECT("'※ 영기팀 작성_가입자'!"&amp;F$1&amp;$AC59, TRUE)</f>
        <v>195</v>
      </c>
      <c r="G59" s="5496" cm="1">
        <f t="array" aca="1" ref="G59" ca="1">INDIRECT("'※ 영기팀 작성_가입자'!"&amp;G$1&amp;$AC59, TRUE)</f>
        <v>417</v>
      </c>
      <c r="H59" s="5496" cm="1">
        <f t="array" aca="1" ref="H59" ca="1">INDIRECT("'※ 영기팀 작성_가입자'!"&amp;H$1&amp;$AC59, TRUE)</f>
        <v>296</v>
      </c>
      <c r="I59" s="5496" cm="1">
        <f t="array" aca="1" ref="I59" ca="1">INDIRECT("'※ 영기팀 작성_가입자'!"&amp;I$1&amp;$AC59, TRUE)</f>
        <v>362</v>
      </c>
      <c r="J59" s="5496" cm="1">
        <f t="array" aca="1" ref="J59" ca="1">INDIRECT("'※ 영기팀 작성_가입자'!"&amp;J$1&amp;$AC59, TRUE)</f>
        <v>668</v>
      </c>
      <c r="K59" s="5496" cm="1">
        <f t="array" aca="1" ref="K59" ca="1">INDIRECT("'※ 영기팀 작성_가입자'!"&amp;K$1&amp;$AC59, TRUE)</f>
        <v>309</v>
      </c>
      <c r="L59" s="5496" cm="1">
        <f t="array" aca="1" ref="L59" ca="1">INDIRECT("'※ 영기팀 작성_가입자'!"&amp;L$1&amp;$AC59, TRUE)</f>
        <v>448</v>
      </c>
      <c r="M59" s="5496" cm="1">
        <f t="array" aca="1" ref="M59" ca="1">INDIRECT("'※ 영기팀 작성_가입자'!"&amp;M$1&amp;$AC59, TRUE)</f>
        <v>308</v>
      </c>
      <c r="N59" s="5496" cm="1">
        <f t="array" aca="1" ref="N59" ca="1">INDIRECT("'※ 영기팀 작성_가입자'!"&amp;N$1&amp;$AC59, TRUE)</f>
        <v>289</v>
      </c>
      <c r="O59" s="5496" cm="1">
        <f t="array" aca="1" ref="O59" ca="1">INDIRECT("'※ 영기팀 작성_가입자'!"&amp;O$1&amp;$AC59, TRUE)</f>
        <v>200</v>
      </c>
      <c r="P59" s="5496" cm="1">
        <f t="array" aca="1" ref="P59" ca="1">INDIRECT("'※ 영기팀 작성_가입자'!"&amp;P$1&amp;$AC59, TRUE)</f>
        <v>255</v>
      </c>
      <c r="Q59" s="5496" cm="1">
        <f t="array" aca="1" ref="Q59" ca="1">INDIRECT("'※ 영기팀 작성_가입자'!"&amp;Q$1&amp;$AC59, TRUE)</f>
        <v>230</v>
      </c>
      <c r="R59" s="5522" cm="1">
        <f t="array" aca="1" ref="R59" ca="1">INDIRECT("'※ 영기팀 작성_가입자'!"&amp;R$1&amp;$AD59, TRUE)</f>
        <v>222</v>
      </c>
      <c r="S59" s="5522" cm="1">
        <f t="array" aca="1" ref="S59" ca="1">INDIRECT("'※ 영기팀 작성_가입자'!"&amp;S$1&amp;$AD59, TRUE)</f>
        <v>8</v>
      </c>
      <c r="T59" s="5523" cm="1">
        <f t="array" aca="1" ref="T59" ca="1">INDIRECT("'※ 영기팀 작성_가입자'!"&amp;T$1&amp;$AD59, TRUE)</f>
        <v>1.0454784437434279</v>
      </c>
      <c r="U59" s="5081" cm="1">
        <f t="array" aca="1" ref="U59" ca="1">INDIRECT("'※ 영기팀 작성_가입자'!"&amp;U$2&amp;$AC59,TRUE)</f>
        <v>-25</v>
      </c>
      <c r="V59" s="5082" cm="1">
        <f t="array" aca="1" ref="V59" ca="1">INDIRECT("'※ 영기팀 작성_가입자'!"&amp;V$2&amp;$AC59,TRUE)</f>
        <v>-15</v>
      </c>
      <c r="W59" s="5524" cm="1">
        <f t="array" aca="1" ref="W59" ca="1">INDIRECT("'※ 영기팀 작성_가입자'!"&amp;W$1&amp;$AC59, TRUE)</f>
        <v>3977</v>
      </c>
      <c r="X59" s="5522" cm="1">
        <f t="array" aca="1" ref="X59" ca="1">INDIRECT("'※ 영기팀 작성_가입자'!"&amp;X$1&amp;$AD59, TRUE)</f>
        <v>8</v>
      </c>
      <c r="Y59" s="5523" cm="1">
        <f t="array" aca="1" ref="Y59" ca="1">INDIRECT("'※ 영기팀 작성_가입자'!"&amp;Y$1&amp;$AD59, TRUE)</f>
        <v>2.2046204620462047</v>
      </c>
      <c r="Z59" s="4910" cm="1">
        <f t="array" aca="1" ref="Z59" ca="1">INDIRECT("'※ 영기팀 작성_가입자'!"&amp;Z$2&amp;$AC59, TRUE)</f>
        <v>591</v>
      </c>
      <c r="AA59" s="5525" cm="1">
        <f t="array" aca="1" ref="AA59" ca="1">INDIRECT("'※ 영기팀 작성_가입자'!"&amp;AA$1&amp;$AC59, TRUE)</f>
        <v>331.38905091242395</v>
      </c>
      <c r="AB59" s="5458" cm="1">
        <f t="array" aca="1" ref="AB59" ca="1">INDIRECT("'※ 영기팀 작성_가입자'!"&amp;AB$1&amp;$AC59, TRUE)</f>
        <v>-15</v>
      </c>
      <c r="AC59" s="5364">
        <f>ROW('※ 영기팀 작성_가입자'!AH210)</f>
        <v>210</v>
      </c>
      <c r="AD59" s="5360">
        <f>ROW('※ 영기팀 작성_가입자'!AI489)</f>
        <v>489</v>
      </c>
    </row>
    <row r="60" spans="1:31" ht="18" customHeight="1" x14ac:dyDescent="0.55000000000000004">
      <c r="A60" s="7187"/>
      <c r="B60" s="2639" t="s">
        <v>489</v>
      </c>
      <c r="C60" s="2648"/>
      <c r="D60" s="5495" cm="1">
        <f t="array" aca="1" ref="D60" ca="1">INDIRECT("'※ 영기팀 작성_가입자'!"&amp;D$1&amp;$AC60, TRUE)</f>
        <v>2683</v>
      </c>
      <c r="E60" s="5496" cm="1">
        <f t="array" aca="1" ref="E60" ca="1">INDIRECT("'※ 영기팀 작성_가입자'!"&amp;E$1&amp;$AC60, TRUE)</f>
        <v>3051</v>
      </c>
      <c r="F60" s="5497" cm="1">
        <f t="array" aca="1" ref="F60" ca="1">INDIRECT("'※ 영기팀 작성_가입자'!"&amp;F$1&amp;$AC60, TRUE)</f>
        <v>234</v>
      </c>
      <c r="G60" s="5496" cm="1">
        <f t="array" aca="1" ref="G60" ca="1">INDIRECT("'※ 영기팀 작성_가입자'!"&amp;G$1&amp;$AC60, TRUE)</f>
        <v>403</v>
      </c>
      <c r="H60" s="5496" cm="1">
        <f t="array" aca="1" ref="H60" ca="1">INDIRECT("'※ 영기팀 작성_가입자'!"&amp;H$1&amp;$AC60, TRUE)</f>
        <v>284</v>
      </c>
      <c r="I60" s="5496" cm="1">
        <f t="array" aca="1" ref="I60" ca="1">INDIRECT("'※ 영기팀 작성_가입자'!"&amp;I$1&amp;$AC60, TRUE)</f>
        <v>328</v>
      </c>
      <c r="J60" s="5496" cm="1">
        <f t="array" aca="1" ref="J60" ca="1">INDIRECT("'※ 영기팀 작성_가입자'!"&amp;J$1&amp;$AC60, TRUE)</f>
        <v>636</v>
      </c>
      <c r="K60" s="5496" cm="1">
        <f t="array" aca="1" ref="K60" ca="1">INDIRECT("'※ 영기팀 작성_가입자'!"&amp;K$1&amp;$AC60, TRUE)</f>
        <v>271</v>
      </c>
      <c r="L60" s="5496" cm="1">
        <f t="array" aca="1" ref="L60" ca="1">INDIRECT("'※ 영기팀 작성_가입자'!"&amp;L$1&amp;$AC60, TRUE)</f>
        <v>422</v>
      </c>
      <c r="M60" s="5496" cm="1">
        <f t="array" aca="1" ref="M60" ca="1">INDIRECT("'※ 영기팀 작성_가입자'!"&amp;M$1&amp;$AC60, TRUE)</f>
        <v>273</v>
      </c>
      <c r="N60" s="5496" cm="1">
        <f t="array" aca="1" ref="N60" ca="1">INDIRECT("'※ 영기팀 작성_가입자'!"&amp;N$1&amp;$AC60, TRUE)</f>
        <v>320</v>
      </c>
      <c r="O60" s="5496" cm="1">
        <f t="array" aca="1" ref="O60" ca="1">INDIRECT("'※ 영기팀 작성_가입자'!"&amp;O$1&amp;$AC60, TRUE)</f>
        <v>189</v>
      </c>
      <c r="P60" s="5496" cm="1">
        <f t="array" aca="1" ref="P60" ca="1">INDIRECT("'※ 영기팀 작성_가입자'!"&amp;P$1&amp;$AC60, TRUE)</f>
        <v>170</v>
      </c>
      <c r="Q60" s="5496" cm="1">
        <f t="array" aca="1" ref="Q60" ca="1">INDIRECT("'※ 영기팀 작성_가입자'!"&amp;Q$1&amp;$AC60, TRUE)</f>
        <v>201</v>
      </c>
      <c r="R60" s="5522" cm="1">
        <f t="array" aca="1" ref="R60" ca="1">INDIRECT("'※ 영기팀 작성_가입자'!"&amp;R$1&amp;$AD60, TRUE)</f>
        <v>218</v>
      </c>
      <c r="S60" s="5522" cm="1">
        <f t="array" aca="1" ref="S60" ca="1">INDIRECT("'※ 영기팀 작성_가입자'!"&amp;S$1&amp;$AD60, TRUE)</f>
        <v>-17</v>
      </c>
      <c r="T60" s="5523" cm="1">
        <f t="array" aca="1" ref="T60" ca="1">INDIRECT("'※ 영기팀 작성_가입자'!"&amp;T$1&amp;$AD60, TRUE)</f>
        <v>0.99706039551042225</v>
      </c>
      <c r="U60" s="5081" cm="1">
        <f t="array" aca="1" ref="U60" ca="1">INDIRECT("'※ 영기팀 작성_가입자'!"&amp;U$2&amp;$AC60,TRUE)</f>
        <v>31</v>
      </c>
      <c r="V60" s="5082" cm="1">
        <f t="array" aca="1" ref="V60" ca="1">INDIRECT("'※ 영기팀 작성_가입자'!"&amp;V$2&amp;$AC60,TRUE)</f>
        <v>-9</v>
      </c>
      <c r="W60" s="5524" cm="1">
        <f t="array" aca="1" ref="W60" ca="1">INDIRECT("'※ 영기팀 작성_가입자'!"&amp;W$1&amp;$AC60, TRUE)</f>
        <v>3731</v>
      </c>
      <c r="X60" s="5522" cm="1">
        <f t="array" aca="1" ref="X60" ca="1">INDIRECT("'※ 영기팀 작성_가입자'!"&amp;X$1&amp;$AD60, TRUE)</f>
        <v>-17</v>
      </c>
      <c r="Y60" s="5523" cm="1">
        <f t="array" aca="1" ref="Y60" ca="1">INDIRECT("'※ 영기팀 작성_가입자'!"&amp;Y$1&amp;$AD60, TRUE)</f>
        <v>2.1342281879194629</v>
      </c>
      <c r="Z60" s="4910" cm="1">
        <f t="array" aca="1" ref="Z60" ca="1">INDIRECT("'※ 영기팀 작성_가입자'!"&amp;Z$2&amp;$AC60, TRUE)</f>
        <v>680</v>
      </c>
      <c r="AA60" s="5525" cm="1">
        <f t="array" aca="1" ref="AA60" ca="1">INDIRECT("'※ 영기팀 작성_가입자'!"&amp;AA$1&amp;$AC60, TRUE)</f>
        <v>310.89075910340807</v>
      </c>
      <c r="AB60" s="5458" cm="1">
        <f t="array" aca="1" ref="AB60" ca="1">INDIRECT("'※ 영기팀 작성_가입자'!"&amp;AB$1&amp;$AC60, TRUE)</f>
        <v>-9</v>
      </c>
      <c r="AC60" s="5364">
        <f>ROW('※ 영기팀 작성_가입자'!AH211)</f>
        <v>211</v>
      </c>
      <c r="AD60" s="5360">
        <f>ROW('※ 영기팀 작성_가입자'!AI490)</f>
        <v>490</v>
      </c>
    </row>
    <row r="61" spans="1:31" ht="18" customHeight="1" x14ac:dyDescent="0.55000000000000004">
      <c r="A61" s="7187"/>
      <c r="B61" s="2639" t="s">
        <v>486</v>
      </c>
      <c r="C61" s="2648"/>
      <c r="D61" s="5495" cm="1">
        <f t="array" aca="1" ref="D61" ca="1">INDIRECT("'※ 영기팀 작성_가입자'!"&amp;D$1&amp;$AC61, TRUE)</f>
        <v>3342</v>
      </c>
      <c r="E61" s="5496" cm="1">
        <f t="array" aca="1" ref="E61" ca="1">INDIRECT("'※ 영기팀 작성_가입자'!"&amp;E$1&amp;$AC61, TRUE)</f>
        <v>4010</v>
      </c>
      <c r="F61" s="5497" cm="1">
        <f t="array" aca="1" ref="F61" ca="1">INDIRECT("'※ 영기팀 작성_가입자'!"&amp;F$1&amp;$AC61, TRUE)</f>
        <v>265</v>
      </c>
      <c r="G61" s="5496" cm="1">
        <f t="array" aca="1" ref="G61" ca="1">INDIRECT("'※ 영기팀 작성_가입자'!"&amp;G$1&amp;$AC61, TRUE)</f>
        <v>518</v>
      </c>
      <c r="H61" s="5496" cm="1">
        <f t="array" aca="1" ref="H61" ca="1">INDIRECT("'※ 영기팀 작성_가입자'!"&amp;H$1&amp;$AC61, TRUE)</f>
        <v>397</v>
      </c>
      <c r="I61" s="5496" cm="1">
        <f t="array" aca="1" ref="I61" ca="1">INDIRECT("'※ 영기팀 작성_가입자'!"&amp;I$1&amp;$AC61, TRUE)</f>
        <v>399</v>
      </c>
      <c r="J61" s="5496" cm="1">
        <f t="array" aca="1" ref="J61" ca="1">INDIRECT("'※ 영기팀 작성_가입자'!"&amp;J$1&amp;$AC61, TRUE)</f>
        <v>797</v>
      </c>
      <c r="K61" s="5496" cm="1">
        <f t="array" aca="1" ref="K61" ca="1">INDIRECT("'※ 영기팀 작성_가입자'!"&amp;K$1&amp;$AC61, TRUE)</f>
        <v>390</v>
      </c>
      <c r="L61" s="5496" cm="1">
        <f t="array" aca="1" ref="L61" ca="1">INDIRECT("'※ 영기팀 작성_가입자'!"&amp;L$1&amp;$AC61, TRUE)</f>
        <v>522</v>
      </c>
      <c r="M61" s="5496" cm="1">
        <f t="array" aca="1" ref="M61" ca="1">INDIRECT("'※ 영기팀 작성_가입자'!"&amp;M$1&amp;$AC61, TRUE)</f>
        <v>392</v>
      </c>
      <c r="N61" s="5496" cm="1">
        <f t="array" aca="1" ref="N61" ca="1">INDIRECT("'※ 영기팀 작성_가입자'!"&amp;N$1&amp;$AC61, TRUE)</f>
        <v>455</v>
      </c>
      <c r="O61" s="5496" cm="1">
        <f t="array" aca="1" ref="O61" ca="1">INDIRECT("'※ 영기팀 작성_가입자'!"&amp;O$1&amp;$AC61, TRUE)</f>
        <v>301</v>
      </c>
      <c r="P61" s="5496" cm="1">
        <f t="array" aca="1" ref="P61" ca="1">INDIRECT("'※ 영기팀 작성_가입자'!"&amp;P$1&amp;$AC61, TRUE)</f>
        <v>300</v>
      </c>
      <c r="Q61" s="5496" cm="1">
        <f t="array" aca="1" ref="Q61" ca="1">INDIRECT("'※ 영기팀 작성_가입자'!"&amp;Q$1&amp;$AC61, TRUE)</f>
        <v>305</v>
      </c>
      <c r="R61" s="5522" cm="1">
        <f t="array" aca="1" ref="R61" ca="1">INDIRECT("'※ 영기팀 작성_가입자'!"&amp;R$1&amp;$AD61, TRUE)</f>
        <v>292</v>
      </c>
      <c r="S61" s="5522" cm="1">
        <f t="array" aca="1" ref="S61" ca="1">INDIRECT("'※ 영기팀 작성_가입자'!"&amp;S$1&amp;$AD61, TRUE)</f>
        <v>13</v>
      </c>
      <c r="T61" s="5523" cm="1">
        <f t="array" aca="1" ref="T61" ca="1">INDIRECT("'※ 영기팀 작성_가입자'!"&amp;T$1&amp;$AD61, TRUE)</f>
        <v>1.0043833432954772</v>
      </c>
      <c r="U61" s="5081" cm="1">
        <f t="array" aca="1" ref="U61" ca="1">INDIRECT("'※ 영기팀 작성_가입자'!"&amp;U$2&amp;$AC61,TRUE)</f>
        <v>5</v>
      </c>
      <c r="V61" s="5082" cm="1">
        <f t="array" aca="1" ref="V61" ca="1">INDIRECT("'※ 영기팀 작성_가입자'!"&amp;V$2&amp;$AC61,TRUE)</f>
        <v>2</v>
      </c>
      <c r="W61" s="5524" cm="1">
        <f t="array" aca="1" ref="W61" ca="1">INDIRECT("'※ 영기팀 작성_가입자'!"&amp;W$1&amp;$AC61, TRUE)</f>
        <v>5041</v>
      </c>
      <c r="X61" s="5522" cm="1">
        <f t="array" aca="1" ref="X61" ca="1">INDIRECT("'※ 영기팀 작성_가입자'!"&amp;X$1&amp;$AD61, TRUE)</f>
        <v>13</v>
      </c>
      <c r="Y61" s="5523" cm="1">
        <f t="array" aca="1" ref="Y61" ca="1">INDIRECT("'※ 영기팀 작성_가입자'!"&amp;Y$1&amp;$AD61, TRUE)</f>
        <v>1.9924999999999999</v>
      </c>
      <c r="Z61" s="4910" cm="1">
        <f t="array" aca="1" ref="Z61" ca="1">INDIRECT("'※ 영기팀 작성_가입자'!"&amp;Z$2&amp;$AC61, TRUE)</f>
        <v>1031</v>
      </c>
      <c r="AA61" s="5525" cm="1">
        <f t="array" aca="1" ref="AA61" ca="1">INDIRECT("'※ 영기팀 작성_가입자'!"&amp;AA$1&amp;$AC61, TRUE)</f>
        <v>420.04832930589117</v>
      </c>
      <c r="AB61" s="5458" cm="1">
        <f t="array" aca="1" ref="AB61" ca="1">INDIRECT("'※ 영기팀 작성_가입자'!"&amp;AB$1&amp;$AC61, TRUE)</f>
        <v>2</v>
      </c>
      <c r="AC61" s="5364">
        <f>ROW('※ 영기팀 작성_가입자'!AH212)</f>
        <v>212</v>
      </c>
      <c r="AD61" s="5360">
        <f>ROW('※ 영기팀 작성_가입자'!AI491)</f>
        <v>491</v>
      </c>
    </row>
    <row r="62" spans="1:31" ht="18" customHeight="1" x14ac:dyDescent="0.55000000000000004">
      <c r="A62" s="7187"/>
      <c r="B62" s="2639" t="s">
        <v>490</v>
      </c>
      <c r="C62" s="5539"/>
      <c r="D62" s="5495" cm="1">
        <f t="array" aca="1" ref="D62" ca="1">INDIRECT("'※ 영기팀 작성_가입자'!"&amp;D$1&amp;$AC62, TRUE)</f>
        <v>4379</v>
      </c>
      <c r="E62" s="5496" cm="1">
        <f t="array" aca="1" ref="E62" ca="1">INDIRECT("'※ 영기팀 작성_가입자'!"&amp;E$1&amp;$AC62, TRUE)</f>
        <v>5755</v>
      </c>
      <c r="F62" s="5497" cm="1">
        <f t="array" aca="1" ref="F62" ca="1">INDIRECT("'※ 영기팀 작성_가입자'!"&amp;F$1&amp;$AC62, TRUE)</f>
        <v>376</v>
      </c>
      <c r="G62" s="5496" cm="1">
        <f t="array" aca="1" ref="G62" ca="1">INDIRECT("'※ 영기팀 작성_가입자'!"&amp;G$1&amp;$AC62, TRUE)</f>
        <v>663</v>
      </c>
      <c r="H62" s="5496" cm="1">
        <f t="array" aca="1" ref="H62" ca="1">INDIRECT("'※ 영기팀 작성_가입자'!"&amp;H$1&amp;$AC62, TRUE)</f>
        <v>472</v>
      </c>
      <c r="I62" s="5496" cm="1">
        <f t="array" aca="1" ref="I62" ca="1">INDIRECT("'※ 영기팀 작성_가입자'!"&amp;I$1&amp;$AC62, TRUE)</f>
        <v>591</v>
      </c>
      <c r="J62" s="5496" cm="1">
        <f t="array" aca="1" ref="J62" ca="1">INDIRECT("'※ 영기팀 작성_가입자'!"&amp;J$1&amp;$AC62, TRUE)</f>
        <v>1083</v>
      </c>
      <c r="K62" s="5496" cm="1">
        <f t="array" aca="1" ref="K62" ca="1">INDIRECT("'※ 영기팀 작성_가입자'!"&amp;K$1&amp;$AC62, TRUE)</f>
        <v>585</v>
      </c>
      <c r="L62" s="5496" cm="1">
        <f t="array" aca="1" ref="L62" ca="1">INDIRECT("'※ 영기팀 작성_가입자'!"&amp;L$1&amp;$AC62, TRUE)</f>
        <v>802</v>
      </c>
      <c r="M62" s="5496" cm="1">
        <f t="array" aca="1" ref="M62" ca="1">INDIRECT("'※ 영기팀 작성_가입자'!"&amp;M$1&amp;$AC62, TRUE)</f>
        <v>524</v>
      </c>
      <c r="N62" s="5496" cm="1">
        <f t="array" aca="1" ref="N62" ca="1">INDIRECT("'※ 영기팀 작성_가입자'!"&amp;N$1&amp;$AC62, TRUE)</f>
        <v>562</v>
      </c>
      <c r="O62" s="5496" cm="1">
        <f t="array" aca="1" ref="O62" ca="1">INDIRECT("'※ 영기팀 작성_가입자'!"&amp;O$1&amp;$AC62, TRUE)</f>
        <v>373</v>
      </c>
      <c r="P62" s="5496" cm="1">
        <f t="array" aca="1" ref="P62" ca="1">INDIRECT("'※ 영기팀 작성_가입자'!"&amp;P$1&amp;$AC62, TRUE)</f>
        <v>419</v>
      </c>
      <c r="Q62" s="5496" cm="1">
        <f t="array" aca="1" ref="Q62" ca="1">INDIRECT("'※ 영기팀 작성_가입자'!"&amp;Q$1&amp;$AC62, TRUE)</f>
        <v>403</v>
      </c>
      <c r="R62" s="5522" cm="1">
        <f t="array" aca="1" ref="R62" ca="1">INDIRECT("'※ 영기팀 작성_가입자'!"&amp;R$1&amp;$AD62, TRUE)</f>
        <v>412</v>
      </c>
      <c r="S62" s="5522" cm="1">
        <f t="array" aca="1" ref="S62" ca="1">INDIRECT("'※ 영기팀 작성_가입자'!"&amp;S$1&amp;$AD62, TRUE)</f>
        <v>-9</v>
      </c>
      <c r="T62" s="5523" cm="1">
        <f t="array" aca="1" ref="T62" ca="1">INDIRECT("'※ 영기팀 작성_가입자'!"&amp;T$1&amp;$AD62, TRUE)</f>
        <v>0.96985564675912816</v>
      </c>
      <c r="U62" s="5081" cm="1">
        <f t="array" aca="1" ref="U62" ca="1">INDIRECT("'※ 영기팀 작성_가입자'!"&amp;U$2&amp;$AC62,TRUE)</f>
        <v>-16</v>
      </c>
      <c r="V62" s="5082" cm="1">
        <f t="array" aca="1" ref="V62" ca="1">INDIRECT("'※ 영기팀 작성_가입자'!"&amp;V$2&amp;$AC62,TRUE)</f>
        <v>-27</v>
      </c>
      <c r="W62" s="5524" cm="1">
        <f t="array" aca="1" ref="W62" ca="1">INDIRECT("'※ 영기팀 작성_가입자'!"&amp;W$1&amp;$AC62, TRUE)</f>
        <v>6853</v>
      </c>
      <c r="X62" s="5522" cm="1">
        <f t="array" aca="1" ref="X62" ca="1">INDIRECT("'※ 영기팀 작성_가입자'!"&amp;X$1&amp;$AD62, TRUE)</f>
        <v>-9</v>
      </c>
      <c r="Y62" s="5523" cm="1">
        <f t="array" aca="1" ref="Y62" ca="1">INDIRECT("'※ 영기팀 작성_가입자'!"&amp;Y$1&amp;$AD62, TRUE)</f>
        <v>1.9236234458259325</v>
      </c>
      <c r="Z62" s="4910" cm="1">
        <f t="array" aca="1" ref="Z62" ca="1">INDIRECT("'※ 영기팀 작성_가입자'!"&amp;Z$2&amp;$AC62, TRUE)</f>
        <v>1098</v>
      </c>
      <c r="AA62" s="5525" cm="1">
        <f t="array" aca="1" ref="AA62" ca="1">INDIRECT("'※ 영기팀 작성_가입자'!"&amp;AA$1&amp;$AC62, TRUE)</f>
        <v>571.03574702108165</v>
      </c>
      <c r="AB62" s="5458" cm="1">
        <f t="array" aca="1" ref="AB62" ca="1">INDIRECT("'※ 영기팀 작성_가입자'!"&amp;AB$1&amp;$AC62, TRUE)</f>
        <v>-27</v>
      </c>
      <c r="AC62" s="5364">
        <f>ROW('※ 영기팀 작성_가입자'!AH213)</f>
        <v>213</v>
      </c>
      <c r="AD62" s="5360">
        <f>ROW('※ 영기팀 작성_가입자'!AI492)</f>
        <v>492</v>
      </c>
    </row>
    <row r="63" spans="1:31" ht="18" customHeight="1" x14ac:dyDescent="0.55000000000000004">
      <c r="A63" s="7187"/>
      <c r="B63" s="2639" t="s">
        <v>491</v>
      </c>
      <c r="C63" s="5539"/>
      <c r="D63" s="5495" cm="1">
        <f t="array" aca="1" ref="D63" ca="1">INDIRECT("'※ 영기팀 작성_가입자'!"&amp;D$1&amp;$AC63, TRUE)</f>
        <v>3514</v>
      </c>
      <c r="E63" s="5496" cm="1">
        <f t="array" aca="1" ref="E63" ca="1">INDIRECT("'※ 영기팀 작성_가입자'!"&amp;E$1&amp;$AC63, TRUE)</f>
        <v>4080</v>
      </c>
      <c r="F63" s="5497" cm="1">
        <f t="array" aca="1" ref="F63" ca="1">INDIRECT("'※ 영기팀 작성_가입자'!"&amp;F$1&amp;$AC63, TRUE)</f>
        <v>219</v>
      </c>
      <c r="G63" s="5496" cm="1">
        <f t="array" aca="1" ref="G63" ca="1">INDIRECT("'※ 영기팀 작성_가입자'!"&amp;G$1&amp;$AC63, TRUE)</f>
        <v>496</v>
      </c>
      <c r="H63" s="5496" cm="1">
        <f t="array" aca="1" ref="H63" ca="1">INDIRECT("'※ 영기팀 작성_가입자'!"&amp;H$1&amp;$AC63, TRUE)</f>
        <v>366</v>
      </c>
      <c r="I63" s="5496" cm="1">
        <f t="array" aca="1" ref="I63" ca="1">INDIRECT("'※ 영기팀 작성_가입자'!"&amp;I$1&amp;$AC63, TRUE)</f>
        <v>433</v>
      </c>
      <c r="J63" s="5496" cm="1">
        <f t="array" aca="1" ref="J63" ca="1">INDIRECT("'※ 영기팀 작성_가입자'!"&amp;J$1&amp;$AC63, TRUE)</f>
        <v>682</v>
      </c>
      <c r="K63" s="5496" cm="1">
        <f t="array" aca="1" ref="K63" ca="1">INDIRECT("'※ 영기팀 작성_가입자'!"&amp;K$1&amp;$AC63, TRUE)</f>
        <v>414</v>
      </c>
      <c r="L63" s="5496" cm="1">
        <f t="array" aca="1" ref="L63" ca="1">INDIRECT("'※ 영기팀 작성_가입자'!"&amp;L$1&amp;$AC63, TRUE)</f>
        <v>560</v>
      </c>
      <c r="M63" s="5496" cm="1">
        <f t="array" aca="1" ref="M63" ca="1">INDIRECT("'※ 영기팀 작성_가입자'!"&amp;M$1&amp;$AC63, TRUE)</f>
        <v>394</v>
      </c>
      <c r="N63" s="5496" cm="1">
        <f t="array" aca="1" ref="N63" ca="1">INDIRECT("'※ 영기팀 작성_가입자'!"&amp;N$1&amp;$AC63, TRUE)</f>
        <v>419</v>
      </c>
      <c r="O63" s="5496" cm="1">
        <f t="array" aca="1" ref="O63" ca="1">INDIRECT("'※ 영기팀 작성_가입자'!"&amp;O$1&amp;$AC63, TRUE)</f>
        <v>275</v>
      </c>
      <c r="P63" s="5496" cm="1">
        <f t="array" aca="1" ref="P63" ca="1">INDIRECT("'※ 영기팀 작성_가입자'!"&amp;P$1&amp;$AC63, TRUE)</f>
        <v>296</v>
      </c>
      <c r="Q63" s="5496" cm="1">
        <f t="array" aca="1" ref="Q63" ca="1">INDIRECT("'※ 영기팀 작성_가입자'!"&amp;Q$1&amp;$AC63, TRUE)</f>
        <v>289</v>
      </c>
      <c r="R63" s="5522" cm="1">
        <f t="array" aca="1" ref="R63" ca="1">INDIRECT("'※ 영기팀 작성_가입자'!"&amp;R$1&amp;$AD63, TRUE)</f>
        <v>293</v>
      </c>
      <c r="S63" s="5522" cm="1">
        <f t="array" aca="1" ref="S63" ca="1">INDIRECT("'※ 영기팀 작성_가입자'!"&amp;S$1&amp;$AD63, TRUE)</f>
        <v>-4</v>
      </c>
      <c r="T63" s="5523" cm="1">
        <f t="array" aca="1" ref="T63" ca="1">INDIRECT("'※ 영기팀 작성_가입자'!"&amp;T$1&amp;$AD63, TRUE)</f>
        <v>0.96110339353046237</v>
      </c>
      <c r="U63" s="5081" cm="1">
        <f t="array" aca="1" ref="U63" ca="1">INDIRECT("'※ 영기팀 작성_가입자'!"&amp;U$2&amp;$AC63,TRUE)</f>
        <v>-7</v>
      </c>
      <c r="V63" s="5082" cm="1">
        <f t="array" aca="1" ref="V63" ca="1">INDIRECT("'※ 영기팀 작성_가입자'!"&amp;V$2&amp;$AC63,TRUE)</f>
        <v>-7</v>
      </c>
      <c r="W63" s="5524" cm="1">
        <f t="array" aca="1" ref="W63" ca="1">INDIRECT("'※ 영기팀 작성_가입자'!"&amp;W$1&amp;$AC63, TRUE)</f>
        <v>4843</v>
      </c>
      <c r="X63" s="5522" cm="1">
        <f t="array" aca="1" ref="X63" ca="1">INDIRECT("'※ 영기팀 작성_가입자'!"&amp;X$1&amp;$AD63, TRUE)</f>
        <v>-4</v>
      </c>
      <c r="Y63" s="5523" cm="1">
        <f t="array" aca="1" ref="Y63" ca="1">INDIRECT("'※ 영기팀 작성_가입자'!"&amp;Y$1&amp;$AD63, TRUE)</f>
        <v>1.7007481296758105</v>
      </c>
      <c r="Z63" s="4910" cm="1">
        <f t="array" aca="1" ref="Z63" ca="1">INDIRECT("'※ 영기팀 작성_가입자'!"&amp;Z$2&amp;$AC63, TRUE)</f>
        <v>763</v>
      </c>
      <c r="AA63" s="5525" cm="1">
        <f t="array" aca="1" ref="AA63" ca="1">INDIRECT("'※ 영기팀 작성_가입자'!"&amp;AA$1&amp;$AC63, TRUE)</f>
        <v>403.5497041913174</v>
      </c>
      <c r="AB63" s="5458" cm="1">
        <f t="array" aca="1" ref="AB63" ca="1">INDIRECT("'※ 영기팀 작성_가입자'!"&amp;AB$1&amp;$AC63, TRUE)</f>
        <v>-7</v>
      </c>
      <c r="AC63" s="5364">
        <f>ROW('※ 영기팀 작성_가입자'!AH214)</f>
        <v>214</v>
      </c>
      <c r="AD63" s="5360">
        <f>ROW('※ 영기팀 작성_가입자'!AI493)</f>
        <v>493</v>
      </c>
    </row>
    <row r="64" spans="1:31" ht="18" customHeight="1" x14ac:dyDescent="0.55000000000000004">
      <c r="A64" s="7187"/>
      <c r="B64" s="3033" t="s">
        <v>492</v>
      </c>
      <c r="C64" s="3679"/>
      <c r="D64" s="5450" cm="1">
        <f t="array" aca="1" ref="D64" ca="1">INDIRECT("'※ 영기팀 작성_가입자'!"&amp;D$1&amp;$AC64, TRUE)</f>
        <v>5645</v>
      </c>
      <c r="E64" s="5451" cm="1">
        <f t="array" aca="1" ref="E64" ca="1">INDIRECT("'※ 영기팀 작성_가입자'!"&amp;E$1&amp;$AC64, TRUE)</f>
        <v>6816</v>
      </c>
      <c r="F64" s="5452" cm="1">
        <f t="array" aca="1" ref="F64" ca="1">INDIRECT("'※ 영기팀 작성_가입자'!"&amp;F$1&amp;$AC64, TRUE)</f>
        <v>300</v>
      </c>
      <c r="G64" s="5451" cm="1">
        <f t="array" aca="1" ref="G64" ca="1">INDIRECT("'※ 영기팀 작성_가입자'!"&amp;G$1&amp;$AC64, TRUE)</f>
        <v>687</v>
      </c>
      <c r="H64" s="5451" cm="1">
        <f t="array" aca="1" ref="H64" ca="1">INDIRECT("'※ 영기팀 작성_가입자'!"&amp;H$1&amp;$AC64, TRUE)</f>
        <v>555</v>
      </c>
      <c r="I64" s="5451" cm="1">
        <f t="array" aca="1" ref="I64" ca="1">INDIRECT("'※ 영기팀 작성_가입자'!"&amp;I$1&amp;$AC64, TRUE)</f>
        <v>781</v>
      </c>
      <c r="J64" s="5451" cm="1">
        <f t="array" aca="1" ref="J64" ca="1">INDIRECT("'※ 영기팀 작성_가입자'!"&amp;J$1&amp;$AC64, TRUE)</f>
        <v>1033</v>
      </c>
      <c r="K64" s="5451" cm="1">
        <f t="array" aca="1" ref="K64" ca="1">INDIRECT("'※ 영기팀 작성_가입자'!"&amp;K$1&amp;$AC64, TRUE)</f>
        <v>676</v>
      </c>
      <c r="L64" s="5451" cm="1">
        <f t="array" aca="1" ref="L64" ca="1">INDIRECT("'※ 영기팀 작성_가입자'!"&amp;L$1&amp;$AC64, TRUE)</f>
        <v>950</v>
      </c>
      <c r="M64" s="5451" cm="1">
        <f t="array" aca="1" ref="M64" ca="1">INDIRECT("'※ 영기팀 작성_가입자'!"&amp;M$1&amp;$AC64, TRUE)</f>
        <v>631</v>
      </c>
      <c r="N64" s="5451" cm="1">
        <f t="array" aca="1" ref="N64" ca="1">INDIRECT("'※ 영기팀 작성_가입자'!"&amp;N$1&amp;$AC64, TRUE)</f>
        <v>560</v>
      </c>
      <c r="O64" s="5451" cm="1">
        <f t="array" aca="1" ref="O64" ca="1">INDIRECT("'※ 영기팀 작성_가입자'!"&amp;O$1&amp;$AC64, TRUE)</f>
        <v>469</v>
      </c>
      <c r="P64" s="5451" cm="1">
        <f t="array" aca="1" ref="P64" ca="1">INDIRECT("'※ 영기팀 작성_가입자'!"&amp;P$1&amp;$AC64, TRUE)</f>
        <v>403</v>
      </c>
      <c r="Q64" s="5451" cm="1">
        <f t="array" aca="1" ref="Q64" ca="1">INDIRECT("'※ 영기팀 작성_가입자'!"&amp;Q$1&amp;$AC64, TRUE)</f>
        <v>330</v>
      </c>
      <c r="R64" s="5540" cm="1">
        <f t="array" aca="1" ref="R64" ca="1">INDIRECT("'※ 영기팀 작성_가입자'!"&amp;R$1&amp;$AD64, TRUE)</f>
        <v>491</v>
      </c>
      <c r="S64" s="5540" cm="1">
        <f t="array" aca="1" ref="S64" ca="1">INDIRECT("'※ 영기팀 작성_가입자'!"&amp;S$1&amp;$AD64, TRUE)</f>
        <v>-161</v>
      </c>
      <c r="T64" s="5541" cm="1">
        <f t="array" aca="1" ref="T64" ca="1">INDIRECT("'※ 영기팀 작성_가입자'!"&amp;T$1&amp;$AD64, TRUE)</f>
        <v>0.87402228016117567</v>
      </c>
      <c r="U64" s="4894" cm="1">
        <f t="array" aca="1" ref="U64" ca="1">INDIRECT("'※ 영기팀 작성_가입자'!"&amp;U$2&amp;$AC64,TRUE)</f>
        <v>-73</v>
      </c>
      <c r="V64" s="5542" cm="1">
        <f t="array" aca="1" ref="V64" ca="1">INDIRECT("'※ 영기팀 작성_가입자'!"&amp;V$2&amp;$AC64,TRUE)</f>
        <v>-140</v>
      </c>
      <c r="W64" s="5543" cm="1">
        <f t="array" aca="1" ref="W64" ca="1">INDIRECT("'※ 영기팀 작성_가입자'!"&amp;W$1&amp;$AC64, TRUE)</f>
        <v>7375</v>
      </c>
      <c r="X64" s="5540" cm="1">
        <f t="array" aca="1" ref="X64" ca="1">INDIRECT("'※ 영기팀 작성_가입자'!"&amp;X$1&amp;$AD64, TRUE)</f>
        <v>-161</v>
      </c>
      <c r="Y64" s="5541" cm="1">
        <f t="array" aca="1" ref="Y64" ca="1">INDIRECT("'※ 영기팀 작성_가입자'!"&amp;Y$1&amp;$AD64, TRUE)</f>
        <v>1.5372023809523809</v>
      </c>
      <c r="Z64" s="4910" cm="1">
        <f t="array" aca="1" ref="Z64" ca="1">INDIRECT("'※ 영기팀 작성_가입자'!"&amp;Z$2&amp;$AC64, TRUE)</f>
        <v>559</v>
      </c>
      <c r="AA64" s="5525" cm="1">
        <f t="array" aca="1" ref="AA64" ca="1">INDIRECT("'※ 영기팀 작성_가입자'!"&amp;AA$1&amp;$AC64, TRUE)</f>
        <v>614.53212232313979</v>
      </c>
      <c r="AB64" s="5458" cm="1">
        <f t="array" aca="1" ref="AB64" ca="1">INDIRECT("'※ 영기팀 작성_가입자'!"&amp;AB$1&amp;$AC64, TRUE)</f>
        <v>-140</v>
      </c>
      <c r="AC64" s="5364">
        <f>ROW('※ 영기팀 작성_가입자'!AH215)</f>
        <v>215</v>
      </c>
      <c r="AD64" s="5360">
        <f>ROW('※ 영기팀 작성_가입자'!AI494)</f>
        <v>494</v>
      </c>
    </row>
    <row r="65" spans="1:34" ht="18" customHeight="1" x14ac:dyDescent="0.55000000000000004">
      <c r="A65" s="7187"/>
      <c r="B65" s="2639" t="s">
        <v>493</v>
      </c>
      <c r="C65" s="5539"/>
      <c r="D65" s="5495" cm="1">
        <f t="array" aca="1" ref="D65" ca="1">INDIRECT("'※ 영기팀 작성_가입자'!"&amp;D$1&amp;$AC65, TRUE)</f>
        <v>3827</v>
      </c>
      <c r="E65" s="5496" cm="1">
        <f t="array" aca="1" ref="E65" ca="1">INDIRECT("'※ 영기팀 작성_가입자'!"&amp;E$1&amp;$AC65, TRUE)</f>
        <v>4825</v>
      </c>
      <c r="F65" s="5497" cm="1">
        <f t="array" aca="1" ref="F65" ca="1">INDIRECT("'※ 영기팀 작성_가입자'!"&amp;F$1&amp;$AC65, TRUE)</f>
        <v>287</v>
      </c>
      <c r="G65" s="5496" cm="1">
        <f t="array" aca="1" ref="G65" ca="1">INDIRECT("'※ 영기팀 작성_가입자'!"&amp;G$1&amp;$AC65, TRUE)</f>
        <v>531</v>
      </c>
      <c r="H65" s="5496" cm="1">
        <f t="array" aca="1" ref="H65" ca="1">INDIRECT("'※ 영기팀 작성_가입자'!"&amp;H$1&amp;$AC65, TRUE)</f>
        <v>386</v>
      </c>
      <c r="I65" s="5496" cm="1">
        <f t="array" aca="1" ref="I65" ca="1">INDIRECT("'※ 영기팀 작성_가입자'!"&amp;I$1&amp;$AC65, TRUE)</f>
        <v>511</v>
      </c>
      <c r="J65" s="5496" cm="1">
        <f t="array" aca="1" ref="J65" ca="1">INDIRECT("'※ 영기팀 작성_가입자'!"&amp;J$1&amp;$AC65, TRUE)</f>
        <v>785</v>
      </c>
      <c r="K65" s="5496" cm="1">
        <f t="array" aca="1" ref="K65" ca="1">INDIRECT("'※ 영기팀 작성_가입자'!"&amp;K$1&amp;$AC65, TRUE)</f>
        <v>433</v>
      </c>
      <c r="L65" s="5496" cm="1">
        <f t="array" aca="1" ref="L65" ca="1">INDIRECT("'※ 영기팀 작성_가입자'!"&amp;L$1&amp;$AC65, TRUE)</f>
        <v>621</v>
      </c>
      <c r="M65" s="5496" cm="1">
        <f t="array" aca="1" ref="M65" ca="1">INDIRECT("'※ 영기팀 작성_가입자'!"&amp;M$1&amp;$AC65, TRUE)</f>
        <v>401</v>
      </c>
      <c r="N65" s="5496" cm="1">
        <f t="array" aca="1" ref="N65" ca="1">INDIRECT("'※ 영기팀 작성_가입자'!"&amp;N$1&amp;$AC65, TRUE)</f>
        <v>455</v>
      </c>
      <c r="O65" s="5496" cm="1">
        <f t="array" aca="1" ref="O65" ca="1">INDIRECT("'※ 영기팀 작성_가입자'!"&amp;O$1&amp;$AC65, TRUE)</f>
        <v>294</v>
      </c>
      <c r="P65" s="5496" cm="1">
        <f t="array" aca="1" ref="P65" ca="1">INDIRECT("'※ 영기팀 작성_가입자'!"&amp;P$1&amp;$AC65, TRUE)</f>
        <v>294</v>
      </c>
      <c r="Q65" s="5496" cm="1">
        <f t="array" aca="1" ref="Q65" ca="1">INDIRECT("'※ 영기팀 작성_가입자'!"&amp;Q$1&amp;$AC65, TRUE)</f>
        <v>281</v>
      </c>
      <c r="R65" s="5522" cm="1">
        <f t="array" aca="1" ref="R65" ca="1">INDIRECT("'※ 영기팀 작성_가입자'!"&amp;R$1&amp;$AD65, TRUE)</f>
        <v>320</v>
      </c>
      <c r="S65" s="5522" cm="1">
        <f t="array" aca="1" ref="S65" ca="1">INDIRECT("'※ 영기팀 작성_가입자'!"&amp;S$1&amp;$AD65, TRUE)</f>
        <v>-39</v>
      </c>
      <c r="T65" s="5523" cm="1">
        <f t="array" aca="1" ref="T65" ca="1">INDIRECT("'※ 영기팀 작성_가입자'!"&amp;T$1&amp;$AD65, TRUE)</f>
        <v>0.9619169096209913</v>
      </c>
      <c r="U65" s="5081" cm="1">
        <f t="array" aca="1" ref="U65" ca="1">INDIRECT("'※ 영기팀 작성_가입자'!"&amp;U$2&amp;$AC65,TRUE)</f>
        <v>-13</v>
      </c>
      <c r="V65" s="5082" cm="1">
        <f t="array" aca="1" ref="V65" ca="1">INDIRECT("'※ 영기팀 작성_가입자'!"&amp;V$2&amp;$AC65,TRUE)</f>
        <v>-4</v>
      </c>
      <c r="W65" s="5524" cm="1">
        <f t="array" aca="1" ref="W65" ca="1">INDIRECT("'※ 영기팀 작성_가입자'!"&amp;W$1&amp;$AC65, TRUE)</f>
        <v>5279</v>
      </c>
      <c r="X65" s="5522" cm="1">
        <f t="array" aca="1" ref="X65" ca="1">INDIRECT("'※ 영기팀 작성_가입자'!"&amp;X$1&amp;$AD65, TRUE)</f>
        <v>-39</v>
      </c>
      <c r="Y65" s="5523" cm="1">
        <f t="array" aca="1" ref="Y65" ca="1">INDIRECT("'※ 영기팀 작성_가입자'!"&amp;Y$1&amp;$AD65, TRUE)</f>
        <v>1.8004587155963303</v>
      </c>
      <c r="Z65" s="4910" cm="1">
        <f t="array" aca="1" ref="Z65" ca="1">INDIRECT("'※ 영기팀 작성_가입자'!"&amp;Z$2&amp;$AC65, TRUE)</f>
        <v>454</v>
      </c>
      <c r="AA65" s="5525" cm="1">
        <f t="array" aca="1" ref="AA65" ca="1">INDIRECT("'※ 영기팀 작성_가입자'!"&amp;AA$1&amp;$AC65, TRUE)</f>
        <v>439.88000999916676</v>
      </c>
      <c r="AB65" s="5458" cm="1">
        <f t="array" aca="1" ref="AB65" ca="1">INDIRECT("'※ 영기팀 작성_가입자'!"&amp;AB$1&amp;$AC65, TRUE)</f>
        <v>-4</v>
      </c>
      <c r="AC65" s="5364">
        <f>ROW('※ 영기팀 작성_가입자'!AH216)</f>
        <v>216</v>
      </c>
      <c r="AD65" s="5360">
        <f>ROW('※ 영기팀 작성_가입자'!AI495)</f>
        <v>495</v>
      </c>
    </row>
    <row r="66" spans="1:34" ht="18" customHeight="1" x14ac:dyDescent="0.55000000000000004">
      <c r="A66" s="7187"/>
      <c r="B66" s="2639" t="s">
        <v>494</v>
      </c>
      <c r="C66" s="5539"/>
      <c r="D66" s="5495" cm="1">
        <f t="array" aca="1" ref="D66" ca="1">INDIRECT("'※ 영기팀 작성_가입자'!"&amp;D$1&amp;$AC66, TRUE)</f>
        <v>3404</v>
      </c>
      <c r="E66" s="5496" cm="1">
        <f t="array" aca="1" ref="E66" ca="1">INDIRECT("'※ 영기팀 작성_가입자'!"&amp;E$1&amp;$AC66, TRUE)</f>
        <v>3935</v>
      </c>
      <c r="F66" s="5497" cm="1">
        <f t="array" aca="1" ref="F66" ca="1">INDIRECT("'※ 영기팀 작성_가입자'!"&amp;F$1&amp;$AC66, TRUE)</f>
        <v>226</v>
      </c>
      <c r="G66" s="5496" cm="1">
        <f t="array" aca="1" ref="G66" ca="1">INDIRECT("'※ 영기팀 작성_가입자'!"&amp;G$1&amp;$AC66, TRUE)</f>
        <v>513</v>
      </c>
      <c r="H66" s="5496" cm="1">
        <f t="array" aca="1" ref="H66" ca="1">INDIRECT("'※ 영기팀 작성_가입자'!"&amp;H$1&amp;$AC66, TRUE)</f>
        <v>378</v>
      </c>
      <c r="I66" s="5496" cm="1">
        <f t="array" aca="1" ref="I66" ca="1">INDIRECT("'※ 영기팀 작성_가입자'!"&amp;I$1&amp;$AC66, TRUE)</f>
        <v>392</v>
      </c>
      <c r="J66" s="5496" cm="1">
        <f t="array" aca="1" ref="J66" ca="1">INDIRECT("'※ 영기팀 작성_가입자'!"&amp;J$1&amp;$AC66, TRUE)</f>
        <v>646</v>
      </c>
      <c r="K66" s="5496" cm="1">
        <f t="array" aca="1" ref="K66" ca="1">INDIRECT("'※ 영기팀 작성_가입자'!"&amp;K$1&amp;$AC66, TRUE)</f>
        <v>308</v>
      </c>
      <c r="L66" s="5496" cm="1">
        <f t="array" aca="1" ref="L66" ca="1">INDIRECT("'※ 영기팀 작성_가입자'!"&amp;L$1&amp;$AC66, TRUE)</f>
        <v>527</v>
      </c>
      <c r="M66" s="5496" cm="1">
        <f t="array" aca="1" ref="M66" ca="1">INDIRECT("'※ 영기팀 작성_가입자'!"&amp;M$1&amp;$AC66, TRUE)</f>
        <v>342</v>
      </c>
      <c r="N66" s="5496" cm="1">
        <f t="array" aca="1" ref="N66" ca="1">INDIRECT("'※ 영기팀 작성_가입자'!"&amp;N$1&amp;$AC66, TRUE)</f>
        <v>350</v>
      </c>
      <c r="O66" s="5496" cm="1">
        <f t="array" aca="1" ref="O66" ca="1">INDIRECT("'※ 영기팀 작성_가입자'!"&amp;O$1&amp;$AC66, TRUE)</f>
        <v>246</v>
      </c>
      <c r="P66" s="5496" cm="1">
        <f t="array" aca="1" ref="P66" ca="1">INDIRECT("'※ 영기팀 작성_가입자'!"&amp;P$1&amp;$AC66, TRUE)</f>
        <v>241</v>
      </c>
      <c r="Q66" s="5496" cm="1">
        <f t="array" aca="1" ref="Q66" ca="1">INDIRECT("'※ 영기팀 작성_가입자'!"&amp;Q$1&amp;$AC66, TRUE)</f>
        <v>221</v>
      </c>
      <c r="R66" s="5522" cm="1">
        <f t="array" aca="1" ref="R66" ca="1">INDIRECT("'※ 영기팀 작성_가입자'!"&amp;R$1&amp;$AD66, TRUE)</f>
        <v>296</v>
      </c>
      <c r="S66" s="5522" cm="1">
        <f t="array" aca="1" ref="S66" ca="1">INDIRECT("'※ 영기팀 작성_가입자'!"&amp;S$1&amp;$AD66, TRUE)</f>
        <v>-75</v>
      </c>
      <c r="T66" s="5523" cm="1">
        <f t="array" aca="1" ref="T66" ca="1">INDIRECT("'※ 영기팀 작성_가입자'!"&amp;T$1&amp;$AD66, TRUE)</f>
        <v>0.86349331235247839</v>
      </c>
      <c r="U66" s="5081" cm="1">
        <f t="array" aca="1" ref="U66" ca="1">INDIRECT("'※ 영기팀 작성_가입자'!"&amp;U$2&amp;$AC66,TRUE)</f>
        <v>-20</v>
      </c>
      <c r="V66" s="5082" cm="1">
        <f t="array" aca="1" ref="V66" ca="1">INDIRECT("'※ 영기팀 작성_가입자'!"&amp;V$2&amp;$AC66,TRUE)</f>
        <v>-11</v>
      </c>
      <c r="W66" s="5524" cm="1">
        <f t="array" aca="1" ref="W66" ca="1">INDIRECT("'※ 영기팀 작성_가입자'!"&amp;W$1&amp;$AC66, TRUE)</f>
        <v>4390</v>
      </c>
      <c r="X66" s="5522" cm="1">
        <f t="array" aca="1" ref="X66" ca="1">INDIRECT("'※ 영기팀 작성_가입자'!"&amp;X$1&amp;$AD66, TRUE)</f>
        <v>-75</v>
      </c>
      <c r="Y66" s="5523" cm="1">
        <f t="array" aca="1" ref="Y66" ca="1">INDIRECT("'※ 영기팀 작성_가입자'!"&amp;Y$1&amp;$AD66, TRUE)</f>
        <v>1.5950617283950617</v>
      </c>
      <c r="Z66" s="4910" cm="1">
        <f t="array" aca="1" ref="Z66" ca="1">INDIRECT("'※ 영기팀 작성_가입자'!"&amp;Z$2&amp;$AC66, TRUE)</f>
        <v>455</v>
      </c>
      <c r="AA66" s="5525" cm="1">
        <f t="array" aca="1" ref="AA66" ca="1">INDIRECT("'※ 영기팀 작성_가입자'!"&amp;AA$1&amp;$AC66, TRUE)</f>
        <v>365.80284976251983</v>
      </c>
      <c r="AB66" s="5458" cm="1">
        <f t="array" aca="1" ref="AB66" ca="1">INDIRECT("'※ 영기팀 작성_가입자'!"&amp;AB$1&amp;$AC66, TRUE)</f>
        <v>-11</v>
      </c>
      <c r="AC66" s="5364">
        <f>ROW('※ 영기팀 작성_가입자'!AH217)</f>
        <v>217</v>
      </c>
      <c r="AD66" s="5360">
        <f>ROW('※ 영기팀 작성_가입자'!AI496)</f>
        <v>496</v>
      </c>
    </row>
    <row r="67" spans="1:34" ht="18" customHeight="1" thickBot="1" x14ac:dyDescent="0.6">
      <c r="A67" s="7188"/>
      <c r="B67" s="5544" t="s">
        <v>495</v>
      </c>
      <c r="C67" s="5544"/>
      <c r="D67" s="5545" cm="1">
        <f t="array" aca="1" ref="D67" ca="1">INDIRECT("'※ 영기팀 작성_가입자'!"&amp;D$1&amp;$AC67, TRUE)</f>
        <v>2414</v>
      </c>
      <c r="E67" s="5504" cm="1">
        <f t="array" aca="1" ref="E67" ca="1">INDIRECT("'※ 영기팀 작성_가입자'!"&amp;E$1&amp;$AC67, TRUE)</f>
        <v>3389</v>
      </c>
      <c r="F67" s="5505" cm="1">
        <f t="array" aca="1" ref="F67" ca="1">INDIRECT("'※ 영기팀 작성_가입자'!"&amp;F$1&amp;$AC67, TRUE)</f>
        <v>198</v>
      </c>
      <c r="G67" s="5504" cm="1">
        <f t="array" aca="1" ref="G67" ca="1">INDIRECT("'※ 영기팀 작성_가입자'!"&amp;G$1&amp;$AC67, TRUE)</f>
        <v>360</v>
      </c>
      <c r="H67" s="5504" cm="1">
        <f t="array" aca="1" ref="H67" ca="1">INDIRECT("'※ 영기팀 작성_가입자'!"&amp;H$1&amp;$AC67, TRUE)</f>
        <v>345</v>
      </c>
      <c r="I67" s="5504" cm="1">
        <f t="array" aca="1" ref="I67" ca="1">INDIRECT("'※ 영기팀 작성_가입자'!"&amp;I$1&amp;$AC67, TRUE)</f>
        <v>298</v>
      </c>
      <c r="J67" s="5504" cm="1">
        <f t="array" aca="1" ref="J67" ca="1">INDIRECT("'※ 영기팀 작성_가입자'!"&amp;J$1&amp;$AC67, TRUE)</f>
        <v>565</v>
      </c>
      <c r="K67" s="5504" cm="1">
        <f t="array" aca="1" ref="K67" ca="1">INDIRECT("'※ 영기팀 작성_가입자'!"&amp;K$1&amp;$AC67, TRUE)</f>
        <v>370</v>
      </c>
      <c r="L67" s="5504" cm="1">
        <f t="array" aca="1" ref="L67" ca="1">INDIRECT("'※ 영기팀 작성_가입자'!"&amp;L$1&amp;$AC67, TRUE)</f>
        <v>454</v>
      </c>
      <c r="M67" s="5504" cm="1">
        <f t="array" aca="1" ref="M67" ca="1">INDIRECT("'※ 영기팀 작성_가입자'!"&amp;M$1&amp;$AC67, TRUE)</f>
        <v>333</v>
      </c>
      <c r="N67" s="5504" cm="1">
        <f t="array" aca="1" ref="N67" ca="1">INDIRECT("'※ 영기팀 작성_가입자'!"&amp;N$1&amp;$AC67, TRUE)</f>
        <v>276</v>
      </c>
      <c r="O67" s="5504" cm="1">
        <f t="array" aca="1" ref="O67" ca="1">INDIRECT("'※ 영기팀 작성_가입자'!"&amp;O$1&amp;$AC67, TRUE)</f>
        <v>249</v>
      </c>
      <c r="P67" s="5504" cm="1">
        <f t="array" aca="1" ref="P67" ca="1">INDIRECT("'※ 영기팀 작성_가입자'!"&amp;P$1&amp;$AC67, TRUE)</f>
        <v>244</v>
      </c>
      <c r="Q67" s="5504" cm="1">
        <f t="array" aca="1" ref="Q67" ca="1">INDIRECT("'※ 영기팀 작성_가입자'!"&amp;Q$1&amp;$AC67, TRUE)</f>
        <v>231</v>
      </c>
      <c r="R67" s="5546" cm="1">
        <f t="array" aca="1" ref="R67" ca="1">INDIRECT("'※ 영기팀 작성_가입자'!"&amp;R$1&amp;$AD67, TRUE)</f>
        <v>232</v>
      </c>
      <c r="S67" s="5546" cm="1">
        <f t="array" aca="1" ref="S67" ca="1">INDIRECT("'※ 영기팀 작성_가입자'!"&amp;S$1&amp;$AD67, TRUE)</f>
        <v>-1</v>
      </c>
      <c r="T67" s="5547" cm="1">
        <f t="array" aca="1" ref="T67" ca="1">INDIRECT("'※ 영기팀 작성_가입자'!"&amp;T$1&amp;$AD67, TRUE)</f>
        <v>0.98716658278812275</v>
      </c>
      <c r="U67" s="5548" cm="1">
        <f t="array" aca="1" ref="U67" ca="1">INDIRECT("'※ 영기팀 작성_가입자'!"&amp;U$2&amp;$AC67,TRUE)</f>
        <v>-13</v>
      </c>
      <c r="V67" s="5549" cm="1">
        <f t="array" aca="1" ref="V67" ca="1">INDIRECT("'※ 영기팀 작성_가입자'!"&amp;V$2&amp;$AC67,TRUE)</f>
        <v>0</v>
      </c>
      <c r="W67" s="5550" cm="1">
        <f t="array" aca="1" ref="W67" ca="1">INDIRECT("'※ 영기팀 작성_가입자'!"&amp;W$1&amp;$AC67, TRUE)</f>
        <v>3923</v>
      </c>
      <c r="X67" s="5546" cm="1">
        <f t="array" aca="1" ref="X67" ca="1">INDIRECT("'※ 영기팀 작성_가입자'!"&amp;X$1&amp;$AD67, TRUE)</f>
        <v>-1</v>
      </c>
      <c r="Y67" s="5547" cm="1">
        <f t="array" aca="1" ref="Y67" ca="1">INDIRECT("'※ 영기팀 작성_가입자'!"&amp;Y$1&amp;$AD67, TRUE)</f>
        <v>1.7879746835443038</v>
      </c>
      <c r="Z67" s="5551" cm="1">
        <f t="array" aca="1" ref="Z67" ca="1">INDIRECT("'※ 영기팀 작성_가입자'!"&amp;Z$2&amp;$AC67, TRUE)</f>
        <v>534</v>
      </c>
      <c r="AA67" s="5552" cm="1">
        <f t="array" aca="1" ref="AA67" ca="1">INDIRECT("'※ 영기팀 작성_가입자'!"&amp;AA$1&amp;$AC67, TRUE)</f>
        <v>326.88942588117658</v>
      </c>
      <c r="AB67" s="5512" cm="1">
        <f t="array" aca="1" ref="AB67" ca="1">INDIRECT("'※ 영기팀 작성_가입자'!"&amp;AB$1&amp;$AC67, TRUE)</f>
        <v>0</v>
      </c>
      <c r="AC67" s="5364">
        <f>ROW('※ 영기팀 작성_가입자'!AH218)</f>
        <v>218</v>
      </c>
      <c r="AD67" s="5360">
        <f>ROW('※ 영기팀 작성_가입자'!AI497)</f>
        <v>497</v>
      </c>
    </row>
    <row r="68" spans="1:34" ht="5.05" customHeight="1" thickBot="1" x14ac:dyDescent="0.6">
      <c r="A68" s="5076"/>
      <c r="B68" s="2682"/>
      <c r="C68" s="2682"/>
      <c r="D68" s="3128"/>
      <c r="E68" s="3468"/>
      <c r="F68" s="3127"/>
      <c r="G68" s="3128"/>
      <c r="H68" s="3128"/>
      <c r="I68" s="3128"/>
      <c r="J68" s="3128"/>
      <c r="K68" s="3128"/>
      <c r="L68" s="3128"/>
      <c r="M68" s="3128"/>
      <c r="N68" s="3128"/>
      <c r="O68" s="3128"/>
      <c r="P68" s="3128"/>
      <c r="Q68" s="3128"/>
      <c r="R68" s="3128"/>
      <c r="S68" s="3128"/>
      <c r="T68" s="3128"/>
      <c r="U68" s="3128"/>
      <c r="V68" s="3128"/>
      <c r="W68" s="3468"/>
      <c r="X68" s="3468"/>
      <c r="Y68" s="3468"/>
      <c r="Z68" s="2467"/>
      <c r="AA68" s="2467"/>
      <c r="AB68" s="2467"/>
      <c r="AC68" s="5364"/>
    </row>
    <row r="69" spans="1:34" ht="18" customHeight="1" x14ac:dyDescent="0.55000000000000004">
      <c r="A69" s="7186" t="s">
        <v>81</v>
      </c>
      <c r="B69" s="5513" t="s">
        <v>652</v>
      </c>
      <c r="C69" s="5513"/>
      <c r="D69" s="5553" cm="1">
        <f t="array" aca="1" ref="D69" ca="1">INDIRECT("'※ 영기팀 작성_가입자'!"&amp;D$1&amp;$AC69, TRUE)</f>
        <v>31901</v>
      </c>
      <c r="E69" s="5554" cm="1">
        <f t="array" aca="1" ref="E69" ca="1">INDIRECT("'※ 영기팀 작성_가입자'!"&amp;E$1&amp;$AC69, TRUE)</f>
        <v>39553</v>
      </c>
      <c r="F69" s="5555" cm="1">
        <f t="array" aca="1" ref="F69" ca="1">INDIRECT("'※ 영기팀 작성_가입자'!"&amp;F$1&amp;$AC69, TRUE)</f>
        <v>3467</v>
      </c>
      <c r="G69" s="5554" cm="1">
        <f t="array" aca="1" ref="G69" ca="1">INDIRECT("'※ 영기팀 작성_가입자'!"&amp;G$1&amp;$AC69, TRUE)</f>
        <v>4420</v>
      </c>
      <c r="H69" s="5554" cm="1">
        <f t="array" aca="1" ref="H69" ca="1">INDIRECT("'※ 영기팀 작성_가입자'!"&amp;H$1&amp;$AC69, TRUE)</f>
        <v>3884</v>
      </c>
      <c r="I69" s="5554" cm="1">
        <f t="array" aca="1" ref="I69" ca="1">INDIRECT("'※ 영기팀 작성_가입자'!"&amp;I$1&amp;$AC69, TRUE)</f>
        <v>4016</v>
      </c>
      <c r="J69" s="5554" cm="1">
        <f t="array" aca="1" ref="J69" ca="1">INDIRECT("'※ 영기팀 작성_가입자'!"&amp;J$1&amp;$AC69, TRUE)</f>
        <v>7752</v>
      </c>
      <c r="K69" s="5554" cm="1">
        <f t="array" aca="1" ref="K69" ca="1">INDIRECT("'※ 영기팀 작성_가입자'!"&amp;K$1&amp;$AC69, TRUE)</f>
        <v>6076</v>
      </c>
      <c r="L69" s="5554" cm="1">
        <f t="array" aca="1" ref="L69" ca="1">INDIRECT("'※ 영기팀 작성_가입자'!"&amp;L$1&amp;$AC69, TRUE)</f>
        <v>5412</v>
      </c>
      <c r="M69" s="5554" cm="1">
        <f t="array" aca="1" ref="M69" ca="1">INDIRECT("'※ 영기팀 작성_가입자'!"&amp;M$1&amp;$AC69, TRUE)</f>
        <v>3967</v>
      </c>
      <c r="N69" s="5554" cm="1">
        <f t="array" aca="1" ref="N69" ca="1">INDIRECT("'※ 영기팀 작성_가입자'!"&amp;N$1&amp;$AC69, TRUE)</f>
        <v>4043</v>
      </c>
      <c r="O69" s="5554" cm="1">
        <f t="array" aca="1" ref="O69" ca="1">INDIRECT("'※ 영기팀 작성_가입자'!"&amp;O$1&amp;$AC69, TRUE)</f>
        <v>3808</v>
      </c>
      <c r="P69" s="5554" cm="1">
        <f t="array" aca="1" ref="P69" ca="1">INDIRECT("'※ 영기팀 작성_가입자'!"&amp;P$1&amp;$AC69, TRUE)</f>
        <v>3714</v>
      </c>
      <c r="Q69" s="5554" cm="1">
        <f t="array" aca="1" ref="Q69" ca="1">INDIRECT("'※ 영기팀 작성_가입자'!"&amp;Q$1&amp;$AC69, TRUE)</f>
        <v>3694</v>
      </c>
      <c r="R69" s="5515" cm="1">
        <f t="array" aca="1" ref="R69" ca="1">INDIRECT("'※ 영기팀 작성_가입자'!"&amp;R$1&amp;$AD69, TRUE)</f>
        <v>3800</v>
      </c>
      <c r="S69" s="5515" cm="1">
        <f t="array" aca="1" ref="S69" ca="1">INDIRECT("'※ 영기팀 작성_가입자'!"&amp;S$1&amp;$AD69, TRUE)</f>
        <v>-106</v>
      </c>
      <c r="T69" s="5516" cm="1">
        <f t="array" aca="1" ref="T69" ca="1">INDIRECT("'※ 영기팀 작성_가입자'!"&amp;T$1&amp;$AD69, TRUE)</f>
        <v>0.96880357142857143</v>
      </c>
      <c r="U69" s="5517" cm="1">
        <f t="array" aca="1" ref="U69" ca="1">INDIRECT("'※ 영기팀 작성_가입자'!"&amp;U$2&amp;$AC69,TRUE)</f>
        <v>-20</v>
      </c>
      <c r="V69" s="5518" cm="1">
        <f t="array" aca="1" ref="V69" ca="1">INDIRECT("'※ 영기팀 작성_가입자'!"&amp;V$2&amp;$AC69,TRUE)</f>
        <v>30</v>
      </c>
      <c r="W69" s="5556" cm="1">
        <f t="array" aca="1" ref="W69" ca="1">INDIRECT("'※ 영기팀 작성_가입자'!"&amp;W$1&amp;$AC69, TRUE)</f>
        <v>54253</v>
      </c>
      <c r="X69" s="5515" cm="1">
        <f t="array" aca="1" ref="X69" ca="1">INDIRECT("'※ 영기팀 작성_가입자'!"&amp;X$1&amp;$AD69, TRUE)</f>
        <v>-106</v>
      </c>
      <c r="Y69" s="5516" cm="1">
        <f t="array" aca="1" ref="Y69" ca="1">INDIRECT("'※ 영기팀 작성_가입자'!"&amp;Y$1&amp;$AD69, TRUE)</f>
        <v>1.8457142857142856</v>
      </c>
      <c r="Z69" s="5520" cm="1">
        <f t="array" aca="1" ref="Z69" ca="1">INDIRECT("'※ 영기팀 작성_가입자'!"&amp;Z$2&amp;$AC69, TRUE)</f>
        <v>14700</v>
      </c>
      <c r="AA69" s="5444" cm="1">
        <f t="array" aca="1" ref="AA69" ca="1">INDIRECT("'※ 영기팀 작성_가입자'!"&amp;AA$1&amp;$AC69, TRUE)</f>
        <v>4520.7066077826848</v>
      </c>
      <c r="AB69" s="5449" cm="1">
        <f t="array" aca="1" ref="AB69" ca="1">INDIRECT("'※ 영기팀 작성_가입자'!"&amp;AB$1&amp;$AC69, TRUE)</f>
        <v>30</v>
      </c>
      <c r="AC69" s="5364">
        <f>ROW('※ 영기팀 작성_가입자'!AH201)</f>
        <v>201</v>
      </c>
      <c r="AD69" s="5360">
        <f>ROW('※ 영기팀 작성_가입자'!AI481)</f>
        <v>481</v>
      </c>
    </row>
    <row r="70" spans="1:34" ht="18" customHeight="1" x14ac:dyDescent="0.55000000000000004">
      <c r="A70" s="7187"/>
      <c r="B70" s="2648" t="s">
        <v>77</v>
      </c>
      <c r="C70" s="2648"/>
      <c r="D70" s="3646" cm="1">
        <f t="array" aca="1" ref="D70" ca="1">INDIRECT("'※ 영기팀 작성_가입자'!"&amp;D$1&amp;$AC70, TRUE)</f>
        <v>7096</v>
      </c>
      <c r="E70" s="3647" cm="1">
        <f t="array" aca="1" ref="E70" ca="1">INDIRECT("'※ 영기팀 작성_가입자'!"&amp;E$1&amp;$AC70, TRUE)</f>
        <v>8274</v>
      </c>
      <c r="F70" s="5557" cm="1">
        <f t="array" aca="1" ref="F70" ca="1">INDIRECT("'※ 영기팀 작성_가입자'!"&amp;F$1&amp;$AC70, TRUE)</f>
        <v>581</v>
      </c>
      <c r="G70" s="3647" cm="1">
        <f t="array" aca="1" ref="G70" ca="1">INDIRECT("'※ 영기팀 작성_가입자'!"&amp;G$1&amp;$AC70, TRUE)</f>
        <v>765</v>
      </c>
      <c r="H70" s="3647" cm="1">
        <f t="array" aca="1" ref="H70" ca="1">INDIRECT("'※ 영기팀 작성_가입자'!"&amp;H$1&amp;$AC70, TRUE)</f>
        <v>627</v>
      </c>
      <c r="I70" s="3647" cm="1">
        <f t="array" aca="1" ref="I70" ca="1">INDIRECT("'※ 영기팀 작성_가입자'!"&amp;I$1&amp;$AC70, TRUE)</f>
        <v>647</v>
      </c>
      <c r="J70" s="3647" cm="1">
        <f t="array" aca="1" ref="J70" ca="1">INDIRECT("'※ 영기팀 작성_가입자'!"&amp;J$1&amp;$AC70, TRUE)</f>
        <v>1370</v>
      </c>
      <c r="K70" s="3647" cm="1">
        <f t="array" aca="1" ref="K70" ca="1">INDIRECT("'※ 영기팀 작성_가입자'!"&amp;K$1&amp;$AC70, TRUE)</f>
        <v>801</v>
      </c>
      <c r="L70" s="3647" cm="1">
        <f t="array" aca="1" ref="L70" ca="1">INDIRECT("'※ 영기팀 작성_가입자'!"&amp;L$1&amp;$AC70, TRUE)</f>
        <v>802</v>
      </c>
      <c r="M70" s="3647" cm="1">
        <f t="array" aca="1" ref="M70" ca="1">INDIRECT("'※ 영기팀 작성_가입자'!"&amp;M$1&amp;$AC70, TRUE)</f>
        <v>650</v>
      </c>
      <c r="N70" s="3647" cm="1">
        <f t="array" aca="1" ref="N70" ca="1">INDIRECT("'※ 영기팀 작성_가입자'!"&amp;N$1&amp;$AC70, TRUE)</f>
        <v>677</v>
      </c>
      <c r="O70" s="3647" cm="1">
        <f t="array" aca="1" ref="O70" ca="1">INDIRECT("'※ 영기팀 작성_가입자'!"&amp;O$1&amp;$AC70, TRUE)</f>
        <v>590</v>
      </c>
      <c r="P70" s="3647" cm="1">
        <f t="array" aca="1" ref="P70" ca="1">INDIRECT("'※ 영기팀 작성_가입자'!"&amp;P$1&amp;$AC70, TRUE)</f>
        <v>641</v>
      </c>
      <c r="Q70" s="3647" cm="1">
        <f t="array" aca="1" ref="Q70" ca="1">INDIRECT("'※ 영기팀 작성_가입자'!"&amp;Q$1&amp;$AC70, TRUE)</f>
        <v>732</v>
      </c>
      <c r="R70" s="5522" cm="1">
        <f t="array" aca="1" ref="R70" ca="1">INDIRECT("'※ 영기팀 작성_가입자'!"&amp;R$1&amp;$AD70, TRUE)</f>
        <v>820</v>
      </c>
      <c r="S70" s="5522" cm="1">
        <f t="array" aca="1" ref="S70" ca="1">INDIRECT("'※ 영기팀 작성_가입자'!"&amp;S$1&amp;$AD70, TRUE)</f>
        <v>-88</v>
      </c>
      <c r="T70" s="5523" cm="1">
        <f t="array" aca="1" ref="T70" ca="1">INDIRECT("'※ 영기팀 작성_가입자'!"&amp;T$1&amp;$AD70, TRUE)</f>
        <v>0.73553034694046537</v>
      </c>
      <c r="U70" s="5081" cm="1">
        <f t="array" aca="1" ref="U70" ca="1">INDIRECT("'※ 영기팀 작성_가입자'!"&amp;U$2&amp;$AC70,TRUE)</f>
        <v>91</v>
      </c>
      <c r="V70" s="5082" cm="1">
        <f t="array" aca="1" ref="V70" ca="1">INDIRECT("'※ 영기팀 작성_가입자'!"&amp;V$2&amp;$AC70,TRUE)</f>
        <v>189</v>
      </c>
      <c r="W70" s="3649" cm="1">
        <f t="array" aca="1" ref="W70" ca="1">INDIRECT("'※ 영기팀 작성_가입자'!"&amp;W$1&amp;$AC70, TRUE)</f>
        <v>8883</v>
      </c>
      <c r="X70" s="5522" cm="1">
        <f t="array" aca="1" ref="X70" ca="1">INDIRECT("'※ 영기팀 작성_가입자'!"&amp;X$1&amp;$AD70, TRUE)</f>
        <v>-88</v>
      </c>
      <c r="Y70" s="5523" cm="1">
        <f t="array" aca="1" ref="Y70" ca="1">INDIRECT("'※ 영기팀 작성_가입자'!"&amp;Y$1&amp;$AD70, TRUE)</f>
        <v>1.5121412803532008</v>
      </c>
      <c r="Z70" s="4910" cm="1">
        <f t="array" aca="1" ref="Z70" ca="1">INDIRECT("'※ 영기팀 작성_가입자'!"&amp;Z$2&amp;$AC70, TRUE)</f>
        <v>609</v>
      </c>
      <c r="AA70" s="5470" cm="1">
        <f t="array" aca="1" ref="AA70" ca="1">INDIRECT("'※ 영기팀 작성_가입자'!"&amp;AA$1&amp;$AC70, TRUE)</f>
        <v>740.18831764019671</v>
      </c>
      <c r="AB70" s="5458" cm="1">
        <f t="array" aca="1" ref="AB70" ca="1">INDIRECT("'※ 영기팀 작성_가입자'!"&amp;AB$1&amp;$AC70, TRUE)</f>
        <v>189</v>
      </c>
      <c r="AC70" s="5364">
        <f>ROW('※ 영기팀 작성_가입자'!AH219)</f>
        <v>219</v>
      </c>
      <c r="AD70" s="5360">
        <f>ROW('※ 영기팀 작성_가입자'!AI498)</f>
        <v>498</v>
      </c>
    </row>
    <row r="71" spans="1:34" ht="18" customHeight="1" x14ac:dyDescent="0.55000000000000004">
      <c r="A71" s="7187"/>
      <c r="B71" s="2639" t="s">
        <v>78</v>
      </c>
      <c r="C71" s="2648"/>
      <c r="D71" s="3646" cm="1">
        <f t="array" aca="1" ref="D71" ca="1">INDIRECT("'※ 영기팀 작성_가입자'!"&amp;D$1&amp;$AC71, TRUE)</f>
        <v>4313</v>
      </c>
      <c r="E71" s="3647" cm="1">
        <f t="array" aca="1" ref="E71" ca="1">INDIRECT("'※ 영기팀 작성_가입자'!"&amp;E$1&amp;$AC71, TRUE)</f>
        <v>6451</v>
      </c>
      <c r="F71" s="5557" cm="1">
        <f t="array" aca="1" ref="F71" ca="1">INDIRECT("'※ 영기팀 작성_가입자'!"&amp;F$1&amp;$AC71, TRUE)</f>
        <v>532</v>
      </c>
      <c r="G71" s="3647" cm="1">
        <f t="array" aca="1" ref="G71" ca="1">INDIRECT("'※ 영기팀 작성_가입자'!"&amp;G$1&amp;$AC71, TRUE)</f>
        <v>602</v>
      </c>
      <c r="H71" s="3647" cm="1">
        <f t="array" aca="1" ref="H71" ca="1">INDIRECT("'※ 영기팀 작성_가입자'!"&amp;H$1&amp;$AC71, TRUE)</f>
        <v>489</v>
      </c>
      <c r="I71" s="3647" cm="1">
        <f t="array" aca="1" ref="I71" ca="1">INDIRECT("'※ 영기팀 작성_가입자'!"&amp;I$1&amp;$AC71, TRUE)</f>
        <v>457</v>
      </c>
      <c r="J71" s="3647" cm="1">
        <f t="array" aca="1" ref="J71" ca="1">INDIRECT("'※ 영기팀 작성_가입자'!"&amp;J$1&amp;$AC71, TRUE)</f>
        <v>1037</v>
      </c>
      <c r="K71" s="3647" cm="1">
        <f t="array" aca="1" ref="K71" ca="1">INDIRECT("'※ 영기팀 작성_가입자'!"&amp;K$1&amp;$AC71, TRUE)</f>
        <v>653</v>
      </c>
      <c r="L71" s="3647" cm="1">
        <f t="array" aca="1" ref="L71" ca="1">INDIRECT("'※ 영기팀 작성_가입자'!"&amp;L$1&amp;$AC71, TRUE)</f>
        <v>617</v>
      </c>
      <c r="M71" s="3647" cm="1">
        <f t="array" aca="1" ref="M71" ca="1">INDIRECT("'※ 영기팀 작성_가입자'!"&amp;M$1&amp;$AC71, TRUE)</f>
        <v>607</v>
      </c>
      <c r="N71" s="3647" cm="1">
        <f t="array" aca="1" ref="N71" ca="1">INDIRECT("'※ 영기팀 작성_가입자'!"&amp;N$1&amp;$AC71, TRUE)</f>
        <v>607</v>
      </c>
      <c r="O71" s="3647" cm="1">
        <f t="array" aca="1" ref="O71" ca="1">INDIRECT("'※ 영기팀 작성_가입자'!"&amp;O$1&amp;$AC71, TRUE)</f>
        <v>556</v>
      </c>
      <c r="P71" s="3647" cm="1">
        <f t="array" aca="1" ref="P71" ca="1">INDIRECT("'※ 영기팀 작성_가입자'!"&amp;P$1&amp;$AC71, TRUE)</f>
        <v>521</v>
      </c>
      <c r="Q71" s="3647" cm="1">
        <f t="array" aca="1" ref="Q71" ca="1">INDIRECT("'※ 영기팀 작성_가입자'!"&amp;Q$1&amp;$AC71, TRUE)</f>
        <v>574</v>
      </c>
      <c r="R71" s="5522" cm="1">
        <f t="array" aca="1" ref="R71" ca="1">INDIRECT("'※ 영기팀 작성_가입자'!"&amp;R$1&amp;$AD71, TRUE)</f>
        <v>598</v>
      </c>
      <c r="S71" s="5522" cm="1">
        <f t="array" aca="1" ref="S71" ca="1">INDIRECT("'※ 영기팀 작성_가입자'!"&amp;S$1&amp;$AD71, TRUE)</f>
        <v>-24</v>
      </c>
      <c r="T71" s="5523" cm="1">
        <f t="array" aca="1" ref="T71" ca="1">INDIRECT("'※ 영기팀 작성_가입자'!"&amp;T$1&amp;$AD71, TRUE)</f>
        <v>0.82390365825948653</v>
      </c>
      <c r="U71" s="5081" cm="1">
        <f t="array" aca="1" ref="U71" ca="1">INDIRECT("'※ 영기팀 작성_가입자'!"&amp;U$2&amp;$AC71,TRUE)</f>
        <v>53</v>
      </c>
      <c r="V71" s="5082" cm="1">
        <f t="array" aca="1" ref="V71" ca="1">INDIRECT("'※ 영기팀 작성_가입자'!"&amp;V$2&amp;$AC71,TRUE)</f>
        <v>-13</v>
      </c>
      <c r="W71" s="3649" cm="1">
        <f t="array" aca="1" ref="W71" ca="1">INDIRECT("'※ 영기팀 작성_가입자'!"&amp;W$1&amp;$AC71, TRUE)</f>
        <v>7252</v>
      </c>
      <c r="X71" s="5522" cm="1">
        <f t="array" aca="1" ref="X71" ca="1">INDIRECT("'※ 영기팀 작성_가입자'!"&amp;X$1&amp;$AD71, TRUE)</f>
        <v>-24</v>
      </c>
      <c r="Y71" s="5523" cm="1">
        <f t="array" aca="1" ref="Y71" ca="1">INDIRECT("'※ 영기팀 작성_가입자'!"&amp;Y$1&amp;$AD71, TRUE)</f>
        <v>1.5712121212121213</v>
      </c>
      <c r="Z71" s="4910" cm="1">
        <f t="array" aca="1" ref="Z71" ca="1">INDIRECT("'※ 영기팀 작성_가입자'!"&amp;Z$2&amp;$AC71, TRUE)</f>
        <v>801</v>
      </c>
      <c r="AA71" s="5470" cm="1">
        <f t="array" aca="1" ref="AA71" ca="1">INDIRECT("'※ 영기팀 작성_가입자'!"&amp;AA$1&amp;$AC71, TRUE)</f>
        <v>604.28297641863185</v>
      </c>
      <c r="AB71" s="5458" cm="1">
        <f t="array" aca="1" ref="AB71" ca="1">INDIRECT("'※ 영기팀 작성_가입자'!"&amp;AB$1&amp;$AC71, TRUE)</f>
        <v>-13</v>
      </c>
      <c r="AC71" s="5364">
        <f>ROW('※ 영기팀 작성_가입자'!AH220)</f>
        <v>220</v>
      </c>
      <c r="AD71" s="5360">
        <f>ROW('※ 영기팀 작성_가입자'!AI499)</f>
        <v>499</v>
      </c>
    </row>
    <row r="72" spans="1:34" ht="18" customHeight="1" x14ac:dyDescent="0.55000000000000004">
      <c r="A72" s="7187"/>
      <c r="B72" s="2639" t="s">
        <v>79</v>
      </c>
      <c r="C72" s="2648"/>
      <c r="D72" s="3646" cm="1">
        <f t="array" aca="1" ref="D72" ca="1">INDIRECT("'※ 영기팀 작성_가입자'!"&amp;D$1&amp;$AC72, TRUE)</f>
        <v>4301</v>
      </c>
      <c r="E72" s="3647" cm="1">
        <f t="array" aca="1" ref="E72" ca="1">INDIRECT("'※ 영기팀 작성_가입자'!"&amp;E$1&amp;$AC72, TRUE)</f>
        <v>6027</v>
      </c>
      <c r="F72" s="5557" cm="1">
        <f t="array" aca="1" ref="F72" ca="1">INDIRECT("'※ 영기팀 작성_가입자'!"&amp;F$1&amp;$AC72, TRUE)</f>
        <v>483</v>
      </c>
      <c r="G72" s="3647" cm="1">
        <f t="array" aca="1" ref="G72" ca="1">INDIRECT("'※ 영기팀 작성_가입자'!"&amp;G$1&amp;$AC72, TRUE)</f>
        <v>698</v>
      </c>
      <c r="H72" s="3647" cm="1">
        <f t="array" aca="1" ref="H72" ca="1">INDIRECT("'※ 영기팀 작성_가입자'!"&amp;H$1&amp;$AC72, TRUE)</f>
        <v>681</v>
      </c>
      <c r="I72" s="3647" cm="1">
        <f t="array" aca="1" ref="I72" ca="1">INDIRECT("'※ 영기팀 작성_가입자'!"&amp;I$1&amp;$AC72, TRUE)</f>
        <v>572</v>
      </c>
      <c r="J72" s="3647" cm="1">
        <f t="array" aca="1" ref="J72" ca="1">INDIRECT("'※ 영기팀 작성_가입자'!"&amp;J$1&amp;$AC72, TRUE)</f>
        <v>1071</v>
      </c>
      <c r="K72" s="3647" cm="1">
        <f t="array" aca="1" ref="K72" ca="1">INDIRECT("'※ 영기팀 작성_가입자'!"&amp;K$1&amp;$AC72, TRUE)</f>
        <v>840</v>
      </c>
      <c r="L72" s="3647" cm="1">
        <f t="array" aca="1" ref="L72" ca="1">INDIRECT("'※ 영기팀 작성_가입자'!"&amp;L$1&amp;$AC72, TRUE)</f>
        <v>753</v>
      </c>
      <c r="M72" s="3647" cm="1">
        <f t="array" aca="1" ref="M72" ca="1">INDIRECT("'※ 영기팀 작성_가입자'!"&amp;M$1&amp;$AC72, TRUE)</f>
        <v>568</v>
      </c>
      <c r="N72" s="3647" cm="1">
        <f t="array" aca="1" ref="N72" ca="1">INDIRECT("'※ 영기팀 작성_가입자'!"&amp;N$1&amp;$AC72, TRUE)</f>
        <v>645</v>
      </c>
      <c r="O72" s="3647" cm="1">
        <f t="array" aca="1" ref="O72" ca="1">INDIRECT("'※ 영기팀 작성_가입자'!"&amp;O$1&amp;$AC72, TRUE)</f>
        <v>585</v>
      </c>
      <c r="P72" s="3647" cm="1">
        <f t="array" aca="1" ref="P72" ca="1">INDIRECT("'※ 영기팀 작성_가입자'!"&amp;P$1&amp;$AC72, TRUE)</f>
        <v>495</v>
      </c>
      <c r="Q72" s="3647" cm="1">
        <f t="array" aca="1" ref="Q72" ca="1">INDIRECT("'※ 영기팀 작성_가입자'!"&amp;Q$1&amp;$AC72, TRUE)</f>
        <v>506</v>
      </c>
      <c r="R72" s="5522" cm="1">
        <f t="array" aca="1" ref="R72" ca="1">INDIRECT("'※ 영기팀 작성_가입자'!"&amp;R$1&amp;$AD72, TRUE)</f>
        <v>565</v>
      </c>
      <c r="S72" s="5522" cm="1">
        <f t="array" aca="1" ref="S72" ca="1">INDIRECT("'※ 영기팀 작성_가입자'!"&amp;S$1&amp;$AD72, TRUE)</f>
        <v>-59</v>
      </c>
      <c r="T72" s="5523" cm="1">
        <f t="array" aca="1" ref="T72" ca="1">INDIRECT("'※ 영기팀 작성_가입자'!"&amp;T$1&amp;$AD72, TRUE)</f>
        <v>0.94893054554193701</v>
      </c>
      <c r="U72" s="5081" cm="1">
        <f t="array" aca="1" ref="U72" ca="1">INDIRECT("'※ 영기팀 작성_가입자'!"&amp;U$2&amp;$AC72,TRUE)</f>
        <v>11</v>
      </c>
      <c r="V72" s="5082" cm="1">
        <f t="array" aca="1" ref="V72" ca="1">INDIRECT("'※ 영기팀 작성_가입자'!"&amp;V$2&amp;$AC72,TRUE)</f>
        <v>-48</v>
      </c>
      <c r="W72" s="3649" cm="1">
        <f t="array" aca="1" ref="W72" ca="1">INDIRECT("'※ 영기팀 작성_가입자'!"&amp;W$1&amp;$AC72, TRUE)</f>
        <v>7897</v>
      </c>
      <c r="X72" s="5522" cm="1">
        <f t="array" aca="1" ref="X72" ca="1">INDIRECT("'※ 영기팀 작성_가입자'!"&amp;X$1&amp;$AD72, TRUE)</f>
        <v>-59</v>
      </c>
      <c r="Y72" s="5523" cm="1">
        <f t="array" aca="1" ref="Y72" ca="1">INDIRECT("'※ 영기팀 작성_가입자'!"&amp;Y$1&amp;$AD72, TRUE)</f>
        <v>1.7163461538461537</v>
      </c>
      <c r="Z72" s="4910" cm="1">
        <f t="array" aca="1" ref="Z72" ca="1">INDIRECT("'※ 영기팀 작성_가입자'!"&amp;Z$2&amp;$AC72, TRUE)</f>
        <v>1870</v>
      </c>
      <c r="AA72" s="5470" cm="1">
        <f t="array" aca="1" ref="AA72" ca="1">INDIRECT("'※ 영기팀 작성_가입자'!"&amp;AA$1&amp;$AC72, TRUE)</f>
        <v>658.02849762519793</v>
      </c>
      <c r="AB72" s="5458" cm="1">
        <f t="array" aca="1" ref="AB72" ca="1">INDIRECT("'※ 영기팀 작성_가입자'!"&amp;AB$1&amp;$AC72, TRUE)</f>
        <v>-48</v>
      </c>
      <c r="AC72" s="5364">
        <f>ROW('※ 영기팀 작성_가입자'!AH221)</f>
        <v>221</v>
      </c>
      <c r="AD72" s="5360">
        <f>ROW('※ 영기팀 작성_가입자'!AI500)</f>
        <v>500</v>
      </c>
    </row>
    <row r="73" spans="1:34" ht="18" customHeight="1" x14ac:dyDescent="0.55000000000000004">
      <c r="A73" s="7187"/>
      <c r="B73" s="2639" t="s">
        <v>422</v>
      </c>
      <c r="C73" s="2648"/>
      <c r="D73" s="3646" cm="1">
        <f t="array" aca="1" ref="D73" ca="1">INDIRECT("'※ 영기팀 작성_가입자'!"&amp;D$1&amp;$AC73, TRUE)</f>
        <v>8233</v>
      </c>
      <c r="E73" s="3647" cm="1">
        <f t="array" aca="1" ref="E73" ca="1">INDIRECT("'※ 영기팀 작성_가입자'!"&amp;E$1&amp;$AC73, TRUE)</f>
        <v>12052</v>
      </c>
      <c r="F73" s="5557" cm="1">
        <f t="array" aca="1" ref="F73" ca="1">INDIRECT("'※ 영기팀 작성_가입자'!"&amp;F$1&amp;$AC73, TRUE)</f>
        <v>1050</v>
      </c>
      <c r="G73" s="3647" cm="1">
        <f t="array" aca="1" ref="G73" ca="1">INDIRECT("'※ 영기팀 작성_가입자'!"&amp;G$1&amp;$AC73, TRUE)</f>
        <v>1279</v>
      </c>
      <c r="H73" s="3647" cm="1">
        <f t="array" aca="1" ref="H73" ca="1">INDIRECT("'※ 영기팀 작성_가입자'!"&amp;H$1&amp;$AC73, TRUE)</f>
        <v>1169</v>
      </c>
      <c r="I73" s="3647" cm="1">
        <f t="array" aca="1" ref="I73" ca="1">INDIRECT("'※ 영기팀 작성_가입자'!"&amp;I$1&amp;$AC73, TRUE)</f>
        <v>1393</v>
      </c>
      <c r="J73" s="3647" cm="1">
        <f t="array" aca="1" ref="J73" ca="1">INDIRECT("'※ 영기팀 작성_가입자'!"&amp;J$1&amp;$AC73, TRUE)</f>
        <v>2849</v>
      </c>
      <c r="K73" s="3647" cm="1">
        <f t="array" aca="1" ref="K73" ca="1">INDIRECT("'※ 영기팀 작성_가입자'!"&amp;K$1&amp;$AC73, TRUE)</f>
        <v>2691</v>
      </c>
      <c r="L73" s="3647" cm="1">
        <f t="array" aca="1" ref="L73" ca="1">INDIRECT("'※ 영기팀 작성_가입자'!"&amp;L$1&amp;$AC73, TRUE)</f>
        <v>2132</v>
      </c>
      <c r="M73" s="3647" cm="1">
        <f t="array" aca="1" ref="M73" ca="1">INDIRECT("'※ 영기팀 작성_가입자'!"&amp;M$1&amp;$AC73, TRUE)</f>
        <v>1419</v>
      </c>
      <c r="N73" s="3647" cm="1">
        <f t="array" aca="1" ref="N73" ca="1">INDIRECT("'※ 영기팀 작성_가입자'!"&amp;N$1&amp;$AC73, TRUE)</f>
        <v>1271</v>
      </c>
      <c r="O73" s="3647" cm="1">
        <f t="array" aca="1" ref="O73" ca="1">INDIRECT("'※ 영기팀 작성_가입자'!"&amp;O$1&amp;$AC73, TRUE)</f>
        <v>1358</v>
      </c>
      <c r="P73" s="3647" cm="1">
        <f t="array" aca="1" ref="P73" ca="1">INDIRECT("'※ 영기팀 작성_가입자'!"&amp;P$1&amp;$AC73, TRUE)</f>
        <v>1292</v>
      </c>
      <c r="Q73" s="3647" cm="1">
        <f t="array" aca="1" ref="Q73" ca="1">INDIRECT("'※ 영기팀 작성_가입자'!"&amp;Q$1&amp;$AC73, TRUE)</f>
        <v>1168</v>
      </c>
      <c r="R73" s="5522" cm="1">
        <f t="array" aca="1" ref="R73" ca="1">INDIRECT("'※ 영기팀 작성_가입자'!"&amp;R$1&amp;$AD73, TRUE)</f>
        <v>948</v>
      </c>
      <c r="S73" s="5522" cm="1">
        <f t="array" aca="1" ref="S73" ca="1">INDIRECT("'※ 영기팀 작성_가입자'!"&amp;S$1&amp;$AD73, TRUE)</f>
        <v>220</v>
      </c>
      <c r="T73" s="5523" cm="1">
        <f t="array" aca="1" ref="T73" ca="1">INDIRECT("'※ 영기팀 작성_가입자'!"&amp;T$1&amp;$AD73, TRUE)</f>
        <v>1.3642606767293797</v>
      </c>
      <c r="U73" s="5081" cm="1">
        <f t="array" aca="1" ref="U73" ca="1">INDIRECT("'※ 영기팀 작성_가입자'!"&amp;U$2&amp;$AC73,TRUE)</f>
        <v>-124</v>
      </c>
      <c r="V73" s="5082" cm="1">
        <f t="array" aca="1" ref="V73" ca="1">INDIRECT("'※ 영기팀 작성_가입자'!"&amp;V$2&amp;$AC73,TRUE)</f>
        <v>45</v>
      </c>
      <c r="W73" s="3649" cm="1">
        <f t="array" aca="1" ref="W73" ca="1">INDIRECT("'※ 영기팀 작성_가입자'!"&amp;W$1&amp;$AC73, TRUE)</f>
        <v>19071</v>
      </c>
      <c r="X73" s="5522" cm="1">
        <f t="array" aca="1" ref="X73" ca="1">INDIRECT("'※ 영기팀 작성_가입자'!"&amp;X$1&amp;$AD73, TRUE)</f>
        <v>220</v>
      </c>
      <c r="Y73" s="5523" cm="1">
        <f t="array" aca="1" ref="Y73" ca="1">INDIRECT("'※ 영기팀 작성_가입자'!"&amp;Y$1&amp;$AD73, TRUE)</f>
        <v>2.7185114503816794</v>
      </c>
      <c r="Z73" s="4910" cm="1">
        <f t="array" aca="1" ref="Z73" ca="1">INDIRECT("'※ 영기팀 작성_가입자'!"&amp;Z$2&amp;$AC73, TRUE)</f>
        <v>7019</v>
      </c>
      <c r="AA73" s="5470" cm="1">
        <f t="array" aca="1" ref="AA73" ca="1">INDIRECT("'※ 영기팀 작성_가입자'!"&amp;AA$1&amp;$AC73, TRUE)</f>
        <v>1589.1175735355387</v>
      </c>
      <c r="AB73" s="5458" cm="1">
        <f t="array" aca="1" ref="AB73" ca="1">INDIRECT("'※ 영기팀 작성_가입자'!"&amp;AB$1&amp;$AC73, TRUE)</f>
        <v>45</v>
      </c>
      <c r="AC73" s="5364">
        <f>ROW('※ 영기팀 작성_가입자'!AH222)</f>
        <v>222</v>
      </c>
      <c r="AD73" s="5360">
        <f>ROW('※ 영기팀 작성_가입자'!AI501)</f>
        <v>501</v>
      </c>
    </row>
    <row r="74" spans="1:34" ht="18" customHeight="1" x14ac:dyDescent="0.55000000000000004">
      <c r="A74" s="7187"/>
      <c r="B74" s="5527" t="s">
        <v>80</v>
      </c>
      <c r="C74" s="5527"/>
      <c r="D74" s="5558" cm="1">
        <f t="array" aca="1" ref="D74" ca="1">INDIRECT("'※ 영기팀 작성_가입자'!"&amp;D$1&amp;$AC74, TRUE)</f>
        <v>7956</v>
      </c>
      <c r="E74" s="5559" cm="1">
        <f t="array" aca="1" ref="E74" ca="1">INDIRECT("'※ 영기팀 작성_가입자'!"&amp;E$1&amp;$AC74, TRUE)</f>
        <v>9387</v>
      </c>
      <c r="F74" s="5560" cm="1">
        <f t="array" aca="1" ref="F74" ca="1">INDIRECT("'※ 영기팀 작성_가입자'!"&amp;F$1&amp;$AC74, TRUE)</f>
        <v>819</v>
      </c>
      <c r="G74" s="5559" cm="1">
        <f t="array" aca="1" ref="G74" ca="1">INDIRECT("'※ 영기팀 작성_가입자'!"&amp;G$1&amp;$AC74, TRUE)</f>
        <v>1076</v>
      </c>
      <c r="H74" s="5559" cm="1">
        <f t="array" aca="1" ref="H74" ca="1">INDIRECT("'※ 영기팀 작성_가입자'!"&amp;H$1&amp;$AC74, TRUE)</f>
        <v>918</v>
      </c>
      <c r="I74" s="5559" cm="1">
        <f t="array" aca="1" ref="I74" ca="1">INDIRECT("'※ 영기팀 작성_가입자'!"&amp;I$1&amp;$AC74, TRUE)</f>
        <v>947</v>
      </c>
      <c r="J74" s="5559" cm="1">
        <f t="array" aca="1" ref="J74" ca="1">INDIRECT("'※ 영기팀 작성_가입자'!"&amp;J$1&amp;$AC74, TRUE)</f>
        <v>1425</v>
      </c>
      <c r="K74" s="5559" cm="1">
        <f t="array" aca="1" ref="K74" ca="1">INDIRECT("'※ 영기팀 작성_가입자'!"&amp;K$1&amp;$AC74, TRUE)</f>
        <v>1091</v>
      </c>
      <c r="L74" s="5559" cm="1">
        <f t="array" aca="1" ref="L74" ca="1">INDIRECT("'※ 영기팀 작성_가입자'!"&amp;L$1&amp;$AC74, TRUE)</f>
        <v>1108</v>
      </c>
      <c r="M74" s="5559" cm="1">
        <f t="array" aca="1" ref="M74" ca="1">INDIRECT("'※ 영기팀 작성_가입자'!"&amp;M$1&amp;$AC74, TRUE)</f>
        <v>723</v>
      </c>
      <c r="N74" s="5559" cm="1">
        <f t="array" aca="1" ref="N74" ca="1">INDIRECT("'※ 영기팀 작성_가입자'!"&amp;N$1&amp;$AC74, TRUE)</f>
        <v>843</v>
      </c>
      <c r="O74" s="5559" cm="1">
        <f t="array" aca="1" ref="O74" ca="1">INDIRECT("'※ 영기팀 작성_가입자'!"&amp;O$1&amp;$AC74, TRUE)</f>
        <v>719</v>
      </c>
      <c r="P74" s="5559" cm="1">
        <f t="array" aca="1" ref="P74" ca="1">INDIRECT("'※ 영기팀 작성_가입자'!"&amp;P$1&amp;$AC74, TRUE)</f>
        <v>765</v>
      </c>
      <c r="Q74" s="5559" cm="1">
        <f t="array" aca="1" ref="Q74" ca="1">INDIRECT("'※ 영기팀 작성_가입자'!"&amp;Q$1&amp;$AC74, TRUE)</f>
        <v>714</v>
      </c>
      <c r="R74" s="5531" cm="1">
        <f t="array" aca="1" ref="R74" ca="1">INDIRECT("'※ 영기팀 작성_가입자'!"&amp;R$1&amp;$AD74, TRUE)</f>
        <v>869</v>
      </c>
      <c r="S74" s="5531" cm="1">
        <f t="array" aca="1" ref="S74" ca="1">INDIRECT("'※ 영기팀 작성_가입자'!"&amp;S$1&amp;$AD74, TRUE)</f>
        <v>-155</v>
      </c>
      <c r="T74" s="5532" cm="1">
        <f t="array" aca="1" ref="T74" ca="1">INDIRECT("'※ 영기팀 작성_가입자'!"&amp;T$1&amp;$AD74, TRUE)</f>
        <v>0.86957878315132608</v>
      </c>
      <c r="U74" s="5533" cm="1">
        <f t="array" aca="1" ref="U74" ca="1">INDIRECT("'※ 영기팀 작성_가입자'!"&amp;U$2&amp;$AC74,TRUE)</f>
        <v>-51</v>
      </c>
      <c r="V74" s="5534" cm="1">
        <f t="array" aca="1" ref="V74" ca="1">INDIRECT("'※ 영기팀 작성_가입자'!"&amp;V$2&amp;$AC74,TRUE)</f>
        <v>-143</v>
      </c>
      <c r="W74" s="5561" cm="1">
        <f t="array" aca="1" ref="W74" ca="1">INDIRECT("'※ 영기팀 작성_가입자'!"&amp;W$1&amp;$AC74, TRUE)</f>
        <v>11148</v>
      </c>
      <c r="X74" s="5531" cm="1">
        <f t="array" aca="1" ref="X74" ca="1">INDIRECT("'※ 영기팀 작성_가입자'!"&amp;X$1&amp;$AD74, TRUE)</f>
        <v>-155</v>
      </c>
      <c r="Y74" s="5532" cm="1">
        <f t="array" aca="1" ref="Y74" ca="1">INDIRECT("'※ 영기팀 작성_가입자'!"&amp;Y$1&amp;$AD74, TRUE)</f>
        <v>1.4812889812889813</v>
      </c>
      <c r="Z74" s="5536" cm="1">
        <f t="array" aca="1" ref="Z74" ca="1">INDIRECT("'※ 영기팀 작성_가입자'!"&amp;Z$2&amp;$AC74, TRUE)</f>
        <v>1761</v>
      </c>
      <c r="AA74" s="5562" cm="1">
        <f t="array" aca="1" ref="AA74" ca="1">INDIRECT("'※ 영기팀 작성_가입자'!"&amp;AA$1&amp;$AC74, TRUE)</f>
        <v>928.92258978418465</v>
      </c>
      <c r="AB74" s="5538" cm="1">
        <f t="array" aca="1" ref="AB74" ca="1">INDIRECT("'※ 영기팀 작성_가입자'!"&amp;AB$1&amp;$AC74, TRUE)</f>
        <v>-143</v>
      </c>
      <c r="AC74" s="5364">
        <f>ROW('※ 영기팀 작성_가입자'!AH223)</f>
        <v>223</v>
      </c>
      <c r="AD74" s="5360">
        <f>ROW('※ 영기팀 작성_가입자'!AI502)</f>
        <v>502</v>
      </c>
    </row>
    <row r="75" spans="1:34" ht="18" customHeight="1" x14ac:dyDescent="0.55000000000000004">
      <c r="A75" s="7187"/>
      <c r="B75" s="2639" t="s">
        <v>487</v>
      </c>
      <c r="C75" s="2648"/>
      <c r="D75" s="3646" cm="1">
        <f t="array" aca="1" ref="D75" ca="1">INDIRECT("'※ 영기팀 작성_가입자'!"&amp;D$1&amp;$AC75, TRUE)</f>
        <v>5365</v>
      </c>
      <c r="E75" s="3647" cm="1">
        <f t="array" aca="1" ref="E75" ca="1">INDIRECT("'※ 영기팀 작성_가입자'!"&amp;E$1&amp;$AC75, TRUE)</f>
        <v>5980</v>
      </c>
      <c r="F75" s="5557" cm="1">
        <f t="array" aca="1" ref="F75" ca="1">INDIRECT("'※ 영기팀 작성_가입자'!"&amp;F$1&amp;$AC75, TRUE)</f>
        <v>393</v>
      </c>
      <c r="G75" s="3647" cm="1">
        <f t="array" aca="1" ref="G75" ca="1">INDIRECT("'※ 영기팀 작성_가입자'!"&amp;G$1&amp;$AC75, TRUE)</f>
        <v>569</v>
      </c>
      <c r="H75" s="3647" cm="1">
        <f t="array" aca="1" ref="H75" ca="1">INDIRECT("'※ 영기팀 작성_가입자'!"&amp;H$1&amp;$AC75, TRUE)</f>
        <v>452</v>
      </c>
      <c r="I75" s="3647" cm="1">
        <f t="array" aca="1" ref="I75" ca="1">INDIRECT("'※ 영기팀 작성_가입자'!"&amp;I$1&amp;$AC75, TRUE)</f>
        <v>465</v>
      </c>
      <c r="J75" s="3647" cm="1">
        <f t="array" aca="1" ref="J75" ca="1">INDIRECT("'※ 영기팀 작성_가입자'!"&amp;J$1&amp;$AC75, TRUE)</f>
        <v>984</v>
      </c>
      <c r="K75" s="3647" cm="1">
        <f t="array" aca="1" ref="K75" ca="1">INDIRECT("'※ 영기팀 작성_가입자'!"&amp;K$1&amp;$AC75, TRUE)</f>
        <v>592</v>
      </c>
      <c r="L75" s="3647" cm="1">
        <f t="array" aca="1" ref="L75" ca="1">INDIRECT("'※ 영기팀 작성_가입자'!"&amp;L$1&amp;$AC75, TRUE)</f>
        <v>802</v>
      </c>
      <c r="M75" s="3647" cm="1">
        <f t="array" aca="1" ref="M75" ca="1">INDIRECT("'※ 영기팀 작성_가입자'!"&amp;M$1&amp;$AC75, TRUE)</f>
        <v>650</v>
      </c>
      <c r="N75" s="3647" cm="1">
        <f t="array" aca="1" ref="N75" ca="1">INDIRECT("'※ 영기팀 작성_가입자'!"&amp;N$1&amp;$AC75, TRUE)</f>
        <v>677</v>
      </c>
      <c r="O75" s="3647" cm="1">
        <f t="array" aca="1" ref="O75" ca="1">INDIRECT("'※ 영기팀 작성_가입자'!"&amp;O$1&amp;$AC75, TRUE)</f>
        <v>590</v>
      </c>
      <c r="P75" s="3647" cm="1">
        <f t="array" aca="1" ref="P75" ca="1">INDIRECT("'※ 영기팀 작성_가입자'!"&amp;P$1&amp;$AC75, TRUE)</f>
        <v>641</v>
      </c>
      <c r="Q75" s="3647" cm="1">
        <f t="array" aca="1" ref="Q75" ca="1">INDIRECT("'※ 영기팀 작성_가입자'!"&amp;Q$1&amp;$AC75, TRUE)</f>
        <v>732</v>
      </c>
      <c r="R75" s="5522" cm="1">
        <f t="array" aca="1" ref="R75" ca="1">INDIRECT("'※ 영기팀 작성_가입자'!"&amp;R$1&amp;$AD75, TRUE)</f>
        <v>820</v>
      </c>
      <c r="S75" s="5522" cm="1">
        <f t="array" aca="1" ref="S75" ca="1">INDIRECT("'※ 영기팀 작성_가입자'!"&amp;S$1&amp;$AD75, TRUE)</f>
        <v>-88</v>
      </c>
      <c r="T75" s="5523" cm="1">
        <f t="array" aca="1" ref="T75" ca="1">INDIRECT("'※ 영기팀 작성_가입자'!"&amp;T$1&amp;$AD75, TRUE)</f>
        <v>0.71835141823719784</v>
      </c>
      <c r="U75" s="5081" cm="1">
        <f t="array" aca="1" ref="U75" ca="1">INDIRECT("'※ 영기팀 작성_가입자'!"&amp;U$2&amp;$AC75,TRUE)</f>
        <v>91</v>
      </c>
      <c r="V75" s="5082" cm="1">
        <f t="array" aca="1" ref="V75" ca="1">INDIRECT("'※ 영기팀 작성_가입자'!"&amp;V$2&amp;$AC75,TRUE)</f>
        <v>319</v>
      </c>
      <c r="W75" s="3649" cm="1">
        <f t="array" aca="1" ref="W75" ca="1">INDIRECT("'※ 영기팀 작성_가입자'!"&amp;W$1&amp;$AC75, TRUE)</f>
        <v>7547</v>
      </c>
      <c r="X75" s="5522" cm="1">
        <f t="array" aca="1" ref="X75" ca="1">INDIRECT("'※ 영기팀 작성_가입자'!"&amp;X$1&amp;$AD75, TRUE)</f>
        <v>-88</v>
      </c>
      <c r="Y75" s="5523" cm="1">
        <f t="array" aca="1" ref="Y75" ca="1">INDIRECT("'※ 영기팀 작성_가입자'!"&amp;Y$1&amp;$AD75, TRUE)</f>
        <v>1.455621301775148</v>
      </c>
      <c r="Z75" s="4910" cm="1">
        <f t="array" aca="1" ref="Z75" ca="1">INDIRECT("'※ 영기팀 작성_가입자'!"&amp;Z$2&amp;$AC75, TRUE)</f>
        <v>1567</v>
      </c>
      <c r="AA75" s="5470" cm="1">
        <f t="array" aca="1" ref="AA75" ca="1">INDIRECT("'※ 영기팀 작성_가입자'!"&amp;AA$1&amp;$AC75, TRUE)</f>
        <v>628.86426131155736</v>
      </c>
      <c r="AB75" s="5458" cm="1">
        <f t="array" aca="1" ref="AB75" ca="1">INDIRECT("'※ 영기팀 작성_가입자'!"&amp;AB$1&amp;$AC75, TRUE)</f>
        <v>319</v>
      </c>
      <c r="AC75" s="5364">
        <f>ROW('※ 영기팀 작성_가입자'!AH224)</f>
        <v>224</v>
      </c>
      <c r="AD75" s="5360">
        <f>ROW('※ 영기팀 작성_가입자'!AI503)</f>
        <v>503</v>
      </c>
    </row>
    <row r="76" spans="1:34" ht="18" customHeight="1" x14ac:dyDescent="0.55000000000000004">
      <c r="A76" s="7187"/>
      <c r="B76" s="2648" t="s">
        <v>496</v>
      </c>
      <c r="C76" s="2648"/>
      <c r="D76" s="3646" cm="1">
        <f t="array" aca="1" ref="D76" ca="1">INDIRECT("'※ 영기팀 작성_가입자'!"&amp;D$1&amp;$AC76, TRUE)</f>
        <v>1731</v>
      </c>
      <c r="E76" s="3647" cm="1">
        <f t="array" aca="1" ref="E76" ca="1">INDIRECT("'※ 영기팀 작성_가입자'!"&amp;E$1&amp;$AC76, TRUE)</f>
        <v>2294</v>
      </c>
      <c r="F76" s="5557" cm="1">
        <f t="array" aca="1" ref="F76" ca="1">INDIRECT("'※ 영기팀 작성_가입자'!"&amp;F$1&amp;$AC76, TRUE)</f>
        <v>188</v>
      </c>
      <c r="G76" s="3647" cm="1">
        <f t="array" aca="1" ref="G76" ca="1">INDIRECT("'※ 영기팀 작성_가입자'!"&amp;G$1&amp;$AC76, TRUE)</f>
        <v>196</v>
      </c>
      <c r="H76" s="3647" cm="1">
        <f t="array" aca="1" ref="H76" ca="1">INDIRECT("'※ 영기팀 작성_가입자'!"&amp;H$1&amp;$AC76, TRUE)</f>
        <v>175</v>
      </c>
      <c r="I76" s="3647" cm="1">
        <f t="array" aca="1" ref="I76" ca="1">INDIRECT("'※ 영기팀 작성_가입자'!"&amp;I$1&amp;$AC76, TRUE)</f>
        <v>182</v>
      </c>
      <c r="J76" s="3647" cm="1">
        <f t="array" aca="1" ref="J76" ca="1">INDIRECT("'※ 영기팀 작성_가입자'!"&amp;J$1&amp;$AC76, TRUE)</f>
        <v>386</v>
      </c>
      <c r="K76" s="3647" cm="1">
        <f t="array" aca="1" ref="K76" ca="1">INDIRECT("'※ 영기팀 작성_가입자'!"&amp;K$1&amp;$AC76, TRUE)</f>
        <v>209</v>
      </c>
      <c r="L76" s="3647" cm="1">
        <f t="array" aca="1" ref="L76" ca="1">INDIRECT("'※ 영기팀 작성_가입자'!"&amp;L$1&amp;$AC76, TRUE)</f>
        <v>0</v>
      </c>
      <c r="M76" s="3647" cm="1">
        <f t="array" aca="1" ref="M76" ca="1">INDIRECT("'※ 영기팀 작성_가입자'!"&amp;M$1&amp;$AC76, TRUE)</f>
        <v>0</v>
      </c>
      <c r="N76" s="3647" cm="1">
        <f t="array" aca="1" ref="N76" ca="1">INDIRECT("'※ 영기팀 작성_가입자'!"&amp;N$1&amp;$AC76, TRUE)</f>
        <v>0</v>
      </c>
      <c r="O76" s="3647" cm="1">
        <f t="array" aca="1" ref="O76" ca="1">INDIRECT("'※ 영기팀 작성_가입자'!"&amp;O$1&amp;$AC76, TRUE)</f>
        <v>0</v>
      </c>
      <c r="P76" s="3647" cm="1">
        <f t="array" aca="1" ref="P76" ca="1">INDIRECT("'※ 영기팀 작성_가입자'!"&amp;P$1&amp;$AC76, TRUE)</f>
        <v>0</v>
      </c>
      <c r="Q76" s="3647" cm="1">
        <f t="array" aca="1" ref="Q76" ca="1">INDIRECT("'※ 영기팀 작성_가입자'!"&amp;Q$1&amp;$AC76, TRUE)</f>
        <v>0</v>
      </c>
      <c r="R76" s="5522" cm="1">
        <f t="array" aca="1" ref="R76" ca="1">INDIRECT("'※ 영기팀 작성_가입자'!"&amp;R$1&amp;$AD76, TRUE)</f>
        <v>0</v>
      </c>
      <c r="S76" s="5522" cm="1">
        <f t="array" aca="1" ref="S76" ca="1">INDIRECT("'※ 영기팀 작성_가입자'!"&amp;S$1&amp;$AD76, TRUE)</f>
        <v>0</v>
      </c>
      <c r="T76" s="5523" cm="1">
        <f t="array" aca="1" ref="T76" ca="1">INDIRECT("'※ 영기팀 작성_가입자'!"&amp;T$1&amp;$AD76, TRUE)</f>
        <v>0.85041374920432844</v>
      </c>
      <c r="U76" s="5081" cm="1">
        <f t="array" aca="1" ref="U76" ca="1">INDIRECT("'※ 영기팀 작성_가입자'!"&amp;U$2&amp;$AC76,TRUE)</f>
        <v>0</v>
      </c>
      <c r="V76" s="5082" cm="1">
        <f t="array" aca="1" ref="V76" ca="1">INDIRECT("'※ 영기팀 작성_가입자'!"&amp;V$2&amp;$AC76,TRUE)</f>
        <v>-130</v>
      </c>
      <c r="W76" s="3649" cm="1">
        <f t="array" aca="1" ref="W76" ca="1">INDIRECT("'※ 영기팀 작성_가입자'!"&amp;W$1&amp;$AC76, TRUE)</f>
        <v>1336</v>
      </c>
      <c r="X76" s="5522" cm="1">
        <f t="array" aca="1" ref="X76" ca="1">INDIRECT("'※ 영기팀 작성_가입자'!"&amp;X$1&amp;$AD76, TRUE)</f>
        <v>0</v>
      </c>
      <c r="Y76" s="5523" cm="1">
        <f t="array" aca="1" ref="Y76" ca="1">INDIRECT("'※ 영기팀 작성_가입자'!"&amp;Y$1&amp;$AD76, TRUE)</f>
        <v>1.6782608695652175</v>
      </c>
      <c r="Z76" s="4910" cm="1">
        <f t="array" aca="1" ref="Z76" ca="1">INDIRECT("'※ 영기팀 작성_가입자'!"&amp;Z$2&amp;$AC76, TRUE)</f>
        <v>-958</v>
      </c>
      <c r="AA76" s="5470" cm="1">
        <f t="array" aca="1" ref="AA76" ca="1">INDIRECT("'※ 영기팀 작성_가입자'!"&amp;AA$1&amp;$AC76, TRUE)</f>
        <v>111.32405632863929</v>
      </c>
      <c r="AB76" s="5458" cm="1">
        <f t="array" aca="1" ref="AB76" ca="1">INDIRECT("'※ 영기팀 작성_가입자'!"&amp;AB$1&amp;$AC76, TRUE)</f>
        <v>-130</v>
      </c>
      <c r="AC76" s="5364">
        <f>ROW('※ 영기팀 작성_가입자'!AH225)</f>
        <v>225</v>
      </c>
      <c r="AD76" s="5360">
        <f>ROW('※ 영기팀 작성_가입자'!AI504)</f>
        <v>504</v>
      </c>
    </row>
    <row r="77" spans="1:34" ht="18" customHeight="1" x14ac:dyDescent="0.55000000000000004">
      <c r="A77" s="7187"/>
      <c r="B77" s="2639" t="s">
        <v>489</v>
      </c>
      <c r="C77" s="2648"/>
      <c r="D77" s="3646" cm="1">
        <f t="array" aca="1" ref="D77" ca="1">INDIRECT("'※ 영기팀 작성_가입자'!"&amp;D$1&amp;$AC77, TRUE)</f>
        <v>4313</v>
      </c>
      <c r="E77" s="3647" cm="1">
        <f t="array" aca="1" ref="E77" ca="1">INDIRECT("'※ 영기팀 작성_가입자'!"&amp;E$1&amp;$AC77, TRUE)</f>
        <v>6451</v>
      </c>
      <c r="F77" s="5557" cm="1">
        <f t="array" aca="1" ref="F77" ca="1">INDIRECT("'※ 영기팀 작성_가입자'!"&amp;F$1&amp;$AC77, TRUE)</f>
        <v>532</v>
      </c>
      <c r="G77" s="3647" cm="1">
        <f t="array" aca="1" ref="G77" ca="1">INDIRECT("'※ 영기팀 작성_가입자'!"&amp;G$1&amp;$AC77, TRUE)</f>
        <v>602</v>
      </c>
      <c r="H77" s="3647" cm="1">
        <f t="array" aca="1" ref="H77" ca="1">INDIRECT("'※ 영기팀 작성_가입자'!"&amp;H$1&amp;$AC77, TRUE)</f>
        <v>489</v>
      </c>
      <c r="I77" s="3647" cm="1">
        <f t="array" aca="1" ref="I77" ca="1">INDIRECT("'※ 영기팀 작성_가입자'!"&amp;I$1&amp;$AC77, TRUE)</f>
        <v>457</v>
      </c>
      <c r="J77" s="3647" cm="1">
        <f t="array" aca="1" ref="J77" ca="1">INDIRECT("'※ 영기팀 작성_가입자'!"&amp;J$1&amp;$AC77, TRUE)</f>
        <v>1037</v>
      </c>
      <c r="K77" s="3647" cm="1">
        <f t="array" aca="1" ref="K77" ca="1">INDIRECT("'※ 영기팀 작성_가입자'!"&amp;K$1&amp;$AC77, TRUE)</f>
        <v>653</v>
      </c>
      <c r="L77" s="3647" cm="1">
        <f t="array" aca="1" ref="L77" ca="1">INDIRECT("'※ 영기팀 작성_가입자'!"&amp;L$1&amp;$AC77, TRUE)</f>
        <v>617</v>
      </c>
      <c r="M77" s="3647" cm="1">
        <f t="array" aca="1" ref="M77" ca="1">INDIRECT("'※ 영기팀 작성_가입자'!"&amp;M$1&amp;$AC77, TRUE)</f>
        <v>607</v>
      </c>
      <c r="N77" s="3647" cm="1">
        <f t="array" aca="1" ref="N77" ca="1">INDIRECT("'※ 영기팀 작성_가입자'!"&amp;N$1&amp;$AC77, TRUE)</f>
        <v>607</v>
      </c>
      <c r="O77" s="3647" cm="1">
        <f t="array" aca="1" ref="O77" ca="1">INDIRECT("'※ 영기팀 작성_가입자'!"&amp;O$1&amp;$AC77, TRUE)</f>
        <v>556</v>
      </c>
      <c r="P77" s="3647" cm="1">
        <f t="array" aca="1" ref="P77" ca="1">INDIRECT("'※ 영기팀 작성_가입자'!"&amp;P$1&amp;$AC77, TRUE)</f>
        <v>521</v>
      </c>
      <c r="Q77" s="3647" cm="1">
        <f t="array" aca="1" ref="Q77" ca="1">INDIRECT("'※ 영기팀 작성_가입자'!"&amp;Q$1&amp;$AC77, TRUE)</f>
        <v>574</v>
      </c>
      <c r="R77" s="5522" cm="1">
        <f t="array" aca="1" ref="R77" ca="1">INDIRECT("'※ 영기팀 작성_가입자'!"&amp;R$1&amp;$AD77, TRUE)</f>
        <v>598</v>
      </c>
      <c r="S77" s="5522" cm="1">
        <f t="array" aca="1" ref="S77" ca="1">INDIRECT("'※ 영기팀 작성_가입자'!"&amp;S$1&amp;$AD77, TRUE)</f>
        <v>-24</v>
      </c>
      <c r="T77" s="5523" cm="1">
        <f t="array" aca="1" ref="T77" ca="1">INDIRECT("'※ 영기팀 작성_가입자'!"&amp;T$1&amp;$AD77, TRUE)</f>
        <v>0.82390365825948653</v>
      </c>
      <c r="U77" s="5081" cm="1">
        <f t="array" aca="1" ref="U77" ca="1">INDIRECT("'※ 영기팀 작성_가입자'!"&amp;U$2&amp;$AC77,TRUE)</f>
        <v>53</v>
      </c>
      <c r="V77" s="5082" cm="1">
        <f t="array" aca="1" ref="V77" ca="1">INDIRECT("'※ 영기팀 작성_가입자'!"&amp;V$2&amp;$AC77,TRUE)</f>
        <v>-13</v>
      </c>
      <c r="W77" s="3649" cm="1">
        <f t="array" aca="1" ref="W77" ca="1">INDIRECT("'※ 영기팀 작성_가입자'!"&amp;W$1&amp;$AC77, TRUE)</f>
        <v>7252</v>
      </c>
      <c r="X77" s="5522" cm="1">
        <f t="array" aca="1" ref="X77" ca="1">INDIRECT("'※ 영기팀 작성_가입자'!"&amp;X$1&amp;$AD77, TRUE)</f>
        <v>-24</v>
      </c>
      <c r="Y77" s="5523" cm="1">
        <f t="array" aca="1" ref="Y77" ca="1">INDIRECT("'※ 영기팀 작성_가입자'!"&amp;Y$1&amp;$AD77, TRUE)</f>
        <v>1.5712121212121213</v>
      </c>
      <c r="Z77" s="4910" cm="1">
        <f t="array" aca="1" ref="Z77" ca="1">INDIRECT("'※ 영기팀 작성_가입자'!"&amp;Z$2&amp;$AC77, TRUE)</f>
        <v>801</v>
      </c>
      <c r="AA77" s="5470" cm="1">
        <f t="array" aca="1" ref="AA77" ca="1">INDIRECT("'※ 영기팀 작성_가입자'!"&amp;AA$1&amp;$AC77, TRUE)</f>
        <v>604.28297641863185</v>
      </c>
      <c r="AB77" s="5458" cm="1">
        <f t="array" aca="1" ref="AB77" ca="1">INDIRECT("'※ 영기팀 작성_가입자'!"&amp;AB$1&amp;$AC77, TRUE)</f>
        <v>-13</v>
      </c>
      <c r="AC77" s="5364">
        <f>ROW('※ 영기팀 작성_가입자'!AH226)</f>
        <v>226</v>
      </c>
      <c r="AD77" s="5360">
        <f>ROW('※ 영기팀 작성_가입자'!AI505)</f>
        <v>505</v>
      </c>
    </row>
    <row r="78" spans="1:34" ht="18" customHeight="1" x14ac:dyDescent="0.55000000000000004">
      <c r="A78" s="7187"/>
      <c r="B78" s="2639" t="s">
        <v>490</v>
      </c>
      <c r="C78" s="5539"/>
      <c r="D78" s="3646" cm="1">
        <f t="array" aca="1" ref="D78" ca="1">INDIRECT("'※ 영기팀 작성_가입자'!"&amp;D$1&amp;$AC78, TRUE)</f>
        <v>4301</v>
      </c>
      <c r="E78" s="3647" cm="1">
        <f t="array" aca="1" ref="E78" ca="1">INDIRECT("'※ 영기팀 작성_가입자'!"&amp;E$1&amp;$AC78, TRUE)</f>
        <v>6027</v>
      </c>
      <c r="F78" s="5557" cm="1">
        <f t="array" aca="1" ref="F78" ca="1">INDIRECT("'※ 영기팀 작성_가입자'!"&amp;F$1&amp;$AC78, TRUE)</f>
        <v>483</v>
      </c>
      <c r="G78" s="3647" cm="1">
        <f t="array" aca="1" ref="G78" ca="1">INDIRECT("'※ 영기팀 작성_가입자'!"&amp;G$1&amp;$AC78, TRUE)</f>
        <v>698</v>
      </c>
      <c r="H78" s="3647" cm="1">
        <f t="array" aca="1" ref="H78" ca="1">INDIRECT("'※ 영기팀 작성_가입자'!"&amp;H$1&amp;$AC78, TRUE)</f>
        <v>681</v>
      </c>
      <c r="I78" s="3647" cm="1">
        <f t="array" aca="1" ref="I78" ca="1">INDIRECT("'※ 영기팀 작성_가입자'!"&amp;I$1&amp;$AC78, TRUE)</f>
        <v>572</v>
      </c>
      <c r="J78" s="3647" cm="1">
        <f t="array" aca="1" ref="J78" ca="1">INDIRECT("'※ 영기팀 작성_가입자'!"&amp;J$1&amp;$AC78, TRUE)</f>
        <v>1071</v>
      </c>
      <c r="K78" s="3647" cm="1">
        <f t="array" aca="1" ref="K78" ca="1">INDIRECT("'※ 영기팀 작성_가입자'!"&amp;K$1&amp;$AC78, TRUE)</f>
        <v>840</v>
      </c>
      <c r="L78" s="3647" cm="1">
        <f t="array" aca="1" ref="L78" ca="1">INDIRECT("'※ 영기팀 작성_가입자'!"&amp;L$1&amp;$AC78, TRUE)</f>
        <v>753</v>
      </c>
      <c r="M78" s="3647" cm="1">
        <f t="array" aca="1" ref="M78" ca="1">INDIRECT("'※ 영기팀 작성_가입자'!"&amp;M$1&amp;$AC78, TRUE)</f>
        <v>568</v>
      </c>
      <c r="N78" s="3647" cm="1">
        <f t="array" aca="1" ref="N78" ca="1">INDIRECT("'※ 영기팀 작성_가입자'!"&amp;N$1&amp;$AC78, TRUE)</f>
        <v>645</v>
      </c>
      <c r="O78" s="3647" cm="1">
        <f t="array" aca="1" ref="O78" ca="1">INDIRECT("'※ 영기팀 작성_가입자'!"&amp;O$1&amp;$AC78, TRUE)</f>
        <v>585</v>
      </c>
      <c r="P78" s="3647" cm="1">
        <f t="array" aca="1" ref="P78" ca="1">INDIRECT("'※ 영기팀 작성_가입자'!"&amp;P$1&amp;$AC78, TRUE)</f>
        <v>495</v>
      </c>
      <c r="Q78" s="3647" cm="1">
        <f t="array" aca="1" ref="Q78" ca="1">INDIRECT("'※ 영기팀 작성_가입자'!"&amp;Q$1&amp;$AC78, TRUE)</f>
        <v>506</v>
      </c>
      <c r="R78" s="5522" cm="1">
        <f t="array" aca="1" ref="R78" ca="1">INDIRECT("'※ 영기팀 작성_가입자'!"&amp;R$1&amp;$AD78, TRUE)</f>
        <v>565</v>
      </c>
      <c r="S78" s="5522" cm="1">
        <f t="array" aca="1" ref="S78" ca="1">INDIRECT("'※ 영기팀 작성_가입자'!"&amp;S$1&amp;$AD78, TRUE)</f>
        <v>-59</v>
      </c>
      <c r="T78" s="5523" cm="1">
        <f t="array" aca="1" ref="T78" ca="1">INDIRECT("'※ 영기팀 작성_가입자'!"&amp;T$1&amp;$AD78, TRUE)</f>
        <v>0.94893054554193701</v>
      </c>
      <c r="U78" s="5081" cm="1">
        <f t="array" aca="1" ref="U78" ca="1">INDIRECT("'※ 영기팀 작성_가입자'!"&amp;U$2&amp;$AC78,TRUE)</f>
        <v>11</v>
      </c>
      <c r="V78" s="5082" cm="1">
        <f t="array" aca="1" ref="V78" ca="1">INDIRECT("'※ 영기팀 작성_가입자'!"&amp;V$2&amp;$AC78,TRUE)</f>
        <v>-48</v>
      </c>
      <c r="W78" s="3649" cm="1">
        <f t="array" aca="1" ref="W78" ca="1">INDIRECT("'※ 영기팀 작성_가입자'!"&amp;W$1&amp;$AC78, TRUE)</f>
        <v>7897</v>
      </c>
      <c r="X78" s="5522" cm="1">
        <f t="array" aca="1" ref="X78" ca="1">INDIRECT("'※ 영기팀 작성_가입자'!"&amp;X$1&amp;$AD78, TRUE)</f>
        <v>-59</v>
      </c>
      <c r="Y78" s="5523" cm="1">
        <f t="array" aca="1" ref="Y78" ca="1">INDIRECT("'※ 영기팀 작성_가입자'!"&amp;Y$1&amp;$AD78, TRUE)</f>
        <v>1.7163461538461537</v>
      </c>
      <c r="Z78" s="4910" cm="1">
        <f t="array" aca="1" ref="Z78" ca="1">INDIRECT("'※ 영기팀 작성_가입자'!"&amp;Z$2&amp;$AC78, TRUE)</f>
        <v>1870</v>
      </c>
      <c r="AA78" s="5470" cm="1">
        <f t="array" aca="1" ref="AA78" ca="1">INDIRECT("'※ 영기팀 작성_가입자'!"&amp;AA$1&amp;$AC78, TRUE)</f>
        <v>658.02849762519793</v>
      </c>
      <c r="AB78" s="5458" cm="1">
        <f t="array" aca="1" ref="AB78" ca="1">INDIRECT("'※ 영기팀 작성_가입자'!"&amp;AB$1&amp;$AC78, TRUE)</f>
        <v>-48</v>
      </c>
      <c r="AC78" s="5364">
        <f>ROW('※ 영기팀 작성_가입자'!AH227)</f>
        <v>227</v>
      </c>
      <c r="AD78" s="5360">
        <f>ROW('※ 영기팀 작성_가입자'!AI506)</f>
        <v>506</v>
      </c>
      <c r="AG78" s="2426"/>
      <c r="AH78" s="2426"/>
    </row>
    <row r="79" spans="1:34" ht="18" customHeight="1" x14ac:dyDescent="0.55000000000000004">
      <c r="A79" s="7187"/>
      <c r="B79" s="2639" t="s">
        <v>492</v>
      </c>
      <c r="C79" s="5539"/>
      <c r="D79" s="3646" cm="1">
        <f t="array" aca="1" ref="D79" ca="1">INDIRECT("'※ 영기팀 작성_가입자'!"&amp;D$1&amp;$AC79, TRUE)</f>
        <v>5174</v>
      </c>
      <c r="E79" s="3647" cm="1">
        <f t="array" aca="1" ref="E79" ca="1">INDIRECT("'※ 영기팀 작성_가입자'!"&amp;E$1&amp;$AC79, TRUE)</f>
        <v>8170</v>
      </c>
      <c r="F79" s="5557" cm="1">
        <f t="array" aca="1" ref="F79" ca="1">INDIRECT("'※ 영기팀 작성_가입자'!"&amp;F$1&amp;$AC79, TRUE)</f>
        <v>734</v>
      </c>
      <c r="G79" s="3647" cm="1">
        <f t="array" aca="1" ref="G79" ca="1">INDIRECT("'※ 영기팀 작성_가입자'!"&amp;G$1&amp;$AC79, TRUE)</f>
        <v>893</v>
      </c>
      <c r="H79" s="3647" cm="1">
        <f t="array" aca="1" ref="H79" ca="1">INDIRECT("'※ 영기팀 작성_가입자'!"&amp;H$1&amp;$AC79, TRUE)</f>
        <v>804</v>
      </c>
      <c r="I79" s="3647" cm="1">
        <f t="array" aca="1" ref="I79" ca="1">INDIRECT("'※ 영기팀 작성_가입자'!"&amp;I$1&amp;$AC79, TRUE)</f>
        <v>1040</v>
      </c>
      <c r="J79" s="3647" cm="1">
        <f t="array" aca="1" ref="J79" ca="1">INDIRECT("'※ 영기팀 작성_가입자'!"&amp;J$1&amp;$AC79, TRUE)</f>
        <v>2071</v>
      </c>
      <c r="K79" s="3647" cm="1">
        <f t="array" aca="1" ref="K79" ca="1">INDIRECT("'※ 영기팀 작성_가입자'!"&amp;K$1&amp;$AC79, TRUE)</f>
        <v>2101</v>
      </c>
      <c r="L79" s="3647" cm="1">
        <f t="array" aca="1" ref="L79" ca="1">INDIRECT("'※ 영기팀 작성_가입자'!"&amp;L$1&amp;$AC79, TRUE)</f>
        <v>1635</v>
      </c>
      <c r="M79" s="3647" cm="1">
        <f t="array" aca="1" ref="M79" ca="1">INDIRECT("'※ 영기팀 작성_가입자'!"&amp;M$1&amp;$AC79, TRUE)</f>
        <v>1111</v>
      </c>
      <c r="N79" s="3647" cm="1">
        <f t="array" aca="1" ref="N79" ca="1">INDIRECT("'※ 영기팀 작성_가입자'!"&amp;N$1&amp;$AC79, TRUE)</f>
        <v>915</v>
      </c>
      <c r="O79" s="3647" cm="1">
        <f t="array" aca="1" ref="O79" ca="1">INDIRECT("'※ 영기팀 작성_가입자'!"&amp;O$1&amp;$AC79, TRUE)</f>
        <v>970</v>
      </c>
      <c r="P79" s="3647" cm="1">
        <f t="array" aca="1" ref="P79" ca="1">INDIRECT("'※ 영기팀 작성_가입자'!"&amp;P$1&amp;$AC79, TRUE)</f>
        <v>858</v>
      </c>
      <c r="Q79" s="3647" cm="1">
        <f t="array" aca="1" ref="Q79" ca="1">INDIRECT("'※ 영기팀 작성_가입자'!"&amp;Q$1&amp;$AC79, TRUE)</f>
        <v>768</v>
      </c>
      <c r="R79" s="5522" cm="1">
        <f t="array" aca="1" ref="R79" ca="1">INDIRECT("'※ 영기팀 작성_가입자'!"&amp;R$1&amp;$AD79, TRUE)</f>
        <v>588</v>
      </c>
      <c r="S79" s="5522" cm="1">
        <f t="array" aca="1" ref="S79" ca="1">INDIRECT("'※ 영기팀 작성_가입자'!"&amp;S$1&amp;$AD79, TRUE)</f>
        <v>180</v>
      </c>
      <c r="T79" s="5523" cm="1">
        <f t="array" aca="1" ref="T79" ca="1">INDIRECT("'※ 영기팀 작성_가입자'!"&amp;T$1&amp;$AD79, TRUE)</f>
        <v>1.6024902005994928</v>
      </c>
      <c r="U79" s="5081" cm="1">
        <f t="array" aca="1" ref="U79" ca="1">INDIRECT("'※ 영기팀 작성_가입자'!"&amp;U$2&amp;$AC79,TRUE)</f>
        <v>-90</v>
      </c>
      <c r="V79" s="5082" cm="1">
        <f t="array" aca="1" ref="V79" ca="1">INDIRECT("'※ 영기팀 작성_가입자'!"&amp;V$2&amp;$AC79,TRUE)</f>
        <v>-63</v>
      </c>
      <c r="W79" s="3649" cm="1">
        <f t="array" aca="1" ref="W79" ca="1">INDIRECT("'※ 영기팀 작성_가입자'!"&amp;W$1&amp;$AC79, TRUE)</f>
        <v>13900</v>
      </c>
      <c r="X79" s="5522" cm="1">
        <f t="array" aca="1" ref="X79" ca="1">INDIRECT("'※ 영기팀 작성_가입자'!"&amp;X$1&amp;$AD79, TRUE)</f>
        <v>180</v>
      </c>
      <c r="Y79" s="5523" cm="1">
        <f t="array" aca="1" ref="Y79" ca="1">INDIRECT("'※ 영기팀 작성_가입자'!"&amp;Y$1&amp;$AD79, TRUE)</f>
        <v>3.1861538461538461</v>
      </c>
      <c r="Z79" s="4910" cm="1">
        <f t="array" aca="1" ref="Z79" ca="1">INDIRECT("'※ 영기팀 작성_가입자'!"&amp;Z$2&amp;$AC79, TRUE)</f>
        <v>5730</v>
      </c>
      <c r="AA79" s="5470" cm="1">
        <f t="array" aca="1" ref="AA79" ca="1">INDIRECT("'※ 영기팀 작성_가입자'!"&amp;AA$1&amp;$AC79, TRUE)</f>
        <v>1158.2368135988668</v>
      </c>
      <c r="AB79" s="5458" cm="1">
        <f t="array" aca="1" ref="AB79" ca="1">INDIRECT("'※ 영기팀 작성_가입자'!"&amp;AB$1&amp;$AC79, TRUE)</f>
        <v>-63</v>
      </c>
      <c r="AC79" s="5364">
        <f>ROW('※ 영기팀 작성_가입자'!AH228)</f>
        <v>228</v>
      </c>
      <c r="AD79" s="5360">
        <f>ROW('※ 영기팀 작성_가입자'!AI507)</f>
        <v>507</v>
      </c>
    </row>
    <row r="80" spans="1:34" ht="18" customHeight="1" x14ac:dyDescent="0.55000000000000004">
      <c r="A80" s="7187"/>
      <c r="B80" s="2639" t="s">
        <v>493</v>
      </c>
      <c r="C80" s="5539"/>
      <c r="D80" s="3646" cm="1">
        <f t="array" aca="1" ref="D80" ca="1">INDIRECT("'※ 영기팀 작성_가입자'!"&amp;D$1&amp;$AC80, TRUE)</f>
        <v>3059</v>
      </c>
      <c r="E80" s="3647" cm="1">
        <f t="array" aca="1" ref="E80" ca="1">INDIRECT("'※ 영기팀 작성_가입자'!"&amp;E$1&amp;$AC80, TRUE)</f>
        <v>3882</v>
      </c>
      <c r="F80" s="5557" cm="1">
        <f t="array" aca="1" ref="F80" ca="1">INDIRECT("'※ 영기팀 작성_가입자'!"&amp;F$1&amp;$AC80, TRUE)</f>
        <v>316</v>
      </c>
      <c r="G80" s="3647" cm="1">
        <f t="array" aca="1" ref="G80" ca="1">INDIRECT("'※ 영기팀 작성_가입자'!"&amp;G$1&amp;$AC80, TRUE)</f>
        <v>386</v>
      </c>
      <c r="H80" s="3647" cm="1">
        <f t="array" aca="1" ref="H80" ca="1">INDIRECT("'※ 영기팀 작성_가입자'!"&amp;H$1&amp;$AC80, TRUE)</f>
        <v>365</v>
      </c>
      <c r="I80" s="3647" cm="1">
        <f t="array" aca="1" ref="I80" ca="1">INDIRECT("'※ 영기팀 작성_가입자'!"&amp;I$1&amp;$AC80, TRUE)</f>
        <v>353</v>
      </c>
      <c r="J80" s="3647" cm="1">
        <f t="array" aca="1" ref="J80" ca="1">INDIRECT("'※ 영기팀 작성_가입자'!"&amp;J$1&amp;$AC80, TRUE)</f>
        <v>778</v>
      </c>
      <c r="K80" s="3647" cm="1">
        <f t="array" aca="1" ref="K80" ca="1">INDIRECT("'※ 영기팀 작성_가입자'!"&amp;K$1&amp;$AC80, TRUE)</f>
        <v>590</v>
      </c>
      <c r="L80" s="3647" cm="1">
        <f t="array" aca="1" ref="L80" ca="1">INDIRECT("'※ 영기팀 작성_가입자'!"&amp;L$1&amp;$AC80, TRUE)</f>
        <v>497</v>
      </c>
      <c r="M80" s="3647" cm="1">
        <f t="array" aca="1" ref="M80" ca="1">INDIRECT("'※ 영기팀 작성_가입자'!"&amp;M$1&amp;$AC80, TRUE)</f>
        <v>308</v>
      </c>
      <c r="N80" s="3647" cm="1">
        <f t="array" aca="1" ref="N80" ca="1">INDIRECT("'※ 영기팀 작성_가입자'!"&amp;N$1&amp;$AC80, TRUE)</f>
        <v>356</v>
      </c>
      <c r="O80" s="3647" cm="1">
        <f t="array" aca="1" ref="O80" ca="1">INDIRECT("'※ 영기팀 작성_가입자'!"&amp;O$1&amp;$AC80, TRUE)</f>
        <v>388</v>
      </c>
      <c r="P80" s="3647" cm="1">
        <f t="array" aca="1" ref="P80" ca="1">INDIRECT("'※ 영기팀 작성_가입자'!"&amp;P$1&amp;$AC80, TRUE)</f>
        <v>434</v>
      </c>
      <c r="Q80" s="3647" cm="1">
        <f t="array" aca="1" ref="Q80" ca="1">INDIRECT("'※ 영기팀 작성_가입자'!"&amp;Q$1&amp;$AC80, TRUE)</f>
        <v>400</v>
      </c>
      <c r="R80" s="5522" cm="1">
        <f t="array" aca="1" ref="R80" ca="1">INDIRECT("'※ 영기팀 작성_가입자'!"&amp;R$1&amp;$AD80, TRUE)</f>
        <v>360</v>
      </c>
      <c r="S80" s="5522" cm="1">
        <f t="array" aca="1" ref="S80" ca="1">INDIRECT("'※ 영기팀 작성_가입자'!"&amp;S$1&amp;$AD80, TRUE)</f>
        <v>40</v>
      </c>
      <c r="T80" s="5523" cm="1">
        <f t="array" aca="1" ref="T80" ca="1">INDIRECT("'※ 영기팀 작성_가입자'!"&amp;T$1&amp;$AD80, TRUE)</f>
        <v>0.9747408105560792</v>
      </c>
      <c r="U80" s="5081" cm="1">
        <f t="array" aca="1" ref="U80" ca="1">INDIRECT("'※ 영기팀 작성_가입자'!"&amp;U$2&amp;$AC80,TRUE)</f>
        <v>-34</v>
      </c>
      <c r="V80" s="5082" cm="1">
        <f t="array" aca="1" ref="V80" ca="1">INDIRECT("'※ 영기팀 작성_가입자'!"&amp;V$2&amp;$AC80,TRUE)</f>
        <v>108</v>
      </c>
      <c r="W80" s="3649" cm="1">
        <f t="array" aca="1" ref="W80" ca="1">INDIRECT("'※ 영기팀 작성_가입자'!"&amp;W$1&amp;$AC80, TRUE)</f>
        <v>5171</v>
      </c>
      <c r="X80" s="5522" cm="1">
        <f t="array" aca="1" ref="X80" ca="1">INDIRECT("'※ 영기팀 작성_가입자'!"&amp;X$1&amp;$AD80, TRUE)</f>
        <v>40</v>
      </c>
      <c r="Y80" s="5523" cm="1">
        <f t="array" aca="1" ref="Y80" ca="1">INDIRECT("'※ 영기팀 작성_가입자'!"&amp;Y$1&amp;$AD80, TRUE)</f>
        <v>1.9547738693467336</v>
      </c>
      <c r="Z80" s="4910" cm="1">
        <f t="array" aca="1" ref="Z80" ca="1">INDIRECT("'※ 영기팀 작성_가입자'!"&amp;Z$2&amp;$AC80, TRUE)</f>
        <v>1289</v>
      </c>
      <c r="AA80" s="5470" cm="1">
        <f t="array" aca="1" ref="AA80" ca="1">INDIRECT("'※ 영기팀 작성_가입자'!"&amp;AA$1&amp;$AC80, TRUE)</f>
        <v>430.88075993667195</v>
      </c>
      <c r="AB80" s="5458" cm="1">
        <f t="array" aca="1" ref="AB80" ca="1">INDIRECT("'※ 영기팀 작성_가입자'!"&amp;AB$1&amp;$AC80, TRUE)</f>
        <v>108</v>
      </c>
      <c r="AC80" s="5364">
        <f>ROW('※ 영기팀 작성_가입자'!AH229)</f>
        <v>229</v>
      </c>
      <c r="AD80" s="5360">
        <f>ROW('※ 영기팀 작성_가입자'!AI508)</f>
        <v>508</v>
      </c>
    </row>
    <row r="81" spans="1:30" ht="18" customHeight="1" x14ac:dyDescent="0.55000000000000004">
      <c r="A81" s="7187"/>
      <c r="B81" s="2639" t="s">
        <v>494</v>
      </c>
      <c r="C81" s="5539"/>
      <c r="D81" s="3646" cm="1">
        <f t="array" aca="1" ref="D81" ca="1">INDIRECT("'※ 영기팀 작성_가입자'!"&amp;D$1&amp;$AC81, TRUE)</f>
        <v>5311</v>
      </c>
      <c r="E81" s="3647" cm="1">
        <f t="array" aca="1" ref="E81" ca="1">INDIRECT("'※ 영기팀 작성_가입자'!"&amp;E$1&amp;$AC81, TRUE)</f>
        <v>5745</v>
      </c>
      <c r="F81" s="5557" cm="1">
        <f t="array" aca="1" ref="F81" ca="1">INDIRECT("'※ 영기팀 작성_가입자'!"&amp;F$1&amp;$AC81, TRUE)</f>
        <v>475</v>
      </c>
      <c r="G81" s="3647" cm="1">
        <f t="array" aca="1" ref="G81" ca="1">INDIRECT("'※ 영기팀 작성_가입자'!"&amp;G$1&amp;$AC81, TRUE)</f>
        <v>607</v>
      </c>
      <c r="H81" s="3647" cm="1">
        <f t="array" aca="1" ref="H81" ca="1">INDIRECT("'※ 영기팀 작성_가입자'!"&amp;H$1&amp;$AC81, TRUE)</f>
        <v>555</v>
      </c>
      <c r="I81" s="3647" cm="1">
        <f t="array" aca="1" ref="I81" ca="1">INDIRECT("'※ 영기팀 작성_가입자'!"&amp;I$1&amp;$AC81, TRUE)</f>
        <v>535</v>
      </c>
      <c r="J81" s="3647" cm="1">
        <f t="array" aca="1" ref="J81" ca="1">INDIRECT("'※ 영기팀 작성_가입자'!"&amp;J$1&amp;$AC81, TRUE)</f>
        <v>955</v>
      </c>
      <c r="K81" s="3647" cm="1">
        <f t="array" aca="1" ref="K81" ca="1">INDIRECT("'※ 영기팀 작성_가입자'!"&amp;K$1&amp;$AC81, TRUE)</f>
        <v>702</v>
      </c>
      <c r="L81" s="3647" cm="1">
        <f t="array" aca="1" ref="L81" ca="1">INDIRECT("'※ 영기팀 작성_가입자'!"&amp;L$1&amp;$AC81, TRUE)</f>
        <v>708</v>
      </c>
      <c r="M81" s="3647" cm="1">
        <f t="array" aca="1" ref="M81" ca="1">INDIRECT("'※ 영기팀 작성_가입자'!"&amp;M$1&amp;$AC81, TRUE)</f>
        <v>384</v>
      </c>
      <c r="N81" s="3647" cm="1">
        <f t="array" aca="1" ref="N81" ca="1">INDIRECT("'※ 영기팀 작성_가입자'!"&amp;N$1&amp;$AC81, TRUE)</f>
        <v>481</v>
      </c>
      <c r="O81" s="3647" cm="1">
        <f t="array" aca="1" ref="O81" ca="1">INDIRECT("'※ 영기팀 작성_가입자'!"&amp;O$1&amp;$AC81, TRUE)</f>
        <v>427</v>
      </c>
      <c r="P81" s="3647" cm="1">
        <f t="array" aca="1" ref="P81" ca="1">INDIRECT("'※ 영기팀 작성_가입자'!"&amp;P$1&amp;$AC81, TRUE)</f>
        <v>477</v>
      </c>
      <c r="Q81" s="3647" cm="1">
        <f t="array" aca="1" ref="Q81" ca="1">INDIRECT("'※ 영기팀 작성_가입자'!"&amp;Q$1&amp;$AC81, TRUE)</f>
        <v>431</v>
      </c>
      <c r="R81" s="5522" cm="1">
        <f t="array" aca="1" ref="R81" ca="1">INDIRECT("'※ 영기팀 작성_가입자'!"&amp;R$1&amp;$AD81, TRUE)</f>
        <v>556</v>
      </c>
      <c r="S81" s="5522" cm="1">
        <f t="array" aca="1" ref="S81" ca="1">INDIRECT("'※ 영기팀 작성_가입자'!"&amp;S$1&amp;$AD81, TRUE)</f>
        <v>-125</v>
      </c>
      <c r="T81" s="5523" cm="1">
        <f t="array" aca="1" ref="T81" ca="1">INDIRECT("'※ 영기팀 작성_가입자'!"&amp;T$1&amp;$AD81, TRUE)</f>
        <v>0.82359413202933984</v>
      </c>
      <c r="U81" s="5081" cm="1">
        <f t="array" aca="1" ref="U81" ca="1">INDIRECT("'※ 영기팀 작성_가입자'!"&amp;U$2&amp;$AC81,TRUE)</f>
        <v>-46</v>
      </c>
      <c r="V81" s="5082" cm="1">
        <f t="array" aca="1" ref="V81" ca="1">INDIRECT("'※ 영기팀 작성_가입자'!"&amp;V$2&amp;$AC81,TRUE)</f>
        <v>-67</v>
      </c>
      <c r="W81" s="3649" cm="1">
        <f t="array" aca="1" ref="W81" ca="1">INDIRECT("'※ 영기팀 작성_가입자'!"&amp;W$1&amp;$AC81, TRUE)</f>
        <v>6737</v>
      </c>
      <c r="X81" s="5522" cm="1">
        <f t="array" aca="1" ref="X81" ca="1">INDIRECT("'※ 영기팀 작성_가입자'!"&amp;X$1&amp;$AD81, TRUE)</f>
        <v>-125</v>
      </c>
      <c r="Y81" s="5523" cm="1">
        <f t="array" aca="1" ref="Y81" ca="1">INDIRECT("'※ 영기팀 작성_가입자'!"&amp;Y$1&amp;$AD81, TRUE)</f>
        <v>1.5579119086460032</v>
      </c>
      <c r="Z81" s="4910" cm="1">
        <f t="array" aca="1" ref="Z81" ca="1">INDIRECT("'※ 영기팀 작성_가입자'!"&amp;Z$2&amp;$AC81, TRUE)</f>
        <v>992</v>
      </c>
      <c r="AA81" s="5470" cm="1">
        <f t="array" aca="1" ref="AA81" ca="1">INDIRECT("'※ 영기팀 작성_가입자'!"&amp;AA$1&amp;$AC81, TRUE)</f>
        <v>561.36988584284643</v>
      </c>
      <c r="AB81" s="5458" cm="1">
        <f t="array" aca="1" ref="AB81" ca="1">INDIRECT("'※ 영기팀 작성_가입자'!"&amp;AB$1&amp;$AC81, TRUE)</f>
        <v>-67</v>
      </c>
      <c r="AC81" s="5364">
        <f>ROW('※ 영기팀 작성_가입자'!AH230)</f>
        <v>230</v>
      </c>
      <c r="AD81" s="5360">
        <f>ROW('※ 영기팀 작성_가입자'!AI509)</f>
        <v>509</v>
      </c>
    </row>
    <row r="82" spans="1:30" ht="18" customHeight="1" thickBot="1" x14ac:dyDescent="0.6">
      <c r="A82" s="7188"/>
      <c r="B82" s="5544" t="s">
        <v>76</v>
      </c>
      <c r="C82" s="5544"/>
      <c r="D82" s="5563" cm="1">
        <f t="array" aca="1" ref="D82" ca="1">INDIRECT("'※ 영기팀 작성_가입자'!"&amp;D$1&amp;$AC82, TRUE)</f>
        <v>2645</v>
      </c>
      <c r="E82" s="5564" cm="1">
        <f t="array" aca="1" ref="E82" ca="1">INDIRECT("'※ 영기팀 작성_가입자'!"&amp;E$1&amp;$AC82, TRUE)</f>
        <v>3642</v>
      </c>
      <c r="F82" s="5565" cm="1">
        <f t="array" aca="1" ref="F82" ca="1">INDIRECT("'※ 영기팀 작성_가입자'!"&amp;F$1&amp;$AC82, TRUE)</f>
        <v>344</v>
      </c>
      <c r="G82" s="5564" cm="1">
        <f t="array" aca="1" ref="G82" ca="1">INDIRECT("'※ 영기팀 작성_가입자'!"&amp;G$1&amp;$AC82, TRUE)</f>
        <v>469</v>
      </c>
      <c r="H82" s="5564" cm="1">
        <f t="array" aca="1" ref="H82" ca="1">INDIRECT("'※ 영기팀 작성_가입자'!"&amp;H$1&amp;$AC82, TRUE)</f>
        <v>363</v>
      </c>
      <c r="I82" s="5564" cm="1">
        <f t="array" aca="1" ref="I82" ca="1">INDIRECT("'※ 영기팀 작성_가입자'!"&amp;I$1&amp;$AC82, TRUE)</f>
        <v>412</v>
      </c>
      <c r="J82" s="5564" cm="1">
        <f t="array" aca="1" ref="J82" ca="1">INDIRECT("'※ 영기팀 작성_가입자'!"&amp;J$1&amp;$AC82, TRUE)</f>
        <v>470</v>
      </c>
      <c r="K82" s="5564" cm="1">
        <f t="array" aca="1" ref="K82" ca="1">INDIRECT("'※ 영기팀 작성_가입자'!"&amp;K$1&amp;$AC82, TRUE)</f>
        <v>389</v>
      </c>
      <c r="L82" s="5564" cm="1">
        <f t="array" aca="1" ref="L82" ca="1">INDIRECT("'※ 영기팀 작성_가입자'!"&amp;L$1&amp;$AC82, TRUE)</f>
        <v>400</v>
      </c>
      <c r="M82" s="5564" cm="1">
        <f t="array" aca="1" ref="M82" ca="1">INDIRECT("'※ 영기팀 작성_가입자'!"&amp;M$1&amp;$AC82, TRUE)</f>
        <v>339</v>
      </c>
      <c r="N82" s="5564" cm="1">
        <f t="array" aca="1" ref="N82" ca="1">INDIRECT("'※ 영기팀 작성_가입자'!"&amp;N$1&amp;$AC82, TRUE)</f>
        <v>362</v>
      </c>
      <c r="O82" s="5564" cm="1">
        <f t="array" aca="1" ref="O82" ca="1">INDIRECT("'※ 영기팀 작성_가입자'!"&amp;O$1&amp;$AC82, TRUE)</f>
        <v>292</v>
      </c>
      <c r="P82" s="5564" cm="1">
        <f t="array" aca="1" ref="P82" ca="1">INDIRECT("'※ 영기팀 작성_가입자'!"&amp;P$1&amp;$AC82, TRUE)</f>
        <v>288</v>
      </c>
      <c r="Q82" s="5564" cm="1">
        <f t="array" aca="1" ref="Q82" ca="1">INDIRECT("'※ 영기팀 작성_가입자'!"&amp;Q$1&amp;$AC82, TRUE)</f>
        <v>283</v>
      </c>
      <c r="R82" s="5546" cm="1">
        <f t="array" aca="1" ref="R82" ca="1">INDIRECT("'※ 영기팀 작성_가입자'!"&amp;R$1&amp;$AD82, TRUE)</f>
        <v>313</v>
      </c>
      <c r="S82" s="5546" cm="1">
        <f t="array" aca="1" ref="S82" ca="1">INDIRECT("'※ 영기팀 작성_가입자'!"&amp;S$1&amp;$AD82, TRUE)</f>
        <v>-30</v>
      </c>
      <c r="T82" s="5547" cm="1">
        <f t="array" aca="1" ref="T82" ca="1">INDIRECT("'※ 영기팀 작성_가입자'!"&amp;T$1&amp;$AD82, TRUE)</f>
        <v>0.95064655172413792</v>
      </c>
      <c r="U82" s="5548" cm="1">
        <f t="array" aca="1" ref="U82" ca="1">INDIRECT("'※ 영기팀 작성_가입자'!"&amp;U$2&amp;$AC82,TRUE)</f>
        <v>-5</v>
      </c>
      <c r="V82" s="5549" cm="1">
        <f t="array" aca="1" ref="V82" ca="1">INDIRECT("'※ 영기팀 작성_가입자'!"&amp;V$2&amp;$AC82,TRUE)</f>
        <v>-76</v>
      </c>
      <c r="W82" s="5509" cm="1">
        <f t="array" aca="1" ref="W82" ca="1">INDIRECT("'※ 영기팀 작성_가입자'!"&amp;W$1&amp;$AC82, TRUE)</f>
        <v>4411</v>
      </c>
      <c r="X82" s="5546" cm="1">
        <f t="array" aca="1" ref="X82" ca="1">INDIRECT("'※ 영기팀 작성_가입자'!"&amp;X$1&amp;$AD82, TRUE)</f>
        <v>-30</v>
      </c>
      <c r="Y82" s="5547" cm="1">
        <f t="array" aca="1" ref="Y82" ca="1">INDIRECT("'※ 영기팀 작성_가입자'!"&amp;Y$1&amp;$AD82, TRUE)</f>
        <v>1.3467048710601719</v>
      </c>
      <c r="Z82" s="5551" cm="1">
        <f t="array" aca="1" ref="Z82" ca="1">INDIRECT("'※ 영기팀 작성_가입자'!"&amp;Z$2&amp;$AC82, TRUE)</f>
        <v>769</v>
      </c>
      <c r="AA82" s="5511" cm="1">
        <f t="array" aca="1" ref="AA82" ca="1">INDIRECT("'※ 영기팀 작성_가입자'!"&amp;AA$1&amp;$AC82, TRUE)</f>
        <v>367.55270394133822</v>
      </c>
      <c r="AB82" s="5512" cm="1">
        <f t="array" aca="1" ref="AB82" ca="1">INDIRECT("'※ 영기팀 작성_가입자'!"&amp;AB$1&amp;$AC82, TRUE)</f>
        <v>-76</v>
      </c>
      <c r="AC82" s="5364">
        <f>ROW('※ 영기팀 작성_가입자'!AH231)</f>
        <v>231</v>
      </c>
      <c r="AD82" s="5360">
        <f>ROW('※ 영기팀 작성_가입자'!AI510)</f>
        <v>510</v>
      </c>
    </row>
    <row r="83" spans="1:30" ht="5.05" customHeight="1" thickBot="1" x14ac:dyDescent="0.6">
      <c r="A83" s="5076"/>
      <c r="B83" s="2682"/>
      <c r="C83" s="2682"/>
      <c r="D83" s="3128"/>
      <c r="E83" s="3468"/>
      <c r="F83" s="3127"/>
      <c r="G83" s="3128"/>
      <c r="H83" s="3128"/>
      <c r="I83" s="3128"/>
      <c r="J83" s="3128"/>
      <c r="K83" s="3128"/>
      <c r="L83" s="3128"/>
      <c r="M83" s="3128"/>
      <c r="N83" s="3128"/>
      <c r="O83" s="3128"/>
      <c r="P83" s="3128"/>
      <c r="Q83" s="3128"/>
      <c r="R83" s="3128"/>
      <c r="S83" s="3128"/>
      <c r="T83" s="3128"/>
      <c r="U83" s="3128"/>
      <c r="V83" s="3128"/>
      <c r="W83" s="3468"/>
      <c r="X83" s="3468"/>
      <c r="Y83" s="3468"/>
      <c r="Z83" s="2467"/>
      <c r="AA83" s="2467"/>
      <c r="AB83" s="2467"/>
      <c r="AC83" s="5364"/>
    </row>
    <row r="84" spans="1:30" ht="18" customHeight="1" x14ac:dyDescent="0.55000000000000004">
      <c r="A84" s="7176" t="s">
        <v>95</v>
      </c>
      <c r="B84" s="5566" t="s">
        <v>619</v>
      </c>
      <c r="C84" s="5566"/>
      <c r="D84" s="5567" cm="1">
        <f t="array" aca="1" ref="D84" ca="1">INDIRECT("'※ 영기팀 작성_가입자'!"&amp;D$1&amp;$AC84, TRUE)</f>
        <v>0.92957889654120818</v>
      </c>
      <c r="E84" s="5568" cm="1">
        <f t="array" aca="1" ref="E84" ca="1">INDIRECT("'※ 영기팀 작성_가입자'!"&amp;E$1&amp;$AC84, TRUE)</f>
        <v>0.92100675041351876</v>
      </c>
      <c r="F84" s="5569" cm="1">
        <f t="array" aca="1" ref="F84" ca="1">INDIRECT("'※ 영기팀 작성_가입자'!"&amp;F$1&amp;$AC84, TRUE)</f>
        <v>0.91861497484462851</v>
      </c>
      <c r="G84" s="5568" cm="1">
        <f t="array" aca="1" ref="G84" ca="1">INDIRECT("'※ 영기팀 작성_가입자'!"&amp;G$1&amp;$AC84, TRUE)</f>
        <v>0.95074812967581046</v>
      </c>
      <c r="H84" s="5568" cm="1">
        <f t="array" aca="1" ref="H84" ca="1">INDIRECT("'※ 영기팀 작성_가입자'!"&amp;H$1&amp;$AC84, TRUE)</f>
        <v>0.90571761960326724</v>
      </c>
      <c r="I84" s="5568" cm="1">
        <f t="array" aca="1" ref="I84" ca="1">INDIRECT("'※ 영기팀 작성_가입자'!"&amp;I$1&amp;$AC84, TRUE)</f>
        <v>0.91093549765057669</v>
      </c>
      <c r="J84" s="5568" cm="1">
        <f t="array" aca="1" ref="J84" ca="1">INDIRECT("'※ 영기팀 작성_가입자'!"&amp;J$1&amp;$AC84, TRUE)</f>
        <v>0.93998782714546558</v>
      </c>
      <c r="K84" s="5568" cm="1">
        <f t="array" aca="1" ref="K84" ca="1">INDIRECT("'※ 영기팀 작성_가입자'!"&amp;K$1&amp;$AC84, TRUE)</f>
        <v>0.92025601107074906</v>
      </c>
      <c r="L84" s="5568" cm="1">
        <f t="array" aca="1" ref="L84" ca="1">INDIRECT("'※ 영기팀 작성_가입자'!"&amp;L$1&amp;$AC84, TRUE)</f>
        <v>0.91569193376879843</v>
      </c>
      <c r="M84" s="5568" cm="1">
        <f t="array" aca="1" ref="M84" ca="1">INDIRECT("'※ 영기팀 작성_가입자'!"&amp;M$1&amp;$AC84, TRUE)</f>
        <v>0.92721589640544766</v>
      </c>
      <c r="N84" s="5568" cm="1">
        <f t="array" aca="1" ref="N84" ca="1">INDIRECT("'※ 영기팀 작성_가입자'!"&amp;N$1&amp;$AC84, TRUE)</f>
        <v>0.91715116279069764</v>
      </c>
      <c r="O84" s="5568" cm="1">
        <f t="array" aca="1" ref="O84" ca="1">INDIRECT("'※ 영기팀 작성_가입자'!"&amp;O$1&amp;$AC84, TRUE)</f>
        <v>0.95295375568029939</v>
      </c>
      <c r="P84" s="5568" cm="1">
        <f t="array" aca="1" ref="P84" ca="1">INDIRECT("'※ 영기팀 작성_가입자'!"&amp;P$1&amp;$AC84, TRUE)</f>
        <v>0.94755531275607774</v>
      </c>
      <c r="Q84" s="5568" cm="1">
        <f t="array" aca="1" ref="Q84" ca="1">INDIRECT("'※ 영기팀 작성_가입자'!"&amp;Q$1&amp;$AC84, TRUE)</f>
        <v>0.94957020057306585</v>
      </c>
      <c r="R84" s="5570"/>
      <c r="S84" s="5570"/>
      <c r="T84" s="5571"/>
      <c r="U84" s="5572" cm="1">
        <f t="array" aca="1" ref="U84" ca="1">INDIRECT("'※ 영기팀 작성_가입자'!"&amp;U$2&amp;$AC84,TRUE)</f>
        <v>2.014887816988109E-3</v>
      </c>
      <c r="V84" s="5573" cm="1">
        <f t="array" aca="1" ref="V84" ca="1">INDIRECT("'※ 영기팀 작성_가입자'!"&amp;V$2&amp;$AC84,TRUE)</f>
        <v>9.3498148981348006E-3</v>
      </c>
      <c r="W84" s="5574" cm="1">
        <f t="array" aca="1" ref="W84" ca="1">INDIRECT("'※ 영기팀 작성_가입자'!"&amp;W$1&amp;$AC84, TRUE)</f>
        <v>0.94957020057306585</v>
      </c>
      <c r="X84" s="5570"/>
      <c r="Y84" s="5571"/>
      <c r="Z84" s="5575" cm="1">
        <f t="array" aca="1" ref="Z84" ca="1">INDIRECT("'※ 영기팀 작성_가입자'!"&amp;Z$2&amp;$AC84, TRUE)</f>
        <v>3.1328118153368001E-2</v>
      </c>
      <c r="AA84" s="5576" cm="1">
        <f t="array" aca="1" ref="AA84" ca="1">INDIRECT("'※ 영기팀 작성_가입자'!"&amp;AA$1&amp;$AC84, TRUE)</f>
        <v>0.93227946230777681</v>
      </c>
      <c r="AB84" s="5577" cm="1">
        <f t="array" aca="1" ref="AB84" ca="1">INDIRECT("'※ 영기팀 작성_가입자'!"&amp;AB$1&amp;$AC84, TRUE)</f>
        <v>9.3498148981348006E-3</v>
      </c>
      <c r="AC84" s="5364">
        <f>ROW('※ 영기팀 작성_가입자'!AH329)</f>
        <v>329</v>
      </c>
    </row>
    <row r="85" spans="1:30" ht="18" customHeight="1" x14ac:dyDescent="0.55000000000000004">
      <c r="A85" s="7177"/>
      <c r="B85" s="2639"/>
      <c r="C85" s="2639" t="s">
        <v>19</v>
      </c>
      <c r="D85" s="5578" cm="1">
        <f t="array" aca="1" ref="D85" ca="1">INDIRECT("'※ 영기팀 작성_가입자'!"&amp;D$1&amp;$AC85, TRUE)</f>
        <v>0.9692268886366503</v>
      </c>
      <c r="E85" s="5579" cm="1">
        <f t="array" aca="1" ref="E85" ca="1">INDIRECT("'※ 영기팀 작성_가입자'!"&amp;E$1&amp;$AC85, TRUE)</f>
        <v>0.96632487857528337</v>
      </c>
      <c r="F85" s="5580" cm="1">
        <f t="array" aca="1" ref="F85" ca="1">INDIRECT("'※ 영기팀 작성_가입자'!"&amp;F$1&amp;$AC85, TRUE)</f>
        <v>0.95797598627787306</v>
      </c>
      <c r="G85" s="5579" cm="1">
        <f t="array" aca="1" ref="G85" ca="1">INDIRECT("'※ 영기팀 작성_가입자'!"&amp;G$1&amp;$AC85, TRUE)</f>
        <v>0.97727272727272729</v>
      </c>
      <c r="H85" s="5579" cm="1">
        <f t="array" aca="1" ref="H85" ca="1">INDIRECT("'※ 영기팀 작성_가입자'!"&amp;H$1&amp;$AC85, TRUE)</f>
        <v>0.96985815602836878</v>
      </c>
      <c r="I85" s="5579" cm="1">
        <f t="array" aca="1" ref="I85" ca="1">INDIRECT("'※ 영기팀 작성_가입자'!"&amp;I$1&amp;$AC85, TRUE)</f>
        <v>0.97010463378176381</v>
      </c>
      <c r="J85" s="5579" cm="1">
        <f t="array" aca="1" ref="J85" ca="1">INDIRECT("'※ 영기팀 작성_가입자'!"&amp;J$1&amp;$AC85, TRUE)</f>
        <v>0.98348926802421599</v>
      </c>
      <c r="K85" s="5579" cm="1">
        <f t="array" aca="1" ref="K85" ca="1">INDIRECT("'※ 영기팀 작성_가입자'!"&amp;K$1&amp;$AC85, TRUE)</f>
        <v>0.97713981924508253</v>
      </c>
      <c r="L85" s="5579" cm="1">
        <f t="array" aca="1" ref="L85" ca="1">INDIRECT("'※ 영기팀 작성_가입자'!"&amp;L$1&amp;$AC85, TRUE)</f>
        <v>0.98279087167976054</v>
      </c>
      <c r="M85" s="5579" cm="1">
        <f t="array" aca="1" ref="M85" ca="1">INDIRECT("'※ 영기팀 작성_가입자'!"&amp;M$1&amp;$AC85, TRUE)</f>
        <v>0.98135898977751057</v>
      </c>
      <c r="N85" s="5579" cm="1">
        <f t="array" aca="1" ref="N85" ca="1">INDIRECT("'※ 영기팀 작성_가입자'!"&amp;N$1&amp;$AC85, TRUE)</f>
        <v>0.97988036976617732</v>
      </c>
      <c r="O85" s="5579" cm="1">
        <f t="array" aca="1" ref="O85" ca="1">INDIRECT("'※ 영기팀 작성_가입자'!"&amp;O$1&amp;$AC85, TRUE)</f>
        <v>0.97483766233766234</v>
      </c>
      <c r="P85" s="5579" cm="1">
        <f t="array" aca="1" ref="P85" ca="1">INDIRECT("'※ 영기팀 작성_가입자'!"&amp;P$1&amp;$AC85, TRUE)</f>
        <v>0.97355769230769229</v>
      </c>
      <c r="Q85" s="5579" cm="1">
        <f t="array" aca="1" ref="Q85" ca="1">INDIRECT("'※ 영기팀 작성_가입자'!"&amp;Q$1&amp;$AC85, TRUE)</f>
        <v>0.96589018302828622</v>
      </c>
      <c r="R85" s="5581"/>
      <c r="S85" s="5581"/>
      <c r="T85" s="5582"/>
      <c r="U85" s="5583" cm="1">
        <f t="array" aca="1" ref="U85" ca="1">INDIRECT("'※ 영기팀 작성_가입자'!"&amp;U$2&amp;$AC85,TRUE)</f>
        <v>-7.6675092794060706E-3</v>
      </c>
      <c r="V85" s="3556" cm="1">
        <f t="array" aca="1" ref="V85" ca="1">INDIRECT("'※ 영기팀 작성_가입자'!"&amp;V$2&amp;$AC85,TRUE)</f>
        <v>2.4755488819447891E-3</v>
      </c>
      <c r="W85" s="5584" cm="1">
        <f t="array" aca="1" ref="W85" ca="1">INDIRECT("'※ 영기팀 작성_가입자'!"&amp;W$1&amp;$AC85, TRUE)</f>
        <v>0.96589018302828622</v>
      </c>
      <c r="X85" s="5581"/>
      <c r="Y85" s="5582"/>
      <c r="Z85" s="5585" cm="1">
        <f t="array" aca="1" ref="Z85" ca="1">INDIRECT("'※ 영기팀 작성_가입자'!"&amp;Z$2&amp;$AC85, TRUE)</f>
        <v>-2.3332245600383716E-3</v>
      </c>
      <c r="AA85" s="5586" cm="1">
        <f t="array" aca="1" ref="AA85" ca="1">INDIRECT("'※ 영기팀 작성_가입자'!"&amp;AA$1&amp;$AC85, TRUE)</f>
        <v>0.97517254635646111</v>
      </c>
      <c r="AB85" s="5587" cm="1">
        <f t="array" aca="1" ref="AB85" ca="1">INDIRECT("'※ 영기팀 작성_가입자'!"&amp;AB$1&amp;$AC85, TRUE)</f>
        <v>2.4755488819447891E-3</v>
      </c>
      <c r="AC85" s="5364">
        <f>ROW('※ 영기팀 작성_가입자'!AH330)</f>
        <v>330</v>
      </c>
    </row>
    <row r="86" spans="1:30" ht="18" customHeight="1" x14ac:dyDescent="0.55000000000000004">
      <c r="A86" s="7177"/>
      <c r="B86" s="2639"/>
      <c r="C86" s="2639" t="s">
        <v>1112</v>
      </c>
      <c r="D86" s="5578" cm="1">
        <f t="array" aca="1" ref="D86" ca="1">INDIRECT("'※ 영기팀 작성_가입자'!"&amp;D$1&amp;$AC86, TRUE)</f>
        <v>0.81300523062291963</v>
      </c>
      <c r="E86" s="5579" cm="1">
        <f t="array" aca="1" ref="E86" ca="1">INDIRECT("'※ 영기팀 작성_가입자'!"&amp;E$1&amp;$AC86, TRUE)</f>
        <v>0.72665916760404947</v>
      </c>
      <c r="F86" s="5580" cm="1">
        <f t="array" aca="1" ref="F86" ca="1">INDIRECT("'※ 영기팀 작성_가입자'!"&amp;F$1&amp;$AC86, TRUE)</f>
        <v>0.61748633879781423</v>
      </c>
      <c r="G86" s="5579" cm="1">
        <f t="array" aca="1" ref="G86" ca="1">INDIRECT("'※ 영기팀 작성_가입자'!"&amp;G$1&amp;$AC86, TRUE)</f>
        <v>0.66730401529636707</v>
      </c>
      <c r="H86" s="5579" cm="1">
        <f t="array" aca="1" ref="H86" ca="1">INDIRECT("'※ 영기팀 작성_가입자'!"&amp;H$1&amp;$AC86, TRUE)</f>
        <v>0.54973821989528793</v>
      </c>
      <c r="I86" s="5579" cm="1">
        <f t="array" aca="1" ref="I86" ca="1">INDIRECT("'※ 영기팀 작성_가입자'!"&amp;I$1&amp;$AC86, TRUE)</f>
        <v>0.55327342747111685</v>
      </c>
      <c r="J86" s="5579" cm="1">
        <f t="array" aca="1" ref="J86" ca="1">INDIRECT("'※ 영기팀 작성_가입자'!"&amp;J$1&amp;$AC86, TRUE)</f>
        <v>0.55626326963906592</v>
      </c>
      <c r="K86" s="5579" cm="1">
        <f t="array" aca="1" ref="K86" ca="1">INDIRECT("'※ 영기팀 작성_가입자'!"&amp;K$1&amp;$AC86, TRUE)</f>
        <v>0.5192069392812888</v>
      </c>
      <c r="L86" s="5579" cm="1">
        <f t="array" aca="1" ref="L86" ca="1">INDIRECT("'※ 영기팀 작성_가입자'!"&amp;L$1&amp;$AC86, TRUE)</f>
        <v>0.5603367633302152</v>
      </c>
      <c r="M86" s="5579" cm="1">
        <f t="array" aca="1" ref="M86" ca="1">INDIRECT("'※ 영기팀 작성_가입자'!"&amp;M$1&amp;$AC86, TRUE)</f>
        <v>0.66545893719806759</v>
      </c>
      <c r="N86" s="5579" cm="1">
        <f t="array" aca="1" ref="N86" ca="1">INDIRECT("'※ 영기팀 작성_가입자'!"&amp;N$1&amp;$AC86, TRUE)</f>
        <v>0.62119503945885002</v>
      </c>
      <c r="O86" s="5579" cm="1">
        <f t="array" aca="1" ref="O86" ca="1">INDIRECT("'※ 영기팀 작성_가입자'!"&amp;O$1&amp;$AC86, TRUE)</f>
        <v>0.77508650519031153</v>
      </c>
      <c r="P86" s="5579" cm="1">
        <f t="array" aca="1" ref="P86" ca="1">INDIRECT("'※ 영기팀 작성_가입자'!"&amp;P$1&amp;$AC86, TRUE)</f>
        <v>0.74127310061601648</v>
      </c>
      <c r="Q86" s="5579" cm="1">
        <f t="array" aca="1" ref="Q86" ca="1">INDIRECT("'※ 영기팀 작성_가입자'!"&amp;Q$1&amp;$AC86, TRUE)</f>
        <v>0.7427821522309711</v>
      </c>
      <c r="R86" s="5581"/>
      <c r="S86" s="5581"/>
      <c r="T86" s="5582"/>
      <c r="U86" s="5583" cm="1">
        <f t="array" aca="1" ref="U86" ca="1">INDIRECT("'※ 영기팀 작성_가입자'!"&amp;U$2&amp;$AC86,TRUE)</f>
        <v>1.5090516149546263E-3</v>
      </c>
      <c r="V86" s="3556" cm="1">
        <f t="array" aca="1" ref="V86" ca="1">INDIRECT("'※ 영기팀 작성_가입자'!"&amp;V$2&amp;$AC86,TRUE)</f>
        <v>2.0154415004693726E-2</v>
      </c>
      <c r="W86" s="5584" cm="1">
        <f t="array" aca="1" ref="W86" ca="1">INDIRECT("'※ 영기팀 작성_가입자'!"&amp;W$1&amp;$AC86, TRUE)</f>
        <v>0.7427821522309711</v>
      </c>
      <c r="X86" s="5581"/>
      <c r="Y86" s="5582"/>
      <c r="Z86" s="5585" cm="1">
        <f t="array" aca="1" ref="Z86" ca="1">INDIRECT("'※ 영기팀 작성_가입자'!"&amp;Z$2&amp;$AC86, TRUE)</f>
        <v>5.4889934041486566E-2</v>
      </c>
      <c r="AA86" s="5586" cm="1">
        <f t="array" aca="1" ref="AA86" ca="1">INDIRECT("'※ 영기팀 작성_가입자'!"&amp;AA$1&amp;$AC86, TRUE)</f>
        <v>0.64122504348654419</v>
      </c>
      <c r="AB86" s="5587" cm="1">
        <f t="array" aca="1" ref="AB86" ca="1">INDIRECT("'※ 영기팀 작성_가입자'!"&amp;AB$1&amp;$AC86, TRUE)</f>
        <v>2.0154415004693726E-2</v>
      </c>
      <c r="AC86" s="5364">
        <f>ROW('※ 영기팀 작성_가입자'!AH331)</f>
        <v>331</v>
      </c>
    </row>
    <row r="87" spans="1:30" ht="18" customHeight="1" x14ac:dyDescent="0.55000000000000004">
      <c r="A87" s="7177"/>
      <c r="B87" s="2639"/>
      <c r="C87" s="2639" t="s">
        <v>20</v>
      </c>
      <c r="D87" s="5578" cm="1">
        <f t="array" aca="1" ref="D87" ca="1">INDIRECT("'※ 영기팀 작성_가입자'!"&amp;D$1&amp;$AC87, TRUE)</f>
        <v>0.95877356536150815</v>
      </c>
      <c r="E87" s="5579" cm="1">
        <f t="array" aca="1" ref="E87" ca="1">INDIRECT("'※ 영기팀 작성_가입자'!"&amp;E$1&amp;$AC87, TRUE)</f>
        <v>0.97218208092485547</v>
      </c>
      <c r="F87" s="5580" cm="1">
        <f t="array" aca="1" ref="F87" ca="1">INDIRECT("'※ 영기팀 작성_가입자'!"&amp;F$1&amp;$AC87, TRUE)</f>
        <v>0.99450213805742216</v>
      </c>
      <c r="G87" s="5579" cm="1">
        <f t="array" aca="1" ref="G87" ca="1">INDIRECT("'※ 영기팀 작성_가입자'!"&amp;G$1&amp;$AC87, TRUE)</f>
        <v>0.99376797698945352</v>
      </c>
      <c r="H87" s="5579" cm="1">
        <f t="array" aca="1" ref="H87" ca="1">INDIRECT("'※ 영기팀 작성_가입자'!"&amp;H$1&amp;$AC87, TRUE)</f>
        <v>0.99502762430939229</v>
      </c>
      <c r="I87" s="5579" cm="1">
        <f t="array" aca="1" ref="I87" ca="1">INDIRECT("'※ 영기팀 작성_가입자'!"&amp;I$1&amp;$AC87, TRUE)</f>
        <v>0.995253164556962</v>
      </c>
      <c r="J87" s="5579" cm="1">
        <f t="array" aca="1" ref="J87" ca="1">INDIRECT("'※ 영기팀 작성_가입자'!"&amp;J$1&amp;$AC87, TRUE)</f>
        <v>0.99587798845836772</v>
      </c>
      <c r="K87" s="5579" cm="1">
        <f t="array" aca="1" ref="K87" ca="1">INDIRECT("'※ 영기팀 작성_가입자'!"&amp;K$1&amp;$AC87, TRUE)</f>
        <v>0.99896408839779005</v>
      </c>
      <c r="L87" s="5579" cm="1">
        <f t="array" aca="1" ref="L87" ca="1">INDIRECT("'※ 영기팀 작성_가입자'!"&amp;L$1&amp;$AC87, TRUE)</f>
        <v>0.99686028257456827</v>
      </c>
      <c r="M87" s="5579" cm="1">
        <f t="array" aca="1" ref="M87" ca="1">INDIRECT("'※ 영기팀 작성_가입자'!"&amp;M$1&amp;$AC87, TRUE)</f>
        <v>0.99413646055437088</v>
      </c>
      <c r="N87" s="5579" cm="1">
        <f t="array" aca="1" ref="N87" ca="1">INDIRECT("'※ 영기팀 작성_가입자'!"&amp;N$1&amp;$AC87, TRUE)</f>
        <v>0.99690562145435779</v>
      </c>
      <c r="O87" s="5579" cm="1">
        <f t="array" aca="1" ref="O87" ca="1">INDIRECT("'※ 영기팀 작성_가입자'!"&amp;O$1&amp;$AC87, TRUE)</f>
        <v>0.99780098955470009</v>
      </c>
      <c r="P87" s="5579" cm="1">
        <f t="array" aca="1" ref="P87" ca="1">INDIRECT("'※ 영기팀 작성_가입자'!"&amp;P$1&amp;$AC87, TRUE)</f>
        <v>0.99719258843346459</v>
      </c>
      <c r="Q87" s="5579" cm="1">
        <f t="array" aca="1" ref="Q87" ca="1">INDIRECT("'※ 영기팀 작성_가입자'!"&amp;Q$1&amp;$AC87, TRUE)</f>
        <v>0.99774901519414771</v>
      </c>
      <c r="R87" s="5581"/>
      <c r="S87" s="5581"/>
      <c r="T87" s="5582"/>
      <c r="U87" s="5583" cm="1">
        <f t="array" aca="1" ref="U87" ca="1">INDIRECT("'※ 영기팀 작성_가입자'!"&amp;U$2&amp;$AC87,TRUE)</f>
        <v>5.5642676068312635E-4</v>
      </c>
      <c r="V87" s="3556" cm="1">
        <f t="array" aca="1" ref="V87" ca="1">INDIRECT("'※ 영기팀 작성_가입자'!"&amp;V$2&amp;$AC87,TRUE)</f>
        <v>5.298376402045557E-3</v>
      </c>
      <c r="W87" s="5584" cm="1">
        <f t="array" aca="1" ref="W87" ca="1">INDIRECT("'※ 영기팀 작성_가입자'!"&amp;W$1&amp;$AC87, TRUE)</f>
        <v>0.99774901519414771</v>
      </c>
      <c r="X87" s="5581"/>
      <c r="Y87" s="5582"/>
      <c r="Z87" s="5585" cm="1">
        <f t="array" aca="1" ref="Z87" ca="1">INDIRECT("'※ 영기팀 작성_가입자'!"&amp;Z$2&amp;$AC87, TRUE)</f>
        <v>2.1098973131067233E-2</v>
      </c>
      <c r="AA87" s="5586" cm="1">
        <f t="array" aca="1" ref="AA87" ca="1">INDIRECT("'※ 영기팀 작성_가입자'!"&amp;AA$1&amp;$AC87, TRUE)</f>
        <v>0.99644040130597666</v>
      </c>
      <c r="AB87" s="5587" cm="1">
        <f t="array" aca="1" ref="AB87" ca="1">INDIRECT("'※ 영기팀 작성_가입자'!"&amp;AB$1&amp;$AC87, TRUE)</f>
        <v>5.298376402045557E-3</v>
      </c>
      <c r="AC87" s="5364">
        <f>ROW('※ 영기팀 작성_가입자'!AH332)</f>
        <v>332</v>
      </c>
    </row>
    <row r="88" spans="1:30" ht="18" customHeight="1" x14ac:dyDescent="0.55000000000000004">
      <c r="A88" s="7177"/>
      <c r="B88" s="2639"/>
      <c r="C88" s="2639" t="s">
        <v>954</v>
      </c>
      <c r="D88" s="5578" cm="1">
        <f t="array" aca="1" ref="D88" ca="1">INDIRECT("'※ 영기팀 작성_가입자'!"&amp;D$1&amp;$AC88, TRUE)</f>
        <v>0.81103678929765888</v>
      </c>
      <c r="E88" s="5579" cm="1">
        <f t="array" aca="1" ref="E88" ca="1">INDIRECT("'※ 영기팀 작성_가입자'!"&amp;E$1&amp;$AC88, TRUE)</f>
        <v>0.9746478873239437</v>
      </c>
      <c r="F88" s="5580" cm="1">
        <f t="array" aca="1" ref="F88" ca="1">INDIRECT("'※ 영기팀 작성_가입자'!"&amp;F$1&amp;$AC88, TRUE)</f>
        <v>0.7407407407407407</v>
      </c>
      <c r="G88" s="5579" cm="1">
        <f t="array" aca="1" ref="G88" ca="1">INDIRECT("'※ 영기팀 작성_가입자'!"&amp;G$1&amp;$AC88, TRUE)</f>
        <v>1</v>
      </c>
      <c r="H88" s="5579" cm="1">
        <f t="array" aca="1" ref="H88" ca="1">INDIRECT("'※ 영기팀 작성_가입자'!"&amp;H$1&amp;$AC88, TRUE)</f>
        <v>1</v>
      </c>
      <c r="I88" s="5579" t="str" cm="1">
        <f t="array" aca="1" ref="I88" ca="1">INDIRECT("'※ 영기팀 작성_가입자'!"&amp;I$1&amp;$AC88, TRUE)</f>
        <v>-</v>
      </c>
      <c r="J88" s="5579" cm="1">
        <f t="array" aca="1" ref="J88" ca="1">INDIRECT("'※ 영기팀 작성_가입자'!"&amp;J$1&amp;$AC88, TRUE)</f>
        <v>0.85209003215434087</v>
      </c>
      <c r="K88" s="5579" cm="1">
        <f t="array" aca="1" ref="K88" ca="1">INDIRECT("'※ 영기팀 작성_가입자'!"&amp;K$1&amp;$AC88, TRUE)</f>
        <v>0.86294416243654826</v>
      </c>
      <c r="L88" s="5579" cm="1">
        <f t="array" aca="1" ref="L88" ca="1">INDIRECT("'※ 영기팀 작성_가입자'!"&amp;L$1&amp;$AC88, TRUE)</f>
        <v>0.89419795221843001</v>
      </c>
      <c r="M88" s="5579" cm="1">
        <f t="array" aca="1" ref="M88" ca="1">INDIRECT("'※ 영기팀 작성_가입자'!"&amp;M$1&amp;$AC88, TRUE)</f>
        <v>0.9375</v>
      </c>
      <c r="N88" s="5579" cm="1">
        <f t="array" aca="1" ref="N88" ca="1">INDIRECT("'※ 영기팀 작성_가입자'!"&amp;N$1&amp;$AC88, TRUE)</f>
        <v>0.86754966887417218</v>
      </c>
      <c r="O88" s="5579" cm="1">
        <f t="array" aca="1" ref="O88" ca="1">INDIRECT("'※ 영기팀 작성_가입자'!"&amp;O$1&amp;$AC88, TRUE)</f>
        <v>0.90178571428571419</v>
      </c>
      <c r="P88" s="5579" cm="1">
        <f t="array" aca="1" ref="P88" ca="1">INDIRECT("'※ 영기팀 작성_가입자'!"&amp;P$1&amp;$AC88, TRUE)</f>
        <v>0.80689655172413788</v>
      </c>
      <c r="Q88" s="5579" cm="1">
        <f t="array" aca="1" ref="Q88" ca="1">INDIRECT("'※ 영기팀 작성_가입자'!"&amp;Q$1&amp;$AC88, TRUE)</f>
        <v>0.74615384615384617</v>
      </c>
      <c r="R88" s="5581"/>
      <c r="S88" s="5581"/>
      <c r="T88" s="5582"/>
      <c r="U88" s="5583" cm="1">
        <f t="array" aca="1" ref="U88" ca="1">INDIRECT("'※ 영기팀 작성_가입자'!"&amp;U$2&amp;$AC88,TRUE)</f>
        <v>-6.0742705570291711E-2</v>
      </c>
      <c r="V88" s="3556" cm="1">
        <f t="array" aca="1" ref="V88" ca="1">INDIRECT("'※ 영기팀 작성_가입자'!"&amp;V$2&amp;$AC88,TRUE)</f>
        <v>-0.17051282051282046</v>
      </c>
      <c r="W88" s="5584" cm="1">
        <f t="array" aca="1" ref="W88" ca="1">INDIRECT("'※ 영기팀 작성_가입자'!"&amp;W$1&amp;$AC88, TRUE)</f>
        <v>0.74615384615384617</v>
      </c>
      <c r="X88" s="5581"/>
      <c r="Y88" s="5582"/>
      <c r="Z88" s="5585" cm="1">
        <f t="array" aca="1" ref="Z88" ca="1">INDIRECT("'※ 영기팀 작성_가입자'!"&amp;Z$2&amp;$AC88, TRUE)</f>
        <v>-0.22590890884258286</v>
      </c>
      <c r="AA88" s="5586" cm="1">
        <f t="array" aca="1" ref="AA88" ca="1">INDIRECT("'※ 영기팀 작성_가입자'!"&amp;AA$1&amp;$AC88, TRUE)</f>
        <v>0.87411561581827579</v>
      </c>
      <c r="AB88" s="5587" cm="1">
        <f t="array" aca="1" ref="AB88" ca="1">INDIRECT("'※ 영기팀 작성_가입자'!"&amp;AB$1&amp;$AC88, TRUE)</f>
        <v>-0.17051282051282046</v>
      </c>
      <c r="AC88" s="5364">
        <f>ROW('※ 영기팀 작성_가입자'!AH333)</f>
        <v>333</v>
      </c>
    </row>
    <row r="89" spans="1:30" ht="18" customHeight="1" x14ac:dyDescent="0.55000000000000004">
      <c r="A89" s="7177"/>
      <c r="B89" s="5588" t="s">
        <v>96</v>
      </c>
      <c r="C89" s="5588"/>
      <c r="D89" s="5589" cm="1">
        <f t="array" aca="1" ref="D89" ca="1">INDIRECT("'※ 영기팀 작성_가입자'!"&amp;D$1&amp;$AC89, TRUE)</f>
        <v>0.42827009580929631</v>
      </c>
      <c r="E89" s="5590" cm="1">
        <f t="array" aca="1" ref="E89" ca="1">INDIRECT("'※ 영기팀 작성_가입자'!"&amp;E$1&amp;$AC89, TRUE)</f>
        <v>0.33567440311879465</v>
      </c>
      <c r="F89" s="5591" cm="1">
        <f t="array" aca="1" ref="F89" ca="1">INDIRECT("'※ 영기팀 작성_가입자'!"&amp;F$1&amp;$AC89, TRUE)</f>
        <v>0.2707410687924417</v>
      </c>
      <c r="G89" s="5590" cm="1">
        <f t="array" aca="1" ref="G89" ca="1">INDIRECT("'※ 영기팀 작성_가입자'!"&amp;G$1&amp;$AC89, TRUE)</f>
        <v>0.31836988001654942</v>
      </c>
      <c r="H89" s="5590" cm="1">
        <f t="array" aca="1" ref="H89" ca="1">INDIRECT("'※ 영기팀 작성_가입자'!"&amp;H$1&amp;$AC89, TRUE)</f>
        <v>0.26385707741639947</v>
      </c>
      <c r="I89" s="5590" cm="1">
        <f t="array" aca="1" ref="I89" ca="1">INDIRECT("'※ 영기팀 작성_가입자'!"&amp;I$1&amp;$AC89, TRUE)</f>
        <v>0.28188616535105943</v>
      </c>
      <c r="J89" s="5590" cm="1">
        <f t="array" aca="1" ref="J89" ca="1">INDIRECT("'※ 영기팀 작성_가입자'!"&amp;J$1&amp;$AC89, TRUE)</f>
        <v>0.26808460909197146</v>
      </c>
      <c r="K89" s="5590" cm="1">
        <f t="array" aca="1" ref="K89" ca="1">INDIRECT("'※ 영기팀 작성_가입자'!"&amp;K$1&amp;$AC89, TRUE)</f>
        <v>0.31430548348036674</v>
      </c>
      <c r="L89" s="5590" cm="1">
        <f t="array" aca="1" ref="L89" ca="1">INDIRECT("'※ 영기팀 작성_가입자'!"&amp;L$1&amp;$AC89, TRUE)</f>
        <v>0.45578947368421052</v>
      </c>
      <c r="M89" s="5590" cm="1">
        <f t="array" aca="1" ref="M89" ca="1">INDIRECT("'※ 영기팀 작성_가입자'!"&amp;M$1&amp;$AC89, TRUE)</f>
        <v>0.50904219691895514</v>
      </c>
      <c r="N89" s="5590" cm="1">
        <f t="array" aca="1" ref="N89" ca="1">INDIRECT("'※ 영기팀 작성_가입자'!"&amp;N$1&amp;$AC89, TRUE)</f>
        <v>0.51910299003322258</v>
      </c>
      <c r="O89" s="5590" cm="1">
        <f t="array" aca="1" ref="O89" ca="1">INDIRECT("'※ 영기팀 작성_가입자'!"&amp;O$1&amp;$AC89, TRUE)</f>
        <v>0.51082598235765841</v>
      </c>
      <c r="P89" s="5590" cm="1">
        <f t="array" aca="1" ref="P89" ca="1">INDIRECT("'※ 영기팀 작성_가입자'!"&amp;P$1&amp;$AC89, TRUE)</f>
        <v>0.51297459710461624</v>
      </c>
      <c r="Q89" s="5590" cm="1">
        <f t="array" aca="1" ref="Q89" ca="1">INDIRECT("'※ 영기팀 작성_가입자'!"&amp;Q$1&amp;$AC89, TRUE)</f>
        <v>0.53237822349570196</v>
      </c>
      <c r="R89" s="5581"/>
      <c r="S89" s="5581"/>
      <c r="T89" s="5582"/>
      <c r="U89" s="5592" cm="1">
        <f t="array" aca="1" ref="U89" ca="1">INDIRECT("'※ 영기팀 작성_가입자'!"&amp;U$2&amp;$AC89,TRUE)</f>
        <v>1.9403626391085727E-2</v>
      </c>
      <c r="V89" s="5593" cm="1">
        <f t="array" aca="1" ref="V89" ca="1">INDIRECT("'※ 영기팀 작성_가입자'!"&amp;V$2&amp;$AC89,TRUE)</f>
        <v>0.27370053754528872</v>
      </c>
      <c r="W89" s="5594" cm="1">
        <f t="array" aca="1" ref="W89" ca="1">INDIRECT("'※ 영기팀 작성_가입자'!"&amp;W$1&amp;$AC89, TRUE)</f>
        <v>0.53237822349570196</v>
      </c>
      <c r="X89" s="5581"/>
      <c r="Y89" s="5582"/>
      <c r="Z89" s="5595" cm="1">
        <f t="array" aca="1" ref="Z89" ca="1">INDIRECT("'※ 영기팀 작성_가입자'!"&amp;Z$2&amp;$AC89, TRUE)</f>
        <v>0.22455723704489489</v>
      </c>
      <c r="AA89" s="5596" cm="1">
        <f t="array" aca="1" ref="AA89" ca="1">INDIRECT("'※ 영기팀 작성_가입자'!"&amp;AA$1&amp;$AC89, TRUE)</f>
        <v>0.4182495752038678</v>
      </c>
      <c r="AB89" s="5597" cm="1">
        <f t="array" aca="1" ref="AB89" ca="1">INDIRECT("'※ 영기팀 작성_가입자'!"&amp;AB$1&amp;$AC89, TRUE)</f>
        <v>0.27370053754528872</v>
      </c>
      <c r="AC89" s="5364">
        <f>ROW('※ 영기팀 작성_가입자'!AH334)</f>
        <v>334</v>
      </c>
    </row>
    <row r="90" spans="1:30" ht="18" customHeight="1" x14ac:dyDescent="0.55000000000000004">
      <c r="A90" s="7177"/>
      <c r="B90" s="2885"/>
      <c r="C90" s="2885" t="s">
        <v>131</v>
      </c>
      <c r="D90" s="5589" cm="1">
        <f t="array" aca="1" ref="D90" ca="1">INDIRECT("'※ 영기팀 작성_가입자'!"&amp;D$1&amp;$AC90, TRUE)</f>
        <v>0.58796821793416576</v>
      </c>
      <c r="E90" s="5590" cm="1">
        <f t="array" aca="1" ref="E90" ca="1">INDIRECT("'※ 영기팀 작성_가입자'!"&amp;E$1&amp;$AC90, TRUE)</f>
        <v>0.55633140911108792</v>
      </c>
      <c r="F90" s="5591" cm="1">
        <f t="array" aca="1" ref="F90" ca="1">INDIRECT("'※ 영기팀 작성_가입자'!"&amp;F$1&amp;$AC90, TRUE)</f>
        <v>0.45711835334476841</v>
      </c>
      <c r="G90" s="5590" cm="1">
        <f t="array" aca="1" ref="G90" ca="1">INDIRECT("'※ 영기팀 작성_가입자'!"&amp;G$1&amp;$AC90, TRUE)</f>
        <v>0.47545454545454546</v>
      </c>
      <c r="H90" s="5590" cm="1">
        <f t="array" aca="1" ref="H90" ca="1">INDIRECT("'※ 영기팀 작성_가입자'!"&amp;H$1&amp;$AC90, TRUE)</f>
        <v>0.40366430260047281</v>
      </c>
      <c r="I90" s="5590" cm="1">
        <f t="array" aca="1" ref="I90" ca="1">INDIRECT("'※ 영기팀 작성_가입자'!"&amp;I$1&amp;$AC90, TRUE)</f>
        <v>0.42800199302441455</v>
      </c>
      <c r="J90" s="5590" cm="1">
        <f t="array" aca="1" ref="J90" ca="1">INDIRECT("'※ 영기팀 작성_가입자'!"&amp;J$1&amp;$AC90, TRUE)</f>
        <v>0.36873968079251512</v>
      </c>
      <c r="K90" s="5590" cm="1">
        <f t="array" aca="1" ref="K90" ca="1">INDIRECT("'※ 영기팀 작성_가입자'!"&amp;K$1&amp;$AC90, TRUE)</f>
        <v>0.46624136097820312</v>
      </c>
      <c r="L90" s="5590" cm="1">
        <f t="array" aca="1" ref="L90" ca="1">INDIRECT("'※ 영기팀 작성_가입자'!"&amp;L$1&amp;$AC90, TRUE)</f>
        <v>0.65106701609883944</v>
      </c>
      <c r="M90" s="5590" cm="1">
        <f t="array" aca="1" ref="M90" ca="1">INDIRECT("'※ 영기팀 작성_가입자'!"&amp;M$1&amp;$AC90, TRUE)</f>
        <v>0.64642212868310278</v>
      </c>
      <c r="N90" s="5590" cm="1">
        <f t="array" aca="1" ref="N90" ca="1">INDIRECT("'※ 영기팀 작성_가입자'!"&amp;N$1&amp;$AC90, TRUE)</f>
        <v>0.6634040239260468</v>
      </c>
      <c r="O90" s="5590" cm="1">
        <f t="array" aca="1" ref="O90" ca="1">INDIRECT("'※ 영기팀 작성_가입자'!"&amp;O$1&amp;$AC90, TRUE)</f>
        <v>0.64448051948051943</v>
      </c>
      <c r="P90" s="5590" cm="1">
        <f t="array" aca="1" ref="P90" ca="1">INDIRECT("'※ 영기팀 작성_가입자'!"&amp;P$1&amp;$AC90, TRUE)</f>
        <v>0.64102564102564108</v>
      </c>
      <c r="Q90" s="5590" cm="1">
        <f t="array" aca="1" ref="Q90" ca="1">INDIRECT("'※ 영기팀 작성_가입자'!"&amp;Q$1&amp;$AC90, TRUE)</f>
        <v>0.62645590682196339</v>
      </c>
      <c r="R90" s="5581"/>
      <c r="S90" s="5581"/>
      <c r="T90" s="5582"/>
      <c r="U90" s="5592" cm="1">
        <f t="array" aca="1" ref="U90" ca="1">INDIRECT("'※ 영기팀 작성_가입자'!"&amp;U$2&amp;$AC90,TRUE)</f>
        <v>-1.4569734203677687E-2</v>
      </c>
      <c r="V90" s="5593" cm="1">
        <f t="array" aca="1" ref="V90" ca="1">INDIRECT("'※ 영기팀 작성_가입자'!"&amp;V$2&amp;$AC90,TRUE)</f>
        <v>0.15389493121220732</v>
      </c>
      <c r="W90" s="5594" cm="1">
        <f t="array" aca="1" ref="W90" ca="1">INDIRECT("'※ 영기팀 작성_가입자'!"&amp;W$1&amp;$AC90, TRUE)</f>
        <v>0.62645590682196339</v>
      </c>
      <c r="X90" s="5581"/>
      <c r="Y90" s="5582"/>
      <c r="Z90" s="5595" cm="1">
        <f t="array" aca="1" ref="Z90" ca="1">INDIRECT("'※ 영기팀 작성_가입자'!"&amp;Z$2&amp;$AC90, TRUE)</f>
        <v>9.5285129253555034E-2</v>
      </c>
      <c r="AA90" s="5596" cm="1">
        <f t="array" aca="1" ref="AA90" ca="1">INDIRECT("'※ 영기팀 작성_가입자'!"&amp;AA$1&amp;$AC90, TRUE)</f>
        <v>0.55345108547568567</v>
      </c>
      <c r="AB90" s="5597" cm="1">
        <f t="array" aca="1" ref="AB90" ca="1">INDIRECT("'※ 영기팀 작성_가입자'!"&amp;AB$1&amp;$AC90, TRUE)</f>
        <v>0.15389493121220732</v>
      </c>
      <c r="AC90" s="5364">
        <f>ROW('※ 영기팀 작성_가입자'!AH335)</f>
        <v>335</v>
      </c>
    </row>
    <row r="91" spans="1:30" x14ac:dyDescent="0.55000000000000004">
      <c r="A91" s="7177"/>
      <c r="B91" s="2885"/>
      <c r="C91" s="2885" t="s">
        <v>1019</v>
      </c>
      <c r="D91" s="5589" cm="1">
        <f t="array" aca="1" ref="D91" ca="1">INDIRECT("'※ 영기팀 작성_가입자'!"&amp;D$1&amp;$AC91, TRUE)</f>
        <v>0.26331431288635282</v>
      </c>
      <c r="E91" s="5590" cm="1">
        <f t="array" aca="1" ref="E91" ca="1">INDIRECT("'※ 영기팀 작성_가입자'!"&amp;E$1&amp;$AC91, TRUE)</f>
        <v>0.1772879332799264</v>
      </c>
      <c r="F91" s="5591" cm="1">
        <f t="array" aca="1" ref="F91" ca="1">INDIRECT("'※ 영기팀 작성_가입자'!"&amp;F$1&amp;$AC91, TRUE)</f>
        <v>0.18761384335154827</v>
      </c>
      <c r="G91" s="5590" cm="1">
        <f t="array" aca="1" ref="G91" ca="1">INDIRECT("'※ 영기팀 작성_가입자'!"&amp;G$1&amp;$AC91, TRUE)</f>
        <v>0.19311663479923519</v>
      </c>
      <c r="H91" s="5590" cm="1">
        <f t="array" aca="1" ref="H91" ca="1">INDIRECT("'※ 영기팀 작성_가입자'!"&amp;H$1&amp;$AC91, TRUE)</f>
        <v>0.14921465968586387</v>
      </c>
      <c r="I91" s="5590" cm="1">
        <f t="array" aca="1" ref="I91" ca="1">INDIRECT("'※ 영기팀 작성_가입자'!"&amp;I$1&amp;$AC91, TRUE)</f>
        <v>0.14762516046213095</v>
      </c>
      <c r="J91" s="5590" cm="1">
        <f t="array" aca="1" ref="J91" ca="1">INDIRECT("'※ 영기팀 작성_가입자'!"&amp;J$1&amp;$AC91, TRUE)</f>
        <v>0.14755838641188959</v>
      </c>
      <c r="K91" s="5590" cm="1">
        <f t="array" aca="1" ref="K91" ca="1">INDIRECT("'※ 영기팀 작성_가입자'!"&amp;K$1&amp;$AC91, TRUE)</f>
        <v>0.10656753407682776</v>
      </c>
      <c r="L91" s="5590" cm="1">
        <f t="array" aca="1" ref="L91" ca="1">INDIRECT("'※ 영기팀 작성_가입자'!"&amp;L$1&amp;$AC91, TRUE)</f>
        <v>0.13731060606060605</v>
      </c>
      <c r="M91" s="5590" cm="1">
        <f t="array" aca="1" ref="M91" ca="1">INDIRECT("'※ 영기팀 작성_가입자'!"&amp;M$1&amp;$AC91, TRUE)</f>
        <v>0.19082125603864733</v>
      </c>
      <c r="N91" s="5590" cm="1">
        <f t="array" aca="1" ref="N91" ca="1">INDIRECT("'※ 영기팀 작성_가입자'!"&amp;N$1&amp;$AC91, TRUE)</f>
        <v>0.1984216459977452</v>
      </c>
      <c r="O91" s="5590" cm="1">
        <f t="array" aca="1" ref="O91" ca="1">INDIRECT("'※ 영기팀 작성_가입자'!"&amp;O$1&amp;$AC91, TRUE)</f>
        <v>0.26989619377162632</v>
      </c>
      <c r="P91" s="5590" cm="1">
        <f t="array" aca="1" ref="P91" ca="1">INDIRECT("'※ 영기팀 작성_가입자'!"&amp;P$1&amp;$AC91, TRUE)</f>
        <v>0.23819301848049279</v>
      </c>
      <c r="Q91" s="5590" cm="1">
        <f t="array" aca="1" ref="Q91" ca="1">INDIRECT("'※ 영기팀 작성_가입자'!"&amp;Q$1&amp;$AC91, TRUE)</f>
        <v>0.34120734908136485</v>
      </c>
      <c r="R91" s="5581"/>
      <c r="S91" s="5581"/>
      <c r="T91" s="5582"/>
      <c r="U91" s="5592" cm="1">
        <f t="array" aca="1" ref="U91" ca="1">INDIRECT("'※ 영기팀 작성_가입자'!"&amp;U$2&amp;$AC91,TRUE)</f>
        <v>0.10301433060087206</v>
      </c>
      <c r="V91" s="5593" cm="1">
        <f t="array" aca="1" ref="V91" ca="1">INDIRECT("'※ 영기팀 작성_가입자'!"&amp;V$2&amp;$AC91,TRUE)</f>
        <v>0.20069640017625537</v>
      </c>
      <c r="W91" s="5594" cm="1">
        <f t="array" aca="1" ref="W91" ca="1">INDIRECT("'※ 영기팀 작성_가입자'!"&amp;W$1&amp;$AC91, TRUE)</f>
        <v>0.34120734908136485</v>
      </c>
      <c r="X91" s="5581"/>
      <c r="Y91" s="5582"/>
      <c r="Z91" s="5595" cm="1">
        <f t="array" aca="1" ref="Z91" ca="1">INDIRECT("'※ 영기팀 작성_가입자'!"&amp;Z$2&amp;$AC91, TRUE)</f>
        <v>0.17617144907539259</v>
      </c>
      <c r="AA91" s="5596" cm="1">
        <f t="array" aca="1" ref="AA91" ca="1">INDIRECT("'※ 영기팀 작성_가입자'!"&amp;AA$1&amp;$AC91, TRUE)</f>
        <v>0.20509498282898289</v>
      </c>
      <c r="AB91" s="5597" cm="1">
        <f t="array" aca="1" ref="AB91" ca="1">INDIRECT("'※ 영기팀 작성_가입자'!"&amp;AB$1&amp;$AC91, TRUE)</f>
        <v>0.20069640017625537</v>
      </c>
      <c r="AC91" s="5364">
        <f>ROW('※ 영기팀 작성_가입자'!AH336)</f>
        <v>336</v>
      </c>
    </row>
    <row r="92" spans="1:30" ht="18" customHeight="1" x14ac:dyDescent="0.55000000000000004">
      <c r="A92" s="7177"/>
      <c r="B92" s="2885"/>
      <c r="C92" s="2885" t="s">
        <v>132</v>
      </c>
      <c r="D92" s="5589" cm="1">
        <f t="array" aca="1" ref="D92" ca="1">INDIRECT("'※ 영기팀 작성_가입자'!"&amp;D$1&amp;$AC92, TRUE)</f>
        <v>0.35833160693322286</v>
      </c>
      <c r="E92" s="5590" cm="1">
        <f t="array" aca="1" ref="E92" ca="1">INDIRECT("'※ 영기팀 작성_가입자'!"&amp;E$1&amp;$AC92, TRUE)</f>
        <v>0.18194059111005234</v>
      </c>
      <c r="F92" s="5591" cm="1">
        <f t="array" aca="1" ref="F92" ca="1">INDIRECT("'※ 영기팀 작성_가입자'!"&amp;F$1&amp;$AC92, TRUE)</f>
        <v>0.16737935247403787</v>
      </c>
      <c r="G92" s="5590" cm="1">
        <f t="array" aca="1" ref="G92" ca="1">INDIRECT("'※ 영기팀 작성_가입자'!"&amp;G$1&amp;$AC92, TRUE)</f>
        <v>0.18648130393096837</v>
      </c>
      <c r="H92" s="5590" cm="1">
        <f t="array" aca="1" ref="H92" ca="1">INDIRECT("'※ 영기팀 작성_가입자'!"&amp;H$1&amp;$AC92, TRUE)</f>
        <v>0.18784530386740331</v>
      </c>
      <c r="I92" s="5590" cm="1">
        <f t="array" aca="1" ref="I92" ca="1">INDIRECT("'※ 영기팀 작성_가입자'!"&amp;I$1&amp;$AC92, TRUE)</f>
        <v>0.19092827004219409</v>
      </c>
      <c r="J92" s="5590" cm="1">
        <f t="array" aca="1" ref="J92" ca="1">INDIRECT("'※ 영기팀 작성_가입자'!"&amp;J$1&amp;$AC92, TRUE)</f>
        <v>0.21379499862599616</v>
      </c>
      <c r="K92" s="5590" cm="1">
        <f t="array" aca="1" ref="K92" ca="1">INDIRECT("'※ 영기팀 작성_가입자'!"&amp;K$1&amp;$AC92, TRUE)</f>
        <v>0.28763812154696133</v>
      </c>
      <c r="L92" s="5590" cm="1">
        <f t="array" aca="1" ref="L92" ca="1">INDIRECT("'※ 영기팀 작성_가입자'!"&amp;L$1&amp;$AC92, TRUE)</f>
        <v>0.43092621664050235</v>
      </c>
      <c r="M92" s="5590" cm="1">
        <f t="array" aca="1" ref="M92" ca="1">INDIRECT("'※ 영기팀 작성_가입자'!"&amp;M$1&amp;$AC92, TRUE)</f>
        <v>0.54104477611940294</v>
      </c>
      <c r="N92" s="5590" cm="1">
        <f t="array" aca="1" ref="N92" ca="1">INDIRECT("'※ 영기팀 작성_가입자'!"&amp;N$1&amp;$AC92, TRUE)</f>
        <v>0.5440948942753997</v>
      </c>
      <c r="O92" s="5590" cm="1">
        <f t="array" aca="1" ref="O92" ca="1">INDIRECT("'※ 영기팀 작성_가입자'!"&amp;O$1&amp;$AC92, TRUE)</f>
        <v>0.50412314458493668</v>
      </c>
      <c r="P92" s="5590" cm="1">
        <f t="array" aca="1" ref="P92" ca="1">INDIRECT("'※ 영기팀 작성_가입자'!"&amp;P$1&amp;$AC92, TRUE)</f>
        <v>0.51712521055586758</v>
      </c>
      <c r="Q92" s="5590" cm="1">
        <f t="array" aca="1" ref="Q92" ca="1">INDIRECT("'※ 영기팀 작성_가입자'!"&amp;Q$1&amp;$AC92, TRUE)</f>
        <v>0.53460889138998313</v>
      </c>
      <c r="R92" s="5581"/>
      <c r="S92" s="5581"/>
      <c r="T92" s="5582"/>
      <c r="U92" s="5592" cm="1">
        <f t="array" aca="1" ref="U92" ca="1">INDIRECT("'※ 영기팀 작성_가입자'!"&amp;U$2&amp;$AC92,TRUE)</f>
        <v>1.7483680834115556E-2</v>
      </c>
      <c r="V92" s="5593" cm="1">
        <f t="array" aca="1" ref="V92" ca="1">INDIRECT("'※ 영기팀 작성_가입자'!"&amp;V$2&amp;$AC92,TRUE)</f>
        <v>0.40046254992656849</v>
      </c>
      <c r="W92" s="5594" cm="1">
        <f t="array" aca="1" ref="W92" ca="1">INDIRECT("'※ 영기팀 작성_가입자'!"&amp;W$1&amp;$AC92, TRUE)</f>
        <v>0.53460889138998313</v>
      </c>
      <c r="X92" s="5581"/>
      <c r="Y92" s="5582"/>
      <c r="Z92" s="5595" cm="1">
        <f t="array" aca="1" ref="Z92" ca="1">INDIRECT("'※ 영기팀 작성_가입자'!"&amp;Z$2&amp;$AC92, TRUE)</f>
        <v>0.37331658561444592</v>
      </c>
      <c r="AA92" s="5596" cm="1">
        <f t="array" aca="1" ref="AA92" ca="1">INDIRECT("'※ 영기팀 작성_가입자'!"&amp;AA$1&amp;$AC92, TRUE)</f>
        <v>0.38943500191413322</v>
      </c>
      <c r="AB92" s="5597" cm="1">
        <f t="array" aca="1" ref="AB92" ca="1">INDIRECT("'※ 영기팀 작성_가입자'!"&amp;AB$1&amp;$AC92, TRUE)</f>
        <v>0.40046254992656849</v>
      </c>
      <c r="AC92" s="5364">
        <f>ROW('※ 영기팀 작성_가입자'!AH337)</f>
        <v>337</v>
      </c>
    </row>
    <row r="93" spans="1:30" ht="18" customHeight="1" x14ac:dyDescent="0.55000000000000004">
      <c r="A93" s="7177"/>
      <c r="B93" s="2885"/>
      <c r="C93" s="2885" t="s">
        <v>954</v>
      </c>
      <c r="D93" s="5589" cm="1">
        <f t="array" aca="1" ref="D93" ca="1">INDIRECT("'※ 영기팀 작성_가입자'!"&amp;D$1&amp;$AC93, TRUE)</f>
        <v>0.20735785953177258</v>
      </c>
      <c r="E93" s="5590" cm="1">
        <f t="array" aca="1" ref="E93" ca="1">INDIRECT("'※ 영기팀 작성_가입자'!"&amp;E$1&amp;$AC93, TRUE)</f>
        <v>0.15058273378747752</v>
      </c>
      <c r="F93" s="5591" cm="1">
        <f t="array" aca="1" ref="F93" ca="1">INDIRECT("'※ 영기팀 작성_가입자'!"&amp;F$1&amp;$AC93, TRUE)</f>
        <v>0.22222222222222221</v>
      </c>
      <c r="G93" s="5590" cm="1">
        <f t="array" aca="1" ref="G93" ca="1">INDIRECT("'※ 영기팀 작성_가입자'!"&amp;G$1&amp;$AC93, TRUE)</f>
        <v>0.13636363636363635</v>
      </c>
      <c r="H93" s="5590" cm="1">
        <f t="array" aca="1" ref="H93" ca="1">INDIRECT("'※ 영기팀 작성_가입자'!"&amp;H$1&amp;$AC93, TRUE)</f>
        <v>0.1728395061728395</v>
      </c>
      <c r="I93" s="5590" cm="1">
        <f t="array" aca="1" ref="I93" ca="1">INDIRECT("'※ 영기팀 작성_가입자'!"&amp;I$1&amp;$AC93, TRUE)</f>
        <v>0.16129032258064516</v>
      </c>
      <c r="J93" s="5590" cm="1">
        <f t="array" aca="1" ref="J93" ca="1">INDIRECT("'※ 영기팀 작성_가입자'!"&amp;J$1&amp;$AC93, TRUE)</f>
        <v>0.11897106109324759</v>
      </c>
      <c r="K93" s="5590" cm="1">
        <f t="array" aca="1" ref="K93" ca="1">INDIRECT("'※ 영기팀 작성_가입자'!"&amp;K$1&amp;$AC93, TRUE)</f>
        <v>0.1065989847715736</v>
      </c>
      <c r="L93" s="5590" cm="1">
        <f t="array" aca="1" ref="L93" ca="1">INDIRECT("'※ 영기팀 작성_가입자'!"&amp;L$1&amp;$AC93, TRUE)</f>
        <v>0.16382252559726962</v>
      </c>
      <c r="M93" s="5590" cm="1">
        <f t="array" aca="1" ref="M93" ca="1">INDIRECT("'※ 영기팀 작성_가입자'!"&amp;M$1&amp;$AC93, TRUE)</f>
        <v>0.2857142857142857</v>
      </c>
      <c r="N93" s="5590" cm="1">
        <f t="array" aca="1" ref="N93" ca="1">INDIRECT("'※ 영기팀 작성_가입자'!"&amp;N$1&amp;$AC93, TRUE)</f>
        <v>0.32450331125827814</v>
      </c>
      <c r="O93" s="5590" cm="1">
        <f t="array" aca="1" ref="O93" ca="1">INDIRECT("'※ 영기팀 작성_가입자'!"&amp;O$1&amp;$AC93, TRUE)</f>
        <v>0.39285714285714279</v>
      </c>
      <c r="P93" s="5590" cm="1">
        <f t="array" aca="1" ref="P93" ca="1">INDIRECT("'※ 영기팀 작성_가입자'!"&amp;P$1&amp;$AC93, TRUE)</f>
        <v>0.28275862068965518</v>
      </c>
      <c r="Q93" s="5590" cm="1">
        <f t="array" aca="1" ref="Q93" ca="1">INDIRECT("'※ 영기팀 작성_가입자'!"&amp;Q$1&amp;$AC93, TRUE)</f>
        <v>0.19230769230769232</v>
      </c>
      <c r="R93" s="5581"/>
      <c r="S93" s="5581"/>
      <c r="T93" s="5582"/>
      <c r="U93" s="5592" cm="1">
        <f t="array" aca="1" ref="U93" ca="1">INDIRECT("'※ 영기팀 작성_가입자'!"&amp;U$2&amp;$AC93,TRUE)</f>
        <v>-9.0450928381962864E-2</v>
      </c>
      <c r="V93" s="5593" cm="1">
        <f t="array" aca="1" ref="V93" ca="1">INDIRECT("'※ 영기팀 작성_가입자'!"&amp;V$2&amp;$AC93,TRUE)</f>
        <v>-3.6858974358974339E-2</v>
      </c>
      <c r="W93" s="5594" cm="1">
        <f t="array" aca="1" ref="W93" ca="1">INDIRECT("'※ 영기팀 작성_가입자'!"&amp;W$1&amp;$AC93, TRUE)</f>
        <v>0.19230769230769232</v>
      </c>
      <c r="X93" s="5581"/>
      <c r="Y93" s="5582"/>
      <c r="Z93" s="5595" cm="1">
        <f t="array" aca="1" ref="Z93" ca="1">INDIRECT("'※ 영기팀 작성_가입자'!"&amp;Z$2&amp;$AC93, TRUE)</f>
        <v>3.4894987838393954E-2</v>
      </c>
      <c r="AA93" s="5596" cm="1">
        <f t="array" aca="1" ref="AA93" ca="1">INDIRECT("'※ 영기팀 작성_가입자'!"&amp;AA$1&amp;$AC93, TRUE)</f>
        <v>0.21086123180949656</v>
      </c>
      <c r="AB93" s="5597" cm="1">
        <f t="array" aca="1" ref="AB93" ca="1">INDIRECT("'※ 영기팀 작성_가입자'!"&amp;AB$1&amp;$AC93, TRUE)</f>
        <v>-3.6858974358974339E-2</v>
      </c>
      <c r="AC93" s="5364">
        <f>ROW('※ 영기팀 작성_가입자'!AH338)</f>
        <v>338</v>
      </c>
    </row>
    <row r="94" spans="1:30" ht="18" customHeight="1" x14ac:dyDescent="0.55000000000000004">
      <c r="A94" s="7177"/>
      <c r="B94" s="2796" t="s">
        <v>97</v>
      </c>
      <c r="C94" s="2796"/>
      <c r="D94" s="5578" cm="1">
        <f t="array" aca="1" ref="D94" ca="1">INDIRECT("'※ 영기팀 작성_가입자'!"&amp;D$1&amp;$AC94, TRUE)</f>
        <v>0.50130880073191186</v>
      </c>
      <c r="E94" s="5579" cm="1">
        <f t="array" aca="1" ref="E94" ca="1">INDIRECT("'※ 영기팀 작성_가입자'!"&amp;E$1&amp;$AC94, TRUE)</f>
        <v>0.58540270356224877</v>
      </c>
      <c r="F94" s="5580" cm="1">
        <f t="array" aca="1" ref="F94" ca="1">INDIRECT("'※ 영기팀 작성_가입자'!"&amp;F$1&amp;$AC94, TRUE)</f>
        <v>0.64806613522291112</v>
      </c>
      <c r="G94" s="5579" cm="1">
        <f t="array" aca="1" ref="G94" ca="1">INDIRECT("'※ 영기팀 작성_가입자'!"&amp;G$1&amp;$AC94, TRUE)</f>
        <v>0.63198179561439805</v>
      </c>
      <c r="H94" s="5579" cm="1">
        <f t="array" aca="1" ref="H94" ca="1">INDIRECT("'※ 영기팀 작성_가입자'!"&amp;H$1&amp;$AC94, TRUE)</f>
        <v>0.63788364635822259</v>
      </c>
      <c r="I94" s="5579" cm="1">
        <f t="array" aca="1" ref="I94" ca="1">INDIRECT("'※ 영기팀 작성_가입자'!"&amp;I$1&amp;$AC94, TRUE)</f>
        <v>0.62567511425010391</v>
      </c>
      <c r="J94" s="5579" cm="1">
        <f t="array" aca="1" ref="J94" ca="1">INDIRECT("'※ 영기팀 작성_가입자'!"&amp;J$1&amp;$AC94, TRUE)</f>
        <v>0.66880916208951735</v>
      </c>
      <c r="K94" s="5579" cm="1">
        <f t="array" aca="1" ref="K94" ca="1">INDIRECT("'※ 영기팀 작성_가입자'!"&amp;K$1&amp;$AC94, TRUE)</f>
        <v>0.60821729413787173</v>
      </c>
      <c r="L94" s="5579" cm="1">
        <f t="array" aca="1" ref="L94" ca="1">INDIRECT("'※ 영기팀 작성_가입자'!"&amp;L$1&amp;$AC94, TRUE)</f>
        <v>0.46285714285714286</v>
      </c>
      <c r="M94" s="5579" cm="1">
        <f t="array" aca="1" ref="M94" ca="1">INDIRECT("'※ 영기팀 작성_가입자'!"&amp;M$1&amp;$AC94, TRUE)</f>
        <v>0.51904842628694126</v>
      </c>
      <c r="N94" s="5579" cm="1">
        <f t="array" aca="1" ref="N94" ca="1">INDIRECT("'※ 영기팀 작성_가입자'!"&amp;N$1&amp;$AC94, TRUE)</f>
        <v>0.39950166112956809</v>
      </c>
      <c r="O94" s="5579" cm="1">
        <f t="array" aca="1" ref="O94" ca="1">INDIRECT("'※ 영기팀 작성_가입자'!"&amp;O$1&amp;$AC94, TRUE)</f>
        <v>0.44468256094294134</v>
      </c>
      <c r="P94" s="5579" cm="1">
        <f t="array" aca="1" ref="P94" ca="1">INDIRECT("'※ 영기팀 작성_가입자'!"&amp;P$1&amp;$AC94, TRUE)</f>
        <v>0.43586244541484714</v>
      </c>
      <c r="Q94" s="5579" cm="1">
        <f t="array" aca="1" ref="Q94" ca="1">INDIRECT("'※ 영기팀 작성_가입자'!"&amp;Q$1&amp;$AC94, TRUE)</f>
        <v>0.41804683038263851</v>
      </c>
      <c r="R94" s="5581"/>
      <c r="S94" s="5581"/>
      <c r="T94" s="5582"/>
      <c r="U94" s="5583" cm="1">
        <f t="array" aca="1" ref="U94" ca="1">INDIRECT("'※ 영기팀 작성_가입자'!"&amp;U$2&amp;$AC94,TRUE)</f>
        <v>-1.7815615032208632E-2</v>
      </c>
      <c r="V94" s="3556" cm="1">
        <f t="array" aca="1" ref="V94" ca="1">INDIRECT("'※ 영기팀 작성_가입자'!"&amp;V$2&amp;$AC94,TRUE)</f>
        <v>-0.26349586934187935</v>
      </c>
      <c r="W94" s="5584" cm="1">
        <f t="array" aca="1" ref="W94" ca="1">INDIRECT("'※ 영기팀 작성_가입자'!"&amp;W$1&amp;$AC94, TRUE)</f>
        <v>0.41804683038263851</v>
      </c>
      <c r="X94" s="5581"/>
      <c r="Y94" s="5582"/>
      <c r="Z94" s="5585" cm="1">
        <f t="array" aca="1" ref="Z94" ca="1">INDIRECT("'※ 영기팀 작성_가입자'!"&amp;Z$2&amp;$AC94, TRUE)</f>
        <v>-0.19251163894568074</v>
      </c>
      <c r="AA94" s="5586" cm="1">
        <f t="array" aca="1" ref="AA94" ca="1">INDIRECT("'※ 영기팀 작성_가입자'!"&amp;AA$1&amp;$AC94, TRUE)</f>
        <v>0.52255107582056926</v>
      </c>
      <c r="AB94" s="5587" cm="1">
        <f t="array" aca="1" ref="AB94" ca="1">INDIRECT("'※ 영기팀 작성_가입자'!"&amp;AB$1&amp;$AC94, TRUE)</f>
        <v>-0.26349586934187935</v>
      </c>
      <c r="AC94" s="5364">
        <f>ROW('※ 영기팀 작성_가입자'!AH339)</f>
        <v>339</v>
      </c>
    </row>
    <row r="95" spans="1:30" ht="18" customHeight="1" x14ac:dyDescent="0.55000000000000004">
      <c r="A95" s="7177"/>
      <c r="B95" s="2639"/>
      <c r="C95" s="2639" t="s">
        <v>131</v>
      </c>
      <c r="D95" s="5578" cm="1">
        <f t="array" aca="1" ref="D95" ca="1">INDIRECT("'※ 영기팀 작성_가입자'!"&amp;D$1&amp;$AC95, TRUE)</f>
        <v>0.38125867070248454</v>
      </c>
      <c r="E95" s="5579" cm="1">
        <f t="array" aca="1" ref="E95" ca="1">INDIRECT("'※ 영기팀 작성_가입자'!"&amp;E$1&amp;$AC95, TRUE)</f>
        <v>0.40950092600136173</v>
      </c>
      <c r="F95" s="5580" cm="1">
        <f t="array" aca="1" ref="F95" ca="1">INDIRECT("'※ 영기팀 작성_가입자'!"&amp;F$1&amp;$AC95, TRUE)</f>
        <v>0.50085763293310459</v>
      </c>
      <c r="G95" s="5579" cm="1">
        <f t="array" aca="1" ref="G95" ca="1">INDIRECT("'※ 영기팀 작성_가입자'!"&amp;G$1&amp;$AC95, TRUE)</f>
        <v>0.50181818181818183</v>
      </c>
      <c r="H95" s="5579" cm="1">
        <f t="array" aca="1" ref="H95" ca="1">INDIRECT("'※ 영기팀 작성_가입자'!"&amp;H$1&amp;$AC95, TRUE)</f>
        <v>0.56619385342789597</v>
      </c>
      <c r="I95" s="5579" cm="1">
        <f t="array" aca="1" ref="I95" ca="1">INDIRECT("'※ 영기팀 작성_가입자'!"&amp;I$1&amp;$AC95, TRUE)</f>
        <v>0.54210264075734926</v>
      </c>
      <c r="J95" s="5579" cm="1">
        <f t="array" aca="1" ref="J95" ca="1">INDIRECT("'※ 영기팀 작성_가입자'!"&amp;J$1&amp;$AC95, TRUE)</f>
        <v>0.61474958723170059</v>
      </c>
      <c r="K95" s="5579" cm="1">
        <f t="array" aca="1" ref="K95" ca="1">INDIRECT("'※ 영기팀 작성_가입자'!"&amp;K$1&amp;$AC95, TRUE)</f>
        <v>0.5108984582668793</v>
      </c>
      <c r="L95" s="5579" cm="1">
        <f t="array" aca="1" ref="L95" ca="1">INDIRECT("'※ 영기팀 작성_가입자'!"&amp;L$1&amp;$AC95, TRUE)</f>
        <v>0.33245975290153501</v>
      </c>
      <c r="M95" s="5579" cm="1">
        <f t="array" aca="1" ref="M95" ca="1">INDIRECT("'※ 영기팀 작성_가입자'!"&amp;M$1&amp;$AC95, TRUE)</f>
        <v>0.52782162588792425</v>
      </c>
      <c r="N95" s="5579" cm="1">
        <f t="array" aca="1" ref="N95" ca="1">INDIRECT("'※ 영기팀 작성_가입자'!"&amp;N$1&amp;$AC95, TRUE)</f>
        <v>0.31664853101196955</v>
      </c>
      <c r="O95" s="5579" cm="1">
        <f t="array" aca="1" ref="O95" ca="1">INDIRECT("'※ 영기팀 작성_가입자'!"&amp;O$1&amp;$AC95, TRUE)</f>
        <v>0.33116354759967453</v>
      </c>
      <c r="P95" s="5579" cm="1">
        <f t="array" aca="1" ref="P95" ca="1">INDIRECT("'※ 영기팀 작성_가입자'!"&amp;P$1&amp;$AC95, TRUE)</f>
        <v>0.33253205128205127</v>
      </c>
      <c r="Q95" s="5579" cm="1">
        <f t="array" aca="1" ref="Q95" ca="1">INDIRECT("'※ 영기팀 작성_가입자'!"&amp;Q$1&amp;$AC95, TRUE)</f>
        <v>0.33943427620632277</v>
      </c>
      <c r="R95" s="5581"/>
      <c r="S95" s="5581"/>
      <c r="T95" s="5582"/>
      <c r="U95" s="5583" cm="1">
        <f t="array" aca="1" ref="U95" ca="1">INDIRECT("'※ 영기팀 작성_가입자'!"&amp;U$2&amp;$AC95,TRUE)</f>
        <v>6.902224924271505E-3</v>
      </c>
      <c r="V95" s="3556" cm="1">
        <f t="array" aca="1" ref="V95" ca="1">INDIRECT("'※ 영기팀 작성_가입자'!"&amp;V$2&amp;$AC95,TRUE)</f>
        <v>-0.15141938233026259</v>
      </c>
      <c r="W95" s="5584" cm="1">
        <f t="array" aca="1" ref="W95" ca="1">INDIRECT("'※ 영기팀 작성_가입자'!"&amp;W$1&amp;$AC95, TRUE)</f>
        <v>0.33943427620632277</v>
      </c>
      <c r="X95" s="5581"/>
      <c r="Y95" s="5582"/>
      <c r="Z95" s="5585" cm="1">
        <f t="array" aca="1" ref="Z95" ca="1">INDIRECT("'※ 영기팀 작성_가입자'!"&amp;Z$2&amp;$AC95, TRUE)</f>
        <v>-9.7618353813593517E-2</v>
      </c>
      <c r="AA95" s="5586" cm="1">
        <f t="array" aca="1" ref="AA95" ca="1">INDIRECT("'※ 영기팀 작성_가입자'!"&amp;AA$1&amp;$AC95, TRUE)</f>
        <v>0.43793806521648376</v>
      </c>
      <c r="AB95" s="5587" cm="1">
        <f t="array" aca="1" ref="AB95" ca="1">INDIRECT("'※ 영기팀 작성_가입자'!"&amp;AB$1&amp;$AC95, TRUE)</f>
        <v>-0.15141938233026259</v>
      </c>
      <c r="AC95" s="5364">
        <f>ROW('※ 영기팀 작성_가입자'!AH340)</f>
        <v>340</v>
      </c>
    </row>
    <row r="96" spans="1:30" ht="18" customHeight="1" x14ac:dyDescent="0.55000000000000004">
      <c r="A96" s="7177"/>
      <c r="B96" s="2639"/>
      <c r="C96" s="2639" t="s">
        <v>1019</v>
      </c>
      <c r="D96" s="5578" cm="1">
        <f t="array" aca="1" ref="D96" ca="1">INDIRECT("'※ 영기팀 작성_가입자'!"&amp;D$1&amp;$AC96, TRUE)</f>
        <v>0.54969091773656686</v>
      </c>
      <c r="E96" s="5579" cm="1">
        <f t="array" aca="1" ref="E96" ca="1">INDIRECT("'※ 영기팀 작성_가입자'!"&amp;E$1&amp;$AC96, TRUE)</f>
        <v>0.55114883654703639</v>
      </c>
      <c r="F96" s="5580" cm="1">
        <f t="array" aca="1" ref="F96" ca="1">INDIRECT("'※ 영기팀 작성_가입자'!"&amp;F$1&amp;$AC96, TRUE)</f>
        <v>0.42987249544626593</v>
      </c>
      <c r="G96" s="5579" cm="1">
        <f t="array" aca="1" ref="G96" ca="1">INDIRECT("'※ 영기팀 작성_가입자'!"&amp;G$1&amp;$AC96, TRUE)</f>
        <v>0.47418738049713194</v>
      </c>
      <c r="H96" s="5579" cm="1">
        <f t="array" aca="1" ref="H96" ca="1">INDIRECT("'※ 영기팀 작성_가입자'!"&amp;H$1&amp;$AC96, TRUE)</f>
        <v>0.40052356020942409</v>
      </c>
      <c r="I96" s="5579" cm="1">
        <f t="array" aca="1" ref="I96" ca="1">INDIRECT("'※ 영기팀 작성_가입자'!"&amp;I$1&amp;$AC96, TRUE)</f>
        <v>0.40564826700898587</v>
      </c>
      <c r="J96" s="5579" cm="1">
        <f t="array" aca="1" ref="J96" ca="1">INDIRECT("'※ 영기팀 작성_가입자'!"&amp;J$1&amp;$AC96, TRUE)</f>
        <v>0.40870488322717624</v>
      </c>
      <c r="K96" s="5579" cm="1">
        <f t="array" aca="1" ref="K96" ca="1">INDIRECT("'※ 영기팀 작성_가입자'!"&amp;K$1&amp;$AC96, TRUE)</f>
        <v>0.41263940520446096</v>
      </c>
      <c r="L96" s="5579" cm="1">
        <f t="array" aca="1" ref="L96" ca="1">INDIRECT("'※ 영기팀 작성_가입자'!"&amp;L$1&amp;$AC96, TRUE)</f>
        <v>0.42992424242424243</v>
      </c>
      <c r="M96" s="5579" cm="1">
        <f t="array" aca="1" ref="M96" ca="1">INDIRECT("'※ 영기팀 작성_가입자'!"&amp;M$1&amp;$AC96, TRUE)</f>
        <v>0.5</v>
      </c>
      <c r="N96" s="5579" cm="1">
        <f t="array" aca="1" ref="N96" ca="1">INDIRECT("'※ 영기팀 작성_가입자'!"&amp;N$1&amp;$AC96, TRUE)</f>
        <v>0.42662116040955633</v>
      </c>
      <c r="O96" s="5579" cm="1">
        <f t="array" aca="1" ref="O96" ca="1">INDIRECT("'※ 영기팀 작성_가입자'!"&amp;O$1&amp;$AC96, TRUE)</f>
        <v>0.5149911816578483</v>
      </c>
      <c r="P96" s="5579" cm="1">
        <f t="array" aca="1" ref="P96" ca="1">INDIRECT("'※ 영기팀 작성_가입자'!"&amp;P$1&amp;$AC96, TRUE)</f>
        <v>0.5125523012552301</v>
      </c>
      <c r="Q96" s="5579" cm="1">
        <f t="array" aca="1" ref="Q96" ca="1">INDIRECT("'※ 영기팀 작성_가입자'!"&amp;Q$1&amp;$AC96, TRUE)</f>
        <v>0.40157480314960631</v>
      </c>
      <c r="R96" s="5581"/>
      <c r="S96" s="5581"/>
      <c r="T96" s="5582"/>
      <c r="U96" s="5583" cm="1">
        <f t="array" aca="1" ref="U96" ca="1">INDIRECT("'※ 영기팀 작성_가입자'!"&amp;U$2&amp;$AC96,TRUE)</f>
        <v>-0.1109774981056238</v>
      </c>
      <c r="V96" s="3556" cm="1">
        <f t="array" aca="1" ref="V96" ca="1">INDIRECT("'※ 영기팀 작성_가입자'!"&amp;V$2&amp;$AC96,TRUE)</f>
        <v>-0.18054198517156156</v>
      </c>
      <c r="W96" s="5584" cm="1">
        <f t="array" aca="1" ref="W96" ca="1">INDIRECT("'※ 영기팀 작성_가입자'!"&amp;W$1&amp;$AC96, TRUE)</f>
        <v>0.40157480314960631</v>
      </c>
      <c r="X96" s="5581"/>
      <c r="Y96" s="5582"/>
      <c r="Z96" s="5585" cm="1">
        <f t="array" aca="1" ref="Z96" ca="1">INDIRECT("'※ 영기팀 작성_가입자'!"&amp;Z$2&amp;$AC96, TRUE)</f>
        <v>-0.121281515033906</v>
      </c>
      <c r="AA96" s="5586" cm="1">
        <f t="array" aca="1" ref="AA96" ca="1">INDIRECT("'※ 영기팀 작성_가입자'!"&amp;AA$1&amp;$AC96, TRUE)</f>
        <v>0.44074516568277239</v>
      </c>
      <c r="AB96" s="5587" cm="1">
        <f t="array" aca="1" ref="AB96" ca="1">INDIRECT("'※ 영기팀 작성_가입자'!"&amp;AB$1&amp;$AC96, TRUE)</f>
        <v>-0.18054198517156156</v>
      </c>
      <c r="AC96" s="5364">
        <f>ROW('※ 영기팀 작성_가입자'!AH341)</f>
        <v>341</v>
      </c>
    </row>
    <row r="97" spans="1:31" ht="18" customHeight="1" x14ac:dyDescent="0.55000000000000004">
      <c r="A97" s="7177"/>
      <c r="B97" s="2639"/>
      <c r="C97" s="2639" t="s">
        <v>132</v>
      </c>
      <c r="D97" s="5578" cm="1">
        <f t="array" aca="1" ref="D97" ca="1">INDIRECT("'※ 영기팀 작성_가입자'!"&amp;D$1&amp;$AC97, TRUE)</f>
        <v>0.60044195842828529</v>
      </c>
      <c r="E97" s="5579" cm="1">
        <f t="array" aca="1" ref="E97" ca="1">INDIRECT("'※ 영기팀 작성_가입자'!"&amp;E$1&amp;$AC97, TRUE)</f>
        <v>0.79045581479271598</v>
      </c>
      <c r="F97" s="5580" cm="1">
        <f t="array" aca="1" ref="F97" ca="1">INDIRECT("'※ 영기팀 작성_가입자'!"&amp;F$1&amp;$AC97, TRUE)</f>
        <v>0.82712278558338426</v>
      </c>
      <c r="G97" s="5579" cm="1">
        <f t="array" aca="1" ref="G97" ca="1">INDIRECT("'※ 영기팀 작성_가입자'!"&amp;G$1&amp;$AC97, TRUE)</f>
        <v>0.80728667305848512</v>
      </c>
      <c r="H97" s="5579" cm="1">
        <f t="array" aca="1" ref="H97" ca="1">INDIRECT("'※ 영기팀 작성_가입자'!"&amp;H$1&amp;$AC97, TRUE)</f>
        <v>0.8071823204419889</v>
      </c>
      <c r="I97" s="5579" cm="1">
        <f t="array" aca="1" ref="I97" ca="1">INDIRECT("'※ 영기팀 작성_가입자'!"&amp;I$1&amp;$AC97, TRUE)</f>
        <v>0.80432489451476796</v>
      </c>
      <c r="J97" s="5579" cm="1">
        <f t="array" aca="1" ref="J97" ca="1">INDIRECT("'※ 영기팀 작성_가입자'!"&amp;J$1&amp;$AC97, TRUE)</f>
        <v>0.78208298983237157</v>
      </c>
      <c r="K97" s="5579" cm="1">
        <f t="array" aca="1" ref="K97" ca="1">INDIRECT("'※ 영기팀 작성_가입자'!"&amp;K$1&amp;$AC97, TRUE)</f>
        <v>0.71132596685082872</v>
      </c>
      <c r="L97" s="5579" cm="1">
        <f t="array" aca="1" ref="L97" ca="1">INDIRECT("'※ 영기팀 작성_가입자'!"&amp;L$1&amp;$AC97, TRUE)</f>
        <v>0.56593406593406592</v>
      </c>
      <c r="M97" s="5579" cm="1">
        <f t="array" aca="1" ref="M97" ca="1">INDIRECT("'※ 영기팀 작성_가입자'!"&amp;M$1&amp;$AC97, TRUE)</f>
        <v>0.65432349949135304</v>
      </c>
      <c r="N97" s="5579" cm="1">
        <f t="array" aca="1" ref="N97" ca="1">INDIRECT("'※ 영기팀 작성_가입자'!"&amp;N$1&amp;$AC97, TRUE)</f>
        <v>0.45281072717895821</v>
      </c>
      <c r="O97" s="5579" cm="1">
        <f t="array" aca="1" ref="O97" ca="1">INDIRECT("'※ 영기팀 작성_가입자'!"&amp;O$1&amp;$AC97, TRUE)</f>
        <v>0.49367784496976358</v>
      </c>
      <c r="P97" s="5579" cm="1">
        <f t="array" aca="1" ref="P97" ca="1">INDIRECT("'※ 영기팀 작성_가입자'!"&amp;P$1&amp;$AC97, TRUE)</f>
        <v>0.48006737787759685</v>
      </c>
      <c r="Q97" s="5579" cm="1">
        <f t="array" aca="1" ref="Q97" ca="1">INDIRECT("'※ 영기팀 작성_가입자'!"&amp;Q$1&amp;$AC97, TRUE)</f>
        <v>0.46314012380416431</v>
      </c>
      <c r="R97" s="5581"/>
      <c r="S97" s="5581"/>
      <c r="T97" s="5582"/>
      <c r="U97" s="5583" cm="1">
        <f t="array" aca="1" ref="U97" ca="1">INDIRECT("'※ 영기팀 작성_가입자'!"&amp;U$2&amp;$AC97,TRUE)</f>
        <v>-1.6927254073432541E-2</v>
      </c>
      <c r="V97" s="3556" cm="1">
        <f t="array" aca="1" ref="V97" ca="1">INDIRECT("'※ 영기팀 작성_가입자'!"&amp;V$2&amp;$AC97,TRUE)</f>
        <v>-0.39516417352452332</v>
      </c>
      <c r="W97" s="5584" cm="1">
        <f t="array" aca="1" ref="W97" ca="1">INDIRECT("'※ 영기팀 작성_가입자'!"&amp;W$1&amp;$AC97, TRUE)</f>
        <v>0.46314012380416431</v>
      </c>
      <c r="X97" s="5581"/>
      <c r="Y97" s="5582"/>
      <c r="Z97" s="5585" cm="1">
        <f t="array" aca="1" ref="Z97" ca="1">INDIRECT("'※ 영기팀 작성_가입자'!"&amp;Z$2&amp;$AC97, TRUE)</f>
        <v>-0.35221761248337918</v>
      </c>
      <c r="AA97" s="5586" cm="1">
        <f t="array" aca="1" ref="AA97" ca="1">INDIRECT("'※ 영기팀 작성_가입자'!"&amp;AA$1&amp;$AC97, TRUE)</f>
        <v>0.62377471731320899</v>
      </c>
      <c r="AB97" s="5587" cm="1">
        <f t="array" aca="1" ref="AB97" ca="1">INDIRECT("'※ 영기팀 작성_가입자'!"&amp;AB$1&amp;$AC97, TRUE)</f>
        <v>-0.39516417352452332</v>
      </c>
      <c r="AC97" s="5364">
        <f>ROW('※ 영기팀 작성_가입자'!AH342)</f>
        <v>342</v>
      </c>
    </row>
    <row r="98" spans="1:31" ht="18" customHeight="1" x14ac:dyDescent="0.55000000000000004">
      <c r="A98" s="7177"/>
      <c r="B98" s="2639"/>
      <c r="C98" s="2639" t="s">
        <v>954</v>
      </c>
      <c r="D98" s="5578" cm="1">
        <f t="array" aca="1" ref="D98" ca="1">INDIRECT("'※ 영기팀 작성_가입자'!"&amp;D$1&amp;$AC98, TRUE)</f>
        <v>0.60367892976588633</v>
      </c>
      <c r="E98" s="5579" cm="1">
        <f t="array" aca="1" ref="E98" ca="1">INDIRECT("'※ 영기팀 작성_가입자'!"&amp;E$1&amp;$AC98, TRUE)</f>
        <v>0.82431645871395043</v>
      </c>
      <c r="F98" s="5580" cm="1">
        <f t="array" aca="1" ref="F98" ca="1">INDIRECT("'※ 영기팀 작성_가입자'!"&amp;F$1&amp;$AC98, TRUE)</f>
        <v>0.51851851851851849</v>
      </c>
      <c r="G98" s="5579" cm="1">
        <f t="array" aca="1" ref="G98" ca="1">INDIRECT("'※ 영기팀 작성_가입자'!"&amp;G$1&amp;$AC98, TRUE)</f>
        <v>0.72727272727272729</v>
      </c>
      <c r="H98" s="5579" cm="1">
        <f t="array" aca="1" ref="H98" ca="1">INDIRECT("'※ 영기팀 작성_가입자'!"&amp;H$1&amp;$AC98, TRUE)</f>
        <v>0.51851851851851849</v>
      </c>
      <c r="I98" s="5579" cm="1">
        <f t="array" aca="1" ref="I98" ca="1">INDIRECT("'※ 영기팀 작성_가입자'!"&amp;I$1&amp;$AC98, TRUE)</f>
        <v>0.62903225806451613</v>
      </c>
      <c r="J98" s="5579" cm="1">
        <f t="array" aca="1" ref="J98" ca="1">INDIRECT("'※ 영기팀 작성_가입자'!"&amp;J$1&amp;$AC98, TRUE)</f>
        <v>0.73311897106109325</v>
      </c>
      <c r="K98" s="5579" cm="1">
        <f t="array" aca="1" ref="K98" ca="1">INDIRECT("'※ 영기팀 작성_가입자'!"&amp;K$1&amp;$AC98, TRUE)</f>
        <v>0.75634517766497467</v>
      </c>
      <c r="L98" s="5579" cm="1">
        <f t="array" aca="1" ref="L98" ca="1">INDIRECT("'※ 영기팀 작성_가입자'!"&amp;L$1&amp;$AC98, TRUE)</f>
        <v>0.7303754266211604</v>
      </c>
      <c r="M98" s="5579" cm="1">
        <f t="array" aca="1" ref="M98" ca="1">INDIRECT("'※ 영기팀 작성_가입자'!"&amp;M$1&amp;$AC98, TRUE)</f>
        <v>0.59756097560975607</v>
      </c>
      <c r="N98" s="5579" cm="1">
        <f t="array" aca="1" ref="N98" ca="1">INDIRECT("'※ 영기팀 작성_가입자'!"&amp;N$1&amp;$AC98, TRUE)</f>
        <v>0.54304635761589404</v>
      </c>
      <c r="O98" s="5579" cm="1">
        <f t="array" aca="1" ref="O98" ca="1">INDIRECT("'※ 영기팀 작성_가입자'!"&amp;O$1&amp;$AC98, TRUE)</f>
        <v>0.5089285714285714</v>
      </c>
      <c r="P98" s="5579" cm="1">
        <f t="array" aca="1" ref="P98" ca="1">INDIRECT("'※ 영기팀 작성_가입자'!"&amp;P$1&amp;$AC98, TRUE)</f>
        <v>0.52413793103448281</v>
      </c>
      <c r="Q98" s="5579" cm="1">
        <f t="array" aca="1" ref="Q98" ca="1">INDIRECT("'※ 영기팀 작성_가입자'!"&amp;Q$1&amp;$AC98, TRUE)</f>
        <v>0.55384615384615388</v>
      </c>
      <c r="R98" s="5581"/>
      <c r="S98" s="5581"/>
      <c r="T98" s="5582"/>
      <c r="U98" s="5583" cm="1">
        <f t="array" aca="1" ref="U98" ca="1">INDIRECT("'※ 영기팀 작성_가입자'!"&amp;U$2&amp;$AC98,TRUE)</f>
        <v>2.970822281167107E-2</v>
      </c>
      <c r="V98" s="3556" cm="1">
        <f t="array" aca="1" ref="V98" ca="1">INDIRECT("'※ 영기팀 작성_가입자'!"&amp;V$2&amp;$AC98,TRUE)</f>
        <v>-0.13365384615384612</v>
      </c>
      <c r="W98" s="5584" cm="1">
        <f t="array" aca="1" ref="W98" ca="1">INDIRECT("'※ 영기팀 작성_가입자'!"&amp;W$1&amp;$AC98, TRUE)</f>
        <v>0.55384615384615388</v>
      </c>
      <c r="X98" s="5581"/>
      <c r="Y98" s="5582"/>
      <c r="Z98" s="5585" cm="1">
        <f t="array" aca="1" ref="Z98" ca="1">INDIRECT("'※ 영기팀 작성_가입자'!"&amp;Z$2&amp;$AC98, TRUE)</f>
        <v>-0.26080389668097681</v>
      </c>
      <c r="AA98" s="5586" cm="1">
        <f t="array" aca="1" ref="AA98" ca="1">INDIRECT("'※ 영기팀 작성_가입자'!"&amp;AA$1&amp;$AC98, TRUE)</f>
        <v>0.61466910188200008</v>
      </c>
      <c r="AB98" s="5587" cm="1">
        <f t="array" aca="1" ref="AB98" ca="1">INDIRECT("'※ 영기팀 작성_가입자'!"&amp;AB$1&amp;$AC98, TRUE)</f>
        <v>-0.13365384615384612</v>
      </c>
      <c r="AC98" s="5364">
        <f>ROW('※ 영기팀 작성_가입자'!AH343)</f>
        <v>343</v>
      </c>
    </row>
    <row r="99" spans="1:31" ht="18" customHeight="1" x14ac:dyDescent="0.55000000000000004">
      <c r="A99" s="7177"/>
      <c r="B99" s="5598" t="s">
        <v>99</v>
      </c>
      <c r="C99" s="5599"/>
      <c r="D99" s="5600" cm="1">
        <f t="array" aca="1" ref="D99" ca="1">INDIRECT("'※ 영기팀 작성_가입자'!"&amp;D$1&amp;$AC99, TRUE)</f>
        <v>0.92850909579109886</v>
      </c>
      <c r="E99" s="5601" cm="1">
        <f t="array" aca="1" ref="E99" ca="1">INDIRECT("'※ 영기팀 작성_가입자'!"&amp;E$1&amp;$AC99, TRUE)</f>
        <v>0.9015404439758683</v>
      </c>
      <c r="F99" s="5602" cm="1">
        <f t="array" aca="1" ref="F99" ca="1">INDIRECT("'※ 영기팀 작성_가입자'!"&amp;F$1&amp;$AC99, TRUE)</f>
        <v>0.91246873883529833</v>
      </c>
      <c r="G99" s="5601" cm="1">
        <f t="array" aca="1" ref="G99" ca="1">INDIRECT("'※ 영기팀 작성_가입자'!"&amp;G$1&amp;$AC99, TRUE)</f>
        <v>0.94342762063227958</v>
      </c>
      <c r="H99" s="5601" cm="1">
        <f t="array" aca="1" ref="H99" ca="1">INDIRECT("'※ 영기팀 작성_가입자'!"&amp;H$1&amp;$AC99, TRUE)</f>
        <v>0.89565465980560321</v>
      </c>
      <c r="I99" s="5601" cm="1">
        <f t="array" aca="1" ref="I99" ca="1">INDIRECT("'※ 영기팀 작성_가입자'!"&amp;I$1&amp;$AC99, TRUE)</f>
        <v>0.88815117466802862</v>
      </c>
      <c r="J99" s="5601" cm="1">
        <f t="array" aca="1" ref="J99" ca="1">INDIRECT("'※ 영기팀 작성_가입자'!"&amp;J$1&amp;$AC99, TRUE)</f>
        <v>0.90816885964912286</v>
      </c>
      <c r="K99" s="5601" cm="1">
        <f t="array" aca="1" ref="K99" ca="1">INDIRECT("'※ 영기팀 작성_가입자'!"&amp;K$1&amp;$AC99, TRUE)</f>
        <v>0.9151452282157676</v>
      </c>
      <c r="L99" s="5601" cm="1">
        <f t="array" aca="1" ref="L99" ca="1">INDIRECT("'※ 영기팀 작성_가입자'!"&amp;L$1&amp;$AC99, TRUE)</f>
        <v>0.89231582657737041</v>
      </c>
      <c r="M99" s="5601" cm="1">
        <f t="array" aca="1" ref="M99" ca="1">INDIRECT("'※ 영기팀 작성_가입자'!"&amp;M$1&amp;$AC99, TRUE)</f>
        <v>0.91305555555555551</v>
      </c>
      <c r="N99" s="5601" cm="1">
        <f t="array" aca="1" ref="N99" ca="1">INDIRECT("'※ 영기팀 작성_가입자'!"&amp;N$1&amp;$AC99, TRUE)</f>
        <v>0.90224980605120242</v>
      </c>
      <c r="O99" s="5601" cm="1">
        <f t="array" aca="1" ref="O99" ca="1">INDIRECT("'※ 영기팀 작성_가입자'!"&amp;O$1&amp;$AC99, TRUE)</f>
        <v>0.93520661157024798</v>
      </c>
      <c r="P99" s="5601" cm="1">
        <f t="array" aca="1" ref="P99" ca="1">INDIRECT("'※ 영기팀 작성_가입자'!"&amp;P$1&amp;$AC99, TRUE)</f>
        <v>0.9449915110356536</v>
      </c>
      <c r="Q99" s="5601" cm="1">
        <f t="array" aca="1" ref="Q99" ca="1">INDIRECT("'※ 영기팀 작성_가입자'!"&amp;Q$1&amp;$AC99, TRUE)</f>
        <v>0.93940455341506135</v>
      </c>
      <c r="R99" s="5581"/>
      <c r="S99" s="5581"/>
      <c r="T99" s="5582"/>
      <c r="U99" s="5603" cm="1">
        <f t="array" aca="1" ref="U99" ca="1">INDIRECT("'※ 영기팀 작성_가입자'!"&amp;U$2&amp;$AC99,TRUE)</f>
        <v>-5.5869576205922478E-3</v>
      </c>
      <c r="V99" s="5604" cm="1">
        <f t="array" aca="1" ref="V99" ca="1">INDIRECT("'※ 영기팀 작성_가입자'!"&amp;V$2&amp;$AC99,TRUE)</f>
        <v>1.9351695800261193E-2</v>
      </c>
      <c r="W99" s="5605" cm="1">
        <f t="array" aca="1" ref="W99" ca="1">INDIRECT("'※ 영기팀 작성_가입자'!"&amp;W$1&amp;$AC99, TRUE)</f>
        <v>0.93940455341506135</v>
      </c>
      <c r="X99" s="5581"/>
      <c r="Y99" s="5582"/>
      <c r="Z99" s="5606" cm="1">
        <f t="array" aca="1" ref="Z99" ca="1">INDIRECT("'※ 영기팀 작성_가입자'!"&amp;Z$2&amp;$AC99, TRUE)</f>
        <v>5.0186277390247724E-2</v>
      </c>
      <c r="AA99" s="5607" cm="1">
        <f t="array" aca="1" ref="AA99" ca="1">INDIRECT("'※ 영기팀 작성_가입자'!"&amp;AA$1&amp;$AC99, TRUE)</f>
        <v>0.91809799671591275</v>
      </c>
      <c r="AB99" s="5608" cm="1">
        <f t="array" aca="1" ref="AB99" ca="1">INDIRECT("'※ 영기팀 작성_가입자'!"&amp;AB$1&amp;$AC99, TRUE)</f>
        <v>1.9351695800261193E-2</v>
      </c>
      <c r="AC99" s="5364">
        <f>ROW('※ 영기팀 작성_가입자'!AH344)</f>
        <v>344</v>
      </c>
      <c r="AD99" s="5360" t="e">
        <f>ROW('※ 영기팀 작성_가입자'!#REF!)</f>
        <v>#REF!</v>
      </c>
    </row>
    <row r="100" spans="1:31" ht="18" customHeight="1" x14ac:dyDescent="0.55000000000000004">
      <c r="A100" s="7177"/>
      <c r="B100" s="2639"/>
      <c r="C100" s="2639" t="s">
        <v>131</v>
      </c>
      <c r="D100" s="5578" cm="1">
        <f t="array" aca="1" ref="D100" ca="1">INDIRECT("'※ 영기팀 작성_가입자'!"&amp;D$1&amp;$AC100, TRUE)</f>
        <v>0.96199143468950754</v>
      </c>
      <c r="E100" s="5579" cm="1">
        <f t="array" aca="1" ref="E100" ca="1">INDIRECT("'※ 영기팀 작성_가입자'!"&amp;E$1&amp;$AC100, TRUE)</f>
        <v>0.95103603009106508</v>
      </c>
      <c r="F100" s="5580" cm="1">
        <f t="array" aca="1" ref="F100" ca="1">INDIRECT("'※ 영기팀 작성_가입자'!"&amp;F$1&amp;$AC100, TRUE)</f>
        <v>0.96673819742489275</v>
      </c>
      <c r="G100" s="5579" cm="1">
        <f t="array" aca="1" ref="G100" ca="1">INDIRECT("'※ 영기팀 작성_가입자'!"&amp;G$1&amp;$AC100, TRUE)</f>
        <v>0.98139534883720925</v>
      </c>
      <c r="H100" s="5579" cm="1">
        <f t="array" aca="1" ref="H100" ca="1">INDIRECT("'※ 영기팀 작성_가입자'!"&amp;H$1&amp;$AC100, TRUE)</f>
        <v>0.95213549337260672</v>
      </c>
      <c r="I100" s="5579" cm="1">
        <f t="array" aca="1" ref="I100" ca="1">INDIRECT("'※ 영기팀 작성_가입자'!"&amp;I$1&amp;$AC100, TRUE)</f>
        <v>0.97028502122498483</v>
      </c>
      <c r="J100" s="5579" cm="1">
        <f t="array" aca="1" ref="J100" ca="1">INDIRECT("'※ 영기팀 작성_가입자'!"&amp;J$1&amp;$AC100, TRUE)</f>
        <v>0.97147435897435896</v>
      </c>
      <c r="K100" s="5579" cm="1">
        <f t="array" aca="1" ref="K100" ca="1">INDIRECT("'※ 영기팀 작성_가입자'!"&amp;K$1&amp;$AC100, TRUE)</f>
        <v>0.96455696202531649</v>
      </c>
      <c r="L100" s="5579" cm="1">
        <f t="array" aca="1" ref="L100" ca="1">INDIRECT("'※ 영기팀 작성_가입자'!"&amp;L$1&amp;$AC100, TRUE)</f>
        <v>0.97769197769197769</v>
      </c>
      <c r="M100" s="5579" cm="1">
        <f t="array" aca="1" ref="M100" ca="1">INDIRECT("'※ 영기팀 작성_가입자'!"&amp;M$1&amp;$AC100, TRUE)</f>
        <v>0.97184115523465708</v>
      </c>
      <c r="N100" s="5579" cm="1">
        <f t="array" aca="1" ref="N100" ca="1">INDIRECT("'※ 영기팀 작성_가입자'!"&amp;N$1&amp;$AC100, TRUE)</f>
        <v>0.97407647440051848</v>
      </c>
      <c r="O100" s="5579" cm="1">
        <f t="array" aca="1" ref="O100" ca="1">INDIRECT("'※ 영기팀 작성_가입자'!"&amp;O$1&amp;$AC100, TRUE)</f>
        <v>0.94670542635658916</v>
      </c>
      <c r="P100" s="5579" cm="1">
        <f t="array" aca="1" ref="P100" ca="1">INDIRECT("'※ 영기팀 작성_가입자'!"&amp;P$1&amp;$AC100, TRUE)</f>
        <v>0.96881091617933723</v>
      </c>
      <c r="Q100" s="5579" cm="1">
        <f t="array" aca="1" ref="Q100" ca="1">INDIRECT("'※ 영기팀 작성_가입자'!"&amp;Q$1&amp;$AC100, TRUE)</f>
        <v>0.96058091286307057</v>
      </c>
      <c r="R100" s="5582"/>
      <c r="S100" s="5582"/>
      <c r="T100" s="5609"/>
      <c r="U100" s="5583" cm="1">
        <f t="array" aca="1" ref="U100" ca="1">INDIRECT("'※ 영기팀 작성_가입자'!"&amp;U$2&amp;$AC100,TRUE)</f>
        <v>-8.2300033162666653E-3</v>
      </c>
      <c r="V100" s="3556" cm="1">
        <f t="array" aca="1" ref="V100" ca="1">INDIRECT("'※ 영기팀 작성_가입자'!"&amp;V$2&amp;$AC100,TRUE)</f>
        <v>-3.3079760258183377E-3</v>
      </c>
      <c r="W100" s="5584" cm="1">
        <f t="array" aca="1" ref="W100" ca="1">INDIRECT("'※ 영기팀 작성_가입자'!"&amp;W$1&amp;$AC100, TRUE)</f>
        <v>0.96058091286307057</v>
      </c>
      <c r="X100" s="5610"/>
      <c r="Y100" s="5582"/>
      <c r="Z100" s="5585" cm="1">
        <f t="array" aca="1" ref="Z100" ca="1">INDIRECT("'※ 영기팀 작성_가입자'!"&amp;Z$2&amp;$AC100, TRUE)</f>
        <v>5.5647140474780477E-3</v>
      </c>
      <c r="AA100" s="5586" cm="1">
        <f t="array" aca="1" ref="AA100" ca="1">INDIRECT("'※ 영기팀 작성_가입자'!"&amp;AA$1&amp;$AC100, TRUE)</f>
        <v>0.96667791333530817</v>
      </c>
      <c r="AB100" s="5587" cm="1">
        <f t="array" aca="1" ref="AB100" ca="1">INDIRECT("'※ 영기팀 작성_가입자'!"&amp;AB$1&amp;$AC100, TRUE)</f>
        <v>-3.3079760258183377E-3</v>
      </c>
      <c r="AC100" s="5364">
        <f>ROW('※ 영기팀 작성_가입자'!AH345)</f>
        <v>345</v>
      </c>
    </row>
    <row r="101" spans="1:31" x14ac:dyDescent="0.55000000000000004">
      <c r="A101" s="7177"/>
      <c r="B101" s="2639"/>
      <c r="C101" s="2639" t="s">
        <v>1019</v>
      </c>
      <c r="D101" s="5578" cm="1">
        <f t="array" aca="1" ref="D101" ca="1">INDIRECT("'※ 영기팀 작성_가입자'!"&amp;D$1&amp;$AC101, TRUE)</f>
        <v>0.77732667083073081</v>
      </c>
      <c r="E101" s="5579" cm="1">
        <f t="array" aca="1" ref="E101" ca="1">INDIRECT("'※ 영기팀 작성_가입자'!"&amp;E$1&amp;$AC101, TRUE)</f>
        <v>0.48838845883180859</v>
      </c>
      <c r="F101" s="5580" cm="1">
        <f t="array" aca="1" ref="F101" ca="1">INDIRECT("'※ 영기팀 작성_가입자'!"&amp;F$1&amp;$AC101, TRUE)</f>
        <v>0.40254237288135591</v>
      </c>
      <c r="G101" s="5579" cm="1">
        <f t="array" aca="1" ref="G101" ca="1">INDIRECT("'※ 영기팀 작성_가입자'!"&amp;G$1&amp;$AC101, TRUE)</f>
        <v>0.42452830188679247</v>
      </c>
      <c r="H101" s="5579" cm="1">
        <f t="array" aca="1" ref="H101" ca="1">INDIRECT("'※ 영기팀 작성_가입자'!"&amp;H$1&amp;$AC101, TRUE)</f>
        <v>0.35389610389610388</v>
      </c>
      <c r="I101" s="5579" cm="1">
        <f t="array" aca="1" ref="I101" ca="1">INDIRECT("'※ 영기팀 작성_가입자'!"&amp;I$1&amp;$AC101, TRUE)</f>
        <v>0.25806451612903225</v>
      </c>
      <c r="J101" s="5579" cm="1">
        <f t="array" aca="1" ref="J101" ca="1">INDIRECT("'※ 영기팀 작성_가입자'!"&amp;J$1&amp;$AC101, TRUE)</f>
        <v>0.32589285714285715</v>
      </c>
      <c r="K101" s="5579" cm="1">
        <f t="array" aca="1" ref="K101" ca="1">INDIRECT("'※ 영기팀 작성_가입자'!"&amp;K$1&amp;$AC101, TRUE)</f>
        <v>0.30716723549488056</v>
      </c>
      <c r="L101" s="5579" cm="1">
        <f t="array" aca="1" ref="L101" ca="1">INDIRECT("'※ 영기팀 작성_가입자'!"&amp;L$1&amp;$AC101, TRUE)</f>
        <v>0.25996533795493937</v>
      </c>
      <c r="M101" s="5579" cm="1">
        <f t="array" aca="1" ref="M101" ca="1">INDIRECT("'※ 영기팀 작성_가입자'!"&amp;M$1&amp;$AC101, TRUE)</f>
        <v>0.33225806451612905</v>
      </c>
      <c r="N101" s="5579" cm="1">
        <f t="array" aca="1" ref="N101" ca="1">INDIRECT("'※ 영기팀 작성_가입자'!"&amp;N$1&amp;$AC101, TRUE)</f>
        <v>0.2857142857142857</v>
      </c>
      <c r="O101" s="5579" cm="1">
        <f t="array" aca="1" ref="O101" ca="1">INDIRECT("'※ 영기팀 작성_가입자'!"&amp;O$1&amp;$AC101, TRUE)</f>
        <v>0.53594771241830064</v>
      </c>
      <c r="P101" s="5579" cm="1">
        <f t="array" aca="1" ref="P101" ca="1">INDIRECT("'※ 영기팀 작성_가입자'!"&amp;P$1&amp;$AC101, TRUE)</f>
        <v>0.54545454545454541</v>
      </c>
      <c r="Q101" s="5579" cm="1">
        <f t="array" aca="1" ref="Q101" ca="1">INDIRECT("'※ 영기팀 작성_가입자'!"&amp;Q$1&amp;$AC101, TRUE)</f>
        <v>0.5446428571428571</v>
      </c>
      <c r="R101" s="5582"/>
      <c r="S101" s="5582"/>
      <c r="T101" s="5609"/>
      <c r="U101" s="5583" cm="1">
        <f t="array" aca="1" ref="U101" ca="1">INDIRECT("'※ 영기팀 작성_가입자'!"&amp;U$2&amp;$AC101,TRUE)</f>
        <v>-8.116883116883189E-4</v>
      </c>
      <c r="V101" s="3556" cm="1">
        <f t="array" aca="1" ref="V101" ca="1">INDIRECT("'※ 영기팀 작성_가입자'!"&amp;V$2&amp;$AC101,TRUE)</f>
        <v>0.13923745173745167</v>
      </c>
      <c r="W101" s="5584" cm="1">
        <f t="array" aca="1" ref="W101" ca="1">INDIRECT("'※ 영기팀 작성_가입자'!"&amp;W$1&amp;$AC101, TRUE)</f>
        <v>0.5446428571428571</v>
      </c>
      <c r="X101" s="5610"/>
      <c r="Y101" s="5582"/>
      <c r="Z101" s="5585" cm="1">
        <f t="array" aca="1" ref="Z101" ca="1">INDIRECT("'※ 영기팀 작성_가입자'!"&amp;Z$2&amp;$AC101, TRUE)</f>
        <v>0.13348052369730884</v>
      </c>
      <c r="AA101" s="5586" cm="1">
        <f t="array" aca="1" ref="AA101" ca="1">INDIRECT("'※ 영기팀 작성_가입자'!"&amp;AA$1&amp;$AC101, TRUE)</f>
        <v>0.39318122290779839</v>
      </c>
      <c r="AB101" s="5587" cm="1">
        <f t="array" aca="1" ref="AB101" ca="1">INDIRECT("'※ 영기팀 작성_가입자'!"&amp;AB$1&amp;$AC101, TRUE)</f>
        <v>0.13923745173745167</v>
      </c>
      <c r="AC101" s="5364">
        <f>ROW('※ 영기팀 작성_가입자'!AH346)</f>
        <v>346</v>
      </c>
    </row>
    <row r="102" spans="1:31" x14ac:dyDescent="0.55000000000000004">
      <c r="A102" s="7177"/>
      <c r="B102" s="2639"/>
      <c r="C102" s="2639" t="s">
        <v>132</v>
      </c>
      <c r="D102" s="5578" cm="1">
        <f t="array" aca="1" ref="D102" ca="1">INDIRECT("'※ 영기팀 작성_가입자'!"&amp;D$1&amp;$AC102, TRUE)</f>
        <v>0.94411945812807885</v>
      </c>
      <c r="E102" s="5579" cm="1">
        <f t="array" aca="1" ref="E102" ca="1">INDIRECT("'※ 영기팀 작성_가입자'!"&amp;E$1&amp;$AC102, TRUE)</f>
        <v>0.94480435345944547</v>
      </c>
      <c r="F102" s="5580" cm="1">
        <f t="array" aca="1" ref="F102" ca="1">INDIRECT("'※ 영기팀 작성_가입자'!"&amp;F$1&amp;$AC102, TRUE)</f>
        <v>0.96756082345602001</v>
      </c>
      <c r="G102" s="5579" cm="1">
        <f t="array" aca="1" ref="G102" ca="1">INDIRECT("'※ 영기팀 작성_가입자'!"&amp;G$1&amp;$AC102, TRUE)</f>
        <v>0.96818404307391093</v>
      </c>
      <c r="H102" s="5579" cm="1">
        <f t="array" aca="1" ref="H102" ca="1">INDIRECT("'※ 영기팀 작성_가입자'!"&amp;H$1&amp;$AC102, TRUE)</f>
        <v>0.9656724817107486</v>
      </c>
      <c r="I102" s="5579" cm="1">
        <f t="array" aca="1" ref="I102" ca="1">INDIRECT("'※ 영기팀 작성_가입자'!"&amp;I$1&amp;$AC102, TRUE)</f>
        <v>0.96834061135371163</v>
      </c>
      <c r="J102" s="5579" cm="1">
        <f t="array" aca="1" ref="J102" ca="1">INDIRECT("'※ 영기팀 작성_가입자'!"&amp;J$1&amp;$AC102, TRUE)</f>
        <v>0.9704209328782708</v>
      </c>
      <c r="K102" s="5579" cm="1">
        <f t="array" aca="1" ref="K102" ca="1">INDIRECT("'※ 영기팀 작성_가입자'!"&amp;K$1&amp;$AC102, TRUE)</f>
        <v>0.97364672364672367</v>
      </c>
      <c r="L102" s="5579" cm="1">
        <f t="array" aca="1" ref="L102" ca="1">INDIRECT("'※ 영기팀 작성_가입자'!"&amp;L$1&amp;$AC102, TRUE)</f>
        <v>0.97461724415793716</v>
      </c>
      <c r="M102" s="5579" cm="1">
        <f t="array" aca="1" ref="M102" ca="1">INDIRECT("'※ 영기팀 작성_가입자'!"&amp;M$1&amp;$AC102, TRUE)</f>
        <v>0.97746014293567884</v>
      </c>
      <c r="N102" s="5579" cm="1">
        <f t="array" aca="1" ref="N102" ca="1">INDIRECT("'※ 영기팀 작성_가입자'!"&amp;N$1&amp;$AC102, TRUE)</f>
        <v>0.97906602254428343</v>
      </c>
      <c r="O102" s="5579" cm="1">
        <f t="array" aca="1" ref="O102" ca="1">INDIRECT("'※ 영기팀 작성_가입자'!"&amp;O$1&amp;$AC102, TRUE)</f>
        <v>0.97954545454545427</v>
      </c>
      <c r="P102" s="5579" cm="1">
        <f t="array" aca="1" ref="P102" ca="1">INDIRECT("'※ 영기팀 작성_가입자'!"&amp;P$1&amp;$AC102, TRUE)</f>
        <v>0.9858740435550325</v>
      </c>
      <c r="Q102" s="5579" cm="1">
        <f t="array" aca="1" ref="Q102" ca="1">INDIRECT("'※ 영기팀 작성_가입자'!"&amp;Q$1&amp;$AC102, TRUE)</f>
        <v>0.98047337278106506</v>
      </c>
      <c r="R102" s="5582"/>
      <c r="S102" s="5582"/>
      <c r="T102" s="5609"/>
      <c r="U102" s="5583" cm="1">
        <f t="array" aca="1" ref="U102" ca="1">INDIRECT("'※ 영기팀 작성_가입자'!"&amp;U$2&amp;$AC102,TRUE)</f>
        <v>-5.400670773967442E-3</v>
      </c>
      <c r="V102" s="3556" cm="1">
        <f t="array" aca="1" ref="V102" ca="1">INDIRECT("'※ 영기팀 작성_가입자'!"&amp;V$2&amp;$AC102,TRUE)</f>
        <v>1.2520850525872151E-2</v>
      </c>
      <c r="W102" s="5584" cm="1">
        <f t="array" aca="1" ref="W102" ca="1">INDIRECT("'※ 영기팀 작성_가입자'!"&amp;W$1&amp;$AC102, TRUE)</f>
        <v>0.98047337278106506</v>
      </c>
      <c r="X102" s="5610"/>
      <c r="Y102" s="5582"/>
      <c r="Z102" s="5585" cm="1">
        <f t="array" aca="1" ref="Z102" ca="1">INDIRECT("'※ 영기팀 작성_가입자'!"&amp;Z$2&amp;$AC102, TRUE)</f>
        <v>2.8437220666429397E-2</v>
      </c>
      <c r="AA102" s="5586" cm="1">
        <f t="array" aca="1" ref="AA102" ca="1">INDIRECT("'※ 영기팀 작성_가입자'!"&amp;AA$1&amp;$AC102, TRUE)</f>
        <v>0.97531453716365668</v>
      </c>
      <c r="AB102" s="5587" cm="1">
        <f t="array" aca="1" ref="AB102" ca="1">INDIRECT("'※ 영기팀 작성_가입자'!"&amp;AB$1&amp;$AC102, TRUE)</f>
        <v>1.2520850525872151E-2</v>
      </c>
      <c r="AC102" s="5364">
        <f>ROW('※ 영기팀 작성_가입자'!AH347)</f>
        <v>347</v>
      </c>
    </row>
    <row r="103" spans="1:31" x14ac:dyDescent="0.55000000000000004">
      <c r="A103" s="7177"/>
      <c r="B103" s="2639"/>
      <c r="C103" s="2639" t="s">
        <v>954</v>
      </c>
      <c r="D103" s="5578" cm="1">
        <f t="array" aca="1" ref="D103" ca="1">INDIRECT("'※ 영기팀 작성_가입자'!"&amp;D$1&amp;$AC103, TRUE)</f>
        <v>0.62977099236641221</v>
      </c>
      <c r="E103" s="5579" cm="1">
        <f t="array" aca="1" ref="E103" ca="1">INDIRECT("'※ 영기팀 작성_가입자'!"&amp;E$1&amp;$AC103, TRUE)</f>
        <v>0.55397727272727271</v>
      </c>
      <c r="F103" s="5580" cm="1">
        <f t="array" aca="1" ref="F103" ca="1">INDIRECT("'※ 영기팀 작성_가입자'!"&amp;F$1&amp;$AC103, TRUE)</f>
        <v>0.3</v>
      </c>
      <c r="G103" s="5579" cm="1">
        <f t="array" aca="1" ref="G103" ca="1">INDIRECT("'※ 영기팀 작성_가입자'!"&amp;G$1&amp;$AC103, TRUE)</f>
        <v>0</v>
      </c>
      <c r="H103" s="5579" cm="1">
        <f t="array" aca="1" ref="H103" ca="1">INDIRECT("'※ 영기팀 작성_가입자'!"&amp;H$1&amp;$AC103, TRUE)</f>
        <v>0.625</v>
      </c>
      <c r="I103" s="5579" t="str" cm="1">
        <f t="array" aca="1" ref="I103" ca="1">INDIRECT("'※ 영기팀 작성_가입자'!"&amp;I$1&amp;$AC103, TRUE)</f>
        <v>-</v>
      </c>
      <c r="J103" s="5579" cm="1">
        <f t="array" aca="1" ref="J103" ca="1">INDIRECT("'※ 영기팀 작성_가입자'!"&amp;J$1&amp;$AC103, TRUE)</f>
        <v>0.12021857923497267</v>
      </c>
      <c r="K103" s="5579" cm="1">
        <f t="array" aca="1" ref="K103" ca="1">INDIRECT("'※ 영기팀 작성_가입자'!"&amp;K$1&amp;$AC103, TRUE)</f>
        <v>0.52777777777777768</v>
      </c>
      <c r="L103" s="5579" cm="1">
        <f t="array" aca="1" ref="L103" ca="1">INDIRECT("'※ 영기팀 작성_가입자'!"&amp;L$1&amp;$AC103, TRUE)</f>
        <v>0.92307692307692313</v>
      </c>
      <c r="M103" s="5579" cm="1">
        <f t="array" aca="1" ref="M103" ca="1">INDIRECT("'※ 영기팀 작성_가입자'!"&amp;M$1&amp;$AC103, TRUE)</f>
        <v>0.7402597402597404</v>
      </c>
      <c r="N103" s="5579" cm="1">
        <f t="array" aca="1" ref="N103" ca="1">INDIRECT("'※ 영기팀 작성_가입자'!"&amp;N$1&amp;$AC103, TRUE)</f>
        <v>0.55855855855855852</v>
      </c>
      <c r="O103" s="5579" cm="1">
        <f t="array" aca="1" ref="O103" ca="1">INDIRECT("'※ 영기팀 작성_가입자'!"&amp;O$1&amp;$AC103, TRUE)</f>
        <v>0.58108108108108103</v>
      </c>
      <c r="P103" s="5579" cm="1">
        <f t="array" aca="1" ref="P103" ca="1">INDIRECT("'※ 영기팀 작성_가입자'!"&amp;P$1&amp;$AC103, TRUE)</f>
        <v>0.47422680412371132</v>
      </c>
      <c r="Q103" s="5579" cm="1">
        <f t="array" aca="1" ref="Q103" ca="1">INDIRECT("'※ 영기팀 작성_가입자'!"&amp;Q$1&amp;$AC103, TRUE)</f>
        <v>0.41176470588235292</v>
      </c>
      <c r="R103" s="5582"/>
      <c r="S103" s="5582"/>
      <c r="T103" s="5609"/>
      <c r="U103" s="5583" cm="1">
        <f t="array" aca="1" ref="U103" ca="1">INDIRECT("'※ 영기팀 작성_가입자'!"&amp;U$2&amp;$AC103,TRUE)</f>
        <v>-6.2462098241358399E-2</v>
      </c>
      <c r="V103" s="3556" cm="1">
        <f t="array" aca="1" ref="V103" ca="1">INDIRECT("'※ 영기팀 작성_가입자'!"&amp;V$2&amp;$AC103,TRUE)</f>
        <v>-0.16323529411764703</v>
      </c>
      <c r="W103" s="5584" cm="1">
        <f t="array" aca="1" ref="W103" ca="1">INDIRECT("'※ 영기팀 작성_가입자'!"&amp;W$1&amp;$AC103, TRUE)</f>
        <v>0.41176470588235292</v>
      </c>
      <c r="X103" s="5610"/>
      <c r="Y103" s="5582"/>
      <c r="Z103" s="5585" cm="1">
        <f t="array" aca="1" ref="Z103" ca="1">INDIRECT("'※ 영기팀 작성_가입자'!"&amp;Z$2&amp;$AC103, TRUE)</f>
        <v>-0.28876268958224194</v>
      </c>
      <c r="AA103" s="5586" cm="1">
        <f t="array" aca="1" ref="AA103" ca="1">INDIRECT("'※ 영기팀 작성_가입자'!"&amp;AA$1&amp;$AC103, TRUE)</f>
        <v>0.48852080689795196</v>
      </c>
      <c r="AB103" s="5587" cm="1">
        <f t="array" aca="1" ref="AB103" ca="1">INDIRECT("'※ 영기팀 작성_가입자'!"&amp;AB$1&amp;$AC103, TRUE)</f>
        <v>-0.16323529411764703</v>
      </c>
      <c r="AC103" s="5364">
        <f>ROW('※ 영기팀 작성_가입자'!AH348)</f>
        <v>348</v>
      </c>
    </row>
    <row r="104" spans="1:31" x14ac:dyDescent="0.55000000000000004">
      <c r="A104" s="7177"/>
      <c r="B104" s="5611" t="s">
        <v>414</v>
      </c>
      <c r="C104" s="5612"/>
      <c r="D104" s="5613" cm="1">
        <f t="array" aca="1" ref="D104" ca="1">INDIRECT("'※ 영기팀 작성_가입자'!"&amp;D$1&amp;$AC104, TRUE)</f>
        <v>0.16985682316900949</v>
      </c>
      <c r="E104" s="5614" cm="1">
        <f t="array" aca="1" ref="E104" ca="1">INDIRECT("'※ 영기팀 작성_가입자'!"&amp;E$1&amp;$AC104, TRUE)</f>
        <v>0.20697703646515969</v>
      </c>
      <c r="F104" s="5615" cm="1">
        <f t="array" aca="1" ref="F104" ca="1">INDIRECT("'※ 영기팀 작성_가입자'!"&amp;F$1&amp;$AC104, TRUE)</f>
        <v>0.26020408163265307</v>
      </c>
      <c r="G104" s="5614" cm="1">
        <f t="array" aca="1" ref="G104" ca="1">INDIRECT("'※ 영기팀 작성_가입자'!"&amp;G$1&amp;$AC104, TRUE)</f>
        <v>0.29500489715964739</v>
      </c>
      <c r="H104" s="5614" cm="1">
        <f t="array" aca="1" ref="H104" ca="1">INDIRECT("'※ 영기팀 작성_가입자'!"&amp;H$1&amp;$AC104, TRUE)</f>
        <v>0.29727385377943</v>
      </c>
      <c r="I104" s="5614" cm="1">
        <f t="array" aca="1" ref="I104" ca="1">INDIRECT("'※ 영기팀 작성_가입자'!"&amp;I$1&amp;$AC104, TRUE)</f>
        <v>0.20475319926873858</v>
      </c>
      <c r="J104" s="5614" cm="1">
        <f t="array" aca="1" ref="J104" ca="1">INDIRECT("'※ 영기팀 작성_가입자'!"&amp;J$1&amp;$AC104, TRUE)</f>
        <v>0.25738556638477</v>
      </c>
      <c r="K104" s="5614" cm="1">
        <f t="array" aca="1" ref="K104" ca="1">INDIRECT("'※ 영기팀 작성_가입자'!"&amp;K$1&amp;$AC104, TRUE)</f>
        <v>0.26529401293538241</v>
      </c>
      <c r="L104" s="5614" cm="1">
        <f t="array" aca="1" ref="L104" ca="1">INDIRECT("'※ 영기팀 작성_가입자'!"&amp;L$1&amp;$AC104, TRUE)</f>
        <v>0.25406999102679145</v>
      </c>
      <c r="M104" s="5614" cm="1">
        <f t="array" aca="1" ref="M104" ca="1">INDIRECT("'※ 영기팀 작성_가입자'!"&amp;M$1&amp;$AC104, TRUE)</f>
        <v>0.28931858132561267</v>
      </c>
      <c r="N104" s="5614" cm="1">
        <f t="array" aca="1" ref="N104" ca="1">INDIRECT("'※ 영기팀 작성_가입자'!"&amp;N$1&amp;$AC104, TRUE)</f>
        <v>0.2235605672304801</v>
      </c>
      <c r="O104" s="5614" cm="1">
        <f t="array" aca="1" ref="O104" ca="1">INDIRECT("'※ 영기팀 작성_가입자'!"&amp;O$1&amp;$AC104, TRUE)</f>
        <v>0.22254059216809932</v>
      </c>
      <c r="P104" s="5614" cm="1">
        <f t="array" aca="1" ref="P104" ca="1">INDIRECT("'※ 영기팀 작성_가입자'!"&amp;P$1&amp;$AC104, TRUE)</f>
        <v>0.22973802701596399</v>
      </c>
      <c r="Q104" s="5614" cm="1">
        <f t="array" aca="1" ref="Q104" ca="1">INDIRECT("'※ 영기팀 작성_가입자'!"&amp;Q$1&amp;$AC104, TRUE)</f>
        <v>0.21875317807383302</v>
      </c>
      <c r="R104" s="5616"/>
      <c r="S104" s="5616"/>
      <c r="T104" s="5617"/>
      <c r="U104" s="5618" cm="1">
        <f t="array" aca="1" ref="U104" ca="1">INDIRECT("'※ 영기팀 작성_가입자'!"&amp;U$2&amp;$AC104,TRUE)</f>
        <v>-1.0984848942130976E-2</v>
      </c>
      <c r="V104" s="5619" cm="1">
        <f t="array" aca="1" ref="V104" ca="1">INDIRECT("'※ 영기팀 작성_가입자'!"&amp;V$2&amp;$AC104,TRUE)</f>
        <v>-5.2951933784286837E-2</v>
      </c>
      <c r="W104" s="5620" cm="1">
        <f t="array" aca="1" ref="W104" ca="1">INDIRECT("'※ 영기팀 작성_가입자'!"&amp;W$1&amp;$AC104, TRUE)</f>
        <v>0.21875317807383302</v>
      </c>
      <c r="X104" s="5621"/>
      <c r="Y104" s="5616"/>
      <c r="Z104" s="5622" cm="1">
        <f t="array" aca="1" ref="Z104" ca="1">INDIRECT("'※ 영기팀 작성_가입자'!"&amp;Z$2&amp;$AC104, TRUE)</f>
        <v>-6.3633921549411943E-3</v>
      </c>
      <c r="AA104" s="5623" cm="1">
        <f t="array" aca="1" ref="AA104" ca="1">INDIRECT("'※ 영기팀 작성_가입자'!"&amp;AA$1&amp;$AC104, TRUE)</f>
        <v>0.24803713703688182</v>
      </c>
      <c r="AB104" s="5624" cm="1">
        <f t="array" aca="1" ref="AB104" ca="1">INDIRECT("'※ 영기팀 작성_가입자'!"&amp;AB$1&amp;$AC104, TRUE)</f>
        <v>-5.2951933784286837E-2</v>
      </c>
      <c r="AC104" s="5364">
        <f>ROW('※ 영기팀 작성_가입자'!AH349)</f>
        <v>349</v>
      </c>
    </row>
    <row r="105" spans="1:31" x14ac:dyDescent="0.55000000000000004">
      <c r="A105" s="7177"/>
      <c r="B105" s="5625" t="s">
        <v>101</v>
      </c>
      <c r="C105" s="5539"/>
      <c r="D105" s="3646" cm="1">
        <f t="array" aca="1" ref="D105" ca="1">INDIRECT("'※ 영기팀 작성_가입자'!"&amp;D$1&amp;$AC105, TRUE)</f>
        <v>15636</v>
      </c>
      <c r="E105" s="3647" cm="1">
        <f t="array" aca="1" ref="E105" ca="1">INDIRECT("'※ 영기팀 작성_가입자'!"&amp;E$1&amp;$AC105, TRUE)</f>
        <v>24800</v>
      </c>
      <c r="F105" s="5557" cm="1">
        <f t="array" aca="1" ref="F105" ca="1">INDIRECT("'※ 영기팀 작성_가입자'!"&amp;F$1&amp;$AC105, TRUE)</f>
        <v>2040</v>
      </c>
      <c r="G105" s="3647" cm="1">
        <f t="array" aca="1" ref="G105" ca="1">INDIRECT("'※ 영기팀 작성_가입자'!"&amp;G$1&amp;$AC105, TRUE)</f>
        <v>3012</v>
      </c>
      <c r="H105" s="3647" cm="1">
        <f t="array" aca="1" ref="H105" ca="1">INDIRECT("'※ 영기팀 작성_가입자'!"&amp;H$1&amp;$AC105, TRUE)</f>
        <v>2390</v>
      </c>
      <c r="I105" s="3647" cm="1">
        <f t="array" aca="1" ref="I105" ca="1">INDIRECT("'※ 영기팀 작성_가입자'!"&amp;I$1&amp;$AC105, TRUE)</f>
        <v>2688</v>
      </c>
      <c r="J105" s="3647" cm="1">
        <f t="array" aca="1" ref="J105" ca="1">INDIRECT("'※ 영기팀 작성_가입자'!"&amp;J$1&amp;$AC105, TRUE)</f>
        <v>6787</v>
      </c>
      <c r="K105" s="3647" cm="1">
        <f t="array" aca="1" ref="K105" ca="1">INDIRECT("'※ 영기팀 작성_가입자'!"&amp;K$1&amp;$AC105, TRUE)</f>
        <v>4471</v>
      </c>
      <c r="L105" s="3647" cm="1">
        <f t="array" aca="1" ref="L105" ca="1">INDIRECT("'※ 영기팀 작성_가입자'!"&amp;L$1&amp;$AC105, TRUE)</f>
        <v>3964</v>
      </c>
      <c r="M105" s="3647" cm="1">
        <f t="array" aca="1" ref="M105" ca="1">INDIRECT("'※ 영기팀 작성_가입자'!"&amp;M$1&amp;$AC105, TRUE)</f>
        <v>2798</v>
      </c>
      <c r="N105" s="3647" cm="1">
        <f t="array" aca="1" ref="N105" ca="1">INDIRECT("'※ 영기팀 작성_가입자'!"&amp;N$1&amp;$AC105, TRUE)</f>
        <v>2617</v>
      </c>
      <c r="O105" s="3647" cm="1">
        <f t="array" aca="1" ref="O105" ca="1">INDIRECT("'※ 영기팀 작성_가입자'!"&amp;O$1&amp;$AC105, TRUE)</f>
        <v>2330</v>
      </c>
      <c r="P105" s="3647" cm="1">
        <f t="array" aca="1" ref="P105" ca="1">INDIRECT("'※ 영기팀 작성_가입자'!"&amp;P$1&amp;$AC105, TRUE)</f>
        <v>2245</v>
      </c>
      <c r="Q105" s="3647" cm="1">
        <f t="array" aca="1" ref="Q105" ca="1">INDIRECT("'※ 영기팀 작성_가입자'!"&amp;Q$1&amp;$AC105, TRUE)</f>
        <v>2151</v>
      </c>
      <c r="R105" s="5626"/>
      <c r="S105" s="5626"/>
      <c r="T105" s="5626"/>
      <c r="U105" s="5081" cm="1">
        <f t="array" aca="1" ref="U105" ca="1">INDIRECT("'※ 영기팀 작성_가입자'!"&amp;U$2&amp;$AC105,TRUE)</f>
        <v>-94</v>
      </c>
      <c r="V105" s="5082" cm="1">
        <f t="array" aca="1" ref="V105" ca="1">INDIRECT("'※ 영기팀 작성_가입자'!"&amp;V$2&amp;$AC105,TRUE)</f>
        <v>-193</v>
      </c>
      <c r="W105" s="3649" cm="1">
        <f t="array" aca="1" ref="W105" ca="1">INDIRECT("'※ 영기팀 작성_가입자'!"&amp;W$1&amp;$AC105, TRUE)</f>
        <v>37493</v>
      </c>
      <c r="X105" s="5626"/>
      <c r="Y105" s="5626"/>
      <c r="Z105" s="4910" cm="1">
        <f t="array" aca="1" ref="Z105" ca="1">INDIRECT("'※ 영기팀 작성_가입자'!"&amp;Z$2&amp;$AC105, TRUE)</f>
        <v>12693</v>
      </c>
      <c r="AA105" s="5470" cm="1">
        <f t="array" aca="1" ref="AA105" ca="1">INDIRECT("'※ 영기팀 작성_가입자'!"&amp;AA$1&amp;$AC105, TRUE)</f>
        <v>6078.833333333333</v>
      </c>
      <c r="AB105" s="5627" cm="1">
        <f t="array" aca="1" ref="AB105" ca="1">INDIRECT("'※ 영기팀 작성_가입자'!"&amp;AB$1&amp;$AC105, TRUE)</f>
        <v>-193</v>
      </c>
      <c r="AC105" s="5364">
        <f>ROW('※ 영기팀 작성_가입자'!AH352)</f>
        <v>352</v>
      </c>
    </row>
    <row r="106" spans="1:31" x14ac:dyDescent="0.55000000000000004">
      <c r="A106" s="7177"/>
      <c r="B106" s="2639"/>
      <c r="C106" s="5539" t="s">
        <v>416</v>
      </c>
      <c r="D106" s="5628" cm="1">
        <f t="array" aca="1" ref="D106" ca="1">INDIRECT("'※ 영기팀 작성_가입자'!"&amp;D$1&amp;$AC106, TRUE)</f>
        <v>0.22068808124607747</v>
      </c>
      <c r="E106" s="5629" cm="1">
        <f t="array" aca="1" ref="E106" ca="1">INDIRECT("'※ 영기팀 작성_가입자'!"&amp;E$1&amp;$AC106, TRUE)</f>
        <v>0.36093857832988269</v>
      </c>
      <c r="F106" s="5630" cm="1">
        <f t="array" aca="1" ref="F106" ca="1">INDIRECT("'※ 영기팀 작성_가입자'!"&amp;F$1&amp;$AC106, TRUE)</f>
        <v>0.32096635030198445</v>
      </c>
      <c r="G106" s="5629" cm="1">
        <f t="array" aca="1" ref="G106" ca="1">INDIRECT("'※ 영기팀 작성_가입자'!"&amp;G$1&amp;$AC106, TRUE)</f>
        <v>0.39217512808570099</v>
      </c>
      <c r="H106" s="5629" cm="1">
        <f t="array" aca="1" ref="H106" ca="1">INDIRECT("'※ 영기팀 작성_가입자'!"&amp;H$1&amp;$AC106, TRUE)</f>
        <v>0.32809553739786296</v>
      </c>
      <c r="I106" s="5629" cm="1">
        <f t="array" aca="1" ref="I106" ca="1">INDIRECT("'※ 영기팀 작성_가입자'!"&amp;I$1&amp;$AC106, TRUE)</f>
        <v>0.21771327014218009</v>
      </c>
      <c r="J106" s="5629" cm="1">
        <f t="array" aca="1" ref="J106" ca="1">INDIRECT("'※ 영기팀 작성_가입자'!"&amp;J$1&amp;$AC106, TRUE)</f>
        <v>0.33755452370901928</v>
      </c>
      <c r="K106" s="5629" cm="1">
        <f t="array" aca="1" ref="K106" ca="1">INDIRECT("'※ 영기팀 작성_가입자'!"&amp;K$1&amp;$AC106, TRUE)</f>
        <v>0.32896600566572232</v>
      </c>
      <c r="L106" s="5629" cm="1">
        <f t="array" aca="1" ref="L106" ca="1">INDIRECT("'※ 영기팀 작성_가입자'!"&amp;L$1&amp;$AC106, TRUE)</f>
        <v>0.34352117160140083</v>
      </c>
      <c r="M106" s="5629" cm="1">
        <f t="array" aca="1" ref="M106" ca="1">INDIRECT("'※ 영기팀 작성_가입자'!"&amp;M$1&amp;$AC106, TRUE)</f>
        <v>0.30757220921155348</v>
      </c>
      <c r="N106" s="5629" cm="1">
        <f t="array" aca="1" ref="N106" ca="1">INDIRECT("'※ 영기팀 작성_가입자'!"&amp;N$1&amp;$AC106, TRUE)</f>
        <v>0.28450578806767585</v>
      </c>
      <c r="O106" s="5629" cm="1">
        <f t="array" aca="1" ref="O106" ca="1">INDIRECT("'※ 영기팀 작성_가입자'!"&amp;O$1&amp;$AC106, TRUE)</f>
        <v>0.23367003367003367</v>
      </c>
      <c r="P106" s="5629" cm="1">
        <f t="array" aca="1" ref="P106" ca="1">INDIRECT("'※ 영기팀 작성_가입자'!"&amp;P$1&amp;$AC106, TRUE)</f>
        <v>0.2648221343873518</v>
      </c>
      <c r="Q106" s="5629" cm="1">
        <f t="array" aca="1" ref="Q106" ca="1">INDIRECT("'※ 영기팀 작성_가입자'!"&amp;Q$1&amp;$AC106, TRUE)</f>
        <v>0.27613941018766758</v>
      </c>
      <c r="R106" s="5631"/>
      <c r="S106" s="5631"/>
      <c r="T106" s="5632"/>
      <c r="U106" s="5633" cm="1">
        <f t="array" aca="1" ref="U106" ca="1">INDIRECT("'※ 영기팀 작성_가입자'!"&amp;U$2&amp;$AC106,TRUE)</f>
        <v>1.1317275800315774E-2</v>
      </c>
      <c r="V106" s="5634" cm="1">
        <f t="array" aca="1" ref="V106" ca="1">INDIRECT("'※ 영기팀 작성_가입자'!"&amp;V$2&amp;$AC106,TRUE)</f>
        <v>-7.8486140473125354E-2</v>
      </c>
      <c r="W106" s="5635" cm="1">
        <f t="array" aca="1" ref="W106" ca="1">INDIRECT("'※ 영기팀 작성_가입자'!"&amp;W$1&amp;$AC106, TRUE)</f>
        <v>0.27613941018766758</v>
      </c>
      <c r="X106" s="5631"/>
      <c r="Y106" s="5632"/>
      <c r="Z106" s="3361" cm="1">
        <f t="array" aca="1" ref="Z106" ca="1">INDIRECT("'※ 영기팀 작성_가입자'!"&amp;Z$2&amp;$AC106, TRUE)</f>
        <v>-6.6091079344957171E-2</v>
      </c>
      <c r="AA106" s="5636" cm="1">
        <f t="array" aca="1" ref="AA106" ca="1">INDIRECT("'※ 영기팀 작성_가입자'!"&amp;AA$1&amp;$AC106, TRUE)</f>
        <v>0.29923955185948636</v>
      </c>
      <c r="AB106" s="5637" cm="1">
        <f t="array" aca="1" ref="AB106" ca="1">INDIRECT("'※ 영기팀 작성_가입자'!"&amp;AB$1&amp;$AC106, TRUE)</f>
        <v>-7.8486140473125354E-2</v>
      </c>
      <c r="AC106" s="5364">
        <f>ROW('※ 영기팀 작성_가입자'!AH350)</f>
        <v>350</v>
      </c>
      <c r="AE106" s="5638">
        <v>0.4</v>
      </c>
    </row>
    <row r="107" spans="1:31" s="2525" customFormat="1" x14ac:dyDescent="0.55000000000000004">
      <c r="A107" s="7177"/>
      <c r="B107" s="5625"/>
      <c r="C107" s="5639" t="s">
        <v>100</v>
      </c>
      <c r="D107" s="5640" cm="1">
        <f t="array" aca="1" ref="D107" ca="1">INDIRECT("'※ 영기팀 작성_가입자'!"&amp;D$1&amp;$AC107, TRUE)</f>
        <v>3868</v>
      </c>
      <c r="E107" s="5641" cm="1">
        <f t="array" aca="1" ref="E107" ca="1">INDIRECT("'※ 영기팀 작성_가입자'!"&amp;E$1&amp;$AC107, TRUE)</f>
        <v>6882</v>
      </c>
      <c r="F107" s="5642" cm="1">
        <f t="array" aca="1" ref="F107" ca="1">INDIRECT("'※ 영기팀 작성_가입자'!"&amp;F$1&amp;$AC107, TRUE)</f>
        <v>372</v>
      </c>
      <c r="G107" s="5641" cm="1">
        <f t="array" aca="1" ref="G107" ca="1">INDIRECT("'※ 영기팀 작성_가입자'!"&amp;G$1&amp;$AC107, TRUE)</f>
        <v>842</v>
      </c>
      <c r="H107" s="5641" cm="1">
        <f t="array" aca="1" ref="H107" ca="1">INDIRECT("'※ 영기팀 작성_가입자'!"&amp;H$1&amp;$AC107, TRUE)</f>
        <v>522</v>
      </c>
      <c r="I107" s="5641" cm="1">
        <f t="array" aca="1" ref="I107" ca="1">INDIRECT("'※ 영기팀 작성_가입자'!"&amp;I$1&amp;$AC107, TRUE)</f>
        <v>735</v>
      </c>
      <c r="J107" s="5641" cm="1">
        <f t="array" aca="1" ref="J107" ca="1">INDIRECT("'※ 영기팀 작성_가입자'!"&amp;J$1&amp;$AC107, TRUE)</f>
        <v>2399</v>
      </c>
      <c r="K107" s="5641" cm="1">
        <f t="array" aca="1" ref="K107" ca="1">INDIRECT("'※ 영기팀 작성_가입자'!"&amp;K$1&amp;$AC107, TRUE)</f>
        <v>928.99999999999989</v>
      </c>
      <c r="L107" s="5641" cm="1">
        <f t="array" aca="1" ref="L107" ca="1">INDIRECT("'※ 영기팀 작성_가입자'!"&amp;L$1&amp;$AC107, TRUE)</f>
        <v>1079</v>
      </c>
      <c r="M107" s="5641" cm="1">
        <f t="array" aca="1" ref="M107" ca="1">INDIRECT("'※ 영기팀 작성_가입자'!"&amp;M$1&amp;$AC107, TRUE)</f>
        <v>788</v>
      </c>
      <c r="N107" s="5641" cm="1">
        <f t="array" aca="1" ref="N107" ca="1">INDIRECT("'※ 영기팀 작성_가입자'!"&amp;N$1&amp;$AC107, TRUE)</f>
        <v>639</v>
      </c>
      <c r="O107" s="5641" cm="1">
        <f t="array" aca="1" ref="O107" ca="1">INDIRECT("'※ 영기팀 작성_가입자'!"&amp;O$1&amp;$AC107, TRUE)</f>
        <v>347</v>
      </c>
      <c r="P107" s="5641" cm="1">
        <f t="array" aca="1" ref="P107" ca="1">INDIRECT("'※ 영기팀 작성_가입자'!"&amp;P$1&amp;$AC107, TRUE)</f>
        <v>335</v>
      </c>
      <c r="Q107" s="5641" cm="1">
        <f t="array" aca="1" ref="Q107" ca="1">INDIRECT("'※ 영기팀 작성_가입자'!"&amp;Q$1&amp;$AC107, TRUE)</f>
        <v>309</v>
      </c>
      <c r="R107" s="5643"/>
      <c r="S107" s="5643"/>
      <c r="T107" s="5643"/>
      <c r="U107" s="5644" cm="1">
        <f t="array" aca="1" ref="U107" ca="1">INDIRECT("'※ 영기팀 작성_가입자'!"&amp;U$2&amp;$AC107,TRUE)</f>
        <v>-26</v>
      </c>
      <c r="V107" s="5645" cm="1">
        <f t="array" aca="1" ref="V107" ca="1">INDIRECT("'※ 영기팀 작성_가입자'!"&amp;V$2&amp;$AC107,TRUE)</f>
        <v>-174</v>
      </c>
      <c r="W107" s="5646" cm="1">
        <f t="array" aca="1" ref="W107" ca="1">INDIRECT("'※ 영기팀 작성_가입자'!"&amp;W$1&amp;$AC107, TRUE)</f>
        <v>9296</v>
      </c>
      <c r="X107" s="5643"/>
      <c r="Y107" s="5643"/>
      <c r="Z107" s="5647" cm="1">
        <f t="array" aca="1" ref="Z107" ca="1">INDIRECT("'※ 영기팀 작성_가입자'!"&amp;Z$2&amp;$AC107, TRUE)</f>
        <v>2414</v>
      </c>
      <c r="AA107" s="5648" cm="1">
        <f t="array" aca="1" ref="AA107" ca="1">INDIRECT("'※ 영기팀 작성_가입자'!"&amp;AA$1&amp;$AC107, TRUE)</f>
        <v>1518.3333333333333</v>
      </c>
      <c r="AB107" s="5649" cm="1">
        <f t="array" aca="1" ref="AB107" ca="1">INDIRECT("'※ 영기팀 작성_가입자'!"&amp;AB$1&amp;$AC107, TRUE)</f>
        <v>-174</v>
      </c>
      <c r="AC107" s="5493">
        <f>ROW('※ 영기팀 작성_가입자'!AH353)</f>
        <v>353</v>
      </c>
      <c r="AD107" s="5494"/>
    </row>
    <row r="108" spans="1:31" x14ac:dyDescent="0.55000000000000004">
      <c r="A108" s="7177"/>
      <c r="B108" s="2639"/>
      <c r="C108" s="5539" t="s">
        <v>415</v>
      </c>
      <c r="D108" s="5628" cm="1">
        <f t="array" aca="1" ref="D108" ca="1">INDIRECT("'※ 영기팀 작성_가입자'!"&amp;D$1&amp;$AC108, TRUE)</f>
        <v>0.15790250513236814</v>
      </c>
      <c r="E108" s="5629" cm="1">
        <f t="array" aca="1" ref="E108" ca="1">INDIRECT("'※ 영기팀 작성_가입자'!"&amp;E$1&amp;$AC108, TRUE)</f>
        <v>0.1726961408438337</v>
      </c>
      <c r="F108" s="5630" cm="1">
        <f t="array" aca="1" ref="F108" ca="1">INDIRECT("'※ 영기팀 작성_가입자'!"&amp;F$1&amp;$AC108, TRUE)</f>
        <v>0.24966322406825325</v>
      </c>
      <c r="G108" s="5629" cm="1">
        <f t="array" aca="1" ref="G108" ca="1">INDIRECT("'※ 영기팀 작성_가입자'!"&amp;G$1&amp;$AC108, TRUE)</f>
        <v>0.26913059655215182</v>
      </c>
      <c r="H108" s="5629" cm="1">
        <f t="array" aca="1" ref="H108" ca="1">INDIRECT("'※ 영기팀 작성_가입자'!"&amp;H$1&amp;$AC108, TRUE)</f>
        <v>0.28902986229305272</v>
      </c>
      <c r="I108" s="5629" cm="1">
        <f t="array" aca="1" ref="I108" ca="1">INDIRECT("'※ 영기팀 작성_가입자'!"&amp;I$1&amp;$AC108, TRUE)</f>
        <v>0.20026661197703036</v>
      </c>
      <c r="J108" s="5629" cm="1">
        <f t="array" aca="1" ref="J108" ca="1">INDIRECT("'※ 영기팀 작성_가입자'!"&amp;J$1&amp;$AC108, TRUE)</f>
        <v>0.22780604298619042</v>
      </c>
      <c r="K108" s="5629" cm="1">
        <f t="array" aca="1" ref="K108" ca="1">INDIRECT("'※ 영기팀 작성_가입자'!"&amp;K$1&amp;$AC108, TRUE)</f>
        <v>0.25247701190391331</v>
      </c>
      <c r="L108" s="5629" cm="1">
        <f t="array" aca="1" ref="L108" ca="1">INDIRECT("'※ 영기팀 작성_가입자'!"&amp;L$1&amp;$AC108, TRUE)</f>
        <v>0.23152234973116123</v>
      </c>
      <c r="M108" s="5629" cm="1">
        <f t="array" aca="1" ref="M108" ca="1">INDIRECT("'※ 영기팀 작성_가입자'!"&amp;M$1&amp;$AC108, TRUE)</f>
        <v>0.282740188493459</v>
      </c>
      <c r="N108" s="5629" cm="1">
        <f t="array" aca="1" ref="N108" ca="1">INDIRECT("'※ 영기팀 작성_가입자'!"&amp;N$1&amp;$AC108, TRUE)</f>
        <v>0.20909090909090908</v>
      </c>
      <c r="O108" s="5629" cm="1">
        <f t="array" aca="1" ref="O108" ca="1">INDIRECT("'※ 영기팀 작성_가입자'!"&amp;O$1&amp;$AC108, TRUE)</f>
        <v>0.22070116861435723</v>
      </c>
      <c r="P108" s="5629" cm="1">
        <f t="array" aca="1" ref="P108" ca="1">INDIRECT("'※ 영기팀 작성_가입자'!"&amp;P$1&amp;$AC108, TRUE)</f>
        <v>0.22452098272011287</v>
      </c>
      <c r="Q108" s="5629" cm="1">
        <f t="array" aca="1" ref="Q108" ca="1">INDIRECT("'※ 영기팀 작성_가입자'!"&amp;Q$1&amp;$AC108, TRUE)</f>
        <v>0.2113839798026165</v>
      </c>
      <c r="R108" s="5631"/>
      <c r="S108" s="5631"/>
      <c r="T108" s="5632"/>
      <c r="U108" s="5633" cm="1">
        <f t="array" aca="1" ref="U108" ca="1">INDIRECT("'※ 영기팀 작성_가입자'!"&amp;U$2&amp;$AC108,TRUE)</f>
        <v>-1.3137002917496365E-2</v>
      </c>
      <c r="V108" s="5634" cm="1">
        <f t="array" aca="1" ref="V108" ca="1">INDIRECT("'※ 영기팀 작성_가입자'!"&amp;V$2&amp;$AC108,TRUE)</f>
        <v>-4.4775689846385552E-2</v>
      </c>
      <c r="W108" s="5635" cm="1">
        <f t="array" aca="1" ref="W108" ca="1">INDIRECT("'※ 영기팀 작성_가입자'!"&amp;W$1&amp;$AC108, TRUE)</f>
        <v>0.2113839798026165</v>
      </c>
      <c r="X108" s="5631"/>
      <c r="Y108" s="5632"/>
      <c r="Z108" s="3361" cm="1">
        <f t="array" aca="1" ref="Z108" ca="1">INDIRECT("'※ 영기팀 작성_가입자'!"&amp;Z$2&amp;$AC108, TRUE)</f>
        <v>1.2342458330028838E-2</v>
      </c>
      <c r="AA108" s="5636" cm="1">
        <f t="array" aca="1" ref="AA108" ca="1">INDIRECT("'※ 영기팀 작성_가입자'!"&amp;AA$1&amp;$AC108, TRUE)</f>
        <v>0.23583780699729759</v>
      </c>
      <c r="AB108" s="5637" cm="1">
        <f t="array" aca="1" ref="AB108" ca="1">INDIRECT("'※ 영기팀 작성_가입자'!"&amp;AB$1&amp;$AC108, TRUE)</f>
        <v>-4.4775689846385552E-2</v>
      </c>
      <c r="AC108" s="5364">
        <f>ROW('※ 영기팀 작성_가입자'!AH351)</f>
        <v>351</v>
      </c>
      <c r="AE108" s="5638">
        <v>0.3</v>
      </c>
    </row>
    <row r="109" spans="1:31" s="2525" customFormat="1" ht="15.45" thickBot="1" x14ac:dyDescent="0.6">
      <c r="A109" s="7178"/>
      <c r="B109" s="5650"/>
      <c r="C109" s="5650" t="s">
        <v>100</v>
      </c>
      <c r="D109" s="5651" cm="1">
        <f t="array" aca="1" ref="D109" ca="1">INDIRECT("'※ 영기팀 작성_가입자'!"&amp;D$1&amp;$AC109, TRUE)</f>
        <v>11768</v>
      </c>
      <c r="E109" s="5652" cm="1">
        <f t="array" aca="1" ref="E109" ca="1">INDIRECT("'※ 영기팀 작성_가입자'!"&amp;E$1&amp;$AC109, TRUE)</f>
        <v>17918</v>
      </c>
      <c r="F109" s="5653" cm="1">
        <f t="array" aca="1" ref="F109" ca="1">INDIRECT("'※ 영기팀 작성_가입자'!"&amp;F$1&amp;$AC109, TRUE)</f>
        <v>1668</v>
      </c>
      <c r="G109" s="5652" cm="1">
        <f t="array" aca="1" ref="G109" ca="1">INDIRECT("'※ 영기팀 작성_가입자'!"&amp;G$1&amp;$AC109, TRUE)</f>
        <v>2170</v>
      </c>
      <c r="H109" s="5652" cm="1">
        <f t="array" aca="1" ref="H109" ca="1">INDIRECT("'※ 영기팀 작성_가입자'!"&amp;H$1&amp;$AC109, TRUE)</f>
        <v>1867.9999999999998</v>
      </c>
      <c r="I109" s="5652" cm="1">
        <f t="array" aca="1" ref="I109" ca="1">INDIRECT("'※ 영기팀 작성_가입자'!"&amp;I$1&amp;$AC109, TRUE)</f>
        <v>1953</v>
      </c>
      <c r="J109" s="5652" cm="1">
        <f t="array" aca="1" ref="J109" ca="1">INDIRECT("'※ 영기팀 작성_가입자'!"&amp;J$1&amp;$AC109, TRUE)</f>
        <v>4388</v>
      </c>
      <c r="K109" s="5652" cm="1">
        <f t="array" aca="1" ref="K109" ca="1">INDIRECT("'※ 영기팀 작성_가입자'!"&amp;K$1&amp;$AC109, TRUE)</f>
        <v>3542</v>
      </c>
      <c r="L109" s="5652" cm="1">
        <f t="array" aca="1" ref="L109" ca="1">INDIRECT("'※ 영기팀 작성_가입자'!"&amp;L$1&amp;$AC109, TRUE)</f>
        <v>2885</v>
      </c>
      <c r="M109" s="5652" cm="1">
        <f t="array" aca="1" ref="M109" ca="1">INDIRECT("'※ 영기팀 작성_가입자'!"&amp;M$1&amp;$AC109, TRUE)</f>
        <v>2010</v>
      </c>
      <c r="N109" s="5652" cm="1">
        <f t="array" aca="1" ref="N109" ca="1">INDIRECT("'※ 영기팀 작성_가입자'!"&amp;N$1&amp;$AC109, TRUE)</f>
        <v>1978</v>
      </c>
      <c r="O109" s="5652" cm="1">
        <f t="array" aca="1" ref="O109" ca="1">INDIRECT("'※ 영기팀 작성_가입자'!"&amp;O$1&amp;$AC109, TRUE)</f>
        <v>1982.9999999999998</v>
      </c>
      <c r="P109" s="5652" cm="1">
        <f t="array" aca="1" ref="P109" ca="1">INDIRECT("'※ 영기팀 작성_가입자'!"&amp;P$1&amp;$AC109, TRUE)</f>
        <v>1910.0000000000002</v>
      </c>
      <c r="Q109" s="5652" cm="1">
        <f t="array" aca="1" ref="Q109" ca="1">INDIRECT("'※ 영기팀 작성_가입자'!"&amp;Q$1&amp;$AC109, TRUE)</f>
        <v>1842.0000000000002</v>
      </c>
      <c r="R109" s="5654"/>
      <c r="S109" s="5654"/>
      <c r="T109" s="5654"/>
      <c r="U109" s="5655" cm="1">
        <f t="array" aca="1" ref="U109" ca="1">INDIRECT("'※ 영기팀 작성_가입자'!"&amp;U$2&amp;$AC109,TRUE)</f>
        <v>-68</v>
      </c>
      <c r="V109" s="5656" cm="1">
        <f t="array" aca="1" ref="V109" ca="1">INDIRECT("'※ 영기팀 작성_가입자'!"&amp;V$2&amp;$AC109,TRUE)</f>
        <v>-18.999999999999773</v>
      </c>
      <c r="W109" s="5657" cm="1">
        <f t="array" aca="1" ref="W109" ca="1">INDIRECT("'※ 영기팀 작성_가입자'!"&amp;W$1&amp;$AC109, TRUE)</f>
        <v>28197</v>
      </c>
      <c r="X109" s="5654"/>
      <c r="Y109" s="5654"/>
      <c r="Z109" s="5658" cm="1">
        <f t="array" aca="1" ref="Z109" ca="1">INDIRECT("'※ 영기팀 작성_가입자'!"&amp;Z$2&amp;$AC109, TRUE)</f>
        <v>10279</v>
      </c>
      <c r="AA109" s="5659" cm="1">
        <f t="array" aca="1" ref="AA109" ca="1">INDIRECT("'※ 영기팀 작성_가입자'!"&amp;AA$1&amp;$AC109, TRUE)</f>
        <v>4560.5</v>
      </c>
      <c r="AB109" s="5660" cm="1">
        <f t="array" aca="1" ref="AB109" ca="1">INDIRECT("'※ 영기팀 작성_가입자'!"&amp;AB$1&amp;$AC109, TRUE)</f>
        <v>-18.999999999999773</v>
      </c>
      <c r="AC109" s="5493">
        <f>ROW('※ 영기팀 작성_가입자'!AH354)</f>
        <v>354</v>
      </c>
      <c r="AD109" s="5494"/>
    </row>
    <row r="110" spans="1:31" x14ac:dyDescent="0.55000000000000004">
      <c r="B110" s="2682"/>
      <c r="C110" s="2682"/>
      <c r="D110" s="2682"/>
      <c r="E110" s="2682"/>
      <c r="F110" s="2682"/>
      <c r="G110" s="2682"/>
      <c r="H110" s="2682"/>
      <c r="I110" s="2682"/>
      <c r="J110" s="2682"/>
      <c r="K110" s="2682"/>
      <c r="L110" s="2682"/>
      <c r="M110" s="2682"/>
      <c r="N110" s="2682"/>
      <c r="O110" s="2682"/>
      <c r="P110" s="2682"/>
      <c r="Q110" s="2682"/>
      <c r="R110" s="2682"/>
      <c r="S110" s="2682"/>
      <c r="T110" s="2682"/>
      <c r="U110" s="2682"/>
      <c r="V110" s="2682"/>
      <c r="W110" s="2682"/>
      <c r="X110" s="2682"/>
      <c r="Y110" s="2682"/>
      <c r="AC110" s="5364"/>
    </row>
    <row r="111" spans="1:31" x14ac:dyDescent="0.55000000000000004">
      <c r="B111" s="2682"/>
      <c r="C111" s="2682"/>
      <c r="D111" s="2682"/>
      <c r="E111" s="2682"/>
      <c r="F111" s="2682"/>
      <c r="G111" s="2682"/>
      <c r="H111" s="2682"/>
      <c r="I111" s="2682"/>
      <c r="J111" s="2682"/>
      <c r="K111" s="2682"/>
      <c r="L111" s="2682"/>
      <c r="M111" s="2682"/>
      <c r="N111" s="2682"/>
      <c r="O111" s="2682"/>
      <c r="P111" s="2682"/>
      <c r="Q111" s="2682"/>
      <c r="R111" s="2682"/>
      <c r="S111" s="5661"/>
      <c r="T111" s="2682"/>
      <c r="U111" s="2682"/>
      <c r="V111" s="2682"/>
      <c r="W111" s="2682"/>
      <c r="X111" s="2682"/>
      <c r="Y111" s="2682"/>
    </row>
    <row r="112" spans="1:31" x14ac:dyDescent="0.55000000000000004">
      <c r="B112" s="2682"/>
      <c r="C112" s="2682"/>
      <c r="D112" s="2682"/>
      <c r="E112" s="2682"/>
      <c r="F112" s="2682"/>
      <c r="G112" s="2682"/>
      <c r="H112" s="2682"/>
      <c r="I112" s="2682"/>
      <c r="J112" s="2682"/>
      <c r="K112" s="2682"/>
      <c r="L112" s="2682"/>
      <c r="M112" s="2682"/>
      <c r="N112" s="2682"/>
      <c r="O112" s="2682"/>
      <c r="P112" s="2682"/>
      <c r="Q112" s="2682"/>
      <c r="R112" s="2682"/>
      <c r="S112" s="5661"/>
      <c r="T112" s="2682"/>
      <c r="U112" s="2682"/>
      <c r="V112" s="2682"/>
      <c r="W112" s="2682"/>
      <c r="X112" s="2682"/>
      <c r="Y112" s="2682"/>
    </row>
    <row r="113" spans="2:25" x14ac:dyDescent="0.55000000000000004">
      <c r="B113" s="2682"/>
      <c r="C113" s="2682"/>
      <c r="D113" s="2682"/>
      <c r="E113" s="2682"/>
      <c r="F113" s="2682"/>
      <c r="G113" s="2682"/>
      <c r="H113" s="2682"/>
      <c r="I113" s="2682"/>
      <c r="J113" s="2682"/>
      <c r="K113" s="2682"/>
      <c r="L113" s="2682"/>
      <c r="M113" s="2682"/>
      <c r="N113" s="2682"/>
      <c r="O113" s="2682"/>
      <c r="P113" s="2682"/>
      <c r="Q113" s="2682"/>
      <c r="R113" s="2682"/>
      <c r="S113" s="2682"/>
      <c r="T113" s="2682"/>
      <c r="U113" s="2682"/>
      <c r="V113" s="2682"/>
      <c r="W113" s="2682"/>
      <c r="X113" s="2682"/>
      <c r="Y113" s="2682"/>
    </row>
    <row r="114" spans="2:25" x14ac:dyDescent="0.55000000000000004">
      <c r="B114" s="2682"/>
      <c r="C114" s="2682"/>
      <c r="D114" s="2682"/>
      <c r="E114" s="2682"/>
      <c r="F114" s="2682"/>
      <c r="G114" s="2682"/>
      <c r="H114" s="2682"/>
      <c r="I114" s="2682"/>
      <c r="J114" s="2682"/>
      <c r="K114" s="2682"/>
      <c r="L114" s="2682"/>
      <c r="M114" s="2682"/>
      <c r="N114" s="2682"/>
      <c r="O114" s="2682"/>
      <c r="P114" s="2682"/>
      <c r="Q114" s="2682"/>
      <c r="R114" s="2682"/>
      <c r="S114" s="2682"/>
      <c r="T114" s="2682"/>
      <c r="U114" s="2682"/>
      <c r="V114" s="2682"/>
      <c r="W114" s="2682"/>
      <c r="X114" s="2682"/>
      <c r="Y114" s="2682"/>
    </row>
    <row r="115" spans="2:25" x14ac:dyDescent="0.55000000000000004">
      <c r="B115" s="2682"/>
      <c r="C115" s="2682"/>
      <c r="D115" s="2682"/>
      <c r="E115" s="2682"/>
      <c r="F115" s="2682"/>
      <c r="G115" s="2682"/>
      <c r="H115" s="2682"/>
      <c r="I115" s="2682"/>
      <c r="J115" s="2682"/>
      <c r="K115" s="2682"/>
      <c r="L115" s="2682"/>
      <c r="M115" s="2682"/>
      <c r="N115" s="2682"/>
      <c r="O115" s="2682"/>
      <c r="P115" s="2682"/>
      <c r="Q115" s="2682"/>
      <c r="R115" s="2682"/>
      <c r="S115" s="2682"/>
      <c r="T115" s="2682"/>
      <c r="U115" s="2682"/>
      <c r="V115" s="2682"/>
      <c r="W115" s="2682"/>
      <c r="X115" s="2682"/>
      <c r="Y115" s="2682"/>
    </row>
    <row r="116" spans="2:25" x14ac:dyDescent="0.55000000000000004">
      <c r="B116" s="2682"/>
      <c r="C116" s="2682"/>
      <c r="D116" s="2682"/>
      <c r="E116" s="2682"/>
      <c r="F116" s="2682"/>
      <c r="G116" s="2682"/>
      <c r="H116" s="2682"/>
      <c r="I116" s="2682"/>
      <c r="J116" s="2682"/>
      <c r="K116" s="2682"/>
      <c r="L116" s="2682"/>
      <c r="M116" s="2682"/>
      <c r="N116" s="2682"/>
      <c r="O116" s="2682"/>
      <c r="P116" s="2682"/>
      <c r="Q116" s="2682"/>
      <c r="R116" s="2682"/>
      <c r="S116" s="2682"/>
      <c r="T116" s="2682"/>
      <c r="U116" s="2682"/>
      <c r="V116" s="2682"/>
      <c r="W116" s="2682"/>
      <c r="X116" s="2682"/>
      <c r="Y116" s="2682"/>
    </row>
    <row r="117" spans="2:25" x14ac:dyDescent="0.55000000000000004">
      <c r="B117" s="2682"/>
      <c r="C117" s="2682"/>
      <c r="D117" s="2682"/>
      <c r="E117" s="2682"/>
      <c r="F117" s="2682"/>
      <c r="G117" s="2682"/>
      <c r="H117" s="2682"/>
      <c r="I117" s="2682"/>
      <c r="J117" s="2682"/>
      <c r="K117" s="2682"/>
      <c r="L117" s="2682"/>
      <c r="M117" s="2682"/>
      <c r="N117" s="2682"/>
      <c r="O117" s="2682"/>
      <c r="P117" s="2682"/>
      <c r="Q117" s="2682"/>
      <c r="R117" s="2682"/>
      <c r="S117" s="2682"/>
      <c r="T117" s="2682"/>
      <c r="U117" s="2682"/>
      <c r="V117" s="2682"/>
      <c r="W117" s="2682"/>
      <c r="X117" s="2682"/>
      <c r="Y117" s="2682"/>
    </row>
    <row r="118" spans="2:25" x14ac:dyDescent="0.55000000000000004">
      <c r="B118" s="2682"/>
      <c r="C118" s="2682"/>
      <c r="D118" s="2682"/>
      <c r="E118" s="2682"/>
      <c r="F118" s="2682"/>
      <c r="G118" s="2682"/>
      <c r="H118" s="2682"/>
      <c r="I118" s="2682"/>
      <c r="J118" s="2682"/>
      <c r="K118" s="2682"/>
      <c r="L118" s="2682"/>
      <c r="M118" s="2682"/>
      <c r="N118" s="2682"/>
      <c r="O118" s="2682"/>
      <c r="P118" s="2682"/>
      <c r="Q118" s="2682"/>
      <c r="R118" s="2682"/>
      <c r="S118" s="2682"/>
      <c r="T118" s="2682"/>
      <c r="U118" s="2682"/>
      <c r="V118" s="2682"/>
      <c r="W118" s="2682"/>
      <c r="X118" s="2682"/>
      <c r="Y118" s="2682"/>
    </row>
    <row r="119" spans="2:25" x14ac:dyDescent="0.55000000000000004">
      <c r="B119" s="2682"/>
      <c r="C119" s="2682"/>
      <c r="D119" s="2682"/>
      <c r="E119" s="2682"/>
      <c r="F119" s="2682"/>
      <c r="G119" s="2682"/>
      <c r="H119" s="2682"/>
      <c r="I119" s="2682"/>
      <c r="J119" s="2682"/>
      <c r="K119" s="2682"/>
      <c r="L119" s="2682"/>
      <c r="M119" s="2682"/>
      <c r="N119" s="2682"/>
      <c r="O119" s="2682"/>
      <c r="P119" s="2682"/>
      <c r="Q119" s="2682"/>
      <c r="R119" s="2682"/>
      <c r="S119" s="2682"/>
      <c r="T119" s="2682"/>
      <c r="U119" s="2682"/>
      <c r="V119" s="2682"/>
      <c r="W119" s="2682"/>
      <c r="X119" s="2682"/>
      <c r="Y119" s="2682"/>
    </row>
  </sheetData>
  <mergeCells count="11">
    <mergeCell ref="A3:AB3"/>
    <mergeCell ref="B6:C6"/>
    <mergeCell ref="A84:A109"/>
    <mergeCell ref="W5:AB5"/>
    <mergeCell ref="A7:A13"/>
    <mergeCell ref="A14:A20"/>
    <mergeCell ref="A21:A27"/>
    <mergeCell ref="A52:A67"/>
    <mergeCell ref="A69:A82"/>
    <mergeCell ref="A29:A50"/>
    <mergeCell ref="F5:V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1" fitToHeight="0" orientation="landscape" r:id="rId1"/>
  <headerFooter scaleWithDoc="0">
    <oddFooter>&amp;R&amp;"-,기울임꼴"&amp;8&amp;P &amp; 페이지</oddFooter>
  </headerFooter>
  <rowBreaks count="1" manualBreakCount="1">
    <brk id="51" max="2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A39-C81C-4F48-8A28-26A1B3961B2A}">
  <sheetPr codeName="Sheet24">
    <tabColor theme="7" tint="0.79998168889431442"/>
    <pageSetUpPr fitToPage="1"/>
  </sheetPr>
  <dimension ref="A1:BU410"/>
  <sheetViews>
    <sheetView showGridLines="0" view="pageBreakPreview" zoomScale="55" zoomScaleNormal="55" zoomScaleSheetLayoutView="55" workbookViewId="0">
      <pane xSplit="5" ySplit="1" topLeftCell="AU2" activePane="bottomRight" state="frozen"/>
      <selection activeCell="AG13" sqref="AG13"/>
      <selection pane="topRight" activeCell="AG13" sqref="AG13"/>
      <selection pane="bottomLeft" activeCell="AG13" sqref="AG13"/>
      <selection pane="bottomRight" activeCell="BA23" sqref="BA23"/>
    </sheetView>
  </sheetViews>
  <sheetFormatPr defaultRowHeight="15" outlineLevelCol="1" x14ac:dyDescent="0.55000000000000004"/>
  <cols>
    <col min="1" max="1" width="17.42578125" style="2441" customWidth="1"/>
    <col min="2" max="2" width="1.5703125" style="2441" customWidth="1"/>
    <col min="3" max="3" width="13.35546875" style="2441" customWidth="1"/>
    <col min="4" max="4" width="8.2109375" style="2441" customWidth="1"/>
    <col min="5" max="5" width="12.42578125" style="2441" hidden="1" customWidth="1"/>
    <col min="6" max="17" width="10.35546875" style="2441" hidden="1" customWidth="1" outlineLevel="1"/>
    <col min="18" max="18" width="10.35546875" style="2441" hidden="1" customWidth="1" collapsed="1"/>
    <col min="19" max="19" width="10.35546875" style="2441" hidden="1" customWidth="1"/>
    <col min="20" max="31" width="10.35546875" style="3053" hidden="1" customWidth="1" outlineLevel="1"/>
    <col min="32" max="32" width="13.42578125" style="5218" hidden="1" customWidth="1" collapsed="1"/>
    <col min="33" max="33" width="13.42578125" style="5218" hidden="1" customWidth="1"/>
    <col min="34" max="34" width="3.42578125" style="2488" hidden="1" customWidth="1"/>
    <col min="35" max="46" width="16.0703125" style="2488" hidden="1" customWidth="1" outlineLevel="1"/>
    <col min="47" max="47" width="16.0703125" style="2488" customWidth="1" collapsed="1"/>
    <col min="48" max="48" width="16.0703125" style="2488" customWidth="1"/>
    <col min="49" max="60" width="16.0703125" style="2488" customWidth="1" outlineLevel="1"/>
    <col min="61" max="62" width="16.0703125" style="2488" customWidth="1"/>
    <col min="63" max="63" width="9.140625" style="2441"/>
    <col min="64" max="66" width="14.42578125" style="2441" hidden="1" customWidth="1"/>
    <col min="67" max="67" width="16.92578125" style="2441" customWidth="1"/>
    <col min="68" max="68" width="9.140625" style="2441"/>
    <col min="69" max="69" width="14.7109375" style="2441" customWidth="1"/>
    <col min="70" max="16384" width="9.140625" style="2441"/>
  </cols>
  <sheetData>
    <row r="1" spans="1:73" x14ac:dyDescent="0.55000000000000004">
      <c r="A1" s="4415">
        <f>'2-(1) 수수료 기준_가입자(무선)'!A1</f>
        <v>12.000999999999999</v>
      </c>
      <c r="T1" s="5217">
        <v>1.0009999999999999</v>
      </c>
      <c r="U1" s="5217">
        <v>2.0009999999999999</v>
      </c>
      <c r="V1" s="5217">
        <v>3.0009999999999999</v>
      </c>
      <c r="W1" s="5217">
        <v>4.0010000000000003</v>
      </c>
      <c r="X1" s="5217">
        <v>5.0010000000000003</v>
      </c>
      <c r="Y1" s="5217">
        <v>6.0010000000000003</v>
      </c>
      <c r="Z1" s="5217">
        <v>7.0010000000000003</v>
      </c>
      <c r="AA1" s="5217">
        <v>8.0009999999999994</v>
      </c>
      <c r="AB1" s="5217">
        <v>9.0009999999999994</v>
      </c>
      <c r="AC1" s="5217">
        <v>10.000999999999999</v>
      </c>
      <c r="AD1" s="5217">
        <v>11.000999999999999</v>
      </c>
      <c r="AE1" s="5217">
        <v>12.000999999999999</v>
      </c>
      <c r="AI1" s="2505">
        <v>1.0009999999999999</v>
      </c>
      <c r="AJ1" s="2505">
        <v>2.0009999999999999</v>
      </c>
      <c r="AK1" s="2505">
        <v>3.0009999999999999</v>
      </c>
      <c r="AL1" s="2505">
        <v>4.0010000000000003</v>
      </c>
      <c r="AM1" s="2505">
        <v>5.0010000000000003</v>
      </c>
      <c r="AN1" s="2505">
        <v>6.0010000000000003</v>
      </c>
      <c r="AO1" s="2505">
        <v>7.0010000000000003</v>
      </c>
      <c r="AP1" s="2505">
        <v>8.0009999999999994</v>
      </c>
      <c r="AQ1" s="2505">
        <v>9.0009999999999994</v>
      </c>
      <c r="AR1" s="2505">
        <v>10.000999999999999</v>
      </c>
      <c r="AS1" s="2505">
        <v>11.000999999999999</v>
      </c>
      <c r="AT1" s="2505">
        <v>12.000999999999999</v>
      </c>
      <c r="AW1" s="2505">
        <v>1.0009999999999999</v>
      </c>
      <c r="AX1" s="2505">
        <v>2.0009999999999999</v>
      </c>
      <c r="AY1" s="2505">
        <v>3.0009999999999999</v>
      </c>
      <c r="AZ1" s="2505">
        <v>4.0010000000000003</v>
      </c>
      <c r="BA1" s="2505">
        <v>5.0010000000000003</v>
      </c>
      <c r="BB1" s="2505">
        <v>6.0010000000000003</v>
      </c>
      <c r="BC1" s="2505">
        <v>7.0010000000000003</v>
      </c>
      <c r="BD1" s="2505">
        <v>8.0009999999999994</v>
      </c>
      <c r="BE1" s="2505">
        <v>9.0009999999999994</v>
      </c>
      <c r="BF1" s="2505">
        <v>10.000999999999999</v>
      </c>
      <c r="BG1" s="2505">
        <v>11.000999999999999</v>
      </c>
      <c r="BH1" s="2505">
        <v>12.000999999999999</v>
      </c>
      <c r="BN1" s="5219" t="s">
        <v>473</v>
      </c>
    </row>
    <row r="2" spans="1:73" ht="24.9" customHeight="1" x14ac:dyDescent="0.55000000000000004">
      <c r="A2" s="6945"/>
      <c r="B2" s="6945"/>
      <c r="C2" s="6946"/>
      <c r="D2" s="6946"/>
      <c r="E2" s="6946"/>
      <c r="F2" s="6946"/>
      <c r="G2" s="6946"/>
      <c r="H2" s="6946"/>
      <c r="I2" s="6946"/>
      <c r="J2" s="6946"/>
      <c r="K2" s="6946"/>
      <c r="L2" s="6946"/>
      <c r="M2" s="6946"/>
      <c r="N2" s="6946"/>
      <c r="O2" s="6946"/>
      <c r="P2" s="6946"/>
      <c r="Q2" s="6946"/>
      <c r="R2" s="6946"/>
      <c r="S2" s="6946"/>
      <c r="T2" s="6947"/>
      <c r="U2" s="6947"/>
      <c r="V2" s="6947"/>
      <c r="W2" s="6947"/>
      <c r="X2" s="6947"/>
      <c r="Y2" s="6947"/>
      <c r="Z2" s="6947"/>
      <c r="AA2" s="6947"/>
      <c r="AB2" s="6947"/>
      <c r="AC2" s="6947"/>
      <c r="AD2" s="6947"/>
      <c r="AE2" s="6947"/>
      <c r="AF2" s="6948"/>
      <c r="AG2" s="6948"/>
      <c r="AH2" s="6949"/>
      <c r="AI2" s="6949"/>
      <c r="AJ2" s="6949"/>
      <c r="AK2" s="6949"/>
      <c r="AL2" s="6949"/>
      <c r="AM2" s="6949"/>
      <c r="AN2" s="6949"/>
      <c r="AO2" s="6949"/>
      <c r="AP2" s="6949"/>
      <c r="AQ2" s="6949"/>
      <c r="AR2" s="6949"/>
      <c r="AS2" s="6949"/>
      <c r="AT2" s="6949"/>
      <c r="AU2" s="6949"/>
      <c r="AV2" s="6949"/>
      <c r="AW2" s="6950"/>
      <c r="AX2" s="6950"/>
      <c r="AY2" s="6950"/>
      <c r="AZ2" s="6950"/>
      <c r="BA2" s="6950"/>
      <c r="BB2" s="6950"/>
      <c r="BC2" s="6949"/>
      <c r="BD2" s="6949"/>
      <c r="BE2" s="6949"/>
      <c r="BF2" s="6949"/>
      <c r="BG2" s="6949"/>
      <c r="BH2" s="6949"/>
      <c r="BI2" s="6949"/>
      <c r="BJ2" s="6949"/>
      <c r="BL2" s="2444"/>
      <c r="BM2" s="2444"/>
      <c r="BN2" s="2444"/>
    </row>
    <row r="3" spans="1:73" ht="60" customHeight="1" thickBot="1" x14ac:dyDescent="0.6">
      <c r="A3" s="7151" t="s">
        <v>913</v>
      </c>
      <c r="B3" s="7151"/>
      <c r="C3" s="7151"/>
      <c r="D3" s="7151"/>
      <c r="E3" s="7151"/>
      <c r="F3" s="7151"/>
      <c r="G3" s="7151"/>
      <c r="H3" s="7151"/>
      <c r="I3" s="7151"/>
      <c r="J3" s="7151"/>
      <c r="K3" s="7151"/>
      <c r="L3" s="7151"/>
      <c r="M3" s="7151"/>
      <c r="N3" s="7151"/>
      <c r="O3" s="7151"/>
      <c r="P3" s="7151"/>
      <c r="Q3" s="7151"/>
      <c r="R3" s="7151"/>
      <c r="S3" s="7151"/>
      <c r="T3" s="7151"/>
      <c r="U3" s="7151"/>
      <c r="V3" s="7151"/>
      <c r="W3" s="7151"/>
      <c r="X3" s="7151"/>
      <c r="Y3" s="7151"/>
      <c r="Z3" s="7151"/>
      <c r="AA3" s="7151"/>
      <c r="AB3" s="7151"/>
      <c r="AC3" s="7151"/>
      <c r="AD3" s="7151"/>
      <c r="AE3" s="7151"/>
      <c r="AF3" s="7151"/>
      <c r="AG3" s="7151"/>
      <c r="AH3" s="7151"/>
      <c r="AI3" s="7151"/>
      <c r="AJ3" s="7151"/>
      <c r="AK3" s="7151"/>
      <c r="AL3" s="7151"/>
      <c r="AM3" s="7151"/>
      <c r="AN3" s="7151"/>
      <c r="AO3" s="7151"/>
      <c r="AP3" s="7151"/>
      <c r="AQ3" s="7151"/>
      <c r="AR3" s="7151"/>
      <c r="AS3" s="7151"/>
      <c r="AT3" s="7151"/>
      <c r="AU3" s="7151"/>
      <c r="AV3" s="7151"/>
      <c r="AW3" s="7151"/>
      <c r="AX3" s="7151"/>
      <c r="AY3" s="7151"/>
      <c r="AZ3" s="7151"/>
      <c r="BA3" s="7151"/>
      <c r="BB3" s="7151"/>
      <c r="BC3" s="7151"/>
      <c r="BD3" s="7151"/>
      <c r="BE3" s="7151"/>
      <c r="BF3" s="7151"/>
      <c r="BG3" s="7151"/>
      <c r="BH3" s="7151"/>
      <c r="BI3" s="7151"/>
      <c r="BJ3" s="7151"/>
      <c r="BL3" s="5220"/>
      <c r="BM3" s="5220"/>
      <c r="BN3" s="5220"/>
    </row>
    <row r="4" spans="1:73" s="5220" customFormat="1" ht="15.55" customHeight="1" thickTop="1" x14ac:dyDescent="0.55000000000000004">
      <c r="A4" s="5221"/>
      <c r="B4" s="5221"/>
      <c r="C4" s="5221"/>
      <c r="D4" s="5221"/>
      <c r="E4" s="5221"/>
      <c r="F4" s="5221"/>
      <c r="G4" s="5221"/>
      <c r="H4" s="5221"/>
      <c r="I4" s="5221"/>
      <c r="J4" s="5221"/>
      <c r="K4" s="5221"/>
      <c r="L4" s="5221"/>
      <c r="M4" s="5221"/>
      <c r="N4" s="5221"/>
      <c r="O4" s="5221"/>
      <c r="P4" s="5221"/>
      <c r="Q4" s="5221"/>
      <c r="R4" s="5221"/>
      <c r="S4" s="5221"/>
      <c r="T4" s="5222"/>
      <c r="U4" s="5222"/>
      <c r="V4" s="5222"/>
      <c r="W4" s="5222"/>
      <c r="X4" s="5222"/>
      <c r="Y4" s="5222"/>
      <c r="Z4" s="5222"/>
      <c r="AA4" s="5222"/>
      <c r="AB4" s="5223"/>
      <c r="AC4" s="5223"/>
      <c r="AD4" s="5223"/>
      <c r="AE4" s="5223"/>
      <c r="AF4" s="5224"/>
      <c r="AG4" s="5224"/>
      <c r="AH4" s="5225"/>
      <c r="AI4" s="5226">
        <f>AI62-AI63</f>
        <v>-151</v>
      </c>
      <c r="AJ4" s="5226">
        <f t="shared" ref="AJ4:AS4" si="0">AJ62-AJ63</f>
        <v>-1092</v>
      </c>
      <c r="AK4" s="5226">
        <f t="shared" si="0"/>
        <v>-1427</v>
      </c>
      <c r="AL4" s="5226">
        <f t="shared" si="0"/>
        <v>-1320</v>
      </c>
      <c r="AM4" s="5226">
        <f t="shared" si="0"/>
        <v>-1196</v>
      </c>
      <c r="AN4" s="5226">
        <f t="shared" si="0"/>
        <v>-1277.0000000000002</v>
      </c>
      <c r="AO4" s="5226">
        <f t="shared" si="0"/>
        <v>-1153</v>
      </c>
      <c r="AP4" s="5226">
        <f t="shared" si="0"/>
        <v>-1552</v>
      </c>
      <c r="AQ4" s="5226">
        <f t="shared" si="0"/>
        <v>-1137</v>
      </c>
      <c r="AR4" s="5226">
        <f t="shared" si="0"/>
        <v>-1785</v>
      </c>
      <c r="AS4" s="5226">
        <f t="shared" si="0"/>
        <v>-1724</v>
      </c>
      <c r="AT4" s="5225"/>
      <c r="AU4" s="5225"/>
      <c r="AV4" s="5225"/>
      <c r="AW4" s="5226">
        <f>AW62-AW63</f>
        <v>-2617</v>
      </c>
      <c r="AX4" s="5226">
        <f t="shared" ref="AX4" si="1">AX62-AX63</f>
        <v>-1163</v>
      </c>
      <c r="AY4" s="5226">
        <f t="shared" ref="AY4:BG4" si="2">AY62-AY63</f>
        <v>-2079</v>
      </c>
      <c r="AZ4" s="5227"/>
      <c r="BA4" s="5226">
        <f t="shared" si="2"/>
        <v>390</v>
      </c>
      <c r="BB4" s="5226">
        <f t="shared" si="2"/>
        <v>-1348</v>
      </c>
      <c r="BC4" s="5226">
        <f t="shared" si="2"/>
        <v>-77</v>
      </c>
      <c r="BD4" s="5226">
        <f t="shared" si="2"/>
        <v>-536</v>
      </c>
      <c r="BE4" s="5226">
        <f t="shared" si="2"/>
        <v>-551</v>
      </c>
      <c r="BF4" s="5226">
        <f t="shared" si="2"/>
        <v>-1658</v>
      </c>
      <c r="BG4" s="5226">
        <f t="shared" si="2"/>
        <v>-2210</v>
      </c>
      <c r="BH4" s="5225"/>
      <c r="BI4" s="5225"/>
      <c r="BJ4" s="5225"/>
      <c r="BQ4" s="5228"/>
      <c r="BR4" s="5228"/>
      <c r="BS4" s="5228"/>
      <c r="BT4" s="5228"/>
      <c r="BU4" s="5228"/>
    </row>
    <row r="5" spans="1:73" s="5220" customFormat="1" ht="15.55" customHeight="1" x14ac:dyDescent="0.55000000000000004">
      <c r="A5" s="5221"/>
      <c r="B5" s="5221"/>
      <c r="C5" s="5221"/>
      <c r="D5" s="5221"/>
      <c r="E5" s="5221"/>
      <c r="F5" s="5221"/>
      <c r="G5" s="5221"/>
      <c r="H5" s="5221"/>
      <c r="I5" s="5221"/>
      <c r="J5" s="5221"/>
      <c r="K5" s="5221"/>
      <c r="L5" s="5221"/>
      <c r="M5" s="5221"/>
      <c r="N5" s="5221"/>
      <c r="O5" s="5221"/>
      <c r="P5" s="5221"/>
      <c r="Q5" s="5221"/>
      <c r="R5" s="5221"/>
      <c r="S5" s="5221"/>
      <c r="T5" s="5222"/>
      <c r="U5" s="5222"/>
      <c r="V5" s="5222"/>
      <c r="W5" s="5222"/>
      <c r="X5" s="5222"/>
      <c r="Y5" s="5222"/>
      <c r="Z5" s="5222"/>
      <c r="AA5" s="5222"/>
      <c r="AB5" s="5223"/>
      <c r="AC5" s="5223"/>
      <c r="AD5" s="5223"/>
      <c r="AE5" s="5223"/>
      <c r="AF5" s="5224"/>
      <c r="AG5" s="5224"/>
      <c r="AH5" s="5225"/>
      <c r="AI5" s="5226">
        <f>AI17-AI18-AI21</f>
        <v>-826</v>
      </c>
      <c r="AJ5" s="5226">
        <f t="shared" ref="AJ5:AS5" si="3">AJ17-AJ18-AJ21</f>
        <v>-1955</v>
      </c>
      <c r="AK5" s="5226">
        <f t="shared" si="3"/>
        <v>-2025</v>
      </c>
      <c r="AL5" s="5226">
        <f t="shared" si="3"/>
        <v>-1216</v>
      </c>
      <c r="AM5" s="5226">
        <f t="shared" si="3"/>
        <v>-4455</v>
      </c>
      <c r="AN5" s="5226">
        <f t="shared" si="3"/>
        <v>-4399</v>
      </c>
      <c r="AO5" s="5226">
        <f t="shared" si="3"/>
        <v>-3665</v>
      </c>
      <c r="AP5" s="5226">
        <f t="shared" si="3"/>
        <v>-4078</v>
      </c>
      <c r="AQ5" s="5226">
        <f t="shared" si="3"/>
        <v>-3949</v>
      </c>
      <c r="AR5" s="5226">
        <f t="shared" si="3"/>
        <v>-4263</v>
      </c>
      <c r="AS5" s="5226">
        <f t="shared" si="3"/>
        <v>-3603</v>
      </c>
      <c r="AT5" s="5225"/>
      <c r="AU5" s="5225"/>
      <c r="AV5" s="5225"/>
      <c r="AW5" s="5227"/>
      <c r="AX5" s="5227"/>
      <c r="AY5" s="5227"/>
      <c r="AZ5" s="5227"/>
      <c r="BA5" s="5227"/>
      <c r="BB5" s="5227"/>
      <c r="BC5" s="5226">
        <f t="shared" ref="BC5:BG5" si="4">BC17-BC18-BC21</f>
        <v>-1802</v>
      </c>
      <c r="BD5" s="5226">
        <f t="shared" si="4"/>
        <v>-3352</v>
      </c>
      <c r="BE5" s="5226">
        <f t="shared" si="4"/>
        <v>-2803</v>
      </c>
      <c r="BF5" s="5226">
        <f t="shared" si="4"/>
        <v>-3751</v>
      </c>
      <c r="BG5" s="5226">
        <f t="shared" si="4"/>
        <v>-3955</v>
      </c>
      <c r="BH5" s="5225"/>
      <c r="BI5" s="5225"/>
      <c r="BJ5" s="5225"/>
      <c r="BL5" s="2441"/>
      <c r="BM5" s="2441"/>
      <c r="BN5" s="2441"/>
      <c r="BQ5" s="5228"/>
      <c r="BR5" s="5228"/>
      <c r="BS5" s="5228"/>
      <c r="BT5" s="5228"/>
      <c r="BU5" s="5228"/>
    </row>
    <row r="6" spans="1:73" s="5220" customFormat="1" ht="15.55" customHeight="1" thickBot="1" x14ac:dyDescent="0.6">
      <c r="A6" s="5221"/>
      <c r="B6" s="5221"/>
      <c r="C6" s="5221"/>
      <c r="D6" s="5221"/>
      <c r="E6" s="5221"/>
      <c r="F6" s="5221"/>
      <c r="G6" s="5221"/>
      <c r="H6" s="5221"/>
      <c r="I6" s="5221"/>
      <c r="J6" s="5221"/>
      <c r="K6" s="5221"/>
      <c r="L6" s="5221"/>
      <c r="M6" s="5221"/>
      <c r="N6" s="5221"/>
      <c r="O6" s="5221"/>
      <c r="P6" s="5221"/>
      <c r="Q6" s="5221"/>
      <c r="R6" s="5221"/>
      <c r="S6" s="5221"/>
      <c r="T6" s="5222"/>
      <c r="U6" s="5222"/>
      <c r="V6" s="5222"/>
      <c r="W6" s="5222"/>
      <c r="X6" s="5222"/>
      <c r="Y6" s="5222"/>
      <c r="Z6" s="5222"/>
      <c r="AA6" s="5222"/>
      <c r="AB6" s="5223"/>
      <c r="AC6" s="5223"/>
      <c r="AD6" s="5223"/>
      <c r="AE6" s="5223"/>
      <c r="AF6" s="5224"/>
      <c r="AG6" s="5224"/>
      <c r="AH6" s="5225"/>
      <c r="AI6" s="5226">
        <f>AI13-AI14</f>
        <v>-977</v>
      </c>
      <c r="AJ6" s="5226">
        <f t="shared" ref="AJ6:AS6" si="5">AJ13-AJ14</f>
        <v>-3047</v>
      </c>
      <c r="AK6" s="5226">
        <f t="shared" si="5"/>
        <v>-3452</v>
      </c>
      <c r="AL6" s="5226">
        <f t="shared" si="5"/>
        <v>-2536</v>
      </c>
      <c r="AM6" s="5226">
        <f t="shared" si="5"/>
        <v>-5651</v>
      </c>
      <c r="AN6" s="5226">
        <f t="shared" si="5"/>
        <v>-5676</v>
      </c>
      <c r="AO6" s="5226">
        <f t="shared" si="5"/>
        <v>-4818</v>
      </c>
      <c r="AP6" s="5226">
        <f t="shared" si="5"/>
        <v>-5630</v>
      </c>
      <c r="AQ6" s="5226">
        <f t="shared" si="5"/>
        <v>-5086</v>
      </c>
      <c r="AR6" s="5226">
        <f t="shared" si="5"/>
        <v>-6048</v>
      </c>
      <c r="AS6" s="5226">
        <f t="shared" si="5"/>
        <v>-5327</v>
      </c>
      <c r="AT6" s="5225"/>
      <c r="AU6" s="5225"/>
      <c r="AV6" s="5225"/>
      <c r="AW6" s="5227"/>
      <c r="AX6" s="5227"/>
      <c r="AY6" s="5227"/>
      <c r="AZ6" s="5227"/>
      <c r="BA6" s="5227"/>
      <c r="BB6" s="5227"/>
      <c r="BC6" s="5226">
        <f t="shared" ref="BC6:BG6" si="6">BC13-BC14</f>
        <v>-1879</v>
      </c>
      <c r="BD6" s="5227"/>
      <c r="BE6" s="5226">
        <f t="shared" si="6"/>
        <v>-3279</v>
      </c>
      <c r="BF6" s="5226">
        <f t="shared" si="6"/>
        <v>-5409</v>
      </c>
      <c r="BG6" s="5226">
        <f t="shared" si="6"/>
        <v>-6165</v>
      </c>
      <c r="BH6" s="5225"/>
      <c r="BI6" s="5225"/>
      <c r="BJ6" s="5225"/>
      <c r="BL6" s="5229"/>
      <c r="BM6" s="5229"/>
      <c r="BN6" s="5230"/>
      <c r="BQ6" s="5228"/>
      <c r="BR6" s="5228"/>
      <c r="BS6" s="5228"/>
      <c r="BT6" s="5228"/>
      <c r="BU6" s="5228"/>
    </row>
    <row r="7" spans="1:73" ht="16.3" x14ac:dyDescent="0.45">
      <c r="A7" s="5231" t="s">
        <v>907</v>
      </c>
      <c r="C7" s="2450"/>
      <c r="D7" s="5232"/>
      <c r="E7" s="2450"/>
      <c r="F7" s="7199" t="s">
        <v>1</v>
      </c>
      <c r="G7" s="7092"/>
      <c r="H7" s="7092"/>
      <c r="I7" s="7092"/>
      <c r="J7" s="7092"/>
      <c r="K7" s="7092"/>
      <c r="L7" s="7092"/>
      <c r="M7" s="7092"/>
      <c r="N7" s="7092"/>
      <c r="O7" s="7092"/>
      <c r="P7" s="7092"/>
      <c r="Q7" s="7092"/>
      <c r="R7" s="7092"/>
      <c r="S7" s="7092"/>
      <c r="T7" s="7200" t="s">
        <v>1097</v>
      </c>
      <c r="U7" s="7201"/>
      <c r="V7" s="7201"/>
      <c r="W7" s="7201"/>
      <c r="X7" s="7201"/>
      <c r="Y7" s="7201"/>
      <c r="Z7" s="7201"/>
      <c r="AA7" s="7201"/>
      <c r="AB7" s="7201"/>
      <c r="AC7" s="7201"/>
      <c r="AD7" s="7201"/>
      <c r="AE7" s="7201"/>
      <c r="AF7" s="7201"/>
      <c r="AG7" s="7201"/>
      <c r="AH7" s="5233"/>
      <c r="AI7" s="7202" t="s">
        <v>1153</v>
      </c>
      <c r="AJ7" s="7203"/>
      <c r="AK7" s="7203"/>
      <c r="AL7" s="7203"/>
      <c r="AM7" s="7203"/>
      <c r="AN7" s="7203"/>
      <c r="AO7" s="7203"/>
      <c r="AP7" s="7203"/>
      <c r="AQ7" s="7203"/>
      <c r="AR7" s="7203"/>
      <c r="AS7" s="7203"/>
      <c r="AT7" s="7203"/>
      <c r="AU7" s="7203"/>
      <c r="AV7" s="7204"/>
      <c r="AW7" s="7152" t="s">
        <v>1152</v>
      </c>
      <c r="AX7" s="7092"/>
      <c r="AY7" s="7092"/>
      <c r="AZ7" s="7092"/>
      <c r="BA7" s="7092"/>
      <c r="BB7" s="7092"/>
      <c r="BC7" s="7092"/>
      <c r="BD7" s="7092"/>
      <c r="BE7" s="7092"/>
      <c r="BF7" s="7092"/>
      <c r="BG7" s="7092"/>
      <c r="BH7" s="7092"/>
      <c r="BI7" s="7092"/>
      <c r="BJ7" s="7153"/>
      <c r="BL7" s="5234"/>
      <c r="BM7" s="5234"/>
      <c r="BN7" s="5235"/>
    </row>
    <row r="8" spans="1:73" ht="16.75" thickBot="1" x14ac:dyDescent="0.6">
      <c r="A8" s="2441" t="s">
        <v>908</v>
      </c>
      <c r="C8" s="2450"/>
      <c r="D8" s="5236"/>
      <c r="E8" s="2455" t="s">
        <v>499</v>
      </c>
      <c r="F8" s="5237" t="s">
        <v>380</v>
      </c>
      <c r="G8" s="5238" t="s">
        <v>381</v>
      </c>
      <c r="H8" s="5238" t="s">
        <v>382</v>
      </c>
      <c r="I8" s="5238" t="s">
        <v>383</v>
      </c>
      <c r="J8" s="5238" t="s">
        <v>384</v>
      </c>
      <c r="K8" s="5238" t="s">
        <v>385</v>
      </c>
      <c r="L8" s="5238" t="s">
        <v>386</v>
      </c>
      <c r="M8" s="5238" t="s">
        <v>387</v>
      </c>
      <c r="N8" s="5238" t="s">
        <v>388</v>
      </c>
      <c r="O8" s="5238" t="s">
        <v>389</v>
      </c>
      <c r="P8" s="5238" t="s">
        <v>390</v>
      </c>
      <c r="Q8" s="5238" t="s">
        <v>391</v>
      </c>
      <c r="R8" s="5238" t="s">
        <v>526</v>
      </c>
      <c r="S8" s="5238" t="s">
        <v>527</v>
      </c>
      <c r="T8" s="5239" t="s">
        <v>368</v>
      </c>
      <c r="U8" s="5240" t="s">
        <v>369</v>
      </c>
      <c r="V8" s="5240" t="s">
        <v>370</v>
      </c>
      <c r="W8" s="5240" t="s">
        <v>371</v>
      </c>
      <c r="X8" s="5240" t="s">
        <v>372</v>
      </c>
      <c r="Y8" s="5240" t="s">
        <v>373</v>
      </c>
      <c r="Z8" s="5240" t="s">
        <v>374</v>
      </c>
      <c r="AA8" s="5240" t="s">
        <v>375</v>
      </c>
      <c r="AB8" s="5240" t="s">
        <v>376</v>
      </c>
      <c r="AC8" s="5240" t="s">
        <v>377</v>
      </c>
      <c r="AD8" s="5240" t="s">
        <v>378</v>
      </c>
      <c r="AE8" s="5240" t="s">
        <v>379</v>
      </c>
      <c r="AF8" s="5241" t="s">
        <v>530</v>
      </c>
      <c r="AG8" s="5241" t="s">
        <v>531</v>
      </c>
      <c r="AH8" s="5242"/>
      <c r="AI8" s="5243" t="s">
        <v>524</v>
      </c>
      <c r="AJ8" s="5242" t="s">
        <v>3</v>
      </c>
      <c r="AK8" s="5242" t="s">
        <v>525</v>
      </c>
      <c r="AL8" s="5242" t="s">
        <v>358</v>
      </c>
      <c r="AM8" s="5242" t="s">
        <v>359</v>
      </c>
      <c r="AN8" s="5242" t="s">
        <v>360</v>
      </c>
      <c r="AO8" s="5242" t="s">
        <v>361</v>
      </c>
      <c r="AP8" s="5242" t="s">
        <v>362</v>
      </c>
      <c r="AQ8" s="5242" t="s">
        <v>363</v>
      </c>
      <c r="AR8" s="5242" t="s">
        <v>364</v>
      </c>
      <c r="AS8" s="5242" t="s">
        <v>365</v>
      </c>
      <c r="AT8" s="5244" t="s">
        <v>366</v>
      </c>
      <c r="AU8" s="5242" t="s">
        <v>528</v>
      </c>
      <c r="AV8" s="5245" t="s">
        <v>529</v>
      </c>
      <c r="AW8" s="5246" t="s">
        <v>1021</v>
      </c>
      <c r="AX8" s="5238" t="s">
        <v>1022</v>
      </c>
      <c r="AY8" s="2429" t="s">
        <v>1024</v>
      </c>
      <c r="AZ8" s="5238" t="s">
        <v>1025</v>
      </c>
      <c r="BA8" s="2429" t="s">
        <v>1026</v>
      </c>
      <c r="BB8" s="2429" t="s">
        <v>1027</v>
      </c>
      <c r="BC8" s="2429" t="s">
        <v>1028</v>
      </c>
      <c r="BD8" s="2429" t="s">
        <v>1029</v>
      </c>
      <c r="BE8" s="2429" t="s">
        <v>1030</v>
      </c>
      <c r="BF8" s="2429" t="s">
        <v>1031</v>
      </c>
      <c r="BG8" s="2429" t="s">
        <v>1032</v>
      </c>
      <c r="BH8" s="5247" t="s">
        <v>1033</v>
      </c>
      <c r="BI8" s="3317" t="s">
        <v>1034</v>
      </c>
      <c r="BJ8" s="5145" t="s">
        <v>1035</v>
      </c>
      <c r="BL8" s="5229" t="s">
        <v>464</v>
      </c>
      <c r="BM8" s="5229" t="s">
        <v>465</v>
      </c>
      <c r="BN8" s="5230" t="s">
        <v>471</v>
      </c>
      <c r="BO8" s="2441" t="s">
        <v>1155</v>
      </c>
    </row>
    <row r="9" spans="1:73" ht="17.05" customHeight="1" x14ac:dyDescent="0.55000000000000004">
      <c r="A9" s="7205" t="s">
        <v>85</v>
      </c>
      <c r="B9" s="7206"/>
      <c r="C9" s="5248" t="s">
        <v>44</v>
      </c>
      <c r="D9" s="5249"/>
      <c r="E9" s="5250"/>
      <c r="F9" s="5250"/>
      <c r="G9" s="5251"/>
      <c r="H9" s="5251"/>
      <c r="I9" s="5251"/>
      <c r="J9" s="5251"/>
      <c r="K9" s="5251"/>
      <c r="L9" s="5251"/>
      <c r="M9" s="5251"/>
      <c r="N9" s="5251"/>
      <c r="O9" s="5251"/>
      <c r="P9" s="5251"/>
      <c r="Q9" s="5251"/>
      <c r="R9" s="5251"/>
      <c r="S9" s="5251"/>
      <c r="T9" s="5250">
        <f t="shared" ref="T9:AG9" si="7">T16+T58</f>
        <v>384176</v>
      </c>
      <c r="U9" s="5251">
        <f t="shared" si="7"/>
        <v>382853</v>
      </c>
      <c r="V9" s="5251">
        <f t="shared" si="7"/>
        <v>380397</v>
      </c>
      <c r="W9" s="5251">
        <f t="shared" si="7"/>
        <v>378798</v>
      </c>
      <c r="X9" s="5251">
        <f t="shared" si="7"/>
        <v>376441</v>
      </c>
      <c r="Y9" s="5251">
        <f t="shared" si="7"/>
        <v>373238</v>
      </c>
      <c r="Z9" s="5251">
        <f t="shared" si="7"/>
        <v>368493</v>
      </c>
      <c r="AA9" s="5251">
        <f t="shared" si="7"/>
        <v>365069</v>
      </c>
      <c r="AB9" s="5251">
        <f t="shared" si="7"/>
        <v>361577</v>
      </c>
      <c r="AC9" s="5251">
        <f t="shared" si="7"/>
        <v>359974</v>
      </c>
      <c r="AD9" s="5251">
        <f t="shared" si="7"/>
        <v>358286</v>
      </c>
      <c r="AE9" s="5251">
        <f t="shared" si="7"/>
        <v>354810</v>
      </c>
      <c r="AF9" s="5252">
        <f t="shared" si="7"/>
        <v>354810</v>
      </c>
      <c r="AG9" s="5252">
        <f t="shared" si="7"/>
        <v>370342.66666666663</v>
      </c>
      <c r="AH9" s="5252" t="s">
        <v>945</v>
      </c>
      <c r="AI9" s="5253">
        <f t="shared" ref="AI9:AT9" si="8">AI16+AI58</f>
        <v>353254</v>
      </c>
      <c r="AJ9" s="5252">
        <f t="shared" si="8"/>
        <v>350207</v>
      </c>
      <c r="AK9" s="5252">
        <f t="shared" si="8"/>
        <v>346755</v>
      </c>
      <c r="AL9" s="5252">
        <f t="shared" si="8"/>
        <v>344219</v>
      </c>
      <c r="AM9" s="5252">
        <f t="shared" si="8"/>
        <v>338568</v>
      </c>
      <c r="AN9" s="5252">
        <f t="shared" si="8"/>
        <v>332892</v>
      </c>
      <c r="AO9" s="5252">
        <f t="shared" si="8"/>
        <v>328074</v>
      </c>
      <c r="AP9" s="5252">
        <f t="shared" si="8"/>
        <v>322444</v>
      </c>
      <c r="AQ9" s="5252">
        <f t="shared" si="8"/>
        <v>317358</v>
      </c>
      <c r="AR9" s="5252">
        <f t="shared" si="8"/>
        <v>311310</v>
      </c>
      <c r="AS9" s="5252">
        <f t="shared" si="8"/>
        <v>305983</v>
      </c>
      <c r="AT9" s="5252">
        <f t="shared" si="8"/>
        <v>299670</v>
      </c>
      <c r="AU9" s="5252">
        <f>INDEX($AI9:$AT9, 1, MATCH(0, $AI9:$AT9, -1))</f>
        <v>299670</v>
      </c>
      <c r="AV9" s="5254">
        <f>AVERAGE(AI9:AT9)</f>
        <v>329227.83333333331</v>
      </c>
      <c r="AW9" s="5250">
        <f t="shared" ref="AW9:AX14" si="9">AW16+AW58</f>
        <v>293230</v>
      </c>
      <c r="AX9" s="5252">
        <f t="shared" si="9"/>
        <v>289323</v>
      </c>
      <c r="AY9" s="5252">
        <v>283808</v>
      </c>
      <c r="AZ9" s="5252">
        <f t="shared" ref="AZ9:BB15" si="10">AZ16+AZ58</f>
        <v>279924</v>
      </c>
      <c r="BA9" s="5252">
        <f t="shared" si="10"/>
        <v>279331</v>
      </c>
      <c r="BB9" s="5252">
        <f t="shared" si="10"/>
        <v>275030</v>
      </c>
      <c r="BC9" s="5252">
        <f t="shared" ref="BC9:BD9" si="11">BC16+BC58</f>
        <v>273151</v>
      </c>
      <c r="BD9" s="5252">
        <f t="shared" si="11"/>
        <v>269333</v>
      </c>
      <c r="BE9" s="5252">
        <f t="shared" ref="BE9" si="12">BE16+BE58</f>
        <v>266054</v>
      </c>
      <c r="BF9" s="5252">
        <f t="shared" ref="BF9:BG9" si="13">BF16+BF58</f>
        <v>260645</v>
      </c>
      <c r="BG9" s="5252">
        <f t="shared" si="13"/>
        <v>254480</v>
      </c>
      <c r="BH9" s="5252">
        <f t="shared" ref="BH9" si="14">BH16+BH58</f>
        <v>265343</v>
      </c>
      <c r="BI9" s="5252">
        <f>AW9</f>
        <v>293230</v>
      </c>
      <c r="BJ9" s="5254">
        <f>AVERAGE(AW9:BH9)</f>
        <v>274137.66666666669</v>
      </c>
      <c r="BL9" s="5234">
        <f t="shared" ref="BL9:BL40" si="15">HLOOKUP($A$1,$AW$1:$BH$396,ROW(),0)-HLOOKUP($A$1,$AI$1:$AT$396,ROW(),0)</f>
        <v>-34327</v>
      </c>
      <c r="BM9" s="5234">
        <f t="shared" ref="BM9:BM77" si="16">BJ9-AV9</f>
        <v>-55090.166666666628</v>
      </c>
      <c r="BN9" s="5255">
        <f t="shared" ref="BN9:BN15" si="17">HLOOKUP($A$1,$AW$1:$BH$396,ROW(),0)-SUM(AI9:AJ9)</f>
        <v>-438118</v>
      </c>
      <c r="BO9" s="2488">
        <f>BH9-AT9</f>
        <v>-34327</v>
      </c>
      <c r="BQ9" s="2488">
        <v>248042</v>
      </c>
      <c r="BR9" s="2488">
        <v>-51628</v>
      </c>
    </row>
    <row r="10" spans="1:73" x14ac:dyDescent="0.55000000000000004">
      <c r="A10" s="7164"/>
      <c r="B10" s="7165"/>
      <c r="C10" s="5076" t="s">
        <v>47</v>
      </c>
      <c r="F10" s="5256"/>
      <c r="G10" s="3263"/>
      <c r="H10" s="3263"/>
      <c r="I10" s="3263"/>
      <c r="J10" s="3263"/>
      <c r="K10" s="3263"/>
      <c r="L10" s="3263"/>
      <c r="M10" s="3263"/>
      <c r="N10" s="3263"/>
      <c r="O10" s="3263"/>
      <c r="P10" s="3263"/>
      <c r="Q10" s="3263"/>
      <c r="R10" s="3263"/>
      <c r="S10" s="3263"/>
      <c r="T10" s="5256">
        <f t="shared" ref="T10:AG10" si="18">T17+T59</f>
        <v>6192</v>
      </c>
      <c r="U10" s="3263">
        <f t="shared" si="18"/>
        <v>7365</v>
      </c>
      <c r="V10" s="3263">
        <f t="shared" si="18"/>
        <v>6994</v>
      </c>
      <c r="W10" s="3263">
        <f t="shared" si="18"/>
        <v>6792</v>
      </c>
      <c r="X10" s="3263">
        <f t="shared" si="18"/>
        <v>7180</v>
      </c>
      <c r="Y10" s="3263">
        <f t="shared" si="18"/>
        <v>6760</v>
      </c>
      <c r="Z10" s="3263">
        <f t="shared" si="18"/>
        <v>5860</v>
      </c>
      <c r="AA10" s="3263">
        <f t="shared" si="18"/>
        <v>7873</v>
      </c>
      <c r="AB10" s="3263">
        <f t="shared" si="18"/>
        <v>6014</v>
      </c>
      <c r="AC10" s="3263">
        <f t="shared" si="18"/>
        <v>6726</v>
      </c>
      <c r="AD10" s="3263">
        <f t="shared" si="18"/>
        <v>6591</v>
      </c>
      <c r="AE10" s="3263">
        <f t="shared" si="18"/>
        <v>4971</v>
      </c>
      <c r="AF10" s="5257">
        <f t="shared" si="18"/>
        <v>79318</v>
      </c>
      <c r="AG10" s="5257">
        <f t="shared" si="18"/>
        <v>6609.8333333333339</v>
      </c>
      <c r="AH10" s="5257"/>
      <c r="AI10" s="5258">
        <f t="shared" ref="AI10:AT10" si="19">AI17+AI59</f>
        <v>7661</v>
      </c>
      <c r="AJ10" s="5257">
        <f t="shared" si="19"/>
        <v>6253</v>
      </c>
      <c r="AK10" s="5257">
        <f t="shared" si="19"/>
        <v>7526</v>
      </c>
      <c r="AL10" s="5257">
        <f t="shared" si="19"/>
        <v>7448</v>
      </c>
      <c r="AM10" s="5257">
        <f t="shared" si="19"/>
        <v>8240</v>
      </c>
      <c r="AN10" s="5257">
        <f t="shared" si="19"/>
        <v>7823</v>
      </c>
      <c r="AO10" s="5257">
        <f t="shared" si="19"/>
        <v>8787</v>
      </c>
      <c r="AP10" s="5257">
        <f t="shared" si="19"/>
        <v>8057</v>
      </c>
      <c r="AQ10" s="5257">
        <f t="shared" si="19"/>
        <v>8190</v>
      </c>
      <c r="AR10" s="5257">
        <f t="shared" si="19"/>
        <v>8485</v>
      </c>
      <c r="AS10" s="5257">
        <f t="shared" si="19"/>
        <v>8211</v>
      </c>
      <c r="AT10" s="3263">
        <f t="shared" si="19"/>
        <v>7491</v>
      </c>
      <c r="AU10" s="5257">
        <f t="shared" ref="AU10:AU15" si="20">SUM(AI10:AT10)</f>
        <v>94172</v>
      </c>
      <c r="AV10" s="5259">
        <f t="shared" ref="AV10:AV72" si="21">AVERAGE(AI10:AT10)</f>
        <v>7847.666666666667</v>
      </c>
      <c r="AW10" s="5256">
        <f t="shared" si="9"/>
        <v>6847</v>
      </c>
      <c r="AX10" s="5257">
        <f t="shared" si="9"/>
        <v>10197</v>
      </c>
      <c r="AY10" s="5257">
        <v>8908</v>
      </c>
      <c r="AZ10" s="5257">
        <f t="shared" si="10"/>
        <v>9833</v>
      </c>
      <c r="BA10" s="5257">
        <f t="shared" si="10"/>
        <v>17350</v>
      </c>
      <c r="BB10" s="5257">
        <f t="shared" si="10"/>
        <v>11644</v>
      </c>
      <c r="BC10" s="5257">
        <f t="shared" ref="BC10:BD10" si="22">BC17+BC59</f>
        <v>13532</v>
      </c>
      <c r="BD10" s="5257">
        <f t="shared" si="22"/>
        <v>11058</v>
      </c>
      <c r="BE10" s="5257">
        <f t="shared" ref="BE10:BF10" si="23">BE17+BE59</f>
        <v>11264</v>
      </c>
      <c r="BF10" s="5257">
        <f t="shared" si="23"/>
        <v>7545</v>
      </c>
      <c r="BG10" s="5257">
        <f t="shared" ref="BG10:BH10" si="24">BG17+BG59</f>
        <v>7481</v>
      </c>
      <c r="BH10" s="5257">
        <f t="shared" si="24"/>
        <v>7134</v>
      </c>
      <c r="BI10" s="5257">
        <f t="shared" ref="BI10:BI15" si="25">SUM(AW10:BH10)</f>
        <v>122793</v>
      </c>
      <c r="BJ10" s="5259">
        <f t="shared" ref="BJ10:BJ72" si="26">AVERAGE(AW10:BH10)</f>
        <v>10232.75</v>
      </c>
      <c r="BL10" s="5234">
        <f t="shared" si="15"/>
        <v>-357</v>
      </c>
      <c r="BM10" s="5234">
        <f t="shared" si="16"/>
        <v>2385.083333333333</v>
      </c>
      <c r="BN10" s="5255">
        <f t="shared" si="17"/>
        <v>-6780</v>
      </c>
      <c r="BQ10" s="5234">
        <v>-6438</v>
      </c>
      <c r="BR10" s="5234">
        <v>2933</v>
      </c>
    </row>
    <row r="11" spans="1:73" x14ac:dyDescent="0.55000000000000004">
      <c r="A11" s="7164"/>
      <c r="B11" s="7165"/>
      <c r="C11" s="2441" t="s">
        <v>48</v>
      </c>
      <c r="F11" s="5256"/>
      <c r="G11" s="3263"/>
      <c r="H11" s="3263"/>
      <c r="I11" s="3263"/>
      <c r="J11" s="3263"/>
      <c r="K11" s="3263"/>
      <c r="L11" s="3263"/>
      <c r="M11" s="3263"/>
      <c r="N11" s="3263"/>
      <c r="O11" s="3263"/>
      <c r="P11" s="3263"/>
      <c r="Q11" s="3263"/>
      <c r="R11" s="3263"/>
      <c r="S11" s="3263"/>
      <c r="T11" s="5256">
        <f t="shared" ref="T11:AG11" si="27">T18+T60</f>
        <v>3803</v>
      </c>
      <c r="U11" s="3263">
        <f t="shared" si="27"/>
        <v>3720</v>
      </c>
      <c r="V11" s="3263">
        <f t="shared" si="27"/>
        <v>3883</v>
      </c>
      <c r="W11" s="3263">
        <f t="shared" si="27"/>
        <v>3260</v>
      </c>
      <c r="X11" s="3263">
        <f t="shared" si="27"/>
        <v>3635</v>
      </c>
      <c r="Y11" s="3263">
        <f t="shared" si="27"/>
        <v>3882</v>
      </c>
      <c r="Z11" s="3263">
        <f t="shared" si="27"/>
        <v>3763</v>
      </c>
      <c r="AA11" s="3263">
        <f t="shared" si="27"/>
        <v>4655</v>
      </c>
      <c r="AB11" s="3263">
        <f t="shared" si="27"/>
        <v>3503</v>
      </c>
      <c r="AC11" s="3263">
        <f t="shared" si="27"/>
        <v>3643</v>
      </c>
      <c r="AD11" s="3263">
        <f t="shared" si="27"/>
        <v>3532</v>
      </c>
      <c r="AE11" s="3263">
        <f t="shared" si="27"/>
        <v>3128</v>
      </c>
      <c r="AF11" s="5257">
        <f t="shared" si="27"/>
        <v>44407</v>
      </c>
      <c r="AG11" s="5257">
        <f t="shared" si="27"/>
        <v>3700.5833333333335</v>
      </c>
      <c r="AH11" s="5257"/>
      <c r="AI11" s="5258">
        <f t="shared" ref="AI11:AS11" si="28">AI18+AI60</f>
        <v>3722</v>
      </c>
      <c r="AJ11" s="5257">
        <f t="shared" si="28"/>
        <v>3753</v>
      </c>
      <c r="AK11" s="5257">
        <f t="shared" si="28"/>
        <v>3956</v>
      </c>
      <c r="AL11" s="5257">
        <f t="shared" si="28"/>
        <v>3881</v>
      </c>
      <c r="AM11" s="5257">
        <f t="shared" si="28"/>
        <v>3840</v>
      </c>
      <c r="AN11" s="5257">
        <f t="shared" si="28"/>
        <v>3783</v>
      </c>
      <c r="AO11" s="5257">
        <f t="shared" si="28"/>
        <v>3891</v>
      </c>
      <c r="AP11" s="5257">
        <f t="shared" si="28"/>
        <v>3509</v>
      </c>
      <c r="AQ11" s="5257">
        <f t="shared" si="28"/>
        <v>3200</v>
      </c>
      <c r="AR11" s="5257">
        <f t="shared" si="28"/>
        <v>3341</v>
      </c>
      <c r="AS11" s="5257">
        <f t="shared" si="28"/>
        <v>3100</v>
      </c>
      <c r="AT11" s="3263">
        <v>2667</v>
      </c>
      <c r="AU11" s="5257">
        <f t="shared" si="20"/>
        <v>42643</v>
      </c>
      <c r="AV11" s="5259">
        <f t="shared" si="21"/>
        <v>3553.5833333333335</v>
      </c>
      <c r="AW11" s="5256">
        <f t="shared" si="9"/>
        <v>2845</v>
      </c>
      <c r="AX11" s="5257">
        <f t="shared" si="9"/>
        <v>3689</v>
      </c>
      <c r="AY11" s="5257">
        <v>3594</v>
      </c>
      <c r="AZ11" s="5257">
        <f t="shared" si="10"/>
        <v>3559</v>
      </c>
      <c r="BA11" s="5257">
        <f t="shared" si="10"/>
        <v>3118</v>
      </c>
      <c r="BB11" s="5257">
        <f t="shared" si="10"/>
        <v>3230</v>
      </c>
      <c r="BC11" s="5257">
        <f t="shared" ref="BC11:BD11" si="29">BC18+BC60</f>
        <v>3142</v>
      </c>
      <c r="BD11" s="5257">
        <f t="shared" si="29"/>
        <v>2748</v>
      </c>
      <c r="BE11" s="5257">
        <f t="shared" ref="BE11:BF11" si="30">BE18+BE60</f>
        <v>3047</v>
      </c>
      <c r="BF11" s="5257">
        <f t="shared" si="30"/>
        <v>3030</v>
      </c>
      <c r="BG11" s="5257">
        <f t="shared" ref="BG11:BH11" si="31">BG18+BG60</f>
        <v>2850</v>
      </c>
      <c r="BH11" s="5257">
        <f t="shared" si="31"/>
        <v>3051</v>
      </c>
      <c r="BI11" s="5257">
        <f t="shared" si="25"/>
        <v>37903</v>
      </c>
      <c r="BJ11" s="5259">
        <f t="shared" si="26"/>
        <v>3158.5833333333335</v>
      </c>
      <c r="BL11" s="5234">
        <f t="shared" si="15"/>
        <v>384</v>
      </c>
      <c r="BM11" s="5234">
        <f t="shared" si="16"/>
        <v>-395</v>
      </c>
      <c r="BN11" s="5255">
        <f t="shared" si="17"/>
        <v>-4424</v>
      </c>
      <c r="BQ11" s="5234">
        <v>121161</v>
      </c>
      <c r="BR11" s="2488">
        <v>-36543</v>
      </c>
    </row>
    <row r="12" spans="1:73" x14ac:dyDescent="0.55000000000000004">
      <c r="A12" s="7164"/>
      <c r="B12" s="7165"/>
      <c r="C12" s="2525" t="s">
        <v>59</v>
      </c>
      <c r="F12" s="5256"/>
      <c r="G12" s="3263"/>
      <c r="H12" s="3263"/>
      <c r="I12" s="3263"/>
      <c r="J12" s="3263"/>
      <c r="K12" s="3263"/>
      <c r="L12" s="3263"/>
      <c r="M12" s="3263"/>
      <c r="N12" s="3263"/>
      <c r="O12" s="3263"/>
      <c r="P12" s="3263"/>
      <c r="Q12" s="3263"/>
      <c r="R12" s="3263"/>
      <c r="S12" s="3263"/>
      <c r="T12" s="5256">
        <f t="shared" ref="T12:AG12" si="32">T19+T61</f>
        <v>217</v>
      </c>
      <c r="U12" s="3263">
        <f t="shared" si="32"/>
        <v>195</v>
      </c>
      <c r="V12" s="3263">
        <f t="shared" si="32"/>
        <v>191</v>
      </c>
      <c r="W12" s="3263">
        <f t="shared" si="32"/>
        <v>259</v>
      </c>
      <c r="X12" s="3263">
        <f t="shared" si="32"/>
        <v>246</v>
      </c>
      <c r="Y12" s="3263">
        <f t="shared" si="32"/>
        <v>282</v>
      </c>
      <c r="Z12" s="3263">
        <f t="shared" si="32"/>
        <v>262</v>
      </c>
      <c r="AA12" s="3263">
        <f t="shared" si="32"/>
        <v>797</v>
      </c>
      <c r="AB12" s="3263">
        <f t="shared" si="32"/>
        <v>206</v>
      </c>
      <c r="AC12" s="3263">
        <f t="shared" si="32"/>
        <v>276</v>
      </c>
      <c r="AD12" s="3263">
        <f t="shared" si="32"/>
        <v>309</v>
      </c>
      <c r="AE12" s="3263">
        <f t="shared" si="32"/>
        <v>226</v>
      </c>
      <c r="AF12" s="5257">
        <f t="shared" si="32"/>
        <v>3466</v>
      </c>
      <c r="AG12" s="5257">
        <f t="shared" si="32"/>
        <v>288.83333333333337</v>
      </c>
      <c r="AH12" s="5257"/>
      <c r="AI12" s="5258">
        <f t="shared" ref="AI12:AS12" si="33">AI19+AI61</f>
        <v>268</v>
      </c>
      <c r="AJ12" s="5257">
        <f t="shared" si="33"/>
        <v>222</v>
      </c>
      <c r="AK12" s="5257">
        <f t="shared" si="33"/>
        <v>286</v>
      </c>
      <c r="AL12" s="5257">
        <f t="shared" si="33"/>
        <v>284</v>
      </c>
      <c r="AM12" s="5257">
        <f t="shared" si="33"/>
        <v>303</v>
      </c>
      <c r="AN12" s="5257">
        <f t="shared" si="33"/>
        <v>226</v>
      </c>
      <c r="AO12" s="5257">
        <f t="shared" si="33"/>
        <v>258</v>
      </c>
      <c r="AP12" s="5257">
        <f t="shared" si="33"/>
        <v>176</v>
      </c>
      <c r="AQ12" s="5257">
        <f t="shared" si="33"/>
        <v>193</v>
      </c>
      <c r="AR12" s="5257">
        <f t="shared" si="33"/>
        <v>197</v>
      </c>
      <c r="AS12" s="5257">
        <f t="shared" si="33"/>
        <v>205</v>
      </c>
      <c r="AT12" s="3263">
        <v>175</v>
      </c>
      <c r="AU12" s="5257">
        <f t="shared" si="20"/>
        <v>2793</v>
      </c>
      <c r="AV12" s="5259">
        <f t="shared" si="21"/>
        <v>232.75</v>
      </c>
      <c r="AW12" s="5256">
        <f t="shared" si="9"/>
        <v>187</v>
      </c>
      <c r="AX12" s="5257">
        <f t="shared" si="9"/>
        <v>206</v>
      </c>
      <c r="AY12" s="5257">
        <v>269</v>
      </c>
      <c r="AZ12" s="5257">
        <f t="shared" si="10"/>
        <v>271</v>
      </c>
      <c r="BA12" s="5257">
        <f t="shared" si="10"/>
        <v>308</v>
      </c>
      <c r="BB12" s="5257">
        <f t="shared" si="10"/>
        <v>209</v>
      </c>
      <c r="BC12" s="5257">
        <f t="shared" ref="BC12:BD12" si="34">BC19+BC61</f>
        <v>195</v>
      </c>
      <c r="BD12" s="5257">
        <f t="shared" si="34"/>
        <v>150</v>
      </c>
      <c r="BE12" s="5257">
        <f t="shared" ref="BE12:BF12" si="35">BE19+BE61</f>
        <v>171</v>
      </c>
      <c r="BF12" s="5257">
        <f t="shared" si="35"/>
        <v>158</v>
      </c>
      <c r="BG12" s="5257">
        <f t="shared" ref="BG12:BH12" si="36">BG19+BG61</f>
        <v>108</v>
      </c>
      <c r="BH12" s="5257">
        <f t="shared" si="36"/>
        <v>160</v>
      </c>
      <c r="BI12" s="5257">
        <f t="shared" si="25"/>
        <v>2392</v>
      </c>
      <c r="BJ12" s="5259">
        <f t="shared" si="26"/>
        <v>199.33333333333334</v>
      </c>
      <c r="BL12" s="5234">
        <f t="shared" si="15"/>
        <v>-15</v>
      </c>
      <c r="BM12" s="5234">
        <f t="shared" si="16"/>
        <v>-33.416666666666657</v>
      </c>
      <c r="BN12" s="5255">
        <f t="shared" si="17"/>
        <v>-330</v>
      </c>
      <c r="BQ12" s="5234">
        <v>-3585</v>
      </c>
      <c r="BR12" s="5234">
        <v>2927</v>
      </c>
    </row>
    <row r="13" spans="1:73" x14ac:dyDescent="0.55000000000000004">
      <c r="A13" s="7164"/>
      <c r="B13" s="7165"/>
      <c r="C13" s="5260" t="s">
        <v>86</v>
      </c>
      <c r="D13" s="5260"/>
      <c r="E13" s="5260"/>
      <c r="F13" s="5261"/>
      <c r="G13" s="5262"/>
      <c r="H13" s="5262"/>
      <c r="I13" s="5262"/>
      <c r="J13" s="5262"/>
      <c r="K13" s="5262"/>
      <c r="L13" s="5262"/>
      <c r="M13" s="5262"/>
      <c r="N13" s="5262"/>
      <c r="O13" s="5262"/>
      <c r="P13" s="5262"/>
      <c r="Q13" s="5262"/>
      <c r="R13" s="5262"/>
      <c r="S13" s="5262"/>
      <c r="T13" s="5261">
        <f t="shared" ref="T13:AG13" si="37">T20+T62</f>
        <v>2389</v>
      </c>
      <c r="U13" s="5262">
        <f t="shared" si="37"/>
        <v>3645</v>
      </c>
      <c r="V13" s="5262">
        <f t="shared" si="37"/>
        <v>3111</v>
      </c>
      <c r="W13" s="5262">
        <f t="shared" si="37"/>
        <v>3532</v>
      </c>
      <c r="X13" s="5262">
        <f t="shared" si="37"/>
        <v>3545</v>
      </c>
      <c r="Y13" s="5262">
        <f t="shared" si="37"/>
        <v>2878</v>
      </c>
      <c r="Z13" s="5262">
        <f t="shared" si="37"/>
        <v>2097</v>
      </c>
      <c r="AA13" s="5262">
        <f t="shared" si="37"/>
        <v>3218</v>
      </c>
      <c r="AB13" s="5262">
        <f t="shared" si="37"/>
        <v>2511</v>
      </c>
      <c r="AC13" s="5262">
        <f t="shared" si="37"/>
        <v>3083</v>
      </c>
      <c r="AD13" s="5262">
        <f t="shared" si="37"/>
        <v>3059</v>
      </c>
      <c r="AE13" s="5262">
        <f t="shared" si="37"/>
        <v>1843</v>
      </c>
      <c r="AF13" s="5263">
        <f t="shared" si="37"/>
        <v>34911</v>
      </c>
      <c r="AG13" s="5263">
        <f t="shared" si="37"/>
        <v>2909.25</v>
      </c>
      <c r="AH13" s="5263"/>
      <c r="AI13" s="5264">
        <f t="shared" ref="AI13:AS13" si="38">AI20+AI62</f>
        <v>3939</v>
      </c>
      <c r="AJ13" s="5263">
        <f t="shared" si="38"/>
        <v>2500</v>
      </c>
      <c r="AK13" s="5263">
        <f t="shared" si="38"/>
        <v>3570</v>
      </c>
      <c r="AL13" s="5263">
        <f t="shared" si="38"/>
        <v>3567</v>
      </c>
      <c r="AM13" s="5263">
        <f t="shared" si="38"/>
        <v>4400</v>
      </c>
      <c r="AN13" s="5263">
        <f t="shared" si="38"/>
        <v>4040</v>
      </c>
      <c r="AO13" s="5263">
        <f t="shared" si="38"/>
        <v>4896</v>
      </c>
      <c r="AP13" s="5263">
        <f t="shared" si="38"/>
        <v>4548</v>
      </c>
      <c r="AQ13" s="5263">
        <f t="shared" si="38"/>
        <v>4990</v>
      </c>
      <c r="AR13" s="5263">
        <f t="shared" si="38"/>
        <v>5144</v>
      </c>
      <c r="AS13" s="5263">
        <f t="shared" si="38"/>
        <v>5111</v>
      </c>
      <c r="AT13" s="5262">
        <v>4824</v>
      </c>
      <c r="AU13" s="5263">
        <f t="shared" si="20"/>
        <v>51529</v>
      </c>
      <c r="AV13" s="5265">
        <f t="shared" si="21"/>
        <v>4294.083333333333</v>
      </c>
      <c r="AW13" s="5261">
        <f t="shared" si="9"/>
        <v>3994</v>
      </c>
      <c r="AX13" s="5263">
        <f t="shared" si="9"/>
        <v>6202</v>
      </c>
      <c r="AY13" s="5263">
        <v>5314</v>
      </c>
      <c r="AZ13" s="5263">
        <f t="shared" si="10"/>
        <v>6274</v>
      </c>
      <c r="BA13" s="5263">
        <f t="shared" si="10"/>
        <v>14232</v>
      </c>
      <c r="BB13" s="5263">
        <f t="shared" si="10"/>
        <v>8414</v>
      </c>
      <c r="BC13" s="5263">
        <f t="shared" ref="BC13:BD13" si="39">BC20+BC62</f>
        <v>10390</v>
      </c>
      <c r="BD13" s="5263">
        <f t="shared" si="39"/>
        <v>8380</v>
      </c>
      <c r="BE13" s="5263">
        <f t="shared" ref="BE13:BF13" si="40">BE20+BE62</f>
        <v>8292</v>
      </c>
      <c r="BF13" s="5263">
        <f t="shared" si="40"/>
        <v>4515</v>
      </c>
      <c r="BG13" s="5263">
        <f t="shared" ref="BG13:BH13" si="41">BG20+BG62</f>
        <v>4631</v>
      </c>
      <c r="BH13" s="5263">
        <f t="shared" si="41"/>
        <v>7258</v>
      </c>
      <c r="BI13" s="5263">
        <f t="shared" si="25"/>
        <v>87896</v>
      </c>
      <c r="BJ13" s="5265">
        <f t="shared" si="26"/>
        <v>7324.666666666667</v>
      </c>
      <c r="BL13" s="5234">
        <f t="shared" si="15"/>
        <v>2434</v>
      </c>
      <c r="BM13" s="5234">
        <f t="shared" si="16"/>
        <v>3030.5833333333339</v>
      </c>
      <c r="BN13" s="5255">
        <f t="shared" si="17"/>
        <v>819</v>
      </c>
      <c r="BQ13" s="5234">
        <v>126881</v>
      </c>
      <c r="BR13" s="2488">
        <v>-15085</v>
      </c>
    </row>
    <row r="14" spans="1:73" x14ac:dyDescent="0.55000000000000004">
      <c r="A14" s="7164"/>
      <c r="B14" s="7165"/>
      <c r="C14" s="2441" t="s">
        <v>50</v>
      </c>
      <c r="F14" s="5256"/>
      <c r="G14" s="3263"/>
      <c r="H14" s="3263"/>
      <c r="I14" s="3263"/>
      <c r="J14" s="3263"/>
      <c r="K14" s="3263"/>
      <c r="L14" s="3263"/>
      <c r="M14" s="3263"/>
      <c r="N14" s="3263"/>
      <c r="O14" s="3263"/>
      <c r="P14" s="3263"/>
      <c r="Q14" s="3263"/>
      <c r="R14" s="3263"/>
      <c r="S14" s="3263"/>
      <c r="T14" s="5256">
        <f t="shared" ref="T14:AG14" si="42">T21+T63</f>
        <v>6696</v>
      </c>
      <c r="U14" s="3263">
        <f t="shared" si="42"/>
        <v>4968</v>
      </c>
      <c r="V14" s="3263">
        <f t="shared" si="42"/>
        <v>5567</v>
      </c>
      <c r="W14" s="3263">
        <f t="shared" si="42"/>
        <v>5131</v>
      </c>
      <c r="X14" s="3263">
        <f t="shared" si="42"/>
        <v>5902</v>
      </c>
      <c r="Y14" s="3263">
        <f t="shared" si="42"/>
        <v>6081</v>
      </c>
      <c r="Z14" s="3263">
        <f t="shared" si="42"/>
        <v>6842</v>
      </c>
      <c r="AA14" s="3263">
        <f t="shared" si="42"/>
        <v>6642</v>
      </c>
      <c r="AB14" s="3263">
        <f t="shared" si="42"/>
        <v>6003</v>
      </c>
      <c r="AC14" s="3263">
        <f t="shared" si="42"/>
        <v>4686</v>
      </c>
      <c r="AD14" s="3263">
        <f t="shared" si="42"/>
        <v>4747</v>
      </c>
      <c r="AE14" s="3263">
        <f t="shared" si="42"/>
        <v>5319</v>
      </c>
      <c r="AF14" s="5257">
        <f t="shared" si="42"/>
        <v>55692</v>
      </c>
      <c r="AG14" s="5257">
        <f t="shared" si="42"/>
        <v>-616.16666666666788</v>
      </c>
      <c r="AH14" s="5257"/>
      <c r="AI14" s="5258">
        <f t="shared" ref="AI14:AS14" si="43">AI21+AI63</f>
        <v>4916</v>
      </c>
      <c r="AJ14" s="5257">
        <f t="shared" si="43"/>
        <v>5547</v>
      </c>
      <c r="AK14" s="5257">
        <f t="shared" si="43"/>
        <v>7022</v>
      </c>
      <c r="AL14" s="5257">
        <f t="shared" si="43"/>
        <v>6103</v>
      </c>
      <c r="AM14" s="5257">
        <f t="shared" si="43"/>
        <v>10051</v>
      </c>
      <c r="AN14" s="5257">
        <f t="shared" si="43"/>
        <v>9716</v>
      </c>
      <c r="AO14" s="5257">
        <f t="shared" si="43"/>
        <v>9714</v>
      </c>
      <c r="AP14" s="5257">
        <f t="shared" si="43"/>
        <v>10178</v>
      </c>
      <c r="AQ14" s="5257">
        <f t="shared" si="43"/>
        <v>10076</v>
      </c>
      <c r="AR14" s="5257">
        <f t="shared" si="43"/>
        <v>11192</v>
      </c>
      <c r="AS14" s="5257">
        <f t="shared" si="43"/>
        <v>10438</v>
      </c>
      <c r="AT14" s="3263">
        <v>11137</v>
      </c>
      <c r="AU14" s="5257">
        <f t="shared" si="20"/>
        <v>106090</v>
      </c>
      <c r="AV14" s="5259">
        <f t="shared" si="21"/>
        <v>8840.8333333333339</v>
      </c>
      <c r="AW14" s="5256">
        <f t="shared" si="9"/>
        <v>10716</v>
      </c>
      <c r="AX14" s="5257">
        <f t="shared" si="9"/>
        <v>10556</v>
      </c>
      <c r="AY14" s="5257">
        <v>10829</v>
      </c>
      <c r="AZ14" s="5257">
        <f t="shared" si="10"/>
        <v>10158</v>
      </c>
      <c r="BA14" s="5257">
        <f t="shared" si="10"/>
        <v>14825</v>
      </c>
      <c r="BB14" s="5257">
        <f t="shared" si="10"/>
        <v>12641</v>
      </c>
      <c r="BC14" s="5257">
        <f t="shared" ref="BC14:BD14" si="44">BC21+BC63</f>
        <v>12269</v>
      </c>
      <c r="BD14" s="5257">
        <f t="shared" si="44"/>
        <v>12198</v>
      </c>
      <c r="BE14" s="5257">
        <f t="shared" ref="BE14:BF14" si="45">BE21+BE63</f>
        <v>11571</v>
      </c>
      <c r="BF14" s="5257">
        <f t="shared" si="45"/>
        <v>9924</v>
      </c>
      <c r="BG14" s="5257">
        <f t="shared" ref="BG14:BH14" si="46">BG21+BG63</f>
        <v>10796</v>
      </c>
      <c r="BH14" s="5257">
        <f t="shared" si="46"/>
        <v>11913</v>
      </c>
      <c r="BI14" s="5257">
        <f t="shared" si="25"/>
        <v>138396</v>
      </c>
      <c r="BJ14" s="5259">
        <f t="shared" si="26"/>
        <v>11533</v>
      </c>
      <c r="BL14" s="5234">
        <f t="shared" si="15"/>
        <v>776</v>
      </c>
      <c r="BM14" s="5234">
        <f t="shared" si="16"/>
        <v>2692.1666666666661</v>
      </c>
      <c r="BN14" s="5255">
        <f t="shared" si="17"/>
        <v>1450</v>
      </c>
      <c r="BQ14" s="5234">
        <v>-2853</v>
      </c>
      <c r="BR14" s="5234">
        <v>2729</v>
      </c>
    </row>
    <row r="15" spans="1:73" ht="15.45" thickBot="1" x14ac:dyDescent="0.6">
      <c r="A15" s="7166"/>
      <c r="B15" s="7167"/>
      <c r="C15" s="5266" t="s">
        <v>51</v>
      </c>
      <c r="D15" s="5267"/>
      <c r="E15" s="5267"/>
      <c r="F15" s="5268"/>
      <c r="G15" s="5269"/>
      <c r="H15" s="5269"/>
      <c r="I15" s="5269"/>
      <c r="J15" s="5269"/>
      <c r="K15" s="5269"/>
      <c r="L15" s="5269"/>
      <c r="M15" s="5269"/>
      <c r="N15" s="5269"/>
      <c r="O15" s="5269"/>
      <c r="P15" s="5269"/>
      <c r="Q15" s="5269"/>
      <c r="R15" s="5269"/>
      <c r="S15" s="5269"/>
      <c r="T15" s="5268">
        <f t="shared" ref="T15:AG15" si="47">T22+T64</f>
        <v>-4307</v>
      </c>
      <c r="U15" s="5269">
        <f t="shared" si="47"/>
        <v>-1323</v>
      </c>
      <c r="V15" s="5269">
        <f t="shared" si="47"/>
        <v>-2456</v>
      </c>
      <c r="W15" s="5269">
        <f t="shared" si="47"/>
        <v>-1599</v>
      </c>
      <c r="X15" s="5269">
        <f t="shared" si="47"/>
        <v>-2357</v>
      </c>
      <c r="Y15" s="5269">
        <f t="shared" si="47"/>
        <v>-3203</v>
      </c>
      <c r="Z15" s="5269">
        <f t="shared" si="47"/>
        <v>-4745</v>
      </c>
      <c r="AA15" s="5269">
        <f t="shared" si="47"/>
        <v>-3424</v>
      </c>
      <c r="AB15" s="5269">
        <f t="shared" si="47"/>
        <v>-3492</v>
      </c>
      <c r="AC15" s="5269">
        <f t="shared" si="47"/>
        <v>-1603</v>
      </c>
      <c r="AD15" s="5269">
        <f t="shared" si="47"/>
        <v>-1688</v>
      </c>
      <c r="AE15" s="5269">
        <f t="shared" si="47"/>
        <v>-3476</v>
      </c>
      <c r="AF15" s="5270">
        <f t="shared" si="47"/>
        <v>-20781</v>
      </c>
      <c r="AG15" s="5270">
        <f t="shared" si="47"/>
        <v>3525.4166666666674</v>
      </c>
      <c r="AH15" s="5270"/>
      <c r="AI15" s="5271">
        <f t="shared" ref="AI15:AS15" si="48">AI22+AI64</f>
        <v>-903</v>
      </c>
      <c r="AJ15" s="5270">
        <f t="shared" si="48"/>
        <v>-3047</v>
      </c>
      <c r="AK15" s="5270">
        <f t="shared" si="48"/>
        <v>-3452</v>
      </c>
      <c r="AL15" s="5270">
        <f t="shared" si="48"/>
        <v>-2536</v>
      </c>
      <c r="AM15" s="5270">
        <f t="shared" si="48"/>
        <v>-5651</v>
      </c>
      <c r="AN15" s="5270">
        <f t="shared" si="48"/>
        <v>-5676</v>
      </c>
      <c r="AO15" s="5270">
        <f t="shared" si="48"/>
        <v>-4818</v>
      </c>
      <c r="AP15" s="5270">
        <f t="shared" si="48"/>
        <v>-5630</v>
      </c>
      <c r="AQ15" s="5270">
        <f t="shared" si="48"/>
        <v>-5086</v>
      </c>
      <c r="AR15" s="5270">
        <f t="shared" si="48"/>
        <v>-6048</v>
      </c>
      <c r="AS15" s="5270">
        <f t="shared" si="48"/>
        <v>-5327</v>
      </c>
      <c r="AT15" s="5269">
        <v>-6313</v>
      </c>
      <c r="AU15" s="5270">
        <f t="shared" si="20"/>
        <v>-54487</v>
      </c>
      <c r="AV15" s="5272">
        <f t="shared" si="21"/>
        <v>-4540.583333333333</v>
      </c>
      <c r="AW15" s="5268">
        <f>AW22+AW64</f>
        <v>-6440</v>
      </c>
      <c r="AX15" s="5270">
        <f>AX9-AW9</f>
        <v>-3907</v>
      </c>
      <c r="AY15" s="5270">
        <f t="shared" ref="AY15:BA15" si="49">AY9-AX9</f>
        <v>-5515</v>
      </c>
      <c r="AZ15" s="5270">
        <f t="shared" si="49"/>
        <v>-3884</v>
      </c>
      <c r="BA15" s="5270">
        <f t="shared" si="49"/>
        <v>-593</v>
      </c>
      <c r="BB15" s="5273">
        <f t="shared" si="10"/>
        <v>-4227</v>
      </c>
      <c r="BC15" s="5273">
        <f t="shared" ref="BC15" si="50">BC22+BC64</f>
        <v>-1879</v>
      </c>
      <c r="BD15" s="5273">
        <f>BD22+BD64</f>
        <v>-3818</v>
      </c>
      <c r="BE15" s="5273">
        <f>BE22+BE64</f>
        <v>-3279</v>
      </c>
      <c r="BF15" s="5273">
        <f>BF22+BF64</f>
        <v>-5409</v>
      </c>
      <c r="BG15" s="5273">
        <f>BG22+BG64</f>
        <v>-6165</v>
      </c>
      <c r="BH15" s="5273">
        <f>BH22+BH64</f>
        <v>-4655</v>
      </c>
      <c r="BI15" s="5270">
        <f t="shared" si="25"/>
        <v>-49771</v>
      </c>
      <c r="BJ15" s="5272">
        <f t="shared" si="26"/>
        <v>-4147.583333333333</v>
      </c>
      <c r="BL15" s="5234">
        <f t="shared" si="15"/>
        <v>1658</v>
      </c>
      <c r="BM15" s="5234">
        <f>BJ15-AV15</f>
        <v>393</v>
      </c>
      <c r="BN15" s="5255">
        <f t="shared" si="17"/>
        <v>-705</v>
      </c>
      <c r="BO15" s="5234">
        <f>SUM(AW15:BH15)-SUM(AI15:AT15)</f>
        <v>4716</v>
      </c>
    </row>
    <row r="16" spans="1:73" x14ac:dyDescent="0.55000000000000004">
      <c r="A16" s="7197" t="s">
        <v>87</v>
      </c>
      <c r="B16" s="7198"/>
      <c r="C16" s="5248" t="s">
        <v>44</v>
      </c>
      <c r="D16" s="5249"/>
      <c r="E16" s="5249">
        <f t="shared" ref="E16:R16" si="51">E23+E30+E37+E51</f>
        <v>232028</v>
      </c>
      <c r="F16" s="5250">
        <f t="shared" si="51"/>
        <v>229888</v>
      </c>
      <c r="G16" s="5251">
        <f t="shared" si="51"/>
        <v>229888</v>
      </c>
      <c r="H16" s="5251">
        <f t="shared" si="51"/>
        <v>229019</v>
      </c>
      <c r="I16" s="5251">
        <f t="shared" si="51"/>
        <v>228052</v>
      </c>
      <c r="J16" s="5251">
        <f t="shared" si="51"/>
        <v>226722</v>
      </c>
      <c r="K16" s="5251">
        <f t="shared" si="51"/>
        <v>225806</v>
      </c>
      <c r="L16" s="5251">
        <f t="shared" si="51"/>
        <v>224579</v>
      </c>
      <c r="M16" s="5251">
        <f t="shared" si="51"/>
        <v>223700</v>
      </c>
      <c r="N16" s="5251">
        <f t="shared" si="51"/>
        <v>222726</v>
      </c>
      <c r="O16" s="5251">
        <f t="shared" si="51"/>
        <v>222247</v>
      </c>
      <c r="P16" s="5251">
        <f t="shared" si="51"/>
        <v>220407</v>
      </c>
      <c r="Q16" s="5251">
        <f t="shared" si="51"/>
        <v>218489</v>
      </c>
      <c r="R16" s="5251">
        <f t="shared" si="51"/>
        <v>218489</v>
      </c>
      <c r="S16" s="5251">
        <f>AVERAGE(F16:Q16)</f>
        <v>225126.91666666666</v>
      </c>
      <c r="T16" s="5251">
        <f t="shared" ref="T16:AG16" si="52">T23+T30+T37+T51</f>
        <v>216135</v>
      </c>
      <c r="U16" s="5251">
        <f t="shared" si="52"/>
        <v>215831</v>
      </c>
      <c r="V16" s="5251">
        <f t="shared" si="52"/>
        <v>214462</v>
      </c>
      <c r="W16" s="5251">
        <f t="shared" si="52"/>
        <v>213383</v>
      </c>
      <c r="X16" s="5251">
        <f t="shared" si="52"/>
        <v>211669</v>
      </c>
      <c r="Y16" s="5251">
        <f t="shared" si="52"/>
        <v>209589</v>
      </c>
      <c r="Z16" s="5251">
        <f t="shared" si="52"/>
        <v>206609</v>
      </c>
      <c r="AA16" s="5251">
        <f t="shared" si="52"/>
        <v>204253</v>
      </c>
      <c r="AB16" s="5251">
        <f t="shared" si="52"/>
        <v>202174</v>
      </c>
      <c r="AC16" s="5251">
        <f t="shared" si="52"/>
        <v>200693</v>
      </c>
      <c r="AD16" s="5251">
        <f t="shared" si="52"/>
        <v>199458</v>
      </c>
      <c r="AE16" s="5251">
        <f t="shared" si="52"/>
        <v>197059</v>
      </c>
      <c r="AF16" s="5252">
        <f t="shared" si="52"/>
        <v>197059</v>
      </c>
      <c r="AG16" s="5252">
        <f t="shared" si="52"/>
        <v>207609.58333333331</v>
      </c>
      <c r="AH16" s="5252"/>
      <c r="AI16" s="5274">
        <f t="shared" ref="AI16:AT16" si="53">AI23+AI30+AI37+AI51+AI44</f>
        <v>195580</v>
      </c>
      <c r="AJ16" s="5252">
        <f t="shared" si="53"/>
        <v>193625</v>
      </c>
      <c r="AK16" s="5252">
        <f t="shared" si="53"/>
        <v>191600</v>
      </c>
      <c r="AL16" s="5252">
        <f t="shared" si="53"/>
        <v>190384</v>
      </c>
      <c r="AM16" s="5252">
        <f t="shared" si="53"/>
        <v>185929</v>
      </c>
      <c r="AN16" s="5252">
        <f t="shared" si="53"/>
        <v>181530</v>
      </c>
      <c r="AO16" s="5252">
        <f t="shared" si="53"/>
        <v>177865</v>
      </c>
      <c r="AP16" s="5252">
        <f t="shared" si="53"/>
        <v>173787</v>
      </c>
      <c r="AQ16" s="5252">
        <f t="shared" si="53"/>
        <v>169838</v>
      </c>
      <c r="AR16" s="5252">
        <f t="shared" si="53"/>
        <v>165575</v>
      </c>
      <c r="AS16" s="5252">
        <f t="shared" si="53"/>
        <v>161972</v>
      </c>
      <c r="AT16" s="5251">
        <f t="shared" si="53"/>
        <v>157704</v>
      </c>
      <c r="AU16" s="5252">
        <f>INDEX($AI16:$AT16, 1, MATCH(0, $AI16:$AT16, -1))</f>
        <v>157704</v>
      </c>
      <c r="AV16" s="5254">
        <f t="shared" si="21"/>
        <v>178782.41666666666</v>
      </c>
      <c r="AW16" s="5275">
        <f t="shared" ref="AW16:AX22" si="54">AW23+AW30+AW37+AW51+AW44</f>
        <v>153599</v>
      </c>
      <c r="AX16" s="5252">
        <f t="shared" si="54"/>
        <v>150408</v>
      </c>
      <c r="AY16" s="5252">
        <v>146972</v>
      </c>
      <c r="AZ16" s="5252">
        <f t="shared" ref="AZ16:BE22" si="55">AZ23+AZ30+AZ37+AZ51+AZ44</f>
        <v>144200</v>
      </c>
      <c r="BA16" s="5252">
        <f t="shared" si="55"/>
        <v>143217</v>
      </c>
      <c r="BB16" s="5252">
        <f t="shared" si="55"/>
        <v>140264</v>
      </c>
      <c r="BC16" s="5252">
        <v>138462</v>
      </c>
      <c r="BD16" s="5252">
        <v>135180</v>
      </c>
      <c r="BE16" s="5252">
        <v>132452</v>
      </c>
      <c r="BF16" s="5252">
        <v>128701</v>
      </c>
      <c r="BG16" s="5252">
        <v>124746</v>
      </c>
      <c r="BH16" s="5252">
        <v>138462</v>
      </c>
      <c r="BI16" s="5252">
        <f>AW16</f>
        <v>153599</v>
      </c>
      <c r="BJ16" s="5254">
        <f t="shared" si="26"/>
        <v>139721.91666666666</v>
      </c>
      <c r="BL16" s="5234">
        <f t="shared" si="15"/>
        <v>-19242</v>
      </c>
      <c r="BM16" s="5234">
        <f t="shared" si="16"/>
        <v>-39060.5</v>
      </c>
      <c r="BN16" s="5235">
        <f>AX16-AJ16</f>
        <v>-43217</v>
      </c>
      <c r="BO16" s="2488">
        <f>BH16-AT16</f>
        <v>-19242</v>
      </c>
    </row>
    <row r="17" spans="1:67" ht="18" customHeight="1" x14ac:dyDescent="0.55000000000000004">
      <c r="A17" s="7170"/>
      <c r="B17" s="7171"/>
      <c r="C17" s="5076" t="s">
        <v>47</v>
      </c>
      <c r="F17" s="5256"/>
      <c r="G17" s="3263"/>
      <c r="H17" s="3263"/>
      <c r="I17" s="3263"/>
      <c r="J17" s="3263"/>
      <c r="K17" s="3263"/>
      <c r="L17" s="3263"/>
      <c r="M17" s="3263"/>
      <c r="N17" s="3263"/>
      <c r="O17" s="3263"/>
      <c r="P17" s="3263"/>
      <c r="Q17" s="3263"/>
      <c r="R17" s="3263"/>
      <c r="S17" s="3263"/>
      <c r="T17" s="5256">
        <f t="shared" ref="T17:AG17" si="56">T24+T31+T38+T52</f>
        <v>2954</v>
      </c>
      <c r="U17" s="3263">
        <f t="shared" si="56"/>
        <v>3612</v>
      </c>
      <c r="V17" s="3263">
        <f t="shared" si="56"/>
        <v>3606</v>
      </c>
      <c r="W17" s="3263">
        <f t="shared" si="56"/>
        <v>3357</v>
      </c>
      <c r="X17" s="3263">
        <f t="shared" si="56"/>
        <v>3570</v>
      </c>
      <c r="Y17" s="3263">
        <f t="shared" si="56"/>
        <v>3411</v>
      </c>
      <c r="Z17" s="3263">
        <f t="shared" si="56"/>
        <v>2964</v>
      </c>
      <c r="AA17" s="3263">
        <f t="shared" si="56"/>
        <v>3917</v>
      </c>
      <c r="AB17" s="3263">
        <f t="shared" si="56"/>
        <v>3062</v>
      </c>
      <c r="AC17" s="3263">
        <f t="shared" si="56"/>
        <v>3218</v>
      </c>
      <c r="AD17" s="3263">
        <f t="shared" si="56"/>
        <v>3120</v>
      </c>
      <c r="AE17" s="3263">
        <f t="shared" si="56"/>
        <v>2566</v>
      </c>
      <c r="AF17" s="5257">
        <f t="shared" si="56"/>
        <v>39357</v>
      </c>
      <c r="AG17" s="5257">
        <f t="shared" si="56"/>
        <v>3279.7500000000005</v>
      </c>
      <c r="AH17" s="5257"/>
      <c r="AI17" s="5276">
        <f t="shared" ref="AI17:AT17" si="57">AI24+AI31+AI38+AI52+AI45</f>
        <v>3854</v>
      </c>
      <c r="AJ17" s="5257">
        <f t="shared" si="57"/>
        <v>3105</v>
      </c>
      <c r="AK17" s="5257">
        <f t="shared" si="57"/>
        <v>3796</v>
      </c>
      <c r="AL17" s="5257">
        <f t="shared" si="57"/>
        <v>3706</v>
      </c>
      <c r="AM17" s="5257">
        <f t="shared" si="57"/>
        <v>4012</v>
      </c>
      <c r="AN17" s="5257">
        <f t="shared" si="57"/>
        <v>3944</v>
      </c>
      <c r="AO17" s="5257">
        <f t="shared" si="57"/>
        <v>4327</v>
      </c>
      <c r="AP17" s="5257">
        <f t="shared" si="57"/>
        <v>3796</v>
      </c>
      <c r="AQ17" s="5257">
        <f t="shared" si="57"/>
        <v>4147</v>
      </c>
      <c r="AR17" s="5257">
        <f t="shared" si="57"/>
        <v>4130</v>
      </c>
      <c r="AS17" s="5257">
        <f t="shared" si="57"/>
        <v>3849</v>
      </c>
      <c r="AT17" s="3263">
        <f t="shared" si="57"/>
        <v>3635</v>
      </c>
      <c r="AU17" s="5257">
        <f t="shared" ref="AU17:AU22" si="58">SUM(AI17:AT17)</f>
        <v>46301</v>
      </c>
      <c r="AV17" s="5259">
        <f t="shared" si="21"/>
        <v>3858.4166666666665</v>
      </c>
      <c r="AW17" s="5256">
        <f t="shared" si="54"/>
        <v>3388</v>
      </c>
      <c r="AX17" s="5257">
        <f t="shared" si="54"/>
        <v>4840</v>
      </c>
      <c r="AY17" s="5257">
        <v>4374</v>
      </c>
      <c r="AZ17" s="5257">
        <f t="shared" si="55"/>
        <v>4830</v>
      </c>
      <c r="BA17" s="5257">
        <f t="shared" si="55"/>
        <v>8532</v>
      </c>
      <c r="BB17" s="5257">
        <f t="shared" si="55"/>
        <v>5781</v>
      </c>
      <c r="BC17" s="5257">
        <f t="shared" si="55"/>
        <v>6665</v>
      </c>
      <c r="BD17" s="5257">
        <f t="shared" si="55"/>
        <v>5347</v>
      </c>
      <c r="BE17" s="5257">
        <f t="shared" si="55"/>
        <v>5580</v>
      </c>
      <c r="BF17" s="5257">
        <v>3747</v>
      </c>
      <c r="BG17" s="5257">
        <v>3673</v>
      </c>
      <c r="BH17" s="5257">
        <f>BH24+BH31+BH38+BH52+BH45</f>
        <v>3490</v>
      </c>
      <c r="BI17" s="5257">
        <f t="shared" ref="BI17:BI22" si="59">SUM(AW17:BH17)</f>
        <v>60247</v>
      </c>
      <c r="BJ17" s="5259">
        <f t="shared" si="26"/>
        <v>5020.583333333333</v>
      </c>
      <c r="BL17" s="5234">
        <f t="shared" si="15"/>
        <v>-145</v>
      </c>
      <c r="BM17" s="5234">
        <f t="shared" si="16"/>
        <v>1162.1666666666665</v>
      </c>
      <c r="BN17" s="5255">
        <f t="shared" ref="BN17:BN24" si="60">HLOOKUP($A$1,$AW$1:$BH$396,ROW(),0)-SUM(AI17:AJ17)</f>
        <v>-3469</v>
      </c>
    </row>
    <row r="18" spans="1:67" ht="18" customHeight="1" x14ac:dyDescent="0.55000000000000004">
      <c r="A18" s="7170"/>
      <c r="B18" s="7171"/>
      <c r="C18" s="2441" t="s">
        <v>48</v>
      </c>
      <c r="E18" s="2441">
        <f t="shared" ref="E18:R18" si="61">E25+E32+E39+E53</f>
        <v>2650</v>
      </c>
      <c r="F18" s="5256">
        <f t="shared" si="61"/>
        <v>2016</v>
      </c>
      <c r="G18" s="3263">
        <f t="shared" si="61"/>
        <v>2016</v>
      </c>
      <c r="H18" s="3263">
        <f t="shared" si="61"/>
        <v>2280</v>
      </c>
      <c r="I18" s="3263">
        <f t="shared" si="61"/>
        <v>1976</v>
      </c>
      <c r="J18" s="3263">
        <f t="shared" si="61"/>
        <v>1999</v>
      </c>
      <c r="K18" s="3263">
        <f t="shared" si="61"/>
        <v>1848</v>
      </c>
      <c r="L18" s="3263">
        <f t="shared" si="61"/>
        <v>1867</v>
      </c>
      <c r="M18" s="3263">
        <f t="shared" si="61"/>
        <v>2002</v>
      </c>
      <c r="N18" s="3263">
        <f t="shared" si="61"/>
        <v>1691</v>
      </c>
      <c r="O18" s="3263">
        <f t="shared" si="61"/>
        <v>1811</v>
      </c>
      <c r="P18" s="3263">
        <f t="shared" si="61"/>
        <v>1845</v>
      </c>
      <c r="Q18" s="3263">
        <f t="shared" si="61"/>
        <v>1886</v>
      </c>
      <c r="R18" s="3263">
        <f t="shared" si="61"/>
        <v>23237</v>
      </c>
      <c r="S18" s="3263">
        <f>AVERAGE(F18:Q18)</f>
        <v>1936.4166666666667</v>
      </c>
      <c r="T18" s="5256">
        <f t="shared" ref="T18:AE18" si="62">T25+T32+T39+T53</f>
        <v>1851</v>
      </c>
      <c r="U18" s="3263">
        <f t="shared" si="62"/>
        <v>1913</v>
      </c>
      <c r="V18" s="3263">
        <f t="shared" si="62"/>
        <v>2073</v>
      </c>
      <c r="W18" s="3263">
        <f t="shared" si="62"/>
        <v>1749</v>
      </c>
      <c r="X18" s="3263">
        <f t="shared" si="62"/>
        <v>1829</v>
      </c>
      <c r="Y18" s="3263">
        <f t="shared" si="62"/>
        <v>2029</v>
      </c>
      <c r="Z18" s="3263">
        <f t="shared" si="62"/>
        <v>1967</v>
      </c>
      <c r="AA18" s="3263">
        <f t="shared" si="62"/>
        <v>2567</v>
      </c>
      <c r="AB18" s="3263">
        <f t="shared" si="62"/>
        <v>1870</v>
      </c>
      <c r="AC18" s="3263">
        <f t="shared" si="62"/>
        <v>1932</v>
      </c>
      <c r="AD18" s="3263">
        <f t="shared" si="62"/>
        <v>1951</v>
      </c>
      <c r="AE18" s="3263">
        <f t="shared" si="62"/>
        <v>1812</v>
      </c>
      <c r="AF18" s="5277">
        <f>SUM(T18:AE18)</f>
        <v>23543</v>
      </c>
      <c r="AG18" s="5277">
        <f>AVERAGE(T18:AE18)</f>
        <v>1961.9166666666667</v>
      </c>
      <c r="AH18" s="5257"/>
      <c r="AI18" s="5276">
        <f t="shared" ref="AI18:AT18" si="63">AI25+AI32+AI39+AI53+AI46</f>
        <v>2069</v>
      </c>
      <c r="AJ18" s="5257">
        <f t="shared" si="63"/>
        <v>2043</v>
      </c>
      <c r="AK18" s="5257">
        <f t="shared" si="63"/>
        <v>2257</v>
      </c>
      <c r="AL18" s="5257">
        <f t="shared" si="63"/>
        <v>2116</v>
      </c>
      <c r="AM18" s="5257">
        <f t="shared" si="63"/>
        <v>2064</v>
      </c>
      <c r="AN18" s="5257">
        <f t="shared" si="63"/>
        <v>1920</v>
      </c>
      <c r="AO18" s="5257">
        <f t="shared" si="63"/>
        <v>2027</v>
      </c>
      <c r="AP18" s="5257">
        <f t="shared" si="63"/>
        <v>1837</v>
      </c>
      <c r="AQ18" s="5257">
        <f t="shared" si="63"/>
        <v>1675</v>
      </c>
      <c r="AR18" s="5257">
        <f t="shared" si="63"/>
        <v>1673</v>
      </c>
      <c r="AS18" s="5257">
        <f t="shared" si="63"/>
        <v>1552</v>
      </c>
      <c r="AT18" s="3263">
        <f t="shared" si="63"/>
        <v>1472</v>
      </c>
      <c r="AU18" s="5257">
        <f t="shared" si="58"/>
        <v>22705</v>
      </c>
      <c r="AV18" s="5259">
        <f t="shared" si="21"/>
        <v>1892.0833333333333</v>
      </c>
      <c r="AW18" s="5256">
        <f t="shared" si="54"/>
        <v>1347</v>
      </c>
      <c r="AX18" s="5257">
        <f t="shared" si="54"/>
        <v>1740</v>
      </c>
      <c r="AY18" s="5257">
        <v>1600</v>
      </c>
      <c r="AZ18" s="5257">
        <f t="shared" si="55"/>
        <v>1596</v>
      </c>
      <c r="BA18" s="5257">
        <f t="shared" si="55"/>
        <v>1369</v>
      </c>
      <c r="BB18" s="5257">
        <f t="shared" si="55"/>
        <v>1426</v>
      </c>
      <c r="BC18" s="5257">
        <v>1486</v>
      </c>
      <c r="BD18" s="5257">
        <v>1275</v>
      </c>
      <c r="BE18" s="5257">
        <v>1347</v>
      </c>
      <c r="BF18" s="5257">
        <v>1302</v>
      </c>
      <c r="BG18" s="5257">
        <v>1135</v>
      </c>
      <c r="BH18" s="5257">
        <v>1486</v>
      </c>
      <c r="BI18" s="5257">
        <f t="shared" si="59"/>
        <v>17109</v>
      </c>
      <c r="BJ18" s="5259">
        <f t="shared" si="26"/>
        <v>1425.75</v>
      </c>
      <c r="BL18" s="5234">
        <f t="shared" si="15"/>
        <v>14</v>
      </c>
      <c r="BM18" s="5234">
        <f t="shared" si="16"/>
        <v>-466.33333333333326</v>
      </c>
      <c r="BN18" s="5255">
        <f t="shared" si="60"/>
        <v>-2626</v>
      </c>
    </row>
    <row r="19" spans="1:67" ht="18" customHeight="1" x14ac:dyDescent="0.55000000000000004">
      <c r="A19" s="7170"/>
      <c r="B19" s="7171"/>
      <c r="C19" s="2525" t="s">
        <v>59</v>
      </c>
      <c r="E19" s="2441">
        <f t="shared" ref="E19:R19" si="64">E26+E33+E40+E54</f>
        <v>511</v>
      </c>
      <c r="F19" s="5256">
        <f t="shared" si="64"/>
        <v>138</v>
      </c>
      <c r="G19" s="3263">
        <f t="shared" si="64"/>
        <v>138</v>
      </c>
      <c r="H19" s="3263">
        <f t="shared" si="64"/>
        <v>136</v>
      </c>
      <c r="I19" s="3263">
        <f t="shared" si="64"/>
        <v>94</v>
      </c>
      <c r="J19" s="3263">
        <f t="shared" si="64"/>
        <v>148</v>
      </c>
      <c r="K19" s="3263">
        <f t="shared" si="64"/>
        <v>120</v>
      </c>
      <c r="L19" s="3263">
        <f t="shared" si="64"/>
        <v>119</v>
      </c>
      <c r="M19" s="3263">
        <f t="shared" si="64"/>
        <v>135</v>
      </c>
      <c r="N19" s="3263">
        <f t="shared" si="64"/>
        <v>119</v>
      </c>
      <c r="O19" s="3263">
        <f t="shared" si="64"/>
        <v>102</v>
      </c>
      <c r="P19" s="3263">
        <f t="shared" si="64"/>
        <v>106</v>
      </c>
      <c r="Q19" s="3263">
        <f t="shared" si="64"/>
        <v>132</v>
      </c>
      <c r="R19" s="3263">
        <f t="shared" si="64"/>
        <v>1487</v>
      </c>
      <c r="S19" s="3263">
        <f>AVERAGE(F19:Q19)</f>
        <v>123.91666666666667</v>
      </c>
      <c r="T19" s="5256">
        <f t="shared" ref="T19:AE19" si="65">T26+T33+T40+T54</f>
        <v>121</v>
      </c>
      <c r="U19" s="3263">
        <f t="shared" si="65"/>
        <v>105</v>
      </c>
      <c r="V19" s="3263">
        <f t="shared" si="65"/>
        <v>107</v>
      </c>
      <c r="W19" s="3263">
        <f t="shared" si="65"/>
        <v>139</v>
      </c>
      <c r="X19" s="3263">
        <f t="shared" si="65"/>
        <v>127</v>
      </c>
      <c r="Y19" s="3263">
        <f t="shared" si="65"/>
        <v>144</v>
      </c>
      <c r="Z19" s="3263">
        <f t="shared" si="65"/>
        <v>142</v>
      </c>
      <c r="AA19" s="3263">
        <f t="shared" si="65"/>
        <v>551</v>
      </c>
      <c r="AB19" s="3263">
        <f t="shared" si="65"/>
        <v>112</v>
      </c>
      <c r="AC19" s="3263">
        <f t="shared" si="65"/>
        <v>145</v>
      </c>
      <c r="AD19" s="3263">
        <f t="shared" si="65"/>
        <v>120</v>
      </c>
      <c r="AE19" s="3263">
        <f t="shared" si="65"/>
        <v>127</v>
      </c>
      <c r="AF19" s="5257">
        <f t="shared" ref="AF19:AG22" si="66">AF26+AF33+AF40+AF54</f>
        <v>1940</v>
      </c>
      <c r="AG19" s="5257">
        <f t="shared" si="66"/>
        <v>161.66666666666669</v>
      </c>
      <c r="AH19" s="5257"/>
      <c r="AI19" s="5276">
        <f t="shared" ref="AI19:AT19" si="67">AI26+AI33+AI40+AI54+AI47</f>
        <v>145</v>
      </c>
      <c r="AJ19" s="5257">
        <f t="shared" si="67"/>
        <v>122</v>
      </c>
      <c r="AK19" s="5257">
        <f t="shared" si="67"/>
        <v>149</v>
      </c>
      <c r="AL19" s="5257">
        <f t="shared" si="67"/>
        <v>137</v>
      </c>
      <c r="AM19" s="5257">
        <f t="shared" si="67"/>
        <v>159</v>
      </c>
      <c r="AN19" s="5257">
        <f t="shared" si="67"/>
        <v>134</v>
      </c>
      <c r="AO19" s="5257">
        <f t="shared" si="67"/>
        <v>160</v>
      </c>
      <c r="AP19" s="5257">
        <f t="shared" si="67"/>
        <v>112</v>
      </c>
      <c r="AQ19" s="5257">
        <f t="shared" si="67"/>
        <v>117</v>
      </c>
      <c r="AR19" s="5257">
        <f t="shared" si="67"/>
        <v>128</v>
      </c>
      <c r="AS19" s="5257">
        <f t="shared" si="67"/>
        <v>132</v>
      </c>
      <c r="AT19" s="3263">
        <f t="shared" si="67"/>
        <v>109</v>
      </c>
      <c r="AU19" s="5257">
        <f t="shared" si="58"/>
        <v>1604</v>
      </c>
      <c r="AV19" s="5259">
        <f t="shared" si="21"/>
        <v>133.66666666666666</v>
      </c>
      <c r="AW19" s="5256">
        <f t="shared" si="54"/>
        <v>108</v>
      </c>
      <c r="AX19" s="5257">
        <f t="shared" si="54"/>
        <v>132</v>
      </c>
      <c r="AY19" s="5257">
        <v>128</v>
      </c>
      <c r="AZ19" s="5257">
        <f t="shared" si="55"/>
        <v>148</v>
      </c>
      <c r="BA19" s="5257">
        <f t="shared" si="55"/>
        <v>143</v>
      </c>
      <c r="BB19" s="5257">
        <f t="shared" si="55"/>
        <v>116</v>
      </c>
      <c r="BC19" s="5257">
        <v>115</v>
      </c>
      <c r="BD19" s="5257">
        <v>101</v>
      </c>
      <c r="BE19" s="5257">
        <v>114</v>
      </c>
      <c r="BF19" s="5257">
        <v>94</v>
      </c>
      <c r="BG19" s="5257">
        <v>66</v>
      </c>
      <c r="BH19" s="5257">
        <v>115</v>
      </c>
      <c r="BI19" s="5257">
        <f t="shared" si="59"/>
        <v>1380</v>
      </c>
      <c r="BJ19" s="5259">
        <f t="shared" si="26"/>
        <v>115</v>
      </c>
      <c r="BL19" s="5234">
        <f t="shared" si="15"/>
        <v>6</v>
      </c>
      <c r="BM19" s="5234">
        <f t="shared" si="16"/>
        <v>-18.666666666666657</v>
      </c>
      <c r="BN19" s="5255">
        <f t="shared" si="60"/>
        <v>-152</v>
      </c>
    </row>
    <row r="20" spans="1:67" ht="18" customHeight="1" x14ac:dyDescent="0.55000000000000004">
      <c r="A20" s="7170"/>
      <c r="B20" s="7171"/>
      <c r="C20" s="5260" t="s">
        <v>86</v>
      </c>
      <c r="D20" s="5260"/>
      <c r="E20" s="5260"/>
      <c r="F20" s="5261"/>
      <c r="G20" s="5262"/>
      <c r="H20" s="5262"/>
      <c r="I20" s="5262"/>
      <c r="J20" s="5262"/>
      <c r="K20" s="5262"/>
      <c r="L20" s="5262"/>
      <c r="M20" s="5262"/>
      <c r="N20" s="5262"/>
      <c r="O20" s="5262"/>
      <c r="P20" s="5262"/>
      <c r="Q20" s="5262"/>
      <c r="R20" s="5262"/>
      <c r="S20" s="5262"/>
      <c r="T20" s="5261">
        <f t="shared" ref="T20:AE20" si="68">T27+T34+T41+T55</f>
        <v>1103</v>
      </c>
      <c r="U20" s="5262">
        <f t="shared" si="68"/>
        <v>1699</v>
      </c>
      <c r="V20" s="5262">
        <f t="shared" si="68"/>
        <v>1533</v>
      </c>
      <c r="W20" s="5262">
        <f t="shared" si="68"/>
        <v>1608</v>
      </c>
      <c r="X20" s="5262">
        <f t="shared" si="68"/>
        <v>1741</v>
      </c>
      <c r="Y20" s="5262">
        <f t="shared" si="68"/>
        <v>1382</v>
      </c>
      <c r="Z20" s="5262">
        <f t="shared" si="68"/>
        <v>997</v>
      </c>
      <c r="AA20" s="5262">
        <f t="shared" si="68"/>
        <v>1350</v>
      </c>
      <c r="AB20" s="5262">
        <f t="shared" si="68"/>
        <v>1192</v>
      </c>
      <c r="AC20" s="5262">
        <f t="shared" si="68"/>
        <v>1286</v>
      </c>
      <c r="AD20" s="5262">
        <f t="shared" si="68"/>
        <v>1169</v>
      </c>
      <c r="AE20" s="5262">
        <f t="shared" si="68"/>
        <v>754</v>
      </c>
      <c r="AF20" s="5263">
        <f t="shared" si="66"/>
        <v>15814</v>
      </c>
      <c r="AG20" s="5263">
        <f t="shared" si="66"/>
        <v>1317.8333333333335</v>
      </c>
      <c r="AH20" s="5263"/>
      <c r="AI20" s="5278">
        <f t="shared" ref="AI20:AT20" si="69">AI27+AI34+AI41+AI55+AI48</f>
        <v>1785</v>
      </c>
      <c r="AJ20" s="5263">
        <f t="shared" si="69"/>
        <v>1062</v>
      </c>
      <c r="AK20" s="5263">
        <f t="shared" si="69"/>
        <v>1539</v>
      </c>
      <c r="AL20" s="5263">
        <f t="shared" si="69"/>
        <v>1590</v>
      </c>
      <c r="AM20" s="5263">
        <f t="shared" si="69"/>
        <v>1948</v>
      </c>
      <c r="AN20" s="5263">
        <f t="shared" si="69"/>
        <v>2024</v>
      </c>
      <c r="AO20" s="5263">
        <f t="shared" si="69"/>
        <v>2300</v>
      </c>
      <c r="AP20" s="5263">
        <f t="shared" si="69"/>
        <v>1959</v>
      </c>
      <c r="AQ20" s="5263">
        <f t="shared" si="69"/>
        <v>2472</v>
      </c>
      <c r="AR20" s="5263">
        <f t="shared" si="69"/>
        <v>2457</v>
      </c>
      <c r="AS20" s="5263">
        <f t="shared" si="69"/>
        <v>2297</v>
      </c>
      <c r="AT20" s="5262">
        <f t="shared" si="69"/>
        <v>2808</v>
      </c>
      <c r="AU20" s="5263">
        <f t="shared" si="58"/>
        <v>24241</v>
      </c>
      <c r="AV20" s="5265">
        <f t="shared" si="21"/>
        <v>2020.0833333333333</v>
      </c>
      <c r="AW20" s="5261">
        <f t="shared" si="54"/>
        <v>2041</v>
      </c>
      <c r="AX20" s="5263">
        <f t="shared" si="54"/>
        <v>3100</v>
      </c>
      <c r="AY20" s="5263">
        <v>2774</v>
      </c>
      <c r="AZ20" s="5263">
        <f t="shared" si="55"/>
        <v>3234</v>
      </c>
      <c r="BA20" s="5263">
        <f t="shared" si="55"/>
        <v>7163</v>
      </c>
      <c r="BB20" s="5263">
        <f t="shared" si="55"/>
        <v>4355</v>
      </c>
      <c r="BC20" s="5263">
        <v>5179</v>
      </c>
      <c r="BD20" s="5263">
        <v>4142</v>
      </c>
      <c r="BE20" s="5263">
        <v>4308</v>
      </c>
      <c r="BF20" s="5263">
        <v>2445</v>
      </c>
      <c r="BG20" s="5263">
        <v>2538</v>
      </c>
      <c r="BH20" s="5263">
        <v>5179</v>
      </c>
      <c r="BI20" s="5263">
        <f t="shared" si="59"/>
        <v>46458</v>
      </c>
      <c r="BJ20" s="5265">
        <f t="shared" si="26"/>
        <v>3871.5</v>
      </c>
      <c r="BL20" s="5234">
        <f t="shared" si="15"/>
        <v>2371</v>
      </c>
      <c r="BM20" s="5234">
        <f t="shared" si="16"/>
        <v>1851.4166666666667</v>
      </c>
      <c r="BN20" s="5255">
        <f t="shared" si="60"/>
        <v>2332</v>
      </c>
    </row>
    <row r="21" spans="1:67" ht="18" customHeight="1" x14ac:dyDescent="0.55000000000000004">
      <c r="A21" s="7170"/>
      <c r="B21" s="7171"/>
      <c r="C21" s="2441" t="s">
        <v>50</v>
      </c>
      <c r="F21" s="5256"/>
      <c r="G21" s="3263"/>
      <c r="H21" s="3263"/>
      <c r="I21" s="3263"/>
      <c r="J21" s="3263"/>
      <c r="K21" s="3263"/>
      <c r="L21" s="3263"/>
      <c r="M21" s="3263"/>
      <c r="N21" s="3263"/>
      <c r="O21" s="3263"/>
      <c r="P21" s="3263"/>
      <c r="Q21" s="3263"/>
      <c r="R21" s="3263"/>
      <c r="S21" s="3263"/>
      <c r="T21" s="5256">
        <f t="shared" ref="T21:AE21" si="70">T28+T35+T42+T56</f>
        <v>3457</v>
      </c>
      <c r="U21" s="3263">
        <f t="shared" si="70"/>
        <v>2003</v>
      </c>
      <c r="V21" s="3263">
        <f t="shared" si="70"/>
        <v>2902</v>
      </c>
      <c r="W21" s="3263">
        <f t="shared" si="70"/>
        <v>2687</v>
      </c>
      <c r="X21" s="3263">
        <f t="shared" si="70"/>
        <v>3455</v>
      </c>
      <c r="Y21" s="3263">
        <f t="shared" si="70"/>
        <v>3462</v>
      </c>
      <c r="Z21" s="3263">
        <f t="shared" si="70"/>
        <v>3977</v>
      </c>
      <c r="AA21" s="3263">
        <f t="shared" si="70"/>
        <v>3706</v>
      </c>
      <c r="AB21" s="3263">
        <f t="shared" si="70"/>
        <v>3271</v>
      </c>
      <c r="AC21" s="3263">
        <f t="shared" si="70"/>
        <v>2767</v>
      </c>
      <c r="AD21" s="3263">
        <f t="shared" si="70"/>
        <v>2404</v>
      </c>
      <c r="AE21" s="3263">
        <f t="shared" si="70"/>
        <v>3153</v>
      </c>
      <c r="AF21" s="5257">
        <f t="shared" si="66"/>
        <v>36594</v>
      </c>
      <c r="AG21" s="5257">
        <f t="shared" si="66"/>
        <v>2774.2499999999982</v>
      </c>
      <c r="AH21" s="5257"/>
      <c r="AI21" s="5276">
        <f t="shared" ref="AI21:AT21" si="71">AI28+AI35+AI42+AI56+AI49</f>
        <v>2611</v>
      </c>
      <c r="AJ21" s="5257">
        <f t="shared" si="71"/>
        <v>3017</v>
      </c>
      <c r="AK21" s="5257">
        <f t="shared" si="71"/>
        <v>3564</v>
      </c>
      <c r="AL21" s="5257">
        <f t="shared" si="71"/>
        <v>2806</v>
      </c>
      <c r="AM21" s="5257">
        <f t="shared" si="71"/>
        <v>6403</v>
      </c>
      <c r="AN21" s="5257">
        <f t="shared" si="71"/>
        <v>6423</v>
      </c>
      <c r="AO21" s="5257">
        <f t="shared" si="71"/>
        <v>5965</v>
      </c>
      <c r="AP21" s="5257">
        <f t="shared" si="71"/>
        <v>6037</v>
      </c>
      <c r="AQ21" s="5257">
        <f t="shared" si="71"/>
        <v>6421</v>
      </c>
      <c r="AR21" s="5257">
        <f t="shared" si="71"/>
        <v>6720</v>
      </c>
      <c r="AS21" s="5257">
        <f t="shared" si="71"/>
        <v>5900</v>
      </c>
      <c r="AT21" s="3263">
        <f t="shared" si="71"/>
        <v>7743</v>
      </c>
      <c r="AU21" s="5257">
        <f t="shared" si="58"/>
        <v>63610</v>
      </c>
      <c r="AV21" s="5259">
        <f t="shared" si="21"/>
        <v>5300.833333333333</v>
      </c>
      <c r="AW21" s="5256">
        <f t="shared" si="54"/>
        <v>6146</v>
      </c>
      <c r="AX21" s="5257">
        <f t="shared" si="54"/>
        <v>6291</v>
      </c>
      <c r="AY21" s="5257">
        <v>6210</v>
      </c>
      <c r="AZ21" s="5257">
        <f t="shared" si="55"/>
        <v>6006</v>
      </c>
      <c r="BA21" s="5257">
        <f t="shared" si="55"/>
        <v>8146</v>
      </c>
      <c r="BB21" s="5257">
        <f t="shared" si="55"/>
        <v>7234</v>
      </c>
      <c r="BC21" s="5257">
        <v>6981</v>
      </c>
      <c r="BD21" s="5257">
        <v>7424</v>
      </c>
      <c r="BE21" s="5257">
        <v>7036</v>
      </c>
      <c r="BF21" s="5257">
        <v>6196</v>
      </c>
      <c r="BG21" s="5257">
        <v>6493</v>
      </c>
      <c r="BH21" s="5257">
        <v>6981</v>
      </c>
      <c r="BI21" s="5257">
        <f t="shared" si="59"/>
        <v>81144</v>
      </c>
      <c r="BJ21" s="5259">
        <f t="shared" si="26"/>
        <v>6762</v>
      </c>
      <c r="BL21" s="5234">
        <f t="shared" si="15"/>
        <v>-762</v>
      </c>
      <c r="BM21" s="5234">
        <f t="shared" si="16"/>
        <v>1461.166666666667</v>
      </c>
      <c r="BN21" s="5255">
        <f t="shared" si="60"/>
        <v>1353</v>
      </c>
    </row>
    <row r="22" spans="1:67" ht="18" customHeight="1" x14ac:dyDescent="0.55000000000000004">
      <c r="A22" s="7170"/>
      <c r="B22" s="7171"/>
      <c r="C22" s="4102" t="s">
        <v>51</v>
      </c>
      <c r="D22" s="4102"/>
      <c r="E22" s="4102"/>
      <c r="F22" s="5279"/>
      <c r="G22" s="5280"/>
      <c r="H22" s="5280"/>
      <c r="I22" s="5280"/>
      <c r="J22" s="5280"/>
      <c r="K22" s="5280"/>
      <c r="L22" s="5280"/>
      <c r="M22" s="5280"/>
      <c r="N22" s="5280"/>
      <c r="O22" s="5280"/>
      <c r="P22" s="5280"/>
      <c r="Q22" s="5269"/>
      <c r="R22" s="5269"/>
      <c r="S22" s="5269"/>
      <c r="T22" s="5268">
        <f t="shared" ref="T22:AE22" si="72">T29+T36+T43+T57</f>
        <v>-2354</v>
      </c>
      <c r="U22" s="5269">
        <f t="shared" si="72"/>
        <v>-304</v>
      </c>
      <c r="V22" s="5280">
        <f t="shared" si="72"/>
        <v>-1369</v>
      </c>
      <c r="W22" s="5280">
        <f t="shared" si="72"/>
        <v>-1079</v>
      </c>
      <c r="X22" s="5280">
        <f t="shared" si="72"/>
        <v>-1714</v>
      </c>
      <c r="Y22" s="5280">
        <f t="shared" si="72"/>
        <v>-2080</v>
      </c>
      <c r="Z22" s="5280">
        <f t="shared" si="72"/>
        <v>-2980</v>
      </c>
      <c r="AA22" s="5280">
        <f t="shared" si="72"/>
        <v>-2356</v>
      </c>
      <c r="AB22" s="5280">
        <f t="shared" si="72"/>
        <v>-2079</v>
      </c>
      <c r="AC22" s="5280">
        <f t="shared" si="72"/>
        <v>-1481</v>
      </c>
      <c r="AD22" s="5280">
        <f t="shared" si="72"/>
        <v>-1235</v>
      </c>
      <c r="AE22" s="5280">
        <f t="shared" si="72"/>
        <v>-2399</v>
      </c>
      <c r="AF22" s="5270">
        <f t="shared" si="66"/>
        <v>-20780</v>
      </c>
      <c r="AG22" s="5270">
        <f t="shared" si="66"/>
        <v>-1456.4166666666656</v>
      </c>
      <c r="AH22" s="5270"/>
      <c r="AI22" s="5281">
        <f t="shared" ref="AI22:AT22" si="73">AI29+AI36+AI43+AI57+AI50</f>
        <v>-826</v>
      </c>
      <c r="AJ22" s="5282">
        <f t="shared" si="73"/>
        <v>-1955</v>
      </c>
      <c r="AK22" s="5282">
        <f t="shared" si="73"/>
        <v>-2025</v>
      </c>
      <c r="AL22" s="5282">
        <f t="shared" si="73"/>
        <v>-1216</v>
      </c>
      <c r="AM22" s="5282">
        <f t="shared" si="73"/>
        <v>-4455</v>
      </c>
      <c r="AN22" s="5282">
        <f t="shared" si="73"/>
        <v>-4399</v>
      </c>
      <c r="AO22" s="5282">
        <f t="shared" si="73"/>
        <v>-3665</v>
      </c>
      <c r="AP22" s="5282">
        <f t="shared" si="73"/>
        <v>-4078</v>
      </c>
      <c r="AQ22" s="5282">
        <f t="shared" si="73"/>
        <v>-3949</v>
      </c>
      <c r="AR22" s="5282">
        <f t="shared" si="73"/>
        <v>-4263</v>
      </c>
      <c r="AS22" s="5282">
        <f t="shared" si="73"/>
        <v>-3603</v>
      </c>
      <c r="AT22" s="5280">
        <f t="shared" si="73"/>
        <v>-4962</v>
      </c>
      <c r="AU22" s="5270">
        <f t="shared" si="58"/>
        <v>-39396</v>
      </c>
      <c r="AV22" s="5272">
        <f t="shared" si="21"/>
        <v>-3283</v>
      </c>
      <c r="AW22" s="5268">
        <f t="shared" si="54"/>
        <v>-4105</v>
      </c>
      <c r="AX22" s="5282">
        <f t="shared" si="54"/>
        <v>-3191</v>
      </c>
      <c r="AY22" s="5282">
        <v>-3436</v>
      </c>
      <c r="AZ22" s="5282">
        <f t="shared" si="55"/>
        <v>-2772</v>
      </c>
      <c r="BA22" s="5282">
        <f t="shared" si="55"/>
        <v>-983</v>
      </c>
      <c r="BB22" s="5282">
        <f>BB29+BB36+BB43+BB57+BD50</f>
        <v>-2879</v>
      </c>
      <c r="BC22" s="5282">
        <v>-1802</v>
      </c>
      <c r="BD22" s="5282">
        <v>-3282</v>
      </c>
      <c r="BE22" s="5282">
        <v>-2728</v>
      </c>
      <c r="BF22" s="5282">
        <v>-3751</v>
      </c>
      <c r="BG22" s="5282">
        <v>-3955</v>
      </c>
      <c r="BH22" s="5282">
        <v>-1802</v>
      </c>
      <c r="BI22" s="5270">
        <f t="shared" si="59"/>
        <v>-34686</v>
      </c>
      <c r="BJ22" s="5272">
        <f t="shared" si="26"/>
        <v>-2890.5</v>
      </c>
      <c r="BL22" s="5234">
        <f t="shared" si="15"/>
        <v>3160</v>
      </c>
      <c r="BM22" s="5234">
        <f t="shared" si="16"/>
        <v>392.5</v>
      </c>
      <c r="BN22" s="5255">
        <f t="shared" si="60"/>
        <v>979</v>
      </c>
      <c r="BO22" s="5234">
        <f>SUM(AW22:BH22)-SUM(AI22:AT22)</f>
        <v>4710</v>
      </c>
    </row>
    <row r="23" spans="1:67" ht="18" customHeight="1" x14ac:dyDescent="0.55000000000000004">
      <c r="A23" s="7132" t="s">
        <v>19</v>
      </c>
      <c r="B23" s="7144"/>
      <c r="C23" s="5283" t="s">
        <v>44</v>
      </c>
      <c r="D23" s="5284"/>
      <c r="E23" s="5284">
        <v>107894</v>
      </c>
      <c r="F23" s="5285">
        <v>107398</v>
      </c>
      <c r="G23" s="5286">
        <v>107398</v>
      </c>
      <c r="H23" s="5286">
        <v>107350</v>
      </c>
      <c r="I23" s="5286">
        <v>107174</v>
      </c>
      <c r="J23" s="5286">
        <v>106898</v>
      </c>
      <c r="K23" s="5286">
        <v>106754</v>
      </c>
      <c r="L23" s="5286">
        <v>106659</v>
      </c>
      <c r="M23" s="5286">
        <v>106616</v>
      </c>
      <c r="N23" s="5286">
        <v>106441</v>
      </c>
      <c r="O23" s="5286">
        <v>106438</v>
      </c>
      <c r="P23" s="5286">
        <v>105956</v>
      </c>
      <c r="Q23" s="5287">
        <v>105481</v>
      </c>
      <c r="R23" s="5287">
        <v>105481</v>
      </c>
      <c r="S23" s="5287">
        <f>AVERAGE(F23:Q23)</f>
        <v>106713.58333333333</v>
      </c>
      <c r="T23" s="5286">
        <v>104709</v>
      </c>
      <c r="U23" s="5286">
        <v>105184</v>
      </c>
      <c r="V23" s="5286">
        <v>105223</v>
      </c>
      <c r="W23" s="5286">
        <v>105516</v>
      </c>
      <c r="X23" s="5286">
        <v>105408</v>
      </c>
      <c r="Y23" s="5286">
        <v>105290</v>
      </c>
      <c r="Z23" s="5286">
        <v>104778</v>
      </c>
      <c r="AA23" s="5286">
        <v>104457</v>
      </c>
      <c r="AB23" s="5286">
        <v>104093</v>
      </c>
      <c r="AC23" s="5286">
        <v>104201</v>
      </c>
      <c r="AD23" s="5286">
        <v>104387</v>
      </c>
      <c r="AE23" s="5286">
        <v>104297</v>
      </c>
      <c r="AF23" s="5288">
        <v>104297</v>
      </c>
      <c r="AG23" s="5288">
        <f>AVERAGE(T23:AE23)</f>
        <v>104795.25</v>
      </c>
      <c r="AH23" s="5288"/>
      <c r="AI23" s="5289">
        <f>104718-AI44</f>
        <v>82685</v>
      </c>
      <c r="AJ23" s="5288">
        <f>104777-AJ44</f>
        <v>82211</v>
      </c>
      <c r="AK23" s="5288">
        <f>105119-AK44</f>
        <v>82015</v>
      </c>
      <c r="AL23" s="5288">
        <f>105531-AL44</f>
        <v>81949</v>
      </c>
      <c r="AM23" s="5288">
        <f>104233-AM44</f>
        <v>80545</v>
      </c>
      <c r="AN23" s="5288">
        <f>102836-AN44</f>
        <v>78758</v>
      </c>
      <c r="AO23" s="5288">
        <f>102020-AO44</f>
        <v>77666</v>
      </c>
      <c r="AP23" s="5288">
        <f>100802-AP44</f>
        <v>75921</v>
      </c>
      <c r="AQ23" s="5288">
        <f>99814-AQ44</f>
        <v>74619</v>
      </c>
      <c r="AR23" s="5288">
        <f>98721-AR44</f>
        <v>72925</v>
      </c>
      <c r="AS23" s="5288">
        <f>97840-AS44</f>
        <v>72022</v>
      </c>
      <c r="AT23" s="5286">
        <f>96649-AT44</f>
        <v>70804</v>
      </c>
      <c r="AU23" s="5290">
        <f>INDEX($AI23:$AT23, 1, MATCH(0, $AI23:$AT23, -1))</f>
        <v>70804</v>
      </c>
      <c r="AV23" s="5291">
        <f t="shared" si="21"/>
        <v>77676.666666666672</v>
      </c>
      <c r="AW23" s="5292">
        <f>95355-AW44</f>
        <v>69550</v>
      </c>
      <c r="AX23" s="5288">
        <f>95164-AX44</f>
        <v>69467</v>
      </c>
      <c r="AY23" s="5288">
        <v>68835</v>
      </c>
      <c r="AZ23" s="5288">
        <f>94684-AZ44</f>
        <v>68722</v>
      </c>
      <c r="BA23" s="5286">
        <v>70687</v>
      </c>
      <c r="BB23" s="5286">
        <v>70267</v>
      </c>
      <c r="BC23" s="5288">
        <v>70676</v>
      </c>
      <c r="BD23" s="5286">
        <v>70034</v>
      </c>
      <c r="BE23" s="5286">
        <v>69511</v>
      </c>
      <c r="BF23" s="5286">
        <v>68388</v>
      </c>
      <c r="BG23" s="5288">
        <v>67227</v>
      </c>
      <c r="BH23" s="5286">
        <v>66318</v>
      </c>
      <c r="BI23" s="5290">
        <f>AW23</f>
        <v>69550</v>
      </c>
      <c r="BJ23" s="5291">
        <f t="shared" si="26"/>
        <v>69140.166666666672</v>
      </c>
      <c r="BL23" s="5234">
        <f t="shared" si="15"/>
        <v>-4486</v>
      </c>
      <c r="BM23" s="5234">
        <f t="shared" si="16"/>
        <v>-8536.5</v>
      </c>
      <c r="BN23" s="5255">
        <f t="shared" si="60"/>
        <v>-98578</v>
      </c>
    </row>
    <row r="24" spans="1:67" ht="18" customHeight="1" x14ac:dyDescent="0.55000000000000004">
      <c r="A24" s="7132"/>
      <c r="B24" s="7144"/>
      <c r="C24" s="5076" t="s">
        <v>47</v>
      </c>
      <c r="F24" s="5256"/>
      <c r="G24" s="3263"/>
      <c r="H24" s="3263"/>
      <c r="I24" s="3263"/>
      <c r="J24" s="3263"/>
      <c r="K24" s="3263"/>
      <c r="L24" s="3263"/>
      <c r="M24" s="3263"/>
      <c r="N24" s="3263"/>
      <c r="O24" s="3263"/>
      <c r="P24" s="3263"/>
      <c r="Q24" s="3263"/>
      <c r="R24" s="3263"/>
      <c r="S24" s="3263"/>
      <c r="T24" s="5256">
        <v>1859</v>
      </c>
      <c r="U24" s="3263">
        <v>2237</v>
      </c>
      <c r="V24" s="3263">
        <v>2235</v>
      </c>
      <c r="W24" s="3263">
        <v>2250</v>
      </c>
      <c r="X24" s="3263">
        <v>2166</v>
      </c>
      <c r="Y24" s="3263">
        <v>2186</v>
      </c>
      <c r="Z24" s="3263">
        <v>1836</v>
      </c>
      <c r="AA24" s="3263">
        <v>2348</v>
      </c>
      <c r="AB24" s="3263">
        <v>1701</v>
      </c>
      <c r="AC24" s="3263">
        <v>1902</v>
      </c>
      <c r="AD24" s="3263">
        <v>1884</v>
      </c>
      <c r="AE24" s="3263">
        <v>1674</v>
      </c>
      <c r="AF24" s="5257">
        <f>SUM(T24:AE24)</f>
        <v>24278</v>
      </c>
      <c r="AG24" s="5257">
        <f>AVERAGE(T24:AE24)</f>
        <v>2023.1666666666667</v>
      </c>
      <c r="AH24" s="5257"/>
      <c r="AI24" s="5276">
        <v>1708</v>
      </c>
      <c r="AJ24" s="5257">
        <v>1305</v>
      </c>
      <c r="AK24" s="5257">
        <v>1616</v>
      </c>
      <c r="AL24" s="5257">
        <v>1650</v>
      </c>
      <c r="AM24" s="5257">
        <v>1582</v>
      </c>
      <c r="AN24" s="5257">
        <v>1407</v>
      </c>
      <c r="AO24" s="5257">
        <v>1808</v>
      </c>
      <c r="AP24" s="5257">
        <v>1410</v>
      </c>
      <c r="AQ24" s="5257">
        <v>1540</v>
      </c>
      <c r="AR24" s="5257">
        <v>1483</v>
      </c>
      <c r="AS24" s="5257">
        <v>1409</v>
      </c>
      <c r="AT24" s="3263">
        <v>1312</v>
      </c>
      <c r="AU24" s="5257">
        <f t="shared" ref="AU24:AU29" si="74">SUM(AI24:AT24)</f>
        <v>18230</v>
      </c>
      <c r="AV24" s="5259">
        <f t="shared" si="21"/>
        <v>1519.1666666666667</v>
      </c>
      <c r="AW24" s="5258">
        <v>1166</v>
      </c>
      <c r="AX24" s="5257">
        <v>2200</v>
      </c>
      <c r="AY24" s="5257">
        <v>1692</v>
      </c>
      <c r="AZ24" s="5257">
        <v>2007</v>
      </c>
      <c r="BA24" s="5257">
        <v>3633.9999999999995</v>
      </c>
      <c r="BB24" s="5257">
        <v>1880.9999999999998</v>
      </c>
      <c r="BC24" s="5257">
        <v>2673</v>
      </c>
      <c r="BD24" s="3263">
        <v>1663</v>
      </c>
      <c r="BE24" s="5293">
        <v>1839</v>
      </c>
      <c r="BF24" s="5257">
        <v>1232</v>
      </c>
      <c r="BG24" s="5257">
        <v>1248</v>
      </c>
      <c r="BH24" s="3263">
        <v>1202</v>
      </c>
      <c r="BI24" s="5257">
        <f>SUM(AW24:BH24)</f>
        <v>22437</v>
      </c>
      <c r="BJ24" s="5259">
        <f t="shared" si="26"/>
        <v>1869.75</v>
      </c>
      <c r="BL24" s="5234">
        <f t="shared" si="15"/>
        <v>-110</v>
      </c>
      <c r="BM24" s="5234">
        <f t="shared" si="16"/>
        <v>350.58333333333326</v>
      </c>
      <c r="BN24" s="5255">
        <f t="shared" si="60"/>
        <v>-1811</v>
      </c>
    </row>
    <row r="25" spans="1:67" ht="18" customHeight="1" x14ac:dyDescent="0.55000000000000004">
      <c r="A25" s="7132"/>
      <c r="B25" s="7144"/>
      <c r="C25" s="2441" t="s">
        <v>48</v>
      </c>
      <c r="E25" s="2441">
        <v>934</v>
      </c>
      <c r="F25" s="5256">
        <v>719</v>
      </c>
      <c r="G25" s="3263">
        <v>719</v>
      </c>
      <c r="H25" s="3263">
        <v>776</v>
      </c>
      <c r="I25" s="3263">
        <v>696</v>
      </c>
      <c r="J25" s="3263">
        <v>693</v>
      </c>
      <c r="K25" s="3263">
        <v>697</v>
      </c>
      <c r="L25" s="3263">
        <v>710</v>
      </c>
      <c r="M25" s="3263">
        <v>792</v>
      </c>
      <c r="N25" s="3263">
        <v>642</v>
      </c>
      <c r="O25" s="3263">
        <v>701</v>
      </c>
      <c r="P25" s="3263">
        <v>753</v>
      </c>
      <c r="Q25" s="3263">
        <v>714</v>
      </c>
      <c r="R25" s="3263">
        <f>SUM(F25:Q25)</f>
        <v>8612</v>
      </c>
      <c r="S25" s="3263">
        <f>AVERAGE(F25:Q25)</f>
        <v>717.66666666666663</v>
      </c>
      <c r="T25" s="5256">
        <v>714</v>
      </c>
      <c r="U25" s="3263">
        <v>782</v>
      </c>
      <c r="V25" s="3263">
        <v>836</v>
      </c>
      <c r="W25" s="3263">
        <v>733</v>
      </c>
      <c r="X25" s="3263">
        <v>765</v>
      </c>
      <c r="Y25" s="3263">
        <v>788</v>
      </c>
      <c r="Z25" s="3263">
        <v>787</v>
      </c>
      <c r="AA25" s="3263">
        <v>1108</v>
      </c>
      <c r="AB25" s="3263">
        <v>733</v>
      </c>
      <c r="AC25" s="3263">
        <v>809</v>
      </c>
      <c r="AD25" s="3263">
        <v>870</v>
      </c>
      <c r="AE25" s="3263">
        <v>810</v>
      </c>
      <c r="AF25" s="5257">
        <f>SUM(T25:AE25)</f>
        <v>9735</v>
      </c>
      <c r="AG25" s="5257">
        <f>AVERAGE(T25:AE25)</f>
        <v>811.25</v>
      </c>
      <c r="AH25" s="5257"/>
      <c r="AI25" s="5276">
        <f>926-AI46</f>
        <v>765</v>
      </c>
      <c r="AJ25" s="5257">
        <f>858-AJ46</f>
        <v>688</v>
      </c>
      <c r="AK25" s="5257">
        <f>904-AK46</f>
        <v>740</v>
      </c>
      <c r="AL25" s="5257">
        <f>916-AL46</f>
        <v>764</v>
      </c>
      <c r="AM25" s="5257">
        <f>904-AM46</f>
        <v>724</v>
      </c>
      <c r="AN25" s="5257">
        <f>799-AN46</f>
        <v>644</v>
      </c>
      <c r="AO25" s="5257">
        <f>899-AO46</f>
        <v>702</v>
      </c>
      <c r="AP25" s="5257">
        <f>817-AP46</f>
        <v>643</v>
      </c>
      <c r="AQ25" s="5257">
        <f>739-AQ46</f>
        <v>549</v>
      </c>
      <c r="AR25" s="5257">
        <f>742-AR46</f>
        <v>578</v>
      </c>
      <c r="AS25" s="5257">
        <f>693-AS46</f>
        <v>533</v>
      </c>
      <c r="AT25" s="3263">
        <f>675-AT46</f>
        <v>530</v>
      </c>
      <c r="AU25" s="5257">
        <f t="shared" si="74"/>
        <v>7860</v>
      </c>
      <c r="AV25" s="5259">
        <f t="shared" si="21"/>
        <v>655</v>
      </c>
      <c r="AW25" s="5257">
        <v>494</v>
      </c>
      <c r="AX25" s="5257">
        <v>607</v>
      </c>
      <c r="AY25" s="5257">
        <v>550</v>
      </c>
      <c r="AZ25" s="5257">
        <v>522</v>
      </c>
      <c r="BA25" s="5257">
        <v>452</v>
      </c>
      <c r="BB25" s="5257">
        <v>493</v>
      </c>
      <c r="BC25" s="3263">
        <v>513</v>
      </c>
      <c r="BD25" s="3263">
        <v>473</v>
      </c>
      <c r="BE25" s="3263">
        <v>499</v>
      </c>
      <c r="BF25" s="3263">
        <v>479</v>
      </c>
      <c r="BG25" s="5257">
        <v>397</v>
      </c>
      <c r="BH25" s="3263">
        <v>465</v>
      </c>
      <c r="BI25" s="5257">
        <f>SUM(AW25:BH25)</f>
        <v>5944</v>
      </c>
      <c r="BJ25" s="5259">
        <f t="shared" si="26"/>
        <v>495.33333333333331</v>
      </c>
      <c r="BL25" s="5234">
        <f t="shared" si="15"/>
        <v>-65</v>
      </c>
      <c r="BM25" s="5234">
        <f t="shared" si="16"/>
        <v>-159.66666666666669</v>
      </c>
      <c r="BN25" s="5235">
        <f>AX25-AJ25</f>
        <v>-81</v>
      </c>
    </row>
    <row r="26" spans="1:67" ht="18" customHeight="1" x14ac:dyDescent="0.55000000000000004">
      <c r="A26" s="7132"/>
      <c r="B26" s="7144"/>
      <c r="C26" s="2525" t="s">
        <v>59</v>
      </c>
      <c r="E26" s="2441">
        <v>217</v>
      </c>
      <c r="F26" s="5256">
        <v>57</v>
      </c>
      <c r="G26" s="3263">
        <v>57</v>
      </c>
      <c r="H26" s="3263">
        <v>55</v>
      </c>
      <c r="I26" s="3263">
        <v>36</v>
      </c>
      <c r="J26" s="3263">
        <v>58</v>
      </c>
      <c r="K26" s="3263">
        <v>39</v>
      </c>
      <c r="L26" s="3263">
        <v>48</v>
      </c>
      <c r="M26" s="3263">
        <v>55</v>
      </c>
      <c r="N26" s="3263">
        <v>57</v>
      </c>
      <c r="O26" s="3263">
        <v>37</v>
      </c>
      <c r="P26" s="3263">
        <v>42</v>
      </c>
      <c r="Q26" s="3263">
        <v>49</v>
      </c>
      <c r="R26" s="3263">
        <f>SUM(F26:Q26)</f>
        <v>590</v>
      </c>
      <c r="S26" s="3263">
        <f>AVERAGE(F26:Q26)</f>
        <v>49.166666666666664</v>
      </c>
      <c r="T26" s="5256">
        <v>41</v>
      </c>
      <c r="U26" s="3263">
        <v>49</v>
      </c>
      <c r="V26" s="3263">
        <v>46</v>
      </c>
      <c r="W26" s="3263">
        <v>66</v>
      </c>
      <c r="X26" s="3263">
        <v>59</v>
      </c>
      <c r="Y26" s="3263">
        <v>41</v>
      </c>
      <c r="Z26" s="3263">
        <v>49</v>
      </c>
      <c r="AA26" s="3263">
        <v>246</v>
      </c>
      <c r="AB26" s="3263">
        <v>38</v>
      </c>
      <c r="AC26" s="3263">
        <v>63</v>
      </c>
      <c r="AD26" s="3263">
        <v>54</v>
      </c>
      <c r="AE26" s="3263">
        <v>54</v>
      </c>
      <c r="AF26" s="5257">
        <f>SUM(T26:AE26)</f>
        <v>806</v>
      </c>
      <c r="AG26" s="5257">
        <f>AVERAGE(T26:AE26)</f>
        <v>67.166666666666671</v>
      </c>
      <c r="AH26" s="5257"/>
      <c r="AI26" s="5276">
        <f>67-AI47</f>
        <v>47</v>
      </c>
      <c r="AJ26" s="5257">
        <f>48-AJ47</f>
        <v>35</v>
      </c>
      <c r="AK26" s="5257">
        <f>67-AK47</f>
        <v>46</v>
      </c>
      <c r="AL26" s="5257">
        <f>60-AL47</f>
        <v>41</v>
      </c>
      <c r="AM26" s="5257">
        <f>66-AM47</f>
        <v>46</v>
      </c>
      <c r="AN26" s="5257">
        <f>63-AN47</f>
        <v>47</v>
      </c>
      <c r="AO26" s="5257">
        <f>61-AO47</f>
        <v>40</v>
      </c>
      <c r="AP26" s="5257">
        <f>40-AP47</f>
        <v>30</v>
      </c>
      <c r="AQ26" s="5257">
        <f>54-AQ47</f>
        <v>40</v>
      </c>
      <c r="AR26" s="5257">
        <f>55-AR47</f>
        <v>39</v>
      </c>
      <c r="AS26" s="5257">
        <f>52-AS47</f>
        <v>38</v>
      </c>
      <c r="AT26" s="3263">
        <f>37-AT47</f>
        <v>30</v>
      </c>
      <c r="AU26" s="5257">
        <f t="shared" si="74"/>
        <v>479</v>
      </c>
      <c r="AV26" s="5259">
        <f t="shared" si="21"/>
        <v>39.916666666666664</v>
      </c>
      <c r="AW26" s="5257">
        <v>34</v>
      </c>
      <c r="AX26" s="5257">
        <v>36</v>
      </c>
      <c r="AY26" s="5257">
        <v>36</v>
      </c>
      <c r="AZ26" s="5257">
        <v>43</v>
      </c>
      <c r="BA26" s="5257">
        <v>48</v>
      </c>
      <c r="BB26" s="5257">
        <v>43</v>
      </c>
      <c r="BC26" s="3263">
        <v>32</v>
      </c>
      <c r="BD26" s="3263">
        <v>41</v>
      </c>
      <c r="BE26" s="3263">
        <v>40</v>
      </c>
      <c r="BF26" s="3263">
        <v>41</v>
      </c>
      <c r="BG26" s="5257">
        <v>22</v>
      </c>
      <c r="BH26" s="3263">
        <v>30</v>
      </c>
      <c r="BI26" s="5257">
        <f>SUM(AW26:BH26)</f>
        <v>446</v>
      </c>
      <c r="BJ26" s="5259">
        <f t="shared" si="26"/>
        <v>37.166666666666664</v>
      </c>
      <c r="BL26" s="5234">
        <f t="shared" si="15"/>
        <v>0</v>
      </c>
      <c r="BM26" s="5234"/>
      <c r="BN26" s="5235"/>
    </row>
    <row r="27" spans="1:67" ht="18" customHeight="1" x14ac:dyDescent="0.55000000000000004">
      <c r="A27" s="7132"/>
      <c r="B27" s="7144"/>
      <c r="C27" s="5260" t="s">
        <v>86</v>
      </c>
      <c r="D27" s="5260"/>
      <c r="E27" s="5260"/>
      <c r="F27" s="5261"/>
      <c r="G27" s="5262"/>
      <c r="H27" s="5262"/>
      <c r="I27" s="5262"/>
      <c r="J27" s="5262"/>
      <c r="K27" s="5262"/>
      <c r="L27" s="5262"/>
      <c r="M27" s="5262"/>
      <c r="N27" s="5262"/>
      <c r="O27" s="5262"/>
      <c r="P27" s="5262"/>
      <c r="Q27" s="5262"/>
      <c r="R27" s="5262"/>
      <c r="S27" s="5262"/>
      <c r="T27" s="5261">
        <f>T24-T25</f>
        <v>1145</v>
      </c>
      <c r="U27" s="5262">
        <f t="shared" ref="U27:AU27" si="75">U24-U25</f>
        <v>1455</v>
      </c>
      <c r="V27" s="5262">
        <f t="shared" si="75"/>
        <v>1399</v>
      </c>
      <c r="W27" s="5262">
        <f t="shared" si="75"/>
        <v>1517</v>
      </c>
      <c r="X27" s="5262">
        <f t="shared" si="75"/>
        <v>1401</v>
      </c>
      <c r="Y27" s="5262">
        <f t="shared" si="75"/>
        <v>1398</v>
      </c>
      <c r="Z27" s="5262">
        <f t="shared" si="75"/>
        <v>1049</v>
      </c>
      <c r="AA27" s="5262">
        <f t="shared" si="75"/>
        <v>1240</v>
      </c>
      <c r="AB27" s="5262">
        <f t="shared" si="75"/>
        <v>968</v>
      </c>
      <c r="AC27" s="5262">
        <f t="shared" si="75"/>
        <v>1093</v>
      </c>
      <c r="AD27" s="5262">
        <f t="shared" si="75"/>
        <v>1014</v>
      </c>
      <c r="AE27" s="5262">
        <f t="shared" si="75"/>
        <v>864</v>
      </c>
      <c r="AF27" s="5263">
        <f t="shared" si="75"/>
        <v>14543</v>
      </c>
      <c r="AG27" s="5263">
        <f t="shared" si="75"/>
        <v>1211.9166666666667</v>
      </c>
      <c r="AH27" s="5263"/>
      <c r="AI27" s="5278">
        <f>AI24-AI25</f>
        <v>943</v>
      </c>
      <c r="AJ27" s="5263">
        <f t="shared" ref="AJ27:AS27" si="76">AJ24-AJ25</f>
        <v>617</v>
      </c>
      <c r="AK27" s="5263">
        <f t="shared" si="76"/>
        <v>876</v>
      </c>
      <c r="AL27" s="5263">
        <f t="shared" si="76"/>
        <v>886</v>
      </c>
      <c r="AM27" s="5263">
        <f t="shared" si="76"/>
        <v>858</v>
      </c>
      <c r="AN27" s="5263">
        <f t="shared" si="76"/>
        <v>763</v>
      </c>
      <c r="AO27" s="5263">
        <f t="shared" si="76"/>
        <v>1106</v>
      </c>
      <c r="AP27" s="5263">
        <f t="shared" si="76"/>
        <v>767</v>
      </c>
      <c r="AQ27" s="5263">
        <f t="shared" si="76"/>
        <v>991</v>
      </c>
      <c r="AR27" s="5263">
        <f t="shared" si="76"/>
        <v>905</v>
      </c>
      <c r="AS27" s="5263">
        <f t="shared" si="76"/>
        <v>876</v>
      </c>
      <c r="AT27" s="5262">
        <v>1190</v>
      </c>
      <c r="AU27" s="5263">
        <f t="shared" si="75"/>
        <v>10370</v>
      </c>
      <c r="AV27" s="5265">
        <f t="shared" si="21"/>
        <v>898.16666666666663</v>
      </c>
      <c r="AW27" s="5264">
        <f>AW24-AW25</f>
        <v>672</v>
      </c>
      <c r="AX27" s="5263">
        <f t="shared" ref="AX27:BB27" si="77">AX24-AX25</f>
        <v>1593</v>
      </c>
      <c r="AY27" s="5263">
        <f t="shared" si="77"/>
        <v>1142</v>
      </c>
      <c r="AZ27" s="5263">
        <f t="shared" si="77"/>
        <v>1485</v>
      </c>
      <c r="BA27" s="5263">
        <f t="shared" si="77"/>
        <v>3181.9999999999995</v>
      </c>
      <c r="BB27" s="5263">
        <f t="shared" si="77"/>
        <v>1387.9999999999998</v>
      </c>
      <c r="BC27" s="5263">
        <v>2160</v>
      </c>
      <c r="BD27" s="5263">
        <v>1190</v>
      </c>
      <c r="BE27" s="5263">
        <v>1340</v>
      </c>
      <c r="BF27" s="5263">
        <v>753</v>
      </c>
      <c r="BG27" s="5263">
        <v>851</v>
      </c>
      <c r="BH27" s="5263">
        <v>737</v>
      </c>
      <c r="BI27" s="5263">
        <f>BI24-BI25</f>
        <v>16493</v>
      </c>
      <c r="BJ27" s="5265">
        <f t="shared" si="26"/>
        <v>1374.4166666666667</v>
      </c>
      <c r="BL27" s="5234">
        <f t="shared" si="15"/>
        <v>-453</v>
      </c>
      <c r="BM27" s="5234">
        <f t="shared" si="16"/>
        <v>476.25000000000011</v>
      </c>
      <c r="BN27" s="5255">
        <f t="shared" ref="BN27:BN34" si="78">HLOOKUP($A$1,$AW$1:$BH$396,ROW(),0)-SUM(AI27:AJ27)</f>
        <v>-823</v>
      </c>
    </row>
    <row r="28" spans="1:67" ht="18" customHeight="1" x14ac:dyDescent="0.55000000000000004">
      <c r="A28" s="7132"/>
      <c r="B28" s="7144"/>
      <c r="C28" s="2441" t="s">
        <v>50</v>
      </c>
      <c r="F28" s="5256"/>
      <c r="G28" s="3263"/>
      <c r="H28" s="3263"/>
      <c r="I28" s="3263"/>
      <c r="J28" s="3263"/>
      <c r="K28" s="3263"/>
      <c r="L28" s="3263"/>
      <c r="M28" s="3263"/>
      <c r="N28" s="3263"/>
      <c r="O28" s="3263"/>
      <c r="P28" s="3263"/>
      <c r="Q28" s="3263"/>
      <c r="R28" s="3263"/>
      <c r="S28" s="3263"/>
      <c r="T28" s="5256">
        <f>T27-T29</f>
        <v>1917</v>
      </c>
      <c r="U28" s="3263">
        <f t="shared" ref="U28:AE28" si="79">U27-U29</f>
        <v>980</v>
      </c>
      <c r="V28" s="3263">
        <f t="shared" si="79"/>
        <v>1360</v>
      </c>
      <c r="W28" s="3263">
        <f t="shared" si="79"/>
        <v>1224</v>
      </c>
      <c r="X28" s="3263">
        <f t="shared" si="79"/>
        <v>1509</v>
      </c>
      <c r="Y28" s="3263">
        <f t="shared" si="79"/>
        <v>1516</v>
      </c>
      <c r="Z28" s="3263">
        <f t="shared" si="79"/>
        <v>1561</v>
      </c>
      <c r="AA28" s="3263">
        <f t="shared" si="79"/>
        <v>1561</v>
      </c>
      <c r="AB28" s="3263">
        <f t="shared" si="79"/>
        <v>1332</v>
      </c>
      <c r="AC28" s="3263">
        <f t="shared" si="79"/>
        <v>985</v>
      </c>
      <c r="AD28" s="3263">
        <f t="shared" si="79"/>
        <v>828</v>
      </c>
      <c r="AE28" s="3263">
        <f t="shared" si="79"/>
        <v>954</v>
      </c>
      <c r="AF28" s="5277">
        <f>SUM(T28:AE28)</f>
        <v>15727</v>
      </c>
      <c r="AG28" s="5277">
        <f>AVERAGE(T28:AE28)</f>
        <v>1310.5833333333333</v>
      </c>
      <c r="AH28" s="5257"/>
      <c r="AI28" s="5258">
        <f>AI27-AI29</f>
        <v>522</v>
      </c>
      <c r="AJ28" s="5257">
        <f>AJ27-AJ29</f>
        <v>1091</v>
      </c>
      <c r="AK28" s="5257">
        <f t="shared" ref="AK28:AS28" si="80">AK27-AK29</f>
        <v>1072</v>
      </c>
      <c r="AL28" s="5257">
        <f t="shared" si="80"/>
        <v>952</v>
      </c>
      <c r="AM28" s="5257">
        <f t="shared" si="80"/>
        <v>2262</v>
      </c>
      <c r="AN28" s="5257">
        <f t="shared" si="80"/>
        <v>2550</v>
      </c>
      <c r="AO28" s="5257">
        <f t="shared" si="80"/>
        <v>2198</v>
      </c>
      <c r="AP28" s="5257">
        <f t="shared" si="80"/>
        <v>2512</v>
      </c>
      <c r="AQ28" s="5257">
        <f t="shared" si="80"/>
        <v>2293</v>
      </c>
      <c r="AR28" s="5257">
        <f t="shared" si="80"/>
        <v>2599</v>
      </c>
      <c r="AS28" s="5257">
        <f t="shared" si="80"/>
        <v>1779</v>
      </c>
      <c r="AT28" s="3263">
        <v>2381</v>
      </c>
      <c r="AU28" s="5257">
        <f t="shared" si="74"/>
        <v>22211</v>
      </c>
      <c r="AV28" s="5259">
        <f t="shared" si="21"/>
        <v>1850.9166666666667</v>
      </c>
      <c r="AW28" s="5258">
        <f>-(AW29-(AW24-AW25))</f>
        <v>1926</v>
      </c>
      <c r="AX28" s="5257">
        <f t="shared" ref="AX28:BB28" si="81">-(AX29-(AX24-AX25))</f>
        <v>1676</v>
      </c>
      <c r="AY28" s="5257">
        <f t="shared" si="81"/>
        <v>1774</v>
      </c>
      <c r="AZ28" s="5257">
        <f t="shared" si="81"/>
        <v>1598</v>
      </c>
      <c r="BA28" s="5257">
        <f t="shared" si="81"/>
        <v>1216.9999999999995</v>
      </c>
      <c r="BB28" s="5257">
        <f t="shared" si="81"/>
        <v>1807.9999999999998</v>
      </c>
      <c r="BC28" s="5257">
        <v>1751</v>
      </c>
      <c r="BD28" s="5257">
        <v>1832</v>
      </c>
      <c r="BE28" s="5257">
        <v>1863</v>
      </c>
      <c r="BF28" s="5257">
        <v>1876</v>
      </c>
      <c r="BG28" s="5257">
        <v>2012</v>
      </c>
      <c r="BH28" s="5257">
        <v>1646</v>
      </c>
      <c r="BI28" s="5257">
        <f>SUM(AW28:BH28)</f>
        <v>20979</v>
      </c>
      <c r="BJ28" s="5259">
        <f t="shared" si="26"/>
        <v>1748.25</v>
      </c>
      <c r="BL28" s="5234">
        <f t="shared" si="15"/>
        <v>-735</v>
      </c>
      <c r="BM28" s="5234">
        <f t="shared" si="16"/>
        <v>-102.66666666666674</v>
      </c>
      <c r="BN28" s="5255">
        <f t="shared" si="78"/>
        <v>33</v>
      </c>
    </row>
    <row r="29" spans="1:67" ht="18" customHeight="1" x14ac:dyDescent="0.55000000000000004">
      <c r="A29" s="7132"/>
      <c r="B29" s="7144"/>
      <c r="C29" s="4102" t="s">
        <v>51</v>
      </c>
      <c r="D29" s="4102"/>
      <c r="E29" s="4102"/>
      <c r="F29" s="5279"/>
      <c r="G29" s="5280"/>
      <c r="H29" s="5280"/>
      <c r="I29" s="5280"/>
      <c r="J29" s="5280"/>
      <c r="K29" s="5280"/>
      <c r="L29" s="5280"/>
      <c r="M29" s="5280"/>
      <c r="N29" s="5280"/>
      <c r="O29" s="5280"/>
      <c r="P29" s="5280"/>
      <c r="Q29" s="5269"/>
      <c r="R29" s="5269"/>
      <c r="S29" s="5269"/>
      <c r="T29" s="5268">
        <f>T23-Q23</f>
        <v>-772</v>
      </c>
      <c r="U29" s="5269">
        <f t="shared" ref="U29:AE29" si="82">U23-T23</f>
        <v>475</v>
      </c>
      <c r="V29" s="5269">
        <f t="shared" si="82"/>
        <v>39</v>
      </c>
      <c r="W29" s="5269">
        <f t="shared" si="82"/>
        <v>293</v>
      </c>
      <c r="X29" s="5269">
        <f t="shared" si="82"/>
        <v>-108</v>
      </c>
      <c r="Y29" s="5269">
        <f t="shared" si="82"/>
        <v>-118</v>
      </c>
      <c r="Z29" s="5269">
        <f t="shared" si="82"/>
        <v>-512</v>
      </c>
      <c r="AA29" s="5269">
        <f t="shared" si="82"/>
        <v>-321</v>
      </c>
      <c r="AB29" s="5269">
        <f t="shared" si="82"/>
        <v>-364</v>
      </c>
      <c r="AC29" s="5269">
        <f t="shared" si="82"/>
        <v>108</v>
      </c>
      <c r="AD29" s="5269">
        <f t="shared" si="82"/>
        <v>186</v>
      </c>
      <c r="AE29" s="5269">
        <f t="shared" si="82"/>
        <v>-90</v>
      </c>
      <c r="AF29" s="5270">
        <f>SUM(T29:AE29)</f>
        <v>-1184</v>
      </c>
      <c r="AG29" s="5270">
        <f t="shared" ref="AG29:AG33" si="83">AVERAGE(T29:AE29)</f>
        <v>-98.666666666666671</v>
      </c>
      <c r="AH29" s="5270"/>
      <c r="AI29" s="5294">
        <f>AI23+AI44-AF23</f>
        <v>421</v>
      </c>
      <c r="AJ29" s="5282">
        <f t="shared" ref="AJ29:AT29" si="84">AJ23-AI23</f>
        <v>-474</v>
      </c>
      <c r="AK29" s="5282">
        <f t="shared" si="84"/>
        <v>-196</v>
      </c>
      <c r="AL29" s="5282">
        <f t="shared" si="84"/>
        <v>-66</v>
      </c>
      <c r="AM29" s="5282">
        <f t="shared" si="84"/>
        <v>-1404</v>
      </c>
      <c r="AN29" s="5282">
        <f t="shared" si="84"/>
        <v>-1787</v>
      </c>
      <c r="AO29" s="5282">
        <f t="shared" si="84"/>
        <v>-1092</v>
      </c>
      <c r="AP29" s="5282">
        <f t="shared" si="84"/>
        <v>-1745</v>
      </c>
      <c r="AQ29" s="5282">
        <f t="shared" si="84"/>
        <v>-1302</v>
      </c>
      <c r="AR29" s="5282">
        <f t="shared" si="84"/>
        <v>-1694</v>
      </c>
      <c r="AS29" s="5282">
        <f t="shared" si="84"/>
        <v>-903</v>
      </c>
      <c r="AT29" s="5282">
        <f t="shared" si="84"/>
        <v>-1218</v>
      </c>
      <c r="AU29" s="5270">
        <f t="shared" si="74"/>
        <v>-11460</v>
      </c>
      <c r="AV29" s="5272">
        <f t="shared" si="21"/>
        <v>-955</v>
      </c>
      <c r="AW29" s="5294">
        <f>AW23-AT23</f>
        <v>-1254</v>
      </c>
      <c r="AX29" s="5282">
        <f>AX23-AW23</f>
        <v>-83</v>
      </c>
      <c r="AY29" s="5282">
        <f>AY23-AX23</f>
        <v>-632</v>
      </c>
      <c r="AZ29" s="5282">
        <f>AZ23-AY23</f>
        <v>-113</v>
      </c>
      <c r="BA29" s="5282">
        <f>BA23-AZ23</f>
        <v>1965</v>
      </c>
      <c r="BB29" s="5282">
        <f>BB23-BA23</f>
        <v>-420</v>
      </c>
      <c r="BC29" s="5282">
        <v>409</v>
      </c>
      <c r="BD29" s="5282">
        <v>-642</v>
      </c>
      <c r="BE29" s="5282">
        <v>-523</v>
      </c>
      <c r="BF29" s="5282">
        <v>-1123</v>
      </c>
      <c r="BG29" s="5282">
        <v>-1161</v>
      </c>
      <c r="BH29" s="5282">
        <v>-909</v>
      </c>
      <c r="BI29" s="5270">
        <f>SUM(AW29:BH29)</f>
        <v>-4486</v>
      </c>
      <c r="BJ29" s="5272">
        <f t="shared" si="26"/>
        <v>-373.83333333333331</v>
      </c>
      <c r="BL29" s="5234">
        <f t="shared" si="15"/>
        <v>309</v>
      </c>
      <c r="BM29" s="5234">
        <f t="shared" si="16"/>
        <v>581.16666666666674</v>
      </c>
      <c r="BN29" s="5255">
        <f t="shared" si="78"/>
        <v>-856</v>
      </c>
    </row>
    <row r="30" spans="1:67" ht="18" customHeight="1" x14ac:dyDescent="0.55000000000000004">
      <c r="A30" s="7132" t="s">
        <v>20</v>
      </c>
      <c r="B30" s="7144"/>
      <c r="C30" s="5283" t="s">
        <v>44</v>
      </c>
      <c r="D30" s="5284"/>
      <c r="E30" s="5284">
        <v>103991</v>
      </c>
      <c r="F30" s="5285">
        <v>102032</v>
      </c>
      <c r="G30" s="5286">
        <v>102032</v>
      </c>
      <c r="H30" s="5286">
        <v>100836</v>
      </c>
      <c r="I30" s="5286">
        <v>99950</v>
      </c>
      <c r="J30" s="5286">
        <v>98886</v>
      </c>
      <c r="K30" s="5286">
        <v>98050</v>
      </c>
      <c r="L30" s="5286">
        <v>96839</v>
      </c>
      <c r="M30" s="5286">
        <v>96064</v>
      </c>
      <c r="N30" s="5286">
        <v>94947</v>
      </c>
      <c r="O30" s="5286">
        <v>94301</v>
      </c>
      <c r="P30" s="5286">
        <v>93045</v>
      </c>
      <c r="Q30" s="5287">
        <v>91559</v>
      </c>
      <c r="R30" s="5287">
        <v>91559</v>
      </c>
      <c r="S30" s="5287">
        <f>AVERAGE(F30:Q30)</f>
        <v>97378.416666666672</v>
      </c>
      <c r="T30" s="5286">
        <v>89976</v>
      </c>
      <c r="U30" s="5286">
        <v>89155</v>
      </c>
      <c r="V30" s="5286">
        <v>87850</v>
      </c>
      <c r="W30" s="5286">
        <v>86551</v>
      </c>
      <c r="X30" s="5286">
        <v>85014</v>
      </c>
      <c r="Y30" s="5286">
        <v>83183</v>
      </c>
      <c r="Z30" s="5286">
        <v>80885</v>
      </c>
      <c r="AA30" s="5286">
        <v>79024</v>
      </c>
      <c r="AB30" s="5286">
        <v>77521</v>
      </c>
      <c r="AC30" s="5286">
        <v>75647</v>
      </c>
      <c r="AD30" s="5286">
        <v>74112</v>
      </c>
      <c r="AE30" s="5286">
        <v>71963</v>
      </c>
      <c r="AF30" s="5288">
        <v>71963</v>
      </c>
      <c r="AG30" s="5288">
        <f t="shared" si="83"/>
        <v>81740.083333333328</v>
      </c>
      <c r="AH30" s="5288"/>
      <c r="AI30" s="5292">
        <v>70422</v>
      </c>
      <c r="AJ30" s="5288">
        <v>68734</v>
      </c>
      <c r="AK30" s="5288">
        <v>66763</v>
      </c>
      <c r="AL30" s="5288">
        <v>65462</v>
      </c>
      <c r="AM30" s="5288">
        <v>62963</v>
      </c>
      <c r="AN30" s="5288">
        <v>60694</v>
      </c>
      <c r="AO30" s="5288">
        <v>58595</v>
      </c>
      <c r="AP30" s="5288">
        <v>56349</v>
      </c>
      <c r="AQ30" s="5288">
        <v>54035</v>
      </c>
      <c r="AR30" s="5288">
        <v>51517</v>
      </c>
      <c r="AS30" s="5288">
        <v>49448</v>
      </c>
      <c r="AT30" s="5286">
        <v>47039</v>
      </c>
      <c r="AU30" s="5290">
        <f>INDEX($AI30:$AT30, 1, MATCH(0, $AI30:$AT30, -1))</f>
        <v>47039</v>
      </c>
      <c r="AV30" s="5291">
        <f t="shared" si="21"/>
        <v>59335.083333333336</v>
      </c>
      <c r="AW30" s="5292">
        <v>44891</v>
      </c>
      <c r="AX30" s="5288">
        <v>42582</v>
      </c>
      <c r="AY30" s="5288">
        <v>40286</v>
      </c>
      <c r="AZ30" s="5288">
        <v>38053</v>
      </c>
      <c r="BA30" s="5288">
        <v>35974</v>
      </c>
      <c r="BB30" s="5288">
        <v>33891</v>
      </c>
      <c r="BC30" s="5288">
        <v>31645</v>
      </c>
      <c r="BD30" s="5288">
        <v>29508</v>
      </c>
      <c r="BE30" s="5288">
        <v>27707</v>
      </c>
      <c r="BF30" s="5288">
        <v>25748</v>
      </c>
      <c r="BG30" s="5288">
        <v>24039</v>
      </c>
      <c r="BH30" s="5288">
        <v>22398</v>
      </c>
      <c r="BI30" s="5290">
        <f>AW30</f>
        <v>44891</v>
      </c>
      <c r="BJ30" s="5291">
        <f t="shared" si="26"/>
        <v>33060.166666666664</v>
      </c>
      <c r="BL30" s="5234">
        <f t="shared" si="15"/>
        <v>-24641</v>
      </c>
      <c r="BM30" s="5234">
        <f t="shared" si="16"/>
        <v>-26274.916666666672</v>
      </c>
      <c r="BN30" s="5255">
        <f t="shared" si="78"/>
        <v>-116758</v>
      </c>
    </row>
    <row r="31" spans="1:67" ht="18" customHeight="1" x14ac:dyDescent="0.55000000000000004">
      <c r="A31" s="7132"/>
      <c r="B31" s="7144"/>
      <c r="C31" s="5076" t="s">
        <v>47</v>
      </c>
      <c r="F31" s="5256"/>
      <c r="G31" s="3263"/>
      <c r="H31" s="3263"/>
      <c r="I31" s="3263"/>
      <c r="J31" s="3263"/>
      <c r="K31" s="3263"/>
      <c r="L31" s="3263"/>
      <c r="M31" s="3263"/>
      <c r="N31" s="3263"/>
      <c r="O31" s="3263"/>
      <c r="P31" s="3263"/>
      <c r="Q31" s="3263"/>
      <c r="R31" s="3263"/>
      <c r="S31" s="3263"/>
      <c r="T31" s="5256">
        <v>1082</v>
      </c>
      <c r="U31" s="3263">
        <v>1358</v>
      </c>
      <c r="V31" s="3263">
        <v>1363</v>
      </c>
      <c r="W31" s="3263">
        <v>1102</v>
      </c>
      <c r="X31" s="3263">
        <v>1391</v>
      </c>
      <c r="Y31" s="3263">
        <v>1155</v>
      </c>
      <c r="Z31" s="3263">
        <v>1044</v>
      </c>
      <c r="AA31" s="3263">
        <v>1501</v>
      </c>
      <c r="AB31" s="3263">
        <v>1300</v>
      </c>
      <c r="AC31" s="3263">
        <v>1194</v>
      </c>
      <c r="AD31" s="3263">
        <v>1110</v>
      </c>
      <c r="AE31" s="3263">
        <v>881</v>
      </c>
      <c r="AF31" s="5257">
        <f>SUM(T31:AE31)</f>
        <v>14481</v>
      </c>
      <c r="AG31" s="5257">
        <f t="shared" si="83"/>
        <v>1206.75</v>
      </c>
      <c r="AH31" s="5257"/>
      <c r="AI31" s="5258">
        <v>1360</v>
      </c>
      <c r="AJ31" s="5257">
        <v>1164</v>
      </c>
      <c r="AK31" s="5257">
        <v>1422</v>
      </c>
      <c r="AL31" s="5257">
        <v>1301</v>
      </c>
      <c r="AM31" s="5257">
        <v>1571</v>
      </c>
      <c r="AN31" s="5257">
        <v>1486</v>
      </c>
      <c r="AO31" s="5257">
        <v>1617</v>
      </c>
      <c r="AP31" s="5257">
        <v>1621</v>
      </c>
      <c r="AQ31" s="5257">
        <v>1633</v>
      </c>
      <c r="AR31" s="5257">
        <v>1811</v>
      </c>
      <c r="AS31" s="5257">
        <v>1822</v>
      </c>
      <c r="AT31" s="3263">
        <v>1722</v>
      </c>
      <c r="AU31" s="5257">
        <f t="shared" ref="AU31:AU36" si="85">SUM(AI31:AT31)</f>
        <v>18530</v>
      </c>
      <c r="AV31" s="5259">
        <f t="shared" si="21"/>
        <v>1544.1666666666667</v>
      </c>
      <c r="AW31" s="5258">
        <v>1637</v>
      </c>
      <c r="AX31" s="5257">
        <v>2086</v>
      </c>
      <c r="AY31" s="5257">
        <v>1810</v>
      </c>
      <c r="AZ31" s="5257">
        <v>1896</v>
      </c>
      <c r="BA31" s="5257">
        <v>3639</v>
      </c>
      <c r="BB31" s="5257">
        <v>2896</v>
      </c>
      <c r="BC31" s="5257">
        <v>2548</v>
      </c>
      <c r="BD31" s="5257">
        <v>2549</v>
      </c>
      <c r="BE31" s="5257">
        <v>2550</v>
      </c>
      <c r="BF31" s="5257">
        <v>1819.0000000000002</v>
      </c>
      <c r="BG31" s="5257">
        <v>1780.9999999999998</v>
      </c>
      <c r="BH31" s="3263">
        <v>1776.9999999999998</v>
      </c>
      <c r="BI31" s="5257">
        <f t="shared" ref="BI31:BI36" si="86">SUM(AW31:BH31)</f>
        <v>26988</v>
      </c>
      <c r="BJ31" s="5259">
        <f t="shared" si="26"/>
        <v>2249</v>
      </c>
      <c r="BL31" s="5234">
        <f t="shared" si="15"/>
        <v>54.999999999999773</v>
      </c>
      <c r="BM31" s="5234">
        <f t="shared" si="16"/>
        <v>704.83333333333326</v>
      </c>
      <c r="BN31" s="5255">
        <f t="shared" si="78"/>
        <v>-747.00000000000023</v>
      </c>
    </row>
    <row r="32" spans="1:67" ht="18" customHeight="1" x14ac:dyDescent="0.55000000000000004">
      <c r="A32" s="7132"/>
      <c r="B32" s="7144"/>
      <c r="C32" s="2441" t="s">
        <v>48</v>
      </c>
      <c r="E32" s="2441">
        <v>1536</v>
      </c>
      <c r="F32" s="3263">
        <v>1130</v>
      </c>
      <c r="G32" s="3263">
        <v>1130</v>
      </c>
      <c r="H32" s="3263">
        <v>1266</v>
      </c>
      <c r="I32" s="3263">
        <v>1103</v>
      </c>
      <c r="J32" s="3263">
        <v>1153</v>
      </c>
      <c r="K32" s="3263">
        <v>1028</v>
      </c>
      <c r="L32" s="3263">
        <v>957</v>
      </c>
      <c r="M32" s="3263">
        <v>1000</v>
      </c>
      <c r="N32" s="3263">
        <v>852</v>
      </c>
      <c r="O32" s="3263">
        <v>910</v>
      </c>
      <c r="P32" s="3263">
        <v>937</v>
      </c>
      <c r="Q32" s="3263">
        <v>984</v>
      </c>
      <c r="R32" s="3263">
        <f>SUM(F32:Q32)</f>
        <v>12450</v>
      </c>
      <c r="S32" s="3263">
        <f>AVERAGE(F32:Q32)</f>
        <v>1037.5</v>
      </c>
      <c r="T32" s="5256">
        <v>919</v>
      </c>
      <c r="U32" s="3263">
        <v>894</v>
      </c>
      <c r="V32" s="3263">
        <v>942</v>
      </c>
      <c r="W32" s="3263">
        <v>800</v>
      </c>
      <c r="X32" s="3263">
        <v>885</v>
      </c>
      <c r="Y32" s="3263">
        <v>966</v>
      </c>
      <c r="Z32" s="3263">
        <v>860</v>
      </c>
      <c r="AA32" s="3263">
        <v>1115</v>
      </c>
      <c r="AB32" s="3263">
        <v>850</v>
      </c>
      <c r="AC32" s="3263">
        <v>827</v>
      </c>
      <c r="AD32" s="3263">
        <v>795</v>
      </c>
      <c r="AE32" s="3263">
        <v>740</v>
      </c>
      <c r="AF32" s="5257">
        <f>SUM(T32:AE32)</f>
        <v>10593</v>
      </c>
      <c r="AG32" s="5257">
        <f t="shared" si="83"/>
        <v>882.75</v>
      </c>
      <c r="AH32" s="5257"/>
      <c r="AI32" s="5258">
        <v>838</v>
      </c>
      <c r="AJ32" s="5257">
        <v>924</v>
      </c>
      <c r="AK32" s="5257">
        <v>1073</v>
      </c>
      <c r="AL32" s="5257">
        <v>895</v>
      </c>
      <c r="AM32" s="5257">
        <v>883</v>
      </c>
      <c r="AN32" s="5257">
        <v>808</v>
      </c>
      <c r="AO32" s="5257">
        <v>835</v>
      </c>
      <c r="AP32" s="5257">
        <v>774</v>
      </c>
      <c r="AQ32" s="5257">
        <v>698</v>
      </c>
      <c r="AR32" s="5257">
        <v>677</v>
      </c>
      <c r="AS32" s="5257">
        <v>607</v>
      </c>
      <c r="AT32" s="3263">
        <v>556</v>
      </c>
      <c r="AU32" s="5257">
        <f t="shared" si="85"/>
        <v>9568</v>
      </c>
      <c r="AV32" s="5259">
        <f t="shared" si="21"/>
        <v>797.33333333333337</v>
      </c>
      <c r="AW32" s="5258">
        <v>482</v>
      </c>
      <c r="AX32" s="5257">
        <v>710</v>
      </c>
      <c r="AY32" s="5257">
        <v>636</v>
      </c>
      <c r="AZ32" s="5257">
        <v>660</v>
      </c>
      <c r="BA32" s="5257">
        <v>570</v>
      </c>
      <c r="BB32" s="5257">
        <v>592</v>
      </c>
      <c r="BC32" s="5257">
        <v>643</v>
      </c>
      <c r="BD32" s="5257">
        <v>486</v>
      </c>
      <c r="BE32" s="5257">
        <v>506</v>
      </c>
      <c r="BF32" s="5257">
        <v>476</v>
      </c>
      <c r="BG32" s="5257">
        <v>424</v>
      </c>
      <c r="BH32" s="5257">
        <v>389</v>
      </c>
      <c r="BI32" s="5257">
        <f t="shared" si="86"/>
        <v>6574</v>
      </c>
      <c r="BJ32" s="5259">
        <f t="shared" si="26"/>
        <v>547.83333333333337</v>
      </c>
      <c r="BL32" s="5234">
        <f t="shared" si="15"/>
        <v>-167</v>
      </c>
      <c r="BM32" s="5234">
        <f t="shared" si="16"/>
        <v>-249.5</v>
      </c>
      <c r="BN32" s="5255">
        <f t="shared" si="78"/>
        <v>-1373</v>
      </c>
    </row>
    <row r="33" spans="1:66" ht="18" customHeight="1" x14ac:dyDescent="0.55000000000000004">
      <c r="A33" s="7132"/>
      <c r="B33" s="7144"/>
      <c r="C33" s="2525" t="s">
        <v>59</v>
      </c>
      <c r="E33" s="2441">
        <v>262</v>
      </c>
      <c r="F33" s="5256">
        <v>68</v>
      </c>
      <c r="G33" s="3263">
        <v>68</v>
      </c>
      <c r="H33" s="3263">
        <v>75</v>
      </c>
      <c r="I33" s="3263">
        <v>53</v>
      </c>
      <c r="J33" s="3263">
        <v>82</v>
      </c>
      <c r="K33" s="3263">
        <v>74</v>
      </c>
      <c r="L33" s="3263">
        <v>66</v>
      </c>
      <c r="M33" s="3263">
        <v>78</v>
      </c>
      <c r="N33" s="3263">
        <v>57</v>
      </c>
      <c r="O33" s="3263">
        <v>59</v>
      </c>
      <c r="P33" s="3263">
        <v>56</v>
      </c>
      <c r="Q33" s="3263">
        <v>75</v>
      </c>
      <c r="R33" s="3263">
        <f>SUM(F33:Q33)</f>
        <v>811</v>
      </c>
      <c r="S33" s="3263">
        <f>AVERAGE(F33:Q33)</f>
        <v>67.583333333333329</v>
      </c>
      <c r="T33" s="5256">
        <v>76</v>
      </c>
      <c r="U33" s="3263">
        <v>46</v>
      </c>
      <c r="V33" s="3263">
        <v>55</v>
      </c>
      <c r="W33" s="3263">
        <v>64</v>
      </c>
      <c r="X33" s="3263">
        <v>63</v>
      </c>
      <c r="Y33" s="3263">
        <v>94</v>
      </c>
      <c r="Z33" s="3263">
        <v>85</v>
      </c>
      <c r="AA33" s="3263">
        <v>254</v>
      </c>
      <c r="AB33" s="3263">
        <v>66</v>
      </c>
      <c r="AC33" s="3263">
        <v>67</v>
      </c>
      <c r="AD33" s="3263">
        <v>58</v>
      </c>
      <c r="AE33" s="3263">
        <v>65</v>
      </c>
      <c r="AF33" s="5257">
        <f>SUM(T33:AE33)</f>
        <v>993</v>
      </c>
      <c r="AG33" s="5257">
        <f t="shared" si="83"/>
        <v>82.75</v>
      </c>
      <c r="AH33" s="5257"/>
      <c r="AI33" s="5258">
        <v>70</v>
      </c>
      <c r="AJ33" s="5257">
        <v>71</v>
      </c>
      <c r="AK33" s="5257">
        <v>69</v>
      </c>
      <c r="AL33" s="5257">
        <v>67</v>
      </c>
      <c r="AM33" s="5257">
        <v>79</v>
      </c>
      <c r="AN33" s="5257">
        <v>66</v>
      </c>
      <c r="AO33" s="5257">
        <v>86</v>
      </c>
      <c r="AP33" s="5257">
        <v>61</v>
      </c>
      <c r="AQ33" s="5257">
        <v>54</v>
      </c>
      <c r="AR33" s="5257">
        <v>67</v>
      </c>
      <c r="AS33" s="5257">
        <v>75</v>
      </c>
      <c r="AT33" s="3263">
        <v>62</v>
      </c>
      <c r="AU33" s="5257">
        <f t="shared" si="85"/>
        <v>827</v>
      </c>
      <c r="AV33" s="5259">
        <f t="shared" si="21"/>
        <v>68.916666666666671</v>
      </c>
      <c r="AW33" s="5258">
        <v>48</v>
      </c>
      <c r="AX33" s="5257">
        <v>78</v>
      </c>
      <c r="AY33" s="5257">
        <v>48</v>
      </c>
      <c r="AZ33" s="5257">
        <v>70</v>
      </c>
      <c r="BA33" s="5257">
        <v>62</v>
      </c>
      <c r="BB33" s="5257">
        <v>50</v>
      </c>
      <c r="BC33" s="5257">
        <v>49</v>
      </c>
      <c r="BD33" s="5257">
        <v>41</v>
      </c>
      <c r="BE33" s="5257">
        <v>43</v>
      </c>
      <c r="BF33" s="5257">
        <v>38</v>
      </c>
      <c r="BG33" s="5257">
        <v>26</v>
      </c>
      <c r="BH33" s="5257">
        <v>24</v>
      </c>
      <c r="BI33" s="5257">
        <f t="shared" si="86"/>
        <v>577</v>
      </c>
      <c r="BJ33" s="5259">
        <f t="shared" si="26"/>
        <v>48.083333333333336</v>
      </c>
      <c r="BL33" s="5234">
        <f t="shared" si="15"/>
        <v>-38</v>
      </c>
      <c r="BM33" s="5234">
        <f t="shared" si="16"/>
        <v>-20.833333333333336</v>
      </c>
      <c r="BN33" s="5255">
        <f t="shared" si="78"/>
        <v>-117</v>
      </c>
    </row>
    <row r="34" spans="1:66" ht="17.05" customHeight="1" x14ac:dyDescent="0.55000000000000004">
      <c r="A34" s="7132"/>
      <c r="B34" s="7144"/>
      <c r="C34" s="5260" t="s">
        <v>86</v>
      </c>
      <c r="D34" s="5260"/>
      <c r="E34" s="5260"/>
      <c r="F34" s="5261"/>
      <c r="G34" s="5262"/>
      <c r="H34" s="5262"/>
      <c r="I34" s="5262"/>
      <c r="J34" s="5262"/>
      <c r="K34" s="5262"/>
      <c r="L34" s="5262"/>
      <c r="M34" s="5262"/>
      <c r="N34" s="5262"/>
      <c r="O34" s="5262"/>
      <c r="P34" s="5262"/>
      <c r="Q34" s="5262"/>
      <c r="R34" s="5262"/>
      <c r="S34" s="5262"/>
      <c r="T34" s="5261">
        <f>T31-T32</f>
        <v>163</v>
      </c>
      <c r="U34" s="5262">
        <f t="shared" ref="U34:AG34" si="87">U31-U32</f>
        <v>464</v>
      </c>
      <c r="V34" s="5262">
        <f t="shared" si="87"/>
        <v>421</v>
      </c>
      <c r="W34" s="5262">
        <f t="shared" si="87"/>
        <v>302</v>
      </c>
      <c r="X34" s="5262">
        <f t="shared" si="87"/>
        <v>506</v>
      </c>
      <c r="Y34" s="5262">
        <f t="shared" si="87"/>
        <v>189</v>
      </c>
      <c r="Z34" s="5262">
        <f t="shared" si="87"/>
        <v>184</v>
      </c>
      <c r="AA34" s="5262">
        <f t="shared" si="87"/>
        <v>386</v>
      </c>
      <c r="AB34" s="5262">
        <f t="shared" si="87"/>
        <v>450</v>
      </c>
      <c r="AC34" s="5262">
        <f t="shared" si="87"/>
        <v>367</v>
      </c>
      <c r="AD34" s="5262">
        <f t="shared" si="87"/>
        <v>315</v>
      </c>
      <c r="AE34" s="5262">
        <f t="shared" si="87"/>
        <v>141</v>
      </c>
      <c r="AF34" s="5263">
        <f t="shared" si="87"/>
        <v>3888</v>
      </c>
      <c r="AG34" s="5263">
        <f t="shared" si="87"/>
        <v>324</v>
      </c>
      <c r="AH34" s="5263"/>
      <c r="AI34" s="5264">
        <f t="shared" ref="AI34:AS34" si="88">AI31-AI32</f>
        <v>522</v>
      </c>
      <c r="AJ34" s="5263">
        <f t="shared" si="88"/>
        <v>240</v>
      </c>
      <c r="AK34" s="5263">
        <f t="shared" si="88"/>
        <v>349</v>
      </c>
      <c r="AL34" s="5263">
        <f t="shared" si="88"/>
        <v>406</v>
      </c>
      <c r="AM34" s="5263">
        <f t="shared" si="88"/>
        <v>688</v>
      </c>
      <c r="AN34" s="5263">
        <f t="shared" si="88"/>
        <v>678</v>
      </c>
      <c r="AO34" s="5263">
        <f t="shared" si="88"/>
        <v>782</v>
      </c>
      <c r="AP34" s="5263">
        <f t="shared" si="88"/>
        <v>847</v>
      </c>
      <c r="AQ34" s="5263">
        <f t="shared" si="88"/>
        <v>935</v>
      </c>
      <c r="AR34" s="5263">
        <f t="shared" si="88"/>
        <v>1134</v>
      </c>
      <c r="AS34" s="5263">
        <f t="shared" si="88"/>
        <v>1215</v>
      </c>
      <c r="AT34" s="5262">
        <v>1166</v>
      </c>
      <c r="AU34" s="5263">
        <f t="shared" si="85"/>
        <v>8962</v>
      </c>
      <c r="AV34" s="5265">
        <f t="shared" si="21"/>
        <v>746.83333333333337</v>
      </c>
      <c r="AW34" s="5264">
        <v>1155</v>
      </c>
      <c r="AX34" s="5263">
        <f t="shared" ref="AX34:AY34" si="89">AX31-AX32</f>
        <v>1376</v>
      </c>
      <c r="AY34" s="5263">
        <f t="shared" si="89"/>
        <v>1174</v>
      </c>
      <c r="AZ34" s="5263">
        <f>AZ31-AZ32</f>
        <v>1236</v>
      </c>
      <c r="BA34" s="5263">
        <f t="shared" ref="BA34:BB34" si="90">BA31-BA32</f>
        <v>3069</v>
      </c>
      <c r="BB34" s="5263">
        <f t="shared" si="90"/>
        <v>2304</v>
      </c>
      <c r="BC34" s="5263">
        <v>1905</v>
      </c>
      <c r="BD34" s="5263">
        <v>2063</v>
      </c>
      <c r="BE34" s="5263">
        <v>2044</v>
      </c>
      <c r="BF34" s="5263">
        <v>1343.0000000000002</v>
      </c>
      <c r="BG34" s="5263">
        <v>1356.9999999999998</v>
      </c>
      <c r="BH34" s="5263">
        <v>1387.9999999999998</v>
      </c>
      <c r="BI34" s="5263">
        <f t="shared" si="86"/>
        <v>20414</v>
      </c>
      <c r="BJ34" s="5265">
        <f t="shared" si="26"/>
        <v>1701.1666666666667</v>
      </c>
      <c r="BL34" s="5234">
        <f t="shared" si="15"/>
        <v>221.99999999999977</v>
      </c>
      <c r="BM34" s="5234">
        <f t="shared" si="16"/>
        <v>954.33333333333337</v>
      </c>
      <c r="BN34" s="5255">
        <f t="shared" si="78"/>
        <v>625.99999999999977</v>
      </c>
    </row>
    <row r="35" spans="1:66" ht="18" customHeight="1" x14ac:dyDescent="0.55000000000000004">
      <c r="A35" s="7132"/>
      <c r="B35" s="7144"/>
      <c r="C35" s="2441" t="s">
        <v>50</v>
      </c>
      <c r="F35" s="5256"/>
      <c r="G35" s="3263"/>
      <c r="H35" s="3263"/>
      <c r="I35" s="3263"/>
      <c r="J35" s="3263"/>
      <c r="K35" s="3263"/>
      <c r="L35" s="3263"/>
      <c r="M35" s="3263"/>
      <c r="N35" s="3263"/>
      <c r="O35" s="3263"/>
      <c r="P35" s="3263"/>
      <c r="Q35" s="3263"/>
      <c r="R35" s="3263"/>
      <c r="S35" s="3263"/>
      <c r="T35" s="5256">
        <f>T34-T36</f>
        <v>1746</v>
      </c>
      <c r="U35" s="3263">
        <f t="shared" ref="U35:AG35" si="91">U34-U36</f>
        <v>1285</v>
      </c>
      <c r="V35" s="3263">
        <f t="shared" si="91"/>
        <v>1726</v>
      </c>
      <c r="W35" s="3263">
        <f t="shared" si="91"/>
        <v>1601</v>
      </c>
      <c r="X35" s="3263">
        <f t="shared" si="91"/>
        <v>2043</v>
      </c>
      <c r="Y35" s="3263">
        <f t="shared" si="91"/>
        <v>2020</v>
      </c>
      <c r="Z35" s="3263">
        <f t="shared" si="91"/>
        <v>2482</v>
      </c>
      <c r="AA35" s="3263">
        <f t="shared" si="91"/>
        <v>2247</v>
      </c>
      <c r="AB35" s="3263">
        <f t="shared" si="91"/>
        <v>1953</v>
      </c>
      <c r="AC35" s="3263">
        <f t="shared" si="91"/>
        <v>2241</v>
      </c>
      <c r="AD35" s="3263">
        <f t="shared" si="91"/>
        <v>1850</v>
      </c>
      <c r="AE35" s="3263">
        <f t="shared" si="91"/>
        <v>2290</v>
      </c>
      <c r="AF35" s="5257">
        <f t="shared" si="91"/>
        <v>23484</v>
      </c>
      <c r="AG35" s="5257">
        <f t="shared" si="91"/>
        <v>1957</v>
      </c>
      <c r="AH35" s="5257"/>
      <c r="AI35" s="5258">
        <f t="shared" ref="AI35:AS35" si="92">AI34-AI36</f>
        <v>2063</v>
      </c>
      <c r="AJ35" s="5257">
        <f t="shared" si="92"/>
        <v>1928</v>
      </c>
      <c r="AK35" s="5257">
        <f t="shared" si="92"/>
        <v>2320</v>
      </c>
      <c r="AL35" s="5257">
        <f t="shared" si="92"/>
        <v>1707</v>
      </c>
      <c r="AM35" s="5257">
        <f t="shared" si="92"/>
        <v>3187</v>
      </c>
      <c r="AN35" s="5257">
        <f t="shared" si="92"/>
        <v>2947</v>
      </c>
      <c r="AO35" s="5257">
        <f t="shared" si="92"/>
        <v>2881</v>
      </c>
      <c r="AP35" s="5257">
        <f t="shared" si="92"/>
        <v>3093</v>
      </c>
      <c r="AQ35" s="5257">
        <f t="shared" si="92"/>
        <v>3249</v>
      </c>
      <c r="AR35" s="5257">
        <f t="shared" si="92"/>
        <v>3652</v>
      </c>
      <c r="AS35" s="5257">
        <f t="shared" si="92"/>
        <v>3284</v>
      </c>
      <c r="AT35" s="3263">
        <v>3575</v>
      </c>
      <c r="AU35" s="5257">
        <f t="shared" si="85"/>
        <v>33886</v>
      </c>
      <c r="AV35" s="5259">
        <f t="shared" si="21"/>
        <v>2823.8333333333335</v>
      </c>
      <c r="AW35" s="5258">
        <f>-(AW36-(AW31-AW32))</f>
        <v>3303</v>
      </c>
      <c r="AX35" s="5257">
        <f t="shared" ref="AX35" si="93">-(AX36-(AX31-AX32))</f>
        <v>3685</v>
      </c>
      <c r="AY35" s="5257">
        <f t="shared" ref="AY35" si="94">-(AY36-(AY31-AY32))</f>
        <v>3470</v>
      </c>
      <c r="AZ35" s="5257">
        <f t="shared" ref="AZ35" si="95">-(AZ36-(AZ31-AZ32))</f>
        <v>3469</v>
      </c>
      <c r="BA35" s="5257">
        <f t="shared" ref="BA35" si="96">-(BA36-(BA31-BA32))</f>
        <v>5148</v>
      </c>
      <c r="BB35" s="5257">
        <f t="shared" ref="BB35" si="97">-(BB36-(BB31-BB32))</f>
        <v>4387</v>
      </c>
      <c r="BC35" s="5257">
        <v>4151</v>
      </c>
      <c r="BD35" s="5257">
        <v>4200</v>
      </c>
      <c r="BE35" s="5257">
        <v>3845</v>
      </c>
      <c r="BF35" s="5257">
        <v>3302</v>
      </c>
      <c r="BG35" s="5257">
        <v>3066</v>
      </c>
      <c r="BH35" s="5257">
        <v>3029</v>
      </c>
      <c r="BI35" s="5257">
        <f t="shared" si="86"/>
        <v>45055</v>
      </c>
      <c r="BJ35" s="5259">
        <f t="shared" si="26"/>
        <v>3754.5833333333335</v>
      </c>
      <c r="BL35" s="5234">
        <f t="shared" si="15"/>
        <v>-546</v>
      </c>
      <c r="BM35" s="5234">
        <f t="shared" si="16"/>
        <v>930.75</v>
      </c>
      <c r="BN35" s="5235">
        <f>AX35-AJ35</f>
        <v>1757</v>
      </c>
    </row>
    <row r="36" spans="1:66" ht="18" customHeight="1" x14ac:dyDescent="0.55000000000000004">
      <c r="A36" s="7132"/>
      <c r="B36" s="7144"/>
      <c r="C36" s="4102" t="s">
        <v>51</v>
      </c>
      <c r="D36" s="4102"/>
      <c r="E36" s="4102"/>
      <c r="F36" s="5279"/>
      <c r="G36" s="5280"/>
      <c r="H36" s="5280"/>
      <c r="I36" s="5280"/>
      <c r="J36" s="5280"/>
      <c r="K36" s="5280"/>
      <c r="L36" s="5280"/>
      <c r="M36" s="5280"/>
      <c r="N36" s="5280"/>
      <c r="O36" s="5280"/>
      <c r="P36" s="5280"/>
      <c r="Q36" s="5269"/>
      <c r="R36" s="5269"/>
      <c r="S36" s="5269"/>
      <c r="T36" s="5268">
        <f>T30-Q30</f>
        <v>-1583</v>
      </c>
      <c r="U36" s="5269">
        <f t="shared" ref="U36:AE36" si="98">U30-T30</f>
        <v>-821</v>
      </c>
      <c r="V36" s="5280">
        <f t="shared" si="98"/>
        <v>-1305</v>
      </c>
      <c r="W36" s="5280">
        <f t="shared" si="98"/>
        <v>-1299</v>
      </c>
      <c r="X36" s="5280">
        <f t="shared" si="98"/>
        <v>-1537</v>
      </c>
      <c r="Y36" s="5280">
        <f t="shared" si="98"/>
        <v>-1831</v>
      </c>
      <c r="Z36" s="5280">
        <f t="shared" si="98"/>
        <v>-2298</v>
      </c>
      <c r="AA36" s="5280">
        <f t="shared" si="98"/>
        <v>-1861</v>
      </c>
      <c r="AB36" s="5280">
        <f t="shared" si="98"/>
        <v>-1503</v>
      </c>
      <c r="AC36" s="5280">
        <f t="shared" si="98"/>
        <v>-1874</v>
      </c>
      <c r="AD36" s="5280">
        <f t="shared" si="98"/>
        <v>-1535</v>
      </c>
      <c r="AE36" s="5280">
        <f t="shared" si="98"/>
        <v>-2149</v>
      </c>
      <c r="AF36" s="5270">
        <f>SUM(T36:AE36)</f>
        <v>-19596</v>
      </c>
      <c r="AG36" s="5270">
        <f t="shared" ref="AG36:AG40" si="99">AVERAGE(T36:AE36)</f>
        <v>-1633</v>
      </c>
      <c r="AH36" s="5270"/>
      <c r="AI36" s="5294">
        <f>AI30-AF30</f>
        <v>-1541</v>
      </c>
      <c r="AJ36" s="5282">
        <f t="shared" ref="AJ36:AS36" si="100">AJ30-AI30</f>
        <v>-1688</v>
      </c>
      <c r="AK36" s="5282">
        <f t="shared" si="100"/>
        <v>-1971</v>
      </c>
      <c r="AL36" s="5282">
        <f t="shared" si="100"/>
        <v>-1301</v>
      </c>
      <c r="AM36" s="5282">
        <f t="shared" si="100"/>
        <v>-2499</v>
      </c>
      <c r="AN36" s="5282">
        <f t="shared" si="100"/>
        <v>-2269</v>
      </c>
      <c r="AO36" s="5282">
        <f t="shared" si="100"/>
        <v>-2099</v>
      </c>
      <c r="AP36" s="5282">
        <f t="shared" si="100"/>
        <v>-2246</v>
      </c>
      <c r="AQ36" s="5282">
        <f t="shared" si="100"/>
        <v>-2314</v>
      </c>
      <c r="AR36" s="5282">
        <f t="shared" si="100"/>
        <v>-2518</v>
      </c>
      <c r="AS36" s="5282">
        <f t="shared" si="100"/>
        <v>-2069</v>
      </c>
      <c r="AT36" s="5280">
        <v>-2409</v>
      </c>
      <c r="AU36" s="5270">
        <f t="shared" si="85"/>
        <v>-24924</v>
      </c>
      <c r="AV36" s="5272">
        <f t="shared" si="21"/>
        <v>-2077</v>
      </c>
      <c r="AW36" s="5294">
        <v>-2148</v>
      </c>
      <c r="AX36" s="5282">
        <f t="shared" ref="AX36:AY36" si="101">AX30-AW30</f>
        <v>-2309</v>
      </c>
      <c r="AY36" s="5282">
        <f t="shared" si="101"/>
        <v>-2296</v>
      </c>
      <c r="AZ36" s="5282">
        <f>AZ30-AY30</f>
        <v>-2233</v>
      </c>
      <c r="BA36" s="5282">
        <f t="shared" ref="BA36:BB36" si="102">BA30-AZ30</f>
        <v>-2079</v>
      </c>
      <c r="BB36" s="5282">
        <f t="shared" si="102"/>
        <v>-2083</v>
      </c>
      <c r="BC36" s="5282">
        <v>-2246</v>
      </c>
      <c r="BD36" s="5282">
        <v>-2137</v>
      </c>
      <c r="BE36" s="5282">
        <v>-1801</v>
      </c>
      <c r="BF36" s="5282">
        <v>-1959</v>
      </c>
      <c r="BG36" s="5282">
        <v>-1709</v>
      </c>
      <c r="BH36" s="5282">
        <v>-1641</v>
      </c>
      <c r="BI36" s="5270">
        <f t="shared" si="86"/>
        <v>-24641</v>
      </c>
      <c r="BJ36" s="5272">
        <f t="shared" si="26"/>
        <v>-2053.4166666666665</v>
      </c>
      <c r="BL36" s="5234">
        <f t="shared" si="15"/>
        <v>768</v>
      </c>
      <c r="BM36" s="5234"/>
      <c r="BN36" s="5235"/>
    </row>
    <row r="37" spans="1:66" ht="18" customHeight="1" x14ac:dyDescent="0.55000000000000004">
      <c r="A37" s="7132" t="s">
        <v>948</v>
      </c>
      <c r="B37" s="7144"/>
      <c r="C37" s="5283" t="s">
        <v>44</v>
      </c>
      <c r="D37" s="5284"/>
      <c r="E37" s="5284">
        <v>20123</v>
      </c>
      <c r="F37" s="5285">
        <v>20438</v>
      </c>
      <c r="G37" s="5286">
        <v>20438</v>
      </c>
      <c r="H37" s="5286">
        <v>20813</v>
      </c>
      <c r="I37" s="5286">
        <v>20908</v>
      </c>
      <c r="J37" s="5286">
        <v>20918</v>
      </c>
      <c r="K37" s="5286">
        <v>20983</v>
      </c>
      <c r="L37" s="5286">
        <v>21062</v>
      </c>
      <c r="M37" s="5286">
        <v>21001</v>
      </c>
      <c r="N37" s="5286">
        <v>21319</v>
      </c>
      <c r="O37" s="5286">
        <v>21489</v>
      </c>
      <c r="P37" s="5286">
        <v>21387</v>
      </c>
      <c r="Q37" s="5287">
        <v>21430</v>
      </c>
      <c r="R37" s="5287">
        <v>21430</v>
      </c>
      <c r="S37" s="5287">
        <f>AVERAGE(F37:Q37)</f>
        <v>21015.5</v>
      </c>
      <c r="T37" s="5286">
        <v>21431</v>
      </c>
      <c r="U37" s="5286">
        <v>21473</v>
      </c>
      <c r="V37" s="5286">
        <v>21371</v>
      </c>
      <c r="W37" s="5286">
        <v>21299</v>
      </c>
      <c r="X37" s="5286">
        <v>21228</v>
      </c>
      <c r="Y37" s="5286">
        <v>21095</v>
      </c>
      <c r="Z37" s="5286">
        <v>20921</v>
      </c>
      <c r="AA37" s="5286">
        <v>20744</v>
      </c>
      <c r="AB37" s="5286">
        <v>20531</v>
      </c>
      <c r="AC37" s="5286">
        <v>20813</v>
      </c>
      <c r="AD37" s="5286">
        <v>20920</v>
      </c>
      <c r="AE37" s="5286">
        <v>20758</v>
      </c>
      <c r="AF37" s="5288">
        <v>20758</v>
      </c>
      <c r="AG37" s="5288">
        <f t="shared" si="99"/>
        <v>21048.666666666668</v>
      </c>
      <c r="AH37" s="5288"/>
      <c r="AI37" s="5292">
        <v>20398</v>
      </c>
      <c r="AJ37" s="5288">
        <v>20070</v>
      </c>
      <c r="AK37" s="5288">
        <v>19672</v>
      </c>
      <c r="AL37" s="5288">
        <v>19342</v>
      </c>
      <c r="AM37" s="5288">
        <v>18683</v>
      </c>
      <c r="AN37" s="5288">
        <v>17951</v>
      </c>
      <c r="AO37" s="5288">
        <v>17200</v>
      </c>
      <c r="AP37" s="5288">
        <v>16585</v>
      </c>
      <c r="AQ37" s="5288">
        <v>15888</v>
      </c>
      <c r="AR37" s="5288">
        <v>15232</v>
      </c>
      <c r="AS37" s="5288">
        <v>14578</v>
      </c>
      <c r="AT37" s="5286">
        <v>13911</v>
      </c>
      <c r="AU37" s="5290">
        <f>INDEX($AI37:$AT37, 1, MATCH(0, $AI37:$AT37, -1))</f>
        <v>13911</v>
      </c>
      <c r="AV37" s="5291">
        <f t="shared" si="21"/>
        <v>17459.166666666668</v>
      </c>
      <c r="AW37" s="5292">
        <v>13244</v>
      </c>
      <c r="AX37" s="5288">
        <v>12547</v>
      </c>
      <c r="AY37" s="5288">
        <v>11891</v>
      </c>
      <c r="AZ37" s="5288">
        <v>11321</v>
      </c>
      <c r="BA37" s="5288">
        <v>10724</v>
      </c>
      <c r="BB37" s="5288">
        <v>10289</v>
      </c>
      <c r="BC37" s="5288">
        <v>10026</v>
      </c>
      <c r="BD37" s="5288">
        <v>9479</v>
      </c>
      <c r="BE37" s="5288">
        <v>8937</v>
      </c>
      <c r="BF37" s="5288">
        <v>8398</v>
      </c>
      <c r="BG37" s="5288">
        <v>7766</v>
      </c>
      <c r="BH37" s="5288">
        <v>7193</v>
      </c>
      <c r="BI37" s="5290">
        <f>AW37</f>
        <v>13244</v>
      </c>
      <c r="BJ37" s="5291">
        <f t="shared" si="26"/>
        <v>10151.25</v>
      </c>
      <c r="BL37" s="5234">
        <f t="shared" si="15"/>
        <v>-6718</v>
      </c>
      <c r="BM37" s="5234">
        <f t="shared" si="16"/>
        <v>-7307.9166666666679</v>
      </c>
      <c r="BN37" s="5255">
        <f t="shared" ref="BN37:BN44" si="103">HLOOKUP($A$1,$AW$1:$BH$396,ROW(),0)-SUM(AI37:AJ37)</f>
        <v>-33275</v>
      </c>
    </row>
    <row r="38" spans="1:66" ht="18" customHeight="1" x14ac:dyDescent="0.55000000000000004">
      <c r="A38" s="7132"/>
      <c r="B38" s="7144"/>
      <c r="C38" s="5076" t="s">
        <v>47</v>
      </c>
      <c r="F38" s="5256"/>
      <c r="G38" s="3263"/>
      <c r="H38" s="3263"/>
      <c r="I38" s="3263"/>
      <c r="J38" s="3263"/>
      <c r="K38" s="3263"/>
      <c r="L38" s="3263"/>
      <c r="M38" s="3263"/>
      <c r="N38" s="3263"/>
      <c r="O38" s="3263"/>
      <c r="P38" s="3263"/>
      <c r="Q38" s="3263"/>
      <c r="R38" s="3263"/>
      <c r="S38" s="3263"/>
      <c r="T38" s="5256">
        <v>13</v>
      </c>
      <c r="U38" s="3263">
        <v>17</v>
      </c>
      <c r="V38" s="3263">
        <v>8</v>
      </c>
      <c r="W38" s="3263">
        <v>5</v>
      </c>
      <c r="X38" s="3263">
        <v>13</v>
      </c>
      <c r="Y38" s="3263">
        <v>70</v>
      </c>
      <c r="Z38" s="3263">
        <v>84</v>
      </c>
      <c r="AA38" s="3263">
        <v>68</v>
      </c>
      <c r="AB38" s="3263">
        <v>61</v>
      </c>
      <c r="AC38" s="3263">
        <v>122</v>
      </c>
      <c r="AD38" s="3263">
        <v>126</v>
      </c>
      <c r="AE38" s="3263">
        <v>11</v>
      </c>
      <c r="AF38" s="5257">
        <f>SUM(T38:AE38)</f>
        <v>598</v>
      </c>
      <c r="AG38" s="5257">
        <f t="shared" si="99"/>
        <v>49.833333333333336</v>
      </c>
      <c r="AH38" s="5257"/>
      <c r="AI38" s="5258">
        <v>11</v>
      </c>
      <c r="AJ38" s="5257">
        <v>10</v>
      </c>
      <c r="AK38" s="5257">
        <v>25</v>
      </c>
      <c r="AL38" s="5257">
        <v>80</v>
      </c>
      <c r="AM38" s="5257">
        <v>131</v>
      </c>
      <c r="AN38" s="5257">
        <v>98</v>
      </c>
      <c r="AO38" s="5257">
        <v>49</v>
      </c>
      <c r="AP38" s="5257">
        <v>52</v>
      </c>
      <c r="AQ38" s="5257">
        <v>31</v>
      </c>
      <c r="AR38" s="5257">
        <v>25</v>
      </c>
      <c r="AS38" s="5257">
        <v>34</v>
      </c>
      <c r="AT38" s="3263">
        <v>48</v>
      </c>
      <c r="AU38" s="5257">
        <f t="shared" ref="AU38:AU43" si="104">SUM(AI38:AT38)</f>
        <v>594</v>
      </c>
      <c r="AV38" s="5259">
        <f t="shared" si="21"/>
        <v>49.5</v>
      </c>
      <c r="AW38" s="5258">
        <v>27</v>
      </c>
      <c r="AX38" s="5257">
        <v>19</v>
      </c>
      <c r="AY38" s="5257">
        <v>81</v>
      </c>
      <c r="AZ38" s="5257">
        <v>124</v>
      </c>
      <c r="BA38" s="5257">
        <v>311</v>
      </c>
      <c r="BB38" s="5257">
        <v>197</v>
      </c>
      <c r="BC38" s="5257">
        <v>293</v>
      </c>
      <c r="BD38" s="5257">
        <v>294</v>
      </c>
      <c r="BE38" s="5257">
        <v>295</v>
      </c>
      <c r="BF38" s="5257">
        <v>112.00000000000001</v>
      </c>
      <c r="BG38" s="5257">
        <v>145</v>
      </c>
      <c r="BH38" s="3263">
        <v>130</v>
      </c>
      <c r="BI38" s="5257">
        <f t="shared" ref="BI38:BI43" si="105">SUM(AW38:BH38)</f>
        <v>2028</v>
      </c>
      <c r="BJ38" s="5259">
        <f t="shared" si="26"/>
        <v>169</v>
      </c>
      <c r="BL38" s="5234">
        <f t="shared" si="15"/>
        <v>82</v>
      </c>
      <c r="BM38" s="5234">
        <f t="shared" si="16"/>
        <v>119.5</v>
      </c>
      <c r="BN38" s="5255">
        <f t="shared" si="103"/>
        <v>109</v>
      </c>
    </row>
    <row r="39" spans="1:66" ht="17.05" customHeight="1" x14ac:dyDescent="0.55000000000000004">
      <c r="A39" s="7132"/>
      <c r="B39" s="7144"/>
      <c r="C39" s="2441" t="s">
        <v>48</v>
      </c>
      <c r="E39" s="2441">
        <v>178</v>
      </c>
      <c r="F39" s="5256">
        <v>167</v>
      </c>
      <c r="G39" s="3263">
        <v>167</v>
      </c>
      <c r="H39" s="3263">
        <v>238</v>
      </c>
      <c r="I39" s="3263">
        <v>177</v>
      </c>
      <c r="J39" s="3263">
        <v>153</v>
      </c>
      <c r="K39" s="3263">
        <v>122</v>
      </c>
      <c r="L39" s="3263">
        <v>200</v>
      </c>
      <c r="M39" s="3263">
        <v>210</v>
      </c>
      <c r="N39" s="3263">
        <v>197</v>
      </c>
      <c r="O39" s="3263">
        <v>200</v>
      </c>
      <c r="P39" s="3263">
        <v>155</v>
      </c>
      <c r="Q39" s="3263">
        <v>188</v>
      </c>
      <c r="R39" s="3263">
        <f>SUM(F39:Q39)</f>
        <v>2174</v>
      </c>
      <c r="S39" s="3263">
        <f>AVERAGE(F39:Q39)</f>
        <v>181.16666666666666</v>
      </c>
      <c r="T39" s="5256">
        <v>218</v>
      </c>
      <c r="U39" s="3263">
        <v>237</v>
      </c>
      <c r="V39" s="3263">
        <v>294</v>
      </c>
      <c r="W39" s="3263">
        <v>215</v>
      </c>
      <c r="X39" s="3263">
        <v>179</v>
      </c>
      <c r="Y39" s="3263">
        <v>275</v>
      </c>
      <c r="Z39" s="3263">
        <v>320</v>
      </c>
      <c r="AA39" s="3263">
        <v>344</v>
      </c>
      <c r="AB39" s="3263">
        <v>287</v>
      </c>
      <c r="AC39" s="3263">
        <v>295</v>
      </c>
      <c r="AD39" s="3263">
        <v>286</v>
      </c>
      <c r="AE39" s="3263">
        <v>262</v>
      </c>
      <c r="AF39" s="5257">
        <f>SUM(T39:AE39)</f>
        <v>3212</v>
      </c>
      <c r="AG39" s="5257">
        <f t="shared" si="99"/>
        <v>267.66666666666669</v>
      </c>
      <c r="AH39" s="5257"/>
      <c r="AI39" s="5258">
        <v>305</v>
      </c>
      <c r="AJ39" s="5257">
        <v>261</v>
      </c>
      <c r="AK39" s="5257">
        <v>279</v>
      </c>
      <c r="AL39" s="5257">
        <v>305</v>
      </c>
      <c r="AM39" s="5257">
        <v>277</v>
      </c>
      <c r="AN39" s="5257">
        <v>310</v>
      </c>
      <c r="AO39" s="5257">
        <v>293</v>
      </c>
      <c r="AP39" s="5257">
        <v>245</v>
      </c>
      <c r="AQ39" s="5257">
        <v>238</v>
      </c>
      <c r="AR39" s="5257">
        <v>254</v>
      </c>
      <c r="AS39" s="5257">
        <v>251</v>
      </c>
      <c r="AT39" s="3263">
        <v>240</v>
      </c>
      <c r="AU39" s="5257">
        <f t="shared" si="104"/>
        <v>3258</v>
      </c>
      <c r="AV39" s="5259">
        <f t="shared" si="21"/>
        <v>271.5</v>
      </c>
      <c r="AW39" s="5258">
        <v>206</v>
      </c>
      <c r="AX39" s="5257">
        <v>243</v>
      </c>
      <c r="AY39" s="5257">
        <v>214</v>
      </c>
      <c r="AZ39" s="5257">
        <v>219</v>
      </c>
      <c r="BA39" s="5257">
        <v>189</v>
      </c>
      <c r="BB39" s="5257">
        <v>172</v>
      </c>
      <c r="BC39" s="5257">
        <v>166</v>
      </c>
      <c r="BD39" s="5257">
        <v>168</v>
      </c>
      <c r="BE39" s="5257">
        <v>186</v>
      </c>
      <c r="BF39" s="5257">
        <v>197</v>
      </c>
      <c r="BG39" s="5257">
        <v>147</v>
      </c>
      <c r="BH39" s="5257">
        <v>108</v>
      </c>
      <c r="BI39" s="5257">
        <f t="shared" si="105"/>
        <v>2215</v>
      </c>
      <c r="BJ39" s="5259">
        <f t="shared" si="26"/>
        <v>184.58333333333334</v>
      </c>
      <c r="BL39" s="5234">
        <f t="shared" si="15"/>
        <v>-132</v>
      </c>
      <c r="BM39" s="5234">
        <f t="shared" si="16"/>
        <v>-86.916666666666657</v>
      </c>
      <c r="BN39" s="5255">
        <f t="shared" si="103"/>
        <v>-458</v>
      </c>
    </row>
    <row r="40" spans="1:66" ht="18" customHeight="1" x14ac:dyDescent="0.55000000000000004">
      <c r="A40" s="7132"/>
      <c r="B40" s="7133"/>
      <c r="C40" s="5295" t="s">
        <v>59</v>
      </c>
      <c r="D40" s="2682"/>
      <c r="E40" s="2682">
        <v>30</v>
      </c>
      <c r="F40" s="5296">
        <v>13</v>
      </c>
      <c r="G40" s="5297">
        <v>13</v>
      </c>
      <c r="H40" s="5297">
        <v>6</v>
      </c>
      <c r="I40" s="5297">
        <v>5</v>
      </c>
      <c r="J40" s="5297">
        <v>8</v>
      </c>
      <c r="K40" s="5297">
        <v>7</v>
      </c>
      <c r="L40" s="5297">
        <v>5</v>
      </c>
      <c r="M40" s="5297">
        <v>2</v>
      </c>
      <c r="N40" s="5297">
        <v>5</v>
      </c>
      <c r="O40" s="5297">
        <v>6</v>
      </c>
      <c r="P40" s="5297">
        <v>8</v>
      </c>
      <c r="Q40" s="5297">
        <v>8</v>
      </c>
      <c r="R40" s="5297">
        <f>SUM(F40:Q40)</f>
        <v>86</v>
      </c>
      <c r="S40" s="5297">
        <f>AVERAGE(F40:Q40)</f>
        <v>7.166666666666667</v>
      </c>
      <c r="T40" s="5296">
        <v>4</v>
      </c>
      <c r="U40" s="5297">
        <v>10</v>
      </c>
      <c r="V40" s="5297">
        <v>6</v>
      </c>
      <c r="W40" s="5297">
        <v>9</v>
      </c>
      <c r="X40" s="5297">
        <v>5</v>
      </c>
      <c r="Y40" s="5297">
        <v>9</v>
      </c>
      <c r="Z40" s="3263">
        <v>8</v>
      </c>
      <c r="AA40" s="3263">
        <v>51</v>
      </c>
      <c r="AB40" s="3263">
        <v>8</v>
      </c>
      <c r="AC40" s="3263">
        <v>15</v>
      </c>
      <c r="AD40" s="3263">
        <v>8</v>
      </c>
      <c r="AE40" s="3263">
        <v>8</v>
      </c>
      <c r="AF40" s="5257">
        <f>SUM(T40:AE40)</f>
        <v>141</v>
      </c>
      <c r="AG40" s="5257">
        <f t="shared" si="99"/>
        <v>11.75</v>
      </c>
      <c r="AH40" s="5257"/>
      <c r="AI40" s="5258">
        <v>8</v>
      </c>
      <c r="AJ40" s="5257">
        <v>3</v>
      </c>
      <c r="AK40" s="5257">
        <v>13</v>
      </c>
      <c r="AL40" s="5257">
        <v>10</v>
      </c>
      <c r="AM40" s="5257">
        <v>14</v>
      </c>
      <c r="AN40" s="5257">
        <v>5</v>
      </c>
      <c r="AO40" s="5257">
        <v>13</v>
      </c>
      <c r="AP40" s="5257">
        <v>10</v>
      </c>
      <c r="AQ40" s="5257">
        <v>9</v>
      </c>
      <c r="AR40" s="5257">
        <v>6</v>
      </c>
      <c r="AS40" s="5257">
        <v>5</v>
      </c>
      <c r="AT40" s="3263">
        <v>10</v>
      </c>
      <c r="AU40" s="5257">
        <f t="shared" si="104"/>
        <v>106</v>
      </c>
      <c r="AV40" s="5259">
        <f t="shared" si="21"/>
        <v>8.8333333333333339</v>
      </c>
      <c r="AW40" s="5258">
        <v>13</v>
      </c>
      <c r="AX40" s="5257">
        <v>6</v>
      </c>
      <c r="AY40" s="5257">
        <v>11</v>
      </c>
      <c r="AZ40" s="5257">
        <v>3</v>
      </c>
      <c r="BA40" s="5257">
        <v>5</v>
      </c>
      <c r="BB40" s="5257">
        <v>2</v>
      </c>
      <c r="BC40" s="5257">
        <v>7</v>
      </c>
      <c r="BD40" s="5257">
        <v>7</v>
      </c>
      <c r="BE40" s="5257">
        <v>6</v>
      </c>
      <c r="BF40" s="5257">
        <v>3</v>
      </c>
      <c r="BG40" s="5257">
        <v>7</v>
      </c>
      <c r="BH40" s="5257">
        <v>2</v>
      </c>
      <c r="BI40" s="5257">
        <f t="shared" si="105"/>
        <v>72</v>
      </c>
      <c r="BJ40" s="5259">
        <f t="shared" si="26"/>
        <v>6</v>
      </c>
      <c r="BL40" s="5234">
        <f t="shared" si="15"/>
        <v>-8</v>
      </c>
      <c r="BM40" s="5234">
        <f t="shared" si="16"/>
        <v>-2.8333333333333339</v>
      </c>
      <c r="BN40" s="5255">
        <f t="shared" si="103"/>
        <v>-9</v>
      </c>
    </row>
    <row r="41" spans="1:66" ht="18" customHeight="1" x14ac:dyDescent="0.55000000000000004">
      <c r="A41" s="7132"/>
      <c r="B41" s="7133"/>
      <c r="C41" s="5298" t="s">
        <v>86</v>
      </c>
      <c r="D41" s="5298"/>
      <c r="E41" s="5298"/>
      <c r="F41" s="5299"/>
      <c r="G41" s="5300"/>
      <c r="H41" s="5300"/>
      <c r="I41" s="5300"/>
      <c r="J41" s="5300"/>
      <c r="K41" s="5300"/>
      <c r="L41" s="5300"/>
      <c r="M41" s="5300"/>
      <c r="N41" s="5300"/>
      <c r="O41" s="5300"/>
      <c r="P41" s="5300"/>
      <c r="Q41" s="5300"/>
      <c r="R41" s="5300"/>
      <c r="S41" s="5300"/>
      <c r="T41" s="5299">
        <f>T38-T39</f>
        <v>-205</v>
      </c>
      <c r="U41" s="5300">
        <f t="shared" ref="U41:AG41" si="106">U38-U39</f>
        <v>-220</v>
      </c>
      <c r="V41" s="5300">
        <f t="shared" si="106"/>
        <v>-286</v>
      </c>
      <c r="W41" s="5300">
        <f t="shared" si="106"/>
        <v>-210</v>
      </c>
      <c r="X41" s="5300">
        <f t="shared" si="106"/>
        <v>-166</v>
      </c>
      <c r="Y41" s="5300">
        <f t="shared" si="106"/>
        <v>-205</v>
      </c>
      <c r="Z41" s="5262">
        <f t="shared" si="106"/>
        <v>-236</v>
      </c>
      <c r="AA41" s="5262">
        <f t="shared" si="106"/>
        <v>-276</v>
      </c>
      <c r="AB41" s="5262">
        <f t="shared" si="106"/>
        <v>-226</v>
      </c>
      <c r="AC41" s="5262">
        <f t="shared" si="106"/>
        <v>-173</v>
      </c>
      <c r="AD41" s="5262">
        <f t="shared" si="106"/>
        <v>-160</v>
      </c>
      <c r="AE41" s="5262">
        <f t="shared" si="106"/>
        <v>-251</v>
      </c>
      <c r="AF41" s="5263">
        <f t="shared" si="106"/>
        <v>-2614</v>
      </c>
      <c r="AG41" s="5263">
        <f t="shared" si="106"/>
        <v>-217.83333333333334</v>
      </c>
      <c r="AH41" s="5263"/>
      <c r="AI41" s="5264">
        <f t="shared" ref="AI41:AS41" si="107">AI38-AI39</f>
        <v>-294</v>
      </c>
      <c r="AJ41" s="5263">
        <f t="shared" si="107"/>
        <v>-251</v>
      </c>
      <c r="AK41" s="5263">
        <f t="shared" si="107"/>
        <v>-254</v>
      </c>
      <c r="AL41" s="5263">
        <f t="shared" si="107"/>
        <v>-225</v>
      </c>
      <c r="AM41" s="5263">
        <f t="shared" si="107"/>
        <v>-146</v>
      </c>
      <c r="AN41" s="5263">
        <f t="shared" si="107"/>
        <v>-212</v>
      </c>
      <c r="AO41" s="5263">
        <f t="shared" si="107"/>
        <v>-244</v>
      </c>
      <c r="AP41" s="5263">
        <f t="shared" si="107"/>
        <v>-193</v>
      </c>
      <c r="AQ41" s="5263">
        <f t="shared" si="107"/>
        <v>-207</v>
      </c>
      <c r="AR41" s="5263">
        <f t="shared" si="107"/>
        <v>-229</v>
      </c>
      <c r="AS41" s="5263">
        <f t="shared" si="107"/>
        <v>-217</v>
      </c>
      <c r="AT41" s="5262">
        <v>45</v>
      </c>
      <c r="AU41" s="5263">
        <f t="shared" si="104"/>
        <v>-2427</v>
      </c>
      <c r="AV41" s="5265">
        <f t="shared" si="21"/>
        <v>-202.25</v>
      </c>
      <c r="AW41" s="5264">
        <v>-179</v>
      </c>
      <c r="AX41" s="5263">
        <f>AX38-AX39</f>
        <v>-224</v>
      </c>
      <c r="AY41" s="5263">
        <f t="shared" ref="AY41" si="108">AY38-AY39</f>
        <v>-133</v>
      </c>
      <c r="AZ41" s="5263">
        <f>AZ38-AZ39</f>
        <v>-95</v>
      </c>
      <c r="BA41" s="5263">
        <f t="shared" ref="BA41:BB41" si="109">BA38-BA39</f>
        <v>122</v>
      </c>
      <c r="BB41" s="5263">
        <f t="shared" si="109"/>
        <v>25</v>
      </c>
      <c r="BC41" s="5263">
        <v>127</v>
      </c>
      <c r="BD41" s="5263">
        <v>126</v>
      </c>
      <c r="BE41" s="5263">
        <v>109</v>
      </c>
      <c r="BF41" s="5263">
        <v>-84.999999999999986</v>
      </c>
      <c r="BG41" s="5263">
        <v>-2</v>
      </c>
      <c r="BH41" s="5263">
        <v>22</v>
      </c>
      <c r="BI41" s="5263">
        <f t="shared" si="105"/>
        <v>-187</v>
      </c>
      <c r="BJ41" s="5265">
        <f t="shared" si="26"/>
        <v>-15.583333333333334</v>
      </c>
      <c r="BL41" s="5234">
        <f t="shared" ref="BL41:BL72" si="110">HLOOKUP($A$1,$AW$1:$BH$396,ROW(),0)-HLOOKUP($A$1,$AI$1:$AT$396,ROW(),0)</f>
        <v>-23</v>
      </c>
      <c r="BM41" s="5234">
        <f t="shared" si="16"/>
        <v>186.66666666666666</v>
      </c>
      <c r="BN41" s="5255">
        <f t="shared" si="103"/>
        <v>567</v>
      </c>
    </row>
    <row r="42" spans="1:66" ht="18" customHeight="1" x14ac:dyDescent="0.55000000000000004">
      <c r="A42" s="7132"/>
      <c r="B42" s="7133"/>
      <c r="C42" s="2682" t="s">
        <v>50</v>
      </c>
      <c r="D42" s="2682"/>
      <c r="E42" s="2682"/>
      <c r="F42" s="5296"/>
      <c r="G42" s="5297"/>
      <c r="H42" s="5297"/>
      <c r="I42" s="5297"/>
      <c r="J42" s="5297"/>
      <c r="K42" s="5297"/>
      <c r="L42" s="5297"/>
      <c r="M42" s="5297"/>
      <c r="N42" s="5297"/>
      <c r="O42" s="5297"/>
      <c r="P42" s="5297"/>
      <c r="Q42" s="5297"/>
      <c r="R42" s="5297"/>
      <c r="S42" s="5297"/>
      <c r="T42" s="5296">
        <f t="shared" ref="T42:AG42" si="111">T41-T43</f>
        <v>-206</v>
      </c>
      <c r="U42" s="5297">
        <f t="shared" si="111"/>
        <v>-262</v>
      </c>
      <c r="V42" s="5297">
        <f t="shared" si="111"/>
        <v>-184</v>
      </c>
      <c r="W42" s="5297">
        <f t="shared" si="111"/>
        <v>-138</v>
      </c>
      <c r="X42" s="5297">
        <f t="shared" si="111"/>
        <v>-95</v>
      </c>
      <c r="Y42" s="5297">
        <f t="shared" si="111"/>
        <v>-72</v>
      </c>
      <c r="Z42" s="3263">
        <f t="shared" si="111"/>
        <v>-62</v>
      </c>
      <c r="AA42" s="3263">
        <f t="shared" si="111"/>
        <v>-99</v>
      </c>
      <c r="AB42" s="3263">
        <f t="shared" si="111"/>
        <v>-13</v>
      </c>
      <c r="AC42" s="3263">
        <f t="shared" si="111"/>
        <v>-455</v>
      </c>
      <c r="AD42" s="3263">
        <f t="shared" si="111"/>
        <v>-267</v>
      </c>
      <c r="AE42" s="3263">
        <f t="shared" si="111"/>
        <v>-89</v>
      </c>
      <c r="AF42" s="5257">
        <f t="shared" si="111"/>
        <v>-2614</v>
      </c>
      <c r="AG42" s="5257">
        <f t="shared" si="111"/>
        <v>-508.50000000000125</v>
      </c>
      <c r="AH42" s="5257"/>
      <c r="AI42" s="5258">
        <f t="shared" ref="AI42:AS42" si="112">AI41-AI43</f>
        <v>66</v>
      </c>
      <c r="AJ42" s="5257">
        <f t="shared" si="112"/>
        <v>77</v>
      </c>
      <c r="AK42" s="5257">
        <f t="shared" si="112"/>
        <v>144</v>
      </c>
      <c r="AL42" s="5257">
        <f t="shared" si="112"/>
        <v>105</v>
      </c>
      <c r="AM42" s="5257">
        <f t="shared" si="112"/>
        <v>513</v>
      </c>
      <c r="AN42" s="5257">
        <f t="shared" si="112"/>
        <v>520</v>
      </c>
      <c r="AO42" s="5257">
        <f t="shared" si="112"/>
        <v>507</v>
      </c>
      <c r="AP42" s="5257">
        <f t="shared" si="112"/>
        <v>422</v>
      </c>
      <c r="AQ42" s="5257">
        <f t="shared" si="112"/>
        <v>490</v>
      </c>
      <c r="AR42" s="5257">
        <f t="shared" si="112"/>
        <v>427</v>
      </c>
      <c r="AS42" s="5257">
        <f t="shared" si="112"/>
        <v>437</v>
      </c>
      <c r="AT42" s="3263">
        <v>712</v>
      </c>
      <c r="AU42" s="5257">
        <f t="shared" si="104"/>
        <v>4420</v>
      </c>
      <c r="AV42" s="5259">
        <f t="shared" si="21"/>
        <v>368.33333333333331</v>
      </c>
      <c r="AW42" s="5258">
        <f>-(AW43-(AW38-AW39))</f>
        <v>488</v>
      </c>
      <c r="AX42" s="5257">
        <f t="shared" ref="AX42" si="113">-(AX43-(AX38-AX39))</f>
        <v>473</v>
      </c>
      <c r="AY42" s="5257">
        <f t="shared" ref="AY42" si="114">-(AY43-(AY38-AY39))</f>
        <v>523</v>
      </c>
      <c r="AZ42" s="5257">
        <f t="shared" ref="AZ42" si="115">-(AZ43-(AZ38-AZ39))</f>
        <v>475</v>
      </c>
      <c r="BA42" s="5257">
        <f t="shared" ref="BA42" si="116">-(BA43-(BA38-BA39))</f>
        <v>719</v>
      </c>
      <c r="BB42" s="5257">
        <f t="shared" ref="BB42" si="117">-(BB43-(BB38-BB39))</f>
        <v>460</v>
      </c>
      <c r="BC42" s="5257">
        <v>390</v>
      </c>
      <c r="BD42" s="5257">
        <v>673</v>
      </c>
      <c r="BE42" s="5257">
        <v>651</v>
      </c>
      <c r="BF42" s="5257">
        <v>454</v>
      </c>
      <c r="BG42" s="5257">
        <v>630</v>
      </c>
      <c r="BH42" s="5257">
        <v>595</v>
      </c>
      <c r="BI42" s="5257">
        <f t="shared" si="105"/>
        <v>6531</v>
      </c>
      <c r="BJ42" s="5259">
        <f t="shared" si="26"/>
        <v>544.25</v>
      </c>
      <c r="BL42" s="5234">
        <f t="shared" si="110"/>
        <v>-117</v>
      </c>
      <c r="BM42" s="5234">
        <f t="shared" si="16"/>
        <v>175.91666666666669</v>
      </c>
      <c r="BN42" s="5255">
        <f t="shared" si="103"/>
        <v>452</v>
      </c>
    </row>
    <row r="43" spans="1:66" ht="18" customHeight="1" x14ac:dyDescent="0.55000000000000004">
      <c r="A43" s="7132"/>
      <c r="B43" s="7133"/>
      <c r="C43" s="5301" t="s">
        <v>51</v>
      </c>
      <c r="D43" s="5301"/>
      <c r="E43" s="5301"/>
      <c r="F43" s="5302"/>
      <c r="G43" s="5303"/>
      <c r="H43" s="5303"/>
      <c r="I43" s="5303"/>
      <c r="J43" s="5303"/>
      <c r="K43" s="5303"/>
      <c r="L43" s="5303"/>
      <c r="M43" s="5303"/>
      <c r="N43" s="5303"/>
      <c r="O43" s="5303"/>
      <c r="P43" s="5303"/>
      <c r="Q43" s="5304"/>
      <c r="R43" s="5304"/>
      <c r="S43" s="5304"/>
      <c r="T43" s="5305">
        <f>T37-Q37</f>
        <v>1</v>
      </c>
      <c r="U43" s="5304">
        <f t="shared" ref="U43:AG43" si="118">U37-T37</f>
        <v>42</v>
      </c>
      <c r="V43" s="5303">
        <f t="shared" si="118"/>
        <v>-102</v>
      </c>
      <c r="W43" s="5303">
        <f t="shared" si="118"/>
        <v>-72</v>
      </c>
      <c r="X43" s="5303">
        <f t="shared" si="118"/>
        <v>-71</v>
      </c>
      <c r="Y43" s="5303">
        <f t="shared" si="118"/>
        <v>-133</v>
      </c>
      <c r="Z43" s="5280">
        <f t="shared" si="118"/>
        <v>-174</v>
      </c>
      <c r="AA43" s="5280">
        <f t="shared" si="118"/>
        <v>-177</v>
      </c>
      <c r="AB43" s="5280">
        <f t="shared" si="118"/>
        <v>-213</v>
      </c>
      <c r="AC43" s="5280">
        <f t="shared" si="118"/>
        <v>282</v>
      </c>
      <c r="AD43" s="5280">
        <f t="shared" si="118"/>
        <v>107</v>
      </c>
      <c r="AE43" s="5280">
        <f t="shared" si="118"/>
        <v>-162</v>
      </c>
      <c r="AF43" s="5270">
        <f t="shared" si="118"/>
        <v>0</v>
      </c>
      <c r="AG43" s="5270">
        <f t="shared" si="118"/>
        <v>290.66666666666788</v>
      </c>
      <c r="AH43" s="5270"/>
      <c r="AI43" s="5294">
        <f>AI37-AF37</f>
        <v>-360</v>
      </c>
      <c r="AJ43" s="5282">
        <f t="shared" ref="AJ43:AS43" si="119">AJ37-AI37</f>
        <v>-328</v>
      </c>
      <c r="AK43" s="5282">
        <f t="shared" si="119"/>
        <v>-398</v>
      </c>
      <c r="AL43" s="5282">
        <f t="shared" si="119"/>
        <v>-330</v>
      </c>
      <c r="AM43" s="5282">
        <f t="shared" si="119"/>
        <v>-659</v>
      </c>
      <c r="AN43" s="5282">
        <f t="shared" si="119"/>
        <v>-732</v>
      </c>
      <c r="AO43" s="5282">
        <f t="shared" si="119"/>
        <v>-751</v>
      </c>
      <c r="AP43" s="5282">
        <f t="shared" si="119"/>
        <v>-615</v>
      </c>
      <c r="AQ43" s="5282">
        <f t="shared" si="119"/>
        <v>-697</v>
      </c>
      <c r="AR43" s="5282">
        <f t="shared" si="119"/>
        <v>-656</v>
      </c>
      <c r="AS43" s="5282">
        <f t="shared" si="119"/>
        <v>-654</v>
      </c>
      <c r="AT43" s="5280">
        <v>-667</v>
      </c>
      <c r="AU43" s="5270">
        <f t="shared" si="104"/>
        <v>-6847</v>
      </c>
      <c r="AV43" s="5272">
        <f t="shared" si="21"/>
        <v>-570.58333333333337</v>
      </c>
      <c r="AW43" s="5294">
        <v>-667</v>
      </c>
      <c r="AX43" s="5282">
        <f t="shared" ref="AX43:AY43" si="120">AX37-AW37</f>
        <v>-697</v>
      </c>
      <c r="AY43" s="5282">
        <f t="shared" si="120"/>
        <v>-656</v>
      </c>
      <c r="AZ43" s="5282">
        <f>AZ37-AY37</f>
        <v>-570</v>
      </c>
      <c r="BA43" s="5282">
        <f t="shared" ref="BA43:BB43" si="121">BA37-AZ37</f>
        <v>-597</v>
      </c>
      <c r="BB43" s="5282">
        <f t="shared" si="121"/>
        <v>-435</v>
      </c>
      <c r="BC43" s="5282">
        <v>-263</v>
      </c>
      <c r="BD43" s="5282">
        <v>-547</v>
      </c>
      <c r="BE43" s="5282">
        <v>-542</v>
      </c>
      <c r="BF43" s="5282">
        <v>-539</v>
      </c>
      <c r="BG43" s="5282">
        <v>-632</v>
      </c>
      <c r="BH43" s="5282">
        <v>-573</v>
      </c>
      <c r="BI43" s="5270">
        <f t="shared" si="105"/>
        <v>-6718</v>
      </c>
      <c r="BJ43" s="5272">
        <f t="shared" si="26"/>
        <v>-559.83333333333337</v>
      </c>
      <c r="BL43" s="5234">
        <f t="shared" si="110"/>
        <v>94</v>
      </c>
      <c r="BM43" s="5234">
        <f t="shared" si="16"/>
        <v>10.75</v>
      </c>
      <c r="BN43" s="5255">
        <f t="shared" si="103"/>
        <v>115</v>
      </c>
    </row>
    <row r="44" spans="1:66" ht="18" customHeight="1" x14ac:dyDescent="0.55000000000000004">
      <c r="A44" s="7132" t="s">
        <v>1019</v>
      </c>
      <c r="B44" s="7133"/>
      <c r="C44" s="5306" t="s">
        <v>44</v>
      </c>
      <c r="D44" s="5307"/>
      <c r="E44" s="5308"/>
      <c r="F44" s="5308"/>
      <c r="G44" s="5308"/>
      <c r="H44" s="5308"/>
      <c r="I44" s="5308"/>
      <c r="J44" s="5308"/>
      <c r="K44" s="5308"/>
      <c r="L44" s="5308"/>
      <c r="M44" s="5308"/>
      <c r="N44" s="5308"/>
      <c r="O44" s="5308"/>
      <c r="P44" s="5308"/>
      <c r="Q44" s="5308"/>
      <c r="R44" s="5308"/>
      <c r="S44" s="5308"/>
      <c r="T44" s="5308"/>
      <c r="U44" s="5308"/>
      <c r="V44" s="5308"/>
      <c r="W44" s="5308"/>
      <c r="X44" s="5308"/>
      <c r="Y44" s="5308"/>
      <c r="Z44" s="5309"/>
      <c r="AA44" s="5309"/>
      <c r="AB44" s="5309"/>
      <c r="AC44" s="5309"/>
      <c r="AD44" s="5309"/>
      <c r="AE44" s="5309"/>
      <c r="AF44" s="5309"/>
      <c r="AG44" s="5309"/>
      <c r="AH44" s="5309"/>
      <c r="AI44" s="5285">
        <v>22033</v>
      </c>
      <c r="AJ44" s="5286">
        <v>22566</v>
      </c>
      <c r="AK44" s="5286">
        <v>23104</v>
      </c>
      <c r="AL44" s="5286">
        <v>23582</v>
      </c>
      <c r="AM44" s="5286">
        <v>23688</v>
      </c>
      <c r="AN44" s="5286">
        <v>24078</v>
      </c>
      <c r="AO44" s="5286">
        <v>24354</v>
      </c>
      <c r="AP44" s="5286">
        <v>24881</v>
      </c>
      <c r="AQ44" s="5286">
        <v>25195</v>
      </c>
      <c r="AR44" s="5286">
        <v>25796</v>
      </c>
      <c r="AS44" s="5286">
        <v>25818</v>
      </c>
      <c r="AT44" s="5286">
        <v>25845</v>
      </c>
      <c r="AU44" s="5290">
        <f>INDEX($AI44:$AT44, 1, MATCH(0, $AI44:$AT44, -1))</f>
        <v>25845</v>
      </c>
      <c r="AV44" s="5291">
        <f t="shared" ref="AV44:AV50" si="122">AVERAGE(AI44:AT44)</f>
        <v>24245</v>
      </c>
      <c r="AW44" s="5285">
        <v>25805</v>
      </c>
      <c r="AX44" s="5288">
        <v>25697</v>
      </c>
      <c r="AY44" s="5288">
        <v>25826</v>
      </c>
      <c r="AZ44" s="5288">
        <v>25962</v>
      </c>
      <c r="BA44" s="5288">
        <v>25659</v>
      </c>
      <c r="BB44" s="5288">
        <v>25621</v>
      </c>
      <c r="BC44" s="5288">
        <v>25844</v>
      </c>
      <c r="BD44" s="5286">
        <v>25880</v>
      </c>
      <c r="BE44" s="5286">
        <v>26013</v>
      </c>
      <c r="BF44" s="5286">
        <v>25895</v>
      </c>
      <c r="BG44" s="5288">
        <v>25437</v>
      </c>
      <c r="BH44" s="5286">
        <v>24959</v>
      </c>
      <c r="BI44" s="5290">
        <f>AW44</f>
        <v>25805</v>
      </c>
      <c r="BJ44" s="5291">
        <f>AVERAGE(AW44:BH44)</f>
        <v>25716.5</v>
      </c>
      <c r="BL44" s="5234">
        <f t="shared" si="110"/>
        <v>-886</v>
      </c>
      <c r="BM44" s="5234">
        <f t="shared" si="16"/>
        <v>1471.5</v>
      </c>
      <c r="BN44" s="5255">
        <f t="shared" si="103"/>
        <v>-19640</v>
      </c>
    </row>
    <row r="45" spans="1:66" ht="18" customHeight="1" x14ac:dyDescent="0.55000000000000004">
      <c r="A45" s="7132"/>
      <c r="B45" s="7133"/>
      <c r="C45" s="5310" t="s">
        <v>47</v>
      </c>
      <c r="D45" s="2682"/>
      <c r="E45" s="5311"/>
      <c r="F45" s="5311"/>
      <c r="G45" s="5311"/>
      <c r="H45" s="5311"/>
      <c r="I45" s="5311"/>
      <c r="J45" s="5311"/>
      <c r="K45" s="5311"/>
      <c r="L45" s="5311"/>
      <c r="M45" s="5311"/>
      <c r="N45" s="5311"/>
      <c r="O45" s="5311"/>
      <c r="P45" s="5311"/>
      <c r="Q45" s="5311"/>
      <c r="R45" s="5311"/>
      <c r="S45" s="5311"/>
      <c r="T45" s="5311"/>
      <c r="U45" s="5311"/>
      <c r="V45" s="5311"/>
      <c r="W45" s="5311"/>
      <c r="X45" s="5311"/>
      <c r="Y45" s="5311"/>
      <c r="Z45" s="5312"/>
      <c r="AA45" s="5312"/>
      <c r="AB45" s="5312"/>
      <c r="AC45" s="5312"/>
      <c r="AD45" s="5312"/>
      <c r="AE45" s="5312"/>
      <c r="AF45" s="5312"/>
      <c r="AG45" s="5312"/>
      <c r="AH45" s="5312"/>
      <c r="AI45" s="5258">
        <v>774</v>
      </c>
      <c r="AJ45" s="5257">
        <v>624</v>
      </c>
      <c r="AK45" s="5257">
        <v>731</v>
      </c>
      <c r="AL45" s="5257">
        <v>672</v>
      </c>
      <c r="AM45" s="5257">
        <v>727</v>
      </c>
      <c r="AN45" s="5257">
        <v>947.00000000000011</v>
      </c>
      <c r="AO45" s="5257">
        <v>851</v>
      </c>
      <c r="AP45" s="5257">
        <v>711</v>
      </c>
      <c r="AQ45" s="5257">
        <v>893.00000000000011</v>
      </c>
      <c r="AR45" s="5257">
        <v>807</v>
      </c>
      <c r="AS45" s="5257">
        <v>582</v>
      </c>
      <c r="AT45" s="3263">
        <v>553</v>
      </c>
      <c r="AU45" s="5257">
        <f t="shared" ref="AU45:AU50" si="123">SUM(AI45:AT45)</f>
        <v>8872</v>
      </c>
      <c r="AV45" s="5259">
        <f t="shared" si="122"/>
        <v>739.33333333333337</v>
      </c>
      <c r="AW45" s="5258">
        <v>551</v>
      </c>
      <c r="AX45" s="5257">
        <v>529</v>
      </c>
      <c r="AY45" s="5257">
        <v>772</v>
      </c>
      <c r="AZ45" s="5257">
        <v>791</v>
      </c>
      <c r="BA45" s="5257">
        <v>948.00000000000011</v>
      </c>
      <c r="BB45" s="5257">
        <v>807</v>
      </c>
      <c r="BC45" s="5257">
        <v>1069</v>
      </c>
      <c r="BD45" s="3263">
        <v>828</v>
      </c>
      <c r="BE45" s="5293">
        <v>887</v>
      </c>
      <c r="BF45" s="5257">
        <v>578</v>
      </c>
      <c r="BG45" s="5257">
        <v>487</v>
      </c>
      <c r="BH45" s="3263">
        <v>381</v>
      </c>
      <c r="BI45" s="5257">
        <f>AW45</f>
        <v>551</v>
      </c>
      <c r="BJ45" s="5259">
        <f t="shared" si="26"/>
        <v>719</v>
      </c>
      <c r="BL45" s="5234">
        <f t="shared" si="110"/>
        <v>-172</v>
      </c>
      <c r="BM45" s="5234"/>
      <c r="BN45" s="5235"/>
    </row>
    <row r="46" spans="1:66" ht="18" customHeight="1" x14ac:dyDescent="0.55000000000000004">
      <c r="A46" s="7132"/>
      <c r="B46" s="7133"/>
      <c r="C46" s="2682" t="s">
        <v>48</v>
      </c>
      <c r="D46" s="2682"/>
      <c r="E46" s="5311"/>
      <c r="F46" s="5311"/>
      <c r="G46" s="5311"/>
      <c r="H46" s="5311"/>
      <c r="I46" s="5311"/>
      <c r="J46" s="5311"/>
      <c r="K46" s="5311"/>
      <c r="L46" s="5311"/>
      <c r="M46" s="5311"/>
      <c r="N46" s="5311"/>
      <c r="O46" s="5311"/>
      <c r="P46" s="5311"/>
      <c r="Q46" s="5311"/>
      <c r="R46" s="5311"/>
      <c r="S46" s="5311"/>
      <c r="T46" s="5311"/>
      <c r="U46" s="5311"/>
      <c r="V46" s="5311"/>
      <c r="W46" s="5311"/>
      <c r="X46" s="5311"/>
      <c r="Y46" s="5311"/>
      <c r="Z46" s="5312"/>
      <c r="AA46" s="5312"/>
      <c r="AB46" s="5312"/>
      <c r="AC46" s="5312"/>
      <c r="AD46" s="5312"/>
      <c r="AE46" s="5312"/>
      <c r="AF46" s="5312"/>
      <c r="AG46" s="5312"/>
      <c r="AH46" s="5312"/>
      <c r="AI46" s="5258">
        <v>161</v>
      </c>
      <c r="AJ46" s="5257">
        <v>170</v>
      </c>
      <c r="AK46" s="5257">
        <v>164</v>
      </c>
      <c r="AL46" s="5257">
        <v>152</v>
      </c>
      <c r="AM46" s="5257">
        <v>180</v>
      </c>
      <c r="AN46" s="5257">
        <v>155</v>
      </c>
      <c r="AO46" s="5257">
        <v>197</v>
      </c>
      <c r="AP46" s="5257">
        <v>174</v>
      </c>
      <c r="AQ46" s="5257">
        <v>190</v>
      </c>
      <c r="AR46" s="5257">
        <v>164</v>
      </c>
      <c r="AS46" s="5257">
        <v>160</v>
      </c>
      <c r="AT46" s="3263">
        <v>145</v>
      </c>
      <c r="AU46" s="5257">
        <f t="shared" si="123"/>
        <v>2012</v>
      </c>
      <c r="AV46" s="5259">
        <f>AVERAGE(AI46:AT46)</f>
        <v>167.66666666666666</v>
      </c>
      <c r="AW46" s="5258">
        <v>162</v>
      </c>
      <c r="AX46" s="5257">
        <v>180</v>
      </c>
      <c r="AY46" s="5257">
        <v>200</v>
      </c>
      <c r="AZ46" s="5257">
        <v>194</v>
      </c>
      <c r="BA46" s="5257">
        <v>158</v>
      </c>
      <c r="BB46" s="5257">
        <v>168</v>
      </c>
      <c r="BC46" s="5257">
        <v>163</v>
      </c>
      <c r="BD46" s="3263">
        <v>148</v>
      </c>
      <c r="BE46" s="3263">
        <v>154</v>
      </c>
      <c r="BF46" s="5257">
        <v>148</v>
      </c>
      <c r="BG46" s="5257">
        <v>166</v>
      </c>
      <c r="BH46" s="3263">
        <v>177</v>
      </c>
      <c r="BI46" s="5257">
        <f>AW46</f>
        <v>162</v>
      </c>
      <c r="BJ46" s="5259">
        <f t="shared" si="26"/>
        <v>168.16666666666666</v>
      </c>
      <c r="BL46" s="5234">
        <f t="shared" si="110"/>
        <v>32</v>
      </c>
      <c r="BM46" s="5234">
        <f t="shared" si="16"/>
        <v>0.5</v>
      </c>
      <c r="BN46" s="5255">
        <f t="shared" ref="BN46:BN52" si="124">HLOOKUP($A$1,$AW$1:$BH$396,ROW(),0)-SUM(AI46:AJ46)</f>
        <v>-154</v>
      </c>
    </row>
    <row r="47" spans="1:66" ht="18" customHeight="1" x14ac:dyDescent="0.55000000000000004">
      <c r="A47" s="7132"/>
      <c r="B47" s="7133"/>
      <c r="C47" s="5295" t="s">
        <v>59</v>
      </c>
      <c r="D47" s="2682"/>
      <c r="E47" s="5311"/>
      <c r="F47" s="5311"/>
      <c r="G47" s="5311"/>
      <c r="H47" s="5311"/>
      <c r="I47" s="5311"/>
      <c r="J47" s="5311"/>
      <c r="K47" s="5311"/>
      <c r="L47" s="5311"/>
      <c r="M47" s="5311"/>
      <c r="N47" s="5311"/>
      <c r="O47" s="5311"/>
      <c r="P47" s="5311"/>
      <c r="Q47" s="5311"/>
      <c r="R47" s="5311"/>
      <c r="S47" s="5311"/>
      <c r="T47" s="5311"/>
      <c r="U47" s="5311"/>
      <c r="V47" s="5311"/>
      <c r="W47" s="5311"/>
      <c r="X47" s="5311"/>
      <c r="Y47" s="5311"/>
      <c r="Z47" s="5312"/>
      <c r="AA47" s="5312"/>
      <c r="AB47" s="5312"/>
      <c r="AC47" s="5312"/>
      <c r="AD47" s="5312"/>
      <c r="AE47" s="5312"/>
      <c r="AF47" s="5312"/>
      <c r="AG47" s="5312"/>
      <c r="AH47" s="5312"/>
      <c r="AI47" s="5258">
        <v>20</v>
      </c>
      <c r="AJ47" s="5257">
        <v>13</v>
      </c>
      <c r="AK47" s="5257">
        <v>21</v>
      </c>
      <c r="AL47" s="5257">
        <v>19</v>
      </c>
      <c r="AM47" s="5257">
        <v>20</v>
      </c>
      <c r="AN47" s="5257">
        <v>16</v>
      </c>
      <c r="AO47" s="5257">
        <v>21</v>
      </c>
      <c r="AP47" s="5257">
        <v>10</v>
      </c>
      <c r="AQ47" s="5257">
        <v>14</v>
      </c>
      <c r="AR47" s="5257">
        <v>16</v>
      </c>
      <c r="AS47" s="5257">
        <v>14</v>
      </c>
      <c r="AT47" s="3263">
        <v>7</v>
      </c>
      <c r="AU47" s="5257">
        <f t="shared" si="123"/>
        <v>191</v>
      </c>
      <c r="AV47" s="5259">
        <f t="shared" si="122"/>
        <v>15.916666666666666</v>
      </c>
      <c r="AW47" s="5258">
        <v>13</v>
      </c>
      <c r="AX47" s="5257">
        <v>12</v>
      </c>
      <c r="AY47" s="5257">
        <v>33</v>
      </c>
      <c r="AZ47" s="5257">
        <v>32</v>
      </c>
      <c r="BA47" s="5257">
        <v>28</v>
      </c>
      <c r="BB47" s="5257">
        <v>21</v>
      </c>
      <c r="BC47" s="5257">
        <v>27</v>
      </c>
      <c r="BD47" s="3263">
        <v>11</v>
      </c>
      <c r="BE47" s="3263">
        <v>23</v>
      </c>
      <c r="BF47" s="5257">
        <v>12</v>
      </c>
      <c r="BG47" s="5257">
        <v>10</v>
      </c>
      <c r="BH47" s="3263">
        <v>19</v>
      </c>
      <c r="BI47" s="5257">
        <f>AW47</f>
        <v>13</v>
      </c>
      <c r="BJ47" s="5259">
        <f t="shared" si="26"/>
        <v>20.083333333333332</v>
      </c>
      <c r="BL47" s="5234">
        <f t="shared" si="110"/>
        <v>12</v>
      </c>
      <c r="BM47" s="5234">
        <f t="shared" si="16"/>
        <v>4.1666666666666661</v>
      </c>
      <c r="BN47" s="5255">
        <f t="shared" si="124"/>
        <v>-14</v>
      </c>
    </row>
    <row r="48" spans="1:66" ht="18" customHeight="1" x14ac:dyDescent="0.55000000000000004">
      <c r="A48" s="7132"/>
      <c r="B48" s="7133"/>
      <c r="C48" s="5298" t="s">
        <v>86</v>
      </c>
      <c r="D48" s="5298"/>
      <c r="E48" s="5311"/>
      <c r="F48" s="5311"/>
      <c r="G48" s="5311"/>
      <c r="H48" s="5311"/>
      <c r="I48" s="5311"/>
      <c r="J48" s="5311"/>
      <c r="K48" s="5311"/>
      <c r="L48" s="5311"/>
      <c r="M48" s="5311"/>
      <c r="N48" s="5311"/>
      <c r="O48" s="5311"/>
      <c r="P48" s="5311"/>
      <c r="Q48" s="5311"/>
      <c r="R48" s="5311"/>
      <c r="S48" s="5311"/>
      <c r="T48" s="5311"/>
      <c r="U48" s="5311"/>
      <c r="V48" s="5311"/>
      <c r="W48" s="5311"/>
      <c r="X48" s="5311"/>
      <c r="Y48" s="5311"/>
      <c r="Z48" s="5312"/>
      <c r="AA48" s="5312"/>
      <c r="AB48" s="5312"/>
      <c r="AC48" s="5312"/>
      <c r="AD48" s="5312"/>
      <c r="AE48" s="5312"/>
      <c r="AF48" s="5312"/>
      <c r="AG48" s="5312"/>
      <c r="AH48" s="5312"/>
      <c r="AI48" s="5264">
        <f>AI45-AI46</f>
        <v>613</v>
      </c>
      <c r="AJ48" s="5263">
        <f>AJ45-AJ46</f>
        <v>454</v>
      </c>
      <c r="AK48" s="5263">
        <f t="shared" ref="AK48:AT48" si="125">AK45-AK46</f>
        <v>567</v>
      </c>
      <c r="AL48" s="5263">
        <f t="shared" si="125"/>
        <v>520</v>
      </c>
      <c r="AM48" s="5263">
        <f t="shared" si="125"/>
        <v>547</v>
      </c>
      <c r="AN48" s="5263">
        <f t="shared" si="125"/>
        <v>792.00000000000011</v>
      </c>
      <c r="AO48" s="5263">
        <f t="shared" si="125"/>
        <v>654</v>
      </c>
      <c r="AP48" s="5263">
        <f t="shared" si="125"/>
        <v>537</v>
      </c>
      <c r="AQ48" s="5263">
        <f t="shared" si="125"/>
        <v>703.00000000000011</v>
      </c>
      <c r="AR48" s="5263">
        <f t="shared" si="125"/>
        <v>643</v>
      </c>
      <c r="AS48" s="5263">
        <f t="shared" si="125"/>
        <v>422</v>
      </c>
      <c r="AT48" s="5263">
        <f t="shared" si="125"/>
        <v>408</v>
      </c>
      <c r="AU48" s="5263">
        <f t="shared" si="123"/>
        <v>6860</v>
      </c>
      <c r="AV48" s="5265">
        <f t="shared" si="122"/>
        <v>571.66666666666663</v>
      </c>
      <c r="AW48" s="5263">
        <f>AW45-AW46</f>
        <v>389</v>
      </c>
      <c r="AX48" s="5263">
        <f t="shared" ref="AX48:AY48" si="126">AX45-AX46</f>
        <v>349</v>
      </c>
      <c r="AY48" s="5263">
        <f t="shared" si="126"/>
        <v>572</v>
      </c>
      <c r="AZ48" s="5263">
        <f t="shared" ref="AZ48:BB48" si="127">AZ45-AZ46</f>
        <v>597</v>
      </c>
      <c r="BA48" s="5263">
        <f>BA45-BA46</f>
        <v>790.00000000000011</v>
      </c>
      <c r="BB48" s="5263">
        <f t="shared" si="127"/>
        <v>639</v>
      </c>
      <c r="BC48" s="5263">
        <v>906</v>
      </c>
      <c r="BD48" s="5263">
        <v>680</v>
      </c>
      <c r="BE48" s="5263">
        <v>733</v>
      </c>
      <c r="BF48" s="5263">
        <v>430</v>
      </c>
      <c r="BG48" s="5263">
        <v>321</v>
      </c>
      <c r="BH48" s="5263">
        <v>204</v>
      </c>
      <c r="BI48" s="5263">
        <f>SUM(AW48:BH48)</f>
        <v>6610</v>
      </c>
      <c r="BJ48" s="5265">
        <f t="shared" si="26"/>
        <v>550.83333333333337</v>
      </c>
      <c r="BL48" s="5234">
        <f t="shared" si="110"/>
        <v>-204</v>
      </c>
      <c r="BM48" s="5234">
        <f t="shared" si="16"/>
        <v>-20.833333333333258</v>
      </c>
      <c r="BN48" s="5255">
        <f t="shared" si="124"/>
        <v>-863</v>
      </c>
    </row>
    <row r="49" spans="1:67" ht="18" customHeight="1" x14ac:dyDescent="0.55000000000000004">
      <c r="A49" s="7132"/>
      <c r="B49" s="7133"/>
      <c r="C49" s="2682" t="s">
        <v>50</v>
      </c>
      <c r="D49" s="2682"/>
      <c r="E49" s="5311"/>
      <c r="F49" s="5311"/>
      <c r="G49" s="5311"/>
      <c r="H49" s="5311"/>
      <c r="I49" s="5311"/>
      <c r="J49" s="5311"/>
      <c r="K49" s="5311"/>
      <c r="L49" s="5311"/>
      <c r="M49" s="5311"/>
      <c r="N49" s="5311"/>
      <c r="O49" s="5311"/>
      <c r="P49" s="5311"/>
      <c r="Q49" s="5311"/>
      <c r="R49" s="5311"/>
      <c r="S49" s="5311"/>
      <c r="T49" s="5311"/>
      <c r="U49" s="5311"/>
      <c r="V49" s="5311"/>
      <c r="W49" s="5311"/>
      <c r="X49" s="5311"/>
      <c r="Y49" s="5311"/>
      <c r="Z49" s="5312"/>
      <c r="AA49" s="5312"/>
      <c r="AB49" s="5312"/>
      <c r="AC49" s="5312"/>
      <c r="AD49" s="5312"/>
      <c r="AE49" s="5312"/>
      <c r="AF49" s="5312"/>
      <c r="AG49" s="5312"/>
      <c r="AH49" s="5312"/>
      <c r="AI49" s="5258">
        <v>-40</v>
      </c>
      <c r="AJ49" s="5257">
        <f>AJ48-AJ50</f>
        <v>-79</v>
      </c>
      <c r="AK49" s="5257">
        <f t="shared" ref="AK49:AT49" si="128">AK48-AK50</f>
        <v>29</v>
      </c>
      <c r="AL49" s="5257">
        <f t="shared" si="128"/>
        <v>42</v>
      </c>
      <c r="AM49" s="5257">
        <f t="shared" si="128"/>
        <v>441</v>
      </c>
      <c r="AN49" s="5257">
        <f t="shared" si="128"/>
        <v>402.00000000000011</v>
      </c>
      <c r="AO49" s="5257">
        <f t="shared" si="128"/>
        <v>378</v>
      </c>
      <c r="AP49" s="5257">
        <f t="shared" si="128"/>
        <v>10</v>
      </c>
      <c r="AQ49" s="5257">
        <f t="shared" si="128"/>
        <v>389.00000000000011</v>
      </c>
      <c r="AR49" s="5257">
        <f t="shared" si="128"/>
        <v>42</v>
      </c>
      <c r="AS49" s="5257">
        <f t="shared" si="128"/>
        <v>400</v>
      </c>
      <c r="AT49" s="5257">
        <f t="shared" si="128"/>
        <v>1075</v>
      </c>
      <c r="AU49" s="5257">
        <f t="shared" si="123"/>
        <v>3089</v>
      </c>
      <c r="AV49" s="5259">
        <f t="shared" si="122"/>
        <v>257.41666666666669</v>
      </c>
      <c r="AW49" s="5258">
        <f>-(AW50-(AW45-AW46))</f>
        <v>429</v>
      </c>
      <c r="AX49" s="5257">
        <f t="shared" ref="AX49" si="129">-(AX50-(AX45-AX46))</f>
        <v>457</v>
      </c>
      <c r="AY49" s="5257">
        <f t="shared" ref="AY49" si="130">-(AY50-(AY45-AY46))</f>
        <v>443</v>
      </c>
      <c r="AZ49" s="5257">
        <f t="shared" ref="AZ49" si="131">-(AZ50-(AZ45-AZ46))</f>
        <v>461</v>
      </c>
      <c r="BA49" s="5257">
        <f t="shared" ref="BA49" si="132">-(BA50-(BA45-BA46))</f>
        <v>1093</v>
      </c>
      <c r="BB49" s="5257">
        <f>-(BD50-(BB45-BB46))</f>
        <v>603</v>
      </c>
      <c r="BC49" s="5257">
        <v>683</v>
      </c>
      <c r="BD49" s="5257">
        <v>644</v>
      </c>
      <c r="BE49" s="5257">
        <v>600</v>
      </c>
      <c r="BF49" s="5257">
        <v>548</v>
      </c>
      <c r="BG49" s="5257">
        <v>779</v>
      </c>
      <c r="BH49" s="5257">
        <v>682</v>
      </c>
      <c r="BI49" s="5257">
        <f>AW49</f>
        <v>429</v>
      </c>
      <c r="BJ49" s="5259">
        <f t="shared" si="26"/>
        <v>618.5</v>
      </c>
      <c r="BL49" s="5234">
        <f t="shared" si="110"/>
        <v>-393</v>
      </c>
      <c r="BM49" s="5234">
        <f t="shared" si="16"/>
        <v>361.08333333333331</v>
      </c>
      <c r="BN49" s="5255">
        <f t="shared" si="124"/>
        <v>801</v>
      </c>
    </row>
    <row r="50" spans="1:67" ht="18" customHeight="1" thickBot="1" x14ac:dyDescent="0.6">
      <c r="A50" s="7134"/>
      <c r="B50" s="7135"/>
      <c r="C50" s="5313" t="s">
        <v>51</v>
      </c>
      <c r="D50" s="5313"/>
      <c r="E50" s="5314"/>
      <c r="F50" s="5314"/>
      <c r="G50" s="5314"/>
      <c r="H50" s="5314"/>
      <c r="I50" s="5314"/>
      <c r="J50" s="5314"/>
      <c r="K50" s="5314"/>
      <c r="L50" s="5314"/>
      <c r="M50" s="5314"/>
      <c r="N50" s="5314"/>
      <c r="O50" s="5314"/>
      <c r="P50" s="5314"/>
      <c r="Q50" s="5314"/>
      <c r="R50" s="5314"/>
      <c r="S50" s="5314"/>
      <c r="T50" s="5314"/>
      <c r="U50" s="5314"/>
      <c r="V50" s="5314"/>
      <c r="W50" s="5314"/>
      <c r="X50" s="5314"/>
      <c r="Y50" s="5314"/>
      <c r="Z50" s="5315"/>
      <c r="AA50" s="5315"/>
      <c r="AB50" s="5315"/>
      <c r="AC50" s="5315"/>
      <c r="AD50" s="5315"/>
      <c r="AE50" s="5315"/>
      <c r="AF50" s="5315"/>
      <c r="AG50" s="5315"/>
      <c r="AH50" s="5315"/>
      <c r="AI50" s="5316">
        <f>AI45-AI46-AI49</f>
        <v>653</v>
      </c>
      <c r="AJ50" s="5282">
        <f t="shared" ref="AJ50:AS50" si="133">AJ44-AI44</f>
        <v>533</v>
      </c>
      <c r="AK50" s="5282">
        <f t="shared" si="133"/>
        <v>538</v>
      </c>
      <c r="AL50" s="5282">
        <f t="shared" si="133"/>
        <v>478</v>
      </c>
      <c r="AM50" s="5282">
        <f t="shared" si="133"/>
        <v>106</v>
      </c>
      <c r="AN50" s="5282">
        <f t="shared" si="133"/>
        <v>390</v>
      </c>
      <c r="AO50" s="5282">
        <f t="shared" si="133"/>
        <v>276</v>
      </c>
      <c r="AP50" s="5282">
        <f t="shared" si="133"/>
        <v>527</v>
      </c>
      <c r="AQ50" s="5282">
        <f t="shared" si="133"/>
        <v>314</v>
      </c>
      <c r="AR50" s="5282">
        <f t="shared" si="133"/>
        <v>601</v>
      </c>
      <c r="AS50" s="5282">
        <f t="shared" si="133"/>
        <v>22</v>
      </c>
      <c r="AT50" s="5280">
        <v>-667</v>
      </c>
      <c r="AU50" s="5270">
        <f t="shared" si="123"/>
        <v>3771</v>
      </c>
      <c r="AV50" s="5272">
        <f t="shared" si="122"/>
        <v>314.25</v>
      </c>
      <c r="AW50" s="5317">
        <f>AW44-AT44</f>
        <v>-40</v>
      </c>
      <c r="AX50" s="5318">
        <f t="shared" ref="AX50" si="134">AX44-AW44</f>
        <v>-108</v>
      </c>
      <c r="AY50" s="5318">
        <f t="shared" ref="AY50" si="135">AY44-AX44</f>
        <v>129</v>
      </c>
      <c r="AZ50" s="5318">
        <f t="shared" ref="AZ50:BC50" si="136">AZ44-AY44</f>
        <v>136</v>
      </c>
      <c r="BA50" s="5318">
        <f t="shared" si="136"/>
        <v>-303</v>
      </c>
      <c r="BB50" s="5318">
        <f t="shared" si="136"/>
        <v>-38</v>
      </c>
      <c r="BC50" s="5318">
        <f t="shared" si="136"/>
        <v>223</v>
      </c>
      <c r="BD50" s="5318">
        <v>36</v>
      </c>
      <c r="BE50" s="5318">
        <v>133</v>
      </c>
      <c r="BF50" s="5318">
        <v>-118</v>
      </c>
      <c r="BG50" s="5318">
        <v>-458</v>
      </c>
      <c r="BH50" s="5318">
        <v>-478</v>
      </c>
      <c r="BI50" s="5318">
        <f>SUM(AW50:BH50)</f>
        <v>-886</v>
      </c>
      <c r="BJ50" s="5319">
        <f>AVERAGE(AW50:BH50)</f>
        <v>-73.833333333333329</v>
      </c>
      <c r="BL50" s="5234">
        <f t="shared" si="110"/>
        <v>189</v>
      </c>
      <c r="BM50" s="5234">
        <f t="shared" si="16"/>
        <v>-388.08333333333331</v>
      </c>
      <c r="BN50" s="5255">
        <f t="shared" si="124"/>
        <v>-1664</v>
      </c>
    </row>
    <row r="51" spans="1:67" ht="18" customHeight="1" x14ac:dyDescent="0.55000000000000004">
      <c r="A51" s="7132" t="s">
        <v>22</v>
      </c>
      <c r="B51" s="7133"/>
      <c r="C51" s="5306" t="s">
        <v>44</v>
      </c>
      <c r="D51" s="5307"/>
      <c r="E51" s="5307">
        <v>20</v>
      </c>
      <c r="F51" s="5320">
        <v>20</v>
      </c>
      <c r="G51" s="5321">
        <v>20</v>
      </c>
      <c r="H51" s="5321">
        <v>20</v>
      </c>
      <c r="I51" s="5321">
        <v>20</v>
      </c>
      <c r="J51" s="5321">
        <v>20</v>
      </c>
      <c r="K51" s="5321">
        <v>19</v>
      </c>
      <c r="L51" s="5321">
        <v>19</v>
      </c>
      <c r="M51" s="5321">
        <v>19</v>
      </c>
      <c r="N51" s="5321">
        <v>19</v>
      </c>
      <c r="O51" s="5321">
        <v>19</v>
      </c>
      <c r="P51" s="5321">
        <v>19</v>
      </c>
      <c r="Q51" s="5322">
        <v>19</v>
      </c>
      <c r="R51" s="5322">
        <v>19</v>
      </c>
      <c r="S51" s="5322">
        <f>AVERAGE(F51:Q51)</f>
        <v>19.416666666666668</v>
      </c>
      <c r="T51" s="5321">
        <v>19</v>
      </c>
      <c r="U51" s="5321">
        <v>19</v>
      </c>
      <c r="V51" s="5321">
        <v>18</v>
      </c>
      <c r="W51" s="5321">
        <v>17</v>
      </c>
      <c r="X51" s="5321">
        <v>19</v>
      </c>
      <c r="Y51" s="5321">
        <v>21</v>
      </c>
      <c r="Z51" s="5286">
        <v>25</v>
      </c>
      <c r="AA51" s="5286">
        <v>28</v>
      </c>
      <c r="AB51" s="5286">
        <v>29</v>
      </c>
      <c r="AC51" s="5286">
        <v>32</v>
      </c>
      <c r="AD51" s="5286">
        <v>39</v>
      </c>
      <c r="AE51" s="5286">
        <v>41</v>
      </c>
      <c r="AF51" s="5288">
        <v>41</v>
      </c>
      <c r="AG51" s="5288">
        <f>AVERAGE(T51:AE51)</f>
        <v>25.583333333333332</v>
      </c>
      <c r="AH51" s="5288"/>
      <c r="AI51" s="5292">
        <v>42</v>
      </c>
      <c r="AJ51" s="5288">
        <v>44</v>
      </c>
      <c r="AK51" s="5288">
        <v>46</v>
      </c>
      <c r="AL51" s="5288">
        <v>49</v>
      </c>
      <c r="AM51" s="5288">
        <v>50</v>
      </c>
      <c r="AN51" s="5288">
        <v>49</v>
      </c>
      <c r="AO51" s="5288">
        <v>50</v>
      </c>
      <c r="AP51" s="5288">
        <v>51</v>
      </c>
      <c r="AQ51" s="5288">
        <v>101</v>
      </c>
      <c r="AR51" s="5288">
        <v>105</v>
      </c>
      <c r="AS51" s="5288">
        <v>106</v>
      </c>
      <c r="AT51" s="5286">
        <v>105</v>
      </c>
      <c r="AU51" s="5290">
        <f>INDEX($AI51:$AT51, 1, MATCH(0, $AI51:$AT51, -1))</f>
        <v>105</v>
      </c>
      <c r="AV51" s="5291">
        <f t="shared" si="21"/>
        <v>66.5</v>
      </c>
      <c r="AW51" s="5292">
        <v>109</v>
      </c>
      <c r="AX51" s="5288">
        <v>115</v>
      </c>
      <c r="AY51" s="5288">
        <v>134</v>
      </c>
      <c r="AZ51" s="5288">
        <v>142</v>
      </c>
      <c r="BA51" s="5288">
        <v>173</v>
      </c>
      <c r="BB51" s="5288">
        <v>196</v>
      </c>
      <c r="BC51" s="5288">
        <v>271</v>
      </c>
      <c r="BD51" s="5288">
        <v>279</v>
      </c>
      <c r="BE51" s="5288">
        <v>284</v>
      </c>
      <c r="BF51" s="5288">
        <v>272</v>
      </c>
      <c r="BG51" s="5288">
        <v>277</v>
      </c>
      <c r="BH51" s="5288">
        <v>293</v>
      </c>
      <c r="BI51" s="5290">
        <f>AW51</f>
        <v>109</v>
      </c>
      <c r="BJ51" s="5291">
        <f t="shared" si="26"/>
        <v>212.08333333333334</v>
      </c>
      <c r="BL51" s="5234">
        <f t="shared" si="110"/>
        <v>188</v>
      </c>
      <c r="BM51" s="5234">
        <f t="shared" si="16"/>
        <v>145.58333333333334</v>
      </c>
      <c r="BN51" s="5255">
        <f t="shared" si="124"/>
        <v>207</v>
      </c>
    </row>
    <row r="52" spans="1:67" ht="18" customHeight="1" x14ac:dyDescent="0.55000000000000004">
      <c r="A52" s="7132"/>
      <c r="B52" s="7133"/>
      <c r="C52" s="5310" t="s">
        <v>47</v>
      </c>
      <c r="D52" s="2682"/>
      <c r="E52" s="2682"/>
      <c r="F52" s="5296"/>
      <c r="G52" s="5297"/>
      <c r="H52" s="5297"/>
      <c r="I52" s="5297"/>
      <c r="J52" s="5297"/>
      <c r="K52" s="5297"/>
      <c r="L52" s="5297"/>
      <c r="M52" s="5297"/>
      <c r="N52" s="5297"/>
      <c r="O52" s="5297"/>
      <c r="P52" s="5297"/>
      <c r="Q52" s="5297"/>
      <c r="R52" s="5297"/>
      <c r="S52" s="5297"/>
      <c r="T52" s="5296"/>
      <c r="U52" s="5297"/>
      <c r="V52" s="5297">
        <f>0</f>
        <v>0</v>
      </c>
      <c r="W52" s="5297">
        <f>0</f>
        <v>0</v>
      </c>
      <c r="X52" s="5297">
        <f>0</f>
        <v>0</v>
      </c>
      <c r="Y52" s="5297">
        <f>0</f>
        <v>0</v>
      </c>
      <c r="Z52" s="3263">
        <f>0</f>
        <v>0</v>
      </c>
      <c r="AA52" s="3263">
        <f>0</f>
        <v>0</v>
      </c>
      <c r="AB52" s="3263">
        <f>0</f>
        <v>0</v>
      </c>
      <c r="AC52" s="3263">
        <f>0</f>
        <v>0</v>
      </c>
      <c r="AD52" s="3263">
        <f>0</f>
        <v>0</v>
      </c>
      <c r="AE52" s="3263">
        <f>0</f>
        <v>0</v>
      </c>
      <c r="AF52" s="5257">
        <f>0</f>
        <v>0</v>
      </c>
      <c r="AG52" s="5257">
        <f>0</f>
        <v>0</v>
      </c>
      <c r="AH52" s="5257"/>
      <c r="AI52" s="5258">
        <v>1</v>
      </c>
      <c r="AJ52" s="5257">
        <v>2</v>
      </c>
      <c r="AK52" s="5257">
        <v>2</v>
      </c>
      <c r="AL52" s="5257">
        <v>3</v>
      </c>
      <c r="AM52" s="5257">
        <v>1</v>
      </c>
      <c r="AN52" s="5257">
        <v>6</v>
      </c>
      <c r="AO52" s="5257">
        <v>2</v>
      </c>
      <c r="AP52" s="5257">
        <v>2</v>
      </c>
      <c r="AQ52" s="5257">
        <v>50</v>
      </c>
      <c r="AR52" s="5257">
        <v>4</v>
      </c>
      <c r="AS52" s="5257">
        <v>2</v>
      </c>
      <c r="AT52" s="3263">
        <v>0</v>
      </c>
      <c r="AU52" s="5257">
        <f t="shared" ref="AU52:AU57" si="137">SUM(AI52:AT52)</f>
        <v>75</v>
      </c>
      <c r="AV52" s="5259">
        <f t="shared" si="21"/>
        <v>6.25</v>
      </c>
      <c r="AW52" s="5258">
        <v>7</v>
      </c>
      <c r="AX52" s="5257">
        <v>6</v>
      </c>
      <c r="AY52" s="5257">
        <v>19</v>
      </c>
      <c r="AZ52" s="5257">
        <v>12</v>
      </c>
      <c r="BA52" s="5257">
        <v>0</v>
      </c>
      <c r="BB52" s="5257">
        <v>0</v>
      </c>
      <c r="BC52" s="5257">
        <v>82</v>
      </c>
      <c r="BD52" s="5257">
        <v>13</v>
      </c>
      <c r="BE52" s="5257">
        <v>9</v>
      </c>
      <c r="BF52" s="5257">
        <v>6</v>
      </c>
      <c r="BG52" s="5257">
        <v>12</v>
      </c>
      <c r="BH52" s="3263">
        <v>0</v>
      </c>
      <c r="BI52" s="5257">
        <f t="shared" ref="BI52:BI57" si="138">SUM(AW52:BH52)</f>
        <v>166</v>
      </c>
      <c r="BJ52" s="5259">
        <f t="shared" si="26"/>
        <v>13.833333333333334</v>
      </c>
      <c r="BL52" s="5234">
        <f t="shared" si="110"/>
        <v>0</v>
      </c>
      <c r="BM52" s="5234">
        <f t="shared" si="16"/>
        <v>7.5833333333333339</v>
      </c>
      <c r="BN52" s="5255">
        <f t="shared" si="124"/>
        <v>-3</v>
      </c>
    </row>
    <row r="53" spans="1:67" ht="18" customHeight="1" x14ac:dyDescent="0.55000000000000004">
      <c r="A53" s="7132"/>
      <c r="B53" s="7133"/>
      <c r="C53" s="2682" t="s">
        <v>48</v>
      </c>
      <c r="D53" s="2682"/>
      <c r="E53" s="2682">
        <v>2</v>
      </c>
      <c r="F53" s="5296">
        <v>0</v>
      </c>
      <c r="G53" s="5297">
        <v>0</v>
      </c>
      <c r="H53" s="5297">
        <v>0</v>
      </c>
      <c r="I53" s="5297">
        <v>0</v>
      </c>
      <c r="J53" s="5297">
        <v>0</v>
      </c>
      <c r="K53" s="5297">
        <v>1</v>
      </c>
      <c r="L53" s="5297">
        <v>0</v>
      </c>
      <c r="M53" s="5297">
        <v>0</v>
      </c>
      <c r="N53" s="5297">
        <v>0</v>
      </c>
      <c r="O53" s="5297">
        <v>0</v>
      </c>
      <c r="P53" s="5297">
        <v>0</v>
      </c>
      <c r="Q53" s="5297">
        <v>0</v>
      </c>
      <c r="R53" s="5297">
        <f>SUM(F53:Q53)</f>
        <v>1</v>
      </c>
      <c r="S53" s="5297">
        <f>AVERAGE(F53:Q53)</f>
        <v>8.3333333333333329E-2</v>
      </c>
      <c r="T53" s="5296">
        <v>0</v>
      </c>
      <c r="U53" s="5297">
        <v>0</v>
      </c>
      <c r="V53" s="5297">
        <v>1</v>
      </c>
      <c r="W53" s="5297">
        <v>1</v>
      </c>
      <c r="X53" s="5297">
        <v>0</v>
      </c>
      <c r="Y53" s="5297">
        <v>0</v>
      </c>
      <c r="Z53" s="3263">
        <v>0</v>
      </c>
      <c r="AA53" s="3263">
        <v>0</v>
      </c>
      <c r="AB53" s="3263">
        <v>0</v>
      </c>
      <c r="AC53" s="3263">
        <v>1</v>
      </c>
      <c r="AD53" s="3263">
        <v>0</v>
      </c>
      <c r="AE53" s="3263">
        <v>0</v>
      </c>
      <c r="AF53" s="5257">
        <f>SUM(T53:AE53)</f>
        <v>3</v>
      </c>
      <c r="AG53" s="5257">
        <f>AVERAGE(T53:AE53)</f>
        <v>0.25</v>
      </c>
      <c r="AH53" s="5257"/>
      <c r="AI53" s="5258">
        <v>0</v>
      </c>
      <c r="AJ53" s="5257">
        <v>0</v>
      </c>
      <c r="AK53" s="5257">
        <v>1</v>
      </c>
      <c r="AL53" s="5257">
        <v>0</v>
      </c>
      <c r="AM53" s="5257">
        <v>0</v>
      </c>
      <c r="AN53" s="5257">
        <v>3</v>
      </c>
      <c r="AO53" s="5257">
        <v>0</v>
      </c>
      <c r="AP53" s="5257">
        <v>1</v>
      </c>
      <c r="AQ53" s="5257">
        <v>0</v>
      </c>
      <c r="AR53" s="5257">
        <v>0</v>
      </c>
      <c r="AS53" s="5257">
        <v>1</v>
      </c>
      <c r="AT53" s="3263">
        <v>1</v>
      </c>
      <c r="AU53" s="5257">
        <f t="shared" si="137"/>
        <v>7</v>
      </c>
      <c r="AV53" s="5259">
        <f t="shared" si="21"/>
        <v>0.58333333333333337</v>
      </c>
      <c r="AW53" s="5258">
        <v>3</v>
      </c>
      <c r="AX53" s="5257">
        <v>0</v>
      </c>
      <c r="AY53" s="5257">
        <v>0</v>
      </c>
      <c r="AZ53" s="5257">
        <v>1</v>
      </c>
      <c r="BA53" s="5257">
        <v>0</v>
      </c>
      <c r="BB53" s="5257">
        <v>1</v>
      </c>
      <c r="BC53" s="5257">
        <v>1</v>
      </c>
      <c r="BD53" s="5257">
        <v>0</v>
      </c>
      <c r="BE53" s="5257">
        <v>2</v>
      </c>
      <c r="BF53" s="5257">
        <v>2</v>
      </c>
      <c r="BG53" s="5257">
        <v>1</v>
      </c>
      <c r="BH53" s="5257">
        <v>0</v>
      </c>
      <c r="BI53" s="5257">
        <f t="shared" si="138"/>
        <v>11</v>
      </c>
      <c r="BJ53" s="5259">
        <f t="shared" si="26"/>
        <v>0.91666666666666663</v>
      </c>
      <c r="BL53" s="5234">
        <f t="shared" si="110"/>
        <v>-1</v>
      </c>
      <c r="BM53" s="5234">
        <f t="shared" si="16"/>
        <v>0.33333333333333326</v>
      </c>
      <c r="BN53" s="5235">
        <f>AX53-AJ53</f>
        <v>0</v>
      </c>
    </row>
    <row r="54" spans="1:67" ht="18" customHeight="1" x14ac:dyDescent="0.55000000000000004">
      <c r="A54" s="7132"/>
      <c r="B54" s="7144"/>
      <c r="C54" s="2525" t="s">
        <v>59</v>
      </c>
      <c r="E54" s="2441">
        <v>2</v>
      </c>
      <c r="F54" s="5256">
        <v>0</v>
      </c>
      <c r="G54" s="3263">
        <v>0</v>
      </c>
      <c r="H54" s="3263">
        <v>0</v>
      </c>
      <c r="I54" s="3263">
        <v>0</v>
      </c>
      <c r="J54" s="3263">
        <v>0</v>
      </c>
      <c r="K54" s="3263">
        <v>0</v>
      </c>
      <c r="L54" s="3263">
        <v>0</v>
      </c>
      <c r="M54" s="3263">
        <v>0</v>
      </c>
      <c r="N54" s="3263">
        <v>0</v>
      </c>
      <c r="O54" s="3263">
        <v>0</v>
      </c>
      <c r="P54" s="3263">
        <v>0</v>
      </c>
      <c r="Q54" s="3263">
        <v>0</v>
      </c>
      <c r="R54" s="3263">
        <f>SUM(F54:Q54)</f>
        <v>0</v>
      </c>
      <c r="S54" s="3263">
        <f>AVERAGE(F54:Q54)</f>
        <v>0</v>
      </c>
      <c r="T54" s="5256"/>
      <c r="U54" s="3263"/>
      <c r="V54" s="3263"/>
      <c r="W54" s="3263"/>
      <c r="X54" s="3263"/>
      <c r="Y54" s="3263"/>
      <c r="Z54" s="3263"/>
      <c r="AA54" s="3263"/>
      <c r="AB54" s="3263"/>
      <c r="AC54" s="3263"/>
      <c r="AD54" s="3263"/>
      <c r="AE54" s="3263">
        <v>0</v>
      </c>
      <c r="AF54" s="5277">
        <v>0</v>
      </c>
      <c r="AG54" s="5277">
        <f>AVERAGE(T54:AE54)</f>
        <v>0</v>
      </c>
      <c r="AH54" s="5257"/>
      <c r="AI54" s="5258">
        <v>0</v>
      </c>
      <c r="AJ54" s="5257">
        <v>0</v>
      </c>
      <c r="AK54" s="5257">
        <v>0</v>
      </c>
      <c r="AL54" s="5257">
        <v>0</v>
      </c>
      <c r="AM54" s="5257">
        <v>0</v>
      </c>
      <c r="AN54" s="5257">
        <v>0</v>
      </c>
      <c r="AO54" s="5257">
        <v>0</v>
      </c>
      <c r="AP54" s="5257">
        <v>1</v>
      </c>
      <c r="AQ54" s="5257">
        <v>0</v>
      </c>
      <c r="AR54" s="5257">
        <v>0</v>
      </c>
      <c r="AS54" s="5257">
        <v>0</v>
      </c>
      <c r="AT54" s="3263">
        <v>0</v>
      </c>
      <c r="AU54" s="5257">
        <f t="shared" si="137"/>
        <v>1</v>
      </c>
      <c r="AV54" s="5259">
        <f t="shared" si="21"/>
        <v>8.3333333333333329E-2</v>
      </c>
      <c r="AW54" s="5258">
        <v>0</v>
      </c>
      <c r="AX54" s="5257">
        <v>0</v>
      </c>
      <c r="AY54" s="5257">
        <v>0</v>
      </c>
      <c r="AZ54" s="5257">
        <v>0</v>
      </c>
      <c r="BA54" s="5257">
        <v>0</v>
      </c>
      <c r="BB54" s="5257">
        <v>0</v>
      </c>
      <c r="BC54" s="5257">
        <v>0</v>
      </c>
      <c r="BD54" s="5257">
        <v>1</v>
      </c>
      <c r="BE54" s="5257">
        <v>2</v>
      </c>
      <c r="BF54" s="5257">
        <v>0</v>
      </c>
      <c r="BG54" s="5257">
        <v>1</v>
      </c>
      <c r="BH54" s="5257">
        <v>2</v>
      </c>
      <c r="BI54" s="5257">
        <f t="shared" si="138"/>
        <v>6</v>
      </c>
      <c r="BJ54" s="5259">
        <f t="shared" si="26"/>
        <v>0.5</v>
      </c>
      <c r="BL54" s="5234">
        <f t="shared" si="110"/>
        <v>2</v>
      </c>
      <c r="BM54" s="5234"/>
      <c r="BN54" s="5235"/>
    </row>
    <row r="55" spans="1:67" ht="18" customHeight="1" x14ac:dyDescent="0.55000000000000004">
      <c r="A55" s="7132"/>
      <c r="B55" s="7133"/>
      <c r="C55" s="5298" t="s">
        <v>86</v>
      </c>
      <c r="D55" s="5298"/>
      <c r="E55" s="5298"/>
      <c r="F55" s="5299"/>
      <c r="G55" s="5300"/>
      <c r="H55" s="5300"/>
      <c r="I55" s="5300"/>
      <c r="J55" s="5300"/>
      <c r="K55" s="5300"/>
      <c r="L55" s="5300"/>
      <c r="M55" s="5300"/>
      <c r="N55" s="5300"/>
      <c r="O55" s="5300"/>
      <c r="P55" s="5300"/>
      <c r="Q55" s="5300"/>
      <c r="R55" s="5300"/>
      <c r="S55" s="5300"/>
      <c r="T55" s="5299">
        <f>T52-T53</f>
        <v>0</v>
      </c>
      <c r="U55" s="5300">
        <f t="shared" ref="U55:AG55" si="139">U52-U53</f>
        <v>0</v>
      </c>
      <c r="V55" s="5300">
        <f t="shared" si="139"/>
        <v>-1</v>
      </c>
      <c r="W55" s="5300">
        <f t="shared" si="139"/>
        <v>-1</v>
      </c>
      <c r="X55" s="5300">
        <f t="shared" si="139"/>
        <v>0</v>
      </c>
      <c r="Y55" s="5300">
        <f t="shared" si="139"/>
        <v>0</v>
      </c>
      <c r="Z55" s="5262">
        <f t="shared" si="139"/>
        <v>0</v>
      </c>
      <c r="AA55" s="5262">
        <f t="shared" si="139"/>
        <v>0</v>
      </c>
      <c r="AB55" s="5262">
        <f t="shared" si="139"/>
        <v>0</v>
      </c>
      <c r="AC55" s="5262">
        <f t="shared" si="139"/>
        <v>-1</v>
      </c>
      <c r="AD55" s="5262">
        <f t="shared" si="139"/>
        <v>0</v>
      </c>
      <c r="AE55" s="5262">
        <f t="shared" si="139"/>
        <v>0</v>
      </c>
      <c r="AF55" s="5263">
        <f t="shared" si="139"/>
        <v>-3</v>
      </c>
      <c r="AG55" s="5263">
        <f t="shared" si="139"/>
        <v>-0.25</v>
      </c>
      <c r="AH55" s="5263"/>
      <c r="AI55" s="5264">
        <f t="shared" ref="AI55:AS55" si="140">AI52-AI53</f>
        <v>1</v>
      </c>
      <c r="AJ55" s="5263">
        <f t="shared" si="140"/>
        <v>2</v>
      </c>
      <c r="AK55" s="5263">
        <f t="shared" si="140"/>
        <v>1</v>
      </c>
      <c r="AL55" s="5263">
        <f t="shared" si="140"/>
        <v>3</v>
      </c>
      <c r="AM55" s="5263">
        <f t="shared" si="140"/>
        <v>1</v>
      </c>
      <c r="AN55" s="5263">
        <f t="shared" si="140"/>
        <v>3</v>
      </c>
      <c r="AO55" s="5263">
        <f t="shared" si="140"/>
        <v>2</v>
      </c>
      <c r="AP55" s="5263">
        <f t="shared" si="140"/>
        <v>1</v>
      </c>
      <c r="AQ55" s="5263">
        <f t="shared" si="140"/>
        <v>50</v>
      </c>
      <c r="AR55" s="5263">
        <f t="shared" si="140"/>
        <v>4</v>
      </c>
      <c r="AS55" s="5263">
        <f t="shared" si="140"/>
        <v>1</v>
      </c>
      <c r="AT55" s="5262">
        <v>-1</v>
      </c>
      <c r="AU55" s="5263">
        <f t="shared" si="137"/>
        <v>68</v>
      </c>
      <c r="AV55" s="5265">
        <f t="shared" si="21"/>
        <v>5.666666666666667</v>
      </c>
      <c r="AW55" s="5264">
        <v>4</v>
      </c>
      <c r="AX55" s="5263">
        <f t="shared" ref="AX55:AY55" si="141">AX52-AX53</f>
        <v>6</v>
      </c>
      <c r="AY55" s="5263">
        <f t="shared" si="141"/>
        <v>19</v>
      </c>
      <c r="AZ55" s="5263">
        <f>AZ52-AZ53</f>
        <v>11</v>
      </c>
      <c r="BA55" s="5263">
        <f t="shared" ref="BA55:BB55" si="142">BA52-BA53</f>
        <v>0</v>
      </c>
      <c r="BB55" s="5263">
        <f t="shared" si="142"/>
        <v>-1</v>
      </c>
      <c r="BC55" s="5263">
        <v>81</v>
      </c>
      <c r="BD55" s="5263">
        <v>83</v>
      </c>
      <c r="BE55" s="5263">
        <v>82</v>
      </c>
      <c r="BF55" s="5263">
        <v>4</v>
      </c>
      <c r="BG55" s="5263">
        <v>11</v>
      </c>
      <c r="BH55" s="5263">
        <f t="shared" ref="BH55" si="143">BH52-BH53</f>
        <v>0</v>
      </c>
      <c r="BI55" s="5263">
        <f t="shared" si="138"/>
        <v>300</v>
      </c>
      <c r="BJ55" s="5265">
        <f t="shared" si="26"/>
        <v>25</v>
      </c>
      <c r="BL55" s="5234">
        <f t="shared" si="110"/>
        <v>1</v>
      </c>
      <c r="BM55" s="5234">
        <f t="shared" si="16"/>
        <v>19.333333333333332</v>
      </c>
      <c r="BN55" s="5255">
        <f t="shared" ref="BN55:BN62" si="144">HLOOKUP($A$1,$AW$1:$BH$396,ROW(),0)-SUM(AI55:AJ55)</f>
        <v>-3</v>
      </c>
    </row>
    <row r="56" spans="1:67" ht="18" customHeight="1" x14ac:dyDescent="0.55000000000000004">
      <c r="A56" s="7132"/>
      <c r="B56" s="7133"/>
      <c r="C56" s="2682" t="s">
        <v>50</v>
      </c>
      <c r="D56" s="2682"/>
      <c r="E56" s="2682"/>
      <c r="F56" s="5296"/>
      <c r="G56" s="5297"/>
      <c r="H56" s="5297"/>
      <c r="I56" s="5297"/>
      <c r="J56" s="5297"/>
      <c r="K56" s="5297"/>
      <c r="L56" s="5297"/>
      <c r="M56" s="5297"/>
      <c r="N56" s="5297"/>
      <c r="O56" s="5297"/>
      <c r="P56" s="5297"/>
      <c r="Q56" s="5297"/>
      <c r="R56" s="5297"/>
      <c r="S56" s="5297"/>
      <c r="T56" s="5296">
        <f t="shared" ref="T56:AG56" si="145">T55-T57</f>
        <v>0</v>
      </c>
      <c r="U56" s="5297">
        <f t="shared" si="145"/>
        <v>0</v>
      </c>
      <c r="V56" s="5297">
        <f t="shared" si="145"/>
        <v>0</v>
      </c>
      <c r="W56" s="5297">
        <f t="shared" si="145"/>
        <v>0</v>
      </c>
      <c r="X56" s="5297">
        <f t="shared" si="145"/>
        <v>-2</v>
      </c>
      <c r="Y56" s="5297">
        <f t="shared" si="145"/>
        <v>-2</v>
      </c>
      <c r="Z56" s="3263">
        <f t="shared" si="145"/>
        <v>-4</v>
      </c>
      <c r="AA56" s="3263">
        <f t="shared" si="145"/>
        <v>-3</v>
      </c>
      <c r="AB56" s="3263">
        <f t="shared" si="145"/>
        <v>-1</v>
      </c>
      <c r="AC56" s="3263">
        <f t="shared" si="145"/>
        <v>-4</v>
      </c>
      <c r="AD56" s="3263">
        <f t="shared" si="145"/>
        <v>-7</v>
      </c>
      <c r="AE56" s="3263">
        <f t="shared" si="145"/>
        <v>-2</v>
      </c>
      <c r="AF56" s="5257">
        <f t="shared" si="145"/>
        <v>-3</v>
      </c>
      <c r="AG56" s="5257">
        <f t="shared" si="145"/>
        <v>15.166666666666668</v>
      </c>
      <c r="AH56" s="5257"/>
      <c r="AI56" s="5258">
        <f t="shared" ref="AI56:AQ56" si="146">AI55-AI57</f>
        <v>0</v>
      </c>
      <c r="AJ56" s="5257">
        <f t="shared" si="146"/>
        <v>0</v>
      </c>
      <c r="AK56" s="5257">
        <f t="shared" si="146"/>
        <v>-1</v>
      </c>
      <c r="AL56" s="5257">
        <f t="shared" si="146"/>
        <v>0</v>
      </c>
      <c r="AM56" s="5257">
        <f t="shared" si="146"/>
        <v>0</v>
      </c>
      <c r="AN56" s="5257">
        <f t="shared" si="146"/>
        <v>4</v>
      </c>
      <c r="AO56" s="5257">
        <f t="shared" si="146"/>
        <v>1</v>
      </c>
      <c r="AP56" s="5257">
        <f t="shared" si="146"/>
        <v>0</v>
      </c>
      <c r="AQ56" s="5257">
        <f t="shared" si="146"/>
        <v>0</v>
      </c>
      <c r="AR56" s="5257">
        <f>AR55-AR57</f>
        <v>0</v>
      </c>
      <c r="AS56" s="5257">
        <f>AS55-AS57</f>
        <v>0</v>
      </c>
      <c r="AT56" s="3263">
        <v>0</v>
      </c>
      <c r="AU56" s="5257">
        <f t="shared" si="137"/>
        <v>4</v>
      </c>
      <c r="AV56" s="5259">
        <f t="shared" si="21"/>
        <v>0.33333333333333331</v>
      </c>
      <c r="AW56" s="5258">
        <f>-(AW57-(AW52-AW53))</f>
        <v>0</v>
      </c>
      <c r="AX56" s="5257">
        <f t="shared" ref="AX56" si="147">-(AX57-(AX52-AX53))</f>
        <v>0</v>
      </c>
      <c r="AY56" s="5257">
        <f t="shared" ref="AY56" si="148">-(AY57-(AY52-AY53))</f>
        <v>0</v>
      </c>
      <c r="AZ56" s="5257">
        <f t="shared" ref="AZ56" si="149">-(AZ57-(AZ52-AZ53))</f>
        <v>3</v>
      </c>
      <c r="BA56" s="5257">
        <f t="shared" ref="BA56" si="150">-(BA57-(BA52-BA53))</f>
        <v>-31</v>
      </c>
      <c r="BB56" s="5257">
        <f t="shared" ref="BB56" si="151">-(BB57-(BB52-BB53))</f>
        <v>-24</v>
      </c>
      <c r="BC56" s="5257">
        <v>6</v>
      </c>
      <c r="BD56" s="5257">
        <v>75</v>
      </c>
      <c r="BE56" s="5257">
        <v>77</v>
      </c>
      <c r="BF56" s="5257">
        <v>16</v>
      </c>
      <c r="BG56" s="5257">
        <v>6</v>
      </c>
      <c r="BH56" s="5257">
        <f t="shared" ref="BH56" si="152">-(BH57-(BH52-BH53))</f>
        <v>-16</v>
      </c>
      <c r="BI56" s="5257">
        <f t="shared" si="138"/>
        <v>112</v>
      </c>
      <c r="BJ56" s="5259">
        <f t="shared" si="26"/>
        <v>9.3333333333333339</v>
      </c>
      <c r="BL56" s="5234">
        <f t="shared" si="110"/>
        <v>-16</v>
      </c>
      <c r="BM56" s="5234">
        <f t="shared" si="16"/>
        <v>9</v>
      </c>
      <c r="BN56" s="5255">
        <f t="shared" si="144"/>
        <v>-16</v>
      </c>
    </row>
    <row r="57" spans="1:67" ht="18" customHeight="1" thickBot="1" x14ac:dyDescent="0.6">
      <c r="A57" s="7134"/>
      <c r="B57" s="7135"/>
      <c r="C57" s="5313" t="s">
        <v>51</v>
      </c>
      <c r="D57" s="5313"/>
      <c r="E57" s="5313"/>
      <c r="F57" s="5323"/>
      <c r="G57" s="5324"/>
      <c r="H57" s="5324"/>
      <c r="I57" s="5324"/>
      <c r="J57" s="5324"/>
      <c r="K57" s="5324"/>
      <c r="L57" s="5324"/>
      <c r="M57" s="5324"/>
      <c r="N57" s="5324"/>
      <c r="O57" s="5324"/>
      <c r="P57" s="5324"/>
      <c r="Q57" s="5324"/>
      <c r="R57" s="5324"/>
      <c r="S57" s="5324"/>
      <c r="T57" s="5323">
        <f>T51-Q51</f>
        <v>0</v>
      </c>
      <c r="U57" s="5324">
        <f t="shared" ref="U57:AG57" si="153">U51-T51</f>
        <v>0</v>
      </c>
      <c r="V57" s="5324">
        <f t="shared" si="153"/>
        <v>-1</v>
      </c>
      <c r="W57" s="5324">
        <f t="shared" si="153"/>
        <v>-1</v>
      </c>
      <c r="X57" s="5324">
        <f t="shared" si="153"/>
        <v>2</v>
      </c>
      <c r="Y57" s="5324">
        <f t="shared" si="153"/>
        <v>2</v>
      </c>
      <c r="Z57" s="5273">
        <f t="shared" si="153"/>
        <v>4</v>
      </c>
      <c r="AA57" s="5273">
        <f t="shared" si="153"/>
        <v>3</v>
      </c>
      <c r="AB57" s="5273">
        <f t="shared" si="153"/>
        <v>1</v>
      </c>
      <c r="AC57" s="5273">
        <f t="shared" si="153"/>
        <v>3</v>
      </c>
      <c r="AD57" s="5273">
        <f t="shared" si="153"/>
        <v>7</v>
      </c>
      <c r="AE57" s="5273">
        <f t="shared" si="153"/>
        <v>2</v>
      </c>
      <c r="AF57" s="5318">
        <f t="shared" si="153"/>
        <v>0</v>
      </c>
      <c r="AG57" s="5318">
        <f t="shared" si="153"/>
        <v>-15.416666666666668</v>
      </c>
      <c r="AH57" s="5318"/>
      <c r="AI57" s="5317">
        <f>AI51-AF51</f>
        <v>1</v>
      </c>
      <c r="AJ57" s="5318">
        <f t="shared" ref="AJ57:AS57" si="154">AJ51-AI51</f>
        <v>2</v>
      </c>
      <c r="AK57" s="5318">
        <f t="shared" si="154"/>
        <v>2</v>
      </c>
      <c r="AL57" s="5318">
        <f t="shared" si="154"/>
        <v>3</v>
      </c>
      <c r="AM57" s="5318">
        <f t="shared" si="154"/>
        <v>1</v>
      </c>
      <c r="AN57" s="5318">
        <f t="shared" si="154"/>
        <v>-1</v>
      </c>
      <c r="AO57" s="5318">
        <f t="shared" si="154"/>
        <v>1</v>
      </c>
      <c r="AP57" s="5318">
        <f t="shared" si="154"/>
        <v>1</v>
      </c>
      <c r="AQ57" s="5318">
        <f t="shared" si="154"/>
        <v>50</v>
      </c>
      <c r="AR57" s="5318">
        <f t="shared" si="154"/>
        <v>4</v>
      </c>
      <c r="AS57" s="5318">
        <f t="shared" si="154"/>
        <v>1</v>
      </c>
      <c r="AT57" s="5273">
        <v>-1</v>
      </c>
      <c r="AU57" s="5318">
        <f t="shared" si="137"/>
        <v>64</v>
      </c>
      <c r="AV57" s="5319">
        <f t="shared" si="21"/>
        <v>5.333333333333333</v>
      </c>
      <c r="AW57" s="5317">
        <v>4</v>
      </c>
      <c r="AX57" s="5318">
        <f t="shared" ref="AX57:AY57" si="155">AX51-AW51</f>
        <v>6</v>
      </c>
      <c r="AY57" s="5318">
        <f t="shared" si="155"/>
        <v>19</v>
      </c>
      <c r="AZ57" s="5318">
        <f>AZ51-AY51</f>
        <v>8</v>
      </c>
      <c r="BA57" s="5318">
        <f t="shared" ref="BA57:BB57" si="156">BA51-AZ51</f>
        <v>31</v>
      </c>
      <c r="BB57" s="5318">
        <f t="shared" si="156"/>
        <v>23</v>
      </c>
      <c r="BC57" s="5318">
        <v>75</v>
      </c>
      <c r="BD57" s="5318">
        <v>8</v>
      </c>
      <c r="BE57" s="5318">
        <v>5</v>
      </c>
      <c r="BF57" s="5318">
        <v>-12</v>
      </c>
      <c r="BG57" s="5318">
        <v>5</v>
      </c>
      <c r="BH57" s="5318">
        <v>16</v>
      </c>
      <c r="BI57" s="5318">
        <f t="shared" si="138"/>
        <v>188</v>
      </c>
      <c r="BJ57" s="5319">
        <f t="shared" si="26"/>
        <v>15.666666666666666</v>
      </c>
      <c r="BL57" s="5234">
        <f t="shared" si="110"/>
        <v>17</v>
      </c>
      <c r="BM57" s="5234">
        <f t="shared" si="16"/>
        <v>10.333333333333332</v>
      </c>
      <c r="BN57" s="5255">
        <f t="shared" si="144"/>
        <v>13</v>
      </c>
    </row>
    <row r="58" spans="1:67" ht="18" customHeight="1" x14ac:dyDescent="0.55000000000000004">
      <c r="A58" s="7194" t="s">
        <v>88</v>
      </c>
      <c r="B58" s="7195"/>
      <c r="C58" s="5325" t="s">
        <v>44</v>
      </c>
      <c r="D58" s="5326"/>
      <c r="E58" s="5326">
        <f t="shared" ref="E58:AG58" si="157">E65+E72+E79+E93</f>
        <v>180169</v>
      </c>
      <c r="F58" s="5326">
        <f t="shared" si="157"/>
        <v>178247</v>
      </c>
      <c r="G58" s="5326">
        <f t="shared" si="157"/>
        <v>178247</v>
      </c>
      <c r="H58" s="5326">
        <f t="shared" si="157"/>
        <v>176422</v>
      </c>
      <c r="I58" s="5326">
        <f t="shared" si="157"/>
        <v>176282</v>
      </c>
      <c r="J58" s="5326">
        <f t="shared" si="157"/>
        <v>175409</v>
      </c>
      <c r="K58" s="5326">
        <f t="shared" si="157"/>
        <v>174742</v>
      </c>
      <c r="L58" s="5326">
        <f t="shared" si="157"/>
        <v>173513</v>
      </c>
      <c r="M58" s="5326">
        <f t="shared" si="157"/>
        <v>173002</v>
      </c>
      <c r="N58" s="5326">
        <f t="shared" si="157"/>
        <v>171950</v>
      </c>
      <c r="O58" s="5326">
        <f t="shared" si="157"/>
        <v>172154</v>
      </c>
      <c r="P58" s="5326">
        <f t="shared" si="157"/>
        <v>171777</v>
      </c>
      <c r="Q58" s="5326">
        <f t="shared" si="157"/>
        <v>169994</v>
      </c>
      <c r="R58" s="5326">
        <f t="shared" si="157"/>
        <v>169994</v>
      </c>
      <c r="S58" s="5326">
        <f t="shared" si="157"/>
        <v>174311.58333333331</v>
      </c>
      <c r="T58" s="5327">
        <f t="shared" si="157"/>
        <v>168041</v>
      </c>
      <c r="U58" s="5327">
        <f t="shared" si="157"/>
        <v>167022</v>
      </c>
      <c r="V58" s="5327">
        <f t="shared" si="157"/>
        <v>165935</v>
      </c>
      <c r="W58" s="5327">
        <f t="shared" si="157"/>
        <v>165415</v>
      </c>
      <c r="X58" s="5327">
        <f t="shared" si="157"/>
        <v>164772</v>
      </c>
      <c r="Y58" s="5327">
        <f t="shared" si="157"/>
        <v>163649</v>
      </c>
      <c r="Z58" s="5251">
        <f t="shared" si="157"/>
        <v>161884</v>
      </c>
      <c r="AA58" s="5251">
        <f t="shared" si="157"/>
        <v>160816</v>
      </c>
      <c r="AB58" s="5251">
        <f t="shared" si="157"/>
        <v>159403</v>
      </c>
      <c r="AC58" s="5251">
        <f t="shared" si="157"/>
        <v>159281</v>
      </c>
      <c r="AD58" s="5251">
        <f t="shared" si="157"/>
        <v>158828</v>
      </c>
      <c r="AE58" s="5251">
        <f t="shared" si="157"/>
        <v>157751</v>
      </c>
      <c r="AF58" s="5252">
        <f t="shared" si="157"/>
        <v>157751</v>
      </c>
      <c r="AG58" s="5252">
        <f t="shared" si="157"/>
        <v>162733.08333333331</v>
      </c>
      <c r="AH58" s="5252"/>
      <c r="AI58" s="5253">
        <f t="shared" ref="AI58:AT58" si="158">AI65+AI72+AI79+AI93+AI86</f>
        <v>157674</v>
      </c>
      <c r="AJ58" s="5252">
        <f t="shared" si="158"/>
        <v>156582</v>
      </c>
      <c r="AK58" s="5252">
        <f t="shared" si="158"/>
        <v>155155</v>
      </c>
      <c r="AL58" s="5252">
        <f t="shared" si="158"/>
        <v>153835</v>
      </c>
      <c r="AM58" s="5252">
        <f t="shared" si="158"/>
        <v>152639</v>
      </c>
      <c r="AN58" s="5252">
        <f t="shared" si="158"/>
        <v>151362</v>
      </c>
      <c r="AO58" s="5252">
        <f t="shared" si="158"/>
        <v>150209</v>
      </c>
      <c r="AP58" s="5252">
        <f t="shared" si="158"/>
        <v>148657</v>
      </c>
      <c r="AQ58" s="5252">
        <f t="shared" si="158"/>
        <v>147520</v>
      </c>
      <c r="AR58" s="5252">
        <f t="shared" si="158"/>
        <v>145735</v>
      </c>
      <c r="AS58" s="5252">
        <f t="shared" si="158"/>
        <v>144011</v>
      </c>
      <c r="AT58" s="5251">
        <f t="shared" si="158"/>
        <v>141966</v>
      </c>
      <c r="AU58" s="5252">
        <f>INDEX($AI58:$AT58, 1, MATCH(0, $AI58:$AT58, -1))</f>
        <v>141966</v>
      </c>
      <c r="AV58" s="5254">
        <f t="shared" si="21"/>
        <v>150445.41666666666</v>
      </c>
      <c r="AW58" s="5328">
        <f t="shared" ref="AW58:AX64" si="159">AW65+AW72+AW79+AW93+AW86</f>
        <v>139631</v>
      </c>
      <c r="AX58" s="5252">
        <f t="shared" si="159"/>
        <v>138915</v>
      </c>
      <c r="AY58" s="5252">
        <v>136836</v>
      </c>
      <c r="AZ58" s="5252">
        <f t="shared" ref="AZ58:AZ64" si="160">AZ65+AZ72+AZ79+AZ93+AZ86</f>
        <v>135724</v>
      </c>
      <c r="BA58" s="5252">
        <f>BA65+BA72+BA79+BA86+BA93</f>
        <v>136114</v>
      </c>
      <c r="BB58" s="5252">
        <f>BB65+BB72+BB79+BB86+BB93</f>
        <v>134766</v>
      </c>
      <c r="BC58" s="5252">
        <v>134689</v>
      </c>
      <c r="BD58" s="5252">
        <v>134153</v>
      </c>
      <c r="BE58" s="5252">
        <v>133602</v>
      </c>
      <c r="BF58" s="5252">
        <v>131944</v>
      </c>
      <c r="BG58" s="5252">
        <v>129734</v>
      </c>
      <c r="BH58" s="5252">
        <f>BH65+BH72+BH79+BH86+BH93</f>
        <v>126881</v>
      </c>
      <c r="BI58" s="5252">
        <f>AW58</f>
        <v>139631</v>
      </c>
      <c r="BJ58" s="5254">
        <f t="shared" si="26"/>
        <v>134415.75</v>
      </c>
      <c r="BL58" s="5234">
        <f t="shared" si="110"/>
        <v>-15085</v>
      </c>
      <c r="BM58" s="5234">
        <f t="shared" si="16"/>
        <v>-16029.666666666657</v>
      </c>
      <c r="BN58" s="5255">
        <f t="shared" si="144"/>
        <v>-187375</v>
      </c>
      <c r="BO58" s="2488">
        <f>BH58-AT58</f>
        <v>-15085</v>
      </c>
    </row>
    <row r="59" spans="1:67" ht="18" customHeight="1" x14ac:dyDescent="0.55000000000000004">
      <c r="A59" s="7156"/>
      <c r="B59" s="7196"/>
      <c r="C59" s="2648" t="s">
        <v>47</v>
      </c>
      <c r="D59" s="2648"/>
      <c r="E59" s="2648"/>
      <c r="F59" s="5296"/>
      <c r="G59" s="5297"/>
      <c r="H59" s="5297"/>
      <c r="I59" s="5297"/>
      <c r="J59" s="5297"/>
      <c r="K59" s="5297"/>
      <c r="L59" s="5297"/>
      <c r="M59" s="5297"/>
      <c r="N59" s="5297"/>
      <c r="O59" s="5297"/>
      <c r="P59" s="5297"/>
      <c r="Q59" s="5297"/>
      <c r="R59" s="5297"/>
      <c r="S59" s="5297"/>
      <c r="T59" s="5296">
        <f t="shared" ref="T59:AG59" si="161">T66+T73+T80+T94</f>
        <v>3238</v>
      </c>
      <c r="U59" s="5297">
        <f t="shared" si="161"/>
        <v>3753</v>
      </c>
      <c r="V59" s="5297">
        <f t="shared" si="161"/>
        <v>3388</v>
      </c>
      <c r="W59" s="5297">
        <f t="shared" si="161"/>
        <v>3435</v>
      </c>
      <c r="X59" s="5297">
        <f t="shared" si="161"/>
        <v>3610</v>
      </c>
      <c r="Y59" s="5297">
        <f t="shared" si="161"/>
        <v>3349</v>
      </c>
      <c r="Z59" s="3263">
        <f t="shared" si="161"/>
        <v>2896</v>
      </c>
      <c r="AA59" s="3263">
        <f t="shared" si="161"/>
        <v>3956</v>
      </c>
      <c r="AB59" s="3263">
        <f t="shared" si="161"/>
        <v>2952</v>
      </c>
      <c r="AC59" s="3263">
        <f t="shared" si="161"/>
        <v>3508</v>
      </c>
      <c r="AD59" s="3263">
        <f t="shared" si="161"/>
        <v>3471</v>
      </c>
      <c r="AE59" s="3263">
        <f t="shared" si="161"/>
        <v>2405</v>
      </c>
      <c r="AF59" s="5257">
        <f t="shared" si="161"/>
        <v>39961</v>
      </c>
      <c r="AG59" s="5257">
        <f t="shared" si="161"/>
        <v>3330.0833333333335</v>
      </c>
      <c r="AH59" s="5257"/>
      <c r="AI59" s="5258">
        <f t="shared" ref="AI59:AT59" si="162">AI66+AI73+AI80+AI94+AI87</f>
        <v>3807</v>
      </c>
      <c r="AJ59" s="5257">
        <f t="shared" si="162"/>
        <v>3148</v>
      </c>
      <c r="AK59" s="5257">
        <f t="shared" si="162"/>
        <v>3730</v>
      </c>
      <c r="AL59" s="5257">
        <f t="shared" si="162"/>
        <v>3742</v>
      </c>
      <c r="AM59" s="5257">
        <f t="shared" si="162"/>
        <v>4228</v>
      </c>
      <c r="AN59" s="5257">
        <f t="shared" si="162"/>
        <v>3879</v>
      </c>
      <c r="AO59" s="5257">
        <f t="shared" si="162"/>
        <v>4460</v>
      </c>
      <c r="AP59" s="5257">
        <f t="shared" si="162"/>
        <v>4261</v>
      </c>
      <c r="AQ59" s="5257">
        <f t="shared" si="162"/>
        <v>4043</v>
      </c>
      <c r="AR59" s="5257">
        <f t="shared" si="162"/>
        <v>4355</v>
      </c>
      <c r="AS59" s="5257">
        <f t="shared" si="162"/>
        <v>4362</v>
      </c>
      <c r="AT59" s="3263">
        <f t="shared" si="162"/>
        <v>3856</v>
      </c>
      <c r="AU59" s="5257">
        <f t="shared" ref="AU59:AU82" si="163">SUM(AI59:AT59)</f>
        <v>47871</v>
      </c>
      <c r="AV59" s="5259">
        <f t="shared" si="21"/>
        <v>3989.25</v>
      </c>
      <c r="AW59" s="5258">
        <f t="shared" si="159"/>
        <v>3459</v>
      </c>
      <c r="AX59" s="5257">
        <f t="shared" si="159"/>
        <v>5357</v>
      </c>
      <c r="AY59" s="5257">
        <v>4534</v>
      </c>
      <c r="AZ59" s="5257">
        <f t="shared" si="160"/>
        <v>5003</v>
      </c>
      <c r="BA59" s="5257">
        <f t="shared" ref="BA59:BB63" si="164">BA66+BA73+BA80+BA94+BA87</f>
        <v>8818</v>
      </c>
      <c r="BB59" s="5257">
        <f t="shared" si="164"/>
        <v>5863</v>
      </c>
      <c r="BC59" s="5257">
        <v>6867</v>
      </c>
      <c r="BD59" s="5257">
        <v>5711</v>
      </c>
      <c r="BE59" s="5257">
        <v>5684</v>
      </c>
      <c r="BF59" s="5257">
        <v>3798</v>
      </c>
      <c r="BG59" s="5257">
        <v>3808</v>
      </c>
      <c r="BH59" s="5257">
        <f t="shared" ref="BH59" si="165">BH66+BH73+BH80+BH94+BH87</f>
        <v>3644</v>
      </c>
      <c r="BI59" s="5257">
        <f t="shared" ref="BI59:BI64" si="166">SUM(AW59:BH59)</f>
        <v>62546</v>
      </c>
      <c r="BJ59" s="5259">
        <f t="shared" si="26"/>
        <v>5212.166666666667</v>
      </c>
      <c r="BL59" s="5234">
        <f t="shared" si="110"/>
        <v>-212</v>
      </c>
      <c r="BM59" s="5234">
        <f t="shared" si="16"/>
        <v>1222.916666666667</v>
      </c>
      <c r="BN59" s="5255">
        <f t="shared" si="144"/>
        <v>-3311</v>
      </c>
    </row>
    <row r="60" spans="1:67" ht="18" customHeight="1" x14ac:dyDescent="0.55000000000000004">
      <c r="A60" s="7156"/>
      <c r="B60" s="7196"/>
      <c r="C60" s="2648" t="s">
        <v>48</v>
      </c>
      <c r="D60" s="2648"/>
      <c r="E60" s="2648">
        <f t="shared" ref="E60:Q60" si="167">E67+E74+E81+E95</f>
        <v>2055</v>
      </c>
      <c r="F60" s="5296">
        <f t="shared" si="167"/>
        <v>2019</v>
      </c>
      <c r="G60" s="5297">
        <f t="shared" si="167"/>
        <v>2019</v>
      </c>
      <c r="H60" s="5297">
        <f t="shared" si="167"/>
        <v>2433</v>
      </c>
      <c r="I60" s="5297">
        <f t="shared" si="167"/>
        <v>2112</v>
      </c>
      <c r="J60" s="5297">
        <f t="shared" si="167"/>
        <v>1991</v>
      </c>
      <c r="K60" s="5297">
        <f t="shared" si="167"/>
        <v>1736</v>
      </c>
      <c r="L60" s="5297">
        <f t="shared" si="167"/>
        <v>1646</v>
      </c>
      <c r="M60" s="5297">
        <f t="shared" si="167"/>
        <v>2089</v>
      </c>
      <c r="N60" s="5297">
        <f t="shared" si="167"/>
        <v>1921</v>
      </c>
      <c r="O60" s="5297">
        <f t="shared" si="167"/>
        <v>1732</v>
      </c>
      <c r="P60" s="5297">
        <f t="shared" si="167"/>
        <v>1884</v>
      </c>
      <c r="Q60" s="5297">
        <f t="shared" si="167"/>
        <v>1765</v>
      </c>
      <c r="R60" s="5297">
        <f>SUM(F60:Q60)</f>
        <v>23347</v>
      </c>
      <c r="S60" s="5297">
        <f>S67+S74+S81+S95</f>
        <v>1838.3333333333333</v>
      </c>
      <c r="T60" s="5296">
        <f t="shared" ref="T60:AG60" si="168">T67+T74+T81+T95</f>
        <v>1952</v>
      </c>
      <c r="U60" s="5297">
        <f t="shared" si="168"/>
        <v>1807</v>
      </c>
      <c r="V60" s="5297">
        <f t="shared" si="168"/>
        <v>1810</v>
      </c>
      <c r="W60" s="5297">
        <f t="shared" si="168"/>
        <v>1511</v>
      </c>
      <c r="X60" s="5297">
        <f t="shared" si="168"/>
        <v>1806</v>
      </c>
      <c r="Y60" s="5297">
        <f t="shared" si="168"/>
        <v>1853</v>
      </c>
      <c r="Z60" s="3263">
        <f t="shared" si="168"/>
        <v>1796</v>
      </c>
      <c r="AA60" s="3263">
        <f t="shared" si="168"/>
        <v>2088</v>
      </c>
      <c r="AB60" s="3263">
        <f t="shared" si="168"/>
        <v>1633</v>
      </c>
      <c r="AC60" s="3263">
        <f t="shared" si="168"/>
        <v>1711</v>
      </c>
      <c r="AD60" s="3263">
        <f t="shared" si="168"/>
        <v>1581</v>
      </c>
      <c r="AE60" s="3263">
        <f t="shared" si="168"/>
        <v>1316</v>
      </c>
      <c r="AF60" s="5257">
        <f t="shared" si="168"/>
        <v>20864</v>
      </c>
      <c r="AG60" s="5257">
        <f t="shared" si="168"/>
        <v>1738.6666666666667</v>
      </c>
      <c r="AH60" s="5257"/>
      <c r="AI60" s="5258">
        <f t="shared" ref="AI60:AT60" si="169">AI67+AI74+AI81+AI95+AI88</f>
        <v>1653</v>
      </c>
      <c r="AJ60" s="5257">
        <f t="shared" si="169"/>
        <v>1710</v>
      </c>
      <c r="AK60" s="5257">
        <f t="shared" si="169"/>
        <v>1699</v>
      </c>
      <c r="AL60" s="5257">
        <f t="shared" si="169"/>
        <v>1765</v>
      </c>
      <c r="AM60" s="5257">
        <f t="shared" si="169"/>
        <v>1776</v>
      </c>
      <c r="AN60" s="5257">
        <f t="shared" si="169"/>
        <v>1863</v>
      </c>
      <c r="AO60" s="5257">
        <f t="shared" si="169"/>
        <v>1864</v>
      </c>
      <c r="AP60" s="5257">
        <f t="shared" si="169"/>
        <v>1672</v>
      </c>
      <c r="AQ60" s="5257">
        <f t="shared" si="169"/>
        <v>1525</v>
      </c>
      <c r="AR60" s="5257">
        <f t="shared" si="169"/>
        <v>1668</v>
      </c>
      <c r="AS60" s="5257">
        <f t="shared" si="169"/>
        <v>1548</v>
      </c>
      <c r="AT60" s="3263">
        <f t="shared" si="169"/>
        <v>1432</v>
      </c>
      <c r="AU60" s="5257">
        <f t="shared" si="163"/>
        <v>20175</v>
      </c>
      <c r="AV60" s="5259">
        <f t="shared" si="21"/>
        <v>1681.25</v>
      </c>
      <c r="AW60" s="5258">
        <f t="shared" si="159"/>
        <v>1498</v>
      </c>
      <c r="AX60" s="5257">
        <f t="shared" si="159"/>
        <v>1949</v>
      </c>
      <c r="AY60" s="5257">
        <v>1994</v>
      </c>
      <c r="AZ60" s="5257">
        <f t="shared" si="160"/>
        <v>1963</v>
      </c>
      <c r="BA60" s="5257">
        <f t="shared" si="164"/>
        <v>1749</v>
      </c>
      <c r="BB60" s="5257">
        <f t="shared" si="164"/>
        <v>1804</v>
      </c>
      <c r="BC60" s="5257">
        <v>1656</v>
      </c>
      <c r="BD60" s="5257">
        <v>1473</v>
      </c>
      <c r="BE60" s="5257">
        <v>1700</v>
      </c>
      <c r="BF60" s="5257">
        <v>1728</v>
      </c>
      <c r="BG60" s="5257">
        <v>1715</v>
      </c>
      <c r="BH60" s="5257">
        <f t="shared" ref="BH60" si="170">BH67+BH74+BH81+BH95+BH88</f>
        <v>1565</v>
      </c>
      <c r="BI60" s="5257">
        <f t="shared" si="166"/>
        <v>20794</v>
      </c>
      <c r="BJ60" s="5259">
        <f t="shared" si="26"/>
        <v>1732.8333333333333</v>
      </c>
      <c r="BL60" s="5234">
        <f t="shared" si="110"/>
        <v>133</v>
      </c>
      <c r="BM60" s="5234">
        <f t="shared" si="16"/>
        <v>51.583333333333258</v>
      </c>
      <c r="BN60" s="5255">
        <f t="shared" si="144"/>
        <v>-1798</v>
      </c>
    </row>
    <row r="61" spans="1:67" ht="18" customHeight="1" x14ac:dyDescent="0.55000000000000004">
      <c r="A61" s="7156"/>
      <c r="B61" s="7196"/>
      <c r="C61" s="3759" t="s">
        <v>59</v>
      </c>
      <c r="D61" s="2648"/>
      <c r="E61" s="2648">
        <f t="shared" ref="E61:Q61" si="171">E68+E75+E82+E96</f>
        <v>237</v>
      </c>
      <c r="F61" s="5296">
        <f t="shared" si="171"/>
        <v>101</v>
      </c>
      <c r="G61" s="5297">
        <f t="shared" si="171"/>
        <v>101</v>
      </c>
      <c r="H61" s="5297">
        <f t="shared" si="171"/>
        <v>112</v>
      </c>
      <c r="I61" s="5297">
        <f t="shared" si="171"/>
        <v>52</v>
      </c>
      <c r="J61" s="5297">
        <f t="shared" si="171"/>
        <v>110</v>
      </c>
      <c r="K61" s="5297">
        <f t="shared" si="171"/>
        <v>89</v>
      </c>
      <c r="L61" s="5297">
        <f t="shared" si="171"/>
        <v>107</v>
      </c>
      <c r="M61" s="5297">
        <f t="shared" si="171"/>
        <v>100</v>
      </c>
      <c r="N61" s="5297">
        <f t="shared" si="171"/>
        <v>145</v>
      </c>
      <c r="O61" s="5297">
        <f t="shared" si="171"/>
        <v>89</v>
      </c>
      <c r="P61" s="5297">
        <f t="shared" si="171"/>
        <v>101</v>
      </c>
      <c r="Q61" s="5297">
        <f t="shared" si="171"/>
        <v>97</v>
      </c>
      <c r="R61" s="5297">
        <f>R68+R75+R82+R96</f>
        <v>1204</v>
      </c>
      <c r="S61" s="5297">
        <f>S68+S75+S82+S96</f>
        <v>96.583333333333329</v>
      </c>
      <c r="T61" s="5296">
        <f t="shared" ref="T61:AG61" si="172">T68+T75+T82+T96</f>
        <v>96</v>
      </c>
      <c r="U61" s="5297">
        <f t="shared" si="172"/>
        <v>90</v>
      </c>
      <c r="V61" s="5297">
        <f t="shared" si="172"/>
        <v>84</v>
      </c>
      <c r="W61" s="5297">
        <f t="shared" si="172"/>
        <v>120</v>
      </c>
      <c r="X61" s="5297">
        <f t="shared" si="172"/>
        <v>119</v>
      </c>
      <c r="Y61" s="5297">
        <f t="shared" si="172"/>
        <v>138</v>
      </c>
      <c r="Z61" s="3263">
        <f t="shared" si="172"/>
        <v>120</v>
      </c>
      <c r="AA61" s="3263">
        <f t="shared" si="172"/>
        <v>246</v>
      </c>
      <c r="AB61" s="3263">
        <f t="shared" si="172"/>
        <v>94</v>
      </c>
      <c r="AC61" s="3263">
        <f t="shared" si="172"/>
        <v>131</v>
      </c>
      <c r="AD61" s="3263">
        <f t="shared" si="172"/>
        <v>189</v>
      </c>
      <c r="AE61" s="3263">
        <f t="shared" si="172"/>
        <v>99</v>
      </c>
      <c r="AF61" s="5257">
        <f t="shared" si="172"/>
        <v>1526</v>
      </c>
      <c r="AG61" s="5257">
        <f t="shared" si="172"/>
        <v>127.16666666666666</v>
      </c>
      <c r="AH61" s="5257"/>
      <c r="AI61" s="5258">
        <f t="shared" ref="AI61:AT61" si="173">AI68+AI75+AI82+AI96+AI89</f>
        <v>123</v>
      </c>
      <c r="AJ61" s="5257">
        <f t="shared" si="173"/>
        <v>100</v>
      </c>
      <c r="AK61" s="5257">
        <f t="shared" si="173"/>
        <v>137</v>
      </c>
      <c r="AL61" s="5257">
        <f t="shared" si="173"/>
        <v>147</v>
      </c>
      <c r="AM61" s="5257">
        <f t="shared" si="173"/>
        <v>144</v>
      </c>
      <c r="AN61" s="5257">
        <f t="shared" si="173"/>
        <v>92</v>
      </c>
      <c r="AO61" s="5257">
        <f t="shared" si="173"/>
        <v>98</v>
      </c>
      <c r="AP61" s="5257">
        <f t="shared" si="173"/>
        <v>64</v>
      </c>
      <c r="AQ61" s="5257">
        <f t="shared" si="173"/>
        <v>76</v>
      </c>
      <c r="AR61" s="5257">
        <f t="shared" si="173"/>
        <v>69</v>
      </c>
      <c r="AS61" s="5257">
        <f t="shared" si="173"/>
        <v>73</v>
      </c>
      <c r="AT61" s="3263">
        <f t="shared" si="173"/>
        <v>74</v>
      </c>
      <c r="AU61" s="5257">
        <f t="shared" si="163"/>
        <v>1197</v>
      </c>
      <c r="AV61" s="5259">
        <f t="shared" si="21"/>
        <v>99.75</v>
      </c>
      <c r="AW61" s="5258">
        <f t="shared" si="159"/>
        <v>79</v>
      </c>
      <c r="AX61" s="5257">
        <f t="shared" si="159"/>
        <v>74</v>
      </c>
      <c r="AY61" s="5257">
        <v>141</v>
      </c>
      <c r="AZ61" s="5257">
        <f t="shared" si="160"/>
        <v>123</v>
      </c>
      <c r="BA61" s="5257">
        <f t="shared" si="164"/>
        <v>165</v>
      </c>
      <c r="BB61" s="5257">
        <f t="shared" si="164"/>
        <v>93</v>
      </c>
      <c r="BC61" s="5257">
        <v>80</v>
      </c>
      <c r="BD61" s="5257">
        <v>49</v>
      </c>
      <c r="BE61" s="5257">
        <v>57</v>
      </c>
      <c r="BF61" s="5257">
        <v>64</v>
      </c>
      <c r="BG61" s="5257">
        <v>42</v>
      </c>
      <c r="BH61" s="5257">
        <f t="shared" ref="BH61" si="174">BH68+BH75+BH82+BH96+BH89</f>
        <v>45</v>
      </c>
      <c r="BI61" s="5257">
        <f t="shared" si="166"/>
        <v>1012</v>
      </c>
      <c r="BJ61" s="5259">
        <f t="shared" si="26"/>
        <v>84.333333333333329</v>
      </c>
      <c r="BL61" s="5234">
        <f t="shared" si="110"/>
        <v>-29</v>
      </c>
      <c r="BM61" s="5234">
        <f t="shared" si="16"/>
        <v>-15.416666666666671</v>
      </c>
      <c r="BN61" s="5255">
        <f t="shared" si="144"/>
        <v>-178</v>
      </c>
    </row>
    <row r="62" spans="1:67" ht="18" customHeight="1" x14ac:dyDescent="0.55000000000000004">
      <c r="A62" s="7156"/>
      <c r="B62" s="7196"/>
      <c r="C62" s="3520" t="s">
        <v>86</v>
      </c>
      <c r="D62" s="3520"/>
      <c r="E62" s="3520"/>
      <c r="F62" s="5299"/>
      <c r="G62" s="5300"/>
      <c r="H62" s="5300"/>
      <c r="I62" s="5300"/>
      <c r="J62" s="5300"/>
      <c r="K62" s="5300"/>
      <c r="L62" s="5300"/>
      <c r="M62" s="5300"/>
      <c r="N62" s="5300"/>
      <c r="O62" s="5300"/>
      <c r="P62" s="5300"/>
      <c r="Q62" s="5300"/>
      <c r="R62" s="5300"/>
      <c r="S62" s="5300"/>
      <c r="T62" s="5299">
        <f t="shared" ref="T62:AG62" si="175">T69+T76+T83+T97</f>
        <v>1286</v>
      </c>
      <c r="U62" s="5300">
        <f t="shared" si="175"/>
        <v>1946</v>
      </c>
      <c r="V62" s="5300">
        <f t="shared" si="175"/>
        <v>1578</v>
      </c>
      <c r="W62" s="5300">
        <f t="shared" si="175"/>
        <v>1924</v>
      </c>
      <c r="X62" s="5300">
        <f t="shared" si="175"/>
        <v>1804</v>
      </c>
      <c r="Y62" s="5300">
        <f t="shared" si="175"/>
        <v>1496</v>
      </c>
      <c r="Z62" s="5262">
        <f t="shared" si="175"/>
        <v>1100</v>
      </c>
      <c r="AA62" s="5262">
        <f t="shared" si="175"/>
        <v>1868</v>
      </c>
      <c r="AB62" s="5262">
        <f t="shared" si="175"/>
        <v>1319</v>
      </c>
      <c r="AC62" s="5262">
        <f t="shared" si="175"/>
        <v>1797</v>
      </c>
      <c r="AD62" s="5262">
        <f t="shared" si="175"/>
        <v>1890</v>
      </c>
      <c r="AE62" s="5262">
        <f t="shared" si="175"/>
        <v>1089</v>
      </c>
      <c r="AF62" s="5263">
        <f t="shared" si="175"/>
        <v>19097</v>
      </c>
      <c r="AG62" s="5263">
        <f t="shared" si="175"/>
        <v>1591.4166666666667</v>
      </c>
      <c r="AH62" s="5263"/>
      <c r="AI62" s="5264">
        <f t="shared" ref="AI62:AT62" si="176">AI69+AI76+AI83+AI97+AI90</f>
        <v>2154</v>
      </c>
      <c r="AJ62" s="5263">
        <f t="shared" si="176"/>
        <v>1438</v>
      </c>
      <c r="AK62" s="5263">
        <f t="shared" si="176"/>
        <v>2031</v>
      </c>
      <c r="AL62" s="5263">
        <f t="shared" si="176"/>
        <v>1977</v>
      </c>
      <c r="AM62" s="5263">
        <f t="shared" si="176"/>
        <v>2452</v>
      </c>
      <c r="AN62" s="5263">
        <f t="shared" si="176"/>
        <v>2015.9999999999998</v>
      </c>
      <c r="AO62" s="5263">
        <f t="shared" si="176"/>
        <v>2596</v>
      </c>
      <c r="AP62" s="5263">
        <f t="shared" si="176"/>
        <v>2589</v>
      </c>
      <c r="AQ62" s="5263">
        <f t="shared" si="176"/>
        <v>2518</v>
      </c>
      <c r="AR62" s="5263">
        <f t="shared" si="176"/>
        <v>2687</v>
      </c>
      <c r="AS62" s="5263">
        <f t="shared" si="176"/>
        <v>2814</v>
      </c>
      <c r="AT62" s="5262">
        <f t="shared" si="176"/>
        <v>2268</v>
      </c>
      <c r="AU62" s="5263">
        <f t="shared" si="163"/>
        <v>27540</v>
      </c>
      <c r="AV62" s="5265">
        <f t="shared" si="21"/>
        <v>2295</v>
      </c>
      <c r="AW62" s="5264">
        <f t="shared" si="159"/>
        <v>1953</v>
      </c>
      <c r="AX62" s="5263">
        <f t="shared" si="159"/>
        <v>3102</v>
      </c>
      <c r="AY62" s="5263">
        <v>2540</v>
      </c>
      <c r="AZ62" s="5263">
        <f t="shared" si="160"/>
        <v>3040</v>
      </c>
      <c r="BA62" s="5263">
        <f t="shared" si="164"/>
        <v>7069</v>
      </c>
      <c r="BB62" s="5263">
        <f t="shared" si="164"/>
        <v>4059</v>
      </c>
      <c r="BC62" s="5263">
        <v>5211</v>
      </c>
      <c r="BD62" s="5263">
        <v>4238</v>
      </c>
      <c r="BE62" s="5263">
        <v>3984</v>
      </c>
      <c r="BF62" s="5263">
        <v>2070</v>
      </c>
      <c r="BG62" s="5263">
        <v>2093</v>
      </c>
      <c r="BH62" s="5263">
        <f t="shared" ref="BH62" si="177">BH69+BH76+BH83+BH97+BH90</f>
        <v>2079</v>
      </c>
      <c r="BI62" s="5263">
        <f t="shared" si="166"/>
        <v>41438</v>
      </c>
      <c r="BJ62" s="5265">
        <f t="shared" si="26"/>
        <v>3453.1666666666665</v>
      </c>
      <c r="BL62" s="5234">
        <f t="shared" si="110"/>
        <v>-189</v>
      </c>
      <c r="BM62" s="5234">
        <f t="shared" si="16"/>
        <v>1158.1666666666665</v>
      </c>
      <c r="BN62" s="5255">
        <f t="shared" si="144"/>
        <v>-1513</v>
      </c>
    </row>
    <row r="63" spans="1:67" ht="18" customHeight="1" x14ac:dyDescent="0.55000000000000004">
      <c r="A63" s="7156"/>
      <c r="B63" s="7196"/>
      <c r="C63" s="2648" t="s">
        <v>50</v>
      </c>
      <c r="D63" s="2648"/>
      <c r="E63" s="2648"/>
      <c r="F63" s="5296"/>
      <c r="G63" s="5297"/>
      <c r="H63" s="5297"/>
      <c r="I63" s="5297"/>
      <c r="J63" s="5297"/>
      <c r="K63" s="5297"/>
      <c r="L63" s="5297"/>
      <c r="M63" s="5297"/>
      <c r="N63" s="5297"/>
      <c r="O63" s="5297"/>
      <c r="P63" s="5297"/>
      <c r="Q63" s="5297"/>
      <c r="R63" s="5297"/>
      <c r="S63" s="5297"/>
      <c r="T63" s="5296">
        <f t="shared" ref="T63:AG63" si="178">T70+T77+T84+T98</f>
        <v>3239</v>
      </c>
      <c r="U63" s="5297">
        <f t="shared" si="178"/>
        <v>2965</v>
      </c>
      <c r="V63" s="5297">
        <f t="shared" si="178"/>
        <v>2665</v>
      </c>
      <c r="W63" s="5297">
        <f t="shared" si="178"/>
        <v>2444</v>
      </c>
      <c r="X63" s="5297">
        <f t="shared" si="178"/>
        <v>2447</v>
      </c>
      <c r="Y63" s="5297">
        <f t="shared" si="178"/>
        <v>2619</v>
      </c>
      <c r="Z63" s="3263">
        <f t="shared" si="178"/>
        <v>2865</v>
      </c>
      <c r="AA63" s="3263">
        <f t="shared" si="178"/>
        <v>2936</v>
      </c>
      <c r="AB63" s="3263">
        <f t="shared" si="178"/>
        <v>2732</v>
      </c>
      <c r="AC63" s="3263">
        <f t="shared" si="178"/>
        <v>1919</v>
      </c>
      <c r="AD63" s="3263">
        <f t="shared" si="178"/>
        <v>2343</v>
      </c>
      <c r="AE63" s="3263">
        <f t="shared" si="178"/>
        <v>2166</v>
      </c>
      <c r="AF63" s="5257">
        <f t="shared" si="178"/>
        <v>19098</v>
      </c>
      <c r="AG63" s="5257">
        <f t="shared" si="178"/>
        <v>-3390.4166666666661</v>
      </c>
      <c r="AH63" s="5257"/>
      <c r="AI63" s="5258">
        <f t="shared" ref="AI63:AT63" si="179">AI70+AI77+AI84+AI98+AI91</f>
        <v>2305</v>
      </c>
      <c r="AJ63" s="5257">
        <f t="shared" si="179"/>
        <v>2530</v>
      </c>
      <c r="AK63" s="5257">
        <f t="shared" si="179"/>
        <v>3458</v>
      </c>
      <c r="AL63" s="5257">
        <f t="shared" si="179"/>
        <v>3297</v>
      </c>
      <c r="AM63" s="5257">
        <f t="shared" si="179"/>
        <v>3648</v>
      </c>
      <c r="AN63" s="5257">
        <f t="shared" si="179"/>
        <v>3293</v>
      </c>
      <c r="AO63" s="5257">
        <f t="shared" si="179"/>
        <v>3749</v>
      </c>
      <c r="AP63" s="5257">
        <f t="shared" si="179"/>
        <v>4141</v>
      </c>
      <c r="AQ63" s="5257">
        <f t="shared" si="179"/>
        <v>3655</v>
      </c>
      <c r="AR63" s="5257">
        <f t="shared" si="179"/>
        <v>4472</v>
      </c>
      <c r="AS63" s="5257">
        <f t="shared" si="179"/>
        <v>4538</v>
      </c>
      <c r="AT63" s="3263">
        <f t="shared" si="179"/>
        <v>4750</v>
      </c>
      <c r="AU63" s="5257">
        <f t="shared" si="163"/>
        <v>43836</v>
      </c>
      <c r="AV63" s="5259">
        <f t="shared" si="21"/>
        <v>3653</v>
      </c>
      <c r="AW63" s="5258">
        <f t="shared" si="159"/>
        <v>4570</v>
      </c>
      <c r="AX63" s="5257">
        <f t="shared" si="159"/>
        <v>4265</v>
      </c>
      <c r="AY63" s="5257">
        <v>4619</v>
      </c>
      <c r="AZ63" s="5257">
        <f t="shared" si="160"/>
        <v>4152</v>
      </c>
      <c r="BA63" s="5257">
        <f t="shared" si="164"/>
        <v>6679</v>
      </c>
      <c r="BB63" s="5257">
        <f t="shared" si="164"/>
        <v>5407</v>
      </c>
      <c r="BC63" s="5257">
        <v>5288</v>
      </c>
      <c r="BD63" s="5257">
        <v>4774</v>
      </c>
      <c r="BE63" s="5257">
        <v>4535</v>
      </c>
      <c r="BF63" s="5257">
        <v>3728</v>
      </c>
      <c r="BG63" s="5257">
        <v>4303</v>
      </c>
      <c r="BH63" s="5257">
        <f t="shared" ref="BH63" si="180">BH70+BH77+BH84+BH98+BH91</f>
        <v>4932</v>
      </c>
      <c r="BI63" s="5257">
        <f t="shared" si="166"/>
        <v>57252</v>
      </c>
      <c r="BJ63" s="5259">
        <f t="shared" si="26"/>
        <v>4771</v>
      </c>
      <c r="BL63" s="5234">
        <f t="shared" si="110"/>
        <v>182</v>
      </c>
      <c r="BM63" s="5234">
        <f t="shared" si="16"/>
        <v>1118</v>
      </c>
      <c r="BN63" s="5235">
        <f>AX63-AJ63</f>
        <v>1735</v>
      </c>
    </row>
    <row r="64" spans="1:67" ht="18" customHeight="1" thickBot="1" x14ac:dyDescent="0.6">
      <c r="A64" s="7156"/>
      <c r="B64" s="7196"/>
      <c r="C64" s="5329" t="s">
        <v>51</v>
      </c>
      <c r="D64" s="5301"/>
      <c r="E64" s="5301"/>
      <c r="F64" s="5302"/>
      <c r="G64" s="5303"/>
      <c r="H64" s="5303"/>
      <c r="I64" s="5303"/>
      <c r="J64" s="5303"/>
      <c r="K64" s="5303"/>
      <c r="L64" s="5303"/>
      <c r="M64" s="5303"/>
      <c r="N64" s="5303"/>
      <c r="O64" s="5303"/>
      <c r="P64" s="5303"/>
      <c r="Q64" s="5303"/>
      <c r="R64" s="5303"/>
      <c r="S64" s="5303"/>
      <c r="T64" s="5330">
        <f t="shared" ref="T64:AG64" si="181">T71+T78+T85+T99</f>
        <v>-1953</v>
      </c>
      <c r="U64" s="5303">
        <f t="shared" si="181"/>
        <v>-1019</v>
      </c>
      <c r="V64" s="5303">
        <f t="shared" si="181"/>
        <v>-1087</v>
      </c>
      <c r="W64" s="5303">
        <f t="shared" si="181"/>
        <v>-520</v>
      </c>
      <c r="X64" s="5303">
        <f t="shared" si="181"/>
        <v>-643</v>
      </c>
      <c r="Y64" s="5303">
        <f t="shared" si="181"/>
        <v>-1123</v>
      </c>
      <c r="Z64" s="5280">
        <f t="shared" si="181"/>
        <v>-1765</v>
      </c>
      <c r="AA64" s="5280">
        <f t="shared" si="181"/>
        <v>-1068</v>
      </c>
      <c r="AB64" s="5280">
        <f t="shared" si="181"/>
        <v>-1413</v>
      </c>
      <c r="AC64" s="5280">
        <f t="shared" si="181"/>
        <v>-122</v>
      </c>
      <c r="AD64" s="5280">
        <f t="shared" si="181"/>
        <v>-453</v>
      </c>
      <c r="AE64" s="5280">
        <f t="shared" si="181"/>
        <v>-1077</v>
      </c>
      <c r="AF64" s="5282">
        <f t="shared" si="181"/>
        <v>-1</v>
      </c>
      <c r="AG64" s="5282">
        <f t="shared" si="181"/>
        <v>4981.833333333333</v>
      </c>
      <c r="AH64" s="5282"/>
      <c r="AI64" s="5317">
        <f t="shared" ref="AI64:AT64" si="182">AI71+AI78+AI85+AI99+AI92</f>
        <v>-77</v>
      </c>
      <c r="AJ64" s="5282">
        <f t="shared" si="182"/>
        <v>-1092</v>
      </c>
      <c r="AK64" s="5282">
        <f t="shared" si="182"/>
        <v>-1427</v>
      </c>
      <c r="AL64" s="5282">
        <f t="shared" si="182"/>
        <v>-1320</v>
      </c>
      <c r="AM64" s="5282">
        <f t="shared" si="182"/>
        <v>-1196</v>
      </c>
      <c r="AN64" s="5282">
        <f t="shared" si="182"/>
        <v>-1277</v>
      </c>
      <c r="AO64" s="5282">
        <f t="shared" si="182"/>
        <v>-1153</v>
      </c>
      <c r="AP64" s="5282">
        <f t="shared" si="182"/>
        <v>-1552</v>
      </c>
      <c r="AQ64" s="5282">
        <f t="shared" si="182"/>
        <v>-1137</v>
      </c>
      <c r="AR64" s="5282">
        <f t="shared" si="182"/>
        <v>-1785</v>
      </c>
      <c r="AS64" s="5282">
        <f t="shared" si="182"/>
        <v>-1724</v>
      </c>
      <c r="AT64" s="5280">
        <f t="shared" si="182"/>
        <v>-2482</v>
      </c>
      <c r="AU64" s="5282">
        <f t="shared" si="163"/>
        <v>-16222</v>
      </c>
      <c r="AV64" s="5331">
        <f t="shared" si="21"/>
        <v>-1351.8333333333333</v>
      </c>
      <c r="AW64" s="5332">
        <f t="shared" si="159"/>
        <v>-2335</v>
      </c>
      <c r="AX64" s="5282">
        <f t="shared" si="159"/>
        <v>876</v>
      </c>
      <c r="AY64" s="5282">
        <v>-2079</v>
      </c>
      <c r="AZ64" s="5282">
        <f t="shared" si="160"/>
        <v>-1112</v>
      </c>
      <c r="BA64" s="5282">
        <f>BA58-AZ58</f>
        <v>390</v>
      </c>
      <c r="BB64" s="5282">
        <f>BB58-BA58</f>
        <v>-1348</v>
      </c>
      <c r="BC64" s="5282">
        <v>-77</v>
      </c>
      <c r="BD64" s="5282">
        <v>-536</v>
      </c>
      <c r="BE64" s="5282">
        <v>-551</v>
      </c>
      <c r="BF64" s="5282">
        <v>-1658</v>
      </c>
      <c r="BG64" s="5282">
        <v>-2210</v>
      </c>
      <c r="BH64" s="5282">
        <f>BH58-BG58</f>
        <v>-2853</v>
      </c>
      <c r="BI64" s="5282">
        <f t="shared" si="166"/>
        <v>-13493</v>
      </c>
      <c r="BJ64" s="5331">
        <f t="shared" si="26"/>
        <v>-1124.4166666666667</v>
      </c>
      <c r="BL64" s="5234">
        <f t="shared" si="110"/>
        <v>-371</v>
      </c>
      <c r="BM64" s="5234"/>
      <c r="BN64" s="5235"/>
      <c r="BO64" s="5234">
        <f>SUM(AW64:BH64)-SUM(AI64:AT64)</f>
        <v>2729</v>
      </c>
    </row>
    <row r="65" spans="1:66" ht="18" customHeight="1" x14ac:dyDescent="0.55000000000000004">
      <c r="A65" s="7132" t="s">
        <v>19</v>
      </c>
      <c r="B65" s="7133"/>
      <c r="C65" s="5333" t="s">
        <v>44</v>
      </c>
      <c r="D65" s="5334"/>
      <c r="E65" s="5334">
        <v>92574</v>
      </c>
      <c r="F65" s="5335">
        <v>92831</v>
      </c>
      <c r="G65" s="5336">
        <v>92831</v>
      </c>
      <c r="H65" s="5336">
        <v>92013</v>
      </c>
      <c r="I65" s="5336">
        <v>91799</v>
      </c>
      <c r="J65" s="5336">
        <v>91243</v>
      </c>
      <c r="K65" s="5336">
        <v>90931</v>
      </c>
      <c r="L65" s="5336">
        <v>90658</v>
      </c>
      <c r="M65" s="5336">
        <v>90327</v>
      </c>
      <c r="N65" s="5336">
        <v>89911</v>
      </c>
      <c r="O65" s="5336">
        <v>90672</v>
      </c>
      <c r="P65" s="5336">
        <v>90798</v>
      </c>
      <c r="Q65" s="5336">
        <v>90307</v>
      </c>
      <c r="R65" s="5336">
        <f>Q65</f>
        <v>90307</v>
      </c>
      <c r="S65" s="5336">
        <f>AVERAGE(F65:Q65)</f>
        <v>91193.416666666672</v>
      </c>
      <c r="T65" s="5336">
        <v>89426</v>
      </c>
      <c r="U65" s="5336">
        <v>89239</v>
      </c>
      <c r="V65" s="5336">
        <v>89244</v>
      </c>
      <c r="W65" s="5336">
        <v>89601</v>
      </c>
      <c r="X65" s="5336">
        <v>89574</v>
      </c>
      <c r="Y65" s="5336">
        <v>89067</v>
      </c>
      <c r="Z65" s="5337">
        <v>88203</v>
      </c>
      <c r="AA65" s="5337">
        <v>87893</v>
      </c>
      <c r="AB65" s="5337">
        <v>86998</v>
      </c>
      <c r="AC65" s="5337">
        <v>86490</v>
      </c>
      <c r="AD65" s="5337">
        <v>85909</v>
      </c>
      <c r="AE65" s="5337">
        <v>85406</v>
      </c>
      <c r="AF65" s="5338">
        <f>AE65</f>
        <v>85406</v>
      </c>
      <c r="AG65" s="5338">
        <f>AVERAGE(T65:AE65)</f>
        <v>88087.5</v>
      </c>
      <c r="AH65" s="5338"/>
      <c r="AI65" s="5339">
        <v>62591</v>
      </c>
      <c r="AJ65" s="5338">
        <v>61966</v>
      </c>
      <c r="AK65" s="5338">
        <v>61671</v>
      </c>
      <c r="AL65" s="5338">
        <v>61557</v>
      </c>
      <c r="AM65" s="5338">
        <v>61527</v>
      </c>
      <c r="AN65" s="5338">
        <v>61050</v>
      </c>
      <c r="AO65" s="5338">
        <v>60970</v>
      </c>
      <c r="AP65" s="5338">
        <v>60221</v>
      </c>
      <c r="AQ65" s="5338">
        <v>59976</v>
      </c>
      <c r="AR65" s="5338">
        <v>59511</v>
      </c>
      <c r="AS65" s="5338">
        <v>59731</v>
      </c>
      <c r="AT65" s="5337">
        <v>59573</v>
      </c>
      <c r="AU65" s="5252">
        <f>INDEX($AI65:$AT65, 1, MATCH(0, $AI65:$AT65, -1))</f>
        <v>59573</v>
      </c>
      <c r="AV65" s="5340">
        <f t="shared" si="21"/>
        <v>60862</v>
      </c>
      <c r="AW65" s="5341">
        <v>59095</v>
      </c>
      <c r="AX65" s="5338">
        <v>60108</v>
      </c>
      <c r="AY65" s="5338">
        <v>60331</v>
      </c>
      <c r="AZ65" s="5338">
        <v>61270</v>
      </c>
      <c r="BA65" s="5338">
        <v>64262</v>
      </c>
      <c r="BB65" s="5338">
        <v>64950</v>
      </c>
      <c r="BC65" s="5338">
        <v>66419</v>
      </c>
      <c r="BD65" s="5337">
        <v>66990</v>
      </c>
      <c r="BE65" s="5337">
        <v>67392</v>
      </c>
      <c r="BF65" s="5337">
        <v>66846</v>
      </c>
      <c r="BG65" s="5338">
        <v>66571</v>
      </c>
      <c r="BH65" s="5337">
        <v>66358</v>
      </c>
      <c r="BI65" s="5252">
        <f>AW65</f>
        <v>59095</v>
      </c>
      <c r="BJ65" s="5340">
        <f t="shared" si="26"/>
        <v>64216</v>
      </c>
      <c r="BL65" s="5234">
        <f t="shared" si="110"/>
        <v>6785</v>
      </c>
      <c r="BM65" s="5234">
        <f t="shared" si="16"/>
        <v>3354</v>
      </c>
      <c r="BN65" s="5255">
        <f t="shared" ref="BN65:BN80" si="183">HLOOKUP($A$1,$AW$1:$BH$396,ROW(),0)-SUM(AI65:AJ65)</f>
        <v>-58199</v>
      </c>
    </row>
    <row r="66" spans="1:66" ht="18" customHeight="1" x14ac:dyDescent="0.55000000000000004">
      <c r="A66" s="7132"/>
      <c r="B66" s="7133"/>
      <c r="C66" s="2682" t="s">
        <v>47</v>
      </c>
      <c r="D66" s="2682"/>
      <c r="E66" s="2682"/>
      <c r="F66" s="5296"/>
      <c r="G66" s="5297"/>
      <c r="H66" s="5297"/>
      <c r="I66" s="5297"/>
      <c r="J66" s="5297"/>
      <c r="K66" s="5297"/>
      <c r="L66" s="5297"/>
      <c r="M66" s="5297"/>
      <c r="N66" s="5297"/>
      <c r="O66" s="5297"/>
      <c r="P66" s="5297"/>
      <c r="Q66" s="5297"/>
      <c r="R66" s="5297"/>
      <c r="S66" s="5297"/>
      <c r="T66" s="5296">
        <v>1905</v>
      </c>
      <c r="U66" s="5297">
        <v>2192</v>
      </c>
      <c r="V66" s="5297">
        <v>1999</v>
      </c>
      <c r="W66" s="5297">
        <v>2177</v>
      </c>
      <c r="X66" s="5297">
        <v>1989</v>
      </c>
      <c r="Y66" s="5297">
        <v>1868</v>
      </c>
      <c r="Z66" s="3263">
        <v>1563</v>
      </c>
      <c r="AA66" s="3263">
        <v>2187</v>
      </c>
      <c r="AB66" s="3263">
        <v>1456</v>
      </c>
      <c r="AC66" s="3263">
        <v>1690</v>
      </c>
      <c r="AD66" s="3263">
        <v>1621</v>
      </c>
      <c r="AE66" s="3263">
        <v>1340</v>
      </c>
      <c r="AF66" s="5257">
        <f>SUM(T66:AE66)</f>
        <v>21987</v>
      </c>
      <c r="AG66" s="5257">
        <f>AVERAGE(T66:AE66)</f>
        <v>1832.25</v>
      </c>
      <c r="AH66" s="5257"/>
      <c r="AI66" s="5258">
        <v>1894</v>
      </c>
      <c r="AJ66" s="5257">
        <v>1476</v>
      </c>
      <c r="AK66" s="5257">
        <v>1752</v>
      </c>
      <c r="AL66" s="5257">
        <v>1902</v>
      </c>
      <c r="AM66" s="5257">
        <v>2023</v>
      </c>
      <c r="AN66" s="5257">
        <v>1707.9999999999998</v>
      </c>
      <c r="AO66" s="5257">
        <v>2191</v>
      </c>
      <c r="AP66" s="5257">
        <v>1676</v>
      </c>
      <c r="AQ66" s="5257">
        <v>1732</v>
      </c>
      <c r="AR66" s="5257">
        <v>1780</v>
      </c>
      <c r="AS66" s="5257">
        <v>1845</v>
      </c>
      <c r="AT66" s="3263">
        <v>1608</v>
      </c>
      <c r="AU66" s="5257">
        <f t="shared" si="163"/>
        <v>21587</v>
      </c>
      <c r="AV66" s="5259">
        <f t="shared" si="21"/>
        <v>1798.9166666666667</v>
      </c>
      <c r="AW66" s="5256">
        <v>1327</v>
      </c>
      <c r="AX66" s="5257">
        <v>2719</v>
      </c>
      <c r="AY66" s="5257">
        <v>2053</v>
      </c>
      <c r="AZ66" s="5257">
        <v>2414</v>
      </c>
      <c r="BA66" s="5257">
        <v>3928.9999999999995</v>
      </c>
      <c r="BB66" s="5257">
        <v>2208</v>
      </c>
      <c r="BC66" s="5257">
        <v>3049</v>
      </c>
      <c r="BD66" s="3263">
        <v>2187</v>
      </c>
      <c r="BE66" s="5293">
        <v>2132</v>
      </c>
      <c r="BF66" s="5257">
        <v>1533</v>
      </c>
      <c r="BG66" s="5257">
        <v>1579</v>
      </c>
      <c r="BH66" s="3263">
        <v>1483</v>
      </c>
      <c r="BI66" s="5257">
        <f t="shared" ref="BI66:BI71" si="184">SUM(AW66:BH66)</f>
        <v>26613</v>
      </c>
      <c r="BJ66" s="5259">
        <f t="shared" si="26"/>
        <v>2217.75</v>
      </c>
      <c r="BL66" s="5234">
        <f t="shared" si="110"/>
        <v>-125</v>
      </c>
      <c r="BM66" s="5234">
        <f t="shared" si="16"/>
        <v>418.83333333333326</v>
      </c>
      <c r="BN66" s="5255">
        <f t="shared" si="183"/>
        <v>-1887</v>
      </c>
    </row>
    <row r="67" spans="1:66" ht="18" customHeight="1" x14ac:dyDescent="0.55000000000000004">
      <c r="A67" s="7132"/>
      <c r="B67" s="7133"/>
      <c r="C67" s="2682" t="s">
        <v>48</v>
      </c>
      <c r="D67" s="2682"/>
      <c r="E67" s="2682">
        <v>990</v>
      </c>
      <c r="F67" s="5296">
        <v>1066</v>
      </c>
      <c r="G67" s="5297">
        <v>1066</v>
      </c>
      <c r="H67" s="5297">
        <v>1305</v>
      </c>
      <c r="I67" s="5297">
        <v>1074</v>
      </c>
      <c r="J67" s="5297">
        <v>1059</v>
      </c>
      <c r="K67" s="5297">
        <v>956</v>
      </c>
      <c r="L67" s="5297">
        <v>874</v>
      </c>
      <c r="M67" s="5297">
        <v>1270</v>
      </c>
      <c r="N67" s="5297">
        <v>1192</v>
      </c>
      <c r="O67" s="5297">
        <v>1053</v>
      </c>
      <c r="P67" s="5297">
        <v>1115</v>
      </c>
      <c r="Q67" s="5297">
        <v>1024</v>
      </c>
      <c r="R67" s="5297">
        <f>SUM(F67:Q67)</f>
        <v>13054</v>
      </c>
      <c r="S67" s="5297">
        <f>AVERAGE(F67:Q67)</f>
        <v>1087.8333333333333</v>
      </c>
      <c r="T67" s="5296">
        <v>1129</v>
      </c>
      <c r="U67" s="5297">
        <v>984</v>
      </c>
      <c r="V67" s="5297">
        <v>920</v>
      </c>
      <c r="W67" s="5297">
        <v>730</v>
      </c>
      <c r="X67" s="5297">
        <v>1005</v>
      </c>
      <c r="Y67" s="5297">
        <v>888</v>
      </c>
      <c r="Z67" s="3263">
        <v>793</v>
      </c>
      <c r="AA67" s="3263">
        <v>1007</v>
      </c>
      <c r="AB67" s="3263">
        <v>787</v>
      </c>
      <c r="AC67" s="3263">
        <v>880</v>
      </c>
      <c r="AD67" s="3263">
        <v>870</v>
      </c>
      <c r="AE67" s="3263">
        <v>676</v>
      </c>
      <c r="AF67" s="5257">
        <f>SUM(T67:AE67)</f>
        <v>10669</v>
      </c>
      <c r="AG67" s="5257">
        <f>AVERAGE(T67:AE67)</f>
        <v>889.08333333333337</v>
      </c>
      <c r="AH67" s="5257"/>
      <c r="AI67" s="5258">
        <v>687</v>
      </c>
      <c r="AJ67" s="5257">
        <v>669</v>
      </c>
      <c r="AK67" s="5257">
        <v>607</v>
      </c>
      <c r="AL67" s="5257">
        <v>693</v>
      </c>
      <c r="AM67" s="5257">
        <v>690</v>
      </c>
      <c r="AN67" s="5257">
        <v>648</v>
      </c>
      <c r="AO67" s="5257">
        <v>643</v>
      </c>
      <c r="AP67" s="5257">
        <v>612</v>
      </c>
      <c r="AQ67" s="5257">
        <v>556</v>
      </c>
      <c r="AR67" s="5257">
        <v>573</v>
      </c>
      <c r="AS67" s="5257">
        <v>554</v>
      </c>
      <c r="AT67" s="3263">
        <v>600</v>
      </c>
      <c r="AU67" s="5257">
        <f t="shared" si="163"/>
        <v>7532</v>
      </c>
      <c r="AV67" s="5259">
        <f t="shared" si="21"/>
        <v>627.66666666666663</v>
      </c>
      <c r="AW67" s="5257">
        <v>550</v>
      </c>
      <c r="AX67" s="5257">
        <v>756</v>
      </c>
      <c r="AY67" s="5257">
        <v>775</v>
      </c>
      <c r="AZ67" s="5257">
        <v>684</v>
      </c>
      <c r="BA67" s="5257">
        <v>627</v>
      </c>
      <c r="BB67" s="5257">
        <v>680</v>
      </c>
      <c r="BC67" s="5257">
        <v>658</v>
      </c>
      <c r="BD67" s="3263">
        <v>614</v>
      </c>
      <c r="BE67" s="3263">
        <v>680</v>
      </c>
      <c r="BF67" s="5257">
        <v>812</v>
      </c>
      <c r="BG67" s="5257">
        <v>730</v>
      </c>
      <c r="BH67" s="3263">
        <v>699</v>
      </c>
      <c r="BI67" s="5257">
        <f t="shared" si="184"/>
        <v>8265</v>
      </c>
      <c r="BJ67" s="5259">
        <f t="shared" si="26"/>
        <v>688.75</v>
      </c>
      <c r="BL67" s="5234">
        <f t="shared" si="110"/>
        <v>99</v>
      </c>
      <c r="BM67" s="5234">
        <f t="shared" si="16"/>
        <v>61.083333333333371</v>
      </c>
      <c r="BN67" s="5255">
        <f t="shared" si="183"/>
        <v>-657</v>
      </c>
    </row>
    <row r="68" spans="1:66" ht="18" customHeight="1" x14ac:dyDescent="0.55000000000000004">
      <c r="A68" s="7132"/>
      <c r="B68" s="7133"/>
      <c r="C68" s="5295" t="s">
        <v>59</v>
      </c>
      <c r="D68" s="2682"/>
      <c r="E68" s="2682">
        <v>113</v>
      </c>
      <c r="F68" s="5296">
        <v>41</v>
      </c>
      <c r="G68" s="5297">
        <v>41</v>
      </c>
      <c r="H68" s="5297">
        <v>43</v>
      </c>
      <c r="I68" s="5297">
        <v>25</v>
      </c>
      <c r="J68" s="5297">
        <v>40</v>
      </c>
      <c r="K68" s="5297">
        <v>27</v>
      </c>
      <c r="L68" s="5297">
        <v>42</v>
      </c>
      <c r="M68" s="5297">
        <v>31</v>
      </c>
      <c r="N68" s="5297">
        <v>95</v>
      </c>
      <c r="O68" s="5297">
        <v>39</v>
      </c>
      <c r="P68" s="5297">
        <v>39</v>
      </c>
      <c r="Q68" s="5297">
        <v>34</v>
      </c>
      <c r="R68" s="5297">
        <f>SUM(F68:Q68)</f>
        <v>497</v>
      </c>
      <c r="S68" s="5297">
        <f>AVERAGE(F68:Q68)</f>
        <v>41.416666666666664</v>
      </c>
      <c r="T68" s="5296">
        <v>38</v>
      </c>
      <c r="U68" s="5297">
        <v>40</v>
      </c>
      <c r="V68" s="5297">
        <v>34</v>
      </c>
      <c r="W68" s="5297">
        <v>57</v>
      </c>
      <c r="X68" s="5297">
        <v>69</v>
      </c>
      <c r="Y68" s="5297">
        <v>48</v>
      </c>
      <c r="Z68" s="3263">
        <v>37</v>
      </c>
      <c r="AA68" s="3263">
        <v>105</v>
      </c>
      <c r="AB68" s="3263">
        <v>34</v>
      </c>
      <c r="AC68" s="3263">
        <v>81</v>
      </c>
      <c r="AD68" s="3263">
        <v>143</v>
      </c>
      <c r="AE68" s="3263">
        <v>39</v>
      </c>
      <c r="AF68" s="5257">
        <f>SUM(T68:AE68)</f>
        <v>725</v>
      </c>
      <c r="AG68" s="5257">
        <f>AVERAGE(T68:AE68)</f>
        <v>60.416666666666664</v>
      </c>
      <c r="AH68" s="5257"/>
      <c r="AI68" s="5258">
        <v>43</v>
      </c>
      <c r="AJ68" s="5257">
        <v>36</v>
      </c>
      <c r="AK68" s="5257">
        <v>34</v>
      </c>
      <c r="AL68" s="5257">
        <v>50</v>
      </c>
      <c r="AM68" s="5257">
        <v>34</v>
      </c>
      <c r="AN68" s="5257">
        <v>27</v>
      </c>
      <c r="AO68" s="5257">
        <v>26</v>
      </c>
      <c r="AP68" s="5257">
        <v>17</v>
      </c>
      <c r="AQ68" s="5257">
        <v>27</v>
      </c>
      <c r="AR68" s="5257">
        <v>25</v>
      </c>
      <c r="AS68" s="5257">
        <v>24</v>
      </c>
      <c r="AT68" s="3263">
        <v>24</v>
      </c>
      <c r="AU68" s="5257">
        <f t="shared" si="163"/>
        <v>367</v>
      </c>
      <c r="AV68" s="5259">
        <f t="shared" si="21"/>
        <v>30.583333333333332</v>
      </c>
      <c r="AW68" s="5256">
        <v>18</v>
      </c>
      <c r="AX68" s="5257">
        <v>24</v>
      </c>
      <c r="AY68" s="5257">
        <v>14</v>
      </c>
      <c r="AZ68" s="5257">
        <v>19</v>
      </c>
      <c r="BA68" s="5257">
        <v>32</v>
      </c>
      <c r="BB68" s="5257">
        <v>27</v>
      </c>
      <c r="BC68" s="5257">
        <v>22</v>
      </c>
      <c r="BD68" s="3263">
        <v>22</v>
      </c>
      <c r="BE68" s="3263">
        <v>22</v>
      </c>
      <c r="BF68" s="5257">
        <v>31</v>
      </c>
      <c r="BG68" s="5257">
        <v>14</v>
      </c>
      <c r="BH68" s="3263">
        <v>19</v>
      </c>
      <c r="BI68" s="5257">
        <f t="shared" si="184"/>
        <v>264</v>
      </c>
      <c r="BJ68" s="5259">
        <f t="shared" si="26"/>
        <v>22</v>
      </c>
      <c r="BL68" s="5234">
        <f t="shared" si="110"/>
        <v>-5</v>
      </c>
      <c r="BM68" s="5234">
        <f t="shared" si="16"/>
        <v>-8.5833333333333321</v>
      </c>
      <c r="BN68" s="5255">
        <f t="shared" si="183"/>
        <v>-60</v>
      </c>
    </row>
    <row r="69" spans="1:66" ht="18" customHeight="1" x14ac:dyDescent="0.55000000000000004">
      <c r="A69" s="7132"/>
      <c r="B69" s="7133"/>
      <c r="C69" s="5298" t="s">
        <v>86</v>
      </c>
      <c r="D69" s="5298"/>
      <c r="E69" s="5298"/>
      <c r="F69" s="5299"/>
      <c r="G69" s="5300"/>
      <c r="H69" s="5300"/>
      <c r="I69" s="5300"/>
      <c r="J69" s="5300"/>
      <c r="K69" s="5300"/>
      <c r="L69" s="5300"/>
      <c r="M69" s="5300"/>
      <c r="N69" s="5300"/>
      <c r="O69" s="5300"/>
      <c r="P69" s="5300"/>
      <c r="Q69" s="5300"/>
      <c r="R69" s="5300"/>
      <c r="S69" s="5300"/>
      <c r="T69" s="5299">
        <f>T66-T67</f>
        <v>776</v>
      </c>
      <c r="U69" s="5300">
        <f t="shared" ref="U69:AG69" si="185">U66-U67</f>
        <v>1208</v>
      </c>
      <c r="V69" s="5300">
        <f t="shared" si="185"/>
        <v>1079</v>
      </c>
      <c r="W69" s="5300">
        <f t="shared" si="185"/>
        <v>1447</v>
      </c>
      <c r="X69" s="5300">
        <f t="shared" si="185"/>
        <v>984</v>
      </c>
      <c r="Y69" s="5300">
        <f t="shared" si="185"/>
        <v>980</v>
      </c>
      <c r="Z69" s="5262">
        <f t="shared" si="185"/>
        <v>770</v>
      </c>
      <c r="AA69" s="5262">
        <f t="shared" si="185"/>
        <v>1180</v>
      </c>
      <c r="AB69" s="5262">
        <f t="shared" si="185"/>
        <v>669</v>
      </c>
      <c r="AC69" s="5262">
        <f t="shared" si="185"/>
        <v>810</v>
      </c>
      <c r="AD69" s="5262">
        <f t="shared" si="185"/>
        <v>751</v>
      </c>
      <c r="AE69" s="5262">
        <f t="shared" si="185"/>
        <v>664</v>
      </c>
      <c r="AF69" s="5263">
        <f t="shared" si="185"/>
        <v>11318</v>
      </c>
      <c r="AG69" s="5263">
        <f t="shared" si="185"/>
        <v>943.16666666666663</v>
      </c>
      <c r="AH69" s="5263"/>
      <c r="AI69" s="5264">
        <f>AI66-AI67</f>
        <v>1207</v>
      </c>
      <c r="AJ69" s="5263">
        <f t="shared" ref="AJ69:AS69" si="186">AJ66-AJ67</f>
        <v>807</v>
      </c>
      <c r="AK69" s="5263">
        <f t="shared" si="186"/>
        <v>1145</v>
      </c>
      <c r="AL69" s="5263">
        <f t="shared" si="186"/>
        <v>1209</v>
      </c>
      <c r="AM69" s="5263">
        <f t="shared" si="186"/>
        <v>1333</v>
      </c>
      <c r="AN69" s="5263">
        <f t="shared" si="186"/>
        <v>1059.9999999999998</v>
      </c>
      <c r="AO69" s="5263">
        <f t="shared" si="186"/>
        <v>1548</v>
      </c>
      <c r="AP69" s="5263">
        <f t="shared" si="186"/>
        <v>1064</v>
      </c>
      <c r="AQ69" s="5263">
        <f t="shared" si="186"/>
        <v>1176</v>
      </c>
      <c r="AR69" s="5263">
        <f t="shared" si="186"/>
        <v>1207</v>
      </c>
      <c r="AS69" s="5263">
        <f t="shared" si="186"/>
        <v>1291</v>
      </c>
      <c r="AT69" s="5262">
        <v>1188</v>
      </c>
      <c r="AU69" s="5263">
        <f t="shared" si="163"/>
        <v>14235</v>
      </c>
      <c r="AV69" s="5265">
        <f t="shared" si="21"/>
        <v>1186.25</v>
      </c>
      <c r="AW69" s="5261">
        <f>AW66-AW67</f>
        <v>777</v>
      </c>
      <c r="AX69" s="5263">
        <f t="shared" ref="AX69:AY69" si="187">AX66-AX67</f>
        <v>1963</v>
      </c>
      <c r="AY69" s="5263">
        <f t="shared" si="187"/>
        <v>1278</v>
      </c>
      <c r="AZ69" s="5263">
        <f>AZ66-AZ67</f>
        <v>1730</v>
      </c>
      <c r="BA69" s="5263">
        <f t="shared" ref="BA69:BB69" si="188">BA66-BA67</f>
        <v>3301.9999999999995</v>
      </c>
      <c r="BB69" s="5263">
        <f t="shared" si="188"/>
        <v>1528</v>
      </c>
      <c r="BC69" s="5263">
        <v>2391</v>
      </c>
      <c r="BD69" s="5263">
        <v>1573</v>
      </c>
      <c r="BE69" s="5263">
        <v>1452</v>
      </c>
      <c r="BF69" s="5263">
        <v>721</v>
      </c>
      <c r="BG69" s="5263">
        <v>849</v>
      </c>
      <c r="BH69" s="5263">
        <v>784</v>
      </c>
      <c r="BI69" s="5263">
        <f t="shared" si="184"/>
        <v>18348</v>
      </c>
      <c r="BJ69" s="5265">
        <f t="shared" si="26"/>
        <v>1529</v>
      </c>
      <c r="BL69" s="5234">
        <f t="shared" si="110"/>
        <v>-404</v>
      </c>
      <c r="BM69" s="5234">
        <f t="shared" si="16"/>
        <v>342.75</v>
      </c>
      <c r="BN69" s="5255">
        <f t="shared" si="183"/>
        <v>-1230</v>
      </c>
    </row>
    <row r="70" spans="1:66" ht="18" customHeight="1" x14ac:dyDescent="0.55000000000000004">
      <c r="A70" s="7132"/>
      <c r="B70" s="7133"/>
      <c r="C70" s="2682" t="s">
        <v>50</v>
      </c>
      <c r="D70" s="2682"/>
      <c r="E70" s="2682"/>
      <c r="F70" s="5296"/>
      <c r="G70" s="5297"/>
      <c r="H70" s="5297"/>
      <c r="I70" s="5297"/>
      <c r="J70" s="5297"/>
      <c r="K70" s="5297"/>
      <c r="L70" s="5297"/>
      <c r="M70" s="5297"/>
      <c r="N70" s="5297"/>
      <c r="O70" s="5297"/>
      <c r="P70" s="5297"/>
      <c r="Q70" s="5297"/>
      <c r="R70" s="5297"/>
      <c r="S70" s="5297"/>
      <c r="T70" s="5296">
        <f t="shared" ref="T70:AG70" si="189">T69-T71</f>
        <v>1657</v>
      </c>
      <c r="U70" s="5297">
        <f t="shared" si="189"/>
        <v>1395</v>
      </c>
      <c r="V70" s="5297">
        <f t="shared" si="189"/>
        <v>1074</v>
      </c>
      <c r="W70" s="5297">
        <f t="shared" si="189"/>
        <v>1090</v>
      </c>
      <c r="X70" s="5297">
        <f t="shared" si="189"/>
        <v>1011</v>
      </c>
      <c r="Y70" s="5297">
        <f t="shared" si="189"/>
        <v>1487</v>
      </c>
      <c r="Z70" s="3263">
        <f t="shared" si="189"/>
        <v>1634</v>
      </c>
      <c r="AA70" s="3263">
        <f t="shared" si="189"/>
        <v>1490</v>
      </c>
      <c r="AB70" s="3263">
        <f t="shared" si="189"/>
        <v>1564</v>
      </c>
      <c r="AC70" s="3263">
        <f t="shared" si="189"/>
        <v>1318</v>
      </c>
      <c r="AD70" s="3263">
        <f t="shared" si="189"/>
        <v>1332</v>
      </c>
      <c r="AE70" s="3263">
        <f t="shared" si="189"/>
        <v>1167</v>
      </c>
      <c r="AF70" s="5257">
        <f t="shared" si="189"/>
        <v>11318</v>
      </c>
      <c r="AG70" s="5257">
        <f t="shared" si="189"/>
        <v>-1738.3333333333335</v>
      </c>
      <c r="AH70" s="5257"/>
      <c r="AI70" s="5258">
        <f>AI69-AI71</f>
        <v>1030</v>
      </c>
      <c r="AJ70" s="5257">
        <f t="shared" ref="AJ70:AS70" si="190">AJ69-AJ71</f>
        <v>1432</v>
      </c>
      <c r="AK70" s="5257">
        <f t="shared" si="190"/>
        <v>1440</v>
      </c>
      <c r="AL70" s="5257">
        <f t="shared" si="190"/>
        <v>1323</v>
      </c>
      <c r="AM70" s="5257">
        <f t="shared" si="190"/>
        <v>1363</v>
      </c>
      <c r="AN70" s="5257">
        <f t="shared" si="190"/>
        <v>1536.9999999999998</v>
      </c>
      <c r="AO70" s="5257">
        <f t="shared" si="190"/>
        <v>1628</v>
      </c>
      <c r="AP70" s="5257">
        <f t="shared" si="190"/>
        <v>1813</v>
      </c>
      <c r="AQ70" s="5257">
        <f t="shared" si="190"/>
        <v>1421</v>
      </c>
      <c r="AR70" s="5257">
        <f t="shared" si="190"/>
        <v>1672</v>
      </c>
      <c r="AS70" s="5257">
        <f t="shared" si="190"/>
        <v>1071</v>
      </c>
      <c r="AT70" s="3263">
        <v>1160</v>
      </c>
      <c r="AU70" s="5257">
        <f t="shared" si="163"/>
        <v>16890</v>
      </c>
      <c r="AV70" s="5259">
        <f t="shared" si="21"/>
        <v>1407.5</v>
      </c>
      <c r="AW70" s="5258">
        <f>-(AW71-(AW66-AW67))</f>
        <v>1255</v>
      </c>
      <c r="AX70" s="5257">
        <f t="shared" ref="AX70" si="191">-(AX71-(AX66-AX67))</f>
        <v>950</v>
      </c>
      <c r="AY70" s="5257">
        <f t="shared" ref="AY70" si="192">-(AY71-(AY66-AY67))</f>
        <v>1055</v>
      </c>
      <c r="AZ70" s="5257">
        <f t="shared" ref="AZ70" si="193">-(AZ71-(AZ66-AZ67))</f>
        <v>791</v>
      </c>
      <c r="BA70" s="5257">
        <f t="shared" ref="BA70" si="194">-(BA71-(BA66-BA67))</f>
        <v>309.99999999999955</v>
      </c>
      <c r="BB70" s="5257">
        <f t="shared" ref="BB70" si="195">-(BB71-(BB66-BB67))</f>
        <v>840</v>
      </c>
      <c r="BC70" s="5257">
        <v>922</v>
      </c>
      <c r="BD70" s="5257">
        <v>1002</v>
      </c>
      <c r="BE70" s="5257">
        <v>1050</v>
      </c>
      <c r="BF70" s="5257">
        <v>1267</v>
      </c>
      <c r="BG70" s="5257">
        <v>1124</v>
      </c>
      <c r="BH70" s="5257">
        <v>997</v>
      </c>
      <c r="BI70" s="5257">
        <f t="shared" si="184"/>
        <v>11563</v>
      </c>
      <c r="BJ70" s="5259">
        <f t="shared" si="26"/>
        <v>963.58333333333337</v>
      </c>
      <c r="BL70" s="5234">
        <f t="shared" si="110"/>
        <v>-163</v>
      </c>
      <c r="BM70" s="5234">
        <f t="shared" si="16"/>
        <v>-443.91666666666663</v>
      </c>
      <c r="BN70" s="5255">
        <f t="shared" si="183"/>
        <v>-1465</v>
      </c>
    </row>
    <row r="71" spans="1:66" ht="18" customHeight="1" thickBot="1" x14ac:dyDescent="0.6">
      <c r="A71" s="7132"/>
      <c r="B71" s="7133"/>
      <c r="C71" s="5329" t="s">
        <v>51</v>
      </c>
      <c r="D71" s="5301"/>
      <c r="E71" s="5301"/>
      <c r="F71" s="5302"/>
      <c r="G71" s="5303"/>
      <c r="H71" s="5303"/>
      <c r="I71" s="5303"/>
      <c r="J71" s="5303"/>
      <c r="K71" s="5303"/>
      <c r="L71" s="5303"/>
      <c r="M71" s="5303"/>
      <c r="N71" s="5303"/>
      <c r="O71" s="5303"/>
      <c r="P71" s="5303"/>
      <c r="Q71" s="5303"/>
      <c r="R71" s="5303"/>
      <c r="S71" s="5303"/>
      <c r="T71" s="5330">
        <f>T65-Q65</f>
        <v>-881</v>
      </c>
      <c r="U71" s="5303">
        <f t="shared" ref="U71:AG71" si="196">U65-T65</f>
        <v>-187</v>
      </c>
      <c r="V71" s="5303">
        <f t="shared" si="196"/>
        <v>5</v>
      </c>
      <c r="W71" s="5303">
        <f t="shared" si="196"/>
        <v>357</v>
      </c>
      <c r="X71" s="5303">
        <f t="shared" si="196"/>
        <v>-27</v>
      </c>
      <c r="Y71" s="5303">
        <f t="shared" si="196"/>
        <v>-507</v>
      </c>
      <c r="Z71" s="5280">
        <f t="shared" si="196"/>
        <v>-864</v>
      </c>
      <c r="AA71" s="5280">
        <f t="shared" si="196"/>
        <v>-310</v>
      </c>
      <c r="AB71" s="5280">
        <f t="shared" si="196"/>
        <v>-895</v>
      </c>
      <c r="AC71" s="5280">
        <f t="shared" si="196"/>
        <v>-508</v>
      </c>
      <c r="AD71" s="5280">
        <f t="shared" si="196"/>
        <v>-581</v>
      </c>
      <c r="AE71" s="5280">
        <f t="shared" si="196"/>
        <v>-503</v>
      </c>
      <c r="AF71" s="5282">
        <f t="shared" si="196"/>
        <v>0</v>
      </c>
      <c r="AG71" s="5282">
        <f t="shared" si="196"/>
        <v>2681.5</v>
      </c>
      <c r="AH71" s="5282"/>
      <c r="AI71" s="5342">
        <f>AI65+AI86-AF65</f>
        <v>177</v>
      </c>
      <c r="AJ71" s="5282">
        <f t="shared" ref="AJ71:AS71" si="197">AJ65-AI65</f>
        <v>-625</v>
      </c>
      <c r="AK71" s="5282">
        <f t="shared" si="197"/>
        <v>-295</v>
      </c>
      <c r="AL71" s="5282">
        <f t="shared" si="197"/>
        <v>-114</v>
      </c>
      <c r="AM71" s="5282">
        <f t="shared" si="197"/>
        <v>-30</v>
      </c>
      <c r="AN71" s="5282">
        <f t="shared" si="197"/>
        <v>-477</v>
      </c>
      <c r="AO71" s="5282">
        <f t="shared" si="197"/>
        <v>-80</v>
      </c>
      <c r="AP71" s="5282">
        <f t="shared" si="197"/>
        <v>-749</v>
      </c>
      <c r="AQ71" s="5282">
        <f t="shared" si="197"/>
        <v>-245</v>
      </c>
      <c r="AR71" s="5282">
        <f t="shared" si="197"/>
        <v>-465</v>
      </c>
      <c r="AS71" s="5282">
        <f t="shared" si="197"/>
        <v>220</v>
      </c>
      <c r="AT71" s="5280">
        <v>28</v>
      </c>
      <c r="AU71" s="5282">
        <f t="shared" si="163"/>
        <v>-2655</v>
      </c>
      <c r="AV71" s="5331">
        <f t="shared" si="21"/>
        <v>-221.25</v>
      </c>
      <c r="AW71" s="5282">
        <f>AW65-AT65</f>
        <v>-478</v>
      </c>
      <c r="AX71" s="5282">
        <f t="shared" ref="AX71:AY71" si="198">AX65-AW65</f>
        <v>1013</v>
      </c>
      <c r="AY71" s="5282">
        <f t="shared" si="198"/>
        <v>223</v>
      </c>
      <c r="AZ71" s="5282">
        <f>AZ65-AY65</f>
        <v>939</v>
      </c>
      <c r="BA71" s="5282">
        <f>BA65-AZ65</f>
        <v>2992</v>
      </c>
      <c r="BB71" s="5282">
        <f>BB65-BA65</f>
        <v>688</v>
      </c>
      <c r="BC71" s="5282">
        <v>1469</v>
      </c>
      <c r="BD71" s="5282">
        <v>571</v>
      </c>
      <c r="BE71" s="5282">
        <v>402</v>
      </c>
      <c r="BF71" s="5282">
        <v>-546</v>
      </c>
      <c r="BG71" s="5282">
        <v>-275</v>
      </c>
      <c r="BH71" s="5282">
        <v>-213</v>
      </c>
      <c r="BI71" s="5282">
        <f t="shared" si="184"/>
        <v>6785</v>
      </c>
      <c r="BJ71" s="5331">
        <f t="shared" si="26"/>
        <v>565.41666666666663</v>
      </c>
      <c r="BL71" s="5234">
        <f t="shared" si="110"/>
        <v>-241</v>
      </c>
      <c r="BM71" s="5234">
        <f t="shared" si="16"/>
        <v>786.66666666666663</v>
      </c>
      <c r="BN71" s="5255">
        <f t="shared" si="183"/>
        <v>235</v>
      </c>
    </row>
    <row r="72" spans="1:66" ht="18" customHeight="1" x14ac:dyDescent="0.55000000000000004">
      <c r="A72" s="7132" t="s">
        <v>20</v>
      </c>
      <c r="B72" s="7133"/>
      <c r="C72" s="5333" t="s">
        <v>44</v>
      </c>
      <c r="D72" s="5334"/>
      <c r="E72" s="5334">
        <v>75079</v>
      </c>
      <c r="F72" s="5335">
        <v>72658</v>
      </c>
      <c r="G72" s="5336">
        <v>72658</v>
      </c>
      <c r="H72" s="5336">
        <v>71652</v>
      </c>
      <c r="I72" s="5336">
        <v>71683</v>
      </c>
      <c r="J72" s="5336">
        <v>71309</v>
      </c>
      <c r="K72" s="5336">
        <v>70873</v>
      </c>
      <c r="L72" s="5336">
        <v>69874</v>
      </c>
      <c r="M72" s="5336">
        <v>69566</v>
      </c>
      <c r="N72" s="5336">
        <v>68795</v>
      </c>
      <c r="O72" s="5336">
        <v>68068</v>
      </c>
      <c r="P72" s="5336">
        <v>67475</v>
      </c>
      <c r="Q72" s="5336">
        <v>66290</v>
      </c>
      <c r="R72" s="5336">
        <f>Q72</f>
        <v>66290</v>
      </c>
      <c r="S72" s="5336">
        <f>AVERAGE(F72:Q72)</f>
        <v>70075.083333333328</v>
      </c>
      <c r="T72" s="5336">
        <v>65268</v>
      </c>
      <c r="U72" s="5336">
        <v>64536</v>
      </c>
      <c r="V72" s="5336">
        <v>63703</v>
      </c>
      <c r="W72" s="5336">
        <v>63002</v>
      </c>
      <c r="X72" s="5336">
        <v>62561</v>
      </c>
      <c r="Y72" s="5336">
        <v>61984</v>
      </c>
      <c r="Z72" s="5337">
        <v>61228</v>
      </c>
      <c r="AA72" s="5337">
        <v>60687</v>
      </c>
      <c r="AB72" s="5337">
        <v>60223</v>
      </c>
      <c r="AC72" s="5337">
        <v>60090</v>
      </c>
      <c r="AD72" s="5337">
        <v>60059</v>
      </c>
      <c r="AE72" s="5337">
        <v>59744</v>
      </c>
      <c r="AF72" s="5338">
        <f>AE72</f>
        <v>59744</v>
      </c>
      <c r="AG72" s="5338">
        <f>AVERAGE(T72:AE72)</f>
        <v>61923.75</v>
      </c>
      <c r="AH72" s="5338"/>
      <c r="AI72" s="5339">
        <v>59820</v>
      </c>
      <c r="AJ72" s="5338">
        <v>59535</v>
      </c>
      <c r="AK72" s="5338">
        <v>58463</v>
      </c>
      <c r="AL72" s="5338">
        <v>57373</v>
      </c>
      <c r="AM72" s="5338">
        <v>56130</v>
      </c>
      <c r="AN72" s="5338">
        <v>55058</v>
      </c>
      <c r="AO72" s="5338">
        <v>54011</v>
      </c>
      <c r="AP72" s="5338">
        <v>52517</v>
      </c>
      <c r="AQ72" s="5338">
        <v>51167</v>
      </c>
      <c r="AR72" s="5338">
        <v>49383</v>
      </c>
      <c r="AS72" s="5338">
        <v>47712</v>
      </c>
      <c r="AT72" s="5337">
        <v>46076</v>
      </c>
      <c r="AU72" s="5338">
        <f>INDEX($AI72:$AT72, 1, MATCH(0, $AI72:$AT72, -1))</f>
        <v>46076</v>
      </c>
      <c r="AV72" s="5340">
        <f t="shared" si="21"/>
        <v>53937.083333333336</v>
      </c>
      <c r="AW72" s="5341">
        <v>44595</v>
      </c>
      <c r="AX72" s="5338">
        <v>42983</v>
      </c>
      <c r="AY72" s="5338">
        <v>40875</v>
      </c>
      <c r="AZ72" s="5338">
        <v>38818</v>
      </c>
      <c r="BA72" s="5338">
        <v>36622</v>
      </c>
      <c r="BB72" s="5338">
        <v>34253</v>
      </c>
      <c r="BC72" s="5338">
        <v>31981</v>
      </c>
      <c r="BD72" s="5338">
        <v>29972</v>
      </c>
      <c r="BE72" s="5338">
        <v>28369</v>
      </c>
      <c r="BF72" s="5338">
        <v>26663</v>
      </c>
      <c r="BG72" s="5338">
        <v>25198</v>
      </c>
      <c r="BH72" s="5338">
        <v>23772</v>
      </c>
      <c r="BI72" s="5252">
        <f>AW72</f>
        <v>44595</v>
      </c>
      <c r="BJ72" s="5340">
        <f t="shared" si="26"/>
        <v>33675.083333333336</v>
      </c>
      <c r="BL72" s="5234">
        <f t="shared" si="110"/>
        <v>-22304</v>
      </c>
      <c r="BM72" s="5234">
        <f t="shared" si="16"/>
        <v>-20262</v>
      </c>
      <c r="BN72" s="5255">
        <f t="shared" si="183"/>
        <v>-95583</v>
      </c>
    </row>
    <row r="73" spans="1:66" ht="18" customHeight="1" x14ac:dyDescent="0.55000000000000004">
      <c r="A73" s="7132"/>
      <c r="B73" s="7133"/>
      <c r="C73" s="2682" t="s">
        <v>47</v>
      </c>
      <c r="D73" s="2682"/>
      <c r="E73" s="2682"/>
      <c r="F73" s="5296"/>
      <c r="G73" s="5297"/>
      <c r="H73" s="5297"/>
      <c r="I73" s="5297"/>
      <c r="J73" s="5297"/>
      <c r="K73" s="5297"/>
      <c r="L73" s="5297"/>
      <c r="M73" s="5297"/>
      <c r="N73" s="5297"/>
      <c r="O73" s="5297"/>
      <c r="P73" s="5297"/>
      <c r="Q73" s="5297"/>
      <c r="R73" s="5297"/>
      <c r="S73" s="5297"/>
      <c r="T73" s="5296">
        <v>1320</v>
      </c>
      <c r="U73" s="5297">
        <v>1543</v>
      </c>
      <c r="V73" s="5297">
        <v>1379</v>
      </c>
      <c r="W73" s="5297">
        <v>1253</v>
      </c>
      <c r="X73" s="5297">
        <v>1609</v>
      </c>
      <c r="Y73" s="5297">
        <v>1414</v>
      </c>
      <c r="Z73" s="3263">
        <v>1275</v>
      </c>
      <c r="AA73" s="3263">
        <v>1709</v>
      </c>
      <c r="AB73" s="3263">
        <v>1443</v>
      </c>
      <c r="AC73" s="3263">
        <v>1693</v>
      </c>
      <c r="AD73" s="3263">
        <v>1727</v>
      </c>
      <c r="AE73" s="3263">
        <v>1055</v>
      </c>
      <c r="AF73" s="5277">
        <f>SUM(T73:AE73)</f>
        <v>17420</v>
      </c>
      <c r="AG73" s="5277">
        <f>AVERAGE(T73:AE73)</f>
        <v>1451.6666666666667</v>
      </c>
      <c r="AH73" s="5257"/>
      <c r="AI73" s="5258">
        <v>1644</v>
      </c>
      <c r="AJ73" s="5257">
        <v>1381</v>
      </c>
      <c r="AK73" s="5257">
        <v>1585</v>
      </c>
      <c r="AL73" s="5257">
        <v>1529</v>
      </c>
      <c r="AM73" s="5257">
        <v>1782</v>
      </c>
      <c r="AN73" s="5257">
        <v>1618</v>
      </c>
      <c r="AO73" s="5257">
        <v>1792</v>
      </c>
      <c r="AP73" s="5257">
        <v>1775.0000000000002</v>
      </c>
      <c r="AQ73" s="5257">
        <v>1790</v>
      </c>
      <c r="AR73" s="5257">
        <v>2087</v>
      </c>
      <c r="AS73" s="5257">
        <v>2097</v>
      </c>
      <c r="AT73" s="3263">
        <v>1942</v>
      </c>
      <c r="AU73" s="5257">
        <f t="shared" si="163"/>
        <v>21022</v>
      </c>
      <c r="AV73" s="5259">
        <f t="shared" ref="AV73:AV99" si="199">AVERAGE(AI73:AT73)</f>
        <v>1751.8333333333333</v>
      </c>
      <c r="AW73" s="5256">
        <v>1828</v>
      </c>
      <c r="AX73" s="5257">
        <v>2334</v>
      </c>
      <c r="AY73" s="5257">
        <v>2074</v>
      </c>
      <c r="AZ73" s="5257">
        <v>2120</v>
      </c>
      <c r="BA73" s="5257">
        <v>4113</v>
      </c>
      <c r="BB73" s="5257">
        <v>3180</v>
      </c>
      <c r="BC73" s="5257">
        <v>2864</v>
      </c>
      <c r="BD73" s="5257">
        <v>2865</v>
      </c>
      <c r="BE73" s="5257">
        <v>2866</v>
      </c>
      <c r="BF73" s="5257">
        <v>1989</v>
      </c>
      <c r="BG73" s="5257">
        <v>1932.9999999999998</v>
      </c>
      <c r="BH73" s="3263">
        <v>1917</v>
      </c>
      <c r="BI73" s="5257">
        <f t="shared" ref="BI73:BI78" si="200">SUM(AW73:BH73)</f>
        <v>30083</v>
      </c>
      <c r="BJ73" s="5259">
        <f t="shared" ref="BJ73:BJ99" si="201">AVERAGE(AW73:BH73)</f>
        <v>2506.9166666666665</v>
      </c>
      <c r="BL73" s="5234">
        <f t="shared" ref="BL73:BL107" si="202">HLOOKUP($A$1,$AW$1:$BH$396,ROW(),0)-HLOOKUP($A$1,$AI$1:$AT$396,ROW(),0)</f>
        <v>-25</v>
      </c>
      <c r="BM73" s="5234">
        <f t="shared" si="16"/>
        <v>755.08333333333326</v>
      </c>
      <c r="BN73" s="5255">
        <f t="shared" si="183"/>
        <v>-1108</v>
      </c>
    </row>
    <row r="74" spans="1:66" ht="18" customHeight="1" x14ac:dyDescent="0.55000000000000004">
      <c r="A74" s="7132"/>
      <c r="B74" s="7133"/>
      <c r="C74" s="2682" t="s">
        <v>48</v>
      </c>
      <c r="D74" s="2682"/>
      <c r="E74" s="2682">
        <v>996</v>
      </c>
      <c r="F74" s="5296">
        <v>874</v>
      </c>
      <c r="G74" s="5297">
        <v>874</v>
      </c>
      <c r="H74" s="5297">
        <v>956</v>
      </c>
      <c r="I74" s="5297">
        <v>953</v>
      </c>
      <c r="J74" s="5297">
        <v>866</v>
      </c>
      <c r="K74" s="5297">
        <v>723</v>
      </c>
      <c r="L74" s="5297">
        <v>659</v>
      </c>
      <c r="M74" s="5297">
        <v>671</v>
      </c>
      <c r="N74" s="5297">
        <v>589</v>
      </c>
      <c r="O74" s="5297">
        <v>548</v>
      </c>
      <c r="P74" s="5297">
        <v>675</v>
      </c>
      <c r="Q74" s="5297">
        <v>618</v>
      </c>
      <c r="R74" s="5297">
        <f>SUM(F74:Q74)</f>
        <v>9006</v>
      </c>
      <c r="S74" s="5297">
        <f>AVERAGE(F74:Q74)</f>
        <v>750.5</v>
      </c>
      <c r="T74" s="5296">
        <v>668</v>
      </c>
      <c r="U74" s="5297">
        <v>676</v>
      </c>
      <c r="V74" s="5297">
        <v>687</v>
      </c>
      <c r="W74" s="5297">
        <v>662</v>
      </c>
      <c r="X74" s="5297">
        <v>720</v>
      </c>
      <c r="Y74" s="5297">
        <v>809</v>
      </c>
      <c r="Z74" s="3263">
        <v>784</v>
      </c>
      <c r="AA74" s="3263">
        <v>869</v>
      </c>
      <c r="AB74" s="3263">
        <v>664</v>
      </c>
      <c r="AC74" s="3263">
        <v>629</v>
      </c>
      <c r="AD74" s="3263">
        <v>519</v>
      </c>
      <c r="AE74" s="3263">
        <v>474</v>
      </c>
      <c r="AF74" s="5257">
        <f>SUM(T74:AE74)</f>
        <v>8161</v>
      </c>
      <c r="AG74" s="5257">
        <f>AVERAGE(T74:AE74)</f>
        <v>680.08333333333337</v>
      </c>
      <c r="AH74" s="5257"/>
      <c r="AI74" s="5258">
        <v>683</v>
      </c>
      <c r="AJ74" s="5257">
        <v>761</v>
      </c>
      <c r="AK74" s="5257">
        <v>810</v>
      </c>
      <c r="AL74" s="5257">
        <v>773</v>
      </c>
      <c r="AM74" s="5257">
        <v>759</v>
      </c>
      <c r="AN74" s="5257">
        <v>851</v>
      </c>
      <c r="AO74" s="5257">
        <v>828</v>
      </c>
      <c r="AP74" s="5257">
        <v>785</v>
      </c>
      <c r="AQ74" s="5257">
        <v>672</v>
      </c>
      <c r="AR74" s="5257">
        <v>822</v>
      </c>
      <c r="AS74" s="5257">
        <v>695</v>
      </c>
      <c r="AT74" s="3263">
        <v>550</v>
      </c>
      <c r="AU74" s="5257">
        <f t="shared" si="163"/>
        <v>8989</v>
      </c>
      <c r="AV74" s="5259">
        <f t="shared" si="199"/>
        <v>749.08333333333337</v>
      </c>
      <c r="AW74" s="5256">
        <v>627</v>
      </c>
      <c r="AX74" s="5257">
        <v>835</v>
      </c>
      <c r="AY74" s="5257">
        <v>866</v>
      </c>
      <c r="AZ74" s="5257">
        <v>904</v>
      </c>
      <c r="BA74" s="5257">
        <v>861</v>
      </c>
      <c r="BB74" s="5257">
        <v>855</v>
      </c>
      <c r="BC74" s="5257">
        <v>763</v>
      </c>
      <c r="BD74" s="5257">
        <v>618</v>
      </c>
      <c r="BE74" s="5257">
        <v>638</v>
      </c>
      <c r="BF74" s="5257">
        <v>561</v>
      </c>
      <c r="BG74" s="5257">
        <v>514</v>
      </c>
      <c r="BH74" s="5257">
        <v>471</v>
      </c>
      <c r="BI74" s="5257">
        <f t="shared" si="200"/>
        <v>8513</v>
      </c>
      <c r="BJ74" s="5259">
        <f t="shared" si="201"/>
        <v>709.41666666666663</v>
      </c>
      <c r="BL74" s="5234">
        <f t="shared" si="202"/>
        <v>-79</v>
      </c>
      <c r="BM74" s="5234">
        <f t="shared" si="16"/>
        <v>-39.666666666666742</v>
      </c>
      <c r="BN74" s="5255">
        <f t="shared" si="183"/>
        <v>-973</v>
      </c>
    </row>
    <row r="75" spans="1:66" ht="18" customHeight="1" x14ac:dyDescent="0.55000000000000004">
      <c r="A75" s="7132"/>
      <c r="B75" s="7133"/>
      <c r="C75" s="5295" t="s">
        <v>59</v>
      </c>
      <c r="D75" s="2682"/>
      <c r="E75" s="2682">
        <v>115</v>
      </c>
      <c r="F75" s="5296">
        <v>55</v>
      </c>
      <c r="G75" s="5297">
        <v>55</v>
      </c>
      <c r="H75" s="5297">
        <v>64</v>
      </c>
      <c r="I75" s="5297">
        <v>26</v>
      </c>
      <c r="J75" s="5297">
        <v>66</v>
      </c>
      <c r="K75" s="5297">
        <v>59</v>
      </c>
      <c r="L75" s="5297">
        <v>60</v>
      </c>
      <c r="M75" s="5297">
        <v>67</v>
      </c>
      <c r="N75" s="5297">
        <v>46</v>
      </c>
      <c r="O75" s="5297">
        <v>49</v>
      </c>
      <c r="P75" s="5297">
        <v>56</v>
      </c>
      <c r="Q75" s="5297">
        <v>59</v>
      </c>
      <c r="R75" s="5297">
        <f>SUM(F75:Q75)</f>
        <v>662</v>
      </c>
      <c r="S75" s="5297">
        <f>AVERAGE(F75:Q75)</f>
        <v>55.166666666666664</v>
      </c>
      <c r="T75" s="5296">
        <v>55</v>
      </c>
      <c r="U75" s="5297">
        <v>42</v>
      </c>
      <c r="V75" s="5297">
        <v>43</v>
      </c>
      <c r="W75" s="5297">
        <v>52</v>
      </c>
      <c r="X75" s="5297">
        <v>47</v>
      </c>
      <c r="Y75" s="5297">
        <v>87</v>
      </c>
      <c r="Z75" s="3263">
        <v>78</v>
      </c>
      <c r="AA75" s="3263">
        <v>124</v>
      </c>
      <c r="AB75" s="3263">
        <v>55</v>
      </c>
      <c r="AC75" s="3263">
        <v>45</v>
      </c>
      <c r="AD75" s="3263">
        <v>43</v>
      </c>
      <c r="AE75" s="3263">
        <v>54</v>
      </c>
      <c r="AF75" s="5257">
        <f>SUM(T75:AE75)</f>
        <v>725</v>
      </c>
      <c r="AG75" s="5257">
        <f>AVERAGE(T75:AE75)</f>
        <v>60.416666666666664</v>
      </c>
      <c r="AH75" s="5257"/>
      <c r="AI75" s="5258">
        <v>62</v>
      </c>
      <c r="AJ75" s="5257">
        <v>60</v>
      </c>
      <c r="AK75" s="5257">
        <v>68</v>
      </c>
      <c r="AL75" s="5257">
        <v>53</v>
      </c>
      <c r="AM75" s="5257">
        <v>66</v>
      </c>
      <c r="AN75" s="5257">
        <v>43</v>
      </c>
      <c r="AO75" s="5257">
        <v>51</v>
      </c>
      <c r="AP75" s="5257">
        <v>43</v>
      </c>
      <c r="AQ75" s="5257">
        <v>37</v>
      </c>
      <c r="AR75" s="5257">
        <v>41</v>
      </c>
      <c r="AS75" s="5257">
        <v>46</v>
      </c>
      <c r="AT75" s="3263">
        <v>45</v>
      </c>
      <c r="AU75" s="5257">
        <f t="shared" si="163"/>
        <v>615</v>
      </c>
      <c r="AV75" s="5259">
        <f t="shared" si="199"/>
        <v>51.25</v>
      </c>
      <c r="AW75" s="5256">
        <v>31</v>
      </c>
      <c r="AX75" s="5257">
        <v>39</v>
      </c>
      <c r="AY75" s="5257">
        <v>33</v>
      </c>
      <c r="AZ75" s="5257">
        <v>33</v>
      </c>
      <c r="BA75" s="5257">
        <v>42</v>
      </c>
      <c r="BB75" s="5257">
        <v>32</v>
      </c>
      <c r="BC75" s="5257">
        <v>36</v>
      </c>
      <c r="BD75" s="5257">
        <v>23</v>
      </c>
      <c r="BE75" s="5257">
        <v>27</v>
      </c>
      <c r="BF75" s="5257">
        <v>26</v>
      </c>
      <c r="BG75" s="5257">
        <v>24</v>
      </c>
      <c r="BH75" s="5257">
        <v>20</v>
      </c>
      <c r="BI75" s="5257">
        <f t="shared" si="200"/>
        <v>366</v>
      </c>
      <c r="BJ75" s="5259">
        <f t="shared" si="201"/>
        <v>30.5</v>
      </c>
      <c r="BL75" s="5234">
        <f t="shared" si="202"/>
        <v>-25</v>
      </c>
      <c r="BM75" s="5234">
        <f t="shared" si="16"/>
        <v>-20.75</v>
      </c>
      <c r="BN75" s="5255">
        <f t="shared" si="183"/>
        <v>-102</v>
      </c>
    </row>
    <row r="76" spans="1:66" ht="18" customHeight="1" x14ac:dyDescent="0.55000000000000004">
      <c r="A76" s="7132"/>
      <c r="B76" s="7133"/>
      <c r="C76" s="5298" t="s">
        <v>86</v>
      </c>
      <c r="D76" s="5298"/>
      <c r="E76" s="5298"/>
      <c r="F76" s="5299"/>
      <c r="G76" s="5300"/>
      <c r="H76" s="5300"/>
      <c r="I76" s="5300"/>
      <c r="J76" s="5300"/>
      <c r="K76" s="5300"/>
      <c r="L76" s="5300"/>
      <c r="M76" s="5300"/>
      <c r="N76" s="5300"/>
      <c r="O76" s="5300"/>
      <c r="P76" s="5300"/>
      <c r="Q76" s="5300"/>
      <c r="R76" s="5300"/>
      <c r="S76" s="5300"/>
      <c r="T76" s="5299">
        <f>T73-T74</f>
        <v>652</v>
      </c>
      <c r="U76" s="5300">
        <f t="shared" ref="U76:AG76" si="203">U73-U74</f>
        <v>867</v>
      </c>
      <c r="V76" s="5300">
        <f t="shared" si="203"/>
        <v>692</v>
      </c>
      <c r="W76" s="5300">
        <f t="shared" si="203"/>
        <v>591</v>
      </c>
      <c r="X76" s="5300">
        <f t="shared" si="203"/>
        <v>889</v>
      </c>
      <c r="Y76" s="5300">
        <f t="shared" si="203"/>
        <v>605</v>
      </c>
      <c r="Z76" s="5262">
        <f t="shared" si="203"/>
        <v>491</v>
      </c>
      <c r="AA76" s="5262">
        <f t="shared" si="203"/>
        <v>840</v>
      </c>
      <c r="AB76" s="5262">
        <f t="shared" si="203"/>
        <v>779</v>
      </c>
      <c r="AC76" s="5262">
        <f t="shared" si="203"/>
        <v>1064</v>
      </c>
      <c r="AD76" s="5262">
        <f t="shared" si="203"/>
        <v>1208</v>
      </c>
      <c r="AE76" s="5262">
        <f t="shared" si="203"/>
        <v>581</v>
      </c>
      <c r="AF76" s="5263">
        <f t="shared" si="203"/>
        <v>9259</v>
      </c>
      <c r="AG76" s="5263">
        <f t="shared" si="203"/>
        <v>771.58333333333337</v>
      </c>
      <c r="AH76" s="5263"/>
      <c r="AI76" s="5264">
        <f t="shared" ref="AI76:AS76" si="204">AI73-AI74</f>
        <v>961</v>
      </c>
      <c r="AJ76" s="5263">
        <f t="shared" si="204"/>
        <v>620</v>
      </c>
      <c r="AK76" s="5263">
        <f t="shared" si="204"/>
        <v>775</v>
      </c>
      <c r="AL76" s="5263">
        <f t="shared" si="204"/>
        <v>756</v>
      </c>
      <c r="AM76" s="5263">
        <f t="shared" si="204"/>
        <v>1023</v>
      </c>
      <c r="AN76" s="5263">
        <f t="shared" si="204"/>
        <v>767</v>
      </c>
      <c r="AO76" s="5263">
        <f t="shared" si="204"/>
        <v>964</v>
      </c>
      <c r="AP76" s="5263">
        <f t="shared" si="204"/>
        <v>990.00000000000023</v>
      </c>
      <c r="AQ76" s="5263">
        <f t="shared" si="204"/>
        <v>1118</v>
      </c>
      <c r="AR76" s="5263">
        <f t="shared" si="204"/>
        <v>1265</v>
      </c>
      <c r="AS76" s="5263">
        <f t="shared" si="204"/>
        <v>1402</v>
      </c>
      <c r="AT76" s="5262">
        <v>1392</v>
      </c>
      <c r="AU76" s="5263">
        <f t="shared" si="163"/>
        <v>12033</v>
      </c>
      <c r="AV76" s="5265">
        <f t="shared" si="199"/>
        <v>1002.75</v>
      </c>
      <c r="AW76" s="5261">
        <v>1201</v>
      </c>
      <c r="AX76" s="5263">
        <v>1201</v>
      </c>
      <c r="AY76" s="5263">
        <v>1208</v>
      </c>
      <c r="AZ76" s="5263">
        <f>AZ73-AZ74</f>
        <v>1216</v>
      </c>
      <c r="BA76" s="5263">
        <f t="shared" ref="BA76:BB76" si="205">BA73-BA74</f>
        <v>3252</v>
      </c>
      <c r="BB76" s="5263">
        <f t="shared" si="205"/>
        <v>2325</v>
      </c>
      <c r="BC76" s="5263">
        <v>2101</v>
      </c>
      <c r="BD76" s="5263">
        <v>2247</v>
      </c>
      <c r="BE76" s="5263">
        <v>2228</v>
      </c>
      <c r="BF76" s="5263">
        <v>1428</v>
      </c>
      <c r="BG76" s="5263">
        <v>1418.9999999999998</v>
      </c>
      <c r="BH76" s="5263">
        <v>1446</v>
      </c>
      <c r="BI76" s="5263">
        <f t="shared" si="200"/>
        <v>21272</v>
      </c>
      <c r="BJ76" s="5265">
        <f t="shared" si="201"/>
        <v>1772.6666666666667</v>
      </c>
      <c r="BL76" s="5234">
        <f t="shared" si="202"/>
        <v>54</v>
      </c>
      <c r="BM76" s="5234">
        <f t="shared" si="16"/>
        <v>769.91666666666674</v>
      </c>
      <c r="BN76" s="5255">
        <f t="shared" si="183"/>
        <v>-135</v>
      </c>
    </row>
    <row r="77" spans="1:66" ht="18" customHeight="1" x14ac:dyDescent="0.55000000000000004">
      <c r="A77" s="7132"/>
      <c r="B77" s="7133"/>
      <c r="C77" s="2682" t="s">
        <v>50</v>
      </c>
      <c r="D77" s="2682"/>
      <c r="E77" s="2682"/>
      <c r="F77" s="5296"/>
      <c r="G77" s="5297"/>
      <c r="H77" s="5297"/>
      <c r="I77" s="5297"/>
      <c r="J77" s="5297"/>
      <c r="K77" s="5297"/>
      <c r="L77" s="5297"/>
      <c r="M77" s="5297"/>
      <c r="N77" s="5297"/>
      <c r="O77" s="5297"/>
      <c r="P77" s="5297"/>
      <c r="Q77" s="5297"/>
      <c r="R77" s="5297"/>
      <c r="S77" s="5297"/>
      <c r="T77" s="5296">
        <f t="shared" ref="T77:AG77" si="206">T76-T78</f>
        <v>1674</v>
      </c>
      <c r="U77" s="5297">
        <f t="shared" si="206"/>
        <v>1599</v>
      </c>
      <c r="V77" s="5297">
        <f t="shared" si="206"/>
        <v>1525</v>
      </c>
      <c r="W77" s="5297">
        <f t="shared" si="206"/>
        <v>1292</v>
      </c>
      <c r="X77" s="5297">
        <f t="shared" si="206"/>
        <v>1330</v>
      </c>
      <c r="Y77" s="5297">
        <f t="shared" si="206"/>
        <v>1182</v>
      </c>
      <c r="Z77" s="3263">
        <f t="shared" si="206"/>
        <v>1247</v>
      </c>
      <c r="AA77" s="3263">
        <f t="shared" si="206"/>
        <v>1381</v>
      </c>
      <c r="AB77" s="3263">
        <f t="shared" si="206"/>
        <v>1243</v>
      </c>
      <c r="AC77" s="3263">
        <f t="shared" si="206"/>
        <v>1197</v>
      </c>
      <c r="AD77" s="3263">
        <f t="shared" si="206"/>
        <v>1239</v>
      </c>
      <c r="AE77" s="3263">
        <f t="shared" si="206"/>
        <v>896</v>
      </c>
      <c r="AF77" s="5257">
        <f t="shared" si="206"/>
        <v>9259</v>
      </c>
      <c r="AG77" s="5257">
        <f t="shared" si="206"/>
        <v>-1408.1666666666665</v>
      </c>
      <c r="AH77" s="5257"/>
      <c r="AI77" s="5258">
        <f t="shared" ref="AI77:AS77" si="207">AI76-AI78</f>
        <v>885</v>
      </c>
      <c r="AJ77" s="5257">
        <f t="shared" si="207"/>
        <v>905</v>
      </c>
      <c r="AK77" s="5257">
        <f t="shared" si="207"/>
        <v>1847</v>
      </c>
      <c r="AL77" s="5257">
        <f t="shared" si="207"/>
        <v>1846</v>
      </c>
      <c r="AM77" s="5257">
        <f t="shared" si="207"/>
        <v>2266</v>
      </c>
      <c r="AN77" s="5257">
        <f t="shared" si="207"/>
        <v>1839</v>
      </c>
      <c r="AO77" s="5257">
        <f t="shared" si="207"/>
        <v>2011</v>
      </c>
      <c r="AP77" s="5257">
        <f t="shared" si="207"/>
        <v>2484</v>
      </c>
      <c r="AQ77" s="5257">
        <f t="shared" si="207"/>
        <v>2468</v>
      </c>
      <c r="AR77" s="5257">
        <f t="shared" si="207"/>
        <v>3049</v>
      </c>
      <c r="AS77" s="5257">
        <f t="shared" si="207"/>
        <v>3073</v>
      </c>
      <c r="AT77" s="3263">
        <v>3028</v>
      </c>
      <c r="AU77" s="5257">
        <f t="shared" si="163"/>
        <v>25701</v>
      </c>
      <c r="AV77" s="5259">
        <f t="shared" si="199"/>
        <v>2141.75</v>
      </c>
      <c r="AW77" s="5256">
        <v>2682</v>
      </c>
      <c r="AX77" s="5257">
        <v>2682</v>
      </c>
      <c r="AY77" s="5257">
        <v>3316</v>
      </c>
      <c r="AZ77" s="5257">
        <f>AZ76-AZ78</f>
        <v>3273</v>
      </c>
      <c r="BA77" s="5257">
        <f t="shared" ref="BA77:BB77" si="208">BA76-BA78</f>
        <v>5448</v>
      </c>
      <c r="BB77" s="5257">
        <f t="shared" si="208"/>
        <v>4694</v>
      </c>
      <c r="BC77" s="5257">
        <v>4373</v>
      </c>
      <c r="BD77" s="5257">
        <v>4256</v>
      </c>
      <c r="BE77" s="5257">
        <v>3831</v>
      </c>
      <c r="BF77" s="5257">
        <v>3134</v>
      </c>
      <c r="BG77" s="5257">
        <v>2884</v>
      </c>
      <c r="BH77" s="5257">
        <v>2872</v>
      </c>
      <c r="BI77" s="5257">
        <f t="shared" si="200"/>
        <v>43445</v>
      </c>
      <c r="BJ77" s="5259">
        <f t="shared" si="201"/>
        <v>3620.4166666666665</v>
      </c>
      <c r="BL77" s="5234">
        <f t="shared" si="202"/>
        <v>-156</v>
      </c>
      <c r="BM77" s="5234">
        <f t="shared" si="16"/>
        <v>1478.6666666666665</v>
      </c>
      <c r="BN77" s="5255">
        <f t="shared" si="183"/>
        <v>1082</v>
      </c>
    </row>
    <row r="78" spans="1:66" ht="18" customHeight="1" thickBot="1" x14ac:dyDescent="0.6">
      <c r="A78" s="7132"/>
      <c r="B78" s="7133"/>
      <c r="C78" s="5329" t="s">
        <v>51</v>
      </c>
      <c r="D78" s="5301"/>
      <c r="E78" s="5301"/>
      <c r="F78" s="5302"/>
      <c r="G78" s="5303"/>
      <c r="H78" s="5303"/>
      <c r="I78" s="5303"/>
      <c r="J78" s="5303"/>
      <c r="K78" s="5303"/>
      <c r="L78" s="5303"/>
      <c r="M78" s="5303"/>
      <c r="N78" s="5303"/>
      <c r="O78" s="5303"/>
      <c r="P78" s="5303"/>
      <c r="Q78" s="5303"/>
      <c r="R78" s="5303"/>
      <c r="S78" s="5303"/>
      <c r="T78" s="5330">
        <f>T72-Q72</f>
        <v>-1022</v>
      </c>
      <c r="U78" s="5303">
        <f t="shared" ref="U78:AG78" si="209">U72-T72</f>
        <v>-732</v>
      </c>
      <c r="V78" s="5303">
        <f t="shared" si="209"/>
        <v>-833</v>
      </c>
      <c r="W78" s="5303">
        <f t="shared" si="209"/>
        <v>-701</v>
      </c>
      <c r="X78" s="5303">
        <f t="shared" si="209"/>
        <v>-441</v>
      </c>
      <c r="Y78" s="5303">
        <f t="shared" si="209"/>
        <v>-577</v>
      </c>
      <c r="Z78" s="5280">
        <f t="shared" si="209"/>
        <v>-756</v>
      </c>
      <c r="AA78" s="5280">
        <f t="shared" si="209"/>
        <v>-541</v>
      </c>
      <c r="AB78" s="5280">
        <f t="shared" si="209"/>
        <v>-464</v>
      </c>
      <c r="AC78" s="5280">
        <f t="shared" si="209"/>
        <v>-133</v>
      </c>
      <c r="AD78" s="5280">
        <f t="shared" si="209"/>
        <v>-31</v>
      </c>
      <c r="AE78" s="5280">
        <f t="shared" si="209"/>
        <v>-315</v>
      </c>
      <c r="AF78" s="5282">
        <f t="shared" si="209"/>
        <v>0</v>
      </c>
      <c r="AG78" s="5282">
        <f t="shared" si="209"/>
        <v>2179.75</v>
      </c>
      <c r="AH78" s="5282"/>
      <c r="AI78" s="5332">
        <f>AI72-AF72</f>
        <v>76</v>
      </c>
      <c r="AJ78" s="5282">
        <f t="shared" ref="AJ78:AS78" si="210">AJ72-AI72</f>
        <v>-285</v>
      </c>
      <c r="AK78" s="5282">
        <f t="shared" si="210"/>
        <v>-1072</v>
      </c>
      <c r="AL78" s="5282">
        <f t="shared" si="210"/>
        <v>-1090</v>
      </c>
      <c r="AM78" s="5282">
        <f t="shared" si="210"/>
        <v>-1243</v>
      </c>
      <c r="AN78" s="5282">
        <f t="shared" si="210"/>
        <v>-1072</v>
      </c>
      <c r="AO78" s="5282">
        <f t="shared" si="210"/>
        <v>-1047</v>
      </c>
      <c r="AP78" s="5282">
        <f t="shared" si="210"/>
        <v>-1494</v>
      </c>
      <c r="AQ78" s="5282">
        <f t="shared" si="210"/>
        <v>-1350</v>
      </c>
      <c r="AR78" s="5282">
        <f t="shared" si="210"/>
        <v>-1784</v>
      </c>
      <c r="AS78" s="5282">
        <f t="shared" si="210"/>
        <v>-1671</v>
      </c>
      <c r="AT78" s="5280">
        <v>-1636</v>
      </c>
      <c r="AU78" s="5282">
        <f t="shared" si="163"/>
        <v>-13668</v>
      </c>
      <c r="AV78" s="5331">
        <f t="shared" si="199"/>
        <v>-1139</v>
      </c>
      <c r="AW78" s="5279">
        <v>-1481</v>
      </c>
      <c r="AX78" s="5282"/>
      <c r="AY78" s="5282">
        <v>-2108</v>
      </c>
      <c r="AZ78" s="5282">
        <f>AZ72-AY72</f>
        <v>-2057</v>
      </c>
      <c r="BA78" s="5282">
        <f>BA72-AZ72</f>
        <v>-2196</v>
      </c>
      <c r="BB78" s="5282">
        <f>BB72-BA72</f>
        <v>-2369</v>
      </c>
      <c r="BC78" s="5282">
        <v>-2272</v>
      </c>
      <c r="BD78" s="5282">
        <v>-2009</v>
      </c>
      <c r="BE78" s="5282">
        <v>-1603</v>
      </c>
      <c r="BF78" s="5282">
        <v>-1706</v>
      </c>
      <c r="BG78" s="5282">
        <v>-1465</v>
      </c>
      <c r="BH78" s="5282">
        <v>-1426</v>
      </c>
      <c r="BI78" s="5282">
        <f t="shared" si="200"/>
        <v>-20692</v>
      </c>
      <c r="BJ78" s="5331">
        <f t="shared" si="201"/>
        <v>-1881.090909090909</v>
      </c>
      <c r="BL78" s="5234">
        <f t="shared" si="202"/>
        <v>210</v>
      </c>
      <c r="BM78" s="5234">
        <f t="shared" ref="BM78:BM106" si="211">BJ78-AV78</f>
        <v>-742.09090909090901</v>
      </c>
      <c r="BN78" s="5255">
        <f t="shared" si="183"/>
        <v>-1217</v>
      </c>
    </row>
    <row r="79" spans="1:66" ht="18" customHeight="1" x14ac:dyDescent="0.55000000000000004">
      <c r="A79" s="7132" t="s">
        <v>948</v>
      </c>
      <c r="B79" s="7133"/>
      <c r="C79" s="5333" t="s">
        <v>44</v>
      </c>
      <c r="D79" s="5334"/>
      <c r="E79" s="5334">
        <v>12500</v>
      </c>
      <c r="F79" s="5335">
        <v>12742</v>
      </c>
      <c r="G79" s="5336">
        <v>12742</v>
      </c>
      <c r="H79" s="5336">
        <v>12741</v>
      </c>
      <c r="I79" s="5336">
        <v>12784</v>
      </c>
      <c r="J79" s="5336">
        <v>12843</v>
      </c>
      <c r="K79" s="5336">
        <v>12924</v>
      </c>
      <c r="L79" s="5336">
        <v>12967</v>
      </c>
      <c r="M79" s="5336">
        <v>13095</v>
      </c>
      <c r="N79" s="5336">
        <v>13230</v>
      </c>
      <c r="O79" s="5336">
        <v>13401</v>
      </c>
      <c r="P79" s="5336">
        <v>13491</v>
      </c>
      <c r="Q79" s="5336">
        <v>13384</v>
      </c>
      <c r="R79" s="5336">
        <f>Q79</f>
        <v>13384</v>
      </c>
      <c r="S79" s="5336">
        <f>AVERAGE(F79:Q79)</f>
        <v>13028.666666666666</v>
      </c>
      <c r="T79" s="5336">
        <v>13334</v>
      </c>
      <c r="U79" s="5336">
        <v>13234</v>
      </c>
      <c r="V79" s="5336">
        <v>12976</v>
      </c>
      <c r="W79" s="5336">
        <v>12800</v>
      </c>
      <c r="X79" s="5336">
        <v>12625</v>
      </c>
      <c r="Y79" s="5336">
        <v>12586</v>
      </c>
      <c r="Z79" s="5337">
        <v>12441</v>
      </c>
      <c r="AA79" s="5337">
        <v>12224</v>
      </c>
      <c r="AB79" s="5337">
        <v>12170</v>
      </c>
      <c r="AC79" s="5337">
        <v>12689</v>
      </c>
      <c r="AD79" s="5337">
        <v>12848</v>
      </c>
      <c r="AE79" s="5337">
        <v>12589</v>
      </c>
      <c r="AF79" s="5338">
        <f>AE79</f>
        <v>12589</v>
      </c>
      <c r="AG79" s="5338">
        <f t="shared" ref="AG79:AG83" si="212">AVERAGE(T79:AE79)</f>
        <v>12709.666666666666</v>
      </c>
      <c r="AH79" s="5338"/>
      <c r="AI79" s="5339">
        <v>12259</v>
      </c>
      <c r="AJ79" s="5338">
        <v>11872</v>
      </c>
      <c r="AK79" s="5338">
        <v>11605</v>
      </c>
      <c r="AL79" s="5338">
        <v>11303</v>
      </c>
      <c r="AM79" s="5338">
        <v>11021</v>
      </c>
      <c r="AN79" s="5338">
        <v>10652</v>
      </c>
      <c r="AO79" s="5338">
        <v>10168</v>
      </c>
      <c r="AP79" s="5337">
        <v>9765</v>
      </c>
      <c r="AQ79" s="5337">
        <v>9377</v>
      </c>
      <c r="AR79" s="5337">
        <v>9001</v>
      </c>
      <c r="AS79" s="5337">
        <v>8631</v>
      </c>
      <c r="AT79" s="5337">
        <v>8194</v>
      </c>
      <c r="AU79" s="5338">
        <f>INDEX($AI79:$AT79, 1, MATCH(0, $AI79:$AT79, -1))</f>
        <v>8194</v>
      </c>
      <c r="AV79" s="5340">
        <f t="shared" si="199"/>
        <v>10320.666666666666</v>
      </c>
      <c r="AW79" s="5341">
        <v>7709</v>
      </c>
      <c r="AX79" s="5338">
        <v>7346</v>
      </c>
      <c r="AY79" s="5338">
        <v>7020</v>
      </c>
      <c r="AZ79" s="5338">
        <v>6762</v>
      </c>
      <c r="BA79" s="5338">
        <v>6636</v>
      </c>
      <c r="BB79" s="5338">
        <v>6497</v>
      </c>
      <c r="BC79" s="5338">
        <v>6442</v>
      </c>
      <c r="BD79" s="5338">
        <v>6286</v>
      </c>
      <c r="BE79" s="5338">
        <v>6142</v>
      </c>
      <c r="BF79" s="5338">
        <v>5889</v>
      </c>
      <c r="BG79" s="5338">
        <v>5639</v>
      </c>
      <c r="BH79" s="5338">
        <v>5410</v>
      </c>
      <c r="BI79" s="5252">
        <f>AW79</f>
        <v>7709</v>
      </c>
      <c r="BJ79" s="5340">
        <f t="shared" si="201"/>
        <v>6481.5</v>
      </c>
      <c r="BL79" s="5234">
        <f t="shared" si="202"/>
        <v>-2784</v>
      </c>
      <c r="BM79" s="5234">
        <f t="shared" si="211"/>
        <v>-3839.1666666666661</v>
      </c>
      <c r="BN79" s="5255">
        <f t="shared" si="183"/>
        <v>-18721</v>
      </c>
    </row>
    <row r="80" spans="1:66" ht="18" customHeight="1" x14ac:dyDescent="0.55000000000000004">
      <c r="A80" s="7132"/>
      <c r="B80" s="7133"/>
      <c r="C80" s="2682" t="s">
        <v>47</v>
      </c>
      <c r="D80" s="2682"/>
      <c r="E80" s="2682"/>
      <c r="F80" s="5296"/>
      <c r="G80" s="5297"/>
      <c r="H80" s="5297"/>
      <c r="I80" s="5297"/>
      <c r="J80" s="5297"/>
      <c r="K80" s="5297"/>
      <c r="L80" s="5297"/>
      <c r="M80" s="5297"/>
      <c r="N80" s="5297"/>
      <c r="O80" s="5297"/>
      <c r="P80" s="5297"/>
      <c r="Q80" s="5297"/>
      <c r="R80" s="5297"/>
      <c r="S80" s="5297"/>
      <c r="T80" s="5296">
        <v>13</v>
      </c>
      <c r="U80" s="5297">
        <v>18</v>
      </c>
      <c r="V80" s="5297">
        <v>10</v>
      </c>
      <c r="W80" s="5297">
        <v>5</v>
      </c>
      <c r="X80" s="5297">
        <v>12</v>
      </c>
      <c r="Y80" s="5297">
        <v>67</v>
      </c>
      <c r="Z80" s="3263">
        <v>58</v>
      </c>
      <c r="AA80" s="3263">
        <v>60</v>
      </c>
      <c r="AB80" s="3263">
        <v>53</v>
      </c>
      <c r="AC80" s="3263">
        <v>125</v>
      </c>
      <c r="AD80" s="3263">
        <v>123</v>
      </c>
      <c r="AE80" s="3263">
        <v>10</v>
      </c>
      <c r="AF80" s="5257">
        <f>SUM(T80:AE80)</f>
        <v>554</v>
      </c>
      <c r="AG80" s="5257">
        <f t="shared" si="212"/>
        <v>46.166666666666664</v>
      </c>
      <c r="AH80" s="5257"/>
      <c r="AI80" s="5258">
        <v>25</v>
      </c>
      <c r="AJ80" s="5257">
        <v>43</v>
      </c>
      <c r="AK80" s="5257">
        <v>121</v>
      </c>
      <c r="AL80" s="5257">
        <v>81</v>
      </c>
      <c r="AM80" s="5257">
        <v>131</v>
      </c>
      <c r="AN80" s="5257">
        <v>100</v>
      </c>
      <c r="AO80" s="5257">
        <v>55.000000000000007</v>
      </c>
      <c r="AP80" s="5257">
        <v>56</v>
      </c>
      <c r="AQ80" s="5257">
        <v>32</v>
      </c>
      <c r="AR80" s="5257">
        <v>28</v>
      </c>
      <c r="AS80" s="5257">
        <v>35</v>
      </c>
      <c r="AT80" s="3263">
        <v>41</v>
      </c>
      <c r="AU80" s="5257">
        <f t="shared" si="163"/>
        <v>748</v>
      </c>
      <c r="AV80" s="5259">
        <f t="shared" si="199"/>
        <v>62.333333333333336</v>
      </c>
      <c r="AW80" s="5256">
        <v>20</v>
      </c>
      <c r="AX80" s="5257">
        <v>15</v>
      </c>
      <c r="AY80" s="5257">
        <v>43</v>
      </c>
      <c r="AZ80" s="5257">
        <v>62</v>
      </c>
      <c r="BA80" s="5257">
        <v>213</v>
      </c>
      <c r="BB80" s="5257">
        <v>119</v>
      </c>
      <c r="BC80" s="5257">
        <v>223</v>
      </c>
      <c r="BD80" s="5257">
        <v>224</v>
      </c>
      <c r="BE80" s="5257">
        <v>225</v>
      </c>
      <c r="BF80" s="5257">
        <v>78</v>
      </c>
      <c r="BG80" s="5257">
        <v>125</v>
      </c>
      <c r="BH80" s="5257">
        <v>112</v>
      </c>
      <c r="BI80" s="5257">
        <f>SUM(AW80:BH80)</f>
        <v>1459</v>
      </c>
      <c r="BJ80" s="5259">
        <f t="shared" si="201"/>
        <v>121.58333333333333</v>
      </c>
      <c r="BL80" s="5234">
        <f t="shared" si="202"/>
        <v>71</v>
      </c>
      <c r="BM80" s="5234">
        <f t="shared" si="211"/>
        <v>59.249999999999993</v>
      </c>
      <c r="BN80" s="5255">
        <f t="shared" si="183"/>
        <v>44</v>
      </c>
    </row>
    <row r="81" spans="1:66" ht="18" customHeight="1" x14ac:dyDescent="0.55000000000000004">
      <c r="A81" s="7132"/>
      <c r="B81" s="7133"/>
      <c r="C81" s="2682" t="s">
        <v>48</v>
      </c>
      <c r="D81" s="2682"/>
      <c r="E81" s="2682">
        <v>68</v>
      </c>
      <c r="F81" s="5296">
        <v>79</v>
      </c>
      <c r="G81" s="5297">
        <v>79</v>
      </c>
      <c r="H81" s="5297">
        <v>172</v>
      </c>
      <c r="I81" s="5297">
        <v>85</v>
      </c>
      <c r="J81" s="5297">
        <v>66</v>
      </c>
      <c r="K81" s="5297">
        <v>57</v>
      </c>
      <c r="L81" s="5297">
        <v>113</v>
      </c>
      <c r="M81" s="5297">
        <v>148</v>
      </c>
      <c r="N81" s="5297">
        <v>140</v>
      </c>
      <c r="O81" s="5297">
        <v>130</v>
      </c>
      <c r="P81" s="5297">
        <v>94</v>
      </c>
      <c r="Q81" s="5297">
        <v>123</v>
      </c>
      <c r="R81" s="5297">
        <f>SUM(F81:Q81)</f>
        <v>1286</v>
      </c>
      <c r="S81" s="5297"/>
      <c r="T81" s="5296">
        <v>155</v>
      </c>
      <c r="U81" s="5297">
        <v>147</v>
      </c>
      <c r="V81" s="5297">
        <v>202</v>
      </c>
      <c r="W81" s="5297">
        <v>119</v>
      </c>
      <c r="X81" s="5297">
        <v>81</v>
      </c>
      <c r="Y81" s="5297">
        <v>156</v>
      </c>
      <c r="Z81" s="3263">
        <v>219</v>
      </c>
      <c r="AA81" s="3263">
        <v>212</v>
      </c>
      <c r="AB81" s="3263">
        <v>182</v>
      </c>
      <c r="AC81" s="3263">
        <v>202</v>
      </c>
      <c r="AD81" s="3263">
        <v>192</v>
      </c>
      <c r="AE81" s="3263">
        <v>166</v>
      </c>
      <c r="AF81" s="5257">
        <f>SUM(T81:AE81)</f>
        <v>2033</v>
      </c>
      <c r="AG81" s="5257">
        <f t="shared" si="212"/>
        <v>169.41666666666666</v>
      </c>
      <c r="AH81" s="5257"/>
      <c r="AI81" s="5258">
        <v>174</v>
      </c>
      <c r="AJ81" s="5257">
        <v>161</v>
      </c>
      <c r="AK81" s="5257">
        <v>153</v>
      </c>
      <c r="AL81" s="5257">
        <v>161</v>
      </c>
      <c r="AM81" s="5257">
        <v>176</v>
      </c>
      <c r="AN81" s="5257">
        <v>233</v>
      </c>
      <c r="AO81" s="5257">
        <v>223</v>
      </c>
      <c r="AP81" s="5257">
        <v>174</v>
      </c>
      <c r="AQ81" s="5257">
        <v>161</v>
      </c>
      <c r="AR81" s="5257">
        <v>171</v>
      </c>
      <c r="AS81" s="5257">
        <v>187</v>
      </c>
      <c r="AT81" s="3263">
        <v>197</v>
      </c>
      <c r="AU81" s="5257">
        <f t="shared" si="163"/>
        <v>2171</v>
      </c>
      <c r="AV81" s="5259">
        <f t="shared" si="199"/>
        <v>180.91666666666666</v>
      </c>
      <c r="AW81" s="5256">
        <v>167</v>
      </c>
      <c r="AX81" s="5257">
        <v>154</v>
      </c>
      <c r="AY81" s="5257">
        <v>152</v>
      </c>
      <c r="AZ81" s="5257">
        <v>160</v>
      </c>
      <c r="BA81" s="5257">
        <v>124</v>
      </c>
      <c r="BB81" s="5257">
        <v>115</v>
      </c>
      <c r="BC81" s="5257">
        <v>116</v>
      </c>
      <c r="BD81" s="5257">
        <v>122</v>
      </c>
      <c r="BE81" s="5257">
        <v>148</v>
      </c>
      <c r="BF81" s="5257">
        <v>182</v>
      </c>
      <c r="BG81" s="5257">
        <v>135</v>
      </c>
      <c r="BH81" s="5257">
        <v>82</v>
      </c>
      <c r="BI81" s="5257">
        <f>SUM(AW81:BH81)</f>
        <v>1657</v>
      </c>
      <c r="BJ81" s="5259">
        <f t="shared" si="201"/>
        <v>138.08333333333334</v>
      </c>
      <c r="BL81" s="5234">
        <f t="shared" si="202"/>
        <v>-115</v>
      </c>
      <c r="BM81" s="5234">
        <f t="shared" si="211"/>
        <v>-42.833333333333314</v>
      </c>
      <c r="BN81" s="5235">
        <f>AX81-AJ81</f>
        <v>-7</v>
      </c>
    </row>
    <row r="82" spans="1:66" ht="18" customHeight="1" x14ac:dyDescent="0.55000000000000004">
      <c r="A82" s="7132"/>
      <c r="B82" s="7133"/>
      <c r="C82" s="5295" t="s">
        <v>59</v>
      </c>
      <c r="D82" s="2682"/>
      <c r="E82" s="2682">
        <v>8</v>
      </c>
      <c r="F82" s="5296">
        <v>5</v>
      </c>
      <c r="G82" s="5297">
        <v>5</v>
      </c>
      <c r="H82" s="5297">
        <v>5</v>
      </c>
      <c r="I82" s="5297">
        <v>1</v>
      </c>
      <c r="J82" s="5297">
        <v>4</v>
      </c>
      <c r="K82" s="5297">
        <v>3</v>
      </c>
      <c r="L82" s="5297">
        <v>5</v>
      </c>
      <c r="M82" s="5297">
        <v>2</v>
      </c>
      <c r="N82" s="5297">
        <v>4</v>
      </c>
      <c r="O82" s="5297">
        <v>1</v>
      </c>
      <c r="P82" s="5297">
        <v>6</v>
      </c>
      <c r="Q82" s="5297">
        <v>4</v>
      </c>
      <c r="R82" s="5297">
        <f>SUM(F82:Q82)</f>
        <v>45</v>
      </c>
      <c r="S82" s="5297"/>
      <c r="T82" s="5296">
        <v>3</v>
      </c>
      <c r="U82" s="5297">
        <v>8</v>
      </c>
      <c r="V82" s="5297">
        <v>7</v>
      </c>
      <c r="W82" s="5297">
        <v>11</v>
      </c>
      <c r="X82" s="5297">
        <v>3</v>
      </c>
      <c r="Y82" s="5297">
        <v>3</v>
      </c>
      <c r="Z82" s="3263">
        <v>5</v>
      </c>
      <c r="AA82" s="3263">
        <v>17</v>
      </c>
      <c r="AB82" s="3263">
        <v>5</v>
      </c>
      <c r="AC82" s="3263">
        <v>5</v>
      </c>
      <c r="AD82" s="3263">
        <v>3</v>
      </c>
      <c r="AE82" s="3263">
        <v>6</v>
      </c>
      <c r="AF82" s="5257">
        <f>SUM(T82:AE82)</f>
        <v>76</v>
      </c>
      <c r="AG82" s="5257">
        <f t="shared" si="212"/>
        <v>6.333333333333333</v>
      </c>
      <c r="AH82" s="5257"/>
      <c r="AI82" s="5258">
        <v>6</v>
      </c>
      <c r="AJ82" s="5257">
        <v>1</v>
      </c>
      <c r="AK82" s="5257">
        <v>7</v>
      </c>
      <c r="AL82" s="5257">
        <v>8</v>
      </c>
      <c r="AM82" s="5257">
        <v>8</v>
      </c>
      <c r="AN82" s="5257">
        <v>7</v>
      </c>
      <c r="AO82" s="5257">
        <v>7</v>
      </c>
      <c r="AP82" s="5257">
        <v>1</v>
      </c>
      <c r="AQ82" s="5257">
        <v>4</v>
      </c>
      <c r="AR82" s="5257">
        <v>1</v>
      </c>
      <c r="AS82" s="5257">
        <v>3</v>
      </c>
      <c r="AT82" s="3263">
        <v>3</v>
      </c>
      <c r="AU82" s="5257">
        <f t="shared" si="163"/>
        <v>56</v>
      </c>
      <c r="AV82" s="5259">
        <f t="shared" si="199"/>
        <v>4.666666666666667</v>
      </c>
      <c r="AW82" s="5256">
        <v>6</v>
      </c>
      <c r="AX82" s="5257">
        <v>2</v>
      </c>
      <c r="AY82" s="5257">
        <v>3</v>
      </c>
      <c r="AZ82" s="5257">
        <v>2</v>
      </c>
      <c r="BA82" s="5257">
        <v>3</v>
      </c>
      <c r="BB82" s="5257">
        <v>1</v>
      </c>
      <c r="BC82" s="5257">
        <v>2</v>
      </c>
      <c r="BD82" s="5257">
        <v>1</v>
      </c>
      <c r="BE82" s="5257">
        <v>2</v>
      </c>
      <c r="BF82" s="5257">
        <v>1</v>
      </c>
      <c r="BG82" s="5257">
        <v>3</v>
      </c>
      <c r="BH82" s="5257">
        <v>0</v>
      </c>
      <c r="BI82" s="5257">
        <f>SUM(AW82:BH82)</f>
        <v>26</v>
      </c>
      <c r="BJ82" s="5259">
        <f t="shared" si="201"/>
        <v>2.1666666666666665</v>
      </c>
      <c r="BL82" s="5234">
        <f t="shared" si="202"/>
        <v>-3</v>
      </c>
      <c r="BM82" s="5234"/>
      <c r="BN82" s="5255">
        <f t="shared" ref="BN82:BN90" si="213">HLOOKUP($A$1,$AW$1:$BH$396,ROW(),0)-SUM(AI82:AJ82)</f>
        <v>-7</v>
      </c>
    </row>
    <row r="83" spans="1:66" ht="18" customHeight="1" x14ac:dyDescent="0.55000000000000004">
      <c r="A83" s="7132"/>
      <c r="B83" s="7133"/>
      <c r="C83" s="5298" t="s">
        <v>86</v>
      </c>
      <c r="D83" s="5298"/>
      <c r="E83" s="5298"/>
      <c r="F83" s="5299"/>
      <c r="G83" s="5300"/>
      <c r="H83" s="5300"/>
      <c r="I83" s="5300"/>
      <c r="J83" s="5300"/>
      <c r="K83" s="5300"/>
      <c r="L83" s="5300"/>
      <c r="M83" s="5300"/>
      <c r="N83" s="5300"/>
      <c r="O83" s="5300"/>
      <c r="P83" s="5300"/>
      <c r="Q83" s="5300"/>
      <c r="R83" s="5300"/>
      <c r="S83" s="5300"/>
      <c r="T83" s="5299">
        <f>T80-T81</f>
        <v>-142</v>
      </c>
      <c r="U83" s="5300">
        <f t="shared" ref="U83:AE83" si="214">U80-U81</f>
        <v>-129</v>
      </c>
      <c r="V83" s="5300">
        <f t="shared" si="214"/>
        <v>-192</v>
      </c>
      <c r="W83" s="5300">
        <f t="shared" si="214"/>
        <v>-114</v>
      </c>
      <c r="X83" s="5300">
        <f t="shared" si="214"/>
        <v>-69</v>
      </c>
      <c r="Y83" s="5300">
        <f t="shared" si="214"/>
        <v>-89</v>
      </c>
      <c r="Z83" s="5262">
        <f t="shared" si="214"/>
        <v>-161</v>
      </c>
      <c r="AA83" s="5262">
        <f t="shared" si="214"/>
        <v>-152</v>
      </c>
      <c r="AB83" s="5262">
        <f t="shared" si="214"/>
        <v>-129</v>
      </c>
      <c r="AC83" s="5262">
        <f t="shared" si="214"/>
        <v>-77</v>
      </c>
      <c r="AD83" s="5262">
        <f t="shared" si="214"/>
        <v>-69</v>
      </c>
      <c r="AE83" s="5262">
        <f t="shared" si="214"/>
        <v>-156</v>
      </c>
      <c r="AF83" s="5263">
        <f>SUM(T83:AE83)</f>
        <v>-1479</v>
      </c>
      <c r="AG83" s="5263">
        <f t="shared" si="212"/>
        <v>-123.25</v>
      </c>
      <c r="AH83" s="5263"/>
      <c r="AI83" s="5264">
        <f t="shared" ref="AI83:AS83" si="215">AI80-AI81</f>
        <v>-149</v>
      </c>
      <c r="AJ83" s="5263">
        <f t="shared" si="215"/>
        <v>-118</v>
      </c>
      <c r="AK83" s="5263">
        <f t="shared" si="215"/>
        <v>-32</v>
      </c>
      <c r="AL83" s="5263">
        <f t="shared" si="215"/>
        <v>-80</v>
      </c>
      <c r="AM83" s="5263">
        <f t="shared" si="215"/>
        <v>-45</v>
      </c>
      <c r="AN83" s="5263">
        <f t="shared" si="215"/>
        <v>-133</v>
      </c>
      <c r="AO83" s="5263">
        <f t="shared" si="215"/>
        <v>-168</v>
      </c>
      <c r="AP83" s="5263">
        <f t="shared" si="215"/>
        <v>-118</v>
      </c>
      <c r="AQ83" s="5263">
        <f t="shared" si="215"/>
        <v>-129</v>
      </c>
      <c r="AR83" s="5263">
        <f t="shared" si="215"/>
        <v>-143</v>
      </c>
      <c r="AS83" s="5263">
        <f t="shared" si="215"/>
        <v>-152</v>
      </c>
      <c r="AT83" s="5262">
        <v>-156</v>
      </c>
      <c r="AU83" s="5263">
        <f>SUM(AI83:AT83)</f>
        <v>-1423</v>
      </c>
      <c r="AV83" s="5265">
        <f t="shared" si="199"/>
        <v>-118.58333333333333</v>
      </c>
      <c r="AW83" s="5261">
        <v>-147</v>
      </c>
      <c r="AX83" s="5263">
        <v>-147</v>
      </c>
      <c r="AY83" s="5263">
        <v>-109</v>
      </c>
      <c r="AZ83" s="5263">
        <f>AZ80-AZ81</f>
        <v>-98</v>
      </c>
      <c r="BA83" s="5263">
        <f t="shared" ref="BA83:BB83" si="216">BA80-BA81</f>
        <v>89</v>
      </c>
      <c r="BB83" s="5263">
        <f t="shared" si="216"/>
        <v>4</v>
      </c>
      <c r="BC83" s="5263">
        <v>107</v>
      </c>
      <c r="BD83" s="5263">
        <v>102</v>
      </c>
      <c r="BE83" s="5263">
        <v>77</v>
      </c>
      <c r="BF83" s="5263">
        <v>-104</v>
      </c>
      <c r="BG83" s="5263">
        <v>-10</v>
      </c>
      <c r="BH83" s="5263">
        <v>30</v>
      </c>
      <c r="BI83" s="5263">
        <f>SUM(AW83:BH83)</f>
        <v>-206</v>
      </c>
      <c r="BJ83" s="5265">
        <f t="shared" si="201"/>
        <v>-17.166666666666668</v>
      </c>
      <c r="BL83" s="5234">
        <f t="shared" si="202"/>
        <v>186</v>
      </c>
      <c r="BM83" s="5234">
        <f t="shared" si="211"/>
        <v>101.41666666666666</v>
      </c>
      <c r="BN83" s="5255">
        <f t="shared" si="213"/>
        <v>297</v>
      </c>
    </row>
    <row r="84" spans="1:66" ht="18" customHeight="1" x14ac:dyDescent="0.55000000000000004">
      <c r="A84" s="7132"/>
      <c r="B84" s="7133"/>
      <c r="C84" s="2682" t="s">
        <v>50</v>
      </c>
      <c r="D84" s="2682"/>
      <c r="E84" s="2682"/>
      <c r="F84" s="5296"/>
      <c r="G84" s="5297"/>
      <c r="H84" s="5297"/>
      <c r="I84" s="5297"/>
      <c r="J84" s="5297"/>
      <c r="K84" s="5297"/>
      <c r="L84" s="5297"/>
      <c r="M84" s="5297"/>
      <c r="N84" s="5297"/>
      <c r="O84" s="5297"/>
      <c r="P84" s="5297"/>
      <c r="Q84" s="5297"/>
      <c r="R84" s="5297"/>
      <c r="S84" s="5297"/>
      <c r="T84" s="5296">
        <f t="shared" ref="T84:AG84" si="217">T83-T85</f>
        <v>-92</v>
      </c>
      <c r="U84" s="5297">
        <f t="shared" si="217"/>
        <v>-29</v>
      </c>
      <c r="V84" s="5297">
        <f t="shared" si="217"/>
        <v>66</v>
      </c>
      <c r="W84" s="5297">
        <f t="shared" si="217"/>
        <v>62</v>
      </c>
      <c r="X84" s="5297">
        <f t="shared" si="217"/>
        <v>106</v>
      </c>
      <c r="Y84" s="5297">
        <f t="shared" si="217"/>
        <v>-50</v>
      </c>
      <c r="Z84" s="3263">
        <f t="shared" si="217"/>
        <v>-16</v>
      </c>
      <c r="AA84" s="3263">
        <f t="shared" si="217"/>
        <v>65</v>
      </c>
      <c r="AB84" s="3263">
        <f t="shared" si="217"/>
        <v>-75</v>
      </c>
      <c r="AC84" s="3263">
        <f t="shared" si="217"/>
        <v>-596</v>
      </c>
      <c r="AD84" s="3263">
        <f t="shared" si="217"/>
        <v>-228</v>
      </c>
      <c r="AE84" s="3263">
        <f t="shared" si="217"/>
        <v>103</v>
      </c>
      <c r="AF84" s="5257">
        <f t="shared" si="217"/>
        <v>-1479</v>
      </c>
      <c r="AG84" s="5257">
        <f t="shared" si="217"/>
        <v>-243.91666666666606</v>
      </c>
      <c r="AH84" s="5257"/>
      <c r="AI84" s="5258">
        <f t="shared" ref="AI84:AS84" si="218">AI83-AI85</f>
        <v>181</v>
      </c>
      <c r="AJ84" s="5257">
        <f t="shared" si="218"/>
        <v>269</v>
      </c>
      <c r="AK84" s="5257">
        <f t="shared" si="218"/>
        <v>235</v>
      </c>
      <c r="AL84" s="5257">
        <f t="shared" si="218"/>
        <v>222</v>
      </c>
      <c r="AM84" s="5257">
        <f t="shared" si="218"/>
        <v>237</v>
      </c>
      <c r="AN84" s="5257">
        <f t="shared" si="218"/>
        <v>236</v>
      </c>
      <c r="AO84" s="5257">
        <f t="shared" si="218"/>
        <v>316</v>
      </c>
      <c r="AP84" s="5257">
        <f t="shared" si="218"/>
        <v>285</v>
      </c>
      <c r="AQ84" s="5257">
        <f t="shared" si="218"/>
        <v>259</v>
      </c>
      <c r="AR84" s="5257">
        <f t="shared" si="218"/>
        <v>233</v>
      </c>
      <c r="AS84" s="5257">
        <f t="shared" si="218"/>
        <v>218</v>
      </c>
      <c r="AT84" s="3263">
        <v>281</v>
      </c>
      <c r="AU84" s="5257">
        <f>SUM(AI84:AR84)</f>
        <v>2473</v>
      </c>
      <c r="AV84" s="5259">
        <f t="shared" si="199"/>
        <v>247.66666666666666</v>
      </c>
      <c r="AW84" s="5256">
        <v>338</v>
      </c>
      <c r="AX84" s="5257">
        <v>338</v>
      </c>
      <c r="AY84" s="5257">
        <v>217</v>
      </c>
      <c r="AZ84" s="5257">
        <f>AZ83-AZ85</f>
        <v>160</v>
      </c>
      <c r="BA84" s="5257">
        <f t="shared" ref="BA84:BB84" si="219">BA83-BA85</f>
        <v>215</v>
      </c>
      <c r="BB84" s="5257">
        <f t="shared" si="219"/>
        <v>143</v>
      </c>
      <c r="BC84" s="5257">
        <v>162</v>
      </c>
      <c r="BD84" s="5257">
        <v>258</v>
      </c>
      <c r="BE84" s="5257">
        <v>221</v>
      </c>
      <c r="BF84" s="5257">
        <v>149</v>
      </c>
      <c r="BG84" s="5257">
        <v>240</v>
      </c>
      <c r="BH84" s="5257">
        <v>259</v>
      </c>
      <c r="BI84" s="5257">
        <f>SUM(AW84:BF84)</f>
        <v>2201</v>
      </c>
      <c r="BJ84" s="5259">
        <f t="shared" si="201"/>
        <v>225</v>
      </c>
      <c r="BL84" s="5234">
        <f t="shared" si="202"/>
        <v>-22</v>
      </c>
      <c r="BM84" s="5234">
        <f t="shared" si="211"/>
        <v>-22.666666666666657</v>
      </c>
      <c r="BN84" s="5255">
        <f t="shared" si="213"/>
        <v>-191</v>
      </c>
    </row>
    <row r="85" spans="1:66" ht="18" customHeight="1" thickBot="1" x14ac:dyDescent="0.6">
      <c r="A85" s="7132"/>
      <c r="B85" s="7133"/>
      <c r="C85" s="5329" t="s">
        <v>51</v>
      </c>
      <c r="D85" s="5301"/>
      <c r="E85" s="5301"/>
      <c r="F85" s="5302"/>
      <c r="G85" s="5303"/>
      <c r="H85" s="5303"/>
      <c r="I85" s="5303"/>
      <c r="J85" s="5303"/>
      <c r="K85" s="5303"/>
      <c r="L85" s="5303"/>
      <c r="M85" s="5303"/>
      <c r="N85" s="5303"/>
      <c r="O85" s="5303"/>
      <c r="P85" s="5303"/>
      <c r="Q85" s="5303"/>
      <c r="R85" s="5303"/>
      <c r="S85" s="5303"/>
      <c r="T85" s="5330">
        <f>T79-Q79</f>
        <v>-50</v>
      </c>
      <c r="U85" s="5303">
        <f t="shared" ref="U85:AG85" si="220">U79-T79</f>
        <v>-100</v>
      </c>
      <c r="V85" s="5303">
        <f t="shared" si="220"/>
        <v>-258</v>
      </c>
      <c r="W85" s="5303">
        <f t="shared" si="220"/>
        <v>-176</v>
      </c>
      <c r="X85" s="5303">
        <f t="shared" si="220"/>
        <v>-175</v>
      </c>
      <c r="Y85" s="5303">
        <f t="shared" si="220"/>
        <v>-39</v>
      </c>
      <c r="Z85" s="5280">
        <f t="shared" si="220"/>
        <v>-145</v>
      </c>
      <c r="AA85" s="5280">
        <f t="shared" si="220"/>
        <v>-217</v>
      </c>
      <c r="AB85" s="5280">
        <f t="shared" si="220"/>
        <v>-54</v>
      </c>
      <c r="AC85" s="5280">
        <f t="shared" si="220"/>
        <v>519</v>
      </c>
      <c r="AD85" s="5280">
        <f t="shared" si="220"/>
        <v>159</v>
      </c>
      <c r="AE85" s="5280">
        <f t="shared" si="220"/>
        <v>-259</v>
      </c>
      <c r="AF85" s="5282">
        <f t="shared" si="220"/>
        <v>0</v>
      </c>
      <c r="AG85" s="5282">
        <f t="shared" si="220"/>
        <v>120.66666666666606</v>
      </c>
      <c r="AH85" s="5282"/>
      <c r="AI85" s="5294">
        <f>AI79-AF79</f>
        <v>-330</v>
      </c>
      <c r="AJ85" s="5282">
        <f t="shared" ref="AJ85:AS85" si="221">AJ79-AI79</f>
        <v>-387</v>
      </c>
      <c r="AK85" s="5282">
        <f t="shared" si="221"/>
        <v>-267</v>
      </c>
      <c r="AL85" s="5282">
        <f t="shared" si="221"/>
        <v>-302</v>
      </c>
      <c r="AM85" s="5282">
        <f t="shared" si="221"/>
        <v>-282</v>
      </c>
      <c r="AN85" s="5282">
        <f t="shared" si="221"/>
        <v>-369</v>
      </c>
      <c r="AO85" s="5282">
        <f t="shared" si="221"/>
        <v>-484</v>
      </c>
      <c r="AP85" s="5282">
        <f t="shared" si="221"/>
        <v>-403</v>
      </c>
      <c r="AQ85" s="5282">
        <f t="shared" si="221"/>
        <v>-388</v>
      </c>
      <c r="AR85" s="5282">
        <f t="shared" si="221"/>
        <v>-376</v>
      </c>
      <c r="AS85" s="5282">
        <f t="shared" si="221"/>
        <v>-370</v>
      </c>
      <c r="AT85" s="5280">
        <v>-437</v>
      </c>
      <c r="AU85" s="5282">
        <f>SUM(AI85:AR85)</f>
        <v>-3588</v>
      </c>
      <c r="AV85" s="5331">
        <f t="shared" si="199"/>
        <v>-366.25</v>
      </c>
      <c r="AW85" s="5268">
        <v>-485</v>
      </c>
      <c r="AX85" s="5282">
        <v>-485</v>
      </c>
      <c r="AY85" s="5282">
        <v>-326</v>
      </c>
      <c r="AZ85" s="5282">
        <f>AZ79-AY79</f>
        <v>-258</v>
      </c>
      <c r="BA85" s="5282">
        <f>BA79-AZ79</f>
        <v>-126</v>
      </c>
      <c r="BB85" s="5282">
        <f>BB79-BA79</f>
        <v>-139</v>
      </c>
      <c r="BC85" s="5282">
        <v>-55</v>
      </c>
      <c r="BD85" s="5282">
        <v>-156</v>
      </c>
      <c r="BE85" s="5282">
        <v>-144</v>
      </c>
      <c r="BF85" s="5282">
        <v>-253</v>
      </c>
      <c r="BG85" s="5282">
        <v>-250</v>
      </c>
      <c r="BH85" s="5282">
        <v>-229</v>
      </c>
      <c r="BI85" s="5282">
        <f>SUM(AW85:BF85)</f>
        <v>-2427</v>
      </c>
      <c r="BJ85" s="5331">
        <f t="shared" si="201"/>
        <v>-242.16666666666666</v>
      </c>
      <c r="BL85" s="5234">
        <f t="shared" si="202"/>
        <v>208</v>
      </c>
      <c r="BM85" s="5234">
        <f t="shared" si="211"/>
        <v>124.08333333333334</v>
      </c>
      <c r="BN85" s="5255">
        <f t="shared" si="213"/>
        <v>488</v>
      </c>
    </row>
    <row r="86" spans="1:66" ht="18" customHeight="1" x14ac:dyDescent="0.55000000000000004">
      <c r="A86" s="7132" t="s">
        <v>1019</v>
      </c>
      <c r="B86" s="7133"/>
      <c r="C86" s="5333" t="s">
        <v>44</v>
      </c>
      <c r="D86" s="5334"/>
      <c r="E86" s="5334">
        <v>16</v>
      </c>
      <c r="F86" s="5335">
        <v>16</v>
      </c>
      <c r="G86" s="5336">
        <v>16</v>
      </c>
      <c r="H86" s="5336">
        <v>16</v>
      </c>
      <c r="I86" s="5336">
        <v>16</v>
      </c>
      <c r="J86" s="5336">
        <v>14</v>
      </c>
      <c r="K86" s="5336">
        <v>14</v>
      </c>
      <c r="L86" s="5336">
        <v>14</v>
      </c>
      <c r="M86" s="5336">
        <v>14</v>
      </c>
      <c r="N86" s="5336">
        <v>14</v>
      </c>
      <c r="O86" s="5336">
        <v>13</v>
      </c>
      <c r="P86" s="5336">
        <v>13</v>
      </c>
      <c r="Q86" s="5336">
        <v>13</v>
      </c>
      <c r="R86" s="5336">
        <f>Q86</f>
        <v>13</v>
      </c>
      <c r="S86" s="5336">
        <f>AVERAGE(F86:Q86)</f>
        <v>14.416666666666666</v>
      </c>
      <c r="T86" s="5336">
        <v>13</v>
      </c>
      <c r="U86" s="5336">
        <v>13</v>
      </c>
      <c r="V86" s="5336">
        <v>12</v>
      </c>
      <c r="W86" s="5336">
        <v>12</v>
      </c>
      <c r="X86" s="5336">
        <v>12</v>
      </c>
      <c r="Y86" s="5336">
        <v>12</v>
      </c>
      <c r="Z86" s="5337">
        <v>12</v>
      </c>
      <c r="AA86" s="5337">
        <v>12</v>
      </c>
      <c r="AB86" s="5337">
        <v>12</v>
      </c>
      <c r="AC86" s="5337">
        <v>12</v>
      </c>
      <c r="AD86" s="5337">
        <v>12</v>
      </c>
      <c r="AE86" s="5337">
        <v>12</v>
      </c>
      <c r="AF86" s="5312"/>
      <c r="AG86" s="5312"/>
      <c r="AH86" s="5312"/>
      <c r="AI86" s="5292">
        <v>22992</v>
      </c>
      <c r="AJ86" s="5338">
        <v>23197</v>
      </c>
      <c r="AK86" s="5338">
        <v>23404</v>
      </c>
      <c r="AL86" s="5338">
        <v>23590</v>
      </c>
      <c r="AM86" s="5338">
        <v>23949</v>
      </c>
      <c r="AN86" s="5338">
        <v>24590</v>
      </c>
      <c r="AO86" s="5338">
        <v>25048</v>
      </c>
      <c r="AP86" s="5338">
        <v>26142</v>
      </c>
      <c r="AQ86" s="5338">
        <v>26686</v>
      </c>
      <c r="AR86" s="5338">
        <v>27524</v>
      </c>
      <c r="AS86" s="5338">
        <v>27619</v>
      </c>
      <c r="AT86" s="5337">
        <v>27805</v>
      </c>
      <c r="AU86" s="5338">
        <f>INDEX($AI86:$AT86, 1, MATCH(0, $AI86:$AT86, -1))</f>
        <v>27805</v>
      </c>
      <c r="AV86" s="5340">
        <f t="shared" ref="AV86:AV92" si="222">AVERAGE(AI86:AT86)</f>
        <v>25212.166666666668</v>
      </c>
      <c r="AW86" s="5343">
        <v>27906</v>
      </c>
      <c r="AX86" s="5337">
        <v>28145</v>
      </c>
      <c r="AY86" s="5337">
        <v>28260</v>
      </c>
      <c r="AZ86" s="5337">
        <v>28521</v>
      </c>
      <c r="BA86" s="5337">
        <v>28205</v>
      </c>
      <c r="BB86" s="5337">
        <v>28652</v>
      </c>
      <c r="BC86" s="5338">
        <v>29352</v>
      </c>
      <c r="BD86" s="5337">
        <v>30402</v>
      </c>
      <c r="BE86" s="5337">
        <v>31191</v>
      </c>
      <c r="BF86" s="5337">
        <v>32049</v>
      </c>
      <c r="BG86" s="5338">
        <v>31827</v>
      </c>
      <c r="BH86" s="5337">
        <v>30832</v>
      </c>
      <c r="BI86" s="5252">
        <f>AW86</f>
        <v>27906</v>
      </c>
      <c r="BJ86" s="5340">
        <f t="shared" ref="BJ86:BJ92" si="223">AVERAGE(AW86:BH86)</f>
        <v>29611.833333333332</v>
      </c>
      <c r="BL86" s="5234">
        <f t="shared" si="202"/>
        <v>3027</v>
      </c>
      <c r="BM86" s="5234">
        <f t="shared" si="211"/>
        <v>4399.6666666666642</v>
      </c>
      <c r="BN86" s="5255">
        <f t="shared" si="213"/>
        <v>-15357</v>
      </c>
    </row>
    <row r="87" spans="1:66" ht="18" customHeight="1" x14ac:dyDescent="0.55000000000000004">
      <c r="A87" s="7132"/>
      <c r="B87" s="7133"/>
      <c r="C87" s="2682" t="s">
        <v>47</v>
      </c>
      <c r="D87" s="2682"/>
      <c r="E87" s="2682"/>
      <c r="F87" s="5296"/>
      <c r="G87" s="5297"/>
      <c r="H87" s="5297"/>
      <c r="I87" s="5297"/>
      <c r="J87" s="5297"/>
      <c r="K87" s="5297"/>
      <c r="L87" s="5297"/>
      <c r="M87" s="5297"/>
      <c r="N87" s="5297"/>
      <c r="O87" s="5297"/>
      <c r="P87" s="5297"/>
      <c r="Q87" s="5297"/>
      <c r="R87" s="5297"/>
      <c r="S87" s="5297"/>
      <c r="T87" s="5296"/>
      <c r="U87" s="5297"/>
      <c r="V87" s="5297"/>
      <c r="W87" s="5297"/>
      <c r="X87" s="5297"/>
      <c r="Y87" s="5297"/>
      <c r="Z87" s="3263"/>
      <c r="AA87" s="3263"/>
      <c r="AB87" s="3263"/>
      <c r="AC87" s="3263"/>
      <c r="AD87" s="3263"/>
      <c r="AE87" s="3263"/>
      <c r="AF87" s="5312"/>
      <c r="AG87" s="5312"/>
      <c r="AH87" s="5312"/>
      <c r="AI87" s="5258">
        <v>244</v>
      </c>
      <c r="AJ87" s="5257">
        <v>248</v>
      </c>
      <c r="AK87" s="5257">
        <v>272</v>
      </c>
      <c r="AL87" s="5257">
        <v>230</v>
      </c>
      <c r="AM87" s="5257">
        <v>292</v>
      </c>
      <c r="AN87" s="5257">
        <v>453</v>
      </c>
      <c r="AO87" s="5257">
        <v>422</v>
      </c>
      <c r="AP87" s="5257">
        <v>754</v>
      </c>
      <c r="AQ87" s="5257">
        <v>489</v>
      </c>
      <c r="AR87" s="5257">
        <v>460</v>
      </c>
      <c r="AS87" s="5257">
        <v>383</v>
      </c>
      <c r="AT87" s="3263">
        <v>265</v>
      </c>
      <c r="AU87" s="5257">
        <f t="shared" ref="AU87:AU92" si="224">INDEX($AI87:$AT87, 1, MATCH(0, $AI87:$AT87, -1))</f>
        <v>265</v>
      </c>
      <c r="AV87" s="5259">
        <f t="shared" si="222"/>
        <v>376</v>
      </c>
      <c r="AW87" s="5256">
        <v>276</v>
      </c>
      <c r="AX87" s="3263">
        <v>282</v>
      </c>
      <c r="AY87" s="3263">
        <v>347</v>
      </c>
      <c r="AZ87" s="3263">
        <v>403</v>
      </c>
      <c r="BA87" s="3263">
        <v>527</v>
      </c>
      <c r="BB87" s="3263">
        <v>356</v>
      </c>
      <c r="BC87" s="5257">
        <v>645</v>
      </c>
      <c r="BD87" s="3263">
        <v>348</v>
      </c>
      <c r="BE87" s="5293">
        <v>373</v>
      </c>
      <c r="BF87" s="5257">
        <v>191</v>
      </c>
      <c r="BG87" s="5257">
        <v>161</v>
      </c>
      <c r="BH87" s="3263">
        <v>128</v>
      </c>
      <c r="BI87" s="5257">
        <f>SUM(AW87:BF87)</f>
        <v>3748</v>
      </c>
      <c r="BJ87" s="5259">
        <f t="shared" si="223"/>
        <v>336.41666666666669</v>
      </c>
      <c r="BL87" s="5234">
        <f t="shared" si="202"/>
        <v>-137</v>
      </c>
      <c r="BM87" s="5234">
        <f t="shared" si="211"/>
        <v>-39.583333333333314</v>
      </c>
      <c r="BN87" s="5255">
        <f t="shared" si="213"/>
        <v>-364</v>
      </c>
    </row>
    <row r="88" spans="1:66" ht="18" customHeight="1" x14ac:dyDescent="0.55000000000000004">
      <c r="A88" s="7132"/>
      <c r="B88" s="7133"/>
      <c r="C88" s="2682" t="s">
        <v>48</v>
      </c>
      <c r="D88" s="2682"/>
      <c r="E88" s="2682">
        <v>1</v>
      </c>
      <c r="F88" s="5296">
        <v>0</v>
      </c>
      <c r="G88" s="5297">
        <v>0</v>
      </c>
      <c r="H88" s="5297">
        <v>0</v>
      </c>
      <c r="I88" s="5297">
        <v>0</v>
      </c>
      <c r="J88" s="5297">
        <v>0</v>
      </c>
      <c r="K88" s="5297">
        <v>0</v>
      </c>
      <c r="L88" s="5297">
        <v>0</v>
      </c>
      <c r="M88" s="5297">
        <v>0</v>
      </c>
      <c r="N88" s="5297">
        <v>0</v>
      </c>
      <c r="O88" s="5297">
        <v>1</v>
      </c>
      <c r="P88" s="5297">
        <v>0</v>
      </c>
      <c r="Q88" s="5297">
        <v>0</v>
      </c>
      <c r="R88" s="5297">
        <f>SUM(F88:Q88)</f>
        <v>1</v>
      </c>
      <c r="S88" s="5297"/>
      <c r="T88" s="5296"/>
      <c r="U88" s="5297"/>
      <c r="V88" s="5297"/>
      <c r="W88" s="5297"/>
      <c r="X88" s="5297"/>
      <c r="Y88" s="5297"/>
      <c r="Z88" s="3263"/>
      <c r="AA88" s="3263"/>
      <c r="AB88" s="3263"/>
      <c r="AC88" s="3263"/>
      <c r="AD88" s="3263"/>
      <c r="AE88" s="3263"/>
      <c r="AF88" s="5312"/>
      <c r="AG88" s="5312"/>
      <c r="AH88" s="5312"/>
      <c r="AI88" s="5258">
        <v>109</v>
      </c>
      <c r="AJ88" s="5257">
        <v>119</v>
      </c>
      <c r="AK88" s="5257">
        <v>129</v>
      </c>
      <c r="AL88" s="5257">
        <v>138</v>
      </c>
      <c r="AM88" s="5257">
        <v>151</v>
      </c>
      <c r="AN88" s="5257">
        <v>130</v>
      </c>
      <c r="AO88" s="5257">
        <v>170</v>
      </c>
      <c r="AP88" s="5257">
        <v>101</v>
      </c>
      <c r="AQ88" s="5257">
        <v>136</v>
      </c>
      <c r="AR88" s="5257">
        <v>102</v>
      </c>
      <c r="AS88" s="5257">
        <v>112</v>
      </c>
      <c r="AT88" s="3263">
        <v>85</v>
      </c>
      <c r="AU88" s="5257">
        <f t="shared" si="224"/>
        <v>85</v>
      </c>
      <c r="AV88" s="5259">
        <f t="shared" si="222"/>
        <v>123.5</v>
      </c>
      <c r="AW88" s="5256">
        <v>154</v>
      </c>
      <c r="AX88" s="3263">
        <v>204</v>
      </c>
      <c r="AY88" s="3263">
        <v>201</v>
      </c>
      <c r="AZ88" s="3263">
        <v>214</v>
      </c>
      <c r="BA88" s="3263">
        <v>137</v>
      </c>
      <c r="BB88" s="3263">
        <v>153</v>
      </c>
      <c r="BC88" s="5257">
        <v>119</v>
      </c>
      <c r="BD88" s="3263">
        <v>119</v>
      </c>
      <c r="BE88" s="3263">
        <v>231</v>
      </c>
      <c r="BF88" s="5257">
        <v>171</v>
      </c>
      <c r="BG88" s="5257">
        <v>335</v>
      </c>
      <c r="BH88" s="3263">
        <v>313</v>
      </c>
      <c r="BI88" s="5257">
        <f>SUM(AW88:BG88)</f>
        <v>2038</v>
      </c>
      <c r="BJ88" s="5259">
        <f t="shared" si="223"/>
        <v>195.91666666666666</v>
      </c>
      <c r="BL88" s="5234">
        <f t="shared" si="202"/>
        <v>228</v>
      </c>
      <c r="BM88" s="5234">
        <f t="shared" si="211"/>
        <v>72.416666666666657</v>
      </c>
      <c r="BN88" s="5255">
        <f t="shared" si="213"/>
        <v>85</v>
      </c>
    </row>
    <row r="89" spans="1:66" ht="18" customHeight="1" x14ac:dyDescent="0.55000000000000004">
      <c r="A89" s="7132"/>
      <c r="B89" s="7133"/>
      <c r="C89" s="5295" t="s">
        <v>59</v>
      </c>
      <c r="D89" s="2682"/>
      <c r="E89" s="2682">
        <v>1</v>
      </c>
      <c r="F89" s="5296">
        <v>0</v>
      </c>
      <c r="G89" s="5297">
        <v>0</v>
      </c>
      <c r="H89" s="5297">
        <v>0</v>
      </c>
      <c r="I89" s="5297">
        <v>0</v>
      </c>
      <c r="J89" s="5297">
        <v>0</v>
      </c>
      <c r="K89" s="5297">
        <v>0</v>
      </c>
      <c r="L89" s="5297">
        <v>0</v>
      </c>
      <c r="M89" s="5297">
        <v>0</v>
      </c>
      <c r="N89" s="5297">
        <v>0</v>
      </c>
      <c r="O89" s="5297">
        <v>0</v>
      </c>
      <c r="P89" s="5297">
        <v>0</v>
      </c>
      <c r="Q89" s="5297">
        <v>0</v>
      </c>
      <c r="R89" s="5297">
        <f>SUM(F89:Q89)</f>
        <v>0</v>
      </c>
      <c r="S89" s="5297"/>
      <c r="T89" s="5296"/>
      <c r="U89" s="5297"/>
      <c r="V89" s="5297"/>
      <c r="W89" s="5297"/>
      <c r="X89" s="5297"/>
      <c r="Y89" s="5297"/>
      <c r="Z89" s="3263"/>
      <c r="AA89" s="3263"/>
      <c r="AB89" s="3263"/>
      <c r="AC89" s="3263"/>
      <c r="AD89" s="3263"/>
      <c r="AE89" s="3263"/>
      <c r="AF89" s="5312"/>
      <c r="AG89" s="5312"/>
      <c r="AH89" s="5312"/>
      <c r="AI89" s="5258">
        <v>12</v>
      </c>
      <c r="AJ89" s="5257">
        <v>3</v>
      </c>
      <c r="AK89" s="5257">
        <v>28</v>
      </c>
      <c r="AL89" s="5257">
        <v>36</v>
      </c>
      <c r="AM89" s="5257">
        <v>36</v>
      </c>
      <c r="AN89" s="5257">
        <v>15</v>
      </c>
      <c r="AO89" s="5257">
        <v>14</v>
      </c>
      <c r="AP89" s="5257">
        <v>3</v>
      </c>
      <c r="AQ89" s="5257">
        <v>8</v>
      </c>
      <c r="AR89" s="5257">
        <v>2</v>
      </c>
      <c r="AS89" s="5257">
        <v>0</v>
      </c>
      <c r="AT89" s="3263">
        <v>2</v>
      </c>
      <c r="AU89" s="5257">
        <f t="shared" si="224"/>
        <v>0</v>
      </c>
      <c r="AV89" s="5259">
        <f t="shared" si="222"/>
        <v>13.25</v>
      </c>
      <c r="AW89" s="5256">
        <v>24</v>
      </c>
      <c r="AX89" s="3263">
        <v>9</v>
      </c>
      <c r="AY89" s="3263">
        <v>91</v>
      </c>
      <c r="AZ89" s="3263">
        <v>69</v>
      </c>
      <c r="BA89" s="3263">
        <v>88</v>
      </c>
      <c r="BB89" s="3263">
        <v>33</v>
      </c>
      <c r="BC89" s="5257">
        <v>20</v>
      </c>
      <c r="BD89" s="3263">
        <v>3</v>
      </c>
      <c r="BE89" s="3263">
        <v>6</v>
      </c>
      <c r="BF89" s="5257">
        <v>4</v>
      </c>
      <c r="BG89" s="5257">
        <v>1</v>
      </c>
      <c r="BH89" s="3263">
        <v>6</v>
      </c>
      <c r="BI89" s="5257">
        <f>SUM(AW89:BG89)</f>
        <v>348</v>
      </c>
      <c r="BJ89" s="5259">
        <f t="shared" si="223"/>
        <v>29.5</v>
      </c>
      <c r="BL89" s="5234">
        <f t="shared" si="202"/>
        <v>4</v>
      </c>
      <c r="BM89" s="5234">
        <f t="shared" si="211"/>
        <v>16.25</v>
      </c>
      <c r="BN89" s="5255">
        <f t="shared" si="213"/>
        <v>-9</v>
      </c>
    </row>
    <row r="90" spans="1:66" ht="18" customHeight="1" x14ac:dyDescent="0.55000000000000004">
      <c r="A90" s="7132"/>
      <c r="B90" s="7133"/>
      <c r="C90" s="5298" t="s">
        <v>86</v>
      </c>
      <c r="D90" s="5298"/>
      <c r="E90" s="5298"/>
      <c r="F90" s="5299"/>
      <c r="G90" s="5300"/>
      <c r="H90" s="5300"/>
      <c r="I90" s="5300"/>
      <c r="J90" s="5300"/>
      <c r="K90" s="5300"/>
      <c r="L90" s="5300"/>
      <c r="M90" s="5300"/>
      <c r="N90" s="5300"/>
      <c r="O90" s="5300"/>
      <c r="P90" s="5300"/>
      <c r="Q90" s="5300"/>
      <c r="R90" s="5300"/>
      <c r="S90" s="5300"/>
      <c r="T90" s="5299">
        <f>T87-T88</f>
        <v>0</v>
      </c>
      <c r="U90" s="5300">
        <f t="shared" ref="U90:AE90" si="225">U87-U88</f>
        <v>0</v>
      </c>
      <c r="V90" s="5300">
        <f t="shared" si="225"/>
        <v>0</v>
      </c>
      <c r="W90" s="5300">
        <f t="shared" si="225"/>
        <v>0</v>
      </c>
      <c r="X90" s="5300">
        <f t="shared" si="225"/>
        <v>0</v>
      </c>
      <c r="Y90" s="5300">
        <f t="shared" si="225"/>
        <v>0</v>
      </c>
      <c r="Z90" s="5262">
        <f t="shared" si="225"/>
        <v>0</v>
      </c>
      <c r="AA90" s="5262">
        <f t="shared" si="225"/>
        <v>0</v>
      </c>
      <c r="AB90" s="5262">
        <f t="shared" si="225"/>
        <v>0</v>
      </c>
      <c r="AC90" s="5262">
        <f t="shared" si="225"/>
        <v>0</v>
      </c>
      <c r="AD90" s="5262">
        <f t="shared" si="225"/>
        <v>0</v>
      </c>
      <c r="AE90" s="5262">
        <f t="shared" si="225"/>
        <v>0</v>
      </c>
      <c r="AF90" s="5312"/>
      <c r="AG90" s="5312"/>
      <c r="AH90" s="5312"/>
      <c r="AI90" s="5264">
        <f>AI87-AI88</f>
        <v>135</v>
      </c>
      <c r="AJ90" s="5263">
        <f t="shared" ref="AJ90:AS90" si="226">AJ87-AJ88</f>
        <v>129</v>
      </c>
      <c r="AK90" s="5263">
        <f t="shared" si="226"/>
        <v>143</v>
      </c>
      <c r="AL90" s="5263">
        <f t="shared" si="226"/>
        <v>92</v>
      </c>
      <c r="AM90" s="5263">
        <f t="shared" si="226"/>
        <v>141</v>
      </c>
      <c r="AN90" s="5263">
        <f t="shared" si="226"/>
        <v>323</v>
      </c>
      <c r="AO90" s="5263">
        <f t="shared" si="226"/>
        <v>252</v>
      </c>
      <c r="AP90" s="5263">
        <f t="shared" si="226"/>
        <v>653</v>
      </c>
      <c r="AQ90" s="5263">
        <f t="shared" si="226"/>
        <v>353</v>
      </c>
      <c r="AR90" s="5263">
        <f t="shared" si="226"/>
        <v>358</v>
      </c>
      <c r="AS90" s="5263">
        <f t="shared" si="226"/>
        <v>271</v>
      </c>
      <c r="AT90" s="5262">
        <v>-156</v>
      </c>
      <c r="AU90" s="5263">
        <f t="shared" si="224"/>
        <v>271</v>
      </c>
      <c r="AV90" s="5265">
        <f t="shared" si="222"/>
        <v>224.5</v>
      </c>
      <c r="AW90" s="5262">
        <f>AW87-AW88</f>
        <v>122</v>
      </c>
      <c r="AX90" s="5263">
        <f>AX87-AX88</f>
        <v>78</v>
      </c>
      <c r="AY90" s="5263">
        <v>146</v>
      </c>
      <c r="AZ90" s="5263">
        <f t="shared" ref="AZ90:BB90" si="227">AZ87-AZ88</f>
        <v>189</v>
      </c>
      <c r="BA90" s="5263">
        <f t="shared" si="227"/>
        <v>390</v>
      </c>
      <c r="BB90" s="5263">
        <f t="shared" si="227"/>
        <v>203</v>
      </c>
      <c r="BC90" s="5263">
        <v>526</v>
      </c>
      <c r="BD90" s="5263">
        <v>229</v>
      </c>
      <c r="BE90" s="5263">
        <v>142</v>
      </c>
      <c r="BF90" s="5263">
        <v>20</v>
      </c>
      <c r="BG90" s="5263">
        <v>-174</v>
      </c>
      <c r="BH90" s="5263">
        <v>-185</v>
      </c>
      <c r="BI90" s="5263">
        <f>SUM(AW90:BF90)</f>
        <v>2045</v>
      </c>
      <c r="BJ90" s="5265">
        <f t="shared" si="223"/>
        <v>140.5</v>
      </c>
      <c r="BL90" s="5234">
        <f t="shared" si="202"/>
        <v>-29</v>
      </c>
      <c r="BM90" s="5234">
        <f t="shared" si="211"/>
        <v>-84</v>
      </c>
      <c r="BN90" s="5255">
        <f t="shared" si="213"/>
        <v>-449</v>
      </c>
    </row>
    <row r="91" spans="1:66" ht="18" customHeight="1" x14ac:dyDescent="0.55000000000000004">
      <c r="A91" s="7132"/>
      <c r="B91" s="7133"/>
      <c r="C91" s="2682" t="s">
        <v>50</v>
      </c>
      <c r="D91" s="2682"/>
      <c r="E91" s="2682"/>
      <c r="F91" s="5296"/>
      <c r="G91" s="5297"/>
      <c r="H91" s="5297"/>
      <c r="I91" s="5297"/>
      <c r="J91" s="5297"/>
      <c r="K91" s="5297"/>
      <c r="L91" s="5297"/>
      <c r="M91" s="5297"/>
      <c r="N91" s="5297"/>
      <c r="O91" s="5297"/>
      <c r="P91" s="5297"/>
      <c r="Q91" s="5297"/>
      <c r="R91" s="5297"/>
      <c r="S91" s="5297"/>
      <c r="T91" s="5296"/>
      <c r="U91" s="5297"/>
      <c r="V91" s="5297"/>
      <c r="W91" s="5297"/>
      <c r="X91" s="5297"/>
      <c r="Y91" s="5297"/>
      <c r="Z91" s="3263"/>
      <c r="AA91" s="3263"/>
      <c r="AB91" s="3263"/>
      <c r="AC91" s="3263"/>
      <c r="AD91" s="3263"/>
      <c r="AE91" s="3263"/>
      <c r="AF91" s="5312"/>
      <c r="AG91" s="5312"/>
      <c r="AH91" s="5312"/>
      <c r="AI91" s="5258">
        <v>209</v>
      </c>
      <c r="AJ91" s="5257">
        <f t="shared" ref="AJ91:AS91" si="228">AJ90-AJ92</f>
        <v>-76</v>
      </c>
      <c r="AK91" s="5257">
        <f t="shared" si="228"/>
        <v>-64</v>
      </c>
      <c r="AL91" s="5257">
        <f t="shared" si="228"/>
        <v>-94</v>
      </c>
      <c r="AM91" s="5257">
        <f t="shared" si="228"/>
        <v>-218</v>
      </c>
      <c r="AN91" s="5257">
        <f t="shared" si="228"/>
        <v>-318</v>
      </c>
      <c r="AO91" s="5257">
        <f t="shared" si="228"/>
        <v>-206</v>
      </c>
      <c r="AP91" s="5257">
        <f t="shared" si="228"/>
        <v>-441</v>
      </c>
      <c r="AQ91" s="5257">
        <f t="shared" si="228"/>
        <v>-191</v>
      </c>
      <c r="AR91" s="5257">
        <f t="shared" si="228"/>
        <v>-480</v>
      </c>
      <c r="AS91" s="5257">
        <f t="shared" si="228"/>
        <v>176</v>
      </c>
      <c r="AT91" s="3263">
        <v>281</v>
      </c>
      <c r="AU91" s="5257">
        <f t="shared" si="224"/>
        <v>209</v>
      </c>
      <c r="AV91" s="5259">
        <f t="shared" si="222"/>
        <v>-118.5</v>
      </c>
      <c r="AW91" s="5344">
        <v>295</v>
      </c>
      <c r="AX91" s="5257">
        <v>295</v>
      </c>
      <c r="AY91" s="5257">
        <v>31</v>
      </c>
      <c r="AZ91" s="5257">
        <f>AZ90-AZ92</f>
        <v>-72</v>
      </c>
      <c r="BA91" s="5257">
        <f t="shared" ref="BA91:BB91" si="229">BA90-BA92</f>
        <v>706</v>
      </c>
      <c r="BB91" s="5257">
        <f t="shared" si="229"/>
        <v>-244</v>
      </c>
      <c r="BC91" s="5257">
        <v>-174</v>
      </c>
      <c r="BD91" s="5257">
        <v>-821</v>
      </c>
      <c r="BE91" s="5257">
        <v>-647</v>
      </c>
      <c r="BF91" s="5257">
        <v>-838</v>
      </c>
      <c r="BG91" s="5257">
        <v>48</v>
      </c>
      <c r="BH91" s="5257">
        <v>810</v>
      </c>
      <c r="BI91" s="5257">
        <f>SUM(AW91:BF91)</f>
        <v>-1469</v>
      </c>
      <c r="BJ91" s="5259">
        <f t="shared" si="223"/>
        <v>-50.916666666666664</v>
      </c>
      <c r="BL91" s="5234">
        <f t="shared" si="202"/>
        <v>529</v>
      </c>
      <c r="BM91" s="5234">
        <f t="shared" si="211"/>
        <v>67.583333333333343</v>
      </c>
      <c r="BN91" s="5235">
        <f>AX91-AJ91</f>
        <v>371</v>
      </c>
    </row>
    <row r="92" spans="1:66" ht="18" customHeight="1" thickBot="1" x14ac:dyDescent="0.6">
      <c r="A92" s="7134"/>
      <c r="B92" s="7135"/>
      <c r="C92" s="5345" t="s">
        <v>51</v>
      </c>
      <c r="D92" s="5313"/>
      <c r="E92" s="5313"/>
      <c r="F92" s="5323"/>
      <c r="G92" s="5324"/>
      <c r="H92" s="5324"/>
      <c r="I92" s="5324"/>
      <c r="J92" s="5324"/>
      <c r="K92" s="5324"/>
      <c r="L92" s="5324"/>
      <c r="M92" s="5324"/>
      <c r="N92" s="5324"/>
      <c r="O92" s="5324"/>
      <c r="P92" s="5324"/>
      <c r="Q92" s="5324"/>
      <c r="R92" s="5324"/>
      <c r="S92" s="5324"/>
      <c r="T92" s="5346">
        <f>T86-Q86</f>
        <v>0</v>
      </c>
      <c r="U92" s="5324">
        <f t="shared" ref="U92:AE92" si="230">U86-T86</f>
        <v>0</v>
      </c>
      <c r="V92" s="5324">
        <f t="shared" si="230"/>
        <v>-1</v>
      </c>
      <c r="W92" s="5324">
        <f t="shared" si="230"/>
        <v>0</v>
      </c>
      <c r="X92" s="5324">
        <f t="shared" si="230"/>
        <v>0</v>
      </c>
      <c r="Y92" s="5324">
        <f t="shared" si="230"/>
        <v>0</v>
      </c>
      <c r="Z92" s="5273">
        <f t="shared" si="230"/>
        <v>0</v>
      </c>
      <c r="AA92" s="5273">
        <f t="shared" si="230"/>
        <v>0</v>
      </c>
      <c r="AB92" s="5273">
        <f t="shared" si="230"/>
        <v>0</v>
      </c>
      <c r="AC92" s="5273">
        <f t="shared" si="230"/>
        <v>0</v>
      </c>
      <c r="AD92" s="5273">
        <f t="shared" si="230"/>
        <v>0</v>
      </c>
      <c r="AE92" s="5273">
        <f t="shared" si="230"/>
        <v>0</v>
      </c>
      <c r="AF92" s="5315"/>
      <c r="AG92" s="5315"/>
      <c r="AH92" s="5315"/>
      <c r="AI92" s="5347"/>
      <c r="AJ92" s="5282">
        <f t="shared" ref="AJ92:AS92" si="231">AJ86-AI86</f>
        <v>205</v>
      </c>
      <c r="AK92" s="5282">
        <f t="shared" si="231"/>
        <v>207</v>
      </c>
      <c r="AL92" s="5282">
        <f t="shared" si="231"/>
        <v>186</v>
      </c>
      <c r="AM92" s="5282">
        <f t="shared" si="231"/>
        <v>359</v>
      </c>
      <c r="AN92" s="5282">
        <f t="shared" si="231"/>
        <v>641</v>
      </c>
      <c r="AO92" s="5282">
        <f t="shared" si="231"/>
        <v>458</v>
      </c>
      <c r="AP92" s="5282">
        <f t="shared" si="231"/>
        <v>1094</v>
      </c>
      <c r="AQ92" s="5282">
        <f t="shared" si="231"/>
        <v>544</v>
      </c>
      <c r="AR92" s="5282">
        <f t="shared" si="231"/>
        <v>838</v>
      </c>
      <c r="AS92" s="5282">
        <f t="shared" si="231"/>
        <v>95</v>
      </c>
      <c r="AT92" s="5280">
        <v>-437</v>
      </c>
      <c r="AU92" s="5282">
        <f t="shared" si="224"/>
        <v>95</v>
      </c>
      <c r="AV92" s="5331">
        <f t="shared" si="222"/>
        <v>380.90909090909093</v>
      </c>
      <c r="AW92" s="5348">
        <f>AW86-AT86</f>
        <v>101</v>
      </c>
      <c r="AX92" s="5318">
        <f>AX86-AU86</f>
        <v>340</v>
      </c>
      <c r="AY92" s="5318">
        <v>115</v>
      </c>
      <c r="AZ92" s="5318">
        <f>AZ86-AY86</f>
        <v>261</v>
      </c>
      <c r="BA92" s="5318">
        <f>BA86-AZ86</f>
        <v>-316</v>
      </c>
      <c r="BB92" s="5318">
        <f>BB86-BA86</f>
        <v>447</v>
      </c>
      <c r="BC92" s="5318">
        <v>700</v>
      </c>
      <c r="BD92" s="5318">
        <v>1050</v>
      </c>
      <c r="BE92" s="5318">
        <v>789</v>
      </c>
      <c r="BF92" s="5318">
        <v>858</v>
      </c>
      <c r="BG92" s="5318">
        <v>-222</v>
      </c>
      <c r="BH92" s="5318">
        <v>-995</v>
      </c>
      <c r="BI92" s="5318">
        <f>SUM(AW92:BF92)</f>
        <v>4345</v>
      </c>
      <c r="BJ92" s="5319">
        <f t="shared" si="223"/>
        <v>260.66666666666669</v>
      </c>
      <c r="BL92" s="5234">
        <f t="shared" si="202"/>
        <v>-558</v>
      </c>
      <c r="BM92" s="5234"/>
      <c r="BN92" s="5235"/>
    </row>
    <row r="93" spans="1:66" ht="18" customHeight="1" x14ac:dyDescent="0.55000000000000004">
      <c r="A93" s="7132" t="s">
        <v>22</v>
      </c>
      <c r="B93" s="7133"/>
      <c r="C93" s="5333" t="s">
        <v>44</v>
      </c>
      <c r="D93" s="5334"/>
      <c r="E93" s="5334">
        <v>16</v>
      </c>
      <c r="F93" s="5335">
        <v>16</v>
      </c>
      <c r="G93" s="5336">
        <v>16</v>
      </c>
      <c r="H93" s="5336">
        <v>16</v>
      </c>
      <c r="I93" s="5336">
        <v>16</v>
      </c>
      <c r="J93" s="5336">
        <v>14</v>
      </c>
      <c r="K93" s="5336">
        <v>14</v>
      </c>
      <c r="L93" s="5336">
        <v>14</v>
      </c>
      <c r="M93" s="5336">
        <v>14</v>
      </c>
      <c r="N93" s="5336">
        <v>14</v>
      </c>
      <c r="O93" s="5336">
        <v>13</v>
      </c>
      <c r="P93" s="5336">
        <v>13</v>
      </c>
      <c r="Q93" s="5336">
        <v>13</v>
      </c>
      <c r="R93" s="5336">
        <f>Q93</f>
        <v>13</v>
      </c>
      <c r="S93" s="5336">
        <f>AVERAGE(F93:Q93)</f>
        <v>14.416666666666666</v>
      </c>
      <c r="T93" s="5336">
        <v>13</v>
      </c>
      <c r="U93" s="5336">
        <v>13</v>
      </c>
      <c r="V93" s="5336">
        <v>12</v>
      </c>
      <c r="W93" s="5336">
        <v>12</v>
      </c>
      <c r="X93" s="5336">
        <v>12</v>
      </c>
      <c r="Y93" s="5336">
        <v>12</v>
      </c>
      <c r="Z93" s="5337">
        <v>12</v>
      </c>
      <c r="AA93" s="5337">
        <v>12</v>
      </c>
      <c r="AB93" s="5337">
        <v>12</v>
      </c>
      <c r="AC93" s="5337">
        <v>12</v>
      </c>
      <c r="AD93" s="5337">
        <v>12</v>
      </c>
      <c r="AE93" s="5337">
        <v>12</v>
      </c>
      <c r="AF93" s="5338">
        <f>AE93</f>
        <v>12</v>
      </c>
      <c r="AG93" s="5338">
        <f>AVERAGE(T93:AE93)</f>
        <v>12.166666666666666</v>
      </c>
      <c r="AH93" s="5338"/>
      <c r="AI93" s="5349">
        <v>12</v>
      </c>
      <c r="AJ93" s="5338">
        <v>12</v>
      </c>
      <c r="AK93" s="5338">
        <v>12</v>
      </c>
      <c r="AL93" s="5338">
        <v>12</v>
      </c>
      <c r="AM93" s="5338">
        <v>12</v>
      </c>
      <c r="AN93" s="5338">
        <v>12</v>
      </c>
      <c r="AO93" s="5338">
        <v>12</v>
      </c>
      <c r="AP93" s="5338">
        <v>12</v>
      </c>
      <c r="AQ93" s="5338">
        <v>314</v>
      </c>
      <c r="AR93" s="5338">
        <v>316</v>
      </c>
      <c r="AS93" s="5338">
        <v>318</v>
      </c>
      <c r="AT93" s="5337">
        <v>318</v>
      </c>
      <c r="AU93" s="5338">
        <f>INDEX($AI93:$AT93, 1, MATCH(0, $AI93:$AT93, -1))</f>
        <v>318</v>
      </c>
      <c r="AV93" s="5340">
        <f t="shared" si="199"/>
        <v>113.5</v>
      </c>
      <c r="AW93" s="5343">
        <v>326</v>
      </c>
      <c r="AX93" s="5338">
        <v>333</v>
      </c>
      <c r="AY93" s="5338">
        <v>350</v>
      </c>
      <c r="AZ93" s="5338">
        <v>353</v>
      </c>
      <c r="BA93" s="5338">
        <v>389</v>
      </c>
      <c r="BB93" s="5338">
        <v>414</v>
      </c>
      <c r="BC93" s="5338">
        <v>495</v>
      </c>
      <c r="BD93" s="5338">
        <v>503</v>
      </c>
      <c r="BE93" s="5338">
        <v>508</v>
      </c>
      <c r="BF93" s="5338">
        <v>497</v>
      </c>
      <c r="BG93" s="5338">
        <v>499</v>
      </c>
      <c r="BH93" s="5338">
        <v>509</v>
      </c>
      <c r="BI93" s="5252">
        <f>AW93</f>
        <v>326</v>
      </c>
      <c r="BJ93" s="5340">
        <f t="shared" si="201"/>
        <v>431.33333333333331</v>
      </c>
      <c r="BL93" s="5234">
        <f t="shared" si="202"/>
        <v>191</v>
      </c>
      <c r="BM93" s="5234">
        <f t="shared" si="211"/>
        <v>317.83333333333331</v>
      </c>
      <c r="BN93" s="5255">
        <f t="shared" ref="BN93:BN100" si="232">HLOOKUP($A$1,$AW$1:$BH$396,ROW(),0)-SUM(AI93:AJ93)</f>
        <v>485</v>
      </c>
    </row>
    <row r="94" spans="1:66" ht="18" customHeight="1" x14ac:dyDescent="0.55000000000000004">
      <c r="A94" s="7132"/>
      <c r="B94" s="7133"/>
      <c r="C94" s="2682" t="s">
        <v>47</v>
      </c>
      <c r="D94" s="2682"/>
      <c r="E94" s="2682"/>
      <c r="F94" s="5296"/>
      <c r="G94" s="5297"/>
      <c r="H94" s="5297"/>
      <c r="I94" s="5297"/>
      <c r="J94" s="5297"/>
      <c r="K94" s="5297"/>
      <c r="L94" s="5297"/>
      <c r="M94" s="5297"/>
      <c r="N94" s="5297"/>
      <c r="O94" s="5297"/>
      <c r="P94" s="5297"/>
      <c r="Q94" s="5297"/>
      <c r="R94" s="5297"/>
      <c r="S94" s="5297"/>
      <c r="T94" s="5296"/>
      <c r="U94" s="5297"/>
      <c r="V94" s="5297">
        <f>0</f>
        <v>0</v>
      </c>
      <c r="W94" s="5297">
        <f>0</f>
        <v>0</v>
      </c>
      <c r="X94" s="5297">
        <f>0</f>
        <v>0</v>
      </c>
      <c r="Y94" s="5297">
        <f>0</f>
        <v>0</v>
      </c>
      <c r="Z94" s="3263">
        <f>0</f>
        <v>0</v>
      </c>
      <c r="AA94" s="3263">
        <f>0</f>
        <v>0</v>
      </c>
      <c r="AB94" s="3263">
        <f>0</f>
        <v>0</v>
      </c>
      <c r="AC94" s="3263">
        <f>0</f>
        <v>0</v>
      </c>
      <c r="AD94" s="3263">
        <f>0</f>
        <v>0</v>
      </c>
      <c r="AE94" s="3263">
        <f>0</f>
        <v>0</v>
      </c>
      <c r="AF94" s="5257">
        <f t="shared" ref="AF94:AF99" si="233">SUM(T94:AE94)</f>
        <v>0</v>
      </c>
      <c r="AG94" s="5257">
        <f t="shared" ref="AG94:AG99" si="234">AVERAGE(T94:AE94)</f>
        <v>0</v>
      </c>
      <c r="AH94" s="5257"/>
      <c r="AI94" s="5258">
        <f>0</f>
        <v>0</v>
      </c>
      <c r="AJ94" s="5257">
        <f>0</f>
        <v>0</v>
      </c>
      <c r="AK94" s="5257">
        <f>0</f>
        <v>0</v>
      </c>
      <c r="AL94" s="5257">
        <f>0</f>
        <v>0</v>
      </c>
      <c r="AM94" s="5257">
        <f>0</f>
        <v>0</v>
      </c>
      <c r="AN94" s="5257">
        <f>0</f>
        <v>0</v>
      </c>
      <c r="AO94" s="5257">
        <f>0</f>
        <v>0</v>
      </c>
      <c r="AP94" s="5257">
        <f>0</f>
        <v>0</v>
      </c>
      <c r="AQ94" s="5257">
        <f>0</f>
        <v>0</v>
      </c>
      <c r="AR94" s="5257">
        <f>0</f>
        <v>0</v>
      </c>
      <c r="AS94" s="5257">
        <v>2</v>
      </c>
      <c r="AT94" s="3263">
        <v>0</v>
      </c>
      <c r="AU94" s="5257">
        <f t="shared" ref="AU94:AU99" si="235">SUM(AI94:AR94)</f>
        <v>0</v>
      </c>
      <c r="AV94" s="5259">
        <f t="shared" si="199"/>
        <v>0.16666666666666666</v>
      </c>
      <c r="AW94" s="5256">
        <v>8</v>
      </c>
      <c r="AX94" s="5257">
        <v>7</v>
      </c>
      <c r="AY94" s="5257">
        <v>17</v>
      </c>
      <c r="AZ94" s="5257">
        <v>4</v>
      </c>
      <c r="BA94" s="5257">
        <v>36</v>
      </c>
      <c r="BB94" s="5257">
        <v>0</v>
      </c>
      <c r="BC94" s="5257">
        <v>86</v>
      </c>
      <c r="BD94" s="5257">
        <v>11</v>
      </c>
      <c r="BE94" s="5257">
        <v>7</v>
      </c>
      <c r="BF94" s="5257">
        <v>7</v>
      </c>
      <c r="BG94" s="5257">
        <v>10</v>
      </c>
      <c r="BH94" s="3263">
        <v>4</v>
      </c>
      <c r="BI94" s="5257">
        <f>SUM(AW94:BF94)</f>
        <v>183</v>
      </c>
      <c r="BJ94" s="5259">
        <f t="shared" si="201"/>
        <v>16.416666666666668</v>
      </c>
      <c r="BL94" s="5234">
        <f t="shared" si="202"/>
        <v>4</v>
      </c>
      <c r="BM94" s="5234">
        <f t="shared" si="211"/>
        <v>16.25</v>
      </c>
      <c r="BN94" s="5255">
        <f t="shared" si="232"/>
        <v>4</v>
      </c>
    </row>
    <row r="95" spans="1:66" ht="18" customHeight="1" x14ac:dyDescent="0.55000000000000004">
      <c r="A95" s="7132"/>
      <c r="B95" s="7133"/>
      <c r="C95" s="2682" t="s">
        <v>48</v>
      </c>
      <c r="D95" s="2682"/>
      <c r="E95" s="2682">
        <v>1</v>
      </c>
      <c r="F95" s="5296">
        <v>0</v>
      </c>
      <c r="G95" s="5297">
        <v>0</v>
      </c>
      <c r="H95" s="5297">
        <v>0</v>
      </c>
      <c r="I95" s="5297">
        <v>0</v>
      </c>
      <c r="J95" s="5297">
        <v>0</v>
      </c>
      <c r="K95" s="5297">
        <v>0</v>
      </c>
      <c r="L95" s="5297">
        <v>0</v>
      </c>
      <c r="M95" s="5297">
        <v>0</v>
      </c>
      <c r="N95" s="5297">
        <v>0</v>
      </c>
      <c r="O95" s="5297">
        <v>1</v>
      </c>
      <c r="P95" s="5297">
        <v>0</v>
      </c>
      <c r="Q95" s="5297">
        <v>0</v>
      </c>
      <c r="R95" s="5297">
        <f>SUM(F95:Q95)</f>
        <v>1</v>
      </c>
      <c r="S95" s="5297"/>
      <c r="T95" s="5296">
        <v>0</v>
      </c>
      <c r="U95" s="5297">
        <v>0</v>
      </c>
      <c r="V95" s="5297">
        <v>1</v>
      </c>
      <c r="W95" s="5297">
        <v>0</v>
      </c>
      <c r="X95" s="5297">
        <v>0</v>
      </c>
      <c r="Y95" s="5297">
        <v>0</v>
      </c>
      <c r="Z95" s="3263">
        <v>0</v>
      </c>
      <c r="AA95" s="3263">
        <v>0</v>
      </c>
      <c r="AB95" s="3263">
        <v>0</v>
      </c>
      <c r="AC95" s="3263">
        <v>0</v>
      </c>
      <c r="AD95" s="3263">
        <v>0</v>
      </c>
      <c r="AE95" s="3263">
        <v>0</v>
      </c>
      <c r="AF95" s="5257">
        <f t="shared" si="233"/>
        <v>1</v>
      </c>
      <c r="AG95" s="5257">
        <f t="shared" si="234"/>
        <v>8.3333333333333329E-2</v>
      </c>
      <c r="AH95" s="5257"/>
      <c r="AI95" s="5258">
        <v>0</v>
      </c>
      <c r="AJ95" s="5257">
        <v>0</v>
      </c>
      <c r="AK95" s="5257">
        <v>0</v>
      </c>
      <c r="AL95" s="5257">
        <v>0</v>
      </c>
      <c r="AM95" s="5257">
        <v>0</v>
      </c>
      <c r="AN95" s="5257">
        <v>1</v>
      </c>
      <c r="AO95" s="5257">
        <v>0</v>
      </c>
      <c r="AP95" s="5257">
        <v>0</v>
      </c>
      <c r="AQ95" s="5257">
        <v>0</v>
      </c>
      <c r="AR95" s="5257">
        <v>0</v>
      </c>
      <c r="AS95" s="5257">
        <v>0</v>
      </c>
      <c r="AT95" s="3263">
        <v>0</v>
      </c>
      <c r="AU95" s="5257">
        <f>SUM(AI95:AS95)</f>
        <v>1</v>
      </c>
      <c r="AV95" s="5259">
        <f t="shared" si="199"/>
        <v>8.3333333333333329E-2</v>
      </c>
      <c r="AW95" s="5256">
        <v>0</v>
      </c>
      <c r="AX95" s="5257">
        <v>0</v>
      </c>
      <c r="AY95" s="5257">
        <v>0</v>
      </c>
      <c r="AZ95" s="5257">
        <v>1</v>
      </c>
      <c r="BA95" s="5257">
        <v>0</v>
      </c>
      <c r="BB95" s="5257">
        <v>1</v>
      </c>
      <c r="BC95" s="5257">
        <v>0</v>
      </c>
      <c r="BD95" s="5257">
        <v>0</v>
      </c>
      <c r="BE95" s="5257">
        <v>3</v>
      </c>
      <c r="BF95" s="5257">
        <v>2</v>
      </c>
      <c r="BG95" s="5257">
        <v>1</v>
      </c>
      <c r="BH95" s="5257">
        <v>0</v>
      </c>
      <c r="BI95" s="5257">
        <f>SUM(AW95:BG95)</f>
        <v>8</v>
      </c>
      <c r="BJ95" s="5259">
        <f t="shared" si="201"/>
        <v>0.66666666666666663</v>
      </c>
      <c r="BL95" s="5234">
        <f t="shared" si="202"/>
        <v>0</v>
      </c>
      <c r="BM95" s="5234">
        <f t="shared" si="211"/>
        <v>0.58333333333333326</v>
      </c>
      <c r="BN95" s="5255">
        <f t="shared" si="232"/>
        <v>0</v>
      </c>
    </row>
    <row r="96" spans="1:66" ht="18" customHeight="1" x14ac:dyDescent="0.55000000000000004">
      <c r="A96" s="7132"/>
      <c r="B96" s="7133"/>
      <c r="C96" s="5295" t="s">
        <v>59</v>
      </c>
      <c r="D96" s="2682"/>
      <c r="E96" s="2682">
        <v>1</v>
      </c>
      <c r="F96" s="5296">
        <v>0</v>
      </c>
      <c r="G96" s="5297">
        <v>0</v>
      </c>
      <c r="H96" s="5297">
        <v>0</v>
      </c>
      <c r="I96" s="5297">
        <v>0</v>
      </c>
      <c r="J96" s="5297">
        <v>0</v>
      </c>
      <c r="K96" s="5297">
        <v>0</v>
      </c>
      <c r="L96" s="5297">
        <v>0</v>
      </c>
      <c r="M96" s="5297">
        <v>0</v>
      </c>
      <c r="N96" s="5297">
        <v>0</v>
      </c>
      <c r="O96" s="5297">
        <v>0</v>
      </c>
      <c r="P96" s="5297">
        <v>0</v>
      </c>
      <c r="Q96" s="5297">
        <v>0</v>
      </c>
      <c r="R96" s="5297">
        <f>SUM(F96:Q96)</f>
        <v>0</v>
      </c>
      <c r="S96" s="5297"/>
      <c r="T96" s="5296">
        <v>0</v>
      </c>
      <c r="U96" s="5297">
        <v>0</v>
      </c>
      <c r="V96" s="5297">
        <v>0</v>
      </c>
      <c r="W96" s="5297">
        <v>0</v>
      </c>
      <c r="X96" s="5297">
        <v>0</v>
      </c>
      <c r="Y96" s="5297">
        <v>0</v>
      </c>
      <c r="Z96" s="3263">
        <v>0</v>
      </c>
      <c r="AA96" s="3263">
        <v>0</v>
      </c>
      <c r="AB96" s="3263">
        <v>0</v>
      </c>
      <c r="AC96" s="3263">
        <v>0</v>
      </c>
      <c r="AD96" s="3263">
        <v>0</v>
      </c>
      <c r="AE96" s="3263">
        <v>0</v>
      </c>
      <c r="AF96" s="5257">
        <f t="shared" si="233"/>
        <v>0</v>
      </c>
      <c r="AG96" s="5257">
        <f t="shared" si="234"/>
        <v>0</v>
      </c>
      <c r="AH96" s="5257"/>
      <c r="AI96" s="5258">
        <v>0</v>
      </c>
      <c r="AJ96" s="5257">
        <v>0</v>
      </c>
      <c r="AK96" s="5257">
        <v>0</v>
      </c>
      <c r="AL96" s="5257">
        <v>0</v>
      </c>
      <c r="AM96" s="5257">
        <v>0</v>
      </c>
      <c r="AN96" s="5257">
        <v>0</v>
      </c>
      <c r="AO96" s="5257">
        <v>0</v>
      </c>
      <c r="AP96" s="5257">
        <v>0</v>
      </c>
      <c r="AQ96" s="5257">
        <v>0</v>
      </c>
      <c r="AR96" s="5257">
        <v>0</v>
      </c>
      <c r="AS96" s="5257">
        <v>0</v>
      </c>
      <c r="AT96" s="3263">
        <v>0</v>
      </c>
      <c r="AU96" s="5257">
        <f>SUM(AI96:AS96)</f>
        <v>0</v>
      </c>
      <c r="AV96" s="5259">
        <f t="shared" si="199"/>
        <v>0</v>
      </c>
      <c r="AW96" s="5256">
        <v>0</v>
      </c>
      <c r="AX96" s="5257">
        <v>0</v>
      </c>
      <c r="AY96" s="5257">
        <v>0</v>
      </c>
      <c r="AZ96" s="5257">
        <v>0</v>
      </c>
      <c r="BA96" s="5257">
        <v>0</v>
      </c>
      <c r="BB96" s="5257">
        <v>0</v>
      </c>
      <c r="BC96" s="5257">
        <v>0</v>
      </c>
      <c r="BD96" s="5257">
        <v>0</v>
      </c>
      <c r="BE96" s="5257">
        <v>0</v>
      </c>
      <c r="BF96" s="5257">
        <v>2</v>
      </c>
      <c r="BG96" s="5257">
        <v>0</v>
      </c>
      <c r="BH96" s="5257">
        <v>0</v>
      </c>
      <c r="BI96" s="5257">
        <f>SUM(AW96:BG96)</f>
        <v>2</v>
      </c>
      <c r="BJ96" s="5259">
        <f t="shared" si="201"/>
        <v>0.16666666666666666</v>
      </c>
      <c r="BL96" s="5234">
        <f t="shared" si="202"/>
        <v>0</v>
      </c>
      <c r="BM96" s="5234">
        <f t="shared" si="211"/>
        <v>0.16666666666666666</v>
      </c>
      <c r="BN96" s="5255">
        <f t="shared" si="232"/>
        <v>0</v>
      </c>
    </row>
    <row r="97" spans="1:66" ht="18" customHeight="1" x14ac:dyDescent="0.55000000000000004">
      <c r="A97" s="7132"/>
      <c r="B97" s="7133"/>
      <c r="C97" s="5298" t="s">
        <v>86</v>
      </c>
      <c r="D97" s="5298"/>
      <c r="E97" s="5298"/>
      <c r="F97" s="5299"/>
      <c r="G97" s="5300"/>
      <c r="H97" s="5300"/>
      <c r="I97" s="5300"/>
      <c r="J97" s="5300"/>
      <c r="K97" s="5300"/>
      <c r="L97" s="5300"/>
      <c r="M97" s="5300"/>
      <c r="N97" s="5300"/>
      <c r="O97" s="5300"/>
      <c r="P97" s="5300"/>
      <c r="Q97" s="5300"/>
      <c r="R97" s="5300"/>
      <c r="S97" s="5300"/>
      <c r="T97" s="5299">
        <f>T94-T95</f>
        <v>0</v>
      </c>
      <c r="U97" s="5300">
        <f t="shared" ref="U97:AE97" si="236">U94-U95</f>
        <v>0</v>
      </c>
      <c r="V97" s="5300">
        <f t="shared" si="236"/>
        <v>-1</v>
      </c>
      <c r="W97" s="5300">
        <f t="shared" si="236"/>
        <v>0</v>
      </c>
      <c r="X97" s="5300">
        <f t="shared" si="236"/>
        <v>0</v>
      </c>
      <c r="Y97" s="5300">
        <f t="shared" si="236"/>
        <v>0</v>
      </c>
      <c r="Z97" s="5262">
        <f t="shared" si="236"/>
        <v>0</v>
      </c>
      <c r="AA97" s="5262">
        <f t="shared" si="236"/>
        <v>0</v>
      </c>
      <c r="AB97" s="5262">
        <f t="shared" si="236"/>
        <v>0</v>
      </c>
      <c r="AC97" s="5262">
        <f t="shared" si="236"/>
        <v>0</v>
      </c>
      <c r="AD97" s="5262">
        <f t="shared" si="236"/>
        <v>0</v>
      </c>
      <c r="AE97" s="5262">
        <f t="shared" si="236"/>
        <v>0</v>
      </c>
      <c r="AF97" s="5263">
        <f t="shared" si="233"/>
        <v>-1</v>
      </c>
      <c r="AG97" s="5263">
        <f t="shared" si="234"/>
        <v>-8.3333333333333329E-2</v>
      </c>
      <c r="AH97" s="5263"/>
      <c r="AI97" s="5264">
        <f t="shared" ref="AI97:AT97" si="237">AI94-AI95</f>
        <v>0</v>
      </c>
      <c r="AJ97" s="5263">
        <f t="shared" si="237"/>
        <v>0</v>
      </c>
      <c r="AK97" s="5263">
        <f t="shared" si="237"/>
        <v>0</v>
      </c>
      <c r="AL97" s="5263">
        <f t="shared" si="237"/>
        <v>0</v>
      </c>
      <c r="AM97" s="5263">
        <f t="shared" si="237"/>
        <v>0</v>
      </c>
      <c r="AN97" s="5263">
        <f t="shared" si="237"/>
        <v>-1</v>
      </c>
      <c r="AO97" s="5263">
        <f t="shared" si="237"/>
        <v>0</v>
      </c>
      <c r="AP97" s="5263">
        <f t="shared" si="237"/>
        <v>0</v>
      </c>
      <c r="AQ97" s="5263">
        <f t="shared" si="237"/>
        <v>0</v>
      </c>
      <c r="AR97" s="5263">
        <f t="shared" si="237"/>
        <v>0</v>
      </c>
      <c r="AS97" s="5263">
        <f t="shared" si="237"/>
        <v>2</v>
      </c>
      <c r="AT97" s="5263">
        <f t="shared" si="237"/>
        <v>0</v>
      </c>
      <c r="AU97" s="5263">
        <f t="shared" si="235"/>
        <v>-1</v>
      </c>
      <c r="AV97" s="5265">
        <f t="shared" si="199"/>
        <v>8.3333333333333329E-2</v>
      </c>
      <c r="AW97" s="5261">
        <v>0</v>
      </c>
      <c r="AX97" s="5263">
        <f t="shared" ref="AX97" si="238">AX94-AX95</f>
        <v>7</v>
      </c>
      <c r="AY97" s="5263">
        <v>17</v>
      </c>
      <c r="AZ97" s="5263">
        <f t="shared" ref="AZ97" si="239">AZ94-AZ95</f>
        <v>3</v>
      </c>
      <c r="BA97" s="5263">
        <f t="shared" ref="BA97:BH97" si="240">BA94-BA95</f>
        <v>36</v>
      </c>
      <c r="BB97" s="5263">
        <f t="shared" si="240"/>
        <v>-1</v>
      </c>
      <c r="BC97" s="5263">
        <f t="shared" si="240"/>
        <v>86</v>
      </c>
      <c r="BD97" s="5263">
        <f t="shared" si="240"/>
        <v>11</v>
      </c>
      <c r="BE97" s="5263">
        <f t="shared" si="240"/>
        <v>4</v>
      </c>
      <c r="BF97" s="5263">
        <f t="shared" si="240"/>
        <v>5</v>
      </c>
      <c r="BG97" s="5263">
        <f t="shared" si="240"/>
        <v>9</v>
      </c>
      <c r="BH97" s="5263">
        <f t="shared" si="240"/>
        <v>4</v>
      </c>
      <c r="BI97" s="5263">
        <f>SUM(AW97:BF97)</f>
        <v>168</v>
      </c>
      <c r="BJ97" s="5265">
        <f t="shared" si="201"/>
        <v>15.083333333333334</v>
      </c>
      <c r="BL97" s="5234">
        <f t="shared" si="202"/>
        <v>4</v>
      </c>
      <c r="BM97" s="5234">
        <f t="shared" si="211"/>
        <v>15</v>
      </c>
      <c r="BN97" s="5255">
        <f t="shared" si="232"/>
        <v>4</v>
      </c>
    </row>
    <row r="98" spans="1:66" ht="18" customHeight="1" x14ac:dyDescent="0.55000000000000004">
      <c r="A98" s="7132"/>
      <c r="B98" s="7133"/>
      <c r="C98" s="2682" t="s">
        <v>50</v>
      </c>
      <c r="D98" s="2682"/>
      <c r="E98" s="2682"/>
      <c r="F98" s="5296"/>
      <c r="G98" s="5297"/>
      <c r="H98" s="5297"/>
      <c r="I98" s="5297"/>
      <c r="J98" s="5297"/>
      <c r="K98" s="5297"/>
      <c r="L98" s="5297"/>
      <c r="M98" s="5297"/>
      <c r="N98" s="5297"/>
      <c r="O98" s="5297"/>
      <c r="P98" s="5297"/>
      <c r="Q98" s="5297"/>
      <c r="R98" s="5297"/>
      <c r="S98" s="5297"/>
      <c r="T98" s="5296">
        <f t="shared" ref="T98:AE98" si="241">T97-T99</f>
        <v>0</v>
      </c>
      <c r="U98" s="5297">
        <f t="shared" si="241"/>
        <v>0</v>
      </c>
      <c r="V98" s="5297">
        <f t="shared" si="241"/>
        <v>0</v>
      </c>
      <c r="W98" s="5297">
        <f t="shared" si="241"/>
        <v>0</v>
      </c>
      <c r="X98" s="5297">
        <f t="shared" si="241"/>
        <v>0</v>
      </c>
      <c r="Y98" s="5297">
        <f t="shared" si="241"/>
        <v>0</v>
      </c>
      <c r="Z98" s="3263">
        <f t="shared" si="241"/>
        <v>0</v>
      </c>
      <c r="AA98" s="3263">
        <f t="shared" si="241"/>
        <v>0</v>
      </c>
      <c r="AB98" s="3263">
        <f t="shared" si="241"/>
        <v>0</v>
      </c>
      <c r="AC98" s="3263">
        <f t="shared" si="241"/>
        <v>0</v>
      </c>
      <c r="AD98" s="3263">
        <f t="shared" si="241"/>
        <v>0</v>
      </c>
      <c r="AE98" s="3263">
        <f t="shared" si="241"/>
        <v>0</v>
      </c>
      <c r="AF98" s="5257">
        <f t="shared" si="233"/>
        <v>0</v>
      </c>
      <c r="AG98" s="5257">
        <f t="shared" si="234"/>
        <v>0</v>
      </c>
      <c r="AH98" s="5257"/>
      <c r="AI98" s="5258">
        <f t="shared" ref="AI98:AT98" si="242">AI97-AI99</f>
        <v>0</v>
      </c>
      <c r="AJ98" s="5257">
        <f t="shared" si="242"/>
        <v>0</v>
      </c>
      <c r="AK98" s="5257">
        <f t="shared" si="242"/>
        <v>0</v>
      </c>
      <c r="AL98" s="5257">
        <f t="shared" si="242"/>
        <v>0</v>
      </c>
      <c r="AM98" s="5257">
        <f t="shared" si="242"/>
        <v>0</v>
      </c>
      <c r="AN98" s="5257">
        <f t="shared" si="242"/>
        <v>-1</v>
      </c>
      <c r="AO98" s="5257">
        <f t="shared" si="242"/>
        <v>0</v>
      </c>
      <c r="AP98" s="5257">
        <f t="shared" si="242"/>
        <v>0</v>
      </c>
      <c r="AQ98" s="5257">
        <f>AQ97-AQ99</f>
        <v>-302</v>
      </c>
      <c r="AR98" s="5257">
        <f t="shared" si="242"/>
        <v>-2</v>
      </c>
      <c r="AS98" s="5257">
        <f>AS97-AS99</f>
        <v>0</v>
      </c>
      <c r="AT98" s="5257">
        <f t="shared" si="242"/>
        <v>0</v>
      </c>
      <c r="AU98" s="5257">
        <f t="shared" si="235"/>
        <v>-305</v>
      </c>
      <c r="AV98" s="5259">
        <f t="shared" si="199"/>
        <v>-25.416666666666668</v>
      </c>
      <c r="AW98" s="5256">
        <v>0</v>
      </c>
      <c r="AX98" s="5257">
        <v>0</v>
      </c>
      <c r="AY98" s="5257">
        <v>0</v>
      </c>
      <c r="AZ98" s="5257">
        <f t="shared" ref="AZ98:BH98" si="243">AZ97-AZ99</f>
        <v>0</v>
      </c>
      <c r="BA98" s="5257">
        <f t="shared" si="243"/>
        <v>0</v>
      </c>
      <c r="BB98" s="5257">
        <f t="shared" si="243"/>
        <v>-26</v>
      </c>
      <c r="BC98" s="5257">
        <f t="shared" si="243"/>
        <v>5</v>
      </c>
      <c r="BD98" s="5257">
        <f t="shared" si="243"/>
        <v>3</v>
      </c>
      <c r="BE98" s="5257">
        <f t="shared" si="243"/>
        <v>-1</v>
      </c>
      <c r="BF98" s="5257">
        <f t="shared" si="243"/>
        <v>16</v>
      </c>
      <c r="BG98" s="5257">
        <f t="shared" si="243"/>
        <v>7</v>
      </c>
      <c r="BH98" s="5257">
        <f t="shared" si="243"/>
        <v>-6</v>
      </c>
      <c r="BI98" s="5257">
        <f>SUM(AW98:BF98)</f>
        <v>-3</v>
      </c>
      <c r="BJ98" s="5259">
        <f t="shared" si="201"/>
        <v>-0.16666666666666666</v>
      </c>
      <c r="BL98" s="5234">
        <f t="shared" si="202"/>
        <v>-6</v>
      </c>
      <c r="BM98" s="5234">
        <f t="shared" si="211"/>
        <v>25.25</v>
      </c>
      <c r="BN98" s="5255">
        <f t="shared" si="232"/>
        <v>-6</v>
      </c>
    </row>
    <row r="99" spans="1:66" ht="18" customHeight="1" thickBot="1" x14ac:dyDescent="0.6">
      <c r="A99" s="7134"/>
      <c r="B99" s="7135"/>
      <c r="C99" s="5345" t="s">
        <v>51</v>
      </c>
      <c r="D99" s="5313"/>
      <c r="E99" s="5313"/>
      <c r="F99" s="5323"/>
      <c r="G99" s="5324"/>
      <c r="H99" s="5324"/>
      <c r="I99" s="5324"/>
      <c r="J99" s="5324"/>
      <c r="K99" s="5324"/>
      <c r="L99" s="5324"/>
      <c r="M99" s="5324"/>
      <c r="N99" s="5324"/>
      <c r="O99" s="5324"/>
      <c r="P99" s="5324"/>
      <c r="Q99" s="5324"/>
      <c r="R99" s="5324"/>
      <c r="S99" s="5324"/>
      <c r="T99" s="5346">
        <f>T93-Q93</f>
        <v>0</v>
      </c>
      <c r="U99" s="5324">
        <f t="shared" ref="U99:AE99" si="244">U93-T93</f>
        <v>0</v>
      </c>
      <c r="V99" s="5324">
        <f t="shared" si="244"/>
        <v>-1</v>
      </c>
      <c r="W99" s="5324">
        <f t="shared" si="244"/>
        <v>0</v>
      </c>
      <c r="X99" s="5324">
        <f t="shared" si="244"/>
        <v>0</v>
      </c>
      <c r="Y99" s="5324">
        <f t="shared" si="244"/>
        <v>0</v>
      </c>
      <c r="Z99" s="5273">
        <f t="shared" si="244"/>
        <v>0</v>
      </c>
      <c r="AA99" s="5273">
        <f t="shared" si="244"/>
        <v>0</v>
      </c>
      <c r="AB99" s="5273">
        <f t="shared" si="244"/>
        <v>0</v>
      </c>
      <c r="AC99" s="5273">
        <f t="shared" si="244"/>
        <v>0</v>
      </c>
      <c r="AD99" s="5273">
        <f t="shared" si="244"/>
        <v>0</v>
      </c>
      <c r="AE99" s="5273">
        <f t="shared" si="244"/>
        <v>0</v>
      </c>
      <c r="AF99" s="5318">
        <f t="shared" si="233"/>
        <v>-1</v>
      </c>
      <c r="AG99" s="5318">
        <f t="shared" si="234"/>
        <v>-8.3333333333333329E-2</v>
      </c>
      <c r="AH99" s="5318"/>
      <c r="AI99" s="5317">
        <f>AI93-AF93</f>
        <v>0</v>
      </c>
      <c r="AJ99" s="5318">
        <f t="shared" ref="AJ99:AT99" si="245">AJ93-AI93</f>
        <v>0</v>
      </c>
      <c r="AK99" s="5318">
        <f t="shared" si="245"/>
        <v>0</v>
      </c>
      <c r="AL99" s="5318">
        <f t="shared" si="245"/>
        <v>0</v>
      </c>
      <c r="AM99" s="5318">
        <f t="shared" si="245"/>
        <v>0</v>
      </c>
      <c r="AN99" s="5318">
        <f t="shared" si="245"/>
        <v>0</v>
      </c>
      <c r="AO99" s="5318">
        <f t="shared" si="245"/>
        <v>0</v>
      </c>
      <c r="AP99" s="5318">
        <f t="shared" si="245"/>
        <v>0</v>
      </c>
      <c r="AQ99" s="5318">
        <f t="shared" si="245"/>
        <v>302</v>
      </c>
      <c r="AR99" s="5318">
        <f t="shared" si="245"/>
        <v>2</v>
      </c>
      <c r="AS99" s="5318">
        <f t="shared" si="245"/>
        <v>2</v>
      </c>
      <c r="AT99" s="5318">
        <f t="shared" si="245"/>
        <v>0</v>
      </c>
      <c r="AU99" s="5318">
        <f t="shared" si="235"/>
        <v>304</v>
      </c>
      <c r="AV99" s="5319">
        <f t="shared" si="199"/>
        <v>25.5</v>
      </c>
      <c r="AW99" s="5350">
        <v>8</v>
      </c>
      <c r="AX99" s="5318">
        <v>8</v>
      </c>
      <c r="AY99" s="5318">
        <v>17</v>
      </c>
      <c r="AZ99" s="5318">
        <f>AZ93-AY93</f>
        <v>3</v>
      </c>
      <c r="BA99" s="5318">
        <f>BA93-AZ93</f>
        <v>36</v>
      </c>
      <c r="BB99" s="5318">
        <f>BB93-BA93</f>
        <v>25</v>
      </c>
      <c r="BC99" s="5318">
        <v>81</v>
      </c>
      <c r="BD99" s="5318">
        <v>8</v>
      </c>
      <c r="BE99" s="5318">
        <v>5</v>
      </c>
      <c r="BF99" s="5318">
        <v>-11</v>
      </c>
      <c r="BG99" s="5318">
        <v>2</v>
      </c>
      <c r="BH99" s="5318">
        <v>10</v>
      </c>
      <c r="BI99" s="5318">
        <f>SUM(AW99:BF99)</f>
        <v>180</v>
      </c>
      <c r="BJ99" s="5319">
        <f t="shared" si="201"/>
        <v>16</v>
      </c>
      <c r="BL99" s="5234">
        <f t="shared" si="202"/>
        <v>10</v>
      </c>
      <c r="BM99" s="5234">
        <f t="shared" si="211"/>
        <v>-9.5</v>
      </c>
      <c r="BN99" s="5255">
        <f t="shared" si="232"/>
        <v>10</v>
      </c>
    </row>
    <row r="100" spans="1:66" ht="18" customHeight="1" x14ac:dyDescent="0.55000000000000004">
      <c r="B100" s="2682"/>
      <c r="C100" s="2682"/>
      <c r="D100" s="2682"/>
      <c r="E100" s="2682"/>
      <c r="F100" s="2682"/>
      <c r="G100" s="2682"/>
      <c r="H100" s="2682"/>
      <c r="I100" s="2682"/>
      <c r="J100" s="2682"/>
      <c r="K100" s="2682"/>
      <c r="L100" s="2682"/>
      <c r="M100" s="2682"/>
      <c r="N100" s="2682"/>
      <c r="O100" s="2682"/>
      <c r="P100" s="2682"/>
      <c r="Q100" s="2682"/>
      <c r="R100" s="2682"/>
      <c r="S100" s="2682"/>
      <c r="T100" s="5351"/>
      <c r="U100" s="5351"/>
      <c r="V100" s="5351"/>
      <c r="W100" s="5351"/>
      <c r="X100" s="5351"/>
      <c r="Y100" s="5351"/>
      <c r="AH100" s="5218"/>
      <c r="AI100" s="5218"/>
      <c r="AJ100" s="5218"/>
      <c r="AK100" s="5218"/>
      <c r="AW100" s="5218"/>
      <c r="AX100" s="5218"/>
      <c r="AY100" s="5218"/>
      <c r="BL100" s="5234">
        <f t="shared" si="202"/>
        <v>0</v>
      </c>
      <c r="BM100" s="5234">
        <f t="shared" si="211"/>
        <v>0</v>
      </c>
      <c r="BN100" s="5255">
        <f t="shared" si="232"/>
        <v>0</v>
      </c>
    </row>
    <row r="101" spans="1:66" ht="18" hidden="1" customHeight="1" x14ac:dyDescent="0.55000000000000004"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2682"/>
      <c r="S101" s="2682"/>
      <c r="T101" s="5351"/>
      <c r="U101" s="5351"/>
      <c r="V101" s="5351"/>
      <c r="W101" s="5351"/>
      <c r="X101" s="5351"/>
      <c r="Y101" s="5351"/>
      <c r="BL101" s="5234">
        <f t="shared" si="202"/>
        <v>0</v>
      </c>
      <c r="BM101" s="5234">
        <f t="shared" si="211"/>
        <v>0</v>
      </c>
      <c r="BN101" s="5235">
        <f t="shared" ref="BN101" si="246">AW101-AI101</f>
        <v>0</v>
      </c>
    </row>
    <row r="102" spans="1:66" ht="18" hidden="1" customHeight="1" x14ac:dyDescent="0.55000000000000004"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2682"/>
      <c r="S102" s="2682"/>
      <c r="T102" s="5351"/>
      <c r="U102" s="5351"/>
      <c r="V102" s="5351"/>
      <c r="W102" s="5351"/>
      <c r="X102" s="5351"/>
      <c r="Y102" s="5351"/>
      <c r="BL102" s="5234">
        <f t="shared" si="202"/>
        <v>0</v>
      </c>
      <c r="BM102" s="5234">
        <f t="shared" si="211"/>
        <v>0</v>
      </c>
      <c r="BN102" s="5235">
        <f>AX102-AJ102</f>
        <v>0</v>
      </c>
    </row>
    <row r="103" spans="1:66" x14ac:dyDescent="0.55000000000000004"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2682"/>
      <c r="S103" s="2682"/>
      <c r="T103" s="5351"/>
      <c r="U103" s="5351"/>
      <c r="V103" s="5351"/>
      <c r="W103" s="5351"/>
      <c r="X103" s="5351"/>
      <c r="Y103" s="5351"/>
      <c r="BL103" s="5234">
        <f t="shared" si="202"/>
        <v>0</v>
      </c>
      <c r="BM103" s="5234">
        <f t="shared" si="211"/>
        <v>0</v>
      </c>
      <c r="BN103" s="5255">
        <f t="shared" ref="BN103:BN111" si="247">HLOOKUP($A$1,$AW$1:$BH$396,ROW(),0)-SUM(AI103:AJ103)</f>
        <v>0</v>
      </c>
    </row>
    <row r="104" spans="1:66" x14ac:dyDescent="0.55000000000000004">
      <c r="AW104" s="2488">
        <v>87001</v>
      </c>
      <c r="AX104" s="2488">
        <v>88253</v>
      </c>
      <c r="AY104" s="2488">
        <v>88591</v>
      </c>
      <c r="AZ104" s="2488">
        <v>89791</v>
      </c>
      <c r="BA104" s="2488">
        <v>92467</v>
      </c>
      <c r="BB104" s="2488">
        <v>93602</v>
      </c>
      <c r="BL104" s="5234">
        <f t="shared" si="202"/>
        <v>0</v>
      </c>
      <c r="BM104" s="5234">
        <f t="shared" si="211"/>
        <v>0</v>
      </c>
      <c r="BN104" s="5255">
        <f t="shared" si="247"/>
        <v>0</v>
      </c>
    </row>
    <row r="105" spans="1:66" x14ac:dyDescent="0.55000000000000004">
      <c r="AW105" s="2488" t="b">
        <f>AW94-AW95-AW98=AW99</f>
        <v>1</v>
      </c>
      <c r="AX105" s="2488" t="b">
        <f t="shared" ref="AX105:BI105" si="248">AX94-AX95-AX98=AX99</f>
        <v>0</v>
      </c>
      <c r="AY105" s="2488" t="b">
        <f t="shared" si="248"/>
        <v>1</v>
      </c>
      <c r="AZ105" s="2488" t="b">
        <f t="shared" si="248"/>
        <v>1</v>
      </c>
      <c r="BA105" s="2488" t="b">
        <f t="shared" si="248"/>
        <v>1</v>
      </c>
      <c r="BB105" s="2488" t="b">
        <f t="shared" si="248"/>
        <v>1</v>
      </c>
      <c r="BC105" s="2488" t="b">
        <f t="shared" si="248"/>
        <v>1</v>
      </c>
      <c r="BD105" s="2488" t="b">
        <f t="shared" si="248"/>
        <v>1</v>
      </c>
      <c r="BE105" s="2488" t="b">
        <f t="shared" si="248"/>
        <v>1</v>
      </c>
      <c r="BF105" s="2488" t="b">
        <f t="shared" si="248"/>
        <v>1</v>
      </c>
      <c r="BG105" s="2488" t="b">
        <f t="shared" si="248"/>
        <v>1</v>
      </c>
      <c r="BH105" s="2488" t="b">
        <f t="shared" si="248"/>
        <v>1</v>
      </c>
      <c r="BI105" s="2488" t="b">
        <f t="shared" si="248"/>
        <v>0</v>
      </c>
      <c r="BL105" s="5234">
        <f t="shared" si="202"/>
        <v>1</v>
      </c>
      <c r="BM105" s="5234">
        <f t="shared" si="211"/>
        <v>0</v>
      </c>
      <c r="BN105" s="5255">
        <f t="shared" si="247"/>
        <v>1</v>
      </c>
    </row>
    <row r="106" spans="1:66" x14ac:dyDescent="0.55000000000000004">
      <c r="BL106" s="5234">
        <f t="shared" si="202"/>
        <v>0</v>
      </c>
      <c r="BM106" s="5234">
        <f t="shared" si="211"/>
        <v>0</v>
      </c>
      <c r="BN106" s="5255">
        <f t="shared" si="247"/>
        <v>0</v>
      </c>
    </row>
    <row r="107" spans="1:66" x14ac:dyDescent="0.45">
      <c r="AW107" s="5352"/>
      <c r="AX107" s="5352"/>
      <c r="AY107" s="5352"/>
      <c r="AZ107" s="5352"/>
      <c r="BA107" s="5352"/>
      <c r="BB107" s="5352"/>
      <c r="BL107" s="5234">
        <f t="shared" si="202"/>
        <v>0</v>
      </c>
      <c r="BM107" s="5234"/>
      <c r="BN107" s="5255">
        <f t="shared" si="247"/>
        <v>0</v>
      </c>
    </row>
    <row r="108" spans="1:66" x14ac:dyDescent="0.45">
      <c r="AW108" s="5352"/>
      <c r="AX108" s="5352"/>
      <c r="AY108" s="5352"/>
      <c r="AZ108" s="5352"/>
      <c r="BA108" s="5352"/>
      <c r="BB108" s="5352"/>
      <c r="BL108" s="5234"/>
      <c r="BM108" s="5234"/>
      <c r="BN108" s="5255">
        <f t="shared" si="247"/>
        <v>0</v>
      </c>
    </row>
    <row r="109" spans="1:66" x14ac:dyDescent="0.55000000000000004">
      <c r="BL109" s="5234"/>
      <c r="BM109" s="5234"/>
      <c r="BN109" s="5255">
        <f t="shared" si="247"/>
        <v>0</v>
      </c>
    </row>
    <row r="110" spans="1:66" x14ac:dyDescent="0.55000000000000004">
      <c r="BL110" s="5234"/>
      <c r="BM110" s="5234"/>
      <c r="BN110" s="5255">
        <f t="shared" si="247"/>
        <v>0</v>
      </c>
    </row>
    <row r="111" spans="1:66" x14ac:dyDescent="0.55000000000000004">
      <c r="BL111" s="5234"/>
      <c r="BM111" s="5234"/>
      <c r="BN111" s="5255">
        <f t="shared" si="247"/>
        <v>0</v>
      </c>
    </row>
    <row r="112" spans="1:66" x14ac:dyDescent="0.55000000000000004">
      <c r="BL112" s="5234"/>
      <c r="BM112" s="5234"/>
      <c r="BN112" s="5234"/>
    </row>
    <row r="113" spans="64:67" x14ac:dyDescent="0.55000000000000004">
      <c r="BL113" s="5234"/>
      <c r="BM113" s="5234"/>
      <c r="BN113" s="5234"/>
    </row>
    <row r="114" spans="64:67" x14ac:dyDescent="0.55000000000000004">
      <c r="BL114" s="5234"/>
      <c r="BM114" s="5234"/>
      <c r="BN114" s="5234"/>
    </row>
    <row r="115" spans="64:67" x14ac:dyDescent="0.55000000000000004">
      <c r="BL115" s="5234"/>
      <c r="BM115" s="5234"/>
      <c r="BN115" s="5234"/>
    </row>
    <row r="116" spans="64:67" x14ac:dyDescent="0.55000000000000004">
      <c r="BL116" s="5234"/>
      <c r="BM116" s="5234"/>
      <c r="BN116" s="5234"/>
    </row>
    <row r="117" spans="64:67" x14ac:dyDescent="0.55000000000000004">
      <c r="BL117" s="5234"/>
      <c r="BM117" s="5234"/>
      <c r="BN117" s="5234"/>
    </row>
    <row r="118" spans="64:67" x14ac:dyDescent="0.55000000000000004">
      <c r="BL118" s="5234"/>
      <c r="BM118" s="5234"/>
      <c r="BN118" s="5234"/>
    </row>
    <row r="119" spans="64:67" x14ac:dyDescent="0.55000000000000004">
      <c r="BL119" s="5234"/>
      <c r="BM119" s="5234"/>
      <c r="BN119" s="5234"/>
    </row>
    <row r="120" spans="64:67" x14ac:dyDescent="0.55000000000000004">
      <c r="BL120" s="5234"/>
      <c r="BM120" s="5234"/>
      <c r="BN120" s="5234"/>
    </row>
    <row r="121" spans="64:67" x14ac:dyDescent="0.55000000000000004">
      <c r="BL121" s="5234"/>
      <c r="BM121" s="5234"/>
      <c r="BN121" s="5234"/>
    </row>
    <row r="122" spans="64:67" x14ac:dyDescent="0.55000000000000004">
      <c r="BL122" s="5234"/>
      <c r="BM122" s="5234"/>
      <c r="BN122" s="5234"/>
    </row>
    <row r="123" spans="64:67" x14ac:dyDescent="0.55000000000000004">
      <c r="BL123" s="5234"/>
      <c r="BM123" s="5234"/>
      <c r="BN123" s="5234"/>
    </row>
    <row r="124" spans="64:67" x14ac:dyDescent="0.55000000000000004">
      <c r="BL124" s="5234"/>
      <c r="BM124" s="5234"/>
      <c r="BN124" s="5234"/>
      <c r="BO124" s="5353"/>
    </row>
    <row r="125" spans="64:67" ht="15.45" thickBot="1" x14ac:dyDescent="0.6">
      <c r="BL125" s="5234"/>
      <c r="BM125" s="5234"/>
      <c r="BN125" s="5234"/>
      <c r="BO125" s="3034"/>
    </row>
    <row r="126" spans="64:67" x14ac:dyDescent="0.55000000000000004">
      <c r="BL126" s="5234"/>
      <c r="BM126" s="5234"/>
      <c r="BN126" s="5234"/>
    </row>
    <row r="127" spans="64:67" x14ac:dyDescent="0.55000000000000004">
      <c r="BL127" s="5234"/>
      <c r="BM127" s="5234"/>
      <c r="BN127" s="5234"/>
    </row>
    <row r="128" spans="64:67" x14ac:dyDescent="0.55000000000000004">
      <c r="BL128" s="5234"/>
      <c r="BM128" s="5234"/>
      <c r="BN128" s="5234"/>
    </row>
    <row r="129" spans="64:66" x14ac:dyDescent="0.55000000000000004">
      <c r="BL129" s="5234"/>
      <c r="BM129" s="5234"/>
      <c r="BN129" s="5234"/>
    </row>
    <row r="130" spans="64:66" x14ac:dyDescent="0.55000000000000004">
      <c r="BL130" s="5234"/>
      <c r="BM130" s="5234"/>
      <c r="BN130" s="5234"/>
    </row>
    <row r="131" spans="64:66" x14ac:dyDescent="0.55000000000000004">
      <c r="BL131" s="5234"/>
      <c r="BM131" s="5234"/>
      <c r="BN131" s="5234"/>
    </row>
    <row r="132" spans="64:66" x14ac:dyDescent="0.55000000000000004">
      <c r="BL132" s="5234"/>
      <c r="BM132" s="5234"/>
      <c r="BN132" s="5234"/>
    </row>
    <row r="133" spans="64:66" x14ac:dyDescent="0.55000000000000004">
      <c r="BL133" s="5234"/>
      <c r="BM133" s="5234"/>
      <c r="BN133" s="5234"/>
    </row>
    <row r="134" spans="64:66" x14ac:dyDescent="0.55000000000000004">
      <c r="BL134" s="5234"/>
      <c r="BM134" s="5234"/>
      <c r="BN134" s="5234"/>
    </row>
    <row r="135" spans="64:66" x14ac:dyDescent="0.55000000000000004">
      <c r="BL135" s="5234"/>
      <c r="BM135" s="5234"/>
      <c r="BN135" s="5234"/>
    </row>
    <row r="136" spans="64:66" x14ac:dyDescent="0.55000000000000004">
      <c r="BL136" s="5234"/>
      <c r="BM136" s="5234"/>
      <c r="BN136" s="5234"/>
    </row>
    <row r="137" spans="64:66" x14ac:dyDescent="0.55000000000000004">
      <c r="BL137" s="5234"/>
      <c r="BM137" s="5234"/>
      <c r="BN137" s="5234"/>
    </row>
    <row r="138" spans="64:66" x14ac:dyDescent="0.55000000000000004">
      <c r="BL138" s="5234"/>
      <c r="BM138" s="5234"/>
      <c r="BN138" s="5234"/>
    </row>
    <row r="139" spans="64:66" x14ac:dyDescent="0.55000000000000004">
      <c r="BL139" s="5234"/>
      <c r="BM139" s="5234"/>
      <c r="BN139" s="5234"/>
    </row>
    <row r="140" spans="64:66" x14ac:dyDescent="0.55000000000000004">
      <c r="BL140" s="5234"/>
      <c r="BM140" s="5234"/>
      <c r="BN140" s="5234"/>
    </row>
    <row r="141" spans="64:66" x14ac:dyDescent="0.55000000000000004">
      <c r="BL141" s="5234"/>
      <c r="BM141" s="5234"/>
      <c r="BN141" s="5234"/>
    </row>
    <row r="142" spans="64:66" x14ac:dyDescent="0.55000000000000004">
      <c r="BL142" s="5234"/>
      <c r="BM142" s="5234"/>
      <c r="BN142" s="5234"/>
    </row>
    <row r="143" spans="64:66" x14ac:dyDescent="0.55000000000000004">
      <c r="BL143" s="5234"/>
      <c r="BM143" s="5234"/>
      <c r="BN143" s="5234"/>
    </row>
    <row r="144" spans="64:66" x14ac:dyDescent="0.55000000000000004">
      <c r="BL144" s="5234"/>
      <c r="BM144" s="5234"/>
      <c r="BN144" s="5234"/>
    </row>
    <row r="145" spans="64:66" x14ac:dyDescent="0.55000000000000004">
      <c r="BL145" s="5234"/>
      <c r="BM145" s="5234"/>
      <c r="BN145" s="5234"/>
    </row>
    <row r="146" spans="64:66" x14ac:dyDescent="0.55000000000000004">
      <c r="BL146" s="5234"/>
      <c r="BM146" s="5234"/>
      <c r="BN146" s="5234"/>
    </row>
    <row r="147" spans="64:66" x14ac:dyDescent="0.55000000000000004">
      <c r="BL147" s="5234"/>
      <c r="BM147" s="5234"/>
      <c r="BN147" s="5234"/>
    </row>
    <row r="148" spans="64:66" x14ac:dyDescent="0.55000000000000004">
      <c r="BL148" s="5234"/>
      <c r="BM148" s="5234"/>
      <c r="BN148" s="5234"/>
    </row>
    <row r="149" spans="64:66" x14ac:dyDescent="0.55000000000000004">
      <c r="BL149" s="5234"/>
      <c r="BM149" s="5234"/>
      <c r="BN149" s="5234"/>
    </row>
    <row r="150" spans="64:66" x14ac:dyDescent="0.55000000000000004">
      <c r="BL150" s="5234"/>
      <c r="BM150" s="5234"/>
      <c r="BN150" s="5234"/>
    </row>
    <row r="151" spans="64:66" x14ac:dyDescent="0.55000000000000004">
      <c r="BL151" s="5234"/>
      <c r="BM151" s="5234"/>
      <c r="BN151" s="5234"/>
    </row>
    <row r="152" spans="64:66" x14ac:dyDescent="0.55000000000000004">
      <c r="BL152" s="5234"/>
      <c r="BM152" s="5234"/>
      <c r="BN152" s="5234"/>
    </row>
    <row r="153" spans="64:66" x14ac:dyDescent="0.55000000000000004">
      <c r="BL153" s="5234"/>
      <c r="BM153" s="5234"/>
      <c r="BN153" s="5234"/>
    </row>
    <row r="154" spans="64:66" x14ac:dyDescent="0.55000000000000004">
      <c r="BL154" s="5234"/>
      <c r="BM154" s="5234"/>
      <c r="BN154" s="5234"/>
    </row>
    <row r="155" spans="64:66" x14ac:dyDescent="0.55000000000000004">
      <c r="BL155" s="5234"/>
      <c r="BM155" s="5234"/>
      <c r="BN155" s="5234"/>
    </row>
    <row r="156" spans="64:66" x14ac:dyDescent="0.55000000000000004">
      <c r="BL156" s="5234"/>
      <c r="BM156" s="5234"/>
      <c r="BN156" s="5234"/>
    </row>
    <row r="157" spans="64:66" x14ac:dyDescent="0.55000000000000004">
      <c r="BL157" s="5234"/>
      <c r="BM157" s="5234"/>
      <c r="BN157" s="5234"/>
    </row>
    <row r="158" spans="64:66" x14ac:dyDescent="0.55000000000000004">
      <c r="BL158" s="5234"/>
      <c r="BM158" s="5234"/>
      <c r="BN158" s="5234"/>
    </row>
    <row r="159" spans="64:66" x14ac:dyDescent="0.55000000000000004">
      <c r="BL159" s="5234"/>
      <c r="BM159" s="5234"/>
      <c r="BN159" s="5234"/>
    </row>
    <row r="160" spans="64:66" x14ac:dyDescent="0.55000000000000004">
      <c r="BL160" s="5234"/>
      <c r="BM160" s="5234"/>
      <c r="BN160" s="5234"/>
    </row>
    <row r="161" spans="64:66" x14ac:dyDescent="0.55000000000000004">
      <c r="BL161" s="5234"/>
      <c r="BM161" s="5234"/>
      <c r="BN161" s="5234"/>
    </row>
    <row r="162" spans="64:66" x14ac:dyDescent="0.55000000000000004">
      <c r="BL162" s="5234"/>
      <c r="BM162" s="5234"/>
      <c r="BN162" s="5234"/>
    </row>
    <row r="163" spans="64:66" x14ac:dyDescent="0.55000000000000004">
      <c r="BL163" s="5234"/>
      <c r="BM163" s="5234"/>
      <c r="BN163" s="5234"/>
    </row>
    <row r="164" spans="64:66" x14ac:dyDescent="0.55000000000000004">
      <c r="BL164" s="5234"/>
      <c r="BM164" s="5234"/>
      <c r="BN164" s="5234"/>
    </row>
    <row r="165" spans="64:66" x14ac:dyDescent="0.55000000000000004">
      <c r="BL165" s="5234"/>
      <c r="BM165" s="5234"/>
      <c r="BN165" s="5234"/>
    </row>
    <row r="166" spans="64:66" x14ac:dyDescent="0.55000000000000004">
      <c r="BL166" s="5234"/>
      <c r="BM166" s="5234"/>
      <c r="BN166" s="5234"/>
    </row>
    <row r="167" spans="64:66" x14ac:dyDescent="0.55000000000000004">
      <c r="BL167" s="5234"/>
      <c r="BM167" s="5234"/>
      <c r="BN167" s="5234"/>
    </row>
    <row r="168" spans="64:66" x14ac:dyDescent="0.55000000000000004">
      <c r="BL168" s="5234"/>
      <c r="BM168" s="5234"/>
      <c r="BN168" s="5234"/>
    </row>
    <row r="169" spans="64:66" x14ac:dyDescent="0.55000000000000004">
      <c r="BL169" s="5234"/>
      <c r="BM169" s="5234"/>
      <c r="BN169" s="5234"/>
    </row>
    <row r="170" spans="64:66" x14ac:dyDescent="0.55000000000000004">
      <c r="BL170" s="5234"/>
      <c r="BM170" s="5234"/>
      <c r="BN170" s="5234"/>
    </row>
    <row r="171" spans="64:66" x14ac:dyDescent="0.55000000000000004">
      <c r="BL171" s="5234"/>
      <c r="BM171" s="5234"/>
      <c r="BN171" s="5234"/>
    </row>
    <row r="172" spans="64:66" x14ac:dyDescent="0.55000000000000004">
      <c r="BL172" s="5234"/>
      <c r="BM172" s="5234"/>
      <c r="BN172" s="5234"/>
    </row>
    <row r="173" spans="64:66" x14ac:dyDescent="0.55000000000000004">
      <c r="BL173" s="5234"/>
      <c r="BM173" s="5234"/>
      <c r="BN173" s="5234"/>
    </row>
    <row r="174" spans="64:66" x14ac:dyDescent="0.55000000000000004">
      <c r="BL174" s="5234"/>
      <c r="BM174" s="5234"/>
      <c r="BN174" s="5234"/>
    </row>
    <row r="175" spans="64:66" x14ac:dyDescent="0.55000000000000004">
      <c r="BL175" s="5234"/>
      <c r="BM175" s="5234"/>
      <c r="BN175" s="5234"/>
    </row>
    <row r="176" spans="64:66" x14ac:dyDescent="0.55000000000000004">
      <c r="BL176" s="5234"/>
      <c r="BM176" s="5234"/>
      <c r="BN176" s="5234"/>
    </row>
    <row r="177" spans="64:67" x14ac:dyDescent="0.55000000000000004">
      <c r="BL177" s="5234"/>
      <c r="BM177" s="5234"/>
      <c r="BN177" s="5234"/>
    </row>
    <row r="178" spans="64:67" x14ac:dyDescent="0.55000000000000004">
      <c r="BL178" s="5234"/>
      <c r="BM178" s="5234"/>
      <c r="BN178" s="5234"/>
    </row>
    <row r="179" spans="64:67" x14ac:dyDescent="0.55000000000000004">
      <c r="BL179" s="5234"/>
      <c r="BM179" s="5234"/>
      <c r="BN179" s="5234"/>
    </row>
    <row r="180" spans="64:67" x14ac:dyDescent="0.55000000000000004">
      <c r="BL180" s="5234"/>
      <c r="BM180" s="5234"/>
      <c r="BN180" s="5234"/>
    </row>
    <row r="181" spans="64:67" x14ac:dyDescent="0.55000000000000004">
      <c r="BL181" s="5234"/>
      <c r="BM181" s="5234"/>
      <c r="BN181" s="5234"/>
      <c r="BO181" s="2682"/>
    </row>
    <row r="182" spans="64:67" x14ac:dyDescent="0.55000000000000004">
      <c r="BL182" s="5234"/>
      <c r="BM182" s="5234"/>
      <c r="BN182" s="5234"/>
      <c r="BO182" s="2682"/>
    </row>
    <row r="183" spans="64:67" x14ac:dyDescent="0.55000000000000004">
      <c r="BL183" s="5234"/>
      <c r="BM183" s="5234"/>
      <c r="BN183" s="5234"/>
    </row>
    <row r="184" spans="64:67" x14ac:dyDescent="0.55000000000000004">
      <c r="BL184" s="5234"/>
      <c r="BM184" s="5234"/>
      <c r="BN184" s="5234"/>
    </row>
    <row r="185" spans="64:67" x14ac:dyDescent="0.55000000000000004">
      <c r="BL185" s="5234"/>
      <c r="BM185" s="5234"/>
      <c r="BN185" s="5234"/>
    </row>
    <row r="186" spans="64:67" x14ac:dyDescent="0.55000000000000004">
      <c r="BL186" s="5234"/>
      <c r="BM186" s="5234"/>
      <c r="BN186" s="5234"/>
    </row>
    <row r="187" spans="64:67" x14ac:dyDescent="0.55000000000000004">
      <c r="BL187" s="5234"/>
      <c r="BM187" s="5234"/>
      <c r="BN187" s="5234"/>
    </row>
    <row r="188" spans="64:67" x14ac:dyDescent="0.55000000000000004">
      <c r="BL188" s="5234"/>
      <c r="BM188" s="5234"/>
      <c r="BN188" s="5234"/>
    </row>
    <row r="189" spans="64:67" x14ac:dyDescent="0.55000000000000004">
      <c r="BL189" s="5234"/>
      <c r="BM189" s="5234"/>
      <c r="BN189" s="5234"/>
    </row>
    <row r="190" spans="64:67" x14ac:dyDescent="0.55000000000000004">
      <c r="BL190" s="5234"/>
      <c r="BM190" s="5234"/>
      <c r="BN190" s="5234"/>
    </row>
    <row r="191" spans="64:67" x14ac:dyDescent="0.55000000000000004">
      <c r="BL191" s="5234"/>
      <c r="BM191" s="5234"/>
      <c r="BN191" s="5234"/>
    </row>
    <row r="192" spans="64:67" x14ac:dyDescent="0.55000000000000004">
      <c r="BL192" s="5234"/>
      <c r="BM192" s="5234"/>
      <c r="BN192" s="5234"/>
    </row>
    <row r="193" spans="64:66" x14ac:dyDescent="0.55000000000000004">
      <c r="BL193" s="5234"/>
      <c r="BM193" s="5234"/>
      <c r="BN193" s="5234"/>
    </row>
    <row r="194" spans="64:66" x14ac:dyDescent="0.55000000000000004">
      <c r="BL194" s="5234"/>
      <c r="BM194" s="5234"/>
      <c r="BN194" s="5234"/>
    </row>
    <row r="195" spans="64:66" x14ac:dyDescent="0.55000000000000004">
      <c r="BL195" s="5234"/>
      <c r="BM195" s="5234"/>
      <c r="BN195" s="5234"/>
    </row>
    <row r="196" spans="64:66" x14ac:dyDescent="0.55000000000000004">
      <c r="BL196" s="5234"/>
      <c r="BM196" s="5234"/>
      <c r="BN196" s="5234"/>
    </row>
    <row r="197" spans="64:66" x14ac:dyDescent="0.55000000000000004">
      <c r="BL197" s="5234"/>
      <c r="BM197" s="5234"/>
      <c r="BN197" s="5234"/>
    </row>
    <row r="198" spans="64:66" x14ac:dyDescent="0.55000000000000004">
      <c r="BL198" s="5234"/>
      <c r="BM198" s="5234"/>
      <c r="BN198" s="5234"/>
    </row>
    <row r="199" spans="64:66" x14ac:dyDescent="0.55000000000000004">
      <c r="BL199" s="5234"/>
      <c r="BM199" s="5234"/>
      <c r="BN199" s="5234"/>
    </row>
    <row r="200" spans="64:66" x14ac:dyDescent="0.55000000000000004">
      <c r="BL200" s="5234"/>
      <c r="BM200" s="5234"/>
      <c r="BN200" s="5234"/>
    </row>
    <row r="201" spans="64:66" x14ac:dyDescent="0.55000000000000004">
      <c r="BL201" s="5234"/>
      <c r="BM201" s="5234"/>
      <c r="BN201" s="5234"/>
    </row>
    <row r="202" spans="64:66" x14ac:dyDescent="0.55000000000000004">
      <c r="BL202" s="5234"/>
      <c r="BM202" s="5234"/>
      <c r="BN202" s="5234"/>
    </row>
    <row r="203" spans="64:66" x14ac:dyDescent="0.55000000000000004">
      <c r="BL203" s="5234"/>
      <c r="BM203" s="5234"/>
      <c r="BN203" s="5234"/>
    </row>
    <row r="204" spans="64:66" x14ac:dyDescent="0.55000000000000004">
      <c r="BL204" s="5234"/>
      <c r="BM204" s="5234"/>
      <c r="BN204" s="5234"/>
    </row>
    <row r="205" spans="64:66" x14ac:dyDescent="0.55000000000000004">
      <c r="BL205" s="5234"/>
      <c r="BM205" s="5234"/>
      <c r="BN205" s="5234"/>
    </row>
    <row r="206" spans="64:66" x14ac:dyDescent="0.55000000000000004">
      <c r="BL206" s="5234"/>
      <c r="BM206" s="5234"/>
      <c r="BN206" s="5234"/>
    </row>
    <row r="207" spans="64:66" x14ac:dyDescent="0.55000000000000004">
      <c r="BL207" s="5234"/>
      <c r="BM207" s="5234"/>
      <c r="BN207" s="5234"/>
    </row>
    <row r="208" spans="64:66" x14ac:dyDescent="0.55000000000000004">
      <c r="BL208" s="5234"/>
      <c r="BM208" s="5234"/>
      <c r="BN208" s="5234"/>
    </row>
    <row r="209" spans="64:66" x14ac:dyDescent="0.55000000000000004">
      <c r="BL209" s="5234"/>
      <c r="BM209" s="5234"/>
      <c r="BN209" s="5234"/>
    </row>
    <row r="210" spans="64:66" x14ac:dyDescent="0.55000000000000004">
      <c r="BL210" s="5234"/>
      <c r="BM210" s="5234"/>
      <c r="BN210" s="5234"/>
    </row>
    <row r="211" spans="64:66" x14ac:dyDescent="0.55000000000000004">
      <c r="BL211" s="5234"/>
      <c r="BM211" s="5234"/>
      <c r="BN211" s="5234"/>
    </row>
    <row r="212" spans="64:66" x14ac:dyDescent="0.55000000000000004">
      <c r="BL212" s="5234"/>
      <c r="BM212" s="5234"/>
      <c r="BN212" s="5234"/>
    </row>
    <row r="213" spans="64:66" x14ac:dyDescent="0.55000000000000004">
      <c r="BL213" s="5234"/>
      <c r="BM213" s="5234"/>
      <c r="BN213" s="5234"/>
    </row>
    <row r="214" spans="64:66" x14ac:dyDescent="0.55000000000000004">
      <c r="BL214" s="5234"/>
      <c r="BM214" s="5234"/>
      <c r="BN214" s="5234"/>
    </row>
    <row r="215" spans="64:66" x14ac:dyDescent="0.55000000000000004">
      <c r="BL215" s="5234"/>
      <c r="BM215" s="5234"/>
      <c r="BN215" s="5234"/>
    </row>
    <row r="216" spans="64:66" x14ac:dyDescent="0.55000000000000004">
      <c r="BL216" s="5234"/>
      <c r="BM216" s="5234"/>
      <c r="BN216" s="5234"/>
    </row>
    <row r="217" spans="64:66" x14ac:dyDescent="0.55000000000000004">
      <c r="BL217" s="5234"/>
      <c r="BM217" s="5234"/>
      <c r="BN217" s="5234"/>
    </row>
    <row r="218" spans="64:66" x14ac:dyDescent="0.55000000000000004">
      <c r="BL218" s="5234"/>
      <c r="BM218" s="5234"/>
      <c r="BN218" s="5234"/>
    </row>
    <row r="219" spans="64:66" x14ac:dyDescent="0.55000000000000004">
      <c r="BL219" s="5234"/>
      <c r="BM219" s="5234"/>
      <c r="BN219" s="5234"/>
    </row>
    <row r="220" spans="64:66" x14ac:dyDescent="0.55000000000000004">
      <c r="BL220" s="5234"/>
      <c r="BM220" s="5234"/>
      <c r="BN220" s="5234"/>
    </row>
    <row r="221" spans="64:66" x14ac:dyDescent="0.55000000000000004">
      <c r="BL221" s="5234"/>
      <c r="BM221" s="5234"/>
      <c r="BN221" s="5234"/>
    </row>
    <row r="222" spans="64:66" x14ac:dyDescent="0.55000000000000004">
      <c r="BL222" s="5234"/>
      <c r="BM222" s="5234"/>
      <c r="BN222" s="5234"/>
    </row>
    <row r="223" spans="64:66" x14ac:dyDescent="0.55000000000000004">
      <c r="BL223" s="5234"/>
      <c r="BM223" s="5234"/>
      <c r="BN223" s="5234"/>
    </row>
    <row r="224" spans="64:66" x14ac:dyDescent="0.55000000000000004">
      <c r="BL224" s="5234"/>
      <c r="BM224" s="5234"/>
      <c r="BN224" s="5234"/>
    </row>
    <row r="225" spans="64:66" x14ac:dyDescent="0.55000000000000004">
      <c r="BL225" s="5234"/>
      <c r="BM225" s="5234"/>
      <c r="BN225" s="5234"/>
    </row>
    <row r="226" spans="64:66" x14ac:dyDescent="0.55000000000000004">
      <c r="BL226" s="5234"/>
      <c r="BM226" s="5234"/>
      <c r="BN226" s="5234"/>
    </row>
    <row r="227" spans="64:66" x14ac:dyDescent="0.55000000000000004">
      <c r="BL227" s="5234"/>
      <c r="BM227" s="5234"/>
      <c r="BN227" s="5234"/>
    </row>
    <row r="228" spans="64:66" x14ac:dyDescent="0.55000000000000004">
      <c r="BL228" s="5234"/>
      <c r="BM228" s="5234"/>
      <c r="BN228" s="5234"/>
    </row>
    <row r="229" spans="64:66" x14ac:dyDescent="0.55000000000000004">
      <c r="BL229" s="5234"/>
      <c r="BM229" s="5234"/>
      <c r="BN229" s="5234"/>
    </row>
    <row r="230" spans="64:66" x14ac:dyDescent="0.55000000000000004">
      <c r="BL230" s="5234"/>
      <c r="BM230" s="5234"/>
      <c r="BN230" s="5234"/>
    </row>
    <row r="231" spans="64:66" x14ac:dyDescent="0.55000000000000004">
      <c r="BL231" s="5234"/>
      <c r="BM231" s="5234"/>
      <c r="BN231" s="5234"/>
    </row>
    <row r="232" spans="64:66" x14ac:dyDescent="0.55000000000000004">
      <c r="BL232" s="5234"/>
      <c r="BM232" s="5234"/>
      <c r="BN232" s="5234"/>
    </row>
    <row r="233" spans="64:66" x14ac:dyDescent="0.55000000000000004">
      <c r="BL233" s="5234"/>
      <c r="BM233" s="5234"/>
      <c r="BN233" s="5234"/>
    </row>
    <row r="234" spans="64:66" x14ac:dyDescent="0.55000000000000004">
      <c r="BL234" s="5234"/>
      <c r="BM234" s="5234"/>
      <c r="BN234" s="5234"/>
    </row>
    <row r="235" spans="64:66" x14ac:dyDescent="0.55000000000000004">
      <c r="BL235" s="5234"/>
      <c r="BM235" s="5234"/>
      <c r="BN235" s="5234"/>
    </row>
    <row r="236" spans="64:66" x14ac:dyDescent="0.55000000000000004">
      <c r="BL236" s="5234"/>
      <c r="BM236" s="5234"/>
      <c r="BN236" s="5234"/>
    </row>
    <row r="237" spans="64:66" x14ac:dyDescent="0.55000000000000004">
      <c r="BL237" s="5234"/>
      <c r="BM237" s="5234"/>
      <c r="BN237" s="5234"/>
    </row>
    <row r="238" spans="64:66" x14ac:dyDescent="0.55000000000000004">
      <c r="BL238" s="5234"/>
      <c r="BM238" s="5234"/>
      <c r="BN238" s="5234"/>
    </row>
    <row r="239" spans="64:66" x14ac:dyDescent="0.55000000000000004">
      <c r="BL239" s="5234"/>
      <c r="BM239" s="5234"/>
      <c r="BN239" s="5234"/>
    </row>
    <row r="240" spans="64:66" x14ac:dyDescent="0.55000000000000004">
      <c r="BL240" s="5234"/>
      <c r="BM240" s="5234"/>
      <c r="BN240" s="5234"/>
    </row>
    <row r="241" spans="64:66" x14ac:dyDescent="0.55000000000000004">
      <c r="BL241" s="5234"/>
      <c r="BM241" s="5234"/>
      <c r="BN241" s="5234"/>
    </row>
    <row r="242" spans="64:66" x14ac:dyDescent="0.55000000000000004">
      <c r="BL242" s="5234"/>
      <c r="BM242" s="5234"/>
      <c r="BN242" s="5234"/>
    </row>
    <row r="243" spans="64:66" x14ac:dyDescent="0.55000000000000004">
      <c r="BL243" s="5234"/>
      <c r="BM243" s="5234"/>
      <c r="BN243" s="5234"/>
    </row>
    <row r="244" spans="64:66" x14ac:dyDescent="0.55000000000000004">
      <c r="BL244" s="5234"/>
      <c r="BM244" s="5234"/>
      <c r="BN244" s="5234"/>
    </row>
    <row r="245" spans="64:66" x14ac:dyDescent="0.55000000000000004">
      <c r="BL245" s="5234"/>
      <c r="BM245" s="5234"/>
      <c r="BN245" s="5234"/>
    </row>
    <row r="246" spans="64:66" x14ac:dyDescent="0.55000000000000004">
      <c r="BL246" s="5234"/>
      <c r="BM246" s="5234"/>
      <c r="BN246" s="5234"/>
    </row>
    <row r="247" spans="64:66" x14ac:dyDescent="0.55000000000000004">
      <c r="BL247" s="5234"/>
      <c r="BM247" s="5234"/>
      <c r="BN247" s="5234"/>
    </row>
    <row r="248" spans="64:66" x14ac:dyDescent="0.55000000000000004">
      <c r="BL248" s="5234"/>
      <c r="BM248" s="5234"/>
      <c r="BN248" s="5234"/>
    </row>
    <row r="249" spans="64:66" x14ac:dyDescent="0.55000000000000004">
      <c r="BL249" s="5234"/>
      <c r="BM249" s="5234"/>
      <c r="BN249" s="5234"/>
    </row>
    <row r="250" spans="64:66" x14ac:dyDescent="0.55000000000000004">
      <c r="BL250" s="5234"/>
      <c r="BM250" s="5234"/>
      <c r="BN250" s="5234"/>
    </row>
    <row r="251" spans="64:66" x14ac:dyDescent="0.55000000000000004">
      <c r="BL251" s="5234"/>
      <c r="BM251" s="5234"/>
      <c r="BN251" s="5234"/>
    </row>
    <row r="252" spans="64:66" x14ac:dyDescent="0.55000000000000004">
      <c r="BL252" s="5234"/>
      <c r="BM252" s="5234"/>
      <c r="BN252" s="5234"/>
    </row>
    <row r="253" spans="64:66" x14ac:dyDescent="0.55000000000000004">
      <c r="BL253" s="5234"/>
      <c r="BM253" s="5234"/>
      <c r="BN253" s="5234"/>
    </row>
    <row r="254" spans="64:66" x14ac:dyDescent="0.55000000000000004">
      <c r="BL254" s="5234"/>
      <c r="BM254" s="5234"/>
      <c r="BN254" s="5234"/>
    </row>
    <row r="255" spans="64:66" x14ac:dyDescent="0.55000000000000004">
      <c r="BL255" s="5234"/>
      <c r="BM255" s="5234"/>
      <c r="BN255" s="5234"/>
    </row>
    <row r="256" spans="64:66" x14ac:dyDescent="0.55000000000000004">
      <c r="BL256" s="5234"/>
      <c r="BM256" s="5234"/>
      <c r="BN256" s="5234"/>
    </row>
    <row r="257" spans="64:66" x14ac:dyDescent="0.55000000000000004">
      <c r="BL257" s="5234"/>
      <c r="BM257" s="5234"/>
      <c r="BN257" s="5234"/>
    </row>
    <row r="258" spans="64:66" x14ac:dyDescent="0.55000000000000004">
      <c r="BL258" s="5234"/>
      <c r="BM258" s="5234"/>
      <c r="BN258" s="5234"/>
    </row>
    <row r="259" spans="64:66" x14ac:dyDescent="0.55000000000000004">
      <c r="BL259" s="5234"/>
      <c r="BM259" s="5234"/>
      <c r="BN259" s="5234"/>
    </row>
    <row r="260" spans="64:66" x14ac:dyDescent="0.55000000000000004">
      <c r="BL260" s="5234"/>
      <c r="BM260" s="5234"/>
      <c r="BN260" s="5234"/>
    </row>
    <row r="261" spans="64:66" x14ac:dyDescent="0.55000000000000004">
      <c r="BL261" s="5234"/>
      <c r="BM261" s="5234"/>
      <c r="BN261" s="5234"/>
    </row>
    <row r="262" spans="64:66" x14ac:dyDescent="0.55000000000000004">
      <c r="BL262" s="5234"/>
      <c r="BM262" s="5234"/>
      <c r="BN262" s="5234"/>
    </row>
    <row r="263" spans="64:66" x14ac:dyDescent="0.55000000000000004">
      <c r="BL263" s="5234"/>
      <c r="BM263" s="5234"/>
      <c r="BN263" s="5234"/>
    </row>
    <row r="264" spans="64:66" x14ac:dyDescent="0.55000000000000004">
      <c r="BL264" s="5234"/>
      <c r="BM264" s="5234"/>
      <c r="BN264" s="5234"/>
    </row>
    <row r="265" spans="64:66" x14ac:dyDescent="0.55000000000000004">
      <c r="BL265" s="5234"/>
      <c r="BM265" s="5234"/>
      <c r="BN265" s="5234"/>
    </row>
    <row r="266" spans="64:66" x14ac:dyDescent="0.55000000000000004">
      <c r="BL266" s="5234"/>
      <c r="BM266" s="5234"/>
      <c r="BN266" s="5234"/>
    </row>
    <row r="267" spans="64:66" x14ac:dyDescent="0.55000000000000004">
      <c r="BL267" s="5234"/>
      <c r="BM267" s="5234"/>
      <c r="BN267" s="5234"/>
    </row>
    <row r="268" spans="64:66" x14ac:dyDescent="0.55000000000000004">
      <c r="BL268" s="5234"/>
      <c r="BM268" s="5234"/>
      <c r="BN268" s="5234"/>
    </row>
    <row r="269" spans="64:66" x14ac:dyDescent="0.55000000000000004">
      <c r="BL269" s="5234"/>
      <c r="BM269" s="5234"/>
      <c r="BN269" s="5234"/>
    </row>
    <row r="270" spans="64:66" x14ac:dyDescent="0.55000000000000004">
      <c r="BL270" s="5234"/>
      <c r="BM270" s="5234"/>
      <c r="BN270" s="5234"/>
    </row>
    <row r="271" spans="64:66" x14ac:dyDescent="0.55000000000000004">
      <c r="BL271" s="5234"/>
      <c r="BM271" s="5234"/>
      <c r="BN271" s="5234"/>
    </row>
    <row r="272" spans="64:66" x14ac:dyDescent="0.55000000000000004">
      <c r="BL272" s="5234"/>
      <c r="BM272" s="5234"/>
      <c r="BN272" s="5234"/>
    </row>
    <row r="273" spans="64:66" x14ac:dyDescent="0.55000000000000004">
      <c r="BL273" s="5234"/>
      <c r="BM273" s="5234"/>
      <c r="BN273" s="5234"/>
    </row>
    <row r="274" spans="64:66" x14ac:dyDescent="0.55000000000000004">
      <c r="BL274" s="5234"/>
      <c r="BM274" s="5234"/>
      <c r="BN274" s="5234"/>
    </row>
    <row r="275" spans="64:66" x14ac:dyDescent="0.55000000000000004">
      <c r="BL275" s="5234"/>
      <c r="BM275" s="5234"/>
      <c r="BN275" s="5234"/>
    </row>
    <row r="276" spans="64:66" x14ac:dyDescent="0.55000000000000004">
      <c r="BL276" s="5234"/>
      <c r="BM276" s="5234"/>
      <c r="BN276" s="5234"/>
    </row>
    <row r="277" spans="64:66" x14ac:dyDescent="0.55000000000000004">
      <c r="BL277" s="5234"/>
      <c r="BM277" s="5234"/>
      <c r="BN277" s="5234"/>
    </row>
    <row r="278" spans="64:66" x14ac:dyDescent="0.55000000000000004">
      <c r="BL278" s="5234"/>
      <c r="BM278" s="5234"/>
      <c r="BN278" s="5234"/>
    </row>
    <row r="279" spans="64:66" x14ac:dyDescent="0.55000000000000004">
      <c r="BL279" s="5234"/>
      <c r="BM279" s="5234"/>
      <c r="BN279" s="5234"/>
    </row>
    <row r="280" spans="64:66" x14ac:dyDescent="0.55000000000000004">
      <c r="BL280" s="5234"/>
      <c r="BM280" s="5234"/>
      <c r="BN280" s="5234"/>
    </row>
    <row r="281" spans="64:66" x14ac:dyDescent="0.55000000000000004">
      <c r="BL281" s="5234"/>
      <c r="BM281" s="5234"/>
      <c r="BN281" s="5234"/>
    </row>
    <row r="282" spans="64:66" x14ac:dyDescent="0.55000000000000004">
      <c r="BL282" s="5234"/>
      <c r="BM282" s="5234"/>
      <c r="BN282" s="5234"/>
    </row>
    <row r="283" spans="64:66" x14ac:dyDescent="0.55000000000000004">
      <c r="BL283" s="5234"/>
      <c r="BM283" s="5234"/>
      <c r="BN283" s="5234"/>
    </row>
    <row r="284" spans="64:66" x14ac:dyDescent="0.55000000000000004">
      <c r="BL284" s="5234"/>
      <c r="BM284" s="5234"/>
      <c r="BN284" s="5234"/>
    </row>
    <row r="285" spans="64:66" x14ac:dyDescent="0.55000000000000004">
      <c r="BL285" s="5234"/>
      <c r="BM285" s="5234"/>
      <c r="BN285" s="5234"/>
    </row>
    <row r="286" spans="64:66" x14ac:dyDescent="0.55000000000000004">
      <c r="BL286" s="5234"/>
      <c r="BM286" s="5234"/>
      <c r="BN286" s="5234"/>
    </row>
    <row r="287" spans="64:66" x14ac:dyDescent="0.55000000000000004">
      <c r="BL287" s="5234"/>
      <c r="BM287" s="5234"/>
      <c r="BN287" s="5234"/>
    </row>
    <row r="288" spans="64:66" x14ac:dyDescent="0.55000000000000004">
      <c r="BL288" s="5234"/>
      <c r="BM288" s="5234"/>
      <c r="BN288" s="5234"/>
    </row>
    <row r="289" spans="64:66" x14ac:dyDescent="0.55000000000000004">
      <c r="BL289" s="5234"/>
      <c r="BM289" s="5234"/>
      <c r="BN289" s="5234"/>
    </row>
    <row r="290" spans="64:66" x14ac:dyDescent="0.55000000000000004">
      <c r="BL290" s="5234"/>
      <c r="BM290" s="5234"/>
      <c r="BN290" s="5234"/>
    </row>
    <row r="291" spans="64:66" x14ac:dyDescent="0.55000000000000004">
      <c r="BL291" s="5234"/>
      <c r="BM291" s="5234"/>
      <c r="BN291" s="5234"/>
    </row>
    <row r="292" spans="64:66" x14ac:dyDescent="0.55000000000000004">
      <c r="BL292" s="5234"/>
      <c r="BM292" s="5234"/>
      <c r="BN292" s="5234"/>
    </row>
    <row r="293" spans="64:66" x14ac:dyDescent="0.55000000000000004">
      <c r="BL293" s="5234"/>
      <c r="BM293" s="5234"/>
      <c r="BN293" s="5234"/>
    </row>
    <row r="294" spans="64:66" x14ac:dyDescent="0.55000000000000004">
      <c r="BL294" s="5234"/>
      <c r="BM294" s="5234"/>
      <c r="BN294" s="5234"/>
    </row>
    <row r="295" spans="64:66" x14ac:dyDescent="0.55000000000000004">
      <c r="BL295" s="5234"/>
      <c r="BM295" s="5234"/>
      <c r="BN295" s="5234"/>
    </row>
    <row r="296" spans="64:66" x14ac:dyDescent="0.55000000000000004">
      <c r="BL296" s="5234"/>
      <c r="BM296" s="5234"/>
      <c r="BN296" s="5234"/>
    </row>
    <row r="297" spans="64:66" x14ac:dyDescent="0.55000000000000004">
      <c r="BL297" s="5234"/>
      <c r="BM297" s="5234"/>
      <c r="BN297" s="5234"/>
    </row>
    <row r="298" spans="64:66" x14ac:dyDescent="0.55000000000000004">
      <c r="BL298" s="5234"/>
      <c r="BM298" s="5234"/>
      <c r="BN298" s="5234"/>
    </row>
    <row r="299" spans="64:66" x14ac:dyDescent="0.55000000000000004">
      <c r="BL299" s="5234"/>
      <c r="BM299" s="5234"/>
      <c r="BN299" s="5234"/>
    </row>
    <row r="300" spans="64:66" x14ac:dyDescent="0.55000000000000004">
      <c r="BL300" s="5234"/>
      <c r="BM300" s="5234"/>
      <c r="BN300" s="5234"/>
    </row>
    <row r="301" spans="64:66" x14ac:dyDescent="0.55000000000000004">
      <c r="BL301" s="5234"/>
      <c r="BM301" s="5234"/>
      <c r="BN301" s="5234"/>
    </row>
    <row r="302" spans="64:66" x14ac:dyDescent="0.55000000000000004">
      <c r="BL302" s="5234"/>
      <c r="BM302" s="5234"/>
      <c r="BN302" s="5234"/>
    </row>
    <row r="303" spans="64:66" x14ac:dyDescent="0.55000000000000004">
      <c r="BL303" s="5234"/>
      <c r="BM303" s="5234"/>
      <c r="BN303" s="5234"/>
    </row>
    <row r="304" spans="64:66" x14ac:dyDescent="0.55000000000000004">
      <c r="BL304" s="5234"/>
      <c r="BM304" s="5234"/>
      <c r="BN304" s="5234"/>
    </row>
    <row r="305" spans="64:66" x14ac:dyDescent="0.55000000000000004">
      <c r="BL305" s="5234"/>
      <c r="BM305" s="5234"/>
      <c r="BN305" s="5234"/>
    </row>
    <row r="306" spans="64:66" x14ac:dyDescent="0.55000000000000004">
      <c r="BL306" s="5234"/>
      <c r="BM306" s="5234"/>
      <c r="BN306" s="5234"/>
    </row>
    <row r="307" spans="64:66" x14ac:dyDescent="0.55000000000000004">
      <c r="BL307" s="5234"/>
      <c r="BM307" s="5234"/>
      <c r="BN307" s="5234"/>
    </row>
    <row r="308" spans="64:66" x14ac:dyDescent="0.55000000000000004">
      <c r="BL308" s="5234"/>
      <c r="BM308" s="5234"/>
      <c r="BN308" s="5234"/>
    </row>
    <row r="309" spans="64:66" x14ac:dyDescent="0.55000000000000004">
      <c r="BL309" s="5234"/>
      <c r="BM309" s="5234"/>
      <c r="BN309" s="5234"/>
    </row>
    <row r="310" spans="64:66" x14ac:dyDescent="0.55000000000000004">
      <c r="BL310" s="5234"/>
      <c r="BM310" s="5234"/>
      <c r="BN310" s="5234"/>
    </row>
    <row r="311" spans="64:66" x14ac:dyDescent="0.55000000000000004">
      <c r="BL311" s="5234"/>
      <c r="BM311" s="5234"/>
      <c r="BN311" s="5234"/>
    </row>
    <row r="312" spans="64:66" x14ac:dyDescent="0.55000000000000004">
      <c r="BL312" s="5234"/>
      <c r="BM312" s="5234"/>
      <c r="BN312" s="5234"/>
    </row>
    <row r="313" spans="64:66" x14ac:dyDescent="0.55000000000000004">
      <c r="BL313" s="5234"/>
      <c r="BM313" s="5234"/>
      <c r="BN313" s="5234"/>
    </row>
    <row r="314" spans="64:66" x14ac:dyDescent="0.55000000000000004">
      <c r="BL314" s="5234"/>
      <c r="BM314" s="5234"/>
      <c r="BN314" s="5234"/>
    </row>
    <row r="315" spans="64:66" x14ac:dyDescent="0.55000000000000004">
      <c r="BL315" s="5234"/>
      <c r="BM315" s="5234"/>
      <c r="BN315" s="5234"/>
    </row>
    <row r="316" spans="64:66" x14ac:dyDescent="0.55000000000000004">
      <c r="BL316" s="5234"/>
      <c r="BM316" s="5234"/>
      <c r="BN316" s="5234"/>
    </row>
    <row r="317" spans="64:66" x14ac:dyDescent="0.55000000000000004">
      <c r="BL317" s="5234"/>
      <c r="BM317" s="5234"/>
      <c r="BN317" s="5234"/>
    </row>
    <row r="318" spans="64:66" x14ac:dyDescent="0.55000000000000004">
      <c r="BL318" s="5234"/>
      <c r="BM318" s="5234"/>
      <c r="BN318" s="5234"/>
    </row>
    <row r="319" spans="64:66" x14ac:dyDescent="0.55000000000000004">
      <c r="BL319" s="5234"/>
      <c r="BM319" s="5234"/>
      <c r="BN319" s="5234"/>
    </row>
    <row r="320" spans="64:66" x14ac:dyDescent="0.55000000000000004">
      <c r="BL320" s="5234"/>
      <c r="BM320" s="5234"/>
      <c r="BN320" s="5234"/>
    </row>
    <row r="321" spans="64:67" x14ac:dyDescent="0.55000000000000004">
      <c r="BL321" s="5234"/>
      <c r="BM321" s="5234"/>
      <c r="BN321" s="5234"/>
    </row>
    <row r="322" spans="64:67" x14ac:dyDescent="0.55000000000000004">
      <c r="BL322" s="5234"/>
      <c r="BM322" s="5234"/>
      <c r="BN322" s="5234"/>
    </row>
    <row r="323" spans="64:67" x14ac:dyDescent="0.55000000000000004">
      <c r="BL323" s="5234"/>
      <c r="BM323" s="5234"/>
      <c r="BN323" s="5234"/>
    </row>
    <row r="324" spans="64:67" x14ac:dyDescent="0.55000000000000004">
      <c r="BL324" s="5234"/>
      <c r="BM324" s="5234"/>
      <c r="BN324" s="5234"/>
    </row>
    <row r="325" spans="64:67" x14ac:dyDescent="0.55000000000000004">
      <c r="BL325" s="5234"/>
      <c r="BM325" s="5234"/>
      <c r="BN325" s="5234"/>
    </row>
    <row r="326" spans="64:67" x14ac:dyDescent="0.55000000000000004">
      <c r="BL326" s="5234"/>
      <c r="BM326" s="5234"/>
      <c r="BN326" s="5234"/>
    </row>
    <row r="327" spans="64:67" x14ac:dyDescent="0.55000000000000004">
      <c r="BL327" s="5234"/>
      <c r="BM327" s="5234"/>
      <c r="BN327" s="5234"/>
    </row>
    <row r="328" spans="64:67" x14ac:dyDescent="0.55000000000000004">
      <c r="BL328" s="5234"/>
      <c r="BM328" s="5234"/>
      <c r="BN328" s="5234"/>
    </row>
    <row r="329" spans="64:67" x14ac:dyDescent="0.55000000000000004">
      <c r="BL329" s="5234"/>
      <c r="BM329" s="5234"/>
      <c r="BN329" s="5234"/>
    </row>
    <row r="330" spans="64:67" x14ac:dyDescent="0.55000000000000004">
      <c r="BL330" s="5234"/>
      <c r="BM330" s="5234"/>
      <c r="BN330" s="5234"/>
      <c r="BO330" s="5353"/>
    </row>
    <row r="331" spans="64:67" ht="15.45" thickBot="1" x14ac:dyDescent="0.6">
      <c r="BL331" s="5234"/>
      <c r="BM331" s="5234"/>
      <c r="BN331" s="5234"/>
      <c r="BO331" s="3034"/>
    </row>
    <row r="332" spans="64:67" ht="16.3" x14ac:dyDescent="0.55000000000000004">
      <c r="BL332" s="5234"/>
      <c r="BM332" s="5234"/>
      <c r="BN332" s="5234"/>
      <c r="BO332" s="5229" t="s">
        <v>9</v>
      </c>
    </row>
    <row r="333" spans="64:67" x14ac:dyDescent="0.55000000000000004">
      <c r="BL333" s="5234"/>
      <c r="BM333" s="5234"/>
      <c r="BN333" s="5234"/>
      <c r="BO333" s="5354" t="e">
        <f>#REF!/AU333</f>
        <v>#REF!</v>
      </c>
    </row>
    <row r="334" spans="64:67" x14ac:dyDescent="0.55000000000000004">
      <c r="BL334" s="5234"/>
      <c r="BM334" s="5234"/>
      <c r="BN334" s="5234"/>
      <c r="BO334" s="5354" t="e">
        <f>#REF!/AU334</f>
        <v>#REF!</v>
      </c>
    </row>
    <row r="335" spans="64:67" x14ac:dyDescent="0.55000000000000004">
      <c r="BL335" s="5234"/>
      <c r="BM335" s="5234"/>
      <c r="BN335" s="5234"/>
      <c r="BO335" s="5354" t="e">
        <f>#REF!/AU335</f>
        <v>#REF!</v>
      </c>
    </row>
    <row r="336" spans="64:67" x14ac:dyDescent="0.55000000000000004">
      <c r="BL336" s="5234"/>
      <c r="BM336" s="5234"/>
      <c r="BN336" s="5234"/>
      <c r="BO336" s="5354" t="e">
        <f>#REF!/AU336</f>
        <v>#REF!</v>
      </c>
    </row>
    <row r="337" spans="64:67" x14ac:dyDescent="0.55000000000000004">
      <c r="BL337" s="5234"/>
      <c r="BM337" s="5234"/>
      <c r="BN337" s="5234"/>
      <c r="BO337" s="5354" t="e">
        <f>#REF!/AU337</f>
        <v>#REF!</v>
      </c>
    </row>
    <row r="338" spans="64:67" x14ac:dyDescent="0.55000000000000004">
      <c r="BL338" s="5234"/>
      <c r="BM338" s="5234"/>
      <c r="BN338" s="5234"/>
      <c r="BO338" s="5354" t="e">
        <f>#REF!/AU338</f>
        <v>#REF!</v>
      </c>
    </row>
    <row r="339" spans="64:67" x14ac:dyDescent="0.55000000000000004">
      <c r="BL339" s="5234"/>
      <c r="BM339" s="5234"/>
      <c r="BN339" s="5234"/>
      <c r="BO339" s="5354" t="e">
        <f>#REF!/AU339</f>
        <v>#REF!</v>
      </c>
    </row>
    <row r="340" spans="64:67" x14ac:dyDescent="0.55000000000000004">
      <c r="BL340" s="5234"/>
      <c r="BM340" s="5234"/>
      <c r="BN340" s="5234"/>
      <c r="BO340" s="5354" t="e">
        <f>#REF!/AU340</f>
        <v>#REF!</v>
      </c>
    </row>
    <row r="341" spans="64:67" x14ac:dyDescent="0.55000000000000004">
      <c r="BL341" s="5234"/>
      <c r="BM341" s="5234"/>
      <c r="BN341" s="5234"/>
      <c r="BO341" s="5354" t="e">
        <f>#REF!/AU341</f>
        <v>#REF!</v>
      </c>
    </row>
    <row r="342" spans="64:67" x14ac:dyDescent="0.55000000000000004">
      <c r="BL342" s="5234"/>
      <c r="BM342" s="5234"/>
      <c r="BN342" s="5234"/>
      <c r="BO342" s="5354" t="e">
        <f>#REF!/AU342</f>
        <v>#REF!</v>
      </c>
    </row>
    <row r="343" spans="64:67" x14ac:dyDescent="0.55000000000000004">
      <c r="BL343" s="5234"/>
      <c r="BM343" s="5234"/>
      <c r="BN343" s="5234"/>
      <c r="BO343" s="5354" t="e">
        <f>#REF!/AU343</f>
        <v>#REF!</v>
      </c>
    </row>
    <row r="344" spans="64:67" x14ac:dyDescent="0.55000000000000004">
      <c r="BL344" s="5234"/>
      <c r="BM344" s="5234"/>
      <c r="BN344" s="5234"/>
      <c r="BO344" s="5354" t="e">
        <f>#REF!/AU344</f>
        <v>#REF!</v>
      </c>
    </row>
    <row r="345" spans="64:67" x14ac:dyDescent="0.55000000000000004">
      <c r="BL345" s="5234"/>
      <c r="BM345" s="5234"/>
      <c r="BN345" s="5234"/>
      <c r="BO345" s="5354" t="e">
        <f>#REF!/AU345</f>
        <v>#REF!</v>
      </c>
    </row>
    <row r="346" spans="64:67" x14ac:dyDescent="0.55000000000000004">
      <c r="BL346" s="5234"/>
      <c r="BM346" s="5234"/>
      <c r="BN346" s="5234"/>
      <c r="BO346" s="5354" t="e">
        <f>#REF!/AU346</f>
        <v>#REF!</v>
      </c>
    </row>
    <row r="347" spans="64:67" x14ac:dyDescent="0.55000000000000004">
      <c r="BL347" s="5234"/>
      <c r="BM347" s="5234"/>
      <c r="BN347" s="5234"/>
      <c r="BO347" s="5354" t="e">
        <f>#REF!/AU347</f>
        <v>#REF!</v>
      </c>
    </row>
    <row r="348" spans="64:67" x14ac:dyDescent="0.55000000000000004">
      <c r="BL348" s="5234"/>
      <c r="BM348" s="5234"/>
      <c r="BN348" s="5234"/>
      <c r="BO348" s="5354" t="e">
        <f>#REF!/AU348</f>
        <v>#REF!</v>
      </c>
    </row>
    <row r="349" spans="64:67" x14ac:dyDescent="0.55000000000000004">
      <c r="BL349" s="5234"/>
      <c r="BM349" s="5234"/>
      <c r="BN349" s="5234"/>
      <c r="BO349" s="5354" t="e">
        <f>#REF!/AU349</f>
        <v>#REF!</v>
      </c>
    </row>
    <row r="350" spans="64:67" x14ac:dyDescent="0.55000000000000004">
      <c r="BL350" s="5234"/>
      <c r="BM350" s="5234"/>
      <c r="BN350" s="5234"/>
      <c r="BO350" s="5354" t="e">
        <f>#REF!/AU350</f>
        <v>#REF!</v>
      </c>
    </row>
    <row r="351" spans="64:67" x14ac:dyDescent="0.55000000000000004">
      <c r="BL351" s="5234"/>
      <c r="BM351" s="5234"/>
      <c r="BN351" s="5234"/>
      <c r="BO351" s="5354" t="e">
        <f>#REF!/AU351</f>
        <v>#REF!</v>
      </c>
    </row>
    <row r="352" spans="64:67" x14ac:dyDescent="0.55000000000000004">
      <c r="BL352" s="5234"/>
      <c r="BM352" s="5234"/>
      <c r="BN352" s="5234"/>
      <c r="BO352" s="5354" t="e">
        <f>#REF!/AU352</f>
        <v>#REF!</v>
      </c>
    </row>
    <row r="353" spans="64:67" x14ac:dyDescent="0.55000000000000004">
      <c r="BL353" s="5234"/>
      <c r="BM353" s="5234"/>
      <c r="BN353" s="5234"/>
      <c r="BO353" s="5354" t="e">
        <f>#REF!/AU353</f>
        <v>#REF!</v>
      </c>
    </row>
    <row r="354" spans="64:67" x14ac:dyDescent="0.55000000000000004">
      <c r="BL354" s="5234"/>
      <c r="BM354" s="5234"/>
      <c r="BN354" s="5234"/>
      <c r="BO354" s="5354" t="e">
        <f>#REF!/AU354</f>
        <v>#REF!</v>
      </c>
    </row>
    <row r="355" spans="64:67" x14ac:dyDescent="0.55000000000000004">
      <c r="BL355" s="5234"/>
      <c r="BM355" s="5234"/>
      <c r="BN355" s="5234"/>
      <c r="BO355" s="5354" t="e">
        <f>AU2/AU355</f>
        <v>#DIV/0!</v>
      </c>
    </row>
    <row r="356" spans="64:67" x14ac:dyDescent="0.55000000000000004">
      <c r="BL356" s="5234"/>
      <c r="BM356" s="5234"/>
      <c r="BN356" s="5234"/>
      <c r="BO356" s="5354" t="e">
        <f>#REF!/AU356</f>
        <v>#REF!</v>
      </c>
    </row>
    <row r="357" spans="64:67" x14ac:dyDescent="0.55000000000000004">
      <c r="BL357" s="5234"/>
      <c r="BM357" s="5234"/>
      <c r="BN357" s="5234"/>
      <c r="BO357" s="5354" t="e">
        <f t="shared" ref="BO357:BO365" si="249">AU7/AU357</f>
        <v>#DIV/0!</v>
      </c>
    </row>
    <row r="358" spans="64:67" x14ac:dyDescent="0.55000000000000004">
      <c r="BL358" s="5234"/>
      <c r="BM358" s="5234"/>
      <c r="BN358" s="5234"/>
      <c r="BO358" s="5354" t="e">
        <f t="shared" si="249"/>
        <v>#VALUE!</v>
      </c>
    </row>
    <row r="359" spans="64:67" x14ac:dyDescent="0.55000000000000004">
      <c r="BL359" s="5234"/>
      <c r="BM359" s="5234"/>
      <c r="BN359" s="5234"/>
      <c r="BO359" s="5354" t="e">
        <f t="shared" si="249"/>
        <v>#DIV/0!</v>
      </c>
    </row>
    <row r="360" spans="64:67" x14ac:dyDescent="0.55000000000000004">
      <c r="BL360" s="5234"/>
      <c r="BM360" s="5234"/>
      <c r="BN360" s="5234"/>
      <c r="BO360" s="5354" t="e">
        <f t="shared" si="249"/>
        <v>#DIV/0!</v>
      </c>
    </row>
    <row r="361" spans="64:67" x14ac:dyDescent="0.55000000000000004">
      <c r="BL361" s="5234"/>
      <c r="BM361" s="5234"/>
      <c r="BN361" s="5234"/>
      <c r="BO361" s="5354" t="e">
        <f t="shared" si="249"/>
        <v>#DIV/0!</v>
      </c>
    </row>
    <row r="362" spans="64:67" x14ac:dyDescent="0.55000000000000004">
      <c r="BL362" s="5234"/>
      <c r="BM362" s="5234"/>
      <c r="BN362" s="5234"/>
      <c r="BO362" s="5354" t="e">
        <f t="shared" si="249"/>
        <v>#DIV/0!</v>
      </c>
    </row>
    <row r="363" spans="64:67" x14ac:dyDescent="0.55000000000000004">
      <c r="BL363" s="5234"/>
      <c r="BM363" s="5234"/>
      <c r="BN363" s="5234"/>
      <c r="BO363" s="5354" t="e">
        <f t="shared" si="249"/>
        <v>#DIV/0!</v>
      </c>
    </row>
    <row r="364" spans="64:67" x14ac:dyDescent="0.55000000000000004">
      <c r="BL364" s="5234"/>
      <c r="BM364" s="5234"/>
      <c r="BN364" s="5234"/>
      <c r="BO364" s="5354" t="e">
        <f t="shared" si="249"/>
        <v>#DIV/0!</v>
      </c>
    </row>
    <row r="365" spans="64:67" x14ac:dyDescent="0.55000000000000004">
      <c r="BL365" s="5234"/>
      <c r="BM365" s="5234"/>
      <c r="BN365" s="5234"/>
      <c r="BO365" s="5354" t="e">
        <f t="shared" si="249"/>
        <v>#DIV/0!</v>
      </c>
    </row>
    <row r="366" spans="64:67" x14ac:dyDescent="0.55000000000000004">
      <c r="BL366" s="5234"/>
      <c r="BM366" s="5234"/>
      <c r="BN366" s="5234"/>
      <c r="BO366" s="5354" t="e">
        <f t="shared" ref="BO366:BO372" si="250">AU30/AU366</f>
        <v>#DIV/0!</v>
      </c>
    </row>
    <row r="367" spans="64:67" x14ac:dyDescent="0.55000000000000004">
      <c r="BL367" s="5234"/>
      <c r="BM367" s="5234"/>
      <c r="BN367" s="5234"/>
      <c r="BO367" s="5354" t="e">
        <f t="shared" si="250"/>
        <v>#DIV/0!</v>
      </c>
    </row>
    <row r="368" spans="64:67" x14ac:dyDescent="0.55000000000000004">
      <c r="BL368" s="5234"/>
      <c r="BM368" s="5234"/>
      <c r="BN368" s="5234"/>
      <c r="BO368" s="5354" t="e">
        <f t="shared" si="250"/>
        <v>#DIV/0!</v>
      </c>
    </row>
    <row r="369" spans="64:67" x14ac:dyDescent="0.55000000000000004">
      <c r="BL369" s="5234"/>
      <c r="BM369" s="5234"/>
      <c r="BN369" s="5234"/>
      <c r="BO369" s="5354" t="e">
        <f t="shared" si="250"/>
        <v>#DIV/0!</v>
      </c>
    </row>
    <row r="370" spans="64:67" x14ac:dyDescent="0.55000000000000004">
      <c r="BL370" s="5234"/>
      <c r="BM370" s="5234"/>
      <c r="BN370" s="5234"/>
      <c r="BO370" s="5354" t="e">
        <f t="shared" si="250"/>
        <v>#DIV/0!</v>
      </c>
    </row>
    <row r="371" spans="64:67" x14ac:dyDescent="0.55000000000000004">
      <c r="BL371" s="5234"/>
      <c r="BM371" s="5234"/>
      <c r="BN371" s="5234"/>
      <c r="BO371" s="5354" t="e">
        <f t="shared" si="250"/>
        <v>#DIV/0!</v>
      </c>
    </row>
    <row r="372" spans="64:67" x14ac:dyDescent="0.55000000000000004">
      <c r="BL372" s="5234"/>
      <c r="BM372" s="5234"/>
      <c r="BN372" s="5234"/>
      <c r="BO372" s="5354" t="e">
        <f t="shared" si="250"/>
        <v>#DIV/0!</v>
      </c>
    </row>
    <row r="373" spans="64:67" x14ac:dyDescent="0.55000000000000004">
      <c r="BL373" s="5234"/>
      <c r="BM373" s="5234"/>
      <c r="BN373" s="5234"/>
      <c r="BO373" s="5354" t="e">
        <f>AU93/AU373</f>
        <v>#DIV/0!</v>
      </c>
    </row>
    <row r="374" spans="64:67" x14ac:dyDescent="0.55000000000000004">
      <c r="BL374" s="5234"/>
      <c r="BM374" s="5234"/>
      <c r="BN374" s="5234"/>
      <c r="BO374" s="5354" t="e">
        <f t="shared" ref="BO374:BO384" si="251">AU94/AU374</f>
        <v>#DIV/0!</v>
      </c>
    </row>
    <row r="375" spans="64:67" x14ac:dyDescent="0.55000000000000004">
      <c r="BL375" s="5234"/>
      <c r="BM375" s="5234"/>
      <c r="BN375" s="5234"/>
      <c r="BO375" s="5354" t="e">
        <f t="shared" si="251"/>
        <v>#DIV/0!</v>
      </c>
    </row>
    <row r="376" spans="64:67" x14ac:dyDescent="0.55000000000000004">
      <c r="BL376" s="5234"/>
      <c r="BM376" s="5234"/>
      <c r="BN376" s="5234"/>
      <c r="BO376" s="5354" t="e">
        <f t="shared" si="251"/>
        <v>#DIV/0!</v>
      </c>
    </row>
    <row r="377" spans="64:67" x14ac:dyDescent="0.55000000000000004">
      <c r="BL377" s="5234"/>
      <c r="BM377" s="5234"/>
      <c r="BN377" s="5234"/>
      <c r="BO377" s="5354" t="e">
        <f t="shared" si="251"/>
        <v>#DIV/0!</v>
      </c>
    </row>
    <row r="378" spans="64:67" x14ac:dyDescent="0.55000000000000004">
      <c r="BL378" s="5234"/>
      <c r="BM378" s="5234"/>
      <c r="BN378" s="5234"/>
      <c r="BO378" s="5354" t="e">
        <f t="shared" si="251"/>
        <v>#DIV/0!</v>
      </c>
    </row>
    <row r="379" spans="64:67" x14ac:dyDescent="0.55000000000000004">
      <c r="BL379" s="5234"/>
      <c r="BM379" s="5234"/>
      <c r="BN379" s="5234"/>
      <c r="BO379" s="5354" t="e">
        <f t="shared" si="251"/>
        <v>#DIV/0!</v>
      </c>
    </row>
    <row r="380" spans="64:67" x14ac:dyDescent="0.55000000000000004">
      <c r="BL380" s="5234"/>
      <c r="BM380" s="5234"/>
      <c r="BN380" s="5234"/>
      <c r="BO380" s="5354" t="e">
        <f t="shared" si="251"/>
        <v>#DIV/0!</v>
      </c>
    </row>
    <row r="381" spans="64:67" x14ac:dyDescent="0.55000000000000004">
      <c r="BL381" s="5234"/>
      <c r="BM381" s="5234"/>
      <c r="BN381" s="5234"/>
      <c r="BO381" s="5354" t="e">
        <f t="shared" si="251"/>
        <v>#DIV/0!</v>
      </c>
    </row>
    <row r="382" spans="64:67" x14ac:dyDescent="0.55000000000000004">
      <c r="BL382" s="5234"/>
      <c r="BM382" s="5234"/>
      <c r="BN382" s="5234"/>
      <c r="BO382" s="5354" t="e">
        <f t="shared" si="251"/>
        <v>#DIV/0!</v>
      </c>
    </row>
    <row r="383" spans="64:67" x14ac:dyDescent="0.55000000000000004">
      <c r="BL383" s="5234"/>
      <c r="BM383" s="5234"/>
      <c r="BN383" s="5234"/>
      <c r="BO383" s="5354" t="e">
        <f t="shared" si="251"/>
        <v>#DIV/0!</v>
      </c>
    </row>
    <row r="384" spans="64:67" x14ac:dyDescent="0.55000000000000004">
      <c r="BL384" s="5234"/>
      <c r="BM384" s="5234"/>
      <c r="BN384" s="5234"/>
      <c r="BO384" s="5354" t="e">
        <f t="shared" si="251"/>
        <v>#DIV/0!</v>
      </c>
    </row>
    <row r="385" spans="64:67" x14ac:dyDescent="0.55000000000000004">
      <c r="BL385" s="5234"/>
      <c r="BM385" s="5234"/>
      <c r="BN385" s="5234"/>
    </row>
    <row r="386" spans="64:67" x14ac:dyDescent="0.55000000000000004">
      <c r="BL386" s="5234"/>
      <c r="BM386" s="5234"/>
      <c r="BN386" s="5234"/>
      <c r="BO386" s="5354" t="e">
        <f>AU106/AU386</f>
        <v>#DIV/0!</v>
      </c>
    </row>
    <row r="387" spans="64:67" x14ac:dyDescent="0.55000000000000004">
      <c r="BL387" s="5234"/>
      <c r="BM387" s="5234"/>
      <c r="BN387" s="5234"/>
      <c r="BO387" s="5354" t="e">
        <f>AU107/AU387</f>
        <v>#DIV/0!</v>
      </c>
    </row>
    <row r="388" spans="64:67" x14ac:dyDescent="0.55000000000000004">
      <c r="BL388" s="5234"/>
      <c r="BM388" s="5234"/>
      <c r="BN388" s="5234"/>
      <c r="BO388" s="5354" t="e">
        <f>AU108/AU388</f>
        <v>#DIV/0!</v>
      </c>
    </row>
    <row r="389" spans="64:67" x14ac:dyDescent="0.55000000000000004">
      <c r="BL389" s="5234"/>
      <c r="BM389" s="5234"/>
      <c r="BN389" s="5234"/>
      <c r="BO389" s="5354" t="e">
        <f>AU109/AU389</f>
        <v>#DIV/0!</v>
      </c>
    </row>
    <row r="390" spans="64:67" x14ac:dyDescent="0.55000000000000004">
      <c r="BL390" s="5234"/>
      <c r="BM390" s="5234"/>
      <c r="BN390" s="5234"/>
      <c r="BO390" s="5354" t="e">
        <f>AU110/AU390</f>
        <v>#DIV/0!</v>
      </c>
    </row>
    <row r="391" spans="64:67" x14ac:dyDescent="0.55000000000000004">
      <c r="BL391" s="5234"/>
      <c r="BM391" s="5234"/>
      <c r="BN391" s="5234"/>
      <c r="BO391" s="5354" t="e">
        <f>AU112/AU391</f>
        <v>#DIV/0!</v>
      </c>
    </row>
    <row r="392" spans="64:67" x14ac:dyDescent="0.55000000000000004">
      <c r="BL392" s="5234"/>
      <c r="BM392" s="5234"/>
      <c r="BN392" s="5234"/>
    </row>
    <row r="393" spans="64:67" x14ac:dyDescent="0.55000000000000004">
      <c r="BL393" s="5234"/>
      <c r="BM393" s="5234"/>
      <c r="BN393" s="5234"/>
    </row>
    <row r="394" spans="64:67" x14ac:dyDescent="0.55000000000000004">
      <c r="BL394" s="5234"/>
      <c r="BM394" s="5234"/>
      <c r="BN394" s="5234"/>
    </row>
    <row r="395" spans="64:67" x14ac:dyDescent="0.55000000000000004">
      <c r="BL395" s="5234"/>
      <c r="BM395" s="5234"/>
      <c r="BN395" s="5234"/>
    </row>
    <row r="396" spans="64:67" x14ac:dyDescent="0.55000000000000004">
      <c r="BL396" s="5234"/>
      <c r="BM396" s="5234"/>
      <c r="BN396" s="5234"/>
    </row>
    <row r="397" spans="64:67" x14ac:dyDescent="0.55000000000000004">
      <c r="BL397" s="5234"/>
      <c r="BM397" s="5234"/>
      <c r="BN397" s="5234"/>
    </row>
    <row r="398" spans="64:67" x14ac:dyDescent="0.55000000000000004">
      <c r="BL398" s="5234"/>
      <c r="BM398" s="5234"/>
      <c r="BN398" s="5234"/>
    </row>
    <row r="399" spans="64:67" x14ac:dyDescent="0.55000000000000004">
      <c r="BL399" s="5234"/>
      <c r="BM399" s="5234"/>
      <c r="BN399" s="5234"/>
    </row>
    <row r="400" spans="64:67" x14ac:dyDescent="0.55000000000000004">
      <c r="BL400" s="5234"/>
      <c r="BM400" s="5234"/>
      <c r="BN400" s="5234"/>
    </row>
    <row r="401" spans="64:66" x14ac:dyDescent="0.55000000000000004">
      <c r="BL401" s="5234"/>
      <c r="BM401" s="5234"/>
      <c r="BN401" s="5234"/>
    </row>
    <row r="402" spans="64:66" x14ac:dyDescent="0.55000000000000004">
      <c r="BL402" s="5234"/>
      <c r="BM402" s="5234"/>
      <c r="BN402" s="5234"/>
    </row>
    <row r="403" spans="64:66" x14ac:dyDescent="0.55000000000000004">
      <c r="BL403" s="5234"/>
      <c r="BM403" s="5234"/>
      <c r="BN403" s="5234"/>
    </row>
    <row r="404" spans="64:66" x14ac:dyDescent="0.55000000000000004">
      <c r="BL404" s="5234"/>
      <c r="BM404" s="5234"/>
      <c r="BN404" s="5234"/>
    </row>
    <row r="405" spans="64:66" x14ac:dyDescent="0.55000000000000004">
      <c r="BL405" s="5234"/>
      <c r="BM405" s="5234"/>
      <c r="BN405" s="5234"/>
    </row>
    <row r="406" spans="64:66" x14ac:dyDescent="0.55000000000000004">
      <c r="BL406" s="5234"/>
      <c r="BM406" s="5234"/>
      <c r="BN406" s="5234"/>
    </row>
    <row r="407" spans="64:66" x14ac:dyDescent="0.55000000000000004">
      <c r="BL407" s="5234"/>
      <c r="BM407" s="5234"/>
      <c r="BN407" s="5234"/>
    </row>
    <row r="408" spans="64:66" x14ac:dyDescent="0.55000000000000004">
      <c r="BL408" s="5234"/>
      <c r="BM408" s="5234"/>
      <c r="BN408" s="5234"/>
    </row>
    <row r="409" spans="64:66" x14ac:dyDescent="0.55000000000000004">
      <c r="BL409" s="5234"/>
      <c r="BM409" s="5234"/>
      <c r="BN409" s="5234"/>
    </row>
    <row r="410" spans="64:66" x14ac:dyDescent="0.55000000000000004">
      <c r="BL410" s="5234"/>
      <c r="BM410" s="5234"/>
      <c r="BN410" s="5234"/>
    </row>
  </sheetData>
  <mergeCells count="18">
    <mergeCell ref="A3:BJ3"/>
    <mergeCell ref="AW7:BJ7"/>
    <mergeCell ref="A16:B22"/>
    <mergeCell ref="F7:S7"/>
    <mergeCell ref="T7:AG7"/>
    <mergeCell ref="AI7:AV7"/>
    <mergeCell ref="A9:B15"/>
    <mergeCell ref="A72:B78"/>
    <mergeCell ref="A79:B85"/>
    <mergeCell ref="A93:B99"/>
    <mergeCell ref="A23:B29"/>
    <mergeCell ref="A30:B36"/>
    <mergeCell ref="A37:B43"/>
    <mergeCell ref="A51:B57"/>
    <mergeCell ref="A58:B64"/>
    <mergeCell ref="A65:B71"/>
    <mergeCell ref="A44:B50"/>
    <mergeCell ref="A86:B92"/>
  </mergeCells>
  <phoneticPr fontId="1" type="noConversion"/>
  <conditionalFormatting sqref="AI93:AT99 AI51:AT89 AI9:AT48 AX15:BA15">
    <cfRule type="containsBlanks" dxfId="13" priority="9">
      <formula>LEN(TRIM(AI9))=0</formula>
    </cfRule>
  </conditionalFormatting>
  <conditionalFormatting sqref="AJ50:AT50">
    <cfRule type="containsBlanks" dxfId="12" priority="5">
      <formula>LEN(TRIM(AJ50))=0</formula>
    </cfRule>
  </conditionalFormatting>
  <conditionalFormatting sqref="AW71">
    <cfRule type="containsBlanks" dxfId="11" priority="14">
      <formula>LEN(TRIM(AW71))=0</formula>
    </cfRule>
  </conditionalFormatting>
  <conditionalFormatting sqref="AW90">
    <cfRule type="containsBlanks" dxfId="10" priority="11">
      <formula>LEN(TRIM(AW90))=0</formula>
    </cfRule>
  </conditionalFormatting>
  <conditionalFormatting sqref="AI90:AT91 AJ92:AT92">
    <cfRule type="containsBlanks" dxfId="9" priority="2">
      <formula>LEN(TRIM(AI90))=0</formula>
    </cfRule>
  </conditionalFormatting>
  <conditionalFormatting sqref="AW48">
    <cfRule type="containsBlanks" dxfId="8" priority="13">
      <formula>LEN(TRIM(AW48))=0</formula>
    </cfRule>
  </conditionalFormatting>
  <conditionalFormatting sqref="AX97">
    <cfRule type="containsBlanks" dxfId="7" priority="10">
      <formula>LEN(TRIM(AX97))=0</formula>
    </cfRule>
  </conditionalFormatting>
  <conditionalFormatting sqref="AX9">
    <cfRule type="containsBlanks" dxfId="6" priority="8">
      <formula>LEN(TRIM(AX9))=0</formula>
    </cfRule>
  </conditionalFormatting>
  <conditionalFormatting sqref="AI49:AT49">
    <cfRule type="containsBlanks" dxfId="5" priority="4">
      <formula>LEN(TRIM(AI49))=0</formula>
    </cfRule>
  </conditionalFormatting>
  <conditionalFormatting sqref="AZ9:BH9">
    <cfRule type="containsBlanks" dxfId="4" priority="1">
      <formula>LEN(TRIM(AZ9))=0</formula>
    </cfRule>
  </conditionalFormatting>
  <printOptions horizontalCentered="1"/>
  <pageMargins left="0.23622047244094491" right="0.23622047244094491" top="0.39370078740157483" bottom="0" header="0.31496062992125984" footer="0.19685039370078741"/>
  <pageSetup paperSize="9" scale="44" fitToHeight="0" orientation="landscape" r:id="rId1"/>
  <headerFooter scaleWithDoc="0">
    <oddFooter>&amp;R&amp;"-,기울임꼴"&amp;8&amp;P &amp; 페이지</oddFooter>
  </headerFooter>
  <rowBreaks count="1" manualBreakCount="1">
    <brk id="57" max="6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F8A2-C46F-4F49-9988-69581122921E}">
  <sheetPr codeName="Sheet9">
    <tabColor theme="9" tint="0.79998168889431442"/>
  </sheetPr>
  <dimension ref="A1:BU539"/>
  <sheetViews>
    <sheetView showGridLines="0" zoomScale="70" zoomScaleNormal="70" workbookViewId="0">
      <pane xSplit="3" ySplit="3" topLeftCell="AO180" activePane="bottomRight" state="frozen"/>
      <selection activeCell="C499" sqref="C499"/>
      <selection pane="topRight" activeCell="C499" sqref="C499"/>
      <selection pane="bottomLeft" activeCell="C499" sqref="C499"/>
      <selection pane="bottomRight" activeCell="BJ192" sqref="BJ192"/>
    </sheetView>
  </sheetViews>
  <sheetFormatPr defaultRowHeight="17.600000000000001" outlineLevelCol="1" x14ac:dyDescent="0.55000000000000004"/>
  <cols>
    <col min="1" max="1" width="15.2109375" customWidth="1"/>
    <col min="2" max="2" width="13.5703125" style="52" customWidth="1"/>
    <col min="3" max="3" width="12.42578125" style="205" customWidth="1"/>
    <col min="4" max="15" width="8.85546875" style="170" hidden="1" customWidth="1" outlineLevel="1"/>
    <col min="16" max="16" width="9.42578125" style="170" bestFit="1" customWidth="1" collapsed="1"/>
    <col min="17" max="17" width="8.92578125" style="170" bestFit="1" customWidth="1"/>
    <col min="18" max="18" width="2.35546875" style="184" customWidth="1"/>
    <col min="19" max="30" width="8.85546875" style="170" hidden="1" customWidth="1" outlineLevel="1"/>
    <col min="31" max="31" width="9.5" style="170" bestFit="1" customWidth="1" collapsed="1"/>
    <col min="32" max="32" width="9" style="170" bestFit="1" customWidth="1"/>
    <col min="33" max="33" width="2.35546875" style="184" customWidth="1"/>
    <col min="34" max="40" width="8.85546875" style="170" customWidth="1" outlineLevel="1"/>
    <col min="41" max="41" width="10.0703125" style="170" customWidth="1" outlineLevel="1"/>
    <col min="42" max="42" width="8.85546875" style="170" customWidth="1" outlineLevel="1"/>
    <col min="43" max="43" width="8.85546875" style="1029" customWidth="1" outlineLevel="1"/>
    <col min="44" max="45" width="8.85546875" style="170" customWidth="1" outlineLevel="1"/>
    <col min="46" max="46" width="9.5" style="170" bestFit="1" customWidth="1"/>
    <col min="47" max="47" width="9" style="170" bestFit="1" customWidth="1"/>
    <col min="48" max="48" width="2.35546875" style="1584" customWidth="1"/>
    <col min="49" max="49" width="8.85546875" style="2007" customWidth="1" outlineLevel="1"/>
    <col min="50" max="55" width="8.85546875" style="1029" customWidth="1" outlineLevel="1"/>
    <col min="56" max="56" width="10.0703125" style="1029" customWidth="1" outlineLevel="1"/>
    <col min="57" max="60" width="8.85546875" style="1029" customWidth="1" outlineLevel="1"/>
    <col min="61" max="61" width="9.5" style="1029" bestFit="1" customWidth="1"/>
    <col min="62" max="62" width="9" style="1029" bestFit="1" customWidth="1"/>
    <col min="64" max="64" width="9.140625" customWidth="1"/>
    <col min="65" max="65" width="17.85546875" style="594" customWidth="1"/>
    <col min="66" max="67" width="14.42578125" customWidth="1"/>
    <col min="68" max="68" width="8.640625" customWidth="1"/>
    <col min="70" max="70" width="9" customWidth="1"/>
    <col min="71" max="71" width="8.640625" customWidth="1"/>
    <col min="72" max="72" width="15.85546875" customWidth="1"/>
  </cols>
  <sheetData>
    <row r="1" spans="1:71" s="838" customFormat="1" x14ac:dyDescent="0.55000000000000004">
      <c r="B1" s="2431">
        <v>11.000999999999999</v>
      </c>
      <c r="C1" s="2227"/>
      <c r="D1" s="2432"/>
      <c r="E1" s="2432"/>
      <c r="F1" s="2432"/>
      <c r="G1" s="2432"/>
      <c r="H1" s="2432"/>
      <c r="I1" s="2432"/>
      <c r="J1" s="2432"/>
      <c r="K1" s="2432"/>
      <c r="L1" s="2432"/>
      <c r="M1" s="2432"/>
      <c r="N1" s="2432"/>
      <c r="O1" s="2432"/>
      <c r="P1" s="2432"/>
      <c r="Q1" s="2432"/>
      <c r="R1" s="2433"/>
      <c r="S1" s="2432"/>
      <c r="T1" s="2432"/>
      <c r="U1" s="2432"/>
      <c r="V1" s="2432"/>
      <c r="W1" s="2432"/>
      <c r="X1" s="2432"/>
      <c r="Y1" s="2432"/>
      <c r="Z1" s="2432"/>
      <c r="AA1" s="2432"/>
      <c r="AB1" s="2432"/>
      <c r="AC1" s="2432"/>
      <c r="AD1" s="2432"/>
      <c r="AE1" s="2432"/>
      <c r="AF1" s="2432"/>
      <c r="AG1" s="2433"/>
      <c r="AH1" s="2432" t="b">
        <v>1</v>
      </c>
      <c r="AI1" s="2432" t="b">
        <v>1</v>
      </c>
      <c r="AJ1" s="2432" t="b">
        <v>1</v>
      </c>
      <c r="AK1" s="2432" t="b">
        <v>1</v>
      </c>
      <c r="AL1" s="2432" t="b">
        <v>1</v>
      </c>
      <c r="AM1" s="2432" t="b">
        <v>1</v>
      </c>
      <c r="AN1" s="2432" t="b">
        <v>1</v>
      </c>
      <c r="AO1" s="2432" t="b">
        <v>1</v>
      </c>
      <c r="AP1" s="2432" t="b">
        <v>1</v>
      </c>
      <c r="AQ1" s="2432" t="b">
        <v>1</v>
      </c>
      <c r="AR1" s="2432" t="b">
        <v>1</v>
      </c>
      <c r="AS1" s="2432" t="b">
        <v>1</v>
      </c>
      <c r="AT1" s="2432" t="b">
        <v>1</v>
      </c>
      <c r="AU1" s="2432"/>
      <c r="AV1" s="2433"/>
      <c r="AW1" s="2432" t="b">
        <v>1</v>
      </c>
      <c r="AX1" s="2432" t="b">
        <v>1</v>
      </c>
      <c r="AY1" s="2432" t="b">
        <v>1</v>
      </c>
      <c r="AZ1" s="2432"/>
      <c r="BA1" s="2432"/>
      <c r="BB1" s="2432"/>
      <c r="BC1" s="2432"/>
      <c r="BD1" s="2432"/>
      <c r="BE1" s="2432"/>
      <c r="BF1" s="2432"/>
      <c r="BG1" s="2432"/>
      <c r="BH1" s="2432"/>
      <c r="BI1" s="2432"/>
      <c r="BJ1" s="2432"/>
      <c r="BM1" s="1436"/>
    </row>
    <row r="2" spans="1:71" x14ac:dyDescent="0.55000000000000004">
      <c r="A2" s="196">
        <f>'2-(1) 수수료 기준_가입자(무선)'!A1</f>
        <v>12.000999999999999</v>
      </c>
      <c r="B2" s="52" t="s">
        <v>1190</v>
      </c>
      <c r="S2" s="782">
        <v>1.0009999999999999</v>
      </c>
      <c r="T2" s="782">
        <v>2.0009999999999999</v>
      </c>
      <c r="U2" s="782">
        <v>3.0009999999999999</v>
      </c>
      <c r="V2" s="782">
        <v>4.0010000000000003</v>
      </c>
      <c r="W2" s="782">
        <v>5.0010000000000003</v>
      </c>
      <c r="X2" s="782">
        <v>6.0010000000000003</v>
      </c>
      <c r="Y2" s="782">
        <v>7.0010000000000003</v>
      </c>
      <c r="Z2" s="782">
        <v>8.0009999999999994</v>
      </c>
      <c r="AA2" s="782">
        <v>9.0009999999999994</v>
      </c>
      <c r="AB2" s="782">
        <v>10.000999999999999</v>
      </c>
      <c r="AC2" s="782">
        <v>11.000999999999999</v>
      </c>
      <c r="AD2" s="782">
        <v>12.000999999999999</v>
      </c>
      <c r="AH2" s="782">
        <v>1.0009999999999999</v>
      </c>
      <c r="AI2" s="782">
        <v>2.0009999999999999</v>
      </c>
      <c r="AJ2" s="782">
        <v>3.0009999999999999</v>
      </c>
      <c r="AK2" s="782">
        <v>4.0010000000000003</v>
      </c>
      <c r="AL2" s="782">
        <v>5.0010000000000003</v>
      </c>
      <c r="AM2" s="782">
        <v>6.0010000000000003</v>
      </c>
      <c r="AN2" s="782">
        <v>7.0010000000000003</v>
      </c>
      <c r="AO2" s="782">
        <v>8.0009999999999994</v>
      </c>
      <c r="AP2" s="782">
        <v>9.0009999999999994</v>
      </c>
      <c r="AQ2" s="782">
        <v>10.000999999999999</v>
      </c>
      <c r="AR2" s="782">
        <v>11.000999999999999</v>
      </c>
      <c r="AS2" s="782">
        <v>12.000999999999999</v>
      </c>
      <c r="AW2" s="2008">
        <v>1.0009999999999999</v>
      </c>
      <c r="AX2" s="782">
        <v>2.0009999999999999</v>
      </c>
      <c r="AY2" s="782">
        <v>3.0009999999999999</v>
      </c>
      <c r="AZ2" s="782">
        <v>4.0010000000000003</v>
      </c>
      <c r="BA2" s="782">
        <v>5.0010000000000003</v>
      </c>
      <c r="BB2" s="782">
        <v>6.0010000000000003</v>
      </c>
      <c r="BC2" s="782">
        <v>7.0010000000000003</v>
      </c>
      <c r="BD2" s="782">
        <v>8.0009999999999994</v>
      </c>
      <c r="BE2" s="782">
        <v>9.0009999999999994</v>
      </c>
      <c r="BF2" s="782">
        <v>10.000999999999999</v>
      </c>
      <c r="BG2" s="782">
        <v>11.000999999999999</v>
      </c>
      <c r="BH2" s="782">
        <v>12.000999999999999</v>
      </c>
    </row>
    <row r="3" spans="1:71" ht="18" thickBot="1" x14ac:dyDescent="0.6">
      <c r="D3" s="109" t="s">
        <v>380</v>
      </c>
      <c r="E3" s="110" t="s">
        <v>381</v>
      </c>
      <c r="F3" s="110" t="s">
        <v>382</v>
      </c>
      <c r="G3" s="110" t="s">
        <v>383</v>
      </c>
      <c r="H3" s="110" t="s">
        <v>384</v>
      </c>
      <c r="I3" s="110" t="s">
        <v>385</v>
      </c>
      <c r="J3" s="110" t="s">
        <v>386</v>
      </c>
      <c r="K3" s="110" t="s">
        <v>387</v>
      </c>
      <c r="L3" s="110" t="s">
        <v>388</v>
      </c>
      <c r="M3" s="110" t="s">
        <v>389</v>
      </c>
      <c r="N3" s="110" t="s">
        <v>390</v>
      </c>
      <c r="O3" s="110" t="s">
        <v>391</v>
      </c>
      <c r="P3" s="110" t="s">
        <v>411</v>
      </c>
      <c r="Q3" s="110" t="s">
        <v>367</v>
      </c>
      <c r="S3" s="110" t="s">
        <v>368</v>
      </c>
      <c r="T3" s="110" t="s">
        <v>369</v>
      </c>
      <c r="U3" s="110" t="s">
        <v>370</v>
      </c>
      <c r="V3" s="110" t="s">
        <v>371</v>
      </c>
      <c r="W3" s="110" t="s">
        <v>372</v>
      </c>
      <c r="X3" s="110" t="s">
        <v>373</v>
      </c>
      <c r="Y3" s="110" t="s">
        <v>374</v>
      </c>
      <c r="Z3" s="110" t="s">
        <v>375</v>
      </c>
      <c r="AA3" s="110" t="s">
        <v>376</v>
      </c>
      <c r="AB3" s="110" t="s">
        <v>377</v>
      </c>
      <c r="AC3" s="110" t="s">
        <v>378</v>
      </c>
      <c r="AD3" s="110" t="s">
        <v>379</v>
      </c>
      <c r="AE3" s="110" t="s">
        <v>412</v>
      </c>
      <c r="AF3" s="110" t="s">
        <v>367</v>
      </c>
      <c r="AH3" s="110" t="s">
        <v>524</v>
      </c>
      <c r="AI3" s="110" t="s">
        <v>3</v>
      </c>
      <c r="AJ3" s="110" t="s">
        <v>525</v>
      </c>
      <c r="AK3" s="110" t="s">
        <v>358</v>
      </c>
      <c r="AL3" s="110" t="s">
        <v>359</v>
      </c>
      <c r="AM3" s="110" t="s">
        <v>360</v>
      </c>
      <c r="AN3" s="110" t="s">
        <v>361</v>
      </c>
      <c r="AO3" s="110" t="s">
        <v>362</v>
      </c>
      <c r="AP3" s="110" t="s">
        <v>363</v>
      </c>
      <c r="AQ3" s="110" t="s">
        <v>364</v>
      </c>
      <c r="AR3" s="110" t="s">
        <v>365</v>
      </c>
      <c r="AS3" s="110" t="s">
        <v>366</v>
      </c>
      <c r="AT3" s="110" t="s">
        <v>413</v>
      </c>
      <c r="AU3" s="110" t="s">
        <v>367</v>
      </c>
      <c r="AW3" s="2009" t="s">
        <v>1020</v>
      </c>
      <c r="AX3" s="110" t="s">
        <v>1022</v>
      </c>
      <c r="AY3" s="110" t="s">
        <v>1024</v>
      </c>
      <c r="AZ3" s="110" t="s">
        <v>1025</v>
      </c>
      <c r="BA3" s="110" t="s">
        <v>1026</v>
      </c>
      <c r="BB3" s="110" t="s">
        <v>1027</v>
      </c>
      <c r="BC3" s="110" t="s">
        <v>1028</v>
      </c>
      <c r="BD3" s="110" t="s">
        <v>1029</v>
      </c>
      <c r="BE3" s="110" t="s">
        <v>1030</v>
      </c>
      <c r="BF3" s="110" t="s">
        <v>1031</v>
      </c>
      <c r="BG3" s="110" t="s">
        <v>1032</v>
      </c>
      <c r="BH3" s="110" t="s">
        <v>1033</v>
      </c>
      <c r="BI3" s="110" t="s">
        <v>1036</v>
      </c>
      <c r="BJ3" s="110" t="s">
        <v>367</v>
      </c>
      <c r="BM3" s="1431" t="s">
        <v>928</v>
      </c>
      <c r="BN3" s="316" t="s">
        <v>465</v>
      </c>
      <c r="BO3" s="1133" t="s">
        <v>471</v>
      </c>
      <c r="BP3" s="316" t="s">
        <v>133</v>
      </c>
      <c r="BS3" t="s">
        <v>1136</v>
      </c>
    </row>
    <row r="4" spans="1:71" ht="17.05" customHeight="1" x14ac:dyDescent="0.55000000000000004">
      <c r="A4" s="7216" t="s">
        <v>400</v>
      </c>
      <c r="B4" s="41" t="s">
        <v>417</v>
      </c>
      <c r="C4" s="206"/>
      <c r="D4" s="270">
        <f t="shared" ref="D4:O4" si="0">SUM(D5:D6)</f>
        <v>50955</v>
      </c>
      <c r="E4" s="271">
        <f t="shared" si="0"/>
        <v>60715</v>
      </c>
      <c r="F4" s="271">
        <f t="shared" si="0"/>
        <v>55334</v>
      </c>
      <c r="G4" s="271">
        <f t="shared" si="0"/>
        <v>55246</v>
      </c>
      <c r="H4" s="271">
        <f t="shared" si="0"/>
        <v>57823</v>
      </c>
      <c r="I4" s="271">
        <f t="shared" si="0"/>
        <v>55801</v>
      </c>
      <c r="J4" s="271">
        <f t="shared" si="0"/>
        <v>49956</v>
      </c>
      <c r="K4" s="271">
        <f t="shared" si="0"/>
        <v>64094</v>
      </c>
      <c r="L4" s="271">
        <f t="shared" si="0"/>
        <v>47731</v>
      </c>
      <c r="M4" s="271">
        <f t="shared" si="0"/>
        <v>71376</v>
      </c>
      <c r="N4" s="271">
        <f t="shared" si="0"/>
        <v>49014</v>
      </c>
      <c r="O4" s="271">
        <f t="shared" si="0"/>
        <v>39837</v>
      </c>
      <c r="P4" s="271">
        <f>SUM(D4:O4)</f>
        <v>657882</v>
      </c>
      <c r="Q4" s="272">
        <f>P4/12</f>
        <v>54823.5</v>
      </c>
      <c r="R4" s="374"/>
      <c r="S4" s="270">
        <f t="shared" ref="S4:AD4" si="1">SUM(S5:S6)</f>
        <v>44833</v>
      </c>
      <c r="T4" s="271">
        <f t="shared" si="1"/>
        <v>58018</v>
      </c>
      <c r="U4" s="271">
        <f t="shared" si="1"/>
        <v>45975</v>
      </c>
      <c r="V4" s="271">
        <f t="shared" si="1"/>
        <v>42289</v>
      </c>
      <c r="W4" s="271">
        <f t="shared" si="1"/>
        <v>46787</v>
      </c>
      <c r="X4" s="271">
        <f t="shared" si="1"/>
        <v>43236</v>
      </c>
      <c r="Y4" s="271">
        <f t="shared" si="1"/>
        <v>42744</v>
      </c>
      <c r="Z4" s="271">
        <f t="shared" si="1"/>
        <v>62567</v>
      </c>
      <c r="AA4" s="271">
        <f t="shared" si="1"/>
        <v>39419</v>
      </c>
      <c r="AB4" s="271">
        <f t="shared" si="1"/>
        <v>70467</v>
      </c>
      <c r="AC4" s="271">
        <f t="shared" si="1"/>
        <v>41324</v>
      </c>
      <c r="AD4" s="271">
        <f t="shared" si="1"/>
        <v>34632</v>
      </c>
      <c r="AE4" s="271">
        <f>SUM(S4:AD4)</f>
        <v>572291</v>
      </c>
      <c r="AF4" s="272">
        <f>AE4/12</f>
        <v>47690.916666666664</v>
      </c>
      <c r="AG4" s="374"/>
      <c r="AH4" s="270">
        <v>60465</v>
      </c>
      <c r="AI4" s="271">
        <v>44118</v>
      </c>
      <c r="AJ4" s="271">
        <v>46236</v>
      </c>
      <c r="AK4" s="271">
        <v>47834</v>
      </c>
      <c r="AL4" s="271">
        <v>49112</v>
      </c>
      <c r="AM4" s="271">
        <v>44044</v>
      </c>
      <c r="AN4" s="271">
        <v>61054.999999999993</v>
      </c>
      <c r="AO4" s="271">
        <v>47733</v>
      </c>
      <c r="AP4" s="271">
        <v>67427</v>
      </c>
      <c r="AQ4" s="271">
        <v>61531</v>
      </c>
      <c r="AR4" s="271">
        <v>48015</v>
      </c>
      <c r="AS4" s="271">
        <v>41108</v>
      </c>
      <c r="AT4" s="271">
        <f>SUM(AH4:AS4)</f>
        <v>618678</v>
      </c>
      <c r="AU4" s="272">
        <f>AT4/12</f>
        <v>51556.5</v>
      </c>
      <c r="AV4" s="374"/>
      <c r="AW4" s="2010">
        <v>38822</v>
      </c>
      <c r="AX4" s="271">
        <v>74843</v>
      </c>
      <c r="AY4" s="271">
        <v>50688</v>
      </c>
      <c r="AZ4" s="271">
        <v>64086</v>
      </c>
      <c r="BA4" s="271">
        <v>98908</v>
      </c>
      <c r="BB4" s="271">
        <v>63565</v>
      </c>
      <c r="BC4" s="271">
        <v>95964</v>
      </c>
      <c r="BD4" s="271">
        <v>57357</v>
      </c>
      <c r="BE4" s="271">
        <v>76227</v>
      </c>
      <c r="BF4" s="271">
        <v>62495</v>
      </c>
      <c r="BG4" s="271">
        <v>52601</v>
      </c>
      <c r="BH4" s="271">
        <v>52735</v>
      </c>
      <c r="BI4" s="271">
        <f t="shared" ref="BI4:BI17" si="2">SUM(AW4:BH4)</f>
        <v>788291</v>
      </c>
      <c r="BJ4" s="272">
        <f t="shared" ref="BJ4:BJ12" si="3">BI4/$A$2</f>
        <v>65685.442879760027</v>
      </c>
      <c r="BL4" s="317">
        <f>ROW()</f>
        <v>4</v>
      </c>
      <c r="BM4" s="317">
        <f t="shared" ref="BM4:BM35" si="4">HLOOKUP($A$2,$AW$2:$BH$411,ROW()-1,0)-HLOOKUP($A$2,$AH$2:$AS$411,ROW()-1,0)</f>
        <v>11627</v>
      </c>
      <c r="BN4" s="317">
        <f>BJ4-AU4</f>
        <v>14128.942879760027</v>
      </c>
      <c r="BO4" s="317">
        <f t="shared" ref="BO4:BO35" si="5">BI4-SUM(AH4:AS4)</f>
        <v>169613</v>
      </c>
      <c r="BP4" s="594">
        <f t="shared" ref="BP4:BP35" si="6">HLOOKUP($A$2,$AW$2:$BH$520,ROW()-1,0)-HLOOKUP($A$2-1,$AW$2:$BH$520,ROW()-1,1)</f>
        <v>134</v>
      </c>
    </row>
    <row r="5" spans="1:71" ht="17.05" customHeight="1" x14ac:dyDescent="0.55000000000000004">
      <c r="A5" s="7217"/>
      <c r="B5" s="42"/>
      <c r="C5" s="213" t="s">
        <v>47</v>
      </c>
      <c r="D5" s="273">
        <v>19297</v>
      </c>
      <c r="E5" s="274">
        <v>19144</v>
      </c>
      <c r="F5" s="274">
        <v>20698</v>
      </c>
      <c r="G5" s="274">
        <v>17541</v>
      </c>
      <c r="H5" s="274">
        <v>19365</v>
      </c>
      <c r="I5" s="274">
        <v>17053</v>
      </c>
      <c r="J5" s="274">
        <v>16148</v>
      </c>
      <c r="K5" s="274">
        <v>16035</v>
      </c>
      <c r="L5" s="274">
        <v>18739</v>
      </c>
      <c r="M5" s="274">
        <v>21559</v>
      </c>
      <c r="N5" s="274">
        <v>17952</v>
      </c>
      <c r="O5" s="274">
        <v>14762</v>
      </c>
      <c r="P5" s="274">
        <f t="shared" ref="P5:P12" si="7">SUM(D5:O5)</f>
        <v>218293</v>
      </c>
      <c r="Q5" s="275">
        <f t="shared" ref="Q5:Q12" si="8">P5/12</f>
        <v>18191.083333333332</v>
      </c>
      <c r="R5" s="374"/>
      <c r="S5" s="273">
        <v>16090</v>
      </c>
      <c r="T5" s="274">
        <v>17248</v>
      </c>
      <c r="U5" s="274">
        <v>16498</v>
      </c>
      <c r="V5" s="274">
        <v>13932</v>
      </c>
      <c r="W5" s="274">
        <v>16998</v>
      </c>
      <c r="X5" s="274">
        <v>15967</v>
      </c>
      <c r="Y5" s="274">
        <v>16709</v>
      </c>
      <c r="Z5" s="274">
        <v>18212</v>
      </c>
      <c r="AA5" s="274">
        <v>15262</v>
      </c>
      <c r="AB5" s="274">
        <v>17402</v>
      </c>
      <c r="AC5" s="274">
        <v>14939</v>
      </c>
      <c r="AD5" s="274">
        <v>13084</v>
      </c>
      <c r="AE5" s="274">
        <f t="shared" ref="AE5:AE12" si="9">SUM(S5:AD5)</f>
        <v>192341</v>
      </c>
      <c r="AF5" s="275">
        <f t="shared" ref="AF5:AF12" si="10">AE5/12</f>
        <v>16028.416666666666</v>
      </c>
      <c r="AG5" s="374"/>
      <c r="AH5" s="273">
        <v>17937</v>
      </c>
      <c r="AI5" s="274">
        <v>17924</v>
      </c>
      <c r="AJ5" s="274">
        <v>20514</v>
      </c>
      <c r="AK5" s="274">
        <v>19648</v>
      </c>
      <c r="AL5" s="274">
        <v>22911</v>
      </c>
      <c r="AM5" s="274">
        <v>21090</v>
      </c>
      <c r="AN5" s="274">
        <v>21102</v>
      </c>
      <c r="AO5" s="274">
        <v>19573</v>
      </c>
      <c r="AP5" s="274">
        <v>19020</v>
      </c>
      <c r="AQ5" s="274">
        <v>19996</v>
      </c>
      <c r="AR5" s="274">
        <v>19531</v>
      </c>
      <c r="AS5" s="274">
        <v>17904</v>
      </c>
      <c r="AT5" s="274">
        <f>SUM(AH5:AS5)</f>
        <v>237150</v>
      </c>
      <c r="AU5" s="275">
        <f t="shared" ref="AU5:AU68" si="11">AT5/12</f>
        <v>19762.5</v>
      </c>
      <c r="AV5" s="374"/>
      <c r="AW5" s="2011">
        <v>17134</v>
      </c>
      <c r="AX5" s="274">
        <v>24904</v>
      </c>
      <c r="AY5" s="274">
        <v>21688</v>
      </c>
      <c r="AZ5" s="274">
        <v>34019</v>
      </c>
      <c r="BA5" s="274">
        <v>68004</v>
      </c>
      <c r="BB5" s="274">
        <v>33265</v>
      </c>
      <c r="BC5" s="274">
        <v>49067</v>
      </c>
      <c r="BD5" s="274">
        <v>20949</v>
      </c>
      <c r="BE5" s="274">
        <v>23060</v>
      </c>
      <c r="BF5" s="274">
        <v>19985</v>
      </c>
      <c r="BG5" s="274">
        <v>21481</v>
      </c>
      <c r="BH5" s="274">
        <v>21980</v>
      </c>
      <c r="BI5" s="274">
        <f t="shared" si="2"/>
        <v>355536</v>
      </c>
      <c r="BJ5" s="275">
        <f t="shared" si="3"/>
        <v>29625.531205732856</v>
      </c>
      <c r="BL5" s="317">
        <f>ROW()</f>
        <v>5</v>
      </c>
      <c r="BM5" s="317">
        <f t="shared" si="4"/>
        <v>4076</v>
      </c>
      <c r="BN5" s="317">
        <f t="shared" ref="BN5:BN68" si="12">BJ5-AU5</f>
        <v>9863.0312057328556</v>
      </c>
      <c r="BO5" s="317">
        <f t="shared" si="5"/>
        <v>118386</v>
      </c>
      <c r="BP5" s="594">
        <f>HLOOKUP($A$2,$AW$2:$BH$520,ROW()-1,0)-HLOOKUP($A$2-1,$AW$2:$BH$520,ROW()-1,1)</f>
        <v>499</v>
      </c>
    </row>
    <row r="6" spans="1:71" ht="17.05" customHeight="1" x14ac:dyDescent="0.55000000000000004">
      <c r="A6" s="7217"/>
      <c r="B6" s="230"/>
      <c r="C6" s="214" t="s">
        <v>56</v>
      </c>
      <c r="D6" s="273">
        <v>31658</v>
      </c>
      <c r="E6" s="274">
        <v>41571</v>
      </c>
      <c r="F6" s="274">
        <v>34636</v>
      </c>
      <c r="G6" s="274">
        <v>37705</v>
      </c>
      <c r="H6" s="274">
        <v>38458</v>
      </c>
      <c r="I6" s="274">
        <v>38748</v>
      </c>
      <c r="J6" s="274">
        <v>33808</v>
      </c>
      <c r="K6" s="274">
        <v>48059</v>
      </c>
      <c r="L6" s="274">
        <v>28992</v>
      </c>
      <c r="M6" s="274">
        <v>49817</v>
      </c>
      <c r="N6" s="274">
        <v>31062</v>
      </c>
      <c r="O6" s="274">
        <v>25075</v>
      </c>
      <c r="P6" s="274">
        <f t="shared" si="7"/>
        <v>439589</v>
      </c>
      <c r="Q6" s="275">
        <f t="shared" si="8"/>
        <v>36632.416666666664</v>
      </c>
      <c r="R6" s="374"/>
      <c r="S6" s="273">
        <v>28743</v>
      </c>
      <c r="T6" s="274">
        <v>40770</v>
      </c>
      <c r="U6" s="274">
        <v>29477</v>
      </c>
      <c r="V6" s="274">
        <v>28357</v>
      </c>
      <c r="W6" s="274">
        <v>29789</v>
      </c>
      <c r="X6" s="274">
        <v>27269</v>
      </c>
      <c r="Y6" s="274">
        <v>26035</v>
      </c>
      <c r="Z6" s="274">
        <v>44355</v>
      </c>
      <c r="AA6" s="274">
        <v>24157</v>
      </c>
      <c r="AB6" s="274">
        <v>53065</v>
      </c>
      <c r="AC6" s="274">
        <v>26385</v>
      </c>
      <c r="AD6" s="274">
        <v>21548</v>
      </c>
      <c r="AE6" s="274">
        <f t="shared" si="9"/>
        <v>379950</v>
      </c>
      <c r="AF6" s="275">
        <f t="shared" si="10"/>
        <v>31662.5</v>
      </c>
      <c r="AG6" s="374"/>
      <c r="AH6" s="273">
        <v>42528</v>
      </c>
      <c r="AI6" s="274">
        <v>26194</v>
      </c>
      <c r="AJ6" s="274">
        <v>25722</v>
      </c>
      <c r="AK6" s="274">
        <v>28186</v>
      </c>
      <c r="AL6" s="274">
        <v>26201</v>
      </c>
      <c r="AM6" s="274">
        <v>22954</v>
      </c>
      <c r="AN6" s="274">
        <v>39952.999999999993</v>
      </c>
      <c r="AO6" s="274">
        <v>28160</v>
      </c>
      <c r="AP6" s="274">
        <v>48407</v>
      </c>
      <c r="AQ6" s="274">
        <v>41535</v>
      </c>
      <c r="AR6" s="274">
        <v>28484</v>
      </c>
      <c r="AS6" s="274">
        <v>23204</v>
      </c>
      <c r="AT6" s="274">
        <f t="shared" ref="AT6:AT12" si="13">SUM(AH6:AS6)</f>
        <v>381528</v>
      </c>
      <c r="AU6" s="275">
        <f t="shared" si="11"/>
        <v>31794</v>
      </c>
      <c r="AV6" s="374"/>
      <c r="AW6" s="2011">
        <v>21688</v>
      </c>
      <c r="AX6" s="274">
        <v>49939</v>
      </c>
      <c r="AY6" s="274">
        <f>AY4-AY5</f>
        <v>29000</v>
      </c>
      <c r="AZ6" s="274">
        <v>30067</v>
      </c>
      <c r="BA6" s="274">
        <f>BA4-BA5</f>
        <v>30904</v>
      </c>
      <c r="BB6" s="274">
        <f>BB4-BB5</f>
        <v>30300</v>
      </c>
      <c r="BC6" s="274">
        <v>46897</v>
      </c>
      <c r="BD6" s="274">
        <v>36408</v>
      </c>
      <c r="BE6" s="274">
        <v>53167</v>
      </c>
      <c r="BF6" s="274">
        <v>42510</v>
      </c>
      <c r="BG6" s="274">
        <v>31120</v>
      </c>
      <c r="BH6" s="274">
        <v>30755</v>
      </c>
      <c r="BI6" s="274">
        <f t="shared" si="2"/>
        <v>432755</v>
      </c>
      <c r="BJ6" s="275">
        <f t="shared" si="3"/>
        <v>36059.911674027164</v>
      </c>
      <c r="BL6" s="317">
        <f>ROW()</f>
        <v>6</v>
      </c>
      <c r="BM6" s="317">
        <f t="shared" si="4"/>
        <v>7551</v>
      </c>
      <c r="BN6" s="317">
        <f t="shared" si="12"/>
        <v>4265.9116740271638</v>
      </c>
      <c r="BO6" s="317">
        <f t="shared" si="5"/>
        <v>51227</v>
      </c>
      <c r="BP6" s="594">
        <f t="shared" si="6"/>
        <v>-365</v>
      </c>
    </row>
    <row r="7" spans="1:71" ht="17.05" customHeight="1" x14ac:dyDescent="0.55000000000000004">
      <c r="A7" s="7217"/>
      <c r="B7" s="7219" t="s">
        <v>429</v>
      </c>
      <c r="C7" s="197" t="s">
        <v>424</v>
      </c>
      <c r="D7" s="276">
        <v>16333</v>
      </c>
      <c r="E7" s="277">
        <v>16568</v>
      </c>
      <c r="F7" s="277">
        <v>15545</v>
      </c>
      <c r="G7" s="277">
        <v>16178</v>
      </c>
      <c r="H7" s="277">
        <v>15977</v>
      </c>
      <c r="I7" s="277">
        <v>18081</v>
      </c>
      <c r="J7" s="277">
        <v>14946</v>
      </c>
      <c r="K7" s="277">
        <v>21529</v>
      </c>
      <c r="L7" s="277">
        <v>14035</v>
      </c>
      <c r="M7" s="277">
        <v>21735</v>
      </c>
      <c r="N7" s="277">
        <v>16220</v>
      </c>
      <c r="O7" s="277">
        <v>13801</v>
      </c>
      <c r="P7" s="277">
        <f t="shared" si="7"/>
        <v>200948</v>
      </c>
      <c r="Q7" s="278">
        <f t="shared" si="8"/>
        <v>16745.666666666668</v>
      </c>
      <c r="R7" s="374"/>
      <c r="S7" s="276">
        <v>15285</v>
      </c>
      <c r="T7" s="277">
        <v>20603</v>
      </c>
      <c r="U7" s="277">
        <v>16570</v>
      </c>
      <c r="V7" s="277">
        <v>15463</v>
      </c>
      <c r="W7" s="277">
        <v>16911</v>
      </c>
      <c r="X7" s="277">
        <v>15977</v>
      </c>
      <c r="Y7" s="277">
        <v>14445</v>
      </c>
      <c r="Z7" s="277">
        <v>24293</v>
      </c>
      <c r="AA7" s="277">
        <v>12066</v>
      </c>
      <c r="AB7" s="277">
        <v>21689</v>
      </c>
      <c r="AC7" s="277">
        <v>14816</v>
      </c>
      <c r="AD7" s="277">
        <v>12778</v>
      </c>
      <c r="AE7" s="277">
        <f t="shared" si="9"/>
        <v>200896</v>
      </c>
      <c r="AF7" s="278">
        <f t="shared" si="10"/>
        <v>16741.333333333332</v>
      </c>
      <c r="AG7" s="374"/>
      <c r="AH7" s="276">
        <v>23319</v>
      </c>
      <c r="AI7" s="277">
        <v>14697</v>
      </c>
      <c r="AJ7" s="277">
        <v>16156</v>
      </c>
      <c r="AK7" s="277">
        <v>15877</v>
      </c>
      <c r="AL7" s="277">
        <v>16155.999999999998</v>
      </c>
      <c r="AM7" s="277">
        <v>14588.999999999998</v>
      </c>
      <c r="AN7" s="277">
        <v>21829</v>
      </c>
      <c r="AO7" s="277">
        <v>16248.000000000002</v>
      </c>
      <c r="AP7" s="277">
        <v>20549</v>
      </c>
      <c r="AQ7" s="277">
        <v>16254</v>
      </c>
      <c r="AR7" s="277">
        <v>15024</v>
      </c>
      <c r="AS7" s="277">
        <v>13168</v>
      </c>
      <c r="AT7" s="277">
        <f t="shared" si="13"/>
        <v>203866</v>
      </c>
      <c r="AU7" s="278">
        <f t="shared" si="11"/>
        <v>16988.833333333332</v>
      </c>
      <c r="AV7" s="374"/>
      <c r="AW7" s="2012">
        <v>11930</v>
      </c>
      <c r="AX7" s="277">
        <v>25000</v>
      </c>
      <c r="AY7" s="277">
        <v>17145</v>
      </c>
      <c r="AZ7" s="277">
        <v>22354</v>
      </c>
      <c r="BA7" s="277">
        <v>29195</v>
      </c>
      <c r="BB7" s="277">
        <v>18050</v>
      </c>
      <c r="BC7" s="277">
        <v>29155</v>
      </c>
      <c r="BD7" s="277">
        <v>17583</v>
      </c>
      <c r="BE7" s="277">
        <v>23129</v>
      </c>
      <c r="BF7" s="277">
        <v>15351</v>
      </c>
      <c r="BG7" s="277">
        <v>13674</v>
      </c>
      <c r="BH7" s="277">
        <v>12817</v>
      </c>
      <c r="BI7" s="277">
        <f t="shared" si="2"/>
        <v>235383</v>
      </c>
      <c r="BJ7" s="278">
        <f t="shared" si="3"/>
        <v>19613.615532038999</v>
      </c>
      <c r="BL7" s="317">
        <f>ROW()</f>
        <v>7</v>
      </c>
      <c r="BM7" s="317">
        <f t="shared" si="4"/>
        <v>-351</v>
      </c>
      <c r="BN7" s="317">
        <f t="shared" si="12"/>
        <v>2624.7821987056668</v>
      </c>
      <c r="BO7" s="317">
        <f t="shared" si="5"/>
        <v>31517</v>
      </c>
      <c r="BP7" s="594">
        <f t="shared" si="6"/>
        <v>-857</v>
      </c>
    </row>
    <row r="8" spans="1:71" ht="17.05" customHeight="1" x14ac:dyDescent="0.55000000000000004">
      <c r="A8" s="7217"/>
      <c r="B8" s="7212"/>
      <c r="C8" s="198" t="s">
        <v>1112</v>
      </c>
      <c r="D8" s="279">
        <v>1376</v>
      </c>
      <c r="E8" s="280">
        <v>1739</v>
      </c>
      <c r="F8" s="280">
        <v>1356</v>
      </c>
      <c r="G8" s="280">
        <v>1271</v>
      </c>
      <c r="H8" s="280">
        <v>1445</v>
      </c>
      <c r="I8" s="280">
        <v>1514</v>
      </c>
      <c r="J8" s="280">
        <v>1286</v>
      </c>
      <c r="K8" s="280">
        <v>2058</v>
      </c>
      <c r="L8" s="280">
        <v>1513</v>
      </c>
      <c r="M8" s="280">
        <v>1894</v>
      </c>
      <c r="N8" s="280">
        <v>1112</v>
      </c>
      <c r="O8" s="280">
        <v>914</v>
      </c>
      <c r="P8" s="280">
        <f>SUM(D8:O8)</f>
        <v>17478</v>
      </c>
      <c r="Q8" s="281">
        <f t="shared" ref="Q8" si="14">P8/12</f>
        <v>1456.5</v>
      </c>
      <c r="R8" s="374"/>
      <c r="S8" s="279">
        <v>727</v>
      </c>
      <c r="T8" s="280">
        <v>1370</v>
      </c>
      <c r="U8" s="280">
        <v>806</v>
      </c>
      <c r="V8" s="280">
        <v>636</v>
      </c>
      <c r="W8" s="280">
        <v>779</v>
      </c>
      <c r="X8" s="280">
        <v>442</v>
      </c>
      <c r="Y8" s="280">
        <v>390</v>
      </c>
      <c r="Z8" s="280">
        <v>639</v>
      </c>
      <c r="AA8" s="280">
        <v>238</v>
      </c>
      <c r="AB8" s="280">
        <v>545</v>
      </c>
      <c r="AC8" s="280">
        <v>249</v>
      </c>
      <c r="AD8" s="280">
        <v>167</v>
      </c>
      <c r="AE8" s="280">
        <f t="shared" ref="AE8" si="15">SUM(S8:AD8)</f>
        <v>6988</v>
      </c>
      <c r="AF8" s="281">
        <f t="shared" ref="AF8" si="16">AE8/12</f>
        <v>582.33333333333337</v>
      </c>
      <c r="AG8" s="374"/>
      <c r="AH8" s="279">
        <v>190</v>
      </c>
      <c r="AI8" s="280">
        <v>177</v>
      </c>
      <c r="AJ8" s="280">
        <v>252</v>
      </c>
      <c r="AK8" s="280">
        <v>239</v>
      </c>
      <c r="AL8" s="280">
        <v>324</v>
      </c>
      <c r="AM8" s="280">
        <v>206</v>
      </c>
      <c r="AN8" s="280">
        <v>678</v>
      </c>
      <c r="AO8" s="280">
        <v>205</v>
      </c>
      <c r="AP8" s="280">
        <v>251</v>
      </c>
      <c r="AQ8" s="280">
        <v>216.99999999999997</v>
      </c>
      <c r="AR8" s="280">
        <v>145</v>
      </c>
      <c r="AS8" s="280">
        <v>110</v>
      </c>
      <c r="AT8" s="280">
        <f>SUM(AH8:AS8)</f>
        <v>2994</v>
      </c>
      <c r="AU8" s="281">
        <f t="shared" ref="AU8" si="17">AT8/12</f>
        <v>249.5</v>
      </c>
      <c r="AV8" s="374"/>
      <c r="AW8" s="2013">
        <v>154</v>
      </c>
      <c r="AX8" s="280">
        <v>399</v>
      </c>
      <c r="AY8" s="280">
        <v>169</v>
      </c>
      <c r="AZ8" s="280">
        <v>287</v>
      </c>
      <c r="BA8" s="280">
        <v>430</v>
      </c>
      <c r="BB8" s="280">
        <v>191</v>
      </c>
      <c r="BC8" s="280">
        <v>616</v>
      </c>
      <c r="BD8" s="280">
        <v>192</v>
      </c>
      <c r="BE8" s="280">
        <v>307</v>
      </c>
      <c r="BF8" s="280">
        <v>259</v>
      </c>
      <c r="BG8" s="280">
        <v>193</v>
      </c>
      <c r="BH8" s="280">
        <v>103</v>
      </c>
      <c r="BI8" s="280">
        <f>SUM(AW8:BH8)</f>
        <v>3300</v>
      </c>
      <c r="BJ8" s="281">
        <f t="shared" ref="BJ8" si="18">BI8/$A$2</f>
        <v>274.97708524289646</v>
      </c>
      <c r="BL8" s="317">
        <f>ROW()</f>
        <v>8</v>
      </c>
      <c r="BM8" s="317">
        <f t="shared" si="4"/>
        <v>-7</v>
      </c>
      <c r="BN8" s="317">
        <f t="shared" ref="BN8" si="19">BJ8-AU8</f>
        <v>25.477085242896464</v>
      </c>
      <c r="BO8" s="317">
        <f t="shared" si="5"/>
        <v>306</v>
      </c>
      <c r="BP8" s="594">
        <f t="shared" si="6"/>
        <v>-90</v>
      </c>
    </row>
    <row r="9" spans="1:71" ht="17.05" customHeight="1" x14ac:dyDescent="0.55000000000000004">
      <c r="A9" s="7217"/>
      <c r="B9" s="7212"/>
      <c r="C9" s="198" t="s">
        <v>426</v>
      </c>
      <c r="D9" s="279">
        <v>23473</v>
      </c>
      <c r="E9" s="280">
        <v>28578</v>
      </c>
      <c r="F9" s="280">
        <v>25270</v>
      </c>
      <c r="G9" s="280">
        <v>26700</v>
      </c>
      <c r="H9" s="280">
        <v>27908</v>
      </c>
      <c r="I9" s="280">
        <v>25803</v>
      </c>
      <c r="J9" s="280">
        <v>23884</v>
      </c>
      <c r="K9" s="280">
        <v>27011</v>
      </c>
      <c r="L9" s="280">
        <v>19221</v>
      </c>
      <c r="M9" s="280">
        <v>27424</v>
      </c>
      <c r="N9" s="280">
        <v>20517</v>
      </c>
      <c r="O9" s="280">
        <v>17658</v>
      </c>
      <c r="P9" s="280">
        <f t="shared" si="7"/>
        <v>293447</v>
      </c>
      <c r="Q9" s="281">
        <f t="shared" si="8"/>
        <v>24453.916666666668</v>
      </c>
      <c r="R9" s="374"/>
      <c r="S9" s="279">
        <v>19123</v>
      </c>
      <c r="T9" s="280">
        <v>22637</v>
      </c>
      <c r="U9" s="280">
        <v>18126</v>
      </c>
      <c r="V9" s="280">
        <v>17598</v>
      </c>
      <c r="W9" s="280">
        <v>17909</v>
      </c>
      <c r="X9" s="280">
        <v>16554</v>
      </c>
      <c r="Y9" s="280">
        <v>18859</v>
      </c>
      <c r="Z9" s="280">
        <v>24418</v>
      </c>
      <c r="AA9" s="280">
        <v>17028</v>
      </c>
      <c r="AB9" s="280">
        <v>22675</v>
      </c>
      <c r="AC9" s="280">
        <v>16998</v>
      </c>
      <c r="AD9" s="280">
        <v>14092</v>
      </c>
      <c r="AE9" s="280">
        <f t="shared" si="9"/>
        <v>226017</v>
      </c>
      <c r="AF9" s="281">
        <f t="shared" si="10"/>
        <v>18834.75</v>
      </c>
      <c r="AG9" s="374"/>
      <c r="AH9" s="279">
        <v>21687</v>
      </c>
      <c r="AI9" s="280">
        <v>17436</v>
      </c>
      <c r="AJ9" s="280">
        <v>19339</v>
      </c>
      <c r="AK9" s="280">
        <v>19225</v>
      </c>
      <c r="AL9" s="280">
        <v>20961</v>
      </c>
      <c r="AM9" s="280">
        <v>19410</v>
      </c>
      <c r="AN9" s="280">
        <v>23051</v>
      </c>
      <c r="AO9" s="280">
        <v>18664</v>
      </c>
      <c r="AP9" s="280">
        <v>21144</v>
      </c>
      <c r="AQ9" s="280">
        <v>20713</v>
      </c>
      <c r="AR9" s="280">
        <v>21064</v>
      </c>
      <c r="AS9" s="280">
        <v>17789</v>
      </c>
      <c r="AT9" s="280">
        <f t="shared" si="13"/>
        <v>240483</v>
      </c>
      <c r="AU9" s="281">
        <f t="shared" si="11"/>
        <v>20040.25</v>
      </c>
      <c r="AV9" s="374"/>
      <c r="AW9" s="2013">
        <v>17239</v>
      </c>
      <c r="AX9" s="280">
        <v>25984</v>
      </c>
      <c r="AY9" s="280">
        <v>19298</v>
      </c>
      <c r="AZ9" s="280">
        <v>24280</v>
      </c>
      <c r="BA9" s="280">
        <v>36457</v>
      </c>
      <c r="BB9" s="280">
        <v>28356</v>
      </c>
      <c r="BC9" s="280">
        <v>32832</v>
      </c>
      <c r="BD9" s="280">
        <v>24783</v>
      </c>
      <c r="BE9" s="280">
        <v>27158</v>
      </c>
      <c r="BF9" s="280">
        <v>26854</v>
      </c>
      <c r="BG9" s="280">
        <v>22592</v>
      </c>
      <c r="BH9" s="280">
        <v>24140</v>
      </c>
      <c r="BI9" s="280">
        <f t="shared" si="2"/>
        <v>309973</v>
      </c>
      <c r="BJ9" s="281">
        <f t="shared" si="3"/>
        <v>25828.930922423133</v>
      </c>
      <c r="BL9" s="317">
        <f>ROW()</f>
        <v>9</v>
      </c>
      <c r="BM9" s="317">
        <f t="shared" si="4"/>
        <v>6351</v>
      </c>
      <c r="BN9" s="317">
        <f t="shared" si="12"/>
        <v>5788.6809224231329</v>
      </c>
      <c r="BO9" s="317">
        <f t="shared" si="5"/>
        <v>69490</v>
      </c>
      <c r="BP9" s="594">
        <f t="shared" si="6"/>
        <v>1548</v>
      </c>
    </row>
    <row r="10" spans="1:71" ht="17.05" customHeight="1" x14ac:dyDescent="0.55000000000000004">
      <c r="A10" s="7217"/>
      <c r="B10" s="7212"/>
      <c r="C10" s="198" t="s">
        <v>954</v>
      </c>
      <c r="D10" s="279">
        <v>5197</v>
      </c>
      <c r="E10" s="280">
        <v>8389</v>
      </c>
      <c r="F10" s="280">
        <v>7989</v>
      </c>
      <c r="G10" s="280">
        <v>6417</v>
      </c>
      <c r="H10" s="280">
        <v>6726</v>
      </c>
      <c r="I10" s="280">
        <v>5049</v>
      </c>
      <c r="J10" s="280">
        <v>4561</v>
      </c>
      <c r="K10" s="280">
        <v>8020</v>
      </c>
      <c r="L10" s="280">
        <v>5242</v>
      </c>
      <c r="M10" s="280">
        <v>13899</v>
      </c>
      <c r="N10" s="280">
        <v>6296</v>
      </c>
      <c r="O10" s="280">
        <v>3932</v>
      </c>
      <c r="P10" s="280">
        <f t="shared" si="7"/>
        <v>81717</v>
      </c>
      <c r="Q10" s="281">
        <f t="shared" si="8"/>
        <v>6809.75</v>
      </c>
      <c r="R10" s="374"/>
      <c r="S10" s="279">
        <v>4967</v>
      </c>
      <c r="T10" s="280">
        <v>7487</v>
      </c>
      <c r="U10" s="280">
        <v>5226</v>
      </c>
      <c r="V10" s="280">
        <v>4693</v>
      </c>
      <c r="W10" s="280">
        <v>6241</v>
      </c>
      <c r="X10" s="280">
        <v>5663</v>
      </c>
      <c r="Y10" s="280">
        <v>5335</v>
      </c>
      <c r="Z10" s="280">
        <v>9484</v>
      </c>
      <c r="AA10" s="280">
        <v>4239</v>
      </c>
      <c r="AB10" s="280">
        <v>18216</v>
      </c>
      <c r="AC10" s="280">
        <v>6467</v>
      </c>
      <c r="AD10" s="280">
        <v>5284</v>
      </c>
      <c r="AE10" s="280">
        <f t="shared" si="9"/>
        <v>83302</v>
      </c>
      <c r="AF10" s="281">
        <f t="shared" si="10"/>
        <v>6941.833333333333</v>
      </c>
      <c r="AG10" s="374"/>
      <c r="AH10" s="279">
        <v>11933</v>
      </c>
      <c r="AI10" s="280">
        <v>9534</v>
      </c>
      <c r="AJ10" s="280">
        <v>8851</v>
      </c>
      <c r="AK10" s="280">
        <v>10078</v>
      </c>
      <c r="AL10" s="280">
        <v>10131</v>
      </c>
      <c r="AM10" s="280">
        <v>7478</v>
      </c>
      <c r="AN10" s="280">
        <v>12621</v>
      </c>
      <c r="AO10" s="280">
        <v>9657</v>
      </c>
      <c r="AP10" s="280">
        <v>22364</v>
      </c>
      <c r="AQ10" s="280">
        <v>18093</v>
      </c>
      <c r="AR10" s="280">
        <v>9075</v>
      </c>
      <c r="AS10" s="280">
        <v>8207</v>
      </c>
      <c r="AT10" s="280">
        <f t="shared" si="13"/>
        <v>138022</v>
      </c>
      <c r="AU10" s="281">
        <f t="shared" si="11"/>
        <v>11501.833333333334</v>
      </c>
      <c r="AV10" s="374"/>
      <c r="AW10" s="2013">
        <v>7587</v>
      </c>
      <c r="AX10" s="280">
        <v>20682</v>
      </c>
      <c r="AY10" s="280">
        <v>10591</v>
      </c>
      <c r="AZ10" s="280">
        <v>14687</v>
      </c>
      <c r="BA10" s="280">
        <v>30235</v>
      </c>
      <c r="BB10" s="280">
        <v>15026</v>
      </c>
      <c r="BC10" s="280">
        <v>28501</v>
      </c>
      <c r="BD10" s="280">
        <v>13256</v>
      </c>
      <c r="BE10" s="280">
        <v>23139</v>
      </c>
      <c r="BF10" s="280">
        <v>14766</v>
      </c>
      <c r="BG10" s="280">
        <v>11138</v>
      </c>
      <c r="BH10" s="280">
        <v>12178</v>
      </c>
      <c r="BI10" s="280">
        <f t="shared" si="2"/>
        <v>201786</v>
      </c>
      <c r="BJ10" s="281">
        <f t="shared" si="3"/>
        <v>16814.09882509791</v>
      </c>
      <c r="BL10" s="317">
        <f>ROW()</f>
        <v>10</v>
      </c>
      <c r="BM10" s="317">
        <f t="shared" si="4"/>
        <v>3971</v>
      </c>
      <c r="BN10" s="317">
        <f t="shared" si="12"/>
        <v>5312.2654917645759</v>
      </c>
      <c r="BO10" s="317">
        <f t="shared" si="5"/>
        <v>63764</v>
      </c>
      <c r="BP10" s="594">
        <f t="shared" si="6"/>
        <v>1040</v>
      </c>
    </row>
    <row r="11" spans="1:71" ht="17.05" customHeight="1" x14ac:dyDescent="0.55000000000000004">
      <c r="A11" s="7217"/>
      <c r="B11" s="7212"/>
      <c r="C11" s="198" t="s">
        <v>427</v>
      </c>
      <c r="D11" s="279">
        <v>4553</v>
      </c>
      <c r="E11" s="280">
        <v>5412</v>
      </c>
      <c r="F11" s="280">
        <v>5081</v>
      </c>
      <c r="G11" s="280">
        <v>4555</v>
      </c>
      <c r="H11" s="280">
        <v>5631</v>
      </c>
      <c r="I11" s="280">
        <v>5165</v>
      </c>
      <c r="J11" s="280">
        <v>5101</v>
      </c>
      <c r="K11" s="280">
        <v>5181</v>
      </c>
      <c r="L11" s="280">
        <v>7515</v>
      </c>
      <c r="M11" s="280">
        <v>6164</v>
      </c>
      <c r="N11" s="280">
        <v>4628</v>
      </c>
      <c r="O11" s="280">
        <v>3295</v>
      </c>
      <c r="P11" s="280">
        <f t="shared" si="7"/>
        <v>62281</v>
      </c>
      <c r="Q11" s="281">
        <f t="shared" si="8"/>
        <v>5190.083333333333</v>
      </c>
      <c r="R11" s="374"/>
      <c r="S11" s="279">
        <v>4600</v>
      </c>
      <c r="T11" s="280">
        <v>5781</v>
      </c>
      <c r="U11" s="280">
        <v>5132</v>
      </c>
      <c r="V11" s="280">
        <v>3814</v>
      </c>
      <c r="W11" s="280">
        <v>4886</v>
      </c>
      <c r="X11" s="280">
        <v>4488</v>
      </c>
      <c r="Y11" s="280">
        <v>3636</v>
      </c>
      <c r="Z11" s="280">
        <v>3646</v>
      </c>
      <c r="AA11" s="280">
        <v>5804</v>
      </c>
      <c r="AB11" s="280">
        <v>7253</v>
      </c>
      <c r="AC11" s="280">
        <v>2706</v>
      </c>
      <c r="AD11" s="280">
        <v>2251</v>
      </c>
      <c r="AE11" s="280">
        <f t="shared" si="9"/>
        <v>53997</v>
      </c>
      <c r="AF11" s="281">
        <f t="shared" si="10"/>
        <v>4499.75</v>
      </c>
      <c r="AG11" s="374"/>
      <c r="AH11" s="279">
        <v>3260</v>
      </c>
      <c r="AI11" s="280">
        <v>2214</v>
      </c>
      <c r="AJ11" s="280">
        <v>1632</v>
      </c>
      <c r="AK11" s="280">
        <v>2415</v>
      </c>
      <c r="AL11" s="280">
        <v>1540</v>
      </c>
      <c r="AM11" s="280">
        <v>2359</v>
      </c>
      <c r="AN11" s="280">
        <v>2875</v>
      </c>
      <c r="AO11" s="280">
        <v>2958</v>
      </c>
      <c r="AP11" s="280">
        <v>3119</v>
      </c>
      <c r="AQ11" s="280">
        <v>6253</v>
      </c>
      <c r="AR11" s="280">
        <v>2707</v>
      </c>
      <c r="AS11" s="280">
        <v>1833.9999999999998</v>
      </c>
      <c r="AT11" s="280">
        <f t="shared" si="13"/>
        <v>33166</v>
      </c>
      <c r="AU11" s="281">
        <f t="shared" si="11"/>
        <v>2763.8333333333335</v>
      </c>
      <c r="AV11" s="374"/>
      <c r="AW11" s="2013">
        <v>1912</v>
      </c>
      <c r="AX11" s="280">
        <v>2778</v>
      </c>
      <c r="AY11" s="280">
        <v>3485</v>
      </c>
      <c r="AZ11" s="280">
        <v>2478</v>
      </c>
      <c r="BA11" s="280">
        <v>2591</v>
      </c>
      <c r="BB11" s="280">
        <v>1942.0000000000002</v>
      </c>
      <c r="BC11" s="280">
        <v>4860</v>
      </c>
      <c r="BD11" s="280">
        <v>1543</v>
      </c>
      <c r="BE11" s="280">
        <v>2494</v>
      </c>
      <c r="BF11" s="280">
        <v>5265</v>
      </c>
      <c r="BG11" s="280">
        <v>5004</v>
      </c>
      <c r="BH11" s="280">
        <v>3496.9999999999995</v>
      </c>
      <c r="BI11" s="280">
        <f t="shared" si="2"/>
        <v>37849</v>
      </c>
      <c r="BJ11" s="281">
        <f t="shared" si="3"/>
        <v>3153.8205149570872</v>
      </c>
      <c r="BL11" s="317">
        <f>ROW()</f>
        <v>11</v>
      </c>
      <c r="BM11" s="317">
        <f t="shared" si="4"/>
        <v>1662.9999999999998</v>
      </c>
      <c r="BN11" s="317">
        <f t="shared" si="12"/>
        <v>389.98718162375371</v>
      </c>
      <c r="BO11" s="317">
        <f t="shared" si="5"/>
        <v>4683</v>
      </c>
      <c r="BP11" s="594">
        <f t="shared" si="6"/>
        <v>-1507.0000000000005</v>
      </c>
    </row>
    <row r="12" spans="1:71" ht="17.5" customHeight="1" x14ac:dyDescent="0.55000000000000004">
      <c r="A12" s="7217"/>
      <c r="B12" s="7220"/>
      <c r="C12" s="208" t="s">
        <v>428</v>
      </c>
      <c r="D12" s="282">
        <v>23</v>
      </c>
      <c r="E12" s="283">
        <v>29</v>
      </c>
      <c r="F12" s="283">
        <v>93</v>
      </c>
      <c r="G12" s="283">
        <v>125</v>
      </c>
      <c r="H12" s="283">
        <v>136</v>
      </c>
      <c r="I12" s="283">
        <v>189</v>
      </c>
      <c r="J12" s="283">
        <v>178</v>
      </c>
      <c r="K12" s="283">
        <v>295</v>
      </c>
      <c r="L12" s="283">
        <v>205</v>
      </c>
      <c r="M12" s="283">
        <v>260</v>
      </c>
      <c r="N12" s="283">
        <v>241</v>
      </c>
      <c r="O12" s="283">
        <v>237</v>
      </c>
      <c r="P12" s="283">
        <f t="shared" si="7"/>
        <v>2011</v>
      </c>
      <c r="Q12" s="284">
        <f t="shared" si="8"/>
        <v>167.58333333333334</v>
      </c>
      <c r="R12" s="374"/>
      <c r="S12" s="282">
        <v>131</v>
      </c>
      <c r="T12" s="283">
        <v>140</v>
      </c>
      <c r="U12" s="283">
        <v>115</v>
      </c>
      <c r="V12" s="283">
        <v>85</v>
      </c>
      <c r="W12" s="283">
        <v>61</v>
      </c>
      <c r="X12" s="283">
        <v>112</v>
      </c>
      <c r="Y12" s="283">
        <v>79</v>
      </c>
      <c r="Z12" s="283">
        <v>87</v>
      </c>
      <c r="AA12" s="283">
        <v>44</v>
      </c>
      <c r="AB12" s="283">
        <v>89</v>
      </c>
      <c r="AC12" s="283">
        <v>88</v>
      </c>
      <c r="AD12" s="283">
        <v>60</v>
      </c>
      <c r="AE12" s="283">
        <f t="shared" si="9"/>
        <v>1091</v>
      </c>
      <c r="AF12" s="284">
        <f t="shared" si="10"/>
        <v>90.916666666666671</v>
      </c>
      <c r="AG12" s="374"/>
      <c r="AH12" s="282">
        <v>76</v>
      </c>
      <c r="AI12" s="283">
        <v>60</v>
      </c>
      <c r="AJ12" s="283">
        <v>6</v>
      </c>
      <c r="AK12" s="283">
        <v>0</v>
      </c>
      <c r="AL12" s="283">
        <v>0</v>
      </c>
      <c r="AM12" s="283">
        <v>2</v>
      </c>
      <c r="AN12" s="283">
        <v>0.99999999999272404</v>
      </c>
      <c r="AO12" s="283">
        <v>1</v>
      </c>
      <c r="AP12" s="283">
        <v>0</v>
      </c>
      <c r="AQ12" s="283">
        <v>0</v>
      </c>
      <c r="AR12" s="283">
        <v>0</v>
      </c>
      <c r="AS12" s="283">
        <v>0</v>
      </c>
      <c r="AT12" s="283">
        <f t="shared" si="13"/>
        <v>145.99999999999272</v>
      </c>
      <c r="AU12" s="284">
        <f t="shared" si="11"/>
        <v>12.16666666666606</v>
      </c>
      <c r="AV12" s="374"/>
      <c r="AW12" s="2014">
        <v>0</v>
      </c>
      <c r="AX12" s="283">
        <v>0</v>
      </c>
      <c r="AY12" s="283">
        <v>0</v>
      </c>
      <c r="AZ12" s="283">
        <v>0</v>
      </c>
      <c r="BA12" s="283">
        <v>0</v>
      </c>
      <c r="BB12" s="283">
        <v>0</v>
      </c>
      <c r="BC12" s="283">
        <v>0</v>
      </c>
      <c r="BD12" s="283">
        <v>0</v>
      </c>
      <c r="BE12" s="283">
        <v>0</v>
      </c>
      <c r="BF12" s="283">
        <v>0</v>
      </c>
      <c r="BG12" s="283">
        <v>0</v>
      </c>
      <c r="BH12" s="283">
        <v>0</v>
      </c>
      <c r="BI12" s="283">
        <f t="shared" si="2"/>
        <v>0</v>
      </c>
      <c r="BJ12" s="284">
        <f t="shared" si="3"/>
        <v>0</v>
      </c>
      <c r="BL12" s="317">
        <f>ROW()</f>
        <v>12</v>
      </c>
      <c r="BM12" s="317">
        <f t="shared" si="4"/>
        <v>0</v>
      </c>
      <c r="BN12" s="317">
        <f t="shared" si="12"/>
        <v>-12.16666666666606</v>
      </c>
      <c r="BO12" s="317">
        <f t="shared" si="5"/>
        <v>-145.99999999999272</v>
      </c>
      <c r="BP12" s="594">
        <f t="shared" si="6"/>
        <v>0</v>
      </c>
    </row>
    <row r="13" spans="1:71" ht="17.399999999999999" customHeight="1" x14ac:dyDescent="0.55000000000000004">
      <c r="A13" s="7217"/>
      <c r="B13" s="7227" t="s">
        <v>430</v>
      </c>
      <c r="C13" s="199" t="s">
        <v>419</v>
      </c>
      <c r="D13" s="291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>
        <f>SUM(D13:O13)</f>
        <v>0</v>
      </c>
      <c r="Q13" s="293">
        <f t="shared" ref="Q13:Q55" si="20">P13/12</f>
        <v>0</v>
      </c>
      <c r="R13" s="374"/>
      <c r="S13" s="291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>
        <f t="shared" ref="AE13:AE55" si="21">SUM(S13:AD13)</f>
        <v>0</v>
      </c>
      <c r="AF13" s="293">
        <f t="shared" ref="AF13:AF55" si="22">AE13/12</f>
        <v>0</v>
      </c>
      <c r="AG13" s="374"/>
      <c r="AH13" s="291">
        <v>3597</v>
      </c>
      <c r="AI13" s="292">
        <v>2242</v>
      </c>
      <c r="AJ13" s="292">
        <v>2631</v>
      </c>
      <c r="AK13" s="292">
        <v>2573</v>
      </c>
      <c r="AL13" s="292">
        <v>2659</v>
      </c>
      <c r="AM13" s="292">
        <v>2440</v>
      </c>
      <c r="AN13" s="292">
        <v>3736</v>
      </c>
      <c r="AO13" s="292">
        <v>2778</v>
      </c>
      <c r="AP13" s="292">
        <v>3576</v>
      </c>
      <c r="AQ13" s="292">
        <v>2782</v>
      </c>
      <c r="AR13" s="292">
        <v>2592</v>
      </c>
      <c r="AS13" s="292">
        <v>2303</v>
      </c>
      <c r="AT13" s="292">
        <f>SUM(AH13:AS13)</f>
        <v>33909</v>
      </c>
      <c r="AU13" s="293">
        <f t="shared" si="11"/>
        <v>2825.75</v>
      </c>
      <c r="AV13" s="374"/>
      <c r="AW13" s="2015">
        <v>2089</v>
      </c>
      <c r="AX13" s="292">
        <v>4165</v>
      </c>
      <c r="AY13" s="292">
        <v>2805</v>
      </c>
      <c r="AZ13" s="292">
        <v>3989</v>
      </c>
      <c r="BA13" s="292">
        <v>5308</v>
      </c>
      <c r="BB13" s="292">
        <v>3176</v>
      </c>
      <c r="BC13" s="292">
        <v>5057</v>
      </c>
      <c r="BD13" s="292">
        <v>3014</v>
      </c>
      <c r="BE13" s="292">
        <v>4062</v>
      </c>
      <c r="BF13" s="292">
        <v>2618</v>
      </c>
      <c r="BG13" s="292">
        <v>2367</v>
      </c>
      <c r="BH13" s="292">
        <v>2173</v>
      </c>
      <c r="BI13" s="292">
        <f t="shared" si="2"/>
        <v>40823</v>
      </c>
      <c r="BJ13" s="293">
        <f t="shared" ref="BJ13:BJ55" si="23">BI13/$A$2</f>
        <v>3401.6331972335638</v>
      </c>
      <c r="BL13" s="317">
        <f>ROW()</f>
        <v>13</v>
      </c>
      <c r="BM13" s="317">
        <f t="shared" si="4"/>
        <v>-130</v>
      </c>
      <c r="BN13" s="317">
        <f t="shared" si="12"/>
        <v>575.88319723356381</v>
      </c>
      <c r="BO13" s="317">
        <f t="shared" si="5"/>
        <v>6914</v>
      </c>
      <c r="BP13" s="594">
        <f t="shared" si="6"/>
        <v>-194</v>
      </c>
    </row>
    <row r="14" spans="1:71" ht="17.399999999999999" customHeight="1" x14ac:dyDescent="0.55000000000000004">
      <c r="A14" s="7217"/>
      <c r="B14" s="7214"/>
      <c r="C14" s="200" t="s">
        <v>420</v>
      </c>
      <c r="D14" s="294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>
        <f>SUM(D14:O14)</f>
        <v>0</v>
      </c>
      <c r="Q14" s="296">
        <f t="shared" si="20"/>
        <v>0</v>
      </c>
      <c r="R14" s="374"/>
      <c r="S14" s="294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>
        <f t="shared" si="21"/>
        <v>0</v>
      </c>
      <c r="AF14" s="296">
        <f t="shared" si="22"/>
        <v>0</v>
      </c>
      <c r="AG14" s="374"/>
      <c r="AH14" s="294">
        <v>3827</v>
      </c>
      <c r="AI14" s="295">
        <v>2367</v>
      </c>
      <c r="AJ14" s="295">
        <v>2659</v>
      </c>
      <c r="AK14" s="295">
        <v>2660</v>
      </c>
      <c r="AL14" s="295">
        <v>2722</v>
      </c>
      <c r="AM14" s="295">
        <v>2430</v>
      </c>
      <c r="AN14" s="295">
        <v>3561</v>
      </c>
      <c r="AO14" s="295">
        <v>2669</v>
      </c>
      <c r="AP14" s="295">
        <v>3449</v>
      </c>
      <c r="AQ14" s="295">
        <v>2697</v>
      </c>
      <c r="AR14" s="295">
        <v>2615</v>
      </c>
      <c r="AS14" s="295">
        <v>2227</v>
      </c>
      <c r="AT14" s="295">
        <f>SUM(AH14:AS14)</f>
        <v>33883</v>
      </c>
      <c r="AU14" s="296">
        <f t="shared" si="11"/>
        <v>2823.5833333333335</v>
      </c>
      <c r="AV14" s="374"/>
      <c r="AW14" s="2016">
        <v>2105</v>
      </c>
      <c r="AX14" s="295">
        <v>4146</v>
      </c>
      <c r="AY14" s="295">
        <v>2905</v>
      </c>
      <c r="AZ14" s="295">
        <v>4278</v>
      </c>
      <c r="BA14" s="295">
        <v>5653</v>
      </c>
      <c r="BB14" s="295">
        <v>3230</v>
      </c>
      <c r="BC14" s="295">
        <v>4995</v>
      </c>
      <c r="BD14" s="295">
        <v>3059</v>
      </c>
      <c r="BE14" s="295">
        <v>4064</v>
      </c>
      <c r="BF14" s="295">
        <v>2692</v>
      </c>
      <c r="BG14" s="295">
        <v>2279</v>
      </c>
      <c r="BH14" s="295">
        <v>2360</v>
      </c>
      <c r="BI14" s="295">
        <f t="shared" si="2"/>
        <v>41766</v>
      </c>
      <c r="BJ14" s="296">
        <f t="shared" si="23"/>
        <v>3480.2099825014584</v>
      </c>
      <c r="BL14" s="317">
        <f>ROW()</f>
        <v>14</v>
      </c>
      <c r="BM14" s="317">
        <f t="shared" si="4"/>
        <v>133</v>
      </c>
      <c r="BN14" s="317">
        <f t="shared" si="12"/>
        <v>656.62664916812491</v>
      </c>
      <c r="BO14" s="317">
        <f t="shared" si="5"/>
        <v>7883</v>
      </c>
      <c r="BP14" s="594">
        <f t="shared" si="6"/>
        <v>81</v>
      </c>
    </row>
    <row r="15" spans="1:71" ht="17.399999999999999" customHeight="1" x14ac:dyDescent="0.55000000000000004">
      <c r="A15" s="7217"/>
      <c r="B15" s="7214"/>
      <c r="C15" s="200" t="s">
        <v>421</v>
      </c>
      <c r="D15" s="294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>
        <f>SUM(D15:O15)</f>
        <v>0</v>
      </c>
      <c r="Q15" s="296">
        <f t="shared" si="20"/>
        <v>0</v>
      </c>
      <c r="R15" s="374"/>
      <c r="S15" s="294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>
        <f t="shared" si="21"/>
        <v>0</v>
      </c>
      <c r="AF15" s="296">
        <f t="shared" si="22"/>
        <v>0</v>
      </c>
      <c r="AG15" s="374"/>
      <c r="AH15" s="294">
        <v>5009</v>
      </c>
      <c r="AI15" s="295">
        <v>3483</v>
      </c>
      <c r="AJ15" s="295">
        <v>3540</v>
      </c>
      <c r="AK15" s="295">
        <v>3505</v>
      </c>
      <c r="AL15" s="295">
        <v>3639</v>
      </c>
      <c r="AM15" s="295">
        <v>3169</v>
      </c>
      <c r="AN15" s="295">
        <v>4635</v>
      </c>
      <c r="AO15" s="295">
        <v>3662</v>
      </c>
      <c r="AP15" s="295">
        <v>4355</v>
      </c>
      <c r="AQ15" s="295">
        <v>3775</v>
      </c>
      <c r="AR15" s="295">
        <v>3254</v>
      </c>
      <c r="AS15" s="295">
        <v>2894</v>
      </c>
      <c r="AT15" s="295">
        <f>SUM(AH15:AS15)</f>
        <v>44920</v>
      </c>
      <c r="AU15" s="296">
        <f t="shared" si="11"/>
        <v>3743.3333333333335</v>
      </c>
      <c r="AV15" s="374"/>
      <c r="AW15" s="2016">
        <v>2733</v>
      </c>
      <c r="AX15" s="295">
        <v>5529</v>
      </c>
      <c r="AY15" s="295">
        <v>3698</v>
      </c>
      <c r="AZ15" s="295">
        <v>4718</v>
      </c>
      <c r="BA15" s="295">
        <v>6330</v>
      </c>
      <c r="BB15" s="295">
        <v>4130</v>
      </c>
      <c r="BC15" s="295">
        <v>6251</v>
      </c>
      <c r="BD15" s="295">
        <v>3903</v>
      </c>
      <c r="BE15" s="295">
        <v>5065</v>
      </c>
      <c r="BF15" s="295">
        <v>3278</v>
      </c>
      <c r="BG15" s="295">
        <v>3001</v>
      </c>
      <c r="BH15" s="295">
        <v>2774</v>
      </c>
      <c r="BI15" s="295">
        <f t="shared" si="2"/>
        <v>51410</v>
      </c>
      <c r="BJ15" s="296">
        <f t="shared" si="23"/>
        <v>4283.8096825264565</v>
      </c>
      <c r="BL15" s="317">
        <f>ROW()</f>
        <v>15</v>
      </c>
      <c r="BM15" s="317">
        <f t="shared" si="4"/>
        <v>-120</v>
      </c>
      <c r="BN15" s="317">
        <f t="shared" si="12"/>
        <v>540.47634919312304</v>
      </c>
      <c r="BO15" s="317">
        <f t="shared" si="5"/>
        <v>6490</v>
      </c>
      <c r="BP15" s="594">
        <f t="shared" si="6"/>
        <v>-227</v>
      </c>
    </row>
    <row r="16" spans="1:71" ht="17.399999999999999" customHeight="1" x14ac:dyDescent="0.55000000000000004">
      <c r="A16" s="7217"/>
      <c r="B16" s="7214"/>
      <c r="C16" s="200" t="s">
        <v>422</v>
      </c>
      <c r="D16" s="294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>
        <f>SUM(D16:O16)</f>
        <v>0</v>
      </c>
      <c r="Q16" s="296">
        <f t="shared" si="20"/>
        <v>0</v>
      </c>
      <c r="R16" s="374"/>
      <c r="S16" s="294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>
        <f t="shared" si="21"/>
        <v>0</v>
      </c>
      <c r="AF16" s="296">
        <f t="shared" si="22"/>
        <v>0</v>
      </c>
      <c r="AG16" s="374"/>
      <c r="AH16" s="294">
        <v>6332</v>
      </c>
      <c r="AI16" s="295">
        <v>3754</v>
      </c>
      <c r="AJ16" s="295">
        <v>4077</v>
      </c>
      <c r="AK16" s="295">
        <v>3974</v>
      </c>
      <c r="AL16" s="295">
        <v>4075</v>
      </c>
      <c r="AM16" s="295">
        <v>3642</v>
      </c>
      <c r="AN16" s="295">
        <v>5618</v>
      </c>
      <c r="AO16" s="295">
        <v>3977</v>
      </c>
      <c r="AP16" s="295">
        <v>5005</v>
      </c>
      <c r="AQ16" s="295">
        <v>3884</v>
      </c>
      <c r="AR16" s="295">
        <v>3603</v>
      </c>
      <c r="AS16" s="295">
        <v>3099</v>
      </c>
      <c r="AT16" s="295">
        <f>SUM(AH16:AS16)</f>
        <v>51040</v>
      </c>
      <c r="AU16" s="296">
        <f t="shared" si="11"/>
        <v>4253.333333333333</v>
      </c>
      <c r="AV16" s="374"/>
      <c r="AW16" s="2016">
        <v>2642</v>
      </c>
      <c r="AX16" s="295">
        <v>6334</v>
      </c>
      <c r="AY16" s="295">
        <v>4349</v>
      </c>
      <c r="AZ16" s="295">
        <v>5391</v>
      </c>
      <c r="BA16" s="295">
        <v>6581</v>
      </c>
      <c r="BB16" s="295">
        <v>4348</v>
      </c>
      <c r="BC16" s="295">
        <v>7327</v>
      </c>
      <c r="BD16" s="295">
        <v>4271</v>
      </c>
      <c r="BE16" s="295">
        <v>5486</v>
      </c>
      <c r="BF16" s="295">
        <v>3875</v>
      </c>
      <c r="BG16" s="295">
        <v>3364</v>
      </c>
      <c r="BH16" s="295">
        <v>3073</v>
      </c>
      <c r="BI16" s="295">
        <f t="shared" si="2"/>
        <v>57041</v>
      </c>
      <c r="BJ16" s="296">
        <f t="shared" si="23"/>
        <v>4753.0205816181988</v>
      </c>
      <c r="BL16" s="317">
        <f>ROW()</f>
        <v>16</v>
      </c>
      <c r="BM16" s="317">
        <f t="shared" si="4"/>
        <v>-26</v>
      </c>
      <c r="BN16" s="317">
        <f t="shared" si="12"/>
        <v>499.68724828486575</v>
      </c>
      <c r="BO16" s="317">
        <f t="shared" si="5"/>
        <v>6001</v>
      </c>
      <c r="BP16" s="594">
        <f t="shared" si="6"/>
        <v>-291</v>
      </c>
    </row>
    <row r="17" spans="1:68" ht="17.399999999999999" customHeight="1" x14ac:dyDescent="0.55000000000000004">
      <c r="A17" s="7217"/>
      <c r="B17" s="7215"/>
      <c r="C17" s="201" t="s">
        <v>423</v>
      </c>
      <c r="D17" s="297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>
        <f>SUM(D17:O17)</f>
        <v>0</v>
      </c>
      <c r="Q17" s="299">
        <f t="shared" si="20"/>
        <v>0</v>
      </c>
      <c r="R17" s="374"/>
      <c r="S17" s="297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>
        <f t="shared" si="21"/>
        <v>0</v>
      </c>
      <c r="AF17" s="299">
        <f t="shared" si="22"/>
        <v>0</v>
      </c>
      <c r="AG17" s="374"/>
      <c r="AH17" s="297">
        <v>4555</v>
      </c>
      <c r="AI17" s="298">
        <v>2851</v>
      </c>
      <c r="AJ17" s="298">
        <v>3249</v>
      </c>
      <c r="AK17" s="298">
        <v>3165</v>
      </c>
      <c r="AL17" s="298">
        <v>3061</v>
      </c>
      <c r="AM17" s="298">
        <v>2908</v>
      </c>
      <c r="AN17" s="298">
        <v>4279</v>
      </c>
      <c r="AO17" s="298">
        <v>3162</v>
      </c>
      <c r="AP17" s="298">
        <v>4164</v>
      </c>
      <c r="AQ17" s="298">
        <v>3116</v>
      </c>
      <c r="AR17" s="298">
        <v>2960</v>
      </c>
      <c r="AS17" s="298">
        <v>2645</v>
      </c>
      <c r="AT17" s="298">
        <f>SUM(AH17:AS17)</f>
        <v>40115</v>
      </c>
      <c r="AU17" s="299">
        <f t="shared" si="11"/>
        <v>3342.9166666666665</v>
      </c>
      <c r="AV17" s="374"/>
      <c r="AW17" s="2017">
        <v>2361</v>
      </c>
      <c r="AX17" s="298">
        <v>4826</v>
      </c>
      <c r="AY17" s="298">
        <v>3388</v>
      </c>
      <c r="AZ17" s="298">
        <v>3978</v>
      </c>
      <c r="BA17" s="298">
        <v>5323</v>
      </c>
      <c r="BB17" s="298">
        <v>3166</v>
      </c>
      <c r="BC17" s="298">
        <v>5525</v>
      </c>
      <c r="BD17" s="298">
        <v>3336</v>
      </c>
      <c r="BE17" s="298">
        <v>4452</v>
      </c>
      <c r="BF17" s="298">
        <v>2888</v>
      </c>
      <c r="BG17" s="298">
        <v>2663</v>
      </c>
      <c r="BH17" s="298">
        <v>2437</v>
      </c>
      <c r="BI17" s="298">
        <f t="shared" si="2"/>
        <v>44343</v>
      </c>
      <c r="BJ17" s="299">
        <f t="shared" si="23"/>
        <v>3694.9420881593201</v>
      </c>
      <c r="BL17" s="317">
        <f>ROW()</f>
        <v>17</v>
      </c>
      <c r="BM17" s="317">
        <f t="shared" si="4"/>
        <v>-208</v>
      </c>
      <c r="BN17" s="317">
        <f t="shared" si="12"/>
        <v>352.02542149265355</v>
      </c>
      <c r="BO17" s="317">
        <f t="shared" si="5"/>
        <v>4228</v>
      </c>
      <c r="BP17" s="594">
        <f t="shared" si="6"/>
        <v>-226</v>
      </c>
    </row>
    <row r="18" spans="1:68" ht="17.399999999999999" customHeight="1" x14ac:dyDescent="0.55000000000000004">
      <c r="A18" s="7217"/>
      <c r="B18" s="7207" t="s">
        <v>431</v>
      </c>
      <c r="C18" s="202" t="s">
        <v>227</v>
      </c>
      <c r="D18" s="300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>
        <f t="shared" ref="P18:P32" si="24">SUM(D18:O18)</f>
        <v>0</v>
      </c>
      <c r="Q18" s="302">
        <f t="shared" si="20"/>
        <v>0</v>
      </c>
      <c r="R18" s="374"/>
      <c r="S18" s="300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>
        <f t="shared" si="21"/>
        <v>0</v>
      </c>
      <c r="AF18" s="302">
        <f t="shared" si="22"/>
        <v>0</v>
      </c>
      <c r="AG18" s="374"/>
      <c r="AH18" s="1023">
        <v>1734</v>
      </c>
      <c r="AI18" s="1024">
        <v>1060</v>
      </c>
      <c r="AJ18" s="1024">
        <v>1341</v>
      </c>
      <c r="AK18" s="1024">
        <v>1324</v>
      </c>
      <c r="AL18" s="1024">
        <v>1295</v>
      </c>
      <c r="AM18" s="1024">
        <v>1172</v>
      </c>
      <c r="AN18" s="1024">
        <v>1813</v>
      </c>
      <c r="AO18" s="301">
        <v>1302</v>
      </c>
      <c r="AP18" s="301">
        <v>1757.0000000000002</v>
      </c>
      <c r="AQ18" s="301">
        <v>1342</v>
      </c>
      <c r="AR18" s="301">
        <v>1268</v>
      </c>
      <c r="AS18" s="301">
        <v>1136</v>
      </c>
      <c r="AT18" s="301">
        <f t="shared" ref="AT18:AT32" si="25">SUM(AH18:AS18)</f>
        <v>16544</v>
      </c>
      <c r="AU18" s="302">
        <f t="shared" si="11"/>
        <v>1378.6666666666667</v>
      </c>
      <c r="AV18" s="374"/>
      <c r="AW18" s="2018">
        <v>1028</v>
      </c>
      <c r="AX18" s="1024">
        <v>1990</v>
      </c>
      <c r="AY18" s="1024">
        <v>1362</v>
      </c>
      <c r="AZ18" s="1024">
        <v>2089</v>
      </c>
      <c r="BA18" s="1024">
        <v>2723</v>
      </c>
      <c r="BB18" s="1024">
        <v>1650</v>
      </c>
      <c r="BC18" s="1024">
        <v>2507</v>
      </c>
      <c r="BD18" s="301">
        <v>1451</v>
      </c>
      <c r="BE18" s="301">
        <v>2087</v>
      </c>
      <c r="BF18" s="301">
        <v>1269</v>
      </c>
      <c r="BG18" s="301">
        <v>1136</v>
      </c>
      <c r="BH18" s="301">
        <v>1095</v>
      </c>
      <c r="BI18" s="301">
        <f t="shared" ref="BI18:BI32" si="26">SUM(AW18:BH18)</f>
        <v>20387</v>
      </c>
      <c r="BJ18" s="302">
        <f t="shared" si="23"/>
        <v>1698.7751020748271</v>
      </c>
      <c r="BL18" s="317">
        <f>ROW()</f>
        <v>18</v>
      </c>
      <c r="BM18" s="317">
        <f t="shared" si="4"/>
        <v>-41</v>
      </c>
      <c r="BN18" s="317">
        <f t="shared" si="12"/>
        <v>320.1084354081604</v>
      </c>
      <c r="BO18" s="317">
        <f t="shared" si="5"/>
        <v>3843</v>
      </c>
      <c r="BP18" s="594">
        <f t="shared" si="6"/>
        <v>-41</v>
      </c>
    </row>
    <row r="19" spans="1:68" ht="17.399999999999999" customHeight="1" x14ac:dyDescent="0.55000000000000004">
      <c r="A19" s="7217"/>
      <c r="B19" s="7208"/>
      <c r="C19" s="202" t="s">
        <v>228</v>
      </c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>
        <f t="shared" si="24"/>
        <v>0</v>
      </c>
      <c r="Q19" s="302">
        <f t="shared" si="20"/>
        <v>0</v>
      </c>
      <c r="R19" s="374"/>
      <c r="S19" s="300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>
        <f t="shared" si="21"/>
        <v>0</v>
      </c>
      <c r="AF19" s="302">
        <f t="shared" si="22"/>
        <v>0</v>
      </c>
      <c r="AG19" s="374"/>
      <c r="AH19" s="1023">
        <v>1863.0000000000002</v>
      </c>
      <c r="AI19" s="1024">
        <v>1182</v>
      </c>
      <c r="AJ19" s="1024">
        <v>1290</v>
      </c>
      <c r="AK19" s="1024">
        <v>1249</v>
      </c>
      <c r="AL19" s="1024">
        <v>1364</v>
      </c>
      <c r="AM19" s="1024">
        <v>1268</v>
      </c>
      <c r="AN19" s="1024">
        <v>1923.0000000000002</v>
      </c>
      <c r="AO19" s="301">
        <v>1476</v>
      </c>
      <c r="AP19" s="301">
        <v>1819</v>
      </c>
      <c r="AQ19" s="301">
        <v>1440</v>
      </c>
      <c r="AR19" s="301">
        <v>1324</v>
      </c>
      <c r="AS19" s="301">
        <v>1167</v>
      </c>
      <c r="AT19" s="301">
        <f t="shared" si="25"/>
        <v>17365</v>
      </c>
      <c r="AU19" s="302">
        <f t="shared" si="11"/>
        <v>1447.0833333333333</v>
      </c>
      <c r="AV19" s="374"/>
      <c r="AW19" s="2018">
        <v>1061</v>
      </c>
      <c r="AX19" s="1024">
        <v>2175</v>
      </c>
      <c r="AY19" s="1024">
        <v>1443</v>
      </c>
      <c r="AZ19" s="1024">
        <v>1900</v>
      </c>
      <c r="BA19" s="1024">
        <v>2585</v>
      </c>
      <c r="BB19" s="1024">
        <v>1526</v>
      </c>
      <c r="BC19" s="1024">
        <v>2550</v>
      </c>
      <c r="BD19" s="301">
        <v>1563</v>
      </c>
      <c r="BE19" s="301">
        <v>1975.0000000000002</v>
      </c>
      <c r="BF19" s="301">
        <v>1349</v>
      </c>
      <c r="BG19" s="301">
        <v>1231</v>
      </c>
      <c r="BH19" s="301">
        <v>1078</v>
      </c>
      <c r="BI19" s="301">
        <f t="shared" si="26"/>
        <v>20436</v>
      </c>
      <c r="BJ19" s="302">
        <f t="shared" si="23"/>
        <v>1702.8580951587369</v>
      </c>
      <c r="BL19" s="317">
        <f>ROW()</f>
        <v>19</v>
      </c>
      <c r="BM19" s="317">
        <f t="shared" si="4"/>
        <v>-89</v>
      </c>
      <c r="BN19" s="317">
        <f t="shared" si="12"/>
        <v>255.77476182540363</v>
      </c>
      <c r="BO19" s="317">
        <f t="shared" si="5"/>
        <v>3071</v>
      </c>
      <c r="BP19" s="594">
        <f t="shared" si="6"/>
        <v>-153</v>
      </c>
    </row>
    <row r="20" spans="1:68" ht="17.399999999999999" customHeight="1" x14ac:dyDescent="0.55000000000000004">
      <c r="A20" s="7217"/>
      <c r="B20" s="7208"/>
      <c r="C20" s="203" t="s">
        <v>229</v>
      </c>
      <c r="D20" s="303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>
        <f t="shared" si="24"/>
        <v>0</v>
      </c>
      <c r="Q20" s="305">
        <f t="shared" si="20"/>
        <v>0</v>
      </c>
      <c r="R20" s="374"/>
      <c r="S20" s="303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>
        <f t="shared" si="21"/>
        <v>0</v>
      </c>
      <c r="AF20" s="305">
        <f t="shared" si="22"/>
        <v>0</v>
      </c>
      <c r="AG20" s="374"/>
      <c r="AH20" s="1025">
        <v>1776</v>
      </c>
      <c r="AI20" s="1026">
        <v>1076</v>
      </c>
      <c r="AJ20" s="1026">
        <v>1212</v>
      </c>
      <c r="AK20" s="1026">
        <v>1234</v>
      </c>
      <c r="AL20" s="1026">
        <v>1177</v>
      </c>
      <c r="AM20" s="1026">
        <v>1133</v>
      </c>
      <c r="AN20" s="1026">
        <v>1612</v>
      </c>
      <c r="AO20" s="304">
        <v>1205</v>
      </c>
      <c r="AP20" s="304">
        <v>1562</v>
      </c>
      <c r="AQ20" s="304">
        <v>1238</v>
      </c>
      <c r="AR20" s="304">
        <v>1172</v>
      </c>
      <c r="AS20" s="304">
        <v>968.00000000000011</v>
      </c>
      <c r="AT20" s="304">
        <f t="shared" si="25"/>
        <v>15365</v>
      </c>
      <c r="AU20" s="305">
        <f t="shared" si="11"/>
        <v>1280.4166666666667</v>
      </c>
      <c r="AV20" s="374"/>
      <c r="AW20" s="2019">
        <v>919.99999999999989</v>
      </c>
      <c r="AX20" s="1026">
        <v>1762</v>
      </c>
      <c r="AY20" s="1026">
        <v>1260</v>
      </c>
      <c r="AZ20" s="1026">
        <v>2083</v>
      </c>
      <c r="BA20" s="1026">
        <v>2690</v>
      </c>
      <c r="BB20" s="1026">
        <v>1466</v>
      </c>
      <c r="BC20" s="1026">
        <v>2308</v>
      </c>
      <c r="BD20" s="304">
        <v>1345</v>
      </c>
      <c r="BE20" s="304">
        <v>1876.0000000000002</v>
      </c>
      <c r="BF20" s="304">
        <v>1239</v>
      </c>
      <c r="BG20" s="304">
        <v>1000</v>
      </c>
      <c r="BH20" s="304">
        <v>1074</v>
      </c>
      <c r="BI20" s="304">
        <f t="shared" si="26"/>
        <v>19023</v>
      </c>
      <c r="BJ20" s="305">
        <f t="shared" si="23"/>
        <v>1585.1179068410966</v>
      </c>
      <c r="BL20" s="317">
        <f>ROW()</f>
        <v>20</v>
      </c>
      <c r="BM20" s="317">
        <f t="shared" si="4"/>
        <v>105.99999999999989</v>
      </c>
      <c r="BN20" s="317">
        <f t="shared" si="12"/>
        <v>304.70124017442981</v>
      </c>
      <c r="BO20" s="317">
        <f t="shared" si="5"/>
        <v>3658</v>
      </c>
      <c r="BP20" s="594">
        <f t="shared" si="6"/>
        <v>74</v>
      </c>
    </row>
    <row r="21" spans="1:68" ht="17.399999999999999" customHeight="1" x14ac:dyDescent="0.55000000000000004">
      <c r="A21" s="7217"/>
      <c r="B21" s="7208"/>
      <c r="C21" s="203" t="s">
        <v>230</v>
      </c>
      <c r="D21" s="303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>
        <f t="shared" si="24"/>
        <v>0</v>
      </c>
      <c r="Q21" s="305">
        <f t="shared" si="20"/>
        <v>0</v>
      </c>
      <c r="R21" s="374"/>
      <c r="S21" s="303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>
        <f t="shared" si="21"/>
        <v>0</v>
      </c>
      <c r="AF21" s="305">
        <f t="shared" si="22"/>
        <v>0</v>
      </c>
      <c r="AG21" s="374"/>
      <c r="AH21" s="1025">
        <v>2051</v>
      </c>
      <c r="AI21" s="1026">
        <v>1291</v>
      </c>
      <c r="AJ21" s="1026">
        <v>1447</v>
      </c>
      <c r="AK21" s="1026">
        <v>1426</v>
      </c>
      <c r="AL21" s="1026">
        <v>1545</v>
      </c>
      <c r="AM21" s="1026">
        <v>1297</v>
      </c>
      <c r="AN21" s="1026">
        <v>1949.0000000000002</v>
      </c>
      <c r="AO21" s="304">
        <v>1464</v>
      </c>
      <c r="AP21" s="304">
        <v>1887</v>
      </c>
      <c r="AQ21" s="304">
        <v>1459</v>
      </c>
      <c r="AR21" s="304">
        <v>1443</v>
      </c>
      <c r="AS21" s="304">
        <v>1259</v>
      </c>
      <c r="AT21" s="304">
        <f t="shared" si="25"/>
        <v>18518</v>
      </c>
      <c r="AU21" s="305">
        <f t="shared" si="11"/>
        <v>1543.1666666666667</v>
      </c>
      <c r="AV21" s="374"/>
      <c r="AW21" s="2019">
        <v>1185</v>
      </c>
      <c r="AX21" s="1026">
        <v>2384</v>
      </c>
      <c r="AY21" s="1026">
        <v>1645</v>
      </c>
      <c r="AZ21" s="1026">
        <v>2195</v>
      </c>
      <c r="BA21" s="1026">
        <v>2963</v>
      </c>
      <c r="BB21" s="1026">
        <v>1764</v>
      </c>
      <c r="BC21" s="1026">
        <v>2687</v>
      </c>
      <c r="BD21" s="304">
        <v>1714</v>
      </c>
      <c r="BE21" s="304">
        <v>2188</v>
      </c>
      <c r="BF21" s="304">
        <v>1453</v>
      </c>
      <c r="BG21" s="304">
        <v>1279</v>
      </c>
      <c r="BH21" s="304">
        <v>1286</v>
      </c>
      <c r="BI21" s="304">
        <f t="shared" si="26"/>
        <v>22743</v>
      </c>
      <c r="BJ21" s="305">
        <f t="shared" si="23"/>
        <v>1895.0920756603616</v>
      </c>
      <c r="BL21" s="317">
        <f>ROW()</f>
        <v>21</v>
      </c>
      <c r="BM21" s="317">
        <f t="shared" si="4"/>
        <v>27</v>
      </c>
      <c r="BN21" s="317">
        <f t="shared" si="12"/>
        <v>351.92540899369487</v>
      </c>
      <c r="BO21" s="317">
        <f t="shared" si="5"/>
        <v>4225</v>
      </c>
      <c r="BP21" s="594">
        <f t="shared" si="6"/>
        <v>7</v>
      </c>
    </row>
    <row r="22" spans="1:68" ht="17.399999999999999" customHeight="1" x14ac:dyDescent="0.55000000000000004">
      <c r="A22" s="7217"/>
      <c r="B22" s="7208"/>
      <c r="C22" s="202" t="s">
        <v>231</v>
      </c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>
        <f t="shared" si="24"/>
        <v>0</v>
      </c>
      <c r="Q22" s="302">
        <f t="shared" si="20"/>
        <v>0</v>
      </c>
      <c r="R22" s="374"/>
      <c r="S22" s="300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>
        <f t="shared" si="21"/>
        <v>0</v>
      </c>
      <c r="AF22" s="302">
        <f t="shared" si="22"/>
        <v>0</v>
      </c>
      <c r="AG22" s="374"/>
      <c r="AH22" s="1023">
        <v>2929</v>
      </c>
      <c r="AI22" s="1024">
        <v>2059</v>
      </c>
      <c r="AJ22" s="1024">
        <v>2083</v>
      </c>
      <c r="AK22" s="1024">
        <v>2109</v>
      </c>
      <c r="AL22" s="1024">
        <v>2180</v>
      </c>
      <c r="AM22" s="1024">
        <v>1955</v>
      </c>
      <c r="AN22" s="1024">
        <v>2865</v>
      </c>
      <c r="AO22" s="301">
        <v>2226</v>
      </c>
      <c r="AP22" s="301">
        <v>2679</v>
      </c>
      <c r="AQ22" s="301">
        <v>2265</v>
      </c>
      <c r="AR22" s="301">
        <v>1967.0000000000002</v>
      </c>
      <c r="AS22" s="301">
        <v>1832.0000000000002</v>
      </c>
      <c r="AT22" s="301">
        <f t="shared" si="25"/>
        <v>27149</v>
      </c>
      <c r="AU22" s="302">
        <f t="shared" si="11"/>
        <v>2262.4166666666665</v>
      </c>
      <c r="AV22" s="374"/>
      <c r="AW22" s="2018">
        <v>1642.0000000000002</v>
      </c>
      <c r="AX22" s="1024">
        <v>3346</v>
      </c>
      <c r="AY22" s="1024">
        <v>2240</v>
      </c>
      <c r="AZ22" s="1024">
        <v>2862</v>
      </c>
      <c r="BA22" s="1024">
        <v>3923</v>
      </c>
      <c r="BB22" s="1024">
        <v>2446</v>
      </c>
      <c r="BC22" s="1024">
        <v>3765.0000000000005</v>
      </c>
      <c r="BD22" s="301">
        <v>2375</v>
      </c>
      <c r="BE22" s="301">
        <v>3189</v>
      </c>
      <c r="BF22" s="301">
        <v>2014.9999999999998</v>
      </c>
      <c r="BG22" s="301">
        <v>1805.9999999999998</v>
      </c>
      <c r="BH22" s="301">
        <v>1678</v>
      </c>
      <c r="BI22" s="301">
        <f t="shared" si="26"/>
        <v>31287</v>
      </c>
      <c r="BJ22" s="302">
        <f t="shared" si="23"/>
        <v>2607.032747271061</v>
      </c>
      <c r="BL22" s="317">
        <f>ROW()</f>
        <v>22</v>
      </c>
      <c r="BM22" s="317">
        <f t="shared" si="4"/>
        <v>-154.00000000000023</v>
      </c>
      <c r="BN22" s="317">
        <f t="shared" si="12"/>
        <v>344.61608060439448</v>
      </c>
      <c r="BO22" s="317">
        <f t="shared" si="5"/>
        <v>4138</v>
      </c>
      <c r="BP22" s="594">
        <f t="shared" si="6"/>
        <v>-127.99999999999977</v>
      </c>
    </row>
    <row r="23" spans="1:68" ht="17.399999999999999" customHeight="1" x14ac:dyDescent="0.55000000000000004">
      <c r="A23" s="7217"/>
      <c r="B23" s="7208"/>
      <c r="C23" s="202" t="s">
        <v>232</v>
      </c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>
        <f t="shared" si="24"/>
        <v>0</v>
      </c>
      <c r="Q23" s="302">
        <f t="shared" si="20"/>
        <v>0</v>
      </c>
      <c r="R23" s="374"/>
      <c r="S23" s="300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>
        <f t="shared" si="21"/>
        <v>0</v>
      </c>
      <c r="AF23" s="302">
        <f t="shared" si="22"/>
        <v>0</v>
      </c>
      <c r="AG23" s="374"/>
      <c r="AH23" s="1023">
        <v>2080</v>
      </c>
      <c r="AI23" s="1024">
        <v>1424</v>
      </c>
      <c r="AJ23" s="1024">
        <v>1457</v>
      </c>
      <c r="AK23" s="1024">
        <v>1396</v>
      </c>
      <c r="AL23" s="1024">
        <v>1459</v>
      </c>
      <c r="AM23" s="1024">
        <v>1214</v>
      </c>
      <c r="AN23" s="1024">
        <v>1770</v>
      </c>
      <c r="AO23" s="301">
        <v>1436</v>
      </c>
      <c r="AP23" s="301">
        <v>1675.9999999999998</v>
      </c>
      <c r="AQ23" s="301">
        <v>1510</v>
      </c>
      <c r="AR23" s="301">
        <v>1287</v>
      </c>
      <c r="AS23" s="301">
        <v>1062</v>
      </c>
      <c r="AT23" s="301">
        <f t="shared" si="25"/>
        <v>17771</v>
      </c>
      <c r="AU23" s="302">
        <f t="shared" si="11"/>
        <v>1480.9166666666667</v>
      </c>
      <c r="AV23" s="374"/>
      <c r="AW23" s="2018">
        <v>1091</v>
      </c>
      <c r="AX23" s="1024">
        <v>2183</v>
      </c>
      <c r="AY23" s="1024">
        <v>1458</v>
      </c>
      <c r="AZ23" s="1024">
        <v>1856</v>
      </c>
      <c r="BA23" s="1024">
        <v>2407</v>
      </c>
      <c r="BB23" s="1024">
        <v>1684</v>
      </c>
      <c r="BC23" s="1024">
        <v>2486</v>
      </c>
      <c r="BD23" s="301">
        <v>1528</v>
      </c>
      <c r="BE23" s="301">
        <v>1876.0000000000002</v>
      </c>
      <c r="BF23" s="301">
        <v>1263</v>
      </c>
      <c r="BG23" s="301">
        <v>1195</v>
      </c>
      <c r="BH23" s="301">
        <v>1096</v>
      </c>
      <c r="BI23" s="301">
        <f t="shared" si="26"/>
        <v>20123</v>
      </c>
      <c r="BJ23" s="302">
        <f t="shared" si="23"/>
        <v>1676.7769352553955</v>
      </c>
      <c r="BL23" s="317">
        <f>ROW()</f>
        <v>23</v>
      </c>
      <c r="BM23" s="317">
        <f t="shared" si="4"/>
        <v>34</v>
      </c>
      <c r="BN23" s="317">
        <f t="shared" si="12"/>
        <v>195.86026858872879</v>
      </c>
      <c r="BO23" s="317">
        <f t="shared" si="5"/>
        <v>2352</v>
      </c>
      <c r="BP23" s="594">
        <f t="shared" si="6"/>
        <v>-99</v>
      </c>
    </row>
    <row r="24" spans="1:68" ht="17.399999999999999" customHeight="1" x14ac:dyDescent="0.55000000000000004">
      <c r="A24" s="7217"/>
      <c r="B24" s="7208"/>
      <c r="C24" s="203" t="s">
        <v>233</v>
      </c>
      <c r="D24" s="303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>
        <f t="shared" si="24"/>
        <v>0</v>
      </c>
      <c r="Q24" s="305">
        <f t="shared" si="20"/>
        <v>0</v>
      </c>
      <c r="R24" s="374"/>
      <c r="S24" s="303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>
        <f t="shared" si="21"/>
        <v>0</v>
      </c>
      <c r="AF24" s="305">
        <f t="shared" si="22"/>
        <v>0</v>
      </c>
      <c r="AG24" s="374"/>
      <c r="AH24" s="1025">
        <v>3280</v>
      </c>
      <c r="AI24" s="1026">
        <v>2030</v>
      </c>
      <c r="AJ24" s="1026">
        <v>2125</v>
      </c>
      <c r="AK24" s="1026">
        <v>2103</v>
      </c>
      <c r="AL24" s="1026">
        <v>2238</v>
      </c>
      <c r="AM24" s="1026">
        <v>1842.0000000000002</v>
      </c>
      <c r="AN24" s="1026">
        <v>2999</v>
      </c>
      <c r="AO24" s="304">
        <v>2106</v>
      </c>
      <c r="AP24" s="304">
        <v>2575</v>
      </c>
      <c r="AQ24" s="304">
        <v>2084</v>
      </c>
      <c r="AR24" s="304">
        <v>1849</v>
      </c>
      <c r="AS24" s="304">
        <v>1674</v>
      </c>
      <c r="AT24" s="304">
        <f t="shared" si="25"/>
        <v>26905</v>
      </c>
      <c r="AU24" s="305">
        <f t="shared" si="11"/>
        <v>2242.0833333333335</v>
      </c>
      <c r="AV24" s="374"/>
      <c r="AW24" s="2019">
        <v>1287</v>
      </c>
      <c r="AX24" s="1026">
        <v>3356</v>
      </c>
      <c r="AY24" s="1026">
        <v>2250</v>
      </c>
      <c r="AZ24" s="1026">
        <v>2776</v>
      </c>
      <c r="BA24" s="1026">
        <v>3456</v>
      </c>
      <c r="BB24" s="1026">
        <v>2262</v>
      </c>
      <c r="BC24" s="1026">
        <v>3965</v>
      </c>
      <c r="BD24" s="304">
        <v>2215</v>
      </c>
      <c r="BE24" s="304">
        <v>2827</v>
      </c>
      <c r="BF24" s="304">
        <v>2011</v>
      </c>
      <c r="BG24" s="304">
        <v>1672</v>
      </c>
      <c r="BH24" s="304">
        <v>1490</v>
      </c>
      <c r="BI24" s="304">
        <f t="shared" si="26"/>
        <v>29567</v>
      </c>
      <c r="BJ24" s="305">
        <f t="shared" si="23"/>
        <v>2463.7113573868846</v>
      </c>
      <c r="BL24" s="317">
        <f>ROW()</f>
        <v>24</v>
      </c>
      <c r="BM24" s="317">
        <f t="shared" si="4"/>
        <v>-184</v>
      </c>
      <c r="BN24" s="317">
        <f t="shared" si="12"/>
        <v>221.62802405355114</v>
      </c>
      <c r="BO24" s="317">
        <f t="shared" si="5"/>
        <v>2662</v>
      </c>
      <c r="BP24" s="594">
        <f t="shared" si="6"/>
        <v>-182</v>
      </c>
    </row>
    <row r="25" spans="1:68" ht="17.399999999999999" customHeight="1" x14ac:dyDescent="0.55000000000000004">
      <c r="A25" s="7217"/>
      <c r="B25" s="7208"/>
      <c r="C25" s="203" t="s">
        <v>234</v>
      </c>
      <c r="D25" s="303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>
        <f t="shared" si="24"/>
        <v>0</v>
      </c>
      <c r="Q25" s="305">
        <f t="shared" si="20"/>
        <v>0</v>
      </c>
      <c r="R25" s="374"/>
      <c r="S25" s="303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>
        <f t="shared" si="21"/>
        <v>0</v>
      </c>
      <c r="AF25" s="305">
        <f t="shared" si="22"/>
        <v>0</v>
      </c>
      <c r="AG25" s="374"/>
      <c r="AH25" s="1025">
        <v>3052</v>
      </c>
      <c r="AI25" s="1026">
        <v>1724</v>
      </c>
      <c r="AJ25" s="1026">
        <v>1952</v>
      </c>
      <c r="AK25" s="1026">
        <v>1871.0000000000002</v>
      </c>
      <c r="AL25" s="1026">
        <v>1837</v>
      </c>
      <c r="AM25" s="1026">
        <v>1800</v>
      </c>
      <c r="AN25" s="1026">
        <v>2619</v>
      </c>
      <c r="AO25" s="304">
        <v>1870.9999999999998</v>
      </c>
      <c r="AP25" s="304">
        <v>2430</v>
      </c>
      <c r="AQ25" s="304">
        <v>1800.0000000000002</v>
      </c>
      <c r="AR25" s="304">
        <v>1754.0000000000002</v>
      </c>
      <c r="AS25" s="304">
        <v>1425</v>
      </c>
      <c r="AT25" s="304">
        <f t="shared" si="25"/>
        <v>24135</v>
      </c>
      <c r="AU25" s="305">
        <f t="shared" si="11"/>
        <v>2011.25</v>
      </c>
      <c r="AV25" s="374"/>
      <c r="AW25" s="2019">
        <v>1355</v>
      </c>
      <c r="AX25" s="1026">
        <v>2978</v>
      </c>
      <c r="AY25" s="1026">
        <v>2099</v>
      </c>
      <c r="AZ25" s="1026">
        <v>2615</v>
      </c>
      <c r="BA25" s="1026">
        <v>3125</v>
      </c>
      <c r="BB25" s="1026">
        <v>2086</v>
      </c>
      <c r="BC25" s="1026">
        <v>3362</v>
      </c>
      <c r="BD25" s="304">
        <v>2056</v>
      </c>
      <c r="BE25" s="304">
        <v>2659</v>
      </c>
      <c r="BF25" s="304">
        <v>1864</v>
      </c>
      <c r="BG25" s="304">
        <v>1692.0000000000002</v>
      </c>
      <c r="BH25" s="304">
        <v>1583</v>
      </c>
      <c r="BI25" s="304">
        <f t="shared" si="26"/>
        <v>27474</v>
      </c>
      <c r="BJ25" s="305">
        <f t="shared" si="23"/>
        <v>2289.3092242313141</v>
      </c>
      <c r="BL25" s="317">
        <f>ROW()</f>
        <v>25</v>
      </c>
      <c r="BM25" s="317">
        <f t="shared" si="4"/>
        <v>158</v>
      </c>
      <c r="BN25" s="317">
        <f t="shared" si="12"/>
        <v>278.05922423131415</v>
      </c>
      <c r="BO25" s="317">
        <f t="shared" si="5"/>
        <v>3339</v>
      </c>
      <c r="BP25" s="594">
        <f t="shared" si="6"/>
        <v>-109.00000000000023</v>
      </c>
    </row>
    <row r="26" spans="1:68" ht="17.399999999999999" customHeight="1" x14ac:dyDescent="0.55000000000000004">
      <c r="A26" s="7217"/>
      <c r="B26" s="7208"/>
      <c r="C26" s="202" t="s">
        <v>235</v>
      </c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>
        <f t="shared" si="24"/>
        <v>0</v>
      </c>
      <c r="Q26" s="302">
        <f t="shared" si="20"/>
        <v>0</v>
      </c>
      <c r="R26" s="374"/>
      <c r="S26" s="300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>
        <f t="shared" si="21"/>
        <v>0</v>
      </c>
      <c r="AF26" s="302">
        <f t="shared" si="22"/>
        <v>0</v>
      </c>
      <c r="AG26" s="374"/>
      <c r="AH26" s="1023">
        <v>2423</v>
      </c>
      <c r="AI26" s="1024">
        <v>1428</v>
      </c>
      <c r="AJ26" s="1024">
        <v>1617</v>
      </c>
      <c r="AK26" s="1024">
        <v>1598</v>
      </c>
      <c r="AL26" s="1024">
        <v>1519</v>
      </c>
      <c r="AM26" s="1024">
        <v>1395</v>
      </c>
      <c r="AN26" s="1024">
        <v>2123</v>
      </c>
      <c r="AO26" s="301">
        <v>1529</v>
      </c>
      <c r="AP26" s="301">
        <v>2017</v>
      </c>
      <c r="AQ26" s="301">
        <v>1527</v>
      </c>
      <c r="AR26" s="301">
        <v>1471</v>
      </c>
      <c r="AS26" s="301">
        <v>1355</v>
      </c>
      <c r="AT26" s="301">
        <f t="shared" si="25"/>
        <v>20002</v>
      </c>
      <c r="AU26" s="302">
        <f t="shared" si="11"/>
        <v>1666.8333333333333</v>
      </c>
      <c r="AV26" s="374"/>
      <c r="AW26" s="2018">
        <v>1216</v>
      </c>
      <c r="AX26" s="1024">
        <v>2407</v>
      </c>
      <c r="AY26" s="1024">
        <v>1678</v>
      </c>
      <c r="AZ26" s="1024">
        <v>2134</v>
      </c>
      <c r="BA26" s="1024">
        <v>2813</v>
      </c>
      <c r="BB26" s="1024">
        <v>1598</v>
      </c>
      <c r="BC26" s="1024">
        <v>2915</v>
      </c>
      <c r="BD26" s="301">
        <v>1666</v>
      </c>
      <c r="BE26" s="301">
        <v>2323</v>
      </c>
      <c r="BF26" s="301">
        <v>1421</v>
      </c>
      <c r="BG26" s="301">
        <v>1296</v>
      </c>
      <c r="BH26" s="301">
        <v>1261</v>
      </c>
      <c r="BI26" s="301">
        <f t="shared" si="26"/>
        <v>22728</v>
      </c>
      <c r="BJ26" s="302">
        <f t="shared" si="23"/>
        <v>1893.8421798183485</v>
      </c>
      <c r="BL26" s="317">
        <f>ROW()</f>
        <v>26</v>
      </c>
      <c r="BM26" s="317">
        <f t="shared" si="4"/>
        <v>-94</v>
      </c>
      <c r="BN26" s="317">
        <f t="shared" si="12"/>
        <v>227.00884648501528</v>
      </c>
      <c r="BO26" s="317">
        <f t="shared" si="5"/>
        <v>2726</v>
      </c>
      <c r="BP26" s="594">
        <f t="shared" si="6"/>
        <v>-35</v>
      </c>
    </row>
    <row r="27" spans="1:68" ht="18" customHeight="1" thickBot="1" x14ac:dyDescent="0.6">
      <c r="A27" s="7217"/>
      <c r="B27" s="7209"/>
      <c r="C27" s="204" t="s">
        <v>236</v>
      </c>
      <c r="D27" s="306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>
        <f t="shared" si="24"/>
        <v>0</v>
      </c>
      <c r="Q27" s="308">
        <f t="shared" si="20"/>
        <v>0</v>
      </c>
      <c r="R27" s="374"/>
      <c r="S27" s="306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>
        <f t="shared" si="21"/>
        <v>0</v>
      </c>
      <c r="AF27" s="308">
        <f t="shared" si="22"/>
        <v>0</v>
      </c>
      <c r="AG27" s="374"/>
      <c r="AH27" s="1027">
        <v>2132</v>
      </c>
      <c r="AI27" s="1028">
        <v>1423</v>
      </c>
      <c r="AJ27" s="1028">
        <v>1632</v>
      </c>
      <c r="AK27" s="1028">
        <v>1567</v>
      </c>
      <c r="AL27" s="1028">
        <v>1542</v>
      </c>
      <c r="AM27" s="1028">
        <v>1513</v>
      </c>
      <c r="AN27" s="1028">
        <v>2156</v>
      </c>
      <c r="AO27" s="307">
        <v>1633</v>
      </c>
      <c r="AP27" s="307">
        <v>2147</v>
      </c>
      <c r="AQ27" s="307">
        <v>1589</v>
      </c>
      <c r="AR27" s="307">
        <v>1489</v>
      </c>
      <c r="AS27" s="307">
        <v>1290</v>
      </c>
      <c r="AT27" s="307">
        <f t="shared" si="25"/>
        <v>20113</v>
      </c>
      <c r="AU27" s="308">
        <f t="shared" si="11"/>
        <v>1676.0833333333333</v>
      </c>
      <c r="AV27" s="374"/>
      <c r="AW27" s="2020">
        <v>1145</v>
      </c>
      <c r="AX27" s="1028">
        <v>2419</v>
      </c>
      <c r="AY27" s="1028">
        <v>1710</v>
      </c>
      <c r="AZ27" s="1028">
        <v>1844</v>
      </c>
      <c r="BA27" s="1028">
        <v>2510</v>
      </c>
      <c r="BB27" s="1028">
        <v>1568</v>
      </c>
      <c r="BC27" s="1028">
        <v>2610</v>
      </c>
      <c r="BD27" s="307">
        <v>1670</v>
      </c>
      <c r="BE27" s="307">
        <v>2129</v>
      </c>
      <c r="BF27" s="307">
        <v>1467</v>
      </c>
      <c r="BG27" s="307">
        <v>1367</v>
      </c>
      <c r="BH27" s="307">
        <v>1176</v>
      </c>
      <c r="BI27" s="307">
        <f t="shared" si="26"/>
        <v>21615</v>
      </c>
      <c r="BJ27" s="308">
        <f t="shared" si="23"/>
        <v>1801.0999083409718</v>
      </c>
      <c r="BL27" s="317">
        <f>ROW()</f>
        <v>27</v>
      </c>
      <c r="BM27" s="317">
        <f t="shared" si="4"/>
        <v>-114</v>
      </c>
      <c r="BN27" s="317">
        <f t="shared" si="12"/>
        <v>125.01657500763849</v>
      </c>
      <c r="BO27" s="317">
        <f t="shared" si="5"/>
        <v>1502</v>
      </c>
      <c r="BP27" s="594">
        <f t="shared" si="6"/>
        <v>-191</v>
      </c>
    </row>
    <row r="28" spans="1:68" ht="17.399999999999999" customHeight="1" x14ac:dyDescent="0.55000000000000004">
      <c r="A28" s="7217"/>
      <c r="B28" s="7213" t="s">
        <v>1119</v>
      </c>
      <c r="C28" s="199" t="s">
        <v>419</v>
      </c>
      <c r="D28" s="291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>
        <f t="shared" si="24"/>
        <v>0</v>
      </c>
      <c r="Q28" s="293">
        <f t="shared" si="20"/>
        <v>0</v>
      </c>
      <c r="R28" s="374"/>
      <c r="S28" s="291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>
        <f t="shared" si="21"/>
        <v>0</v>
      </c>
      <c r="AF28" s="293">
        <f t="shared" si="22"/>
        <v>0</v>
      </c>
      <c r="AG28" s="374"/>
      <c r="AH28" s="291">
        <v>43</v>
      </c>
      <c r="AI28" s="292">
        <v>52</v>
      </c>
      <c r="AJ28" s="292">
        <v>56</v>
      </c>
      <c r="AK28" s="292">
        <v>71</v>
      </c>
      <c r="AL28" s="292">
        <v>66</v>
      </c>
      <c r="AM28" s="292">
        <v>41</v>
      </c>
      <c r="AN28" s="292">
        <v>125</v>
      </c>
      <c r="AO28" s="292">
        <v>39</v>
      </c>
      <c r="AP28" s="292">
        <v>57</v>
      </c>
      <c r="AQ28" s="292">
        <v>41</v>
      </c>
      <c r="AR28" s="292">
        <v>36</v>
      </c>
      <c r="AS28" s="292">
        <v>25</v>
      </c>
      <c r="AT28" s="292">
        <f t="shared" si="25"/>
        <v>652</v>
      </c>
      <c r="AU28" s="293">
        <f t="shared" si="11"/>
        <v>54.333333333333336</v>
      </c>
      <c r="AV28" s="374"/>
      <c r="AW28" s="2015">
        <v>35</v>
      </c>
      <c r="AX28" s="292">
        <v>99</v>
      </c>
      <c r="AY28" s="292">
        <v>31</v>
      </c>
      <c r="AZ28" s="292">
        <v>83</v>
      </c>
      <c r="BA28" s="292">
        <v>106</v>
      </c>
      <c r="BB28" s="292">
        <v>50</v>
      </c>
      <c r="BC28" s="292">
        <v>114</v>
      </c>
      <c r="BD28" s="292">
        <v>46</v>
      </c>
      <c r="BE28" s="292">
        <v>70</v>
      </c>
      <c r="BF28" s="292">
        <v>71</v>
      </c>
      <c r="BG28" s="292">
        <v>36</v>
      </c>
      <c r="BH28" s="292">
        <v>24</v>
      </c>
      <c r="BI28" s="292">
        <f t="shared" si="26"/>
        <v>765</v>
      </c>
      <c r="BJ28" s="293">
        <f t="shared" si="23"/>
        <v>63.744687942671447</v>
      </c>
      <c r="BL28" s="317">
        <f>ROW()</f>
        <v>28</v>
      </c>
      <c r="BM28" s="317">
        <f t="shared" si="4"/>
        <v>-1</v>
      </c>
      <c r="BN28" s="317">
        <f t="shared" si="12"/>
        <v>9.4113546093381117</v>
      </c>
      <c r="BO28" s="317">
        <f t="shared" si="5"/>
        <v>113</v>
      </c>
      <c r="BP28" s="594">
        <f t="shared" si="6"/>
        <v>-12</v>
      </c>
    </row>
    <row r="29" spans="1:68" ht="17.399999999999999" customHeight="1" x14ac:dyDescent="0.55000000000000004">
      <c r="A29" s="7217"/>
      <c r="B29" s="7214"/>
      <c r="C29" s="200" t="s">
        <v>420</v>
      </c>
      <c r="D29" s="294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>
        <f t="shared" si="24"/>
        <v>0</v>
      </c>
      <c r="Q29" s="296">
        <f t="shared" si="20"/>
        <v>0</v>
      </c>
      <c r="R29" s="374"/>
      <c r="S29" s="294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>
        <f t="shared" si="21"/>
        <v>0</v>
      </c>
      <c r="AF29" s="296">
        <f t="shared" si="22"/>
        <v>0</v>
      </c>
      <c r="AG29" s="374"/>
      <c r="AH29" s="294">
        <v>33</v>
      </c>
      <c r="AI29" s="295">
        <v>18</v>
      </c>
      <c r="AJ29" s="295">
        <v>40</v>
      </c>
      <c r="AK29" s="295">
        <v>21</v>
      </c>
      <c r="AL29" s="295">
        <v>43</v>
      </c>
      <c r="AM29" s="295">
        <v>43</v>
      </c>
      <c r="AN29" s="295">
        <v>100</v>
      </c>
      <c r="AO29" s="295">
        <v>26</v>
      </c>
      <c r="AP29" s="295">
        <v>34</v>
      </c>
      <c r="AQ29" s="295">
        <v>30</v>
      </c>
      <c r="AR29" s="295">
        <v>17</v>
      </c>
      <c r="AS29" s="295">
        <v>9</v>
      </c>
      <c r="AT29" s="295">
        <f t="shared" si="25"/>
        <v>414</v>
      </c>
      <c r="AU29" s="296">
        <f t="shared" si="11"/>
        <v>34.5</v>
      </c>
      <c r="AV29" s="374"/>
      <c r="AW29" s="2016">
        <v>7</v>
      </c>
      <c r="AX29" s="295">
        <v>47</v>
      </c>
      <c r="AY29" s="295">
        <v>16</v>
      </c>
      <c r="AZ29" s="295">
        <v>23</v>
      </c>
      <c r="BA29" s="295">
        <v>63</v>
      </c>
      <c r="BB29" s="295">
        <v>14</v>
      </c>
      <c r="BC29" s="295">
        <v>54</v>
      </c>
      <c r="BD29" s="295">
        <v>15</v>
      </c>
      <c r="BE29" s="295">
        <v>18</v>
      </c>
      <c r="BF29" s="295">
        <v>25</v>
      </c>
      <c r="BG29" s="295">
        <v>12</v>
      </c>
      <c r="BH29" s="295">
        <v>10</v>
      </c>
      <c r="BI29" s="295">
        <f t="shared" si="26"/>
        <v>304</v>
      </c>
      <c r="BJ29" s="296">
        <f t="shared" si="23"/>
        <v>25.331222398133491</v>
      </c>
      <c r="BL29" s="317">
        <f>ROW()</f>
        <v>29</v>
      </c>
      <c r="BM29" s="317">
        <f t="shared" si="4"/>
        <v>1</v>
      </c>
      <c r="BN29" s="317">
        <f t="shared" si="12"/>
        <v>-9.168777601866509</v>
      </c>
      <c r="BO29" s="317">
        <f t="shared" si="5"/>
        <v>-110</v>
      </c>
      <c r="BP29" s="594">
        <f t="shared" si="6"/>
        <v>-2</v>
      </c>
    </row>
    <row r="30" spans="1:68" ht="17.399999999999999" customHeight="1" x14ac:dyDescent="0.55000000000000004">
      <c r="A30" s="7217"/>
      <c r="B30" s="7214"/>
      <c r="C30" s="200" t="s">
        <v>421</v>
      </c>
      <c r="D30" s="294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>
        <f t="shared" si="24"/>
        <v>0</v>
      </c>
      <c r="Q30" s="296">
        <f t="shared" si="20"/>
        <v>0</v>
      </c>
      <c r="R30" s="374"/>
      <c r="S30" s="294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>
        <f t="shared" si="21"/>
        <v>0</v>
      </c>
      <c r="AF30" s="296">
        <f t="shared" si="22"/>
        <v>0</v>
      </c>
      <c r="AG30" s="374"/>
      <c r="AH30" s="294">
        <v>19</v>
      </c>
      <c r="AI30" s="295">
        <v>28</v>
      </c>
      <c r="AJ30" s="295">
        <v>24</v>
      </c>
      <c r="AK30" s="295">
        <v>24</v>
      </c>
      <c r="AL30" s="295">
        <v>35</v>
      </c>
      <c r="AM30" s="295">
        <v>20</v>
      </c>
      <c r="AN30" s="295">
        <v>123</v>
      </c>
      <c r="AO30" s="295">
        <v>27</v>
      </c>
      <c r="AP30" s="295">
        <v>23</v>
      </c>
      <c r="AQ30" s="295">
        <v>20</v>
      </c>
      <c r="AR30" s="295">
        <v>12</v>
      </c>
      <c r="AS30" s="295">
        <v>18</v>
      </c>
      <c r="AT30" s="295">
        <f t="shared" si="25"/>
        <v>373</v>
      </c>
      <c r="AU30" s="296">
        <f t="shared" si="11"/>
        <v>31.083333333333332</v>
      </c>
      <c r="AV30" s="374"/>
      <c r="AW30" s="2016">
        <v>22</v>
      </c>
      <c r="AX30" s="295">
        <v>39</v>
      </c>
      <c r="AY30" s="295">
        <v>15</v>
      </c>
      <c r="AZ30" s="295">
        <v>62</v>
      </c>
      <c r="BA30" s="295">
        <v>63</v>
      </c>
      <c r="BB30" s="295">
        <v>26</v>
      </c>
      <c r="BC30" s="295">
        <v>86</v>
      </c>
      <c r="BD30" s="295">
        <v>28</v>
      </c>
      <c r="BE30" s="295">
        <v>51</v>
      </c>
      <c r="BF30" s="295">
        <v>37</v>
      </c>
      <c r="BG30" s="295">
        <v>18</v>
      </c>
      <c r="BH30" s="295">
        <v>26</v>
      </c>
      <c r="BI30" s="295">
        <f t="shared" si="26"/>
        <v>473</v>
      </c>
      <c r="BJ30" s="296">
        <f t="shared" si="23"/>
        <v>39.413382218148492</v>
      </c>
      <c r="BL30" s="317">
        <f>ROW()</f>
        <v>30</v>
      </c>
      <c r="BM30" s="317">
        <f t="shared" si="4"/>
        <v>8</v>
      </c>
      <c r="BN30" s="317">
        <f t="shared" si="12"/>
        <v>8.3300488848151595</v>
      </c>
      <c r="BO30" s="317">
        <f t="shared" si="5"/>
        <v>100</v>
      </c>
      <c r="BP30" s="594">
        <f t="shared" si="6"/>
        <v>8</v>
      </c>
    </row>
    <row r="31" spans="1:68" ht="17.399999999999999" customHeight="1" x14ac:dyDescent="0.55000000000000004">
      <c r="A31" s="7217"/>
      <c r="B31" s="7214"/>
      <c r="C31" s="200" t="s">
        <v>422</v>
      </c>
      <c r="D31" s="294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>
        <f t="shared" si="24"/>
        <v>0</v>
      </c>
      <c r="Q31" s="296">
        <f t="shared" si="20"/>
        <v>0</v>
      </c>
      <c r="R31" s="374"/>
      <c r="S31" s="294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>
        <f t="shared" si="21"/>
        <v>0</v>
      </c>
      <c r="AF31" s="296">
        <f t="shared" si="22"/>
        <v>0</v>
      </c>
      <c r="AG31" s="374"/>
      <c r="AH31" s="294">
        <v>52</v>
      </c>
      <c r="AI31" s="295">
        <v>51</v>
      </c>
      <c r="AJ31" s="295">
        <v>84</v>
      </c>
      <c r="AK31" s="295">
        <v>82</v>
      </c>
      <c r="AL31" s="295">
        <v>107</v>
      </c>
      <c r="AM31" s="295">
        <v>62</v>
      </c>
      <c r="AN31" s="295">
        <v>188</v>
      </c>
      <c r="AO31" s="295">
        <v>67</v>
      </c>
      <c r="AP31" s="295">
        <v>72</v>
      </c>
      <c r="AQ31" s="295">
        <v>77</v>
      </c>
      <c r="AR31" s="295">
        <v>46</v>
      </c>
      <c r="AS31" s="295">
        <v>37</v>
      </c>
      <c r="AT31" s="295">
        <f t="shared" si="25"/>
        <v>925</v>
      </c>
      <c r="AU31" s="296">
        <f t="shared" si="11"/>
        <v>77.083333333333329</v>
      </c>
      <c r="AV31" s="374"/>
      <c r="AW31" s="2016">
        <v>49</v>
      </c>
      <c r="AX31" s="295">
        <v>118</v>
      </c>
      <c r="AY31" s="295">
        <v>66</v>
      </c>
      <c r="AZ31" s="295">
        <v>51</v>
      </c>
      <c r="BA31" s="295">
        <v>76</v>
      </c>
      <c r="BB31" s="295">
        <v>46</v>
      </c>
      <c r="BC31" s="295">
        <v>131</v>
      </c>
      <c r="BD31" s="295">
        <v>43</v>
      </c>
      <c r="BE31" s="295">
        <v>67</v>
      </c>
      <c r="BF31" s="295">
        <v>62</v>
      </c>
      <c r="BG31" s="295">
        <v>69</v>
      </c>
      <c r="BH31" s="295">
        <v>15</v>
      </c>
      <c r="BI31" s="295">
        <f t="shared" si="26"/>
        <v>793</v>
      </c>
      <c r="BJ31" s="296">
        <f t="shared" si="23"/>
        <v>66.077826847762694</v>
      </c>
      <c r="BL31" s="317">
        <f>ROW()</f>
        <v>31</v>
      </c>
      <c r="BM31" s="317">
        <f t="shared" si="4"/>
        <v>-22</v>
      </c>
      <c r="BN31" s="317">
        <f t="shared" si="12"/>
        <v>-11.005506485570635</v>
      </c>
      <c r="BO31" s="317">
        <f t="shared" si="5"/>
        <v>-132</v>
      </c>
      <c r="BP31" s="594">
        <f t="shared" si="6"/>
        <v>-54</v>
      </c>
    </row>
    <row r="32" spans="1:68" ht="17.399999999999999" customHeight="1" x14ac:dyDescent="0.55000000000000004">
      <c r="A32" s="7217"/>
      <c r="B32" s="7215"/>
      <c r="C32" s="201" t="s">
        <v>423</v>
      </c>
      <c r="D32" s="297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>
        <f t="shared" si="24"/>
        <v>0</v>
      </c>
      <c r="Q32" s="299">
        <f t="shared" si="20"/>
        <v>0</v>
      </c>
      <c r="R32" s="374"/>
      <c r="S32" s="297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>
        <f t="shared" si="21"/>
        <v>0</v>
      </c>
      <c r="AF32" s="299">
        <f t="shared" si="22"/>
        <v>0</v>
      </c>
      <c r="AG32" s="374"/>
      <c r="AH32" s="297">
        <v>43</v>
      </c>
      <c r="AI32" s="298">
        <v>28</v>
      </c>
      <c r="AJ32" s="298">
        <v>48</v>
      </c>
      <c r="AK32" s="298">
        <v>41</v>
      </c>
      <c r="AL32" s="298">
        <v>73</v>
      </c>
      <c r="AM32" s="298">
        <v>40</v>
      </c>
      <c r="AN32" s="298">
        <v>142</v>
      </c>
      <c r="AO32" s="298">
        <v>46</v>
      </c>
      <c r="AP32" s="298">
        <v>65</v>
      </c>
      <c r="AQ32" s="298">
        <v>49</v>
      </c>
      <c r="AR32" s="298">
        <v>34</v>
      </c>
      <c r="AS32" s="298">
        <v>21</v>
      </c>
      <c r="AT32" s="298">
        <f t="shared" si="25"/>
        <v>630</v>
      </c>
      <c r="AU32" s="299">
        <f t="shared" si="11"/>
        <v>52.5</v>
      </c>
      <c r="AV32" s="374"/>
      <c r="AW32" s="2017">
        <v>41</v>
      </c>
      <c r="AX32" s="298">
        <v>96</v>
      </c>
      <c r="AY32" s="298">
        <v>41</v>
      </c>
      <c r="AZ32" s="298">
        <v>68</v>
      </c>
      <c r="BA32" s="298">
        <v>122</v>
      </c>
      <c r="BB32" s="298">
        <v>55</v>
      </c>
      <c r="BC32" s="298">
        <v>231</v>
      </c>
      <c r="BD32" s="298">
        <v>60</v>
      </c>
      <c r="BE32" s="298">
        <v>101</v>
      </c>
      <c r="BF32" s="298">
        <v>64</v>
      </c>
      <c r="BG32" s="298">
        <v>58</v>
      </c>
      <c r="BH32" s="298">
        <v>28</v>
      </c>
      <c r="BI32" s="298">
        <f t="shared" si="26"/>
        <v>965</v>
      </c>
      <c r="BJ32" s="299">
        <f t="shared" si="23"/>
        <v>80.409965836180319</v>
      </c>
      <c r="BL32" s="317">
        <f>ROW()</f>
        <v>32</v>
      </c>
      <c r="BM32" s="317">
        <f t="shared" si="4"/>
        <v>7</v>
      </c>
      <c r="BN32" s="317">
        <f t="shared" si="12"/>
        <v>27.909965836180319</v>
      </c>
      <c r="BO32" s="317">
        <f t="shared" si="5"/>
        <v>335</v>
      </c>
      <c r="BP32" s="594">
        <f t="shared" si="6"/>
        <v>-30</v>
      </c>
    </row>
    <row r="33" spans="1:68" ht="17.399999999999999" customHeight="1" x14ac:dyDescent="0.55000000000000004">
      <c r="A33" s="7217"/>
      <c r="B33" s="7207" t="s">
        <v>1120</v>
      </c>
      <c r="C33" s="202" t="s">
        <v>227</v>
      </c>
      <c r="D33" s="300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>
        <f t="shared" ref="P33:P42" si="27">SUM(D33:O33)</f>
        <v>0</v>
      </c>
      <c r="Q33" s="302">
        <f t="shared" si="20"/>
        <v>0</v>
      </c>
      <c r="R33" s="374"/>
      <c r="S33" s="300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>
        <f t="shared" si="21"/>
        <v>0</v>
      </c>
      <c r="AF33" s="302">
        <f t="shared" si="22"/>
        <v>0</v>
      </c>
      <c r="AG33" s="374"/>
      <c r="AH33" s="300">
        <v>6</v>
      </c>
      <c r="AI33" s="301">
        <v>10</v>
      </c>
      <c r="AJ33" s="301">
        <v>9</v>
      </c>
      <c r="AK33" s="301">
        <v>21</v>
      </c>
      <c r="AL33" s="301">
        <v>14</v>
      </c>
      <c r="AM33" s="301">
        <v>20</v>
      </c>
      <c r="AN33" s="301">
        <v>45</v>
      </c>
      <c r="AO33" s="301">
        <v>9</v>
      </c>
      <c r="AP33" s="301">
        <v>15</v>
      </c>
      <c r="AQ33" s="301">
        <v>15</v>
      </c>
      <c r="AR33" s="301">
        <v>14.999999999999998</v>
      </c>
      <c r="AS33" s="301">
        <v>8</v>
      </c>
      <c r="AT33" s="301">
        <f t="shared" ref="AT33:AT42" si="28">SUM(AH33:AS33)</f>
        <v>187</v>
      </c>
      <c r="AU33" s="302">
        <f t="shared" si="11"/>
        <v>15.583333333333334</v>
      </c>
      <c r="AV33" s="374"/>
      <c r="AW33" s="2021">
        <v>14.000000000000002</v>
      </c>
      <c r="AX33" s="301">
        <v>28</v>
      </c>
      <c r="AY33" s="301">
        <v>14</v>
      </c>
      <c r="AZ33" s="301">
        <v>52</v>
      </c>
      <c r="BA33" s="301">
        <v>43</v>
      </c>
      <c r="BB33" s="301">
        <v>13</v>
      </c>
      <c r="BC33" s="301">
        <v>37</v>
      </c>
      <c r="BD33" s="301">
        <v>18</v>
      </c>
      <c r="BE33" s="301">
        <v>33</v>
      </c>
      <c r="BF33" s="301">
        <v>24</v>
      </c>
      <c r="BG33" s="301">
        <v>11</v>
      </c>
      <c r="BH33" s="301">
        <v>4</v>
      </c>
      <c r="BI33" s="301">
        <f t="shared" ref="BI33:BI42" si="29">SUM(AW33:BH33)</f>
        <v>291</v>
      </c>
      <c r="BJ33" s="302">
        <f t="shared" si="23"/>
        <v>24.247979335055412</v>
      </c>
      <c r="BL33" s="317">
        <f>ROW()</f>
        <v>33</v>
      </c>
      <c r="BM33" s="317">
        <f t="shared" si="4"/>
        <v>-4</v>
      </c>
      <c r="BN33" s="317">
        <f t="shared" si="12"/>
        <v>8.6646460017220779</v>
      </c>
      <c r="BO33" s="317">
        <f t="shared" si="5"/>
        <v>104</v>
      </c>
      <c r="BP33" s="594">
        <f t="shared" si="6"/>
        <v>-7</v>
      </c>
    </row>
    <row r="34" spans="1:68" ht="17.399999999999999" customHeight="1" x14ac:dyDescent="0.55000000000000004">
      <c r="A34" s="7217"/>
      <c r="B34" s="7208"/>
      <c r="C34" s="202" t="s">
        <v>228</v>
      </c>
      <c r="D34" s="300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>
        <f t="shared" si="27"/>
        <v>0</v>
      </c>
      <c r="Q34" s="302">
        <f t="shared" si="20"/>
        <v>0</v>
      </c>
      <c r="R34" s="374"/>
      <c r="S34" s="300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>
        <f t="shared" si="21"/>
        <v>0</v>
      </c>
      <c r="AF34" s="302">
        <f t="shared" si="22"/>
        <v>0</v>
      </c>
      <c r="AG34" s="374"/>
      <c r="AH34" s="300">
        <v>37</v>
      </c>
      <c r="AI34" s="301">
        <v>42</v>
      </c>
      <c r="AJ34" s="301">
        <v>47</v>
      </c>
      <c r="AK34" s="301">
        <v>50</v>
      </c>
      <c r="AL34" s="301">
        <v>52</v>
      </c>
      <c r="AM34" s="301">
        <v>21</v>
      </c>
      <c r="AN34" s="301">
        <v>80</v>
      </c>
      <c r="AO34" s="301">
        <v>30</v>
      </c>
      <c r="AP34" s="301">
        <v>42</v>
      </c>
      <c r="AQ34" s="301">
        <v>26</v>
      </c>
      <c r="AR34" s="301">
        <v>21</v>
      </c>
      <c r="AS34" s="301">
        <v>17</v>
      </c>
      <c r="AT34" s="301">
        <f t="shared" si="28"/>
        <v>465</v>
      </c>
      <c r="AU34" s="302">
        <f t="shared" si="11"/>
        <v>38.75</v>
      </c>
      <c r="AV34" s="374"/>
      <c r="AW34" s="2021">
        <v>21</v>
      </c>
      <c r="AX34" s="301">
        <v>71</v>
      </c>
      <c r="AY34" s="301">
        <v>17</v>
      </c>
      <c r="AZ34" s="301">
        <v>31</v>
      </c>
      <c r="BA34" s="301">
        <v>63.000000000000007</v>
      </c>
      <c r="BB34" s="301">
        <v>37</v>
      </c>
      <c r="BC34" s="301">
        <v>77</v>
      </c>
      <c r="BD34" s="301">
        <v>28</v>
      </c>
      <c r="BE34" s="301">
        <v>37</v>
      </c>
      <c r="BF34" s="301">
        <v>47</v>
      </c>
      <c r="BG34" s="301">
        <v>25</v>
      </c>
      <c r="BH34" s="301">
        <v>20</v>
      </c>
      <c r="BI34" s="301">
        <f t="shared" si="29"/>
        <v>474</v>
      </c>
      <c r="BJ34" s="302">
        <f t="shared" si="23"/>
        <v>39.496708607616036</v>
      </c>
      <c r="BL34" s="317">
        <f>ROW()</f>
        <v>34</v>
      </c>
      <c r="BM34" s="317">
        <f t="shared" si="4"/>
        <v>3</v>
      </c>
      <c r="BN34" s="317">
        <f t="shared" si="12"/>
        <v>0.74670860761603564</v>
      </c>
      <c r="BO34" s="317">
        <f t="shared" si="5"/>
        <v>9</v>
      </c>
      <c r="BP34" s="594">
        <f t="shared" si="6"/>
        <v>-5</v>
      </c>
    </row>
    <row r="35" spans="1:68" ht="17.399999999999999" customHeight="1" x14ac:dyDescent="0.55000000000000004">
      <c r="A35" s="7217"/>
      <c r="B35" s="7208"/>
      <c r="C35" s="203" t="s">
        <v>229</v>
      </c>
      <c r="D35" s="303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>
        <f t="shared" si="27"/>
        <v>0</v>
      </c>
      <c r="Q35" s="305">
        <f t="shared" si="20"/>
        <v>0</v>
      </c>
      <c r="R35" s="374"/>
      <c r="S35" s="303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>
        <f t="shared" si="21"/>
        <v>0</v>
      </c>
      <c r="AF35" s="305">
        <f t="shared" si="22"/>
        <v>0</v>
      </c>
      <c r="AG35" s="374"/>
      <c r="AH35" s="303">
        <v>19</v>
      </c>
      <c r="AI35" s="304">
        <v>11</v>
      </c>
      <c r="AJ35" s="304">
        <v>31</v>
      </c>
      <c r="AK35" s="304">
        <v>13</v>
      </c>
      <c r="AL35" s="304">
        <v>23</v>
      </c>
      <c r="AM35" s="304">
        <v>28.000000000000004</v>
      </c>
      <c r="AN35" s="304">
        <v>47</v>
      </c>
      <c r="AO35" s="304">
        <v>14</v>
      </c>
      <c r="AP35" s="304">
        <v>17</v>
      </c>
      <c r="AQ35" s="304">
        <v>15</v>
      </c>
      <c r="AR35" s="304">
        <v>10</v>
      </c>
      <c r="AS35" s="304">
        <v>6</v>
      </c>
      <c r="AT35" s="304">
        <f t="shared" si="28"/>
        <v>234</v>
      </c>
      <c r="AU35" s="305">
        <f t="shared" si="11"/>
        <v>19.5</v>
      </c>
      <c r="AV35" s="374"/>
      <c r="AW35" s="2022">
        <v>4</v>
      </c>
      <c r="AX35" s="304">
        <v>32</v>
      </c>
      <c r="AY35" s="304">
        <v>7</v>
      </c>
      <c r="AZ35" s="304">
        <v>11</v>
      </c>
      <c r="BA35" s="304">
        <v>21</v>
      </c>
      <c r="BB35" s="304">
        <v>6</v>
      </c>
      <c r="BC35" s="304">
        <v>29.000000000000004</v>
      </c>
      <c r="BD35" s="304">
        <v>6</v>
      </c>
      <c r="BE35" s="304">
        <v>8</v>
      </c>
      <c r="BF35" s="304">
        <v>16</v>
      </c>
      <c r="BG35" s="304">
        <v>1</v>
      </c>
      <c r="BH35" s="304">
        <v>5</v>
      </c>
      <c r="BI35" s="304">
        <f t="shared" si="29"/>
        <v>146</v>
      </c>
      <c r="BJ35" s="305">
        <f t="shared" si="23"/>
        <v>12.165652862261478</v>
      </c>
      <c r="BL35" s="317">
        <f>ROW()</f>
        <v>35</v>
      </c>
      <c r="BM35" s="317">
        <f t="shared" si="4"/>
        <v>-1</v>
      </c>
      <c r="BN35" s="317">
        <f t="shared" si="12"/>
        <v>-7.3343471377385221</v>
      </c>
      <c r="BO35" s="317">
        <f t="shared" si="5"/>
        <v>-88</v>
      </c>
      <c r="BP35" s="594">
        <f t="shared" si="6"/>
        <v>4</v>
      </c>
    </row>
    <row r="36" spans="1:68" ht="17.399999999999999" customHeight="1" x14ac:dyDescent="0.55000000000000004">
      <c r="A36" s="7217"/>
      <c r="B36" s="7208"/>
      <c r="C36" s="203" t="s">
        <v>230</v>
      </c>
      <c r="D36" s="303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>
        <f t="shared" si="27"/>
        <v>0</v>
      </c>
      <c r="Q36" s="305">
        <f t="shared" si="20"/>
        <v>0</v>
      </c>
      <c r="R36" s="374"/>
      <c r="S36" s="303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>
        <f t="shared" si="21"/>
        <v>0</v>
      </c>
      <c r="AF36" s="305">
        <f t="shared" si="22"/>
        <v>0</v>
      </c>
      <c r="AG36" s="374"/>
      <c r="AH36" s="303">
        <v>14</v>
      </c>
      <c r="AI36" s="304">
        <v>7</v>
      </c>
      <c r="AJ36" s="304">
        <v>9</v>
      </c>
      <c r="AK36" s="304">
        <v>8</v>
      </c>
      <c r="AL36" s="304">
        <v>20</v>
      </c>
      <c r="AM36" s="304">
        <v>15</v>
      </c>
      <c r="AN36" s="304">
        <v>53</v>
      </c>
      <c r="AO36" s="304">
        <v>12</v>
      </c>
      <c r="AP36" s="304">
        <v>17</v>
      </c>
      <c r="AQ36" s="304">
        <v>15</v>
      </c>
      <c r="AR36" s="304">
        <v>7</v>
      </c>
      <c r="AS36" s="304">
        <v>3</v>
      </c>
      <c r="AT36" s="304">
        <f t="shared" si="28"/>
        <v>180</v>
      </c>
      <c r="AU36" s="305">
        <f t="shared" si="11"/>
        <v>15</v>
      </c>
      <c r="AV36" s="374"/>
      <c r="AW36" s="2022">
        <v>3</v>
      </c>
      <c r="AX36" s="304">
        <v>15</v>
      </c>
      <c r="AY36" s="304">
        <v>9</v>
      </c>
      <c r="AZ36" s="304">
        <v>12</v>
      </c>
      <c r="BA36" s="304">
        <v>42</v>
      </c>
      <c r="BB36" s="304">
        <v>8</v>
      </c>
      <c r="BC36" s="304">
        <v>25</v>
      </c>
      <c r="BD36" s="304">
        <v>9</v>
      </c>
      <c r="BE36" s="304">
        <v>10</v>
      </c>
      <c r="BF36" s="304">
        <v>9</v>
      </c>
      <c r="BG36" s="304">
        <v>11</v>
      </c>
      <c r="BH36" s="304">
        <v>5</v>
      </c>
      <c r="BI36" s="304">
        <f t="shared" si="29"/>
        <v>158</v>
      </c>
      <c r="BJ36" s="305">
        <f t="shared" si="23"/>
        <v>13.165569535872011</v>
      </c>
      <c r="BL36" s="317">
        <f>ROW()</f>
        <v>36</v>
      </c>
      <c r="BM36" s="317">
        <f t="shared" ref="BM36:BM67" si="30">HLOOKUP($A$2,$AW$2:$BH$411,ROW()-1,0)-HLOOKUP($A$2,$AH$2:$AS$411,ROW()-1,0)</f>
        <v>2</v>
      </c>
      <c r="BN36" s="317">
        <f t="shared" si="12"/>
        <v>-1.8344304641279887</v>
      </c>
      <c r="BO36" s="317">
        <f t="shared" ref="BO36:BO67" si="31">BI36-SUM(AH36:AS36)</f>
        <v>-22</v>
      </c>
      <c r="BP36" s="594">
        <f t="shared" ref="BP36:BP67" si="32">HLOOKUP($A$2,$AW$2:$BH$520,ROW()-1,0)-HLOOKUP($A$2-1,$AW$2:$BH$520,ROW()-1,1)</f>
        <v>-6</v>
      </c>
    </row>
    <row r="37" spans="1:68" ht="17.399999999999999" customHeight="1" x14ac:dyDescent="0.55000000000000004">
      <c r="A37" s="7217"/>
      <c r="B37" s="7208"/>
      <c r="C37" s="202" t="s">
        <v>231</v>
      </c>
      <c r="D37" s="300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>
        <f t="shared" si="27"/>
        <v>0</v>
      </c>
      <c r="Q37" s="302">
        <f t="shared" si="20"/>
        <v>0</v>
      </c>
      <c r="R37" s="374"/>
      <c r="S37" s="300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>
        <f t="shared" si="21"/>
        <v>0</v>
      </c>
      <c r="AF37" s="302">
        <f t="shared" si="22"/>
        <v>0</v>
      </c>
      <c r="AG37" s="374"/>
      <c r="AH37" s="300">
        <v>9</v>
      </c>
      <c r="AI37" s="301">
        <v>14</v>
      </c>
      <c r="AJ37" s="301">
        <v>8</v>
      </c>
      <c r="AK37" s="301">
        <v>13</v>
      </c>
      <c r="AL37" s="301">
        <v>14</v>
      </c>
      <c r="AM37" s="301">
        <v>12</v>
      </c>
      <c r="AN37" s="301">
        <v>46</v>
      </c>
      <c r="AO37" s="301">
        <v>11</v>
      </c>
      <c r="AP37" s="301">
        <v>11</v>
      </c>
      <c r="AQ37" s="301">
        <v>8</v>
      </c>
      <c r="AR37" s="301">
        <v>4</v>
      </c>
      <c r="AS37" s="301">
        <v>9</v>
      </c>
      <c r="AT37" s="301">
        <f t="shared" si="28"/>
        <v>159</v>
      </c>
      <c r="AU37" s="302">
        <f t="shared" si="11"/>
        <v>13.25</v>
      </c>
      <c r="AV37" s="374"/>
      <c r="AW37" s="2021">
        <v>5</v>
      </c>
      <c r="AX37" s="301">
        <v>15</v>
      </c>
      <c r="AY37" s="301">
        <v>10</v>
      </c>
      <c r="AZ37" s="301">
        <v>46</v>
      </c>
      <c r="BA37" s="301">
        <v>32</v>
      </c>
      <c r="BB37" s="301">
        <v>7.0000000000000009</v>
      </c>
      <c r="BC37" s="301">
        <v>23</v>
      </c>
      <c r="BD37" s="301">
        <v>16</v>
      </c>
      <c r="BE37" s="301">
        <v>22</v>
      </c>
      <c r="BF37" s="301">
        <v>19</v>
      </c>
      <c r="BG37" s="301">
        <v>9</v>
      </c>
      <c r="BH37" s="301">
        <v>11</v>
      </c>
      <c r="BI37" s="301">
        <f t="shared" si="29"/>
        <v>215</v>
      </c>
      <c r="BJ37" s="302">
        <f t="shared" si="23"/>
        <v>17.915173735522039</v>
      </c>
      <c r="BL37" s="317">
        <f>ROW()</f>
        <v>37</v>
      </c>
      <c r="BM37" s="317">
        <f t="shared" si="30"/>
        <v>2</v>
      </c>
      <c r="BN37" s="317">
        <f t="shared" si="12"/>
        <v>4.6651737355220391</v>
      </c>
      <c r="BO37" s="317">
        <f t="shared" si="31"/>
        <v>56</v>
      </c>
      <c r="BP37" s="594">
        <f t="shared" si="32"/>
        <v>2</v>
      </c>
    </row>
    <row r="38" spans="1:68" ht="17.399999999999999" customHeight="1" x14ac:dyDescent="0.55000000000000004">
      <c r="A38" s="7217"/>
      <c r="B38" s="7208"/>
      <c r="C38" s="202" t="s">
        <v>232</v>
      </c>
      <c r="D38" s="300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>
        <f t="shared" si="27"/>
        <v>0</v>
      </c>
      <c r="Q38" s="302">
        <f t="shared" si="20"/>
        <v>0</v>
      </c>
      <c r="R38" s="374"/>
      <c r="S38" s="300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>
        <f t="shared" si="21"/>
        <v>0</v>
      </c>
      <c r="AF38" s="302">
        <f t="shared" si="22"/>
        <v>0</v>
      </c>
      <c r="AG38" s="374"/>
      <c r="AH38" s="300">
        <v>10</v>
      </c>
      <c r="AI38" s="301">
        <v>14</v>
      </c>
      <c r="AJ38" s="301">
        <v>16</v>
      </c>
      <c r="AK38" s="301">
        <v>11</v>
      </c>
      <c r="AL38" s="301">
        <v>21</v>
      </c>
      <c r="AM38" s="301">
        <v>8</v>
      </c>
      <c r="AN38" s="301">
        <v>77</v>
      </c>
      <c r="AO38" s="301">
        <v>16</v>
      </c>
      <c r="AP38" s="301">
        <v>12</v>
      </c>
      <c r="AQ38" s="301">
        <v>12</v>
      </c>
      <c r="AR38" s="301">
        <v>8</v>
      </c>
      <c r="AS38" s="301">
        <v>9</v>
      </c>
      <c r="AT38" s="301">
        <f t="shared" si="28"/>
        <v>214</v>
      </c>
      <c r="AU38" s="302">
        <f t="shared" si="11"/>
        <v>17.833333333333332</v>
      </c>
      <c r="AV38" s="374"/>
      <c r="AW38" s="2021">
        <v>17</v>
      </c>
      <c r="AX38" s="301">
        <v>24</v>
      </c>
      <c r="AY38" s="301">
        <v>5</v>
      </c>
      <c r="AZ38" s="301">
        <v>16</v>
      </c>
      <c r="BA38" s="301">
        <v>31</v>
      </c>
      <c r="BB38" s="301">
        <v>19</v>
      </c>
      <c r="BC38" s="301">
        <v>63.000000000000007</v>
      </c>
      <c r="BD38" s="301">
        <v>12</v>
      </c>
      <c r="BE38" s="301">
        <v>29</v>
      </c>
      <c r="BF38" s="301">
        <v>18</v>
      </c>
      <c r="BG38" s="301">
        <v>9</v>
      </c>
      <c r="BH38" s="301">
        <v>15</v>
      </c>
      <c r="BI38" s="301">
        <f t="shared" si="29"/>
        <v>258</v>
      </c>
      <c r="BJ38" s="302">
        <f t="shared" si="23"/>
        <v>21.498208482626449</v>
      </c>
      <c r="BL38" s="317">
        <f>ROW()</f>
        <v>38</v>
      </c>
      <c r="BM38" s="317">
        <f t="shared" si="30"/>
        <v>6</v>
      </c>
      <c r="BN38" s="317">
        <f t="shared" si="12"/>
        <v>3.6648751492931169</v>
      </c>
      <c r="BO38" s="317">
        <f t="shared" si="31"/>
        <v>44</v>
      </c>
      <c r="BP38" s="594">
        <f t="shared" si="32"/>
        <v>6</v>
      </c>
    </row>
    <row r="39" spans="1:68" ht="17.399999999999999" customHeight="1" x14ac:dyDescent="0.55000000000000004">
      <c r="A39" s="7217"/>
      <c r="B39" s="7208"/>
      <c r="C39" s="203" t="s">
        <v>233</v>
      </c>
      <c r="D39" s="303"/>
      <c r="E39" s="304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>
        <f t="shared" si="27"/>
        <v>0</v>
      </c>
      <c r="Q39" s="305">
        <f t="shared" si="20"/>
        <v>0</v>
      </c>
      <c r="R39" s="374"/>
      <c r="S39" s="303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>
        <f t="shared" si="21"/>
        <v>0</v>
      </c>
      <c r="AF39" s="305">
        <f t="shared" si="22"/>
        <v>0</v>
      </c>
      <c r="AG39" s="374"/>
      <c r="AH39" s="303">
        <v>31</v>
      </c>
      <c r="AI39" s="304">
        <v>30</v>
      </c>
      <c r="AJ39" s="304">
        <v>49</v>
      </c>
      <c r="AK39" s="304">
        <v>53</v>
      </c>
      <c r="AL39" s="304">
        <v>54</v>
      </c>
      <c r="AM39" s="304">
        <v>38</v>
      </c>
      <c r="AN39" s="304">
        <v>132</v>
      </c>
      <c r="AO39" s="304">
        <v>40</v>
      </c>
      <c r="AP39" s="304">
        <v>29</v>
      </c>
      <c r="AQ39" s="304">
        <v>50</v>
      </c>
      <c r="AR39" s="304">
        <v>27.000000000000004</v>
      </c>
      <c r="AS39" s="304">
        <v>18</v>
      </c>
      <c r="AT39" s="304">
        <f t="shared" si="28"/>
        <v>551</v>
      </c>
      <c r="AU39" s="305">
        <f t="shared" si="11"/>
        <v>45.916666666666664</v>
      </c>
      <c r="AV39" s="374"/>
      <c r="AW39" s="2022">
        <v>21</v>
      </c>
      <c r="AX39" s="304">
        <v>68</v>
      </c>
      <c r="AY39" s="304">
        <v>39</v>
      </c>
      <c r="AZ39" s="304">
        <v>32</v>
      </c>
      <c r="BA39" s="304">
        <v>55.000000000000007</v>
      </c>
      <c r="BB39" s="304">
        <v>19</v>
      </c>
      <c r="BC39" s="304">
        <v>97</v>
      </c>
      <c r="BD39" s="304">
        <v>27.000000000000004</v>
      </c>
      <c r="BE39" s="304">
        <v>44</v>
      </c>
      <c r="BF39" s="304">
        <v>38</v>
      </c>
      <c r="BG39" s="304">
        <v>44</v>
      </c>
      <c r="BH39" s="304">
        <v>10</v>
      </c>
      <c r="BI39" s="304">
        <f t="shared" si="29"/>
        <v>494</v>
      </c>
      <c r="BJ39" s="305">
        <f t="shared" si="23"/>
        <v>41.163236396966923</v>
      </c>
      <c r="BL39" s="317">
        <f>ROW()</f>
        <v>39</v>
      </c>
      <c r="BM39" s="317">
        <f t="shared" si="30"/>
        <v>-8</v>
      </c>
      <c r="BN39" s="317">
        <f t="shared" si="12"/>
        <v>-4.7534302696997415</v>
      </c>
      <c r="BO39" s="317">
        <f t="shared" si="31"/>
        <v>-57</v>
      </c>
      <c r="BP39" s="594">
        <f t="shared" si="32"/>
        <v>-34</v>
      </c>
    </row>
    <row r="40" spans="1:68" ht="17.399999999999999" customHeight="1" x14ac:dyDescent="0.55000000000000004">
      <c r="A40" s="7217"/>
      <c r="B40" s="7208"/>
      <c r="C40" s="203" t="s">
        <v>234</v>
      </c>
      <c r="D40" s="303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>
        <f t="shared" si="27"/>
        <v>0</v>
      </c>
      <c r="Q40" s="305">
        <f t="shared" si="20"/>
        <v>0</v>
      </c>
      <c r="R40" s="374"/>
      <c r="S40" s="303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>
        <f t="shared" si="21"/>
        <v>0</v>
      </c>
      <c r="AF40" s="305">
        <f t="shared" si="22"/>
        <v>0</v>
      </c>
      <c r="AG40" s="374"/>
      <c r="AH40" s="303">
        <v>21</v>
      </c>
      <c r="AI40" s="304">
        <v>21</v>
      </c>
      <c r="AJ40" s="304">
        <v>35</v>
      </c>
      <c r="AK40" s="304">
        <v>29</v>
      </c>
      <c r="AL40" s="304">
        <v>53</v>
      </c>
      <c r="AM40" s="304">
        <v>24</v>
      </c>
      <c r="AN40" s="304">
        <v>56</v>
      </c>
      <c r="AO40" s="304">
        <v>27</v>
      </c>
      <c r="AP40" s="304">
        <v>43</v>
      </c>
      <c r="AQ40" s="304">
        <v>27</v>
      </c>
      <c r="AR40" s="304">
        <v>19</v>
      </c>
      <c r="AS40" s="304">
        <v>19</v>
      </c>
      <c r="AT40" s="304">
        <f t="shared" si="28"/>
        <v>374</v>
      </c>
      <c r="AU40" s="305">
        <f t="shared" si="11"/>
        <v>31.166666666666668</v>
      </c>
      <c r="AV40" s="374"/>
      <c r="AW40" s="2022">
        <v>28.000000000000004</v>
      </c>
      <c r="AX40" s="304">
        <v>50</v>
      </c>
      <c r="AY40" s="304">
        <v>27.000000000000004</v>
      </c>
      <c r="AZ40" s="304">
        <v>19</v>
      </c>
      <c r="BA40" s="304">
        <v>21</v>
      </c>
      <c r="BB40" s="304">
        <v>27</v>
      </c>
      <c r="BC40" s="304">
        <v>34</v>
      </c>
      <c r="BD40" s="304">
        <v>16</v>
      </c>
      <c r="BE40" s="304">
        <v>23</v>
      </c>
      <c r="BF40" s="304">
        <v>24</v>
      </c>
      <c r="BG40" s="304">
        <v>25</v>
      </c>
      <c r="BH40" s="304">
        <v>5</v>
      </c>
      <c r="BI40" s="304">
        <f t="shared" si="29"/>
        <v>299</v>
      </c>
      <c r="BJ40" s="305">
        <f t="shared" si="23"/>
        <v>24.914590450795767</v>
      </c>
      <c r="BL40" s="317">
        <f>ROW()</f>
        <v>40</v>
      </c>
      <c r="BM40" s="317">
        <f t="shared" si="30"/>
        <v>-14</v>
      </c>
      <c r="BN40" s="317">
        <f t="shared" si="12"/>
        <v>-6.2520762158709005</v>
      </c>
      <c r="BO40" s="317">
        <f t="shared" si="31"/>
        <v>-75</v>
      </c>
      <c r="BP40" s="594">
        <f t="shared" si="32"/>
        <v>-20</v>
      </c>
    </row>
    <row r="41" spans="1:68" ht="17.399999999999999" customHeight="1" x14ac:dyDescent="0.55000000000000004">
      <c r="A41" s="7217"/>
      <c r="B41" s="7208"/>
      <c r="C41" s="202" t="s">
        <v>235</v>
      </c>
      <c r="D41" s="300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>
        <f t="shared" si="27"/>
        <v>0</v>
      </c>
      <c r="Q41" s="302">
        <f t="shared" si="20"/>
        <v>0</v>
      </c>
      <c r="R41" s="374"/>
      <c r="S41" s="300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>
        <f t="shared" si="21"/>
        <v>0</v>
      </c>
      <c r="AF41" s="302">
        <f t="shared" si="22"/>
        <v>0</v>
      </c>
      <c r="AG41" s="374"/>
      <c r="AH41" s="300">
        <v>27.000000000000004</v>
      </c>
      <c r="AI41" s="301">
        <v>11</v>
      </c>
      <c r="AJ41" s="301">
        <v>14</v>
      </c>
      <c r="AK41" s="301">
        <v>21</v>
      </c>
      <c r="AL41" s="301">
        <v>31</v>
      </c>
      <c r="AM41" s="301">
        <v>19</v>
      </c>
      <c r="AN41" s="301">
        <v>33</v>
      </c>
      <c r="AO41" s="301">
        <v>12</v>
      </c>
      <c r="AP41" s="301">
        <v>37</v>
      </c>
      <c r="AQ41" s="301">
        <v>26</v>
      </c>
      <c r="AR41" s="301">
        <v>16</v>
      </c>
      <c r="AS41" s="301">
        <v>11</v>
      </c>
      <c r="AT41" s="301">
        <f t="shared" si="28"/>
        <v>258</v>
      </c>
      <c r="AU41" s="302">
        <f t="shared" si="11"/>
        <v>21.5</v>
      </c>
      <c r="AV41" s="374"/>
      <c r="AW41" s="2021">
        <v>22</v>
      </c>
      <c r="AX41" s="301">
        <v>36</v>
      </c>
      <c r="AY41" s="301">
        <v>21</v>
      </c>
      <c r="AZ41" s="301">
        <v>29.999999999999996</v>
      </c>
      <c r="BA41" s="301">
        <v>56</v>
      </c>
      <c r="BB41" s="301">
        <v>19</v>
      </c>
      <c r="BC41" s="301">
        <v>46</v>
      </c>
      <c r="BD41" s="301">
        <v>17</v>
      </c>
      <c r="BE41" s="301">
        <v>33</v>
      </c>
      <c r="BF41" s="301">
        <v>15</v>
      </c>
      <c r="BG41" s="301">
        <v>23</v>
      </c>
      <c r="BH41" s="301">
        <v>4</v>
      </c>
      <c r="BI41" s="301">
        <f t="shared" si="29"/>
        <v>322</v>
      </c>
      <c r="BJ41" s="302">
        <f t="shared" si="23"/>
        <v>26.83109740854929</v>
      </c>
      <c r="BL41" s="317">
        <f>ROW()</f>
        <v>41</v>
      </c>
      <c r="BM41" s="317">
        <f t="shared" si="30"/>
        <v>-7</v>
      </c>
      <c r="BN41" s="317">
        <f t="shared" si="12"/>
        <v>5.3310974085492902</v>
      </c>
      <c r="BO41" s="317">
        <f t="shared" si="31"/>
        <v>64</v>
      </c>
      <c r="BP41" s="594">
        <f t="shared" si="32"/>
        <v>-19</v>
      </c>
    </row>
    <row r="42" spans="1:68" ht="18" customHeight="1" thickBot="1" x14ac:dyDescent="0.6">
      <c r="A42" s="7217"/>
      <c r="B42" s="7209"/>
      <c r="C42" s="204" t="s">
        <v>236</v>
      </c>
      <c r="D42" s="306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>
        <f t="shared" si="27"/>
        <v>0</v>
      </c>
      <c r="Q42" s="308">
        <f t="shared" si="20"/>
        <v>0</v>
      </c>
      <c r="R42" s="374"/>
      <c r="S42" s="306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>
        <f t="shared" si="21"/>
        <v>0</v>
      </c>
      <c r="AF42" s="308">
        <f t="shared" si="22"/>
        <v>0</v>
      </c>
      <c r="AG42" s="374"/>
      <c r="AH42" s="306">
        <v>16</v>
      </c>
      <c r="AI42" s="307">
        <v>17</v>
      </c>
      <c r="AJ42" s="307">
        <v>34</v>
      </c>
      <c r="AK42" s="307">
        <v>20</v>
      </c>
      <c r="AL42" s="307">
        <v>42</v>
      </c>
      <c r="AM42" s="307">
        <v>21</v>
      </c>
      <c r="AN42" s="307">
        <v>109</v>
      </c>
      <c r="AO42" s="307">
        <v>34</v>
      </c>
      <c r="AP42" s="307">
        <v>28</v>
      </c>
      <c r="AQ42" s="307">
        <v>23</v>
      </c>
      <c r="AR42" s="307">
        <v>18</v>
      </c>
      <c r="AS42" s="307">
        <v>10</v>
      </c>
      <c r="AT42" s="307">
        <f t="shared" si="28"/>
        <v>372</v>
      </c>
      <c r="AU42" s="308">
        <f t="shared" si="11"/>
        <v>31</v>
      </c>
      <c r="AV42" s="374"/>
      <c r="AW42" s="2023">
        <v>19</v>
      </c>
      <c r="AX42" s="307">
        <v>60</v>
      </c>
      <c r="AY42" s="307">
        <v>20</v>
      </c>
      <c r="AZ42" s="307">
        <v>38</v>
      </c>
      <c r="BA42" s="307">
        <v>66</v>
      </c>
      <c r="BB42" s="307">
        <v>36</v>
      </c>
      <c r="BC42" s="307">
        <v>185</v>
      </c>
      <c r="BD42" s="307">
        <v>43</v>
      </c>
      <c r="BE42" s="307">
        <v>68</v>
      </c>
      <c r="BF42" s="307">
        <v>49</v>
      </c>
      <c r="BG42" s="307">
        <v>35</v>
      </c>
      <c r="BH42" s="307">
        <v>24</v>
      </c>
      <c r="BI42" s="307">
        <f t="shared" si="29"/>
        <v>643</v>
      </c>
      <c r="BJ42" s="308">
        <f t="shared" si="23"/>
        <v>53.578868427631036</v>
      </c>
      <c r="BL42" s="317">
        <f>ROW()</f>
        <v>42</v>
      </c>
      <c r="BM42" s="317">
        <f t="shared" si="30"/>
        <v>14</v>
      </c>
      <c r="BN42" s="317">
        <f t="shared" si="12"/>
        <v>22.578868427631036</v>
      </c>
      <c r="BO42" s="317">
        <f t="shared" si="31"/>
        <v>271</v>
      </c>
      <c r="BP42" s="594">
        <f t="shared" si="32"/>
        <v>-11</v>
      </c>
    </row>
    <row r="43" spans="1:68" ht="17.05" customHeight="1" x14ac:dyDescent="0.55000000000000004">
      <c r="A43" s="7217"/>
      <c r="B43" s="7213" t="s">
        <v>432</v>
      </c>
      <c r="C43" s="199" t="s">
        <v>419</v>
      </c>
      <c r="D43" s="291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>
        <f>SUM(D43:O43)</f>
        <v>0</v>
      </c>
      <c r="Q43" s="293">
        <f t="shared" si="20"/>
        <v>0</v>
      </c>
      <c r="R43" s="374"/>
      <c r="S43" s="291"/>
      <c r="T43" s="292"/>
      <c r="U43" s="292"/>
      <c r="V43" s="292"/>
      <c r="W43" s="292"/>
      <c r="X43" s="292"/>
      <c r="Y43" s="292"/>
      <c r="Z43" s="292"/>
      <c r="AA43" s="292"/>
      <c r="AB43" s="292"/>
      <c r="AC43" s="292"/>
      <c r="AD43" s="292"/>
      <c r="AE43" s="292">
        <f t="shared" si="21"/>
        <v>0</v>
      </c>
      <c r="AF43" s="293">
        <f t="shared" si="22"/>
        <v>0</v>
      </c>
      <c r="AG43" s="374"/>
      <c r="AH43" s="291">
        <v>4376</v>
      </c>
      <c r="AI43" s="292">
        <v>3220</v>
      </c>
      <c r="AJ43" s="292">
        <v>3765</v>
      </c>
      <c r="AK43" s="292">
        <v>3786</v>
      </c>
      <c r="AL43" s="292">
        <v>4329</v>
      </c>
      <c r="AM43" s="292">
        <v>3818</v>
      </c>
      <c r="AN43" s="292">
        <v>4866</v>
      </c>
      <c r="AO43" s="292">
        <v>4091</v>
      </c>
      <c r="AP43" s="292">
        <v>4058</v>
      </c>
      <c r="AQ43" s="292">
        <v>4056</v>
      </c>
      <c r="AR43" s="292">
        <v>3886</v>
      </c>
      <c r="AS43" s="292">
        <v>3100</v>
      </c>
      <c r="AT43" s="292">
        <f>SUM(AH43:AS43)</f>
        <v>47351</v>
      </c>
      <c r="AU43" s="293">
        <f t="shared" si="11"/>
        <v>3945.9166666666665</v>
      </c>
      <c r="AV43" s="374"/>
      <c r="AW43" s="2015">
        <v>2917</v>
      </c>
      <c r="AX43" s="292">
        <v>4684</v>
      </c>
      <c r="AY43" s="292">
        <v>3395</v>
      </c>
      <c r="AZ43" s="292">
        <v>4120</v>
      </c>
      <c r="BA43" s="292">
        <v>6813</v>
      </c>
      <c r="BB43" s="292">
        <v>4524</v>
      </c>
      <c r="BC43" s="292">
        <v>5455</v>
      </c>
      <c r="BD43" s="292">
        <v>4090.0000000000005</v>
      </c>
      <c r="BE43" s="292">
        <v>4687</v>
      </c>
      <c r="BF43" s="292">
        <v>4302</v>
      </c>
      <c r="BG43" s="292">
        <v>4046</v>
      </c>
      <c r="BH43" s="292">
        <v>4508</v>
      </c>
      <c r="BI43" s="292">
        <f>SUM(AW43:BH43)</f>
        <v>53541</v>
      </c>
      <c r="BJ43" s="293">
        <f t="shared" si="23"/>
        <v>4461.3782184817937</v>
      </c>
      <c r="BL43" s="317">
        <f>ROW()</f>
        <v>43</v>
      </c>
      <c r="BM43" s="317">
        <f t="shared" si="30"/>
        <v>1408</v>
      </c>
      <c r="BN43" s="317">
        <f t="shared" si="12"/>
        <v>515.46155181512722</v>
      </c>
      <c r="BO43" s="317">
        <f t="shared" si="31"/>
        <v>6190</v>
      </c>
      <c r="BP43" s="594">
        <f t="shared" si="32"/>
        <v>462</v>
      </c>
    </row>
    <row r="44" spans="1:68" ht="17.05" customHeight="1" x14ac:dyDescent="0.55000000000000004">
      <c r="A44" s="7217"/>
      <c r="B44" s="7214"/>
      <c r="C44" s="200" t="s">
        <v>420</v>
      </c>
      <c r="D44" s="294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>
        <f>SUM(D44:O44)</f>
        <v>0</v>
      </c>
      <c r="Q44" s="296">
        <f t="shared" si="20"/>
        <v>0</v>
      </c>
      <c r="R44" s="374"/>
      <c r="S44" s="294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>
        <f t="shared" si="21"/>
        <v>0</v>
      </c>
      <c r="AF44" s="296">
        <f t="shared" si="22"/>
        <v>0</v>
      </c>
      <c r="AG44" s="374"/>
      <c r="AH44" s="294">
        <v>2791</v>
      </c>
      <c r="AI44" s="295">
        <v>2221</v>
      </c>
      <c r="AJ44" s="295">
        <v>2615</v>
      </c>
      <c r="AK44" s="295">
        <v>2592</v>
      </c>
      <c r="AL44" s="295">
        <v>2950</v>
      </c>
      <c r="AM44" s="295">
        <v>2713</v>
      </c>
      <c r="AN44" s="295">
        <v>3316</v>
      </c>
      <c r="AO44" s="295">
        <v>2871</v>
      </c>
      <c r="AP44" s="295">
        <v>3097.9999999999995</v>
      </c>
      <c r="AQ44" s="295">
        <v>2899</v>
      </c>
      <c r="AR44" s="295">
        <v>2690</v>
      </c>
      <c r="AS44" s="295">
        <v>2306</v>
      </c>
      <c r="AT44" s="295">
        <f>SUM(AH44:AS44)</f>
        <v>33062</v>
      </c>
      <c r="AU44" s="296">
        <f t="shared" si="11"/>
        <v>2755.1666666666665</v>
      </c>
      <c r="AV44" s="374"/>
      <c r="AW44" s="2016">
        <v>1978</v>
      </c>
      <c r="AX44" s="295">
        <v>3382</v>
      </c>
      <c r="AY44" s="295">
        <v>2285</v>
      </c>
      <c r="AZ44" s="295">
        <v>2628</v>
      </c>
      <c r="BA44" s="295">
        <v>4532</v>
      </c>
      <c r="BB44" s="295">
        <v>3187</v>
      </c>
      <c r="BC44" s="295">
        <v>3574.0000000000005</v>
      </c>
      <c r="BD44" s="295">
        <v>3161</v>
      </c>
      <c r="BE44" s="295">
        <v>3453.0000000000005</v>
      </c>
      <c r="BF44" s="295">
        <v>3550</v>
      </c>
      <c r="BG44" s="295">
        <v>3406</v>
      </c>
      <c r="BH44" s="295">
        <v>3109</v>
      </c>
      <c r="BI44" s="295">
        <f>SUM(AW44:BH44)</f>
        <v>38245</v>
      </c>
      <c r="BJ44" s="296">
        <f t="shared" si="23"/>
        <v>3186.8177651862347</v>
      </c>
      <c r="BL44" s="317">
        <f>ROW()</f>
        <v>44</v>
      </c>
      <c r="BM44" s="317">
        <f t="shared" si="30"/>
        <v>803</v>
      </c>
      <c r="BN44" s="317">
        <f t="shared" si="12"/>
        <v>431.65109851956822</v>
      </c>
      <c r="BO44" s="317">
        <f t="shared" si="31"/>
        <v>5183</v>
      </c>
      <c r="BP44" s="594">
        <f t="shared" si="32"/>
        <v>-297</v>
      </c>
    </row>
    <row r="45" spans="1:68" ht="17.05" customHeight="1" x14ac:dyDescent="0.55000000000000004">
      <c r="A45" s="7217"/>
      <c r="B45" s="7214"/>
      <c r="C45" s="200" t="s">
        <v>421</v>
      </c>
      <c r="D45" s="294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>
        <f>SUM(D45:O45)</f>
        <v>0</v>
      </c>
      <c r="Q45" s="296">
        <f t="shared" si="20"/>
        <v>0</v>
      </c>
      <c r="R45" s="374"/>
      <c r="S45" s="294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>
        <f t="shared" si="21"/>
        <v>0</v>
      </c>
      <c r="AF45" s="296">
        <f t="shared" si="22"/>
        <v>0</v>
      </c>
      <c r="AG45" s="374"/>
      <c r="AH45" s="294">
        <v>2562</v>
      </c>
      <c r="AI45" s="295">
        <v>2283</v>
      </c>
      <c r="AJ45" s="295">
        <v>2465</v>
      </c>
      <c r="AK45" s="295">
        <v>2520</v>
      </c>
      <c r="AL45" s="295">
        <v>3114</v>
      </c>
      <c r="AM45" s="295">
        <v>3034</v>
      </c>
      <c r="AN45" s="295">
        <v>3540</v>
      </c>
      <c r="AO45" s="295">
        <v>2794</v>
      </c>
      <c r="AP45" s="295">
        <v>2818</v>
      </c>
      <c r="AQ45" s="295">
        <v>2990</v>
      </c>
      <c r="AR45" s="295">
        <v>2623</v>
      </c>
      <c r="AS45" s="295">
        <v>2158</v>
      </c>
      <c r="AT45" s="295">
        <f>SUM(AH45:AS45)</f>
        <v>32901</v>
      </c>
      <c r="AU45" s="296">
        <f t="shared" si="11"/>
        <v>2741.75</v>
      </c>
      <c r="AV45" s="374"/>
      <c r="AW45" s="2016">
        <v>2136</v>
      </c>
      <c r="AX45" s="295">
        <v>3316</v>
      </c>
      <c r="AY45" s="295">
        <v>2740</v>
      </c>
      <c r="AZ45" s="295">
        <v>3072</v>
      </c>
      <c r="BA45" s="295">
        <v>4850</v>
      </c>
      <c r="BB45" s="295">
        <v>3477.0000000000005</v>
      </c>
      <c r="BC45" s="295">
        <v>4177</v>
      </c>
      <c r="BD45" s="295">
        <v>3314</v>
      </c>
      <c r="BE45" s="295">
        <v>3615.9999999999995</v>
      </c>
      <c r="BF45" s="295">
        <v>3733</v>
      </c>
      <c r="BG45" s="295">
        <v>2918</v>
      </c>
      <c r="BH45" s="295">
        <v>3529</v>
      </c>
      <c r="BI45" s="295">
        <f>SUM(AW45:BH45)</f>
        <v>40878</v>
      </c>
      <c r="BJ45" s="296">
        <f t="shared" si="23"/>
        <v>3406.2161486542791</v>
      </c>
      <c r="BL45" s="317">
        <f>ROW()</f>
        <v>45</v>
      </c>
      <c r="BM45" s="317">
        <f t="shared" si="30"/>
        <v>1371</v>
      </c>
      <c r="BN45" s="317">
        <f t="shared" si="12"/>
        <v>664.4661486542791</v>
      </c>
      <c r="BO45" s="317">
        <f t="shared" si="31"/>
        <v>7977</v>
      </c>
      <c r="BP45" s="594">
        <f t="shared" si="32"/>
        <v>611</v>
      </c>
    </row>
    <row r="46" spans="1:68" ht="17.05" customHeight="1" x14ac:dyDescent="0.55000000000000004">
      <c r="A46" s="7217"/>
      <c r="B46" s="7214"/>
      <c r="C46" s="200" t="s">
        <v>422</v>
      </c>
      <c r="D46" s="294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>
        <f>SUM(D46:O46)</f>
        <v>0</v>
      </c>
      <c r="Q46" s="296">
        <f t="shared" si="20"/>
        <v>0</v>
      </c>
      <c r="R46" s="374"/>
      <c r="S46" s="294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>
        <f t="shared" si="21"/>
        <v>0</v>
      </c>
      <c r="AF46" s="296">
        <f t="shared" si="22"/>
        <v>0</v>
      </c>
      <c r="AG46" s="374"/>
      <c r="AH46" s="294">
        <v>5874</v>
      </c>
      <c r="AI46" s="295">
        <v>4728</v>
      </c>
      <c r="AJ46" s="295">
        <v>5093</v>
      </c>
      <c r="AK46" s="295">
        <v>5137</v>
      </c>
      <c r="AL46" s="295">
        <v>5241</v>
      </c>
      <c r="AM46" s="295">
        <v>4731</v>
      </c>
      <c r="AN46" s="295">
        <v>5528</v>
      </c>
      <c r="AO46" s="295">
        <v>4570</v>
      </c>
      <c r="AP46" s="295">
        <v>5647</v>
      </c>
      <c r="AQ46" s="295">
        <v>5417</v>
      </c>
      <c r="AR46" s="295">
        <v>6104</v>
      </c>
      <c r="AS46" s="295">
        <v>5417</v>
      </c>
      <c r="AT46" s="295">
        <f>SUM(AH46:AS46)</f>
        <v>63487</v>
      </c>
      <c r="AU46" s="296">
        <f t="shared" si="11"/>
        <v>5290.583333333333</v>
      </c>
      <c r="AV46" s="374"/>
      <c r="AW46" s="2016">
        <v>5453</v>
      </c>
      <c r="AX46" s="295">
        <v>8121</v>
      </c>
      <c r="AY46" s="295">
        <v>5823</v>
      </c>
      <c r="AZ46" s="295">
        <v>8295</v>
      </c>
      <c r="BA46" s="295">
        <v>11803</v>
      </c>
      <c r="BB46" s="295">
        <v>10340</v>
      </c>
      <c r="BC46" s="295">
        <v>11364</v>
      </c>
      <c r="BD46" s="295">
        <v>8569</v>
      </c>
      <c r="BE46" s="295">
        <v>8875</v>
      </c>
      <c r="BF46" s="295">
        <v>9399</v>
      </c>
      <c r="BG46" s="295">
        <v>7074</v>
      </c>
      <c r="BH46" s="295">
        <v>7893</v>
      </c>
      <c r="BI46" s="295">
        <f>SUM(AW46:BH46)</f>
        <v>103009</v>
      </c>
      <c r="BJ46" s="296">
        <f t="shared" si="23"/>
        <v>8583.3680526622793</v>
      </c>
      <c r="BL46" s="317">
        <f>ROW()</f>
        <v>46</v>
      </c>
      <c r="BM46" s="317">
        <f t="shared" si="30"/>
        <v>2476</v>
      </c>
      <c r="BN46" s="317">
        <f t="shared" si="12"/>
        <v>3292.7847193289463</v>
      </c>
      <c r="BO46" s="317">
        <f t="shared" si="31"/>
        <v>39522</v>
      </c>
      <c r="BP46" s="594">
        <f t="shared" si="32"/>
        <v>819</v>
      </c>
    </row>
    <row r="47" spans="1:68" ht="17.05" customHeight="1" x14ac:dyDescent="0.55000000000000004">
      <c r="A47" s="7217"/>
      <c r="B47" s="7215"/>
      <c r="C47" s="201" t="s">
        <v>423</v>
      </c>
      <c r="D47" s="297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>
        <f>SUM(D47:O47)</f>
        <v>0</v>
      </c>
      <c r="Q47" s="299">
        <f t="shared" si="20"/>
        <v>0</v>
      </c>
      <c r="R47" s="374"/>
      <c r="S47" s="297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>
        <f t="shared" si="21"/>
        <v>0</v>
      </c>
      <c r="AF47" s="299">
        <f t="shared" si="22"/>
        <v>0</v>
      </c>
      <c r="AG47" s="374"/>
      <c r="AH47" s="297">
        <v>6084</v>
      </c>
      <c r="AI47" s="298">
        <v>4984</v>
      </c>
      <c r="AJ47" s="298">
        <v>5401</v>
      </c>
      <c r="AK47" s="298">
        <v>5190</v>
      </c>
      <c r="AL47" s="298">
        <v>5327</v>
      </c>
      <c r="AM47" s="298">
        <v>5114</v>
      </c>
      <c r="AN47" s="298">
        <v>5801</v>
      </c>
      <c r="AO47" s="298">
        <v>4338</v>
      </c>
      <c r="AP47" s="298">
        <v>5523</v>
      </c>
      <c r="AQ47" s="298">
        <v>5351</v>
      </c>
      <c r="AR47" s="298">
        <v>5761</v>
      </c>
      <c r="AS47" s="298">
        <v>4808</v>
      </c>
      <c r="AT47" s="298">
        <f>SUM(AH47:AS47)</f>
        <v>63682</v>
      </c>
      <c r="AU47" s="299">
        <f t="shared" si="11"/>
        <v>5306.833333333333</v>
      </c>
      <c r="AV47" s="374"/>
      <c r="AW47" s="2017">
        <v>4755</v>
      </c>
      <c r="AX47" s="298">
        <v>6481</v>
      </c>
      <c r="AY47" s="298">
        <v>5055</v>
      </c>
      <c r="AZ47" s="298">
        <v>6165</v>
      </c>
      <c r="BA47" s="298">
        <v>8459</v>
      </c>
      <c r="BB47" s="298">
        <v>6828</v>
      </c>
      <c r="BC47" s="298">
        <v>8262</v>
      </c>
      <c r="BD47" s="298">
        <v>5649</v>
      </c>
      <c r="BE47" s="298">
        <v>6527</v>
      </c>
      <c r="BF47" s="298">
        <v>5870</v>
      </c>
      <c r="BG47" s="298">
        <v>5148</v>
      </c>
      <c r="BH47" s="298">
        <v>5101</v>
      </c>
      <c r="BI47" s="298">
        <f>SUM(AW47:BH47)</f>
        <v>74300</v>
      </c>
      <c r="BJ47" s="299">
        <f t="shared" si="23"/>
        <v>6191.1507374385474</v>
      </c>
      <c r="BL47" s="317">
        <f>ROW()</f>
        <v>47</v>
      </c>
      <c r="BM47" s="317">
        <f t="shared" si="30"/>
        <v>293</v>
      </c>
      <c r="BN47" s="317">
        <f t="shared" si="12"/>
        <v>884.31740410521434</v>
      </c>
      <c r="BO47" s="317">
        <f t="shared" si="31"/>
        <v>10618</v>
      </c>
      <c r="BP47" s="594">
        <f t="shared" si="32"/>
        <v>-47</v>
      </c>
    </row>
    <row r="48" spans="1:68" ht="17.05" customHeight="1" x14ac:dyDescent="0.55000000000000004">
      <c r="A48" s="7217"/>
      <c r="B48" s="7207" t="s">
        <v>433</v>
      </c>
      <c r="C48" s="203" t="s">
        <v>242</v>
      </c>
      <c r="D48" s="303"/>
      <c r="E48" s="304"/>
      <c r="F48" s="304"/>
      <c r="G48" s="304"/>
      <c r="H48" s="304"/>
      <c r="I48" s="304"/>
      <c r="J48" s="304"/>
      <c r="K48" s="304"/>
      <c r="L48" s="304"/>
      <c r="M48" s="304"/>
      <c r="N48" s="304"/>
      <c r="O48" s="304"/>
      <c r="P48" s="304">
        <f t="shared" ref="P48:P55" si="33">SUM(D48:O48)</f>
        <v>0</v>
      </c>
      <c r="Q48" s="305">
        <f t="shared" si="20"/>
        <v>0</v>
      </c>
      <c r="R48" s="374"/>
      <c r="S48" s="303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>
        <f t="shared" si="21"/>
        <v>0</v>
      </c>
      <c r="AF48" s="305">
        <f t="shared" si="22"/>
        <v>0</v>
      </c>
      <c r="AG48" s="374"/>
      <c r="AH48" s="303">
        <v>2997</v>
      </c>
      <c r="AI48" s="304">
        <v>2175</v>
      </c>
      <c r="AJ48" s="304">
        <v>2705</v>
      </c>
      <c r="AK48" s="304">
        <v>2592</v>
      </c>
      <c r="AL48" s="304">
        <v>3051</v>
      </c>
      <c r="AM48" s="304">
        <v>2683</v>
      </c>
      <c r="AN48" s="304">
        <v>3332</v>
      </c>
      <c r="AO48" s="304">
        <v>2856</v>
      </c>
      <c r="AP48" s="304">
        <v>2847</v>
      </c>
      <c r="AQ48" s="304">
        <v>2939</v>
      </c>
      <c r="AR48" s="304">
        <v>2806</v>
      </c>
      <c r="AS48" s="304">
        <v>2166</v>
      </c>
      <c r="AT48" s="304">
        <f t="shared" ref="AT48:AT55" si="34">SUM(AH48:AS48)</f>
        <v>33149</v>
      </c>
      <c r="AU48" s="305">
        <f t="shared" si="11"/>
        <v>2762.4166666666665</v>
      </c>
      <c r="AV48" s="374"/>
      <c r="AW48" s="2022">
        <v>2099</v>
      </c>
      <c r="AX48" s="304">
        <v>3289</v>
      </c>
      <c r="AY48" s="304">
        <v>2330</v>
      </c>
      <c r="AZ48" s="304">
        <v>2883</v>
      </c>
      <c r="BA48" s="304">
        <v>4678</v>
      </c>
      <c r="BB48" s="304">
        <v>3094</v>
      </c>
      <c r="BC48" s="304">
        <v>5455</v>
      </c>
      <c r="BD48" s="304">
        <v>4090.0000000000005</v>
      </c>
      <c r="BE48" s="304">
        <v>4687</v>
      </c>
      <c r="BF48" s="304">
        <v>4302</v>
      </c>
      <c r="BG48" s="304">
        <v>4046</v>
      </c>
      <c r="BH48" s="304">
        <v>4508</v>
      </c>
      <c r="BI48" s="304">
        <f t="shared" ref="BI48:BI55" si="35">SUM(AW48:BH48)</f>
        <v>45461</v>
      </c>
      <c r="BJ48" s="305">
        <f t="shared" si="23"/>
        <v>3788.100991584035</v>
      </c>
      <c r="BL48" s="317">
        <f>ROW()</f>
        <v>48</v>
      </c>
      <c r="BM48" s="317">
        <f t="shared" si="30"/>
        <v>2342</v>
      </c>
      <c r="BN48" s="317">
        <f t="shared" si="12"/>
        <v>1025.6843249173685</v>
      </c>
      <c r="BO48" s="317">
        <f t="shared" si="31"/>
        <v>12312</v>
      </c>
      <c r="BP48" s="594">
        <f t="shared" si="32"/>
        <v>462</v>
      </c>
    </row>
    <row r="49" spans="1:72" ht="17.05" customHeight="1" x14ac:dyDescent="0.55000000000000004">
      <c r="A49" s="7217"/>
      <c r="B49" s="7208"/>
      <c r="C49" s="203" t="s">
        <v>243</v>
      </c>
      <c r="D49" s="303"/>
      <c r="E49" s="304"/>
      <c r="F49" s="304"/>
      <c r="G49" s="304"/>
      <c r="H49" s="304"/>
      <c r="I49" s="304"/>
      <c r="J49" s="304"/>
      <c r="K49" s="304"/>
      <c r="L49" s="304"/>
      <c r="M49" s="304"/>
      <c r="N49" s="304"/>
      <c r="O49" s="304"/>
      <c r="P49" s="304">
        <f t="shared" si="33"/>
        <v>0</v>
      </c>
      <c r="Q49" s="305">
        <f t="shared" si="20"/>
        <v>0</v>
      </c>
      <c r="R49" s="374"/>
      <c r="S49" s="303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>
        <f t="shared" si="21"/>
        <v>0</v>
      </c>
      <c r="AF49" s="305">
        <f t="shared" si="22"/>
        <v>0</v>
      </c>
      <c r="AG49" s="374"/>
      <c r="AH49" s="303">
        <v>1379</v>
      </c>
      <c r="AI49" s="304">
        <v>1045</v>
      </c>
      <c r="AJ49" s="304">
        <v>1060</v>
      </c>
      <c r="AK49" s="304">
        <v>1194</v>
      </c>
      <c r="AL49" s="304">
        <v>1278</v>
      </c>
      <c r="AM49" s="304">
        <v>1135</v>
      </c>
      <c r="AN49" s="304">
        <v>1534</v>
      </c>
      <c r="AO49" s="304">
        <v>1235</v>
      </c>
      <c r="AP49" s="304">
        <v>1211</v>
      </c>
      <c r="AQ49" s="304">
        <v>1117</v>
      </c>
      <c r="AR49" s="304">
        <v>1080</v>
      </c>
      <c r="AS49" s="304">
        <v>933.99999999999989</v>
      </c>
      <c r="AT49" s="304">
        <f t="shared" si="34"/>
        <v>14202</v>
      </c>
      <c r="AU49" s="305">
        <f t="shared" si="11"/>
        <v>1183.5</v>
      </c>
      <c r="AV49" s="374"/>
      <c r="AW49" s="2022">
        <v>818</v>
      </c>
      <c r="AX49" s="304">
        <v>1395</v>
      </c>
      <c r="AY49" s="304">
        <v>1065</v>
      </c>
      <c r="AZ49" s="304">
        <v>1237</v>
      </c>
      <c r="BA49" s="304">
        <v>2135</v>
      </c>
      <c r="BB49" s="304">
        <v>1430</v>
      </c>
      <c r="BC49" s="2363"/>
      <c r="BD49" s="2363"/>
      <c r="BE49" s="2363"/>
      <c r="BF49" s="2363"/>
      <c r="BG49" s="2363"/>
      <c r="BH49" s="2363"/>
      <c r="BI49" s="304">
        <f t="shared" si="35"/>
        <v>8080</v>
      </c>
      <c r="BJ49" s="305">
        <f t="shared" si="23"/>
        <v>673.27722689775851</v>
      </c>
      <c r="BL49" s="317">
        <f>ROW()</f>
        <v>49</v>
      </c>
      <c r="BM49" s="317">
        <f t="shared" si="30"/>
        <v>-933.99999999999989</v>
      </c>
      <c r="BN49" s="317">
        <f t="shared" si="12"/>
        <v>-510.22277310224149</v>
      </c>
      <c r="BO49" s="317">
        <f t="shared" si="31"/>
        <v>-6122</v>
      </c>
      <c r="BP49" s="594">
        <f t="shared" si="32"/>
        <v>0</v>
      </c>
    </row>
    <row r="50" spans="1:72" s="190" customFormat="1" ht="17.05" customHeight="1" x14ac:dyDescent="0.55000000000000004">
      <c r="A50" s="7217"/>
      <c r="B50" s="7208"/>
      <c r="C50" s="211" t="s">
        <v>244</v>
      </c>
      <c r="D50" s="309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>
        <f t="shared" si="33"/>
        <v>0</v>
      </c>
      <c r="Q50" s="311">
        <f t="shared" si="20"/>
        <v>0</v>
      </c>
      <c r="R50" s="374"/>
      <c r="S50" s="309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>
        <f t="shared" si="21"/>
        <v>0</v>
      </c>
      <c r="AF50" s="311">
        <f t="shared" si="22"/>
        <v>0</v>
      </c>
      <c r="AG50" s="374"/>
      <c r="AH50" s="309">
        <v>2791</v>
      </c>
      <c r="AI50" s="310">
        <v>2221</v>
      </c>
      <c r="AJ50" s="310">
        <v>2615</v>
      </c>
      <c r="AK50" s="310">
        <v>2592</v>
      </c>
      <c r="AL50" s="310">
        <v>2950</v>
      </c>
      <c r="AM50" s="310">
        <v>2713</v>
      </c>
      <c r="AN50" s="310">
        <v>3316</v>
      </c>
      <c r="AO50" s="310">
        <v>2871</v>
      </c>
      <c r="AP50" s="310">
        <v>3097.9999999999995</v>
      </c>
      <c r="AQ50" s="310">
        <v>2899</v>
      </c>
      <c r="AR50" s="310">
        <v>2690</v>
      </c>
      <c r="AS50" s="310">
        <v>2306</v>
      </c>
      <c r="AT50" s="310">
        <f t="shared" si="34"/>
        <v>33062</v>
      </c>
      <c r="AU50" s="311">
        <f t="shared" si="11"/>
        <v>2755.1666666666665</v>
      </c>
      <c r="AV50" s="374"/>
      <c r="AW50" s="2021">
        <v>1978</v>
      </c>
      <c r="AX50" s="310">
        <v>3382</v>
      </c>
      <c r="AY50" s="310">
        <v>2285</v>
      </c>
      <c r="AZ50" s="310">
        <v>2628</v>
      </c>
      <c r="BA50" s="310">
        <v>4532</v>
      </c>
      <c r="BB50" s="310">
        <v>3187</v>
      </c>
      <c r="BC50" s="310">
        <v>3574.0000000000005</v>
      </c>
      <c r="BD50" s="310">
        <v>3161</v>
      </c>
      <c r="BE50" s="310">
        <v>3453.0000000000005</v>
      </c>
      <c r="BF50" s="310">
        <v>3550</v>
      </c>
      <c r="BG50" s="310">
        <v>3406</v>
      </c>
      <c r="BH50" s="310">
        <v>3109</v>
      </c>
      <c r="BI50" s="310">
        <f t="shared" si="35"/>
        <v>38245</v>
      </c>
      <c r="BJ50" s="311">
        <f t="shared" si="23"/>
        <v>3186.8177651862347</v>
      </c>
      <c r="BL50" s="317">
        <f>ROW()</f>
        <v>50</v>
      </c>
      <c r="BM50" s="317">
        <f t="shared" si="30"/>
        <v>803</v>
      </c>
      <c r="BN50" s="317">
        <f t="shared" si="12"/>
        <v>431.65109851956822</v>
      </c>
      <c r="BO50" s="317">
        <f t="shared" si="31"/>
        <v>5183</v>
      </c>
      <c r="BP50" s="594">
        <f t="shared" si="32"/>
        <v>-297</v>
      </c>
      <c r="BQ50"/>
      <c r="BR50"/>
      <c r="BS50"/>
      <c r="BT50"/>
    </row>
    <row r="51" spans="1:72" s="190" customFormat="1" ht="17.05" customHeight="1" x14ac:dyDescent="0.55000000000000004">
      <c r="A51" s="7217"/>
      <c r="B51" s="7208"/>
      <c r="C51" s="203" t="s">
        <v>245</v>
      </c>
      <c r="D51" s="303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>
        <f t="shared" si="33"/>
        <v>0</v>
      </c>
      <c r="Q51" s="305">
        <f t="shared" si="20"/>
        <v>0</v>
      </c>
      <c r="R51" s="374"/>
      <c r="S51" s="303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>
        <f t="shared" si="21"/>
        <v>0</v>
      </c>
      <c r="AF51" s="305">
        <f t="shared" si="22"/>
        <v>0</v>
      </c>
      <c r="AG51" s="374"/>
      <c r="AH51" s="303">
        <v>2562</v>
      </c>
      <c r="AI51" s="304">
        <v>2283</v>
      </c>
      <c r="AJ51" s="304">
        <v>2465</v>
      </c>
      <c r="AK51" s="304">
        <v>2520</v>
      </c>
      <c r="AL51" s="304">
        <v>3114</v>
      </c>
      <c r="AM51" s="304">
        <v>3034</v>
      </c>
      <c r="AN51" s="304">
        <v>3540</v>
      </c>
      <c r="AO51" s="304">
        <v>2794</v>
      </c>
      <c r="AP51" s="304">
        <v>2818</v>
      </c>
      <c r="AQ51" s="304">
        <v>2990</v>
      </c>
      <c r="AR51" s="304">
        <v>2623</v>
      </c>
      <c r="AS51" s="304">
        <v>2158</v>
      </c>
      <c r="AT51" s="304">
        <f t="shared" si="34"/>
        <v>32901</v>
      </c>
      <c r="AU51" s="305">
        <f t="shared" si="11"/>
        <v>2741.75</v>
      </c>
      <c r="AV51" s="374"/>
      <c r="AW51" s="2022">
        <v>2136</v>
      </c>
      <c r="AX51" s="304">
        <v>3316</v>
      </c>
      <c r="AY51" s="304">
        <v>2740</v>
      </c>
      <c r="AZ51" s="304">
        <v>3072</v>
      </c>
      <c r="BA51" s="304">
        <v>4850</v>
      </c>
      <c r="BB51" s="304">
        <v>3477.0000000000005</v>
      </c>
      <c r="BC51" s="304">
        <v>4177</v>
      </c>
      <c r="BD51" s="304">
        <v>3314</v>
      </c>
      <c r="BE51" s="304">
        <v>3615.9999999999995</v>
      </c>
      <c r="BF51" s="304">
        <v>3733</v>
      </c>
      <c r="BG51" s="304">
        <v>2918</v>
      </c>
      <c r="BH51" s="304">
        <v>3529</v>
      </c>
      <c r="BI51" s="304">
        <f t="shared" si="35"/>
        <v>40878</v>
      </c>
      <c r="BJ51" s="305">
        <f t="shared" si="23"/>
        <v>3406.2161486542791</v>
      </c>
      <c r="BL51" s="317">
        <f>ROW()</f>
        <v>51</v>
      </c>
      <c r="BM51" s="317">
        <f t="shared" si="30"/>
        <v>1371</v>
      </c>
      <c r="BN51" s="317">
        <f t="shared" si="12"/>
        <v>664.4661486542791</v>
      </c>
      <c r="BO51" s="317">
        <f t="shared" si="31"/>
        <v>7977</v>
      </c>
      <c r="BP51" s="594">
        <f t="shared" si="32"/>
        <v>611</v>
      </c>
      <c r="BQ51"/>
      <c r="BR51"/>
      <c r="BS51"/>
      <c r="BT51"/>
    </row>
    <row r="52" spans="1:72" s="190" customFormat="1" ht="17.05" customHeight="1" x14ac:dyDescent="0.55000000000000004">
      <c r="A52" s="7217"/>
      <c r="B52" s="7208"/>
      <c r="C52" s="211" t="s">
        <v>246</v>
      </c>
      <c r="D52" s="309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>
        <f t="shared" si="33"/>
        <v>0</v>
      </c>
      <c r="Q52" s="311">
        <f t="shared" si="20"/>
        <v>0</v>
      </c>
      <c r="R52" s="374"/>
      <c r="S52" s="309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>
        <f t="shared" si="21"/>
        <v>0</v>
      </c>
      <c r="AF52" s="311">
        <f t="shared" si="22"/>
        <v>0</v>
      </c>
      <c r="AG52" s="374"/>
      <c r="AH52" s="309">
        <v>3509</v>
      </c>
      <c r="AI52" s="310">
        <v>2810</v>
      </c>
      <c r="AJ52" s="310">
        <v>2926</v>
      </c>
      <c r="AK52" s="310">
        <v>3114</v>
      </c>
      <c r="AL52" s="310">
        <v>3059</v>
      </c>
      <c r="AM52" s="310">
        <v>2808</v>
      </c>
      <c r="AN52" s="310">
        <v>3257</v>
      </c>
      <c r="AO52" s="310">
        <v>2699</v>
      </c>
      <c r="AP52" s="310">
        <v>3541</v>
      </c>
      <c r="AQ52" s="310">
        <v>3477</v>
      </c>
      <c r="AR52" s="310">
        <v>4068</v>
      </c>
      <c r="AS52" s="310">
        <v>3563.9999999999995</v>
      </c>
      <c r="AT52" s="310">
        <f t="shared" si="34"/>
        <v>38832</v>
      </c>
      <c r="AU52" s="311">
        <f t="shared" si="11"/>
        <v>3236</v>
      </c>
      <c r="AV52" s="374"/>
      <c r="AW52" s="2021">
        <v>3445.0000000000005</v>
      </c>
      <c r="AX52" s="310">
        <v>5091</v>
      </c>
      <c r="AY52" s="310">
        <v>3742</v>
      </c>
      <c r="AZ52" s="310">
        <v>5422</v>
      </c>
      <c r="BA52" s="310">
        <v>7616.9999999999991</v>
      </c>
      <c r="BB52" s="310">
        <v>6801.0000000000009</v>
      </c>
      <c r="BC52" s="310">
        <v>7570</v>
      </c>
      <c r="BD52" s="310">
        <v>5511</v>
      </c>
      <c r="BE52" s="310">
        <v>5533</v>
      </c>
      <c r="BF52" s="310">
        <v>5680</v>
      </c>
      <c r="BG52" s="310">
        <v>4174</v>
      </c>
      <c r="BH52" s="310">
        <v>4586</v>
      </c>
      <c r="BI52" s="310">
        <f t="shared" si="35"/>
        <v>65172</v>
      </c>
      <c r="BJ52" s="311">
        <f t="shared" si="23"/>
        <v>5430.5474543788023</v>
      </c>
      <c r="BL52" s="317">
        <f>ROW()</f>
        <v>52</v>
      </c>
      <c r="BM52" s="317">
        <f t="shared" si="30"/>
        <v>1022.0000000000005</v>
      </c>
      <c r="BN52" s="317">
        <f t="shared" si="12"/>
        <v>2194.5474543788023</v>
      </c>
      <c r="BO52" s="317">
        <f t="shared" si="31"/>
        <v>26340</v>
      </c>
      <c r="BP52" s="594">
        <f t="shared" si="32"/>
        <v>412</v>
      </c>
      <c r="BQ52"/>
      <c r="BR52"/>
      <c r="BS52"/>
      <c r="BT52"/>
    </row>
    <row r="53" spans="1:72" ht="17.05" customHeight="1" x14ac:dyDescent="0.55000000000000004">
      <c r="A53" s="7217"/>
      <c r="B53" s="7208"/>
      <c r="C53" s="202" t="s">
        <v>247</v>
      </c>
      <c r="D53" s="300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>
        <f t="shared" si="33"/>
        <v>0</v>
      </c>
      <c r="Q53" s="302">
        <f t="shared" si="20"/>
        <v>0</v>
      </c>
      <c r="R53" s="374"/>
      <c r="S53" s="300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>
        <f t="shared" si="21"/>
        <v>0</v>
      </c>
      <c r="AF53" s="302">
        <f t="shared" si="22"/>
        <v>0</v>
      </c>
      <c r="AG53" s="374"/>
      <c r="AH53" s="300">
        <v>2365</v>
      </c>
      <c r="AI53" s="301">
        <v>1918</v>
      </c>
      <c r="AJ53" s="301">
        <v>2167</v>
      </c>
      <c r="AK53" s="301">
        <v>2023</v>
      </c>
      <c r="AL53" s="301">
        <v>2182</v>
      </c>
      <c r="AM53" s="301">
        <v>1923</v>
      </c>
      <c r="AN53" s="301">
        <v>2271</v>
      </c>
      <c r="AO53" s="301">
        <v>1870.9999999999998</v>
      </c>
      <c r="AP53" s="301">
        <v>2106</v>
      </c>
      <c r="AQ53" s="301">
        <v>1940</v>
      </c>
      <c r="AR53" s="301">
        <v>2036</v>
      </c>
      <c r="AS53" s="301">
        <v>1853</v>
      </c>
      <c r="AT53" s="301">
        <f t="shared" si="34"/>
        <v>24655</v>
      </c>
      <c r="AU53" s="302">
        <f t="shared" si="11"/>
        <v>2054.5833333333335</v>
      </c>
      <c r="AV53" s="374"/>
      <c r="AW53" s="2021">
        <v>2007.9999999999998</v>
      </c>
      <c r="AX53" s="301">
        <v>3030</v>
      </c>
      <c r="AY53" s="301">
        <v>2081</v>
      </c>
      <c r="AZ53" s="301">
        <v>2873</v>
      </c>
      <c r="BA53" s="301">
        <v>4186</v>
      </c>
      <c r="BB53" s="301">
        <v>3539</v>
      </c>
      <c r="BC53" s="301">
        <v>3793.9999999999995</v>
      </c>
      <c r="BD53" s="301">
        <v>3058</v>
      </c>
      <c r="BE53" s="301">
        <v>3342</v>
      </c>
      <c r="BF53" s="301">
        <v>3719</v>
      </c>
      <c r="BG53" s="301">
        <v>2900</v>
      </c>
      <c r="BH53" s="301">
        <v>3307</v>
      </c>
      <c r="BI53" s="301">
        <f t="shared" si="35"/>
        <v>37837</v>
      </c>
      <c r="BJ53" s="302">
        <f t="shared" si="23"/>
        <v>3152.8205982834766</v>
      </c>
      <c r="BL53" s="317">
        <f>ROW()</f>
        <v>53</v>
      </c>
      <c r="BM53" s="317">
        <f t="shared" si="30"/>
        <v>1454</v>
      </c>
      <c r="BN53" s="317">
        <f t="shared" si="12"/>
        <v>1098.2372649501431</v>
      </c>
      <c r="BO53" s="317">
        <f t="shared" si="31"/>
        <v>13182</v>
      </c>
      <c r="BP53" s="594">
        <f t="shared" si="32"/>
        <v>407</v>
      </c>
    </row>
    <row r="54" spans="1:72" ht="17.05" customHeight="1" x14ac:dyDescent="0.55000000000000004">
      <c r="A54" s="7217"/>
      <c r="B54" s="7208"/>
      <c r="C54" s="203" t="s">
        <v>235</v>
      </c>
      <c r="D54" s="303"/>
      <c r="E54" s="304"/>
      <c r="F54" s="304"/>
      <c r="G54" s="304"/>
      <c r="H54" s="304"/>
      <c r="I54" s="304"/>
      <c r="J54" s="304"/>
      <c r="K54" s="304"/>
      <c r="L54" s="304"/>
      <c r="M54" s="304"/>
      <c r="N54" s="304"/>
      <c r="O54" s="304"/>
      <c r="P54" s="304">
        <f t="shared" si="33"/>
        <v>0</v>
      </c>
      <c r="Q54" s="305">
        <f t="shared" si="20"/>
        <v>0</v>
      </c>
      <c r="R54" s="374"/>
      <c r="S54" s="303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>
        <f t="shared" si="21"/>
        <v>0</v>
      </c>
      <c r="AF54" s="305">
        <f t="shared" si="22"/>
        <v>0</v>
      </c>
      <c r="AG54" s="374"/>
      <c r="AH54" s="303">
        <v>3679</v>
      </c>
      <c r="AI54" s="304">
        <v>2890</v>
      </c>
      <c r="AJ54" s="304">
        <v>3189</v>
      </c>
      <c r="AK54" s="304">
        <v>3256</v>
      </c>
      <c r="AL54" s="304">
        <v>3385</v>
      </c>
      <c r="AM54" s="304">
        <v>2964</v>
      </c>
      <c r="AN54" s="304">
        <v>3472.9999999999995</v>
      </c>
      <c r="AO54" s="304">
        <v>2453</v>
      </c>
      <c r="AP54" s="304">
        <v>3429</v>
      </c>
      <c r="AQ54" s="304">
        <v>3276</v>
      </c>
      <c r="AR54" s="304">
        <v>3422</v>
      </c>
      <c r="AS54" s="304">
        <v>2870</v>
      </c>
      <c r="AT54" s="304">
        <f t="shared" si="34"/>
        <v>38286</v>
      </c>
      <c r="AU54" s="305">
        <f t="shared" si="11"/>
        <v>3190.5</v>
      </c>
      <c r="AV54" s="374"/>
      <c r="AW54" s="2022">
        <v>2805</v>
      </c>
      <c r="AX54" s="304">
        <v>3873</v>
      </c>
      <c r="AY54" s="304">
        <v>3142</v>
      </c>
      <c r="AZ54" s="304">
        <v>3744</v>
      </c>
      <c r="BA54" s="304">
        <v>5440</v>
      </c>
      <c r="BB54" s="304">
        <v>4495</v>
      </c>
      <c r="BC54" s="304">
        <v>5186</v>
      </c>
      <c r="BD54" s="304">
        <v>3426</v>
      </c>
      <c r="BE54" s="304">
        <v>3922</v>
      </c>
      <c r="BF54" s="304">
        <v>3576</v>
      </c>
      <c r="BG54" s="304">
        <v>3144</v>
      </c>
      <c r="BH54" s="304">
        <v>3198</v>
      </c>
      <c r="BI54" s="304">
        <f t="shared" si="35"/>
        <v>45951</v>
      </c>
      <c r="BJ54" s="305">
        <f t="shared" si="23"/>
        <v>3828.9309224231315</v>
      </c>
      <c r="BL54" s="317">
        <f>ROW()</f>
        <v>54</v>
      </c>
      <c r="BM54" s="317">
        <f t="shared" si="30"/>
        <v>328</v>
      </c>
      <c r="BN54" s="317">
        <f t="shared" si="12"/>
        <v>638.43092242313151</v>
      </c>
      <c r="BO54" s="317">
        <f t="shared" si="31"/>
        <v>7665</v>
      </c>
      <c r="BP54" s="594">
        <f t="shared" si="32"/>
        <v>54</v>
      </c>
    </row>
    <row r="55" spans="1:72" ht="17.5" customHeight="1" thickBot="1" x14ac:dyDescent="0.6">
      <c r="A55" s="7218"/>
      <c r="B55" s="7209"/>
      <c r="C55" s="212" t="s">
        <v>236</v>
      </c>
      <c r="D55" s="312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>
        <f t="shared" si="33"/>
        <v>0</v>
      </c>
      <c r="Q55" s="314">
        <f t="shared" si="20"/>
        <v>0</v>
      </c>
      <c r="R55" s="374"/>
      <c r="S55" s="312"/>
      <c r="T55" s="313"/>
      <c r="U55" s="313"/>
      <c r="V55" s="313"/>
      <c r="W55" s="313"/>
      <c r="X55" s="313"/>
      <c r="Y55" s="313"/>
      <c r="Z55" s="313"/>
      <c r="AA55" s="313"/>
      <c r="AB55" s="313"/>
      <c r="AC55" s="313"/>
      <c r="AD55" s="313"/>
      <c r="AE55" s="313">
        <f t="shared" si="21"/>
        <v>0</v>
      </c>
      <c r="AF55" s="314">
        <f t="shared" si="22"/>
        <v>0</v>
      </c>
      <c r="AG55" s="374"/>
      <c r="AH55" s="312">
        <v>2405</v>
      </c>
      <c r="AI55" s="313">
        <v>2094</v>
      </c>
      <c r="AJ55" s="313">
        <v>2212</v>
      </c>
      <c r="AK55" s="313">
        <v>1934</v>
      </c>
      <c r="AL55" s="313">
        <v>1942</v>
      </c>
      <c r="AM55" s="313">
        <v>2150</v>
      </c>
      <c r="AN55" s="313">
        <v>2328</v>
      </c>
      <c r="AO55" s="313">
        <v>1884.9999999999998</v>
      </c>
      <c r="AP55" s="313">
        <v>2094</v>
      </c>
      <c r="AQ55" s="313">
        <v>2075</v>
      </c>
      <c r="AR55" s="313">
        <v>2339</v>
      </c>
      <c r="AS55" s="313">
        <v>1937.9999999999998</v>
      </c>
      <c r="AT55" s="313">
        <f t="shared" si="34"/>
        <v>25396</v>
      </c>
      <c r="AU55" s="314">
        <f t="shared" si="11"/>
        <v>2116.3333333333335</v>
      </c>
      <c r="AV55" s="374"/>
      <c r="AW55" s="2024">
        <v>1950</v>
      </c>
      <c r="AX55" s="313">
        <v>2608</v>
      </c>
      <c r="AY55" s="313">
        <v>1913</v>
      </c>
      <c r="AZ55" s="313">
        <v>2421</v>
      </c>
      <c r="BA55" s="313">
        <v>3019</v>
      </c>
      <c r="BB55" s="313">
        <v>2333</v>
      </c>
      <c r="BC55" s="313">
        <v>3076</v>
      </c>
      <c r="BD55" s="313">
        <v>2223</v>
      </c>
      <c r="BE55" s="313">
        <v>2605</v>
      </c>
      <c r="BF55" s="313">
        <v>2294</v>
      </c>
      <c r="BG55" s="313">
        <v>2004</v>
      </c>
      <c r="BH55" s="313">
        <v>1903</v>
      </c>
      <c r="BI55" s="313">
        <f t="shared" si="35"/>
        <v>28349</v>
      </c>
      <c r="BJ55" s="314">
        <f t="shared" si="23"/>
        <v>2362.2198150154154</v>
      </c>
      <c r="BL55" s="317">
        <f>ROW()</f>
        <v>55</v>
      </c>
      <c r="BM55" s="317">
        <f t="shared" si="30"/>
        <v>-34.999999999999773</v>
      </c>
      <c r="BN55" s="317">
        <f t="shared" si="12"/>
        <v>245.88648168208192</v>
      </c>
      <c r="BO55" s="317">
        <f t="shared" si="31"/>
        <v>2953</v>
      </c>
      <c r="BP55" s="594">
        <f t="shared" si="32"/>
        <v>-101</v>
      </c>
    </row>
    <row r="56" spans="1:72" ht="17.399999999999999" customHeight="1" x14ac:dyDescent="0.55000000000000004">
      <c r="A56" s="7221" t="s">
        <v>62</v>
      </c>
      <c r="B56" s="41" t="s">
        <v>418</v>
      </c>
      <c r="C56" s="206"/>
      <c r="D56" s="270">
        <f t="shared" ref="D56:O56" si="36">SUM(D57:D62)</f>
        <v>47530</v>
      </c>
      <c r="E56" s="271">
        <f t="shared" si="36"/>
        <v>56599</v>
      </c>
      <c r="F56" s="271">
        <f t="shared" si="36"/>
        <v>50765</v>
      </c>
      <c r="G56" s="271">
        <f t="shared" si="36"/>
        <v>51500</v>
      </c>
      <c r="H56" s="271">
        <f t="shared" si="36"/>
        <v>53202</v>
      </c>
      <c r="I56" s="271">
        <f t="shared" si="36"/>
        <v>51910</v>
      </c>
      <c r="J56" s="271">
        <f t="shared" si="36"/>
        <v>45735</v>
      </c>
      <c r="K56" s="271">
        <f t="shared" si="36"/>
        <v>59908</v>
      </c>
      <c r="L56" s="271">
        <f t="shared" si="36"/>
        <v>42617</v>
      </c>
      <c r="M56" s="271">
        <f t="shared" si="36"/>
        <v>65886</v>
      </c>
      <c r="N56" s="271">
        <f t="shared" si="36"/>
        <v>42350</v>
      </c>
      <c r="O56" s="271">
        <f t="shared" si="36"/>
        <v>34701</v>
      </c>
      <c r="P56" s="271">
        <f>SUM(D56:O56)</f>
        <v>602703</v>
      </c>
      <c r="Q56" s="272">
        <f>P56/12</f>
        <v>50225.25</v>
      </c>
      <c r="R56" s="374"/>
      <c r="S56" s="270">
        <f>S57+S62</f>
        <v>39472</v>
      </c>
      <c r="T56" s="271">
        <f t="shared" ref="T56:AD56" si="37">T57+T62</f>
        <v>52312</v>
      </c>
      <c r="U56" s="271">
        <f t="shared" si="37"/>
        <v>40877</v>
      </c>
      <c r="V56" s="271">
        <f t="shared" si="37"/>
        <v>38704</v>
      </c>
      <c r="W56" s="271">
        <f t="shared" si="37"/>
        <v>43205</v>
      </c>
      <c r="X56" s="271">
        <f t="shared" si="37"/>
        <v>40045</v>
      </c>
      <c r="Y56" s="271">
        <f t="shared" si="37"/>
        <v>39620</v>
      </c>
      <c r="Z56" s="271">
        <f t="shared" si="37"/>
        <v>57674</v>
      </c>
      <c r="AA56" s="271">
        <f t="shared" si="37"/>
        <v>35933</v>
      </c>
      <c r="AB56" s="271">
        <f t="shared" si="37"/>
        <v>66601</v>
      </c>
      <c r="AC56" s="271">
        <f t="shared" si="37"/>
        <v>37572</v>
      </c>
      <c r="AD56" s="271">
        <f t="shared" si="37"/>
        <v>30999</v>
      </c>
      <c r="AE56" s="271">
        <f>SUM(S56:AD56)</f>
        <v>523014</v>
      </c>
      <c r="AF56" s="272">
        <f>AE56/12</f>
        <v>43584.5</v>
      </c>
      <c r="AG56" s="374"/>
      <c r="AH56" s="270">
        <v>54380</v>
      </c>
      <c r="AI56" s="271">
        <v>38344</v>
      </c>
      <c r="AJ56" s="271">
        <v>39337</v>
      </c>
      <c r="AK56" s="271">
        <v>42410</v>
      </c>
      <c r="AL56" s="271">
        <v>43143</v>
      </c>
      <c r="AM56" s="271">
        <v>38323</v>
      </c>
      <c r="AN56" s="271">
        <v>55181</v>
      </c>
      <c r="AO56" s="271">
        <v>41157</v>
      </c>
      <c r="AP56" s="271">
        <v>62578.999999999993</v>
      </c>
      <c r="AQ56" s="271">
        <v>55555</v>
      </c>
      <c r="AR56" s="271">
        <v>43193</v>
      </c>
      <c r="AS56" s="271">
        <v>35792</v>
      </c>
      <c r="AT56" s="271">
        <f>SUM(AH56:AS56)</f>
        <v>549394</v>
      </c>
      <c r="AU56" s="272">
        <f t="shared" si="11"/>
        <v>45782.833333333336</v>
      </c>
      <c r="AV56" s="374"/>
      <c r="AW56" s="2010">
        <v>33725</v>
      </c>
      <c r="AX56" s="271">
        <v>67573</v>
      </c>
      <c r="AY56" s="271">
        <v>43042</v>
      </c>
      <c r="AZ56" s="271">
        <v>46782</v>
      </c>
      <c r="BA56" s="271">
        <v>63245</v>
      </c>
      <c r="BB56" s="271">
        <v>51216.999999999993</v>
      </c>
      <c r="BC56" s="271">
        <v>68808</v>
      </c>
      <c r="BD56" s="271">
        <v>49766</v>
      </c>
      <c r="BE56" s="271">
        <v>69431</v>
      </c>
      <c r="BF56" s="271">
        <v>56294.000000000007</v>
      </c>
      <c r="BG56" s="271">
        <v>46695</v>
      </c>
      <c r="BH56" s="271">
        <v>46355</v>
      </c>
      <c r="BI56" s="271">
        <f>SUM(AW56:BH56)</f>
        <v>642933</v>
      </c>
      <c r="BJ56" s="272">
        <f>BI56/$A$2</f>
        <v>53573.285559536707</v>
      </c>
      <c r="BL56" s="317">
        <f>ROW()</f>
        <v>56</v>
      </c>
      <c r="BM56" s="317">
        <f t="shared" si="30"/>
        <v>10563</v>
      </c>
      <c r="BN56" s="317">
        <f t="shared" si="12"/>
        <v>7790.4522262033715</v>
      </c>
      <c r="BO56" s="317">
        <f t="shared" si="31"/>
        <v>93539</v>
      </c>
      <c r="BP56" s="594">
        <f t="shared" si="32"/>
        <v>-340</v>
      </c>
    </row>
    <row r="57" spans="1:72" ht="17.399999999999999" customHeight="1" x14ac:dyDescent="0.55000000000000004">
      <c r="A57" s="7222"/>
      <c r="B57" s="42"/>
      <c r="C57" s="213" t="s">
        <v>47</v>
      </c>
      <c r="D57" s="273">
        <v>15872</v>
      </c>
      <c r="E57" s="274">
        <v>15028</v>
      </c>
      <c r="F57" s="274">
        <v>16129</v>
      </c>
      <c r="G57" s="274">
        <v>13795</v>
      </c>
      <c r="H57" s="274">
        <v>14744</v>
      </c>
      <c r="I57" s="274">
        <v>13162</v>
      </c>
      <c r="J57" s="274">
        <v>11927</v>
      </c>
      <c r="K57" s="274">
        <v>11849</v>
      </c>
      <c r="L57" s="274">
        <v>13625</v>
      </c>
      <c r="M57" s="274">
        <v>16069</v>
      </c>
      <c r="N57" s="274">
        <v>11418</v>
      </c>
      <c r="O57" s="274">
        <v>9626</v>
      </c>
      <c r="P57" s="274">
        <f t="shared" ref="P57:P103" si="38">SUM(D57:O57)</f>
        <v>163244</v>
      </c>
      <c r="Q57" s="275">
        <f t="shared" ref="Q57:Q103" si="39">P57/12</f>
        <v>13603.666666666666</v>
      </c>
      <c r="R57" s="374"/>
      <c r="S57" s="273">
        <v>10729</v>
      </c>
      <c r="T57" s="274">
        <v>11542</v>
      </c>
      <c r="U57" s="274">
        <v>11400</v>
      </c>
      <c r="V57" s="274">
        <v>10347</v>
      </c>
      <c r="W57" s="274">
        <v>13416</v>
      </c>
      <c r="X57" s="274">
        <v>12776</v>
      </c>
      <c r="Y57" s="274">
        <v>13585</v>
      </c>
      <c r="Z57" s="274">
        <v>13319</v>
      </c>
      <c r="AA57" s="274">
        <v>11776</v>
      </c>
      <c r="AB57" s="274">
        <v>13594</v>
      </c>
      <c r="AC57" s="274">
        <v>11211</v>
      </c>
      <c r="AD57" s="274">
        <v>9451</v>
      </c>
      <c r="AE57" s="274">
        <f t="shared" ref="AE57:AE111" si="40">SUM(S57:AD57)</f>
        <v>143146</v>
      </c>
      <c r="AF57" s="275">
        <f t="shared" ref="AF57:AF111" si="41">AE57/12</f>
        <v>11928.833333333334</v>
      </c>
      <c r="AG57" s="374"/>
      <c r="AH57" s="273">
        <v>11852</v>
      </c>
      <c r="AI57" s="274">
        <v>12150</v>
      </c>
      <c r="AJ57" s="274">
        <v>13615</v>
      </c>
      <c r="AK57" s="274">
        <v>14224</v>
      </c>
      <c r="AL57" s="274">
        <v>16942</v>
      </c>
      <c r="AM57" s="274">
        <v>15369</v>
      </c>
      <c r="AN57" s="274">
        <v>15228</v>
      </c>
      <c r="AO57" s="274">
        <v>12997</v>
      </c>
      <c r="AP57" s="274">
        <v>14172</v>
      </c>
      <c r="AQ57" s="274">
        <v>14020</v>
      </c>
      <c r="AR57" s="274">
        <v>14835</v>
      </c>
      <c r="AS57" s="274">
        <v>12593</v>
      </c>
      <c r="AT57" s="274">
        <f t="shared" ref="AT57:AT103" si="42">SUM(AH57:AS57)</f>
        <v>167997</v>
      </c>
      <c r="AU57" s="275">
        <f t="shared" si="11"/>
        <v>13999.75</v>
      </c>
      <c r="AV57" s="374"/>
      <c r="AW57" s="2011">
        <v>12037</v>
      </c>
      <c r="AX57" s="274">
        <v>17634</v>
      </c>
      <c r="AY57" s="274">
        <v>14042</v>
      </c>
      <c r="AZ57" s="274">
        <v>16713</v>
      </c>
      <c r="BA57" s="274">
        <v>32341</v>
      </c>
      <c r="BB57" s="274">
        <v>20917</v>
      </c>
      <c r="BC57" s="274">
        <v>21910</v>
      </c>
      <c r="BD57" s="274">
        <v>13357.000000000002</v>
      </c>
      <c r="BE57" s="274">
        <v>16259</v>
      </c>
      <c r="BF57" s="274">
        <v>13784</v>
      </c>
      <c r="BG57" s="274">
        <v>15575</v>
      </c>
      <c r="BH57" s="274">
        <v>15600.000000000002</v>
      </c>
      <c r="BI57" s="274">
        <f>SUM(AW57:BH57)</f>
        <v>210169</v>
      </c>
      <c r="BJ57" s="275">
        <f>BI57/$A$2</f>
        <v>17512.623948004333</v>
      </c>
      <c r="BL57" s="317">
        <f>ROW()</f>
        <v>57</v>
      </c>
      <c r="BM57" s="317">
        <f t="shared" si="30"/>
        <v>3007.0000000000018</v>
      </c>
      <c r="BN57" s="317">
        <f t="shared" si="12"/>
        <v>3512.8739480043332</v>
      </c>
      <c r="BO57" s="317">
        <f t="shared" si="31"/>
        <v>42172</v>
      </c>
      <c r="BP57" s="594">
        <f t="shared" si="32"/>
        <v>25.000000000001819</v>
      </c>
    </row>
    <row r="58" spans="1:72" ht="17.399999999999999" customHeight="1" x14ac:dyDescent="0.55000000000000004">
      <c r="A58" s="7222"/>
      <c r="B58" s="42"/>
      <c r="C58" s="213" t="s">
        <v>497</v>
      </c>
      <c r="D58" s="273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5"/>
      <c r="R58" s="374"/>
      <c r="S58" s="436">
        <f>S57/S56</f>
        <v>0.27181293068504259</v>
      </c>
      <c r="T58" s="437">
        <f t="shared" ref="T58:AD58" si="43">T57/T56</f>
        <v>0.22063771218840803</v>
      </c>
      <c r="U58" s="437">
        <f t="shared" si="43"/>
        <v>0.27888543679819949</v>
      </c>
      <c r="V58" s="437">
        <f t="shared" si="43"/>
        <v>0.26733670938404297</v>
      </c>
      <c r="W58" s="437">
        <f t="shared" si="43"/>
        <v>0.31051961578521003</v>
      </c>
      <c r="X58" s="437">
        <f t="shared" si="43"/>
        <v>0.31904107878636534</v>
      </c>
      <c r="Y58" s="437">
        <f t="shared" si="43"/>
        <v>0.34288238263503279</v>
      </c>
      <c r="Z58" s="437">
        <f t="shared" si="43"/>
        <v>0.23093595034157505</v>
      </c>
      <c r="AA58" s="437">
        <f t="shared" si="43"/>
        <v>0.32772103637325023</v>
      </c>
      <c r="AB58" s="437">
        <f t="shared" si="43"/>
        <v>0.20411104938364288</v>
      </c>
      <c r="AC58" s="437">
        <f t="shared" si="43"/>
        <v>0.29838709677419356</v>
      </c>
      <c r="AD58" s="437">
        <f t="shared" si="43"/>
        <v>0.30488080260653572</v>
      </c>
      <c r="AE58" s="437">
        <f>AE57/AE56</f>
        <v>0.27369439441391624</v>
      </c>
      <c r="AF58" s="438">
        <f>AF57/AF56</f>
        <v>0.2736943944139163</v>
      </c>
      <c r="AG58" s="439"/>
      <c r="AH58" s="436">
        <v>0.21794777491724898</v>
      </c>
      <c r="AI58" s="437">
        <v>0.3168683496766117</v>
      </c>
      <c r="AJ58" s="437">
        <v>0.34611180313699569</v>
      </c>
      <c r="AK58" s="437">
        <v>0.33539259608582883</v>
      </c>
      <c r="AL58" s="437">
        <v>0.39269406392694062</v>
      </c>
      <c r="AM58" s="437">
        <v>0.40103854082404822</v>
      </c>
      <c r="AN58" s="437">
        <v>0.2759645530164368</v>
      </c>
      <c r="AO58" s="437">
        <v>0.31579075248438904</v>
      </c>
      <c r="AP58" s="437">
        <v>0.22646574729541863</v>
      </c>
      <c r="AQ58" s="437">
        <v>0.25236252362523626</v>
      </c>
      <c r="AR58" s="1422">
        <v>0.3434584307642442</v>
      </c>
      <c r="AS58" s="1422">
        <v>0.35183839964237817</v>
      </c>
      <c r="AT58" s="437">
        <f>AVERAGE(AH58:AS58)</f>
        <v>0.31466112794964807</v>
      </c>
      <c r="AU58" s="438">
        <f t="shared" si="11"/>
        <v>2.6221760662470672E-2</v>
      </c>
      <c r="AV58" s="439"/>
      <c r="AW58" s="2025">
        <v>0.35691623424759084</v>
      </c>
      <c r="AX58" s="437">
        <v>0.26096221863762153</v>
      </c>
      <c r="AY58" s="437">
        <f>AY57/AY56</f>
        <v>0.32623948701268529</v>
      </c>
      <c r="AZ58" s="437">
        <v>0.35725278953443634</v>
      </c>
      <c r="BA58" s="437">
        <v>0.51136058186417899</v>
      </c>
      <c r="BB58" s="437">
        <f>BB57/BB56</f>
        <v>0.40839955483530865</v>
      </c>
      <c r="BC58" s="437">
        <v>0.31842227647947913</v>
      </c>
      <c r="BD58" s="437">
        <v>0.26839609371860312</v>
      </c>
      <c r="BE58" s="437">
        <v>0.23417493626766142</v>
      </c>
      <c r="BF58" s="437">
        <v>0.24485735602373251</v>
      </c>
      <c r="BG58" s="2424">
        <v>0.3335474890245208</v>
      </c>
      <c r="BH58" s="1422">
        <v>0.33653327580627768</v>
      </c>
      <c r="BI58" s="437">
        <f>AVERAGE(AW58:BH58)</f>
        <v>0.32975519112100798</v>
      </c>
      <c r="BJ58" s="438">
        <f>BI58</f>
        <v>0.32975519112100798</v>
      </c>
      <c r="BL58" s="317">
        <f>ROW()</f>
        <v>58</v>
      </c>
      <c r="BM58" s="317">
        <f t="shared" si="30"/>
        <v>-1.5305123836100498E-2</v>
      </c>
      <c r="BN58" s="317">
        <f t="shared" si="12"/>
        <v>0.30353343045853731</v>
      </c>
      <c r="BO58" s="440">
        <f t="shared" si="31"/>
        <v>-3.4461783442747689</v>
      </c>
      <c r="BP58" s="594">
        <f t="shared" si="32"/>
        <v>2.9857867817568717E-3</v>
      </c>
    </row>
    <row r="59" spans="1:72" ht="17.399999999999999" customHeight="1" x14ac:dyDescent="0.55000000000000004">
      <c r="A59" s="7222"/>
      <c r="B59" s="42"/>
      <c r="C59" s="331" t="s">
        <v>480</v>
      </c>
      <c r="D59" s="273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5"/>
      <c r="R59" s="374"/>
      <c r="S59" s="273">
        <v>4080</v>
      </c>
      <c r="T59" s="274">
        <v>4963</v>
      </c>
      <c r="U59" s="274">
        <v>5120</v>
      </c>
      <c r="V59" s="274">
        <v>3363</v>
      </c>
      <c r="W59" s="274">
        <v>4513</v>
      </c>
      <c r="X59" s="274">
        <v>3939</v>
      </c>
      <c r="Y59" s="274">
        <v>2986</v>
      </c>
      <c r="Z59" s="274">
        <v>3240</v>
      </c>
      <c r="AA59" s="274">
        <v>2493</v>
      </c>
      <c r="AB59" s="274">
        <v>2646</v>
      </c>
      <c r="AC59" s="274">
        <v>2401</v>
      </c>
      <c r="AD59" s="274">
        <v>2191</v>
      </c>
      <c r="AE59" s="274">
        <f t="shared" si="40"/>
        <v>41935</v>
      </c>
      <c r="AF59" s="275">
        <f t="shared" si="41"/>
        <v>3494.5833333333335</v>
      </c>
      <c r="AG59" s="374"/>
      <c r="AH59" s="273">
        <v>2464</v>
      </c>
      <c r="AI59" s="274">
        <v>3652</v>
      </c>
      <c r="AJ59" s="274">
        <v>4165</v>
      </c>
      <c r="AK59" s="274">
        <v>3722.9999999999995</v>
      </c>
      <c r="AL59" s="274">
        <v>4539</v>
      </c>
      <c r="AM59" s="274">
        <v>4866</v>
      </c>
      <c r="AN59" s="274">
        <v>4244</v>
      </c>
      <c r="AO59" s="274">
        <v>3743.9999999999995</v>
      </c>
      <c r="AP59" s="274">
        <v>4183</v>
      </c>
      <c r="AQ59" s="274">
        <v>3480</v>
      </c>
      <c r="AR59" s="274">
        <v>3417.0000000000005</v>
      </c>
      <c r="AS59" s="274">
        <v>3375.0000000000005</v>
      </c>
      <c r="AT59" s="274">
        <f>SUM(AH59:AS59)</f>
        <v>45852</v>
      </c>
      <c r="AU59" s="275">
        <f t="shared" si="11"/>
        <v>3821</v>
      </c>
      <c r="AV59" s="374"/>
      <c r="AW59" s="2011">
        <v>3825</v>
      </c>
      <c r="AX59" s="274">
        <v>6061</v>
      </c>
      <c r="AY59" s="274">
        <v>5497</v>
      </c>
      <c r="AZ59" s="274">
        <v>2941</v>
      </c>
      <c r="BA59" s="274">
        <v>3793.9999999999995</v>
      </c>
      <c r="BB59" s="274">
        <v>3140</v>
      </c>
      <c r="BC59" s="274">
        <v>2673</v>
      </c>
      <c r="BD59" s="274">
        <v>2625</v>
      </c>
      <c r="BE59" s="274">
        <v>2837</v>
      </c>
      <c r="BF59" s="274">
        <v>2292</v>
      </c>
      <c r="BG59" s="274">
        <v>2427</v>
      </c>
      <c r="BH59" s="274">
        <v>4908</v>
      </c>
      <c r="BI59" s="274">
        <f>SUM(AW59:BH59)</f>
        <v>43020</v>
      </c>
      <c r="BJ59" s="275">
        <f>BI59/$A$2</f>
        <v>3584.7012748937591</v>
      </c>
      <c r="BL59" s="317">
        <f>ROW()</f>
        <v>59</v>
      </c>
      <c r="BM59" s="317">
        <f t="shared" si="30"/>
        <v>1532.9999999999995</v>
      </c>
      <c r="BN59" s="317">
        <f t="shared" si="12"/>
        <v>-236.29872510624091</v>
      </c>
      <c r="BO59" s="317">
        <f t="shared" si="31"/>
        <v>-2832</v>
      </c>
      <c r="BP59" s="594">
        <f t="shared" si="32"/>
        <v>2481</v>
      </c>
    </row>
    <row r="60" spans="1:72" ht="17.399999999999999" customHeight="1" x14ac:dyDescent="0.55000000000000004">
      <c r="A60" s="7222"/>
      <c r="B60" s="42"/>
      <c r="C60" s="331" t="s">
        <v>481</v>
      </c>
      <c r="D60" s="273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5"/>
      <c r="R60" s="374"/>
      <c r="S60" s="273">
        <v>6649</v>
      </c>
      <c r="T60" s="274">
        <v>6579</v>
      </c>
      <c r="U60" s="274">
        <v>6280</v>
      </c>
      <c r="V60" s="274">
        <v>6984</v>
      </c>
      <c r="W60" s="274">
        <v>8903</v>
      </c>
      <c r="X60" s="274">
        <v>8837</v>
      </c>
      <c r="Y60" s="274">
        <v>10599</v>
      </c>
      <c r="Z60" s="274">
        <v>10079</v>
      </c>
      <c r="AA60" s="274">
        <v>9283</v>
      </c>
      <c r="AB60" s="274">
        <v>10948</v>
      </c>
      <c r="AC60" s="274">
        <v>8810</v>
      </c>
      <c r="AD60" s="274">
        <v>7260</v>
      </c>
      <c r="AE60" s="274">
        <f>SUM(S60:AD60)</f>
        <v>101211</v>
      </c>
      <c r="AF60" s="275">
        <f>AE60/12</f>
        <v>8434.25</v>
      </c>
      <c r="AG60" s="374"/>
      <c r="AH60" s="273">
        <v>9388</v>
      </c>
      <c r="AI60" s="274">
        <v>8498</v>
      </c>
      <c r="AJ60" s="274">
        <v>9450</v>
      </c>
      <c r="AK60" s="274">
        <v>10501</v>
      </c>
      <c r="AL60" s="274">
        <v>12403</v>
      </c>
      <c r="AM60" s="274">
        <v>10503</v>
      </c>
      <c r="AN60" s="274">
        <v>10984</v>
      </c>
      <c r="AO60" s="274">
        <v>9253</v>
      </c>
      <c r="AP60" s="274">
        <v>9989</v>
      </c>
      <c r="AQ60" s="274">
        <v>10540</v>
      </c>
      <c r="AR60" s="274">
        <v>11418</v>
      </c>
      <c r="AS60" s="274">
        <v>9218</v>
      </c>
      <c r="AT60" s="274">
        <f>SUM(AH60:AS60)</f>
        <v>122145</v>
      </c>
      <c r="AU60" s="275">
        <f t="shared" si="11"/>
        <v>10178.75</v>
      </c>
      <c r="AV60" s="374"/>
      <c r="AW60" s="2011">
        <v>8212</v>
      </c>
      <c r="AX60" s="274">
        <v>11573</v>
      </c>
      <c r="AY60" s="274">
        <v>8545</v>
      </c>
      <c r="AZ60" s="274">
        <v>13772.000000000002</v>
      </c>
      <c r="BA60" s="274">
        <v>28547</v>
      </c>
      <c r="BB60" s="274">
        <v>17777</v>
      </c>
      <c r="BC60" s="274">
        <v>19237</v>
      </c>
      <c r="BD60" s="274">
        <v>10732</v>
      </c>
      <c r="BE60" s="274">
        <v>13422.000000000002</v>
      </c>
      <c r="BF60" s="274">
        <v>11492</v>
      </c>
      <c r="BG60" s="274">
        <v>13148</v>
      </c>
      <c r="BH60" s="274">
        <v>10692</v>
      </c>
      <c r="BI60" s="274">
        <f>SUM(AW60:BH60)</f>
        <v>167149</v>
      </c>
      <c r="BJ60" s="275">
        <f>BI60/$A$2</f>
        <v>13927.922673110575</v>
      </c>
      <c r="BL60" s="317">
        <f>ROW()</f>
        <v>60</v>
      </c>
      <c r="BM60" s="317">
        <f t="shared" si="30"/>
        <v>1474</v>
      </c>
      <c r="BN60" s="317">
        <f t="shared" si="12"/>
        <v>3749.1726731105755</v>
      </c>
      <c r="BO60" s="317">
        <f t="shared" si="31"/>
        <v>45004</v>
      </c>
      <c r="BP60" s="594">
        <f t="shared" si="32"/>
        <v>-2456</v>
      </c>
    </row>
    <row r="61" spans="1:72" ht="17.399999999999999" customHeight="1" x14ac:dyDescent="0.55000000000000004">
      <c r="A61" s="7222"/>
      <c r="B61" s="42"/>
      <c r="C61" s="331" t="s">
        <v>498</v>
      </c>
      <c r="D61" s="273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374"/>
      <c r="S61" s="436">
        <f>S60/S56</f>
        <v>0.16844852047020673</v>
      </c>
      <c r="T61" s="437">
        <f t="shared" ref="T61:AF61" si="44">T60/T56</f>
        <v>0.1257646429117602</v>
      </c>
      <c r="U61" s="437">
        <f t="shared" si="44"/>
        <v>0.1536316265870783</v>
      </c>
      <c r="V61" s="437">
        <f t="shared" si="44"/>
        <v>0.18044646548160398</v>
      </c>
      <c r="W61" s="437">
        <f t="shared" si="44"/>
        <v>0.20606411294989005</v>
      </c>
      <c r="X61" s="437">
        <f t="shared" si="44"/>
        <v>0.22067673866899737</v>
      </c>
      <c r="Y61" s="437">
        <f t="shared" si="44"/>
        <v>0.26751640585562847</v>
      </c>
      <c r="Z61" s="437">
        <f t="shared" si="44"/>
        <v>0.1747581232444429</v>
      </c>
      <c r="AA61" s="437">
        <f t="shared" si="44"/>
        <v>0.25834191411794172</v>
      </c>
      <c r="AB61" s="437">
        <f t="shared" si="44"/>
        <v>0.16438191618744463</v>
      </c>
      <c r="AC61" s="437">
        <f t="shared" si="44"/>
        <v>0.23448312573192803</v>
      </c>
      <c r="AD61" s="437">
        <f t="shared" si="44"/>
        <v>0.23420110326139554</v>
      </c>
      <c r="AE61" s="437">
        <f t="shared" si="44"/>
        <v>0.19351489635076691</v>
      </c>
      <c r="AF61" s="438">
        <f t="shared" si="44"/>
        <v>0.19351489635076691</v>
      </c>
      <c r="AG61" s="439"/>
      <c r="AH61" s="436">
        <v>0.17263699889665318</v>
      </c>
      <c r="AI61" s="437">
        <v>0.22162528687669519</v>
      </c>
      <c r="AJ61" s="437">
        <v>0.24023184279431578</v>
      </c>
      <c r="AK61" s="437">
        <v>0.24760669653383635</v>
      </c>
      <c r="AL61" s="437">
        <v>0.28748580302714227</v>
      </c>
      <c r="AM61" s="437">
        <v>0.2740651827884038</v>
      </c>
      <c r="AN61" s="437">
        <v>0.19905402221779236</v>
      </c>
      <c r="AO61" s="437">
        <v>0.22482202298515441</v>
      </c>
      <c r="AP61" s="437">
        <v>0.15962223749181037</v>
      </c>
      <c r="AQ61" s="437">
        <v>0.1897218972189722</v>
      </c>
      <c r="AR61" s="1422">
        <v>0.26434838978538189</v>
      </c>
      <c r="AS61" s="1422">
        <v>0.25754358515869469</v>
      </c>
      <c r="AT61" s="437">
        <f>AVERAGE(AH61:AS61)</f>
        <v>0.22823033048123773</v>
      </c>
      <c r="AU61" s="441">
        <f t="shared" si="11"/>
        <v>1.9019194206769809E-2</v>
      </c>
      <c r="AV61" s="439"/>
      <c r="AW61" s="2025">
        <v>0.24349888806523351</v>
      </c>
      <c r="AX61" s="437">
        <v>0.17126663016293489</v>
      </c>
      <c r="AY61" s="437">
        <f>AY60/AY56</f>
        <v>0.19852702011988291</v>
      </c>
      <c r="AZ61" s="437">
        <v>0.29438672993886539</v>
      </c>
      <c r="BA61" s="437">
        <v>0.45137164993280099</v>
      </c>
      <c r="BB61" s="437">
        <f>BB60/BB56</f>
        <v>0.34709178593045281</v>
      </c>
      <c r="BC61" s="437">
        <v>0.27957504941285899</v>
      </c>
      <c r="BD61" s="437">
        <v>0.21564923843587991</v>
      </c>
      <c r="BE61" s="437">
        <v>0.19331422563408279</v>
      </c>
      <c r="BF61" s="437">
        <v>0.20414253739297258</v>
      </c>
      <c r="BG61" s="2424">
        <v>0.28157190277331617</v>
      </c>
      <c r="BH61" s="1422">
        <v>0.23065472980261029</v>
      </c>
      <c r="BI61" s="437">
        <f>AVERAGE(AW61:BH61)</f>
        <v>0.25925419896682428</v>
      </c>
      <c r="BJ61" s="441">
        <f>BI61</f>
        <v>0.25925419896682428</v>
      </c>
      <c r="BL61" s="317">
        <f>ROW()</f>
        <v>61</v>
      </c>
      <c r="BM61" s="317">
        <f t="shared" si="30"/>
        <v>-2.6888855356084401E-2</v>
      </c>
      <c r="BN61" s="317">
        <f t="shared" si="12"/>
        <v>0.24023500476005447</v>
      </c>
      <c r="BO61" s="440">
        <f t="shared" si="31"/>
        <v>-2.4795097668080284</v>
      </c>
      <c r="BP61" s="594">
        <f t="shared" si="32"/>
        <v>-5.0917172970705887E-2</v>
      </c>
    </row>
    <row r="62" spans="1:72" ht="17.399999999999999" customHeight="1" x14ac:dyDescent="0.55000000000000004">
      <c r="A62" s="7222"/>
      <c r="B62" s="42"/>
      <c r="C62" s="214" t="s">
        <v>56</v>
      </c>
      <c r="D62" s="273">
        <v>31658</v>
      </c>
      <c r="E62" s="274">
        <v>41571</v>
      </c>
      <c r="F62" s="274">
        <v>34636</v>
      </c>
      <c r="G62" s="274">
        <v>37705</v>
      </c>
      <c r="H62" s="274">
        <v>38458</v>
      </c>
      <c r="I62" s="274">
        <v>38748</v>
      </c>
      <c r="J62" s="274">
        <v>33808</v>
      </c>
      <c r="K62" s="274">
        <v>48059</v>
      </c>
      <c r="L62" s="274">
        <v>28992</v>
      </c>
      <c r="M62" s="274">
        <v>49817</v>
      </c>
      <c r="N62" s="274">
        <v>30932</v>
      </c>
      <c r="O62" s="274">
        <v>25075</v>
      </c>
      <c r="P62" s="274">
        <f t="shared" si="38"/>
        <v>439459</v>
      </c>
      <c r="Q62" s="275">
        <f t="shared" si="39"/>
        <v>36621.583333333336</v>
      </c>
      <c r="R62" s="374"/>
      <c r="S62" s="273">
        <v>28743</v>
      </c>
      <c r="T62" s="274">
        <v>40770</v>
      </c>
      <c r="U62" s="274">
        <v>29477</v>
      </c>
      <c r="V62" s="274">
        <v>28357</v>
      </c>
      <c r="W62" s="274">
        <v>29789</v>
      </c>
      <c r="X62" s="274">
        <v>27269</v>
      </c>
      <c r="Y62" s="274">
        <v>26035</v>
      </c>
      <c r="Z62" s="274">
        <v>44355</v>
      </c>
      <c r="AA62" s="274">
        <v>24157</v>
      </c>
      <c r="AB62" s="274">
        <v>53007</v>
      </c>
      <c r="AC62" s="274">
        <v>26361</v>
      </c>
      <c r="AD62" s="274">
        <v>21548</v>
      </c>
      <c r="AE62" s="274">
        <f t="shared" si="40"/>
        <v>379868</v>
      </c>
      <c r="AF62" s="275">
        <f t="shared" si="41"/>
        <v>31655.666666666668</v>
      </c>
      <c r="AG62" s="374"/>
      <c r="AH62" s="273">
        <v>42528</v>
      </c>
      <c r="AI62" s="274">
        <v>26194</v>
      </c>
      <c r="AJ62" s="274">
        <v>25722</v>
      </c>
      <c r="AK62" s="274">
        <v>28186</v>
      </c>
      <c r="AL62" s="274">
        <v>26201</v>
      </c>
      <c r="AM62" s="274">
        <v>22954</v>
      </c>
      <c r="AN62" s="274">
        <v>39953</v>
      </c>
      <c r="AO62" s="274">
        <v>28160</v>
      </c>
      <c r="AP62" s="274">
        <v>48406.999999999993</v>
      </c>
      <c r="AQ62" s="274">
        <v>41535</v>
      </c>
      <c r="AR62" s="274">
        <v>28358</v>
      </c>
      <c r="AS62" s="274">
        <v>23199</v>
      </c>
      <c r="AT62" s="274">
        <f t="shared" si="42"/>
        <v>381397</v>
      </c>
      <c r="AU62" s="275">
        <f t="shared" si="11"/>
        <v>31783.083333333332</v>
      </c>
      <c r="AV62" s="374"/>
      <c r="AW62" s="2011">
        <v>21688</v>
      </c>
      <c r="AX62" s="274">
        <v>49939</v>
      </c>
      <c r="AY62" s="274">
        <f>AY56-AY57</f>
        <v>29000</v>
      </c>
      <c r="AZ62" s="274">
        <v>30069</v>
      </c>
      <c r="BA62" s="274">
        <v>30904</v>
      </c>
      <c r="BB62" s="274">
        <f>BB56-BB57</f>
        <v>30299.999999999993</v>
      </c>
      <c r="BC62" s="274">
        <v>46898</v>
      </c>
      <c r="BD62" s="274">
        <v>36409</v>
      </c>
      <c r="BE62" s="274">
        <v>53172</v>
      </c>
      <c r="BF62" s="274">
        <v>42510.000000000007</v>
      </c>
      <c r="BG62" s="274">
        <v>31120</v>
      </c>
      <c r="BH62" s="274">
        <v>30755</v>
      </c>
      <c r="BI62" s="274">
        <f t="shared" ref="BI62:BI73" si="45">SUM(AW62:BH62)</f>
        <v>432764</v>
      </c>
      <c r="BJ62" s="275">
        <f t="shared" ref="BJ62:BJ111" si="46">BI62/$A$2</f>
        <v>36060.66161153237</v>
      </c>
      <c r="BL62" s="317">
        <f>ROW()</f>
        <v>62</v>
      </c>
      <c r="BM62" s="317">
        <f t="shared" si="30"/>
        <v>7556</v>
      </c>
      <c r="BN62" s="317">
        <f t="shared" si="12"/>
        <v>4277.5782781990383</v>
      </c>
      <c r="BO62" s="317">
        <f t="shared" si="31"/>
        <v>51367</v>
      </c>
      <c r="BP62" s="594">
        <f t="shared" si="32"/>
        <v>-365</v>
      </c>
    </row>
    <row r="63" spans="1:72" ht="17.399999999999999" customHeight="1" x14ac:dyDescent="0.55000000000000004">
      <c r="A63" s="7222"/>
      <c r="B63" s="7219" t="s">
        <v>429</v>
      </c>
      <c r="C63" s="197" t="s">
        <v>424</v>
      </c>
      <c r="D63" s="276">
        <v>15296</v>
      </c>
      <c r="E63" s="277">
        <v>15398</v>
      </c>
      <c r="F63" s="277">
        <v>14378</v>
      </c>
      <c r="G63" s="277">
        <v>15128</v>
      </c>
      <c r="H63" s="277">
        <v>14784</v>
      </c>
      <c r="I63" s="277">
        <v>17031</v>
      </c>
      <c r="J63" s="277">
        <v>13909</v>
      </c>
      <c r="K63" s="277">
        <v>20367</v>
      </c>
      <c r="L63" s="277">
        <v>12840</v>
      </c>
      <c r="M63" s="277">
        <v>20409</v>
      </c>
      <c r="N63" s="277">
        <v>14739</v>
      </c>
      <c r="O63" s="277">
        <v>12631</v>
      </c>
      <c r="P63" s="277">
        <f t="shared" si="38"/>
        <v>186910</v>
      </c>
      <c r="Q63" s="278">
        <f t="shared" si="39"/>
        <v>15575.833333333334</v>
      </c>
      <c r="R63" s="374"/>
      <c r="S63" s="276">
        <v>13927</v>
      </c>
      <c r="T63" s="277">
        <v>18947</v>
      </c>
      <c r="U63" s="277">
        <v>15005</v>
      </c>
      <c r="V63" s="277">
        <v>14333</v>
      </c>
      <c r="W63" s="277">
        <v>15799</v>
      </c>
      <c r="X63" s="277">
        <v>14944</v>
      </c>
      <c r="Y63" s="277">
        <v>13331</v>
      </c>
      <c r="Z63" s="277">
        <v>23024</v>
      </c>
      <c r="AA63" s="277">
        <v>11009</v>
      </c>
      <c r="AB63" s="277">
        <v>20387</v>
      </c>
      <c r="AC63" s="277">
        <v>13709</v>
      </c>
      <c r="AD63" s="277">
        <v>11746</v>
      </c>
      <c r="AE63" s="277">
        <f t="shared" si="40"/>
        <v>186161</v>
      </c>
      <c r="AF63" s="278">
        <f t="shared" si="41"/>
        <v>15513.416666666666</v>
      </c>
      <c r="AG63" s="374"/>
      <c r="AH63" s="276">
        <v>21860</v>
      </c>
      <c r="AI63" s="277">
        <v>13264</v>
      </c>
      <c r="AJ63" s="277">
        <v>14500.000000000002</v>
      </c>
      <c r="AK63" s="277">
        <v>14627</v>
      </c>
      <c r="AL63" s="277">
        <v>14834</v>
      </c>
      <c r="AM63" s="277">
        <v>13391</v>
      </c>
      <c r="AN63" s="277">
        <v>20433</v>
      </c>
      <c r="AO63" s="277">
        <v>14896</v>
      </c>
      <c r="AP63" s="277">
        <v>19229</v>
      </c>
      <c r="AQ63" s="277">
        <v>14899</v>
      </c>
      <c r="AR63" s="277">
        <v>13585</v>
      </c>
      <c r="AS63" s="277">
        <v>11801</v>
      </c>
      <c r="AT63" s="277">
        <f t="shared" si="42"/>
        <v>187319</v>
      </c>
      <c r="AU63" s="278">
        <f t="shared" si="11"/>
        <v>15609.916666666666</v>
      </c>
      <c r="AV63" s="374"/>
      <c r="AW63" s="2012">
        <v>10617</v>
      </c>
      <c r="AX63" s="277">
        <v>23153</v>
      </c>
      <c r="AY63" s="277">
        <v>15414</v>
      </c>
      <c r="AZ63" s="277">
        <v>16123</v>
      </c>
      <c r="BA63" s="277">
        <v>19052</v>
      </c>
      <c r="BB63" s="277">
        <v>15091.999999999998</v>
      </c>
      <c r="BC63" s="277">
        <v>23066</v>
      </c>
      <c r="BD63" s="277">
        <v>15610</v>
      </c>
      <c r="BE63" s="277">
        <v>21456</v>
      </c>
      <c r="BF63" s="277">
        <v>13847</v>
      </c>
      <c r="BG63" s="277">
        <v>12205</v>
      </c>
      <c r="BH63" s="277">
        <v>11262</v>
      </c>
      <c r="BI63" s="277">
        <f t="shared" si="45"/>
        <v>196897</v>
      </c>
      <c r="BJ63" s="278">
        <f t="shared" si="46"/>
        <v>16406.716106991084</v>
      </c>
      <c r="BL63" s="317">
        <f>ROW()</f>
        <v>63</v>
      </c>
      <c r="BM63" s="317">
        <f t="shared" si="30"/>
        <v>-539</v>
      </c>
      <c r="BN63" s="317">
        <f t="shared" si="12"/>
        <v>796.79944032441745</v>
      </c>
      <c r="BO63" s="317">
        <f t="shared" si="31"/>
        <v>9578</v>
      </c>
      <c r="BP63" s="594">
        <f t="shared" si="32"/>
        <v>-943</v>
      </c>
    </row>
    <row r="64" spans="1:72" ht="17.399999999999999" customHeight="1" x14ac:dyDescent="0.55000000000000004">
      <c r="A64" s="7222"/>
      <c r="B64" s="7212"/>
      <c r="C64" s="198" t="s">
        <v>1112</v>
      </c>
      <c r="D64" s="279">
        <v>1194</v>
      </c>
      <c r="E64" s="280">
        <v>1526</v>
      </c>
      <c r="F64" s="280">
        <v>1110</v>
      </c>
      <c r="G64" s="280">
        <v>1077</v>
      </c>
      <c r="H64" s="280">
        <v>1256</v>
      </c>
      <c r="I64" s="280">
        <v>1296</v>
      </c>
      <c r="J64" s="280">
        <v>1079</v>
      </c>
      <c r="K64" s="280">
        <v>1857</v>
      </c>
      <c r="L64" s="280">
        <v>974</v>
      </c>
      <c r="M64" s="280">
        <v>1554</v>
      </c>
      <c r="N64" s="280">
        <v>904</v>
      </c>
      <c r="O64" s="280">
        <v>728</v>
      </c>
      <c r="P64" s="280">
        <f>SUM(D64:O64)</f>
        <v>14555</v>
      </c>
      <c r="Q64" s="281">
        <f t="shared" ref="Q64" si="47">P64/12</f>
        <v>1212.9166666666667</v>
      </c>
      <c r="R64" s="374"/>
      <c r="S64" s="279">
        <v>561</v>
      </c>
      <c r="T64" s="280">
        <v>1124</v>
      </c>
      <c r="U64" s="280">
        <v>570</v>
      </c>
      <c r="V64" s="280">
        <v>499</v>
      </c>
      <c r="W64" s="280">
        <v>589</v>
      </c>
      <c r="X64" s="280">
        <v>256</v>
      </c>
      <c r="Y64" s="280">
        <v>220</v>
      </c>
      <c r="Z64" s="280">
        <v>501</v>
      </c>
      <c r="AA64" s="280">
        <v>131</v>
      </c>
      <c r="AB64" s="280">
        <v>403</v>
      </c>
      <c r="AC64" s="280">
        <v>136</v>
      </c>
      <c r="AD64" s="280">
        <v>68</v>
      </c>
      <c r="AE64" s="280">
        <f t="shared" ref="AE64" si="48">SUM(S64:AD64)</f>
        <v>5058</v>
      </c>
      <c r="AF64" s="281">
        <f t="shared" ref="AF64" si="49">AE64/12</f>
        <v>421.5</v>
      </c>
      <c r="AG64" s="374"/>
      <c r="AH64" s="279">
        <v>115</v>
      </c>
      <c r="AI64" s="280">
        <v>139</v>
      </c>
      <c r="AJ64" s="280">
        <v>209</v>
      </c>
      <c r="AK64" s="280">
        <v>181</v>
      </c>
      <c r="AL64" s="280">
        <v>274</v>
      </c>
      <c r="AM64" s="280">
        <v>170</v>
      </c>
      <c r="AN64" s="280">
        <v>647</v>
      </c>
      <c r="AO64" s="280">
        <v>171</v>
      </c>
      <c r="AP64" s="280">
        <v>209</v>
      </c>
      <c r="AQ64" s="280">
        <v>171</v>
      </c>
      <c r="AR64" s="280">
        <v>126</v>
      </c>
      <c r="AS64" s="280">
        <v>92</v>
      </c>
      <c r="AT64" s="280">
        <f>SUM(AH64:AS64)</f>
        <v>2504</v>
      </c>
      <c r="AU64" s="281">
        <f t="shared" ref="AU64" si="50">AT64/12</f>
        <v>208.66666666666666</v>
      </c>
      <c r="AV64" s="374"/>
      <c r="AW64" s="2013">
        <v>111.00000000000001</v>
      </c>
      <c r="AX64" s="280">
        <v>343</v>
      </c>
      <c r="AY64" s="280">
        <v>117</v>
      </c>
      <c r="AZ64" s="280">
        <v>122</v>
      </c>
      <c r="BA64" s="280">
        <v>171</v>
      </c>
      <c r="BB64" s="280">
        <v>123</v>
      </c>
      <c r="BC64" s="280">
        <v>268</v>
      </c>
      <c r="BD64" s="280">
        <v>95</v>
      </c>
      <c r="BE64" s="280">
        <v>198</v>
      </c>
      <c r="BF64" s="280">
        <v>186</v>
      </c>
      <c r="BG64" s="280">
        <v>130</v>
      </c>
      <c r="BH64" s="280">
        <v>74</v>
      </c>
      <c r="BI64" s="280">
        <f t="shared" ref="BI64" si="51">SUM(AW64:BH64)</f>
        <v>1938</v>
      </c>
      <c r="BJ64" s="281">
        <f t="shared" ref="BJ64" si="52">BI64/$A$2</f>
        <v>161.48654278810099</v>
      </c>
      <c r="BL64" s="317">
        <f>ROW()</f>
        <v>64</v>
      </c>
      <c r="BM64" s="317">
        <f t="shared" si="30"/>
        <v>-18</v>
      </c>
      <c r="BN64" s="317">
        <f t="shared" ref="BN64" si="53">BJ64-AU64</f>
        <v>-47.180123878565666</v>
      </c>
      <c r="BO64" s="317">
        <f t="shared" si="31"/>
        <v>-566</v>
      </c>
      <c r="BP64" s="594">
        <f t="shared" si="32"/>
        <v>-56</v>
      </c>
    </row>
    <row r="65" spans="1:68" ht="17.399999999999999" customHeight="1" x14ac:dyDescent="0.55000000000000004">
      <c r="A65" s="7222"/>
      <c r="B65" s="7212"/>
      <c r="C65" s="198" t="s">
        <v>426</v>
      </c>
      <c r="D65" s="279">
        <v>22686</v>
      </c>
      <c r="E65" s="280">
        <v>27775</v>
      </c>
      <c r="F65" s="280">
        <v>24420</v>
      </c>
      <c r="G65" s="280">
        <v>26129</v>
      </c>
      <c r="H65" s="280">
        <v>27292</v>
      </c>
      <c r="I65" s="280">
        <v>25283</v>
      </c>
      <c r="J65" s="280">
        <v>23321</v>
      </c>
      <c r="K65" s="280">
        <v>26381</v>
      </c>
      <c r="L65" s="280">
        <v>18197</v>
      </c>
      <c r="M65" s="280">
        <v>26156</v>
      </c>
      <c r="N65" s="280">
        <v>18537</v>
      </c>
      <c r="O65" s="280">
        <v>16308</v>
      </c>
      <c r="P65" s="280">
        <f t="shared" si="38"/>
        <v>282485</v>
      </c>
      <c r="Q65" s="281">
        <f t="shared" si="39"/>
        <v>23540.416666666668</v>
      </c>
      <c r="R65" s="374"/>
      <c r="S65" s="279">
        <v>18311</v>
      </c>
      <c r="T65" s="280">
        <v>21737</v>
      </c>
      <c r="U65" s="280">
        <v>17362</v>
      </c>
      <c r="V65" s="280">
        <v>17102</v>
      </c>
      <c r="W65" s="280">
        <v>17457</v>
      </c>
      <c r="X65" s="280">
        <v>16154</v>
      </c>
      <c r="Y65" s="280">
        <v>18417</v>
      </c>
      <c r="Z65" s="280">
        <v>23729</v>
      </c>
      <c r="AA65" s="280">
        <v>16459</v>
      </c>
      <c r="AB65" s="280">
        <v>22104</v>
      </c>
      <c r="AC65" s="280">
        <v>16430</v>
      </c>
      <c r="AD65" s="280">
        <v>13546</v>
      </c>
      <c r="AE65" s="280">
        <f t="shared" si="40"/>
        <v>218808</v>
      </c>
      <c r="AF65" s="281">
        <f t="shared" si="41"/>
        <v>18234</v>
      </c>
      <c r="AG65" s="374"/>
      <c r="AH65" s="279">
        <v>20995</v>
      </c>
      <c r="AI65" s="280">
        <v>16692</v>
      </c>
      <c r="AJ65" s="280">
        <v>18382</v>
      </c>
      <c r="AK65" s="280">
        <v>18432</v>
      </c>
      <c r="AL65" s="280">
        <v>20146</v>
      </c>
      <c r="AM65" s="280">
        <v>18628</v>
      </c>
      <c r="AN65" s="280">
        <v>22197</v>
      </c>
      <c r="AO65" s="280">
        <v>17830</v>
      </c>
      <c r="AP65" s="280">
        <v>20436</v>
      </c>
      <c r="AQ65" s="280">
        <v>19986</v>
      </c>
      <c r="AR65" s="280">
        <v>20330</v>
      </c>
      <c r="AS65" s="280">
        <v>17003</v>
      </c>
      <c r="AT65" s="280">
        <f t="shared" si="42"/>
        <v>231057</v>
      </c>
      <c r="AU65" s="281">
        <f t="shared" si="11"/>
        <v>19254.75</v>
      </c>
      <c r="AV65" s="374"/>
      <c r="AW65" s="2013">
        <v>16386</v>
      </c>
      <c r="AX65" s="280">
        <v>24943</v>
      </c>
      <c r="AY65" s="280">
        <v>18218</v>
      </c>
      <c r="AZ65" s="280">
        <v>21598</v>
      </c>
      <c r="BA65" s="280">
        <v>32548</v>
      </c>
      <c r="BB65" s="280">
        <v>27162</v>
      </c>
      <c r="BC65" s="280">
        <v>29379.999999999996</v>
      </c>
      <c r="BD65" s="280">
        <v>23534</v>
      </c>
      <c r="BE65" s="280">
        <v>26146</v>
      </c>
      <c r="BF65" s="280">
        <v>25966.000000000004</v>
      </c>
      <c r="BG65" s="280">
        <v>21706</v>
      </c>
      <c r="BH65" s="280">
        <v>23268</v>
      </c>
      <c r="BI65" s="280">
        <f t="shared" si="45"/>
        <v>290855</v>
      </c>
      <c r="BJ65" s="281">
        <f t="shared" si="46"/>
        <v>24235.897008582619</v>
      </c>
      <c r="BL65" s="317">
        <f>ROW()</f>
        <v>65</v>
      </c>
      <c r="BM65" s="317">
        <f t="shared" si="30"/>
        <v>6265</v>
      </c>
      <c r="BN65" s="317">
        <f t="shared" si="12"/>
        <v>4981.1470085826186</v>
      </c>
      <c r="BO65" s="317">
        <f t="shared" si="31"/>
        <v>59798</v>
      </c>
      <c r="BP65" s="594">
        <f t="shared" si="32"/>
        <v>1562</v>
      </c>
    </row>
    <row r="66" spans="1:68" ht="17.399999999999999" customHeight="1" x14ac:dyDescent="0.55000000000000004">
      <c r="A66" s="7222"/>
      <c r="B66" s="7212"/>
      <c r="C66" s="198" t="s">
        <v>954</v>
      </c>
      <c r="D66" s="279">
        <v>4502</v>
      </c>
      <c r="E66" s="280">
        <v>7534</v>
      </c>
      <c r="F66" s="280">
        <v>7136</v>
      </c>
      <c r="G66" s="280">
        <v>5708</v>
      </c>
      <c r="H66" s="280">
        <v>5995</v>
      </c>
      <c r="I66" s="280">
        <v>4320</v>
      </c>
      <c r="J66" s="280">
        <v>3836</v>
      </c>
      <c r="K66" s="280">
        <v>7051</v>
      </c>
      <c r="L66" s="280">
        <v>4200</v>
      </c>
      <c r="M66" s="280">
        <v>12755</v>
      </c>
      <c r="N66" s="280">
        <v>5333</v>
      </c>
      <c r="O66" s="280">
        <v>3119</v>
      </c>
      <c r="P66" s="280">
        <f t="shared" si="38"/>
        <v>71489</v>
      </c>
      <c r="Q66" s="281">
        <f t="shared" si="39"/>
        <v>5957.416666666667</v>
      </c>
      <c r="R66" s="374"/>
      <c r="S66" s="279">
        <v>4046</v>
      </c>
      <c r="T66" s="280">
        <v>6295</v>
      </c>
      <c r="U66" s="280">
        <v>4082</v>
      </c>
      <c r="V66" s="280">
        <v>3829</v>
      </c>
      <c r="W66" s="280">
        <v>5373</v>
      </c>
      <c r="X66" s="280">
        <v>4861</v>
      </c>
      <c r="Y66" s="280">
        <v>4364</v>
      </c>
      <c r="Z66" s="280">
        <v>7455</v>
      </c>
      <c r="AA66" s="280">
        <v>2693</v>
      </c>
      <c r="AB66" s="280">
        <v>16731</v>
      </c>
      <c r="AC66" s="280">
        <v>4833</v>
      </c>
      <c r="AD66" s="280">
        <v>3634</v>
      </c>
      <c r="AE66" s="280">
        <f t="shared" si="40"/>
        <v>68196</v>
      </c>
      <c r="AF66" s="281">
        <f t="shared" si="41"/>
        <v>5683</v>
      </c>
      <c r="AG66" s="374"/>
      <c r="AH66" s="279">
        <v>9400</v>
      </c>
      <c r="AI66" s="280">
        <v>7027</v>
      </c>
      <c r="AJ66" s="280">
        <v>5089</v>
      </c>
      <c r="AK66" s="280">
        <v>7031</v>
      </c>
      <c r="AL66" s="280">
        <v>6738</v>
      </c>
      <c r="AM66" s="280">
        <v>4348</v>
      </c>
      <c r="AN66" s="280">
        <v>9542</v>
      </c>
      <c r="AO66" s="280">
        <v>6902</v>
      </c>
      <c r="AP66" s="280">
        <v>20218</v>
      </c>
      <c r="AQ66" s="280">
        <v>15131</v>
      </c>
      <c r="AR66" s="280">
        <v>6956</v>
      </c>
      <c r="AS66" s="280">
        <v>6135</v>
      </c>
      <c r="AT66" s="280">
        <f t="shared" si="42"/>
        <v>104517</v>
      </c>
      <c r="AU66" s="281">
        <f t="shared" si="11"/>
        <v>8709.75</v>
      </c>
      <c r="AV66" s="374"/>
      <c r="AW66" s="2013">
        <v>5384</v>
      </c>
      <c r="AX66" s="280">
        <v>16915</v>
      </c>
      <c r="AY66" s="280">
        <v>7408</v>
      </c>
      <c r="AZ66" s="280">
        <v>7814</v>
      </c>
      <c r="BA66" s="280">
        <v>9792</v>
      </c>
      <c r="BB66" s="280">
        <v>7562</v>
      </c>
      <c r="BC66" s="280">
        <v>12735</v>
      </c>
      <c r="BD66" s="280">
        <v>9471</v>
      </c>
      <c r="BE66" s="280">
        <v>19886</v>
      </c>
      <c r="BF66" s="280">
        <v>11925</v>
      </c>
      <c r="BG66" s="280">
        <v>8605</v>
      </c>
      <c r="BH66" s="280">
        <v>8793</v>
      </c>
      <c r="BI66" s="280">
        <f t="shared" si="45"/>
        <v>126290</v>
      </c>
      <c r="BJ66" s="281">
        <f t="shared" si="46"/>
        <v>10523.289725856179</v>
      </c>
      <c r="BL66" s="317">
        <f>ROW()</f>
        <v>66</v>
      </c>
      <c r="BM66" s="317">
        <f t="shared" si="30"/>
        <v>2658</v>
      </c>
      <c r="BN66" s="317">
        <f t="shared" si="12"/>
        <v>1813.5397258561788</v>
      </c>
      <c r="BO66" s="317">
        <f t="shared" si="31"/>
        <v>21773</v>
      </c>
      <c r="BP66" s="594">
        <f t="shared" si="32"/>
        <v>188</v>
      </c>
    </row>
    <row r="67" spans="1:68" ht="17.399999999999999" customHeight="1" x14ac:dyDescent="0.55000000000000004">
      <c r="A67" s="7222"/>
      <c r="B67" s="7212"/>
      <c r="C67" s="198" t="s">
        <v>427</v>
      </c>
      <c r="D67" s="279">
        <v>3829</v>
      </c>
      <c r="E67" s="280">
        <v>4337</v>
      </c>
      <c r="F67" s="280">
        <v>3629</v>
      </c>
      <c r="G67" s="280">
        <v>3334</v>
      </c>
      <c r="H67" s="280">
        <v>3740</v>
      </c>
      <c r="I67" s="280">
        <v>3793</v>
      </c>
      <c r="J67" s="280">
        <v>3422</v>
      </c>
      <c r="K67" s="280">
        <v>3974</v>
      </c>
      <c r="L67" s="280">
        <v>6215</v>
      </c>
      <c r="M67" s="280">
        <v>4794</v>
      </c>
      <c r="N67" s="280">
        <v>2609</v>
      </c>
      <c r="O67" s="280">
        <v>1682</v>
      </c>
      <c r="P67" s="280">
        <f t="shared" si="38"/>
        <v>45358</v>
      </c>
      <c r="Q67" s="281">
        <f t="shared" si="39"/>
        <v>3779.8333333333335</v>
      </c>
      <c r="R67" s="374"/>
      <c r="S67" s="279">
        <v>2496</v>
      </c>
      <c r="T67" s="280">
        <v>4069</v>
      </c>
      <c r="U67" s="280">
        <v>3743</v>
      </c>
      <c r="V67" s="280">
        <v>2856</v>
      </c>
      <c r="W67" s="280">
        <v>3927</v>
      </c>
      <c r="X67" s="280">
        <v>3738</v>
      </c>
      <c r="Y67" s="280">
        <v>3212</v>
      </c>
      <c r="Z67" s="280">
        <v>2878</v>
      </c>
      <c r="AA67" s="280">
        <v>5597</v>
      </c>
      <c r="AB67" s="280">
        <v>6888</v>
      </c>
      <c r="AC67" s="280">
        <v>2375</v>
      </c>
      <c r="AD67" s="280">
        <v>1945</v>
      </c>
      <c r="AE67" s="280">
        <f t="shared" si="40"/>
        <v>43724</v>
      </c>
      <c r="AF67" s="281">
        <f t="shared" si="41"/>
        <v>3643.6666666666665</v>
      </c>
      <c r="AG67" s="374"/>
      <c r="AH67" s="279">
        <v>1934</v>
      </c>
      <c r="AI67" s="280">
        <v>1162</v>
      </c>
      <c r="AJ67" s="280">
        <v>1151</v>
      </c>
      <c r="AK67" s="280">
        <v>2139</v>
      </c>
      <c r="AL67" s="280">
        <v>1151</v>
      </c>
      <c r="AM67" s="280">
        <v>1786</v>
      </c>
      <c r="AN67" s="280">
        <v>2362</v>
      </c>
      <c r="AO67" s="280">
        <v>1358</v>
      </c>
      <c r="AP67" s="280">
        <v>2486</v>
      </c>
      <c r="AQ67" s="280">
        <v>5368</v>
      </c>
      <c r="AR67" s="280">
        <v>2196</v>
      </c>
      <c r="AS67" s="280">
        <v>761</v>
      </c>
      <c r="AT67" s="280">
        <f t="shared" si="42"/>
        <v>23854</v>
      </c>
      <c r="AU67" s="281">
        <f t="shared" si="11"/>
        <v>1987.8333333333333</v>
      </c>
      <c r="AV67" s="374"/>
      <c r="AW67" s="2013">
        <v>1227</v>
      </c>
      <c r="AX67" s="280">
        <v>2219</v>
      </c>
      <c r="AY67" s="280">
        <v>1885</v>
      </c>
      <c r="AZ67" s="280">
        <v>1124</v>
      </c>
      <c r="BA67" s="280">
        <v>1682</v>
      </c>
      <c r="BB67" s="280">
        <v>1278</v>
      </c>
      <c r="BC67" s="280">
        <v>3359</v>
      </c>
      <c r="BD67" s="280">
        <v>1055</v>
      </c>
      <c r="BE67" s="280">
        <v>1745</v>
      </c>
      <c r="BF67" s="280">
        <v>4370</v>
      </c>
      <c r="BG67" s="280">
        <v>4049</v>
      </c>
      <c r="BH67" s="280">
        <v>2958</v>
      </c>
      <c r="BI67" s="280">
        <f t="shared" si="45"/>
        <v>26951</v>
      </c>
      <c r="BJ67" s="281">
        <f t="shared" si="46"/>
        <v>2245.7295225397884</v>
      </c>
      <c r="BL67" s="317">
        <f>ROW()</f>
        <v>67</v>
      </c>
      <c r="BM67" s="317">
        <f t="shared" si="30"/>
        <v>2197</v>
      </c>
      <c r="BN67" s="317">
        <f t="shared" si="12"/>
        <v>257.89618920645512</v>
      </c>
      <c r="BO67" s="317">
        <f t="shared" si="31"/>
        <v>3097</v>
      </c>
      <c r="BP67" s="594">
        <f t="shared" si="32"/>
        <v>-1091</v>
      </c>
    </row>
    <row r="68" spans="1:68" ht="17.399999999999999" customHeight="1" x14ac:dyDescent="0.55000000000000004">
      <c r="A68" s="7222"/>
      <c r="B68" s="7212"/>
      <c r="C68" s="198" t="s">
        <v>428</v>
      </c>
      <c r="D68" s="279">
        <v>23</v>
      </c>
      <c r="E68" s="280">
        <v>29</v>
      </c>
      <c r="F68" s="280">
        <v>92</v>
      </c>
      <c r="G68" s="280">
        <v>124</v>
      </c>
      <c r="H68" s="280">
        <v>135</v>
      </c>
      <c r="I68" s="280">
        <v>187</v>
      </c>
      <c r="J68" s="280">
        <v>168</v>
      </c>
      <c r="K68" s="280">
        <v>278</v>
      </c>
      <c r="L68" s="280">
        <v>191</v>
      </c>
      <c r="M68" s="280">
        <v>218</v>
      </c>
      <c r="N68" s="280">
        <v>228</v>
      </c>
      <c r="O68" s="280">
        <v>233</v>
      </c>
      <c r="P68" s="280">
        <f t="shared" si="38"/>
        <v>1906</v>
      </c>
      <c r="Q68" s="281">
        <f t="shared" si="39"/>
        <v>158.83333333333334</v>
      </c>
      <c r="R68" s="374"/>
      <c r="S68" s="279">
        <v>131</v>
      </c>
      <c r="T68" s="280">
        <v>140</v>
      </c>
      <c r="U68" s="280">
        <v>115</v>
      </c>
      <c r="V68" s="280">
        <v>85</v>
      </c>
      <c r="W68" s="280">
        <v>60</v>
      </c>
      <c r="X68" s="280">
        <v>92</v>
      </c>
      <c r="Y68" s="280">
        <v>76</v>
      </c>
      <c r="Z68" s="280">
        <v>87</v>
      </c>
      <c r="AA68" s="280">
        <v>44</v>
      </c>
      <c r="AB68" s="280">
        <v>87</v>
      </c>
      <c r="AC68" s="280">
        <v>89</v>
      </c>
      <c r="AD68" s="280">
        <v>60</v>
      </c>
      <c r="AE68" s="280">
        <f t="shared" si="40"/>
        <v>1066</v>
      </c>
      <c r="AF68" s="281">
        <f t="shared" si="41"/>
        <v>88.833333333333329</v>
      </c>
      <c r="AG68" s="374"/>
      <c r="AH68" s="279">
        <v>76</v>
      </c>
      <c r="AI68" s="280">
        <v>60</v>
      </c>
      <c r="AJ68" s="280">
        <v>6</v>
      </c>
      <c r="AK68" s="280">
        <v>0</v>
      </c>
      <c r="AL68" s="280">
        <v>0</v>
      </c>
      <c r="AM68" s="280">
        <v>0</v>
      </c>
      <c r="AN68" s="280">
        <v>0</v>
      </c>
      <c r="AO68" s="280">
        <v>0</v>
      </c>
      <c r="AP68" s="280">
        <v>0</v>
      </c>
      <c r="AQ68" s="280">
        <v>0</v>
      </c>
      <c r="AR68" s="280">
        <v>0</v>
      </c>
      <c r="AS68" s="280">
        <v>0</v>
      </c>
      <c r="AT68" s="280">
        <f t="shared" si="42"/>
        <v>142</v>
      </c>
      <c r="AU68" s="281">
        <f t="shared" si="11"/>
        <v>11.833333333333334</v>
      </c>
      <c r="AV68" s="374"/>
      <c r="AW68" s="2013">
        <v>0</v>
      </c>
      <c r="AX68" s="280">
        <v>0</v>
      </c>
      <c r="AY68" s="280">
        <v>0</v>
      </c>
      <c r="AZ68" s="280">
        <v>1</v>
      </c>
      <c r="BA68" s="280">
        <v>0</v>
      </c>
      <c r="BB68" s="280">
        <v>0</v>
      </c>
      <c r="BC68" s="280">
        <v>0</v>
      </c>
      <c r="BD68" s="280">
        <v>0</v>
      </c>
      <c r="BE68" s="280">
        <v>0</v>
      </c>
      <c r="BF68" s="280">
        <v>0</v>
      </c>
      <c r="BG68" s="280">
        <v>0</v>
      </c>
      <c r="BH68" s="280">
        <v>0</v>
      </c>
      <c r="BI68" s="280">
        <f t="shared" si="45"/>
        <v>1</v>
      </c>
      <c r="BJ68" s="281">
        <f t="shared" si="46"/>
        <v>8.3326389467544379E-2</v>
      </c>
      <c r="BL68" s="317">
        <f>ROW()</f>
        <v>68</v>
      </c>
      <c r="BM68" s="317">
        <f t="shared" ref="BM68:BM99" si="54">HLOOKUP($A$2,$AW$2:$BH$411,ROW()-1,0)-HLOOKUP($A$2,$AH$2:$AS$411,ROW()-1,0)</f>
        <v>0</v>
      </c>
      <c r="BN68" s="317">
        <f t="shared" si="12"/>
        <v>-11.75000694386579</v>
      </c>
      <c r="BO68" s="317">
        <f t="shared" ref="BO68:BO99" si="55">BI68-SUM(AH68:AS68)</f>
        <v>-141</v>
      </c>
      <c r="BP68" s="594">
        <f t="shared" ref="BP68:BP99" si="56">HLOOKUP($A$2,$AW$2:$BH$520,ROW()-1,0)-HLOOKUP($A$2-1,$AW$2:$BH$520,ROW()-1,1)</f>
        <v>0</v>
      </c>
    </row>
    <row r="69" spans="1:68" ht="17.399999999999999" hidden="1" customHeight="1" x14ac:dyDescent="0.55000000000000004">
      <c r="A69" s="7222"/>
      <c r="B69" s="7213" t="s">
        <v>430</v>
      </c>
      <c r="C69" s="199" t="s">
        <v>419</v>
      </c>
      <c r="D69" s="291">
        <f>D74+D75</f>
        <v>2521</v>
      </c>
      <c r="E69" s="292">
        <f t="shared" ref="E69:O69" si="57">E74+E75</f>
        <v>2446</v>
      </c>
      <c r="F69" s="292">
        <f t="shared" si="57"/>
        <v>2244</v>
      </c>
      <c r="G69" s="292">
        <f t="shared" si="57"/>
        <v>2293</v>
      </c>
      <c r="H69" s="292">
        <f t="shared" si="57"/>
        <v>2280</v>
      </c>
      <c r="I69" s="292">
        <f t="shared" si="57"/>
        <v>2456</v>
      </c>
      <c r="J69" s="292">
        <f t="shared" si="57"/>
        <v>2213</v>
      </c>
      <c r="K69" s="292">
        <f t="shared" si="57"/>
        <v>3201</v>
      </c>
      <c r="L69" s="292">
        <f t="shared" si="57"/>
        <v>1974</v>
      </c>
      <c r="M69" s="292">
        <f t="shared" si="57"/>
        <v>3217</v>
      </c>
      <c r="N69" s="292">
        <f t="shared" si="57"/>
        <v>2191</v>
      </c>
      <c r="O69" s="292">
        <f t="shared" si="57"/>
        <v>1910</v>
      </c>
      <c r="P69" s="292">
        <f>SUM(D69:O69)</f>
        <v>28946</v>
      </c>
      <c r="Q69" s="293">
        <f t="shared" si="39"/>
        <v>2412.1666666666665</v>
      </c>
      <c r="R69" s="374"/>
      <c r="S69" s="291">
        <f>S74+S75</f>
        <v>2130</v>
      </c>
      <c r="T69" s="292">
        <f t="shared" ref="T69:AD69" si="58">T74+T75</f>
        <v>2900</v>
      </c>
      <c r="U69" s="292">
        <f t="shared" si="58"/>
        <v>2301</v>
      </c>
      <c r="V69" s="292">
        <f t="shared" si="58"/>
        <v>2277</v>
      </c>
      <c r="W69" s="292">
        <f t="shared" si="58"/>
        <v>2520</v>
      </c>
      <c r="X69" s="292">
        <f t="shared" si="58"/>
        <v>2337</v>
      </c>
      <c r="Y69" s="292">
        <f t="shared" si="58"/>
        <v>2122</v>
      </c>
      <c r="Z69" s="292">
        <f t="shared" si="58"/>
        <v>3551</v>
      </c>
      <c r="AA69" s="292">
        <f t="shared" si="58"/>
        <v>1695</v>
      </c>
      <c r="AB69" s="292">
        <f t="shared" si="58"/>
        <v>3203</v>
      </c>
      <c r="AC69" s="292">
        <f t="shared" si="58"/>
        <v>2243</v>
      </c>
      <c r="AD69" s="292">
        <f t="shared" si="58"/>
        <v>1764</v>
      </c>
      <c r="AE69" s="292">
        <f t="shared" si="40"/>
        <v>29043</v>
      </c>
      <c r="AF69" s="293">
        <f t="shared" si="41"/>
        <v>2420.25</v>
      </c>
      <c r="AG69" s="374"/>
      <c r="AH69" s="291">
        <v>3324</v>
      </c>
      <c r="AI69" s="292">
        <v>1968</v>
      </c>
      <c r="AJ69" s="292">
        <v>2299</v>
      </c>
      <c r="AK69" s="292">
        <v>2319</v>
      </c>
      <c r="AL69" s="292">
        <v>2366</v>
      </c>
      <c r="AM69" s="292">
        <v>2172</v>
      </c>
      <c r="AN69" s="292">
        <v>3448</v>
      </c>
      <c r="AO69" s="292">
        <v>2450</v>
      </c>
      <c r="AP69" s="292">
        <v>3309</v>
      </c>
      <c r="AQ69" s="292">
        <v>2476</v>
      </c>
      <c r="AR69" s="292">
        <v>2270</v>
      </c>
      <c r="AS69" s="292">
        <v>2011</v>
      </c>
      <c r="AT69" s="292">
        <f>SUM(AH69:AS69)</f>
        <v>30412</v>
      </c>
      <c r="AU69" s="293">
        <f t="shared" ref="AU69:AU111" si="59">AT69/12</f>
        <v>2534.3333333333335</v>
      </c>
      <c r="AV69" s="374"/>
      <c r="AW69" s="2015"/>
      <c r="AX69" s="292"/>
      <c r="AY69" s="292"/>
      <c r="AZ69" s="292"/>
      <c r="BA69" s="292"/>
      <c r="BB69" s="292"/>
      <c r="BC69" s="292"/>
      <c r="BD69" s="292"/>
      <c r="BE69" s="292"/>
      <c r="BF69" s="292"/>
      <c r="BG69" s="292"/>
      <c r="BH69" s="292"/>
      <c r="BI69" s="292">
        <f t="shared" si="45"/>
        <v>0</v>
      </c>
      <c r="BJ69" s="293">
        <f t="shared" si="46"/>
        <v>0</v>
      </c>
      <c r="BL69" s="317">
        <f>ROW()</f>
        <v>69</v>
      </c>
      <c r="BM69" s="317">
        <f t="shared" si="54"/>
        <v>-2011</v>
      </c>
      <c r="BN69" s="317">
        <f t="shared" ref="BN69:BN137" si="60">BJ69-AU69</f>
        <v>-2534.3333333333335</v>
      </c>
      <c r="BO69" s="317">
        <f t="shared" si="55"/>
        <v>-30412</v>
      </c>
      <c r="BP69" s="594">
        <f t="shared" si="56"/>
        <v>0</v>
      </c>
    </row>
    <row r="70" spans="1:68" ht="17.399999999999999" hidden="1" customHeight="1" x14ac:dyDescent="0.55000000000000004">
      <c r="A70" s="7222"/>
      <c r="B70" s="7214"/>
      <c r="C70" s="200" t="s">
        <v>420</v>
      </c>
      <c r="D70" s="294">
        <f>D76+D77</f>
        <v>2480</v>
      </c>
      <c r="E70" s="295">
        <f t="shared" ref="E70:O70" si="61">E76+E77</f>
        <v>2481</v>
      </c>
      <c r="F70" s="295">
        <f t="shared" si="61"/>
        <v>2160</v>
      </c>
      <c r="G70" s="295">
        <f t="shared" si="61"/>
        <v>2547</v>
      </c>
      <c r="H70" s="295">
        <f t="shared" si="61"/>
        <v>2479</v>
      </c>
      <c r="I70" s="295">
        <f t="shared" si="61"/>
        <v>2715</v>
      </c>
      <c r="J70" s="295">
        <f t="shared" si="61"/>
        <v>2264</v>
      </c>
      <c r="K70" s="295">
        <f t="shared" si="61"/>
        <v>3274</v>
      </c>
      <c r="L70" s="295">
        <f t="shared" si="61"/>
        <v>2202</v>
      </c>
      <c r="M70" s="295">
        <f t="shared" si="61"/>
        <v>3566</v>
      </c>
      <c r="N70" s="295">
        <f t="shared" si="61"/>
        <v>2454</v>
      </c>
      <c r="O70" s="295">
        <f t="shared" si="61"/>
        <v>1982</v>
      </c>
      <c r="P70" s="295">
        <f>SUM(D70:O70)</f>
        <v>30604</v>
      </c>
      <c r="Q70" s="296">
        <f t="shared" si="39"/>
        <v>2550.3333333333335</v>
      </c>
      <c r="R70" s="374"/>
      <c r="S70" s="294">
        <f>S76+S77</f>
        <v>2359</v>
      </c>
      <c r="T70" s="295">
        <f t="shared" ref="T70:AD70" si="62">T76+T77</f>
        <v>2993</v>
      </c>
      <c r="U70" s="295">
        <f t="shared" si="62"/>
        <v>2399</v>
      </c>
      <c r="V70" s="295">
        <f t="shared" si="62"/>
        <v>2274</v>
      </c>
      <c r="W70" s="295">
        <f t="shared" si="62"/>
        <v>2628</v>
      </c>
      <c r="X70" s="295">
        <f t="shared" si="62"/>
        <v>2425</v>
      </c>
      <c r="Y70" s="295">
        <f t="shared" si="62"/>
        <v>2194</v>
      </c>
      <c r="Z70" s="295">
        <f t="shared" si="62"/>
        <v>3658</v>
      </c>
      <c r="AA70" s="295">
        <f t="shared" si="62"/>
        <v>1772</v>
      </c>
      <c r="AB70" s="295">
        <f t="shared" si="62"/>
        <v>3494</v>
      </c>
      <c r="AC70" s="295">
        <f t="shared" si="62"/>
        <v>2245</v>
      </c>
      <c r="AD70" s="295">
        <f t="shared" si="62"/>
        <v>1949</v>
      </c>
      <c r="AE70" s="295">
        <f t="shared" si="40"/>
        <v>30390</v>
      </c>
      <c r="AF70" s="296">
        <f t="shared" si="41"/>
        <v>2532.5</v>
      </c>
      <c r="AG70" s="374"/>
      <c r="AH70" s="294">
        <v>3517</v>
      </c>
      <c r="AI70" s="295">
        <v>2125</v>
      </c>
      <c r="AJ70" s="295">
        <v>2338</v>
      </c>
      <c r="AK70" s="295">
        <v>2379</v>
      </c>
      <c r="AL70" s="295">
        <v>2435</v>
      </c>
      <c r="AM70" s="295">
        <v>2150</v>
      </c>
      <c r="AN70" s="295">
        <v>3234</v>
      </c>
      <c r="AO70" s="295">
        <v>2392</v>
      </c>
      <c r="AP70" s="295">
        <v>3129</v>
      </c>
      <c r="AQ70" s="295">
        <v>2380</v>
      </c>
      <c r="AR70" s="295">
        <v>2267</v>
      </c>
      <c r="AS70" s="295">
        <v>1932</v>
      </c>
      <c r="AT70" s="295">
        <f>SUM(AH70:AS70)</f>
        <v>30278</v>
      </c>
      <c r="AU70" s="296">
        <f t="shared" si="59"/>
        <v>2523.1666666666665</v>
      </c>
      <c r="AV70" s="374"/>
      <c r="AW70" s="2016"/>
      <c r="AX70" s="295"/>
      <c r="AY70" s="295"/>
      <c r="AZ70" s="295"/>
      <c r="BA70" s="295"/>
      <c r="BB70" s="295"/>
      <c r="BC70" s="295"/>
      <c r="BD70" s="295"/>
      <c r="BE70" s="295"/>
      <c r="BF70" s="295"/>
      <c r="BG70" s="295"/>
      <c r="BH70" s="295"/>
      <c r="BI70" s="295">
        <f t="shared" si="45"/>
        <v>0</v>
      </c>
      <c r="BJ70" s="296">
        <f t="shared" si="46"/>
        <v>0</v>
      </c>
      <c r="BL70" s="317">
        <f>ROW()</f>
        <v>70</v>
      </c>
      <c r="BM70" s="317">
        <f t="shared" si="54"/>
        <v>-1932</v>
      </c>
      <c r="BN70" s="317">
        <f t="shared" si="60"/>
        <v>-2523.1666666666665</v>
      </c>
      <c r="BO70" s="317">
        <f t="shared" si="55"/>
        <v>-30278</v>
      </c>
      <c r="BP70" s="594">
        <f t="shared" si="56"/>
        <v>0</v>
      </c>
    </row>
    <row r="71" spans="1:68" ht="17.399999999999999" hidden="1" customHeight="1" x14ac:dyDescent="0.55000000000000004">
      <c r="A71" s="7222"/>
      <c r="B71" s="7214"/>
      <c r="C71" s="200" t="s">
        <v>421</v>
      </c>
      <c r="D71" s="294">
        <f>D78+D79</f>
        <v>3219</v>
      </c>
      <c r="E71" s="295">
        <f t="shared" ref="E71:O71" si="63">E78+E79</f>
        <v>3163</v>
      </c>
      <c r="F71" s="295">
        <f t="shared" si="63"/>
        <v>3140</v>
      </c>
      <c r="G71" s="295">
        <f t="shared" si="63"/>
        <v>3300</v>
      </c>
      <c r="H71" s="295">
        <f t="shared" si="63"/>
        <v>3253</v>
      </c>
      <c r="I71" s="295">
        <f t="shared" si="63"/>
        <v>3730</v>
      </c>
      <c r="J71" s="295">
        <f t="shared" si="63"/>
        <v>3036</v>
      </c>
      <c r="K71" s="295">
        <f t="shared" si="63"/>
        <v>4304</v>
      </c>
      <c r="L71" s="295">
        <f t="shared" si="63"/>
        <v>2974</v>
      </c>
      <c r="M71" s="295">
        <f t="shared" si="63"/>
        <v>4516</v>
      </c>
      <c r="N71" s="295">
        <f t="shared" si="63"/>
        <v>3351</v>
      </c>
      <c r="O71" s="295">
        <f t="shared" si="63"/>
        <v>2861</v>
      </c>
      <c r="P71" s="295">
        <f>SUM(D71:O71)</f>
        <v>40847</v>
      </c>
      <c r="Q71" s="296">
        <f t="shared" si="39"/>
        <v>3403.9166666666665</v>
      </c>
      <c r="R71" s="374"/>
      <c r="S71" s="294">
        <f>S78+S79</f>
        <v>3147</v>
      </c>
      <c r="T71" s="295">
        <f t="shared" ref="T71:AD71" si="64">T78+T79</f>
        <v>3971</v>
      </c>
      <c r="U71" s="295">
        <f t="shared" si="64"/>
        <v>3428</v>
      </c>
      <c r="V71" s="295">
        <f t="shared" si="64"/>
        <v>3268</v>
      </c>
      <c r="W71" s="295">
        <f t="shared" si="64"/>
        <v>3290</v>
      </c>
      <c r="X71" s="295">
        <f t="shared" si="64"/>
        <v>3333</v>
      </c>
      <c r="Y71" s="295">
        <f t="shared" si="64"/>
        <v>2961</v>
      </c>
      <c r="Z71" s="295">
        <f t="shared" si="64"/>
        <v>4875</v>
      </c>
      <c r="AA71" s="295">
        <f t="shared" si="64"/>
        <v>2403</v>
      </c>
      <c r="AB71" s="295">
        <f t="shared" si="64"/>
        <v>4484</v>
      </c>
      <c r="AC71" s="295">
        <f t="shared" si="64"/>
        <v>3069</v>
      </c>
      <c r="AD71" s="295">
        <f t="shared" si="64"/>
        <v>2563</v>
      </c>
      <c r="AE71" s="295">
        <f t="shared" si="40"/>
        <v>40792</v>
      </c>
      <c r="AF71" s="296">
        <f t="shared" si="41"/>
        <v>3399.3333333333335</v>
      </c>
      <c r="AG71" s="374"/>
      <c r="AH71" s="294">
        <v>4692</v>
      </c>
      <c r="AI71" s="295">
        <v>3152</v>
      </c>
      <c r="AJ71" s="295">
        <v>3196</v>
      </c>
      <c r="AK71" s="295">
        <v>3226</v>
      </c>
      <c r="AL71" s="295">
        <v>3338</v>
      </c>
      <c r="AM71" s="295">
        <v>2894</v>
      </c>
      <c r="AN71" s="295">
        <v>4306</v>
      </c>
      <c r="AO71" s="295">
        <v>3371</v>
      </c>
      <c r="AP71" s="295">
        <v>4075</v>
      </c>
      <c r="AQ71" s="295">
        <v>3463</v>
      </c>
      <c r="AR71" s="295">
        <v>2953</v>
      </c>
      <c r="AS71" s="295">
        <v>2564</v>
      </c>
      <c r="AT71" s="295">
        <f>SUM(AH71:AS71)</f>
        <v>41230</v>
      </c>
      <c r="AU71" s="296">
        <f t="shared" si="59"/>
        <v>3435.8333333333335</v>
      </c>
      <c r="AV71" s="374"/>
      <c r="AW71" s="2016"/>
      <c r="AX71" s="295"/>
      <c r="AY71" s="295"/>
      <c r="AZ71" s="295"/>
      <c r="BA71" s="295"/>
      <c r="BB71" s="295"/>
      <c r="BC71" s="295"/>
      <c r="BD71" s="295"/>
      <c r="BE71" s="295"/>
      <c r="BF71" s="295"/>
      <c r="BG71" s="295"/>
      <c r="BH71" s="295"/>
      <c r="BI71" s="295">
        <f t="shared" si="45"/>
        <v>0</v>
      </c>
      <c r="BJ71" s="296">
        <f t="shared" si="46"/>
        <v>0</v>
      </c>
      <c r="BL71" s="317">
        <f>ROW()</f>
        <v>71</v>
      </c>
      <c r="BM71" s="317">
        <f t="shared" si="54"/>
        <v>-2564</v>
      </c>
      <c r="BN71" s="317">
        <f t="shared" si="60"/>
        <v>-3435.8333333333335</v>
      </c>
      <c r="BO71" s="317">
        <f t="shared" si="55"/>
        <v>-41230</v>
      </c>
      <c r="BP71" s="594">
        <f t="shared" si="56"/>
        <v>0</v>
      </c>
    </row>
    <row r="72" spans="1:68" ht="17.399999999999999" hidden="1" customHeight="1" x14ac:dyDescent="0.55000000000000004">
      <c r="A72" s="7222"/>
      <c r="B72" s="7214"/>
      <c r="C72" s="200" t="s">
        <v>422</v>
      </c>
      <c r="D72" s="294">
        <f>D80+D81</f>
        <v>4000</v>
      </c>
      <c r="E72" s="295">
        <f t="shared" ref="E72:O72" si="65">E80+E81</f>
        <v>4089</v>
      </c>
      <c r="F72" s="295">
        <f t="shared" si="65"/>
        <v>3772</v>
      </c>
      <c r="G72" s="295">
        <f t="shared" si="65"/>
        <v>3907</v>
      </c>
      <c r="H72" s="295">
        <f t="shared" si="65"/>
        <v>3798</v>
      </c>
      <c r="I72" s="295">
        <f t="shared" si="65"/>
        <v>4617</v>
      </c>
      <c r="J72" s="295">
        <f t="shared" si="65"/>
        <v>3617</v>
      </c>
      <c r="K72" s="295">
        <f t="shared" si="65"/>
        <v>5412</v>
      </c>
      <c r="L72" s="295">
        <f t="shared" si="65"/>
        <v>3181</v>
      </c>
      <c r="M72" s="295">
        <f t="shared" si="65"/>
        <v>5021</v>
      </c>
      <c r="N72" s="295">
        <f t="shared" si="65"/>
        <v>3874</v>
      </c>
      <c r="O72" s="295">
        <f t="shared" si="65"/>
        <v>3317</v>
      </c>
      <c r="P72" s="295">
        <f>SUM(D72:O72)</f>
        <v>48605</v>
      </c>
      <c r="Q72" s="296">
        <f t="shared" si="39"/>
        <v>4050.4166666666665</v>
      </c>
      <c r="R72" s="374"/>
      <c r="S72" s="294">
        <f>S80+S81</f>
        <v>3671</v>
      </c>
      <c r="T72" s="295">
        <f t="shared" ref="T72:AD72" si="66">T80+T81</f>
        <v>5204</v>
      </c>
      <c r="U72" s="295">
        <f t="shared" si="66"/>
        <v>3841</v>
      </c>
      <c r="V72" s="295">
        <f t="shared" si="66"/>
        <v>3689</v>
      </c>
      <c r="W72" s="295">
        <f t="shared" si="66"/>
        <v>4105</v>
      </c>
      <c r="X72" s="295">
        <f t="shared" si="66"/>
        <v>3924</v>
      </c>
      <c r="Y72" s="295">
        <f t="shared" si="66"/>
        <v>3276</v>
      </c>
      <c r="Z72" s="295">
        <f t="shared" si="66"/>
        <v>6219</v>
      </c>
      <c r="AA72" s="295">
        <f t="shared" si="66"/>
        <v>2874</v>
      </c>
      <c r="AB72" s="295">
        <f t="shared" si="66"/>
        <v>5117</v>
      </c>
      <c r="AC72" s="295">
        <f t="shared" si="66"/>
        <v>3338</v>
      </c>
      <c r="AD72" s="295">
        <f t="shared" si="66"/>
        <v>2987</v>
      </c>
      <c r="AE72" s="295">
        <f t="shared" si="40"/>
        <v>48245</v>
      </c>
      <c r="AF72" s="296">
        <f t="shared" si="41"/>
        <v>4020.4166666666665</v>
      </c>
      <c r="AG72" s="374"/>
      <c r="AH72" s="294">
        <v>6022</v>
      </c>
      <c r="AI72" s="295">
        <v>3437</v>
      </c>
      <c r="AJ72" s="295">
        <v>3745</v>
      </c>
      <c r="AK72" s="295">
        <v>3780</v>
      </c>
      <c r="AL72" s="295">
        <v>3853</v>
      </c>
      <c r="AM72" s="295">
        <v>3467</v>
      </c>
      <c r="AN72" s="295">
        <v>5397</v>
      </c>
      <c r="AO72" s="295">
        <v>3762</v>
      </c>
      <c r="AP72" s="295">
        <v>4800</v>
      </c>
      <c r="AQ72" s="295">
        <v>3682</v>
      </c>
      <c r="AR72" s="295">
        <v>3371</v>
      </c>
      <c r="AS72" s="295">
        <v>2885</v>
      </c>
      <c r="AT72" s="295">
        <f>SUM(AH72:AS72)</f>
        <v>48201</v>
      </c>
      <c r="AU72" s="296">
        <f t="shared" si="59"/>
        <v>4016.75</v>
      </c>
      <c r="AV72" s="374"/>
      <c r="AW72" s="2016"/>
      <c r="AX72" s="295"/>
      <c r="AY72" s="295"/>
      <c r="AZ72" s="295"/>
      <c r="BA72" s="295"/>
      <c r="BB72" s="295"/>
      <c r="BC72" s="295"/>
      <c r="BD72" s="295"/>
      <c r="BE72" s="295"/>
      <c r="BF72" s="295"/>
      <c r="BG72" s="295"/>
      <c r="BH72" s="295"/>
      <c r="BI72" s="295">
        <f t="shared" si="45"/>
        <v>0</v>
      </c>
      <c r="BJ72" s="296">
        <f t="shared" si="46"/>
        <v>0</v>
      </c>
      <c r="BL72" s="317">
        <f>ROW()</f>
        <v>72</v>
      </c>
      <c r="BM72" s="317">
        <f t="shared" si="54"/>
        <v>-2885</v>
      </c>
      <c r="BN72" s="317">
        <f t="shared" si="60"/>
        <v>-4016.75</v>
      </c>
      <c r="BO72" s="317">
        <f t="shared" si="55"/>
        <v>-48201</v>
      </c>
      <c r="BP72" s="594">
        <f t="shared" si="56"/>
        <v>0</v>
      </c>
    </row>
    <row r="73" spans="1:68" ht="17.399999999999999" hidden="1" customHeight="1" x14ac:dyDescent="0.55000000000000004">
      <c r="A73" s="7222"/>
      <c r="B73" s="7215"/>
      <c r="C73" s="201" t="s">
        <v>423</v>
      </c>
      <c r="D73" s="297">
        <f>D82+D83</f>
        <v>3076</v>
      </c>
      <c r="E73" s="298">
        <f t="shared" ref="E73:O73" si="67">E82+E83</f>
        <v>3219</v>
      </c>
      <c r="F73" s="298">
        <f t="shared" si="67"/>
        <v>3062</v>
      </c>
      <c r="G73" s="298">
        <f t="shared" si="67"/>
        <v>3081</v>
      </c>
      <c r="H73" s="298">
        <f t="shared" si="67"/>
        <v>2974</v>
      </c>
      <c r="I73" s="298">
        <f t="shared" si="67"/>
        <v>3513</v>
      </c>
      <c r="J73" s="298">
        <f t="shared" si="67"/>
        <v>2779</v>
      </c>
      <c r="K73" s="298">
        <f t="shared" si="67"/>
        <v>4176</v>
      </c>
      <c r="L73" s="298">
        <f t="shared" si="67"/>
        <v>2509</v>
      </c>
      <c r="M73" s="298">
        <f t="shared" si="67"/>
        <v>4089</v>
      </c>
      <c r="N73" s="298">
        <f t="shared" si="67"/>
        <v>2869</v>
      </c>
      <c r="O73" s="298">
        <f t="shared" si="67"/>
        <v>2561</v>
      </c>
      <c r="P73" s="298">
        <f>SUM(D73:O73)</f>
        <v>37908</v>
      </c>
      <c r="Q73" s="299">
        <f t="shared" si="39"/>
        <v>3159</v>
      </c>
      <c r="R73" s="374"/>
      <c r="S73" s="297">
        <f>S82+S83</f>
        <v>2620</v>
      </c>
      <c r="T73" s="298">
        <f t="shared" ref="T73:AD73" si="68">T82+T83</f>
        <v>3879</v>
      </c>
      <c r="U73" s="298">
        <f t="shared" si="68"/>
        <v>3036</v>
      </c>
      <c r="V73" s="298">
        <f t="shared" si="68"/>
        <v>2825</v>
      </c>
      <c r="W73" s="298">
        <f t="shared" si="68"/>
        <v>3256</v>
      </c>
      <c r="X73" s="298">
        <f t="shared" si="68"/>
        <v>2925</v>
      </c>
      <c r="Y73" s="298">
        <f t="shared" si="68"/>
        <v>2778</v>
      </c>
      <c r="Z73" s="298">
        <f t="shared" si="68"/>
        <v>4721</v>
      </c>
      <c r="AA73" s="298">
        <f t="shared" si="68"/>
        <v>2265</v>
      </c>
      <c r="AB73" s="298">
        <f t="shared" si="68"/>
        <v>4089</v>
      </c>
      <c r="AC73" s="298">
        <f t="shared" si="68"/>
        <v>2814</v>
      </c>
      <c r="AD73" s="298">
        <f t="shared" si="68"/>
        <v>2483</v>
      </c>
      <c r="AE73" s="298">
        <f t="shared" si="40"/>
        <v>37691</v>
      </c>
      <c r="AF73" s="299">
        <f t="shared" si="41"/>
        <v>3140.9166666666665</v>
      </c>
      <c r="AG73" s="374"/>
      <c r="AH73" s="297">
        <v>4305</v>
      </c>
      <c r="AI73" s="298">
        <v>2582</v>
      </c>
      <c r="AJ73" s="298">
        <v>2922</v>
      </c>
      <c r="AK73" s="298">
        <v>2923</v>
      </c>
      <c r="AL73" s="298">
        <v>2842</v>
      </c>
      <c r="AM73" s="298">
        <v>2708</v>
      </c>
      <c r="AN73" s="298">
        <v>4048</v>
      </c>
      <c r="AO73" s="298">
        <v>2921</v>
      </c>
      <c r="AP73" s="298">
        <v>3916</v>
      </c>
      <c r="AQ73" s="298">
        <v>2898</v>
      </c>
      <c r="AR73" s="298">
        <v>2724</v>
      </c>
      <c r="AS73" s="298">
        <v>2409</v>
      </c>
      <c r="AT73" s="298">
        <f>SUM(AH73:AS73)</f>
        <v>37198</v>
      </c>
      <c r="AU73" s="299">
        <f t="shared" si="59"/>
        <v>3099.8333333333335</v>
      </c>
      <c r="AV73" s="374"/>
      <c r="AW73" s="2017"/>
      <c r="AX73" s="298"/>
      <c r="AY73" s="298"/>
      <c r="AZ73" s="298"/>
      <c r="BA73" s="298"/>
      <c r="BB73" s="298"/>
      <c r="BC73" s="298"/>
      <c r="BD73" s="298"/>
      <c r="BE73" s="298"/>
      <c r="BF73" s="298"/>
      <c r="BG73" s="298"/>
      <c r="BH73" s="298"/>
      <c r="BI73" s="298">
        <f t="shared" si="45"/>
        <v>0</v>
      </c>
      <c r="BJ73" s="299">
        <f t="shared" si="46"/>
        <v>0</v>
      </c>
      <c r="BL73" s="317">
        <f>ROW()</f>
        <v>73</v>
      </c>
      <c r="BM73" s="317">
        <f t="shared" si="54"/>
        <v>-2409</v>
      </c>
      <c r="BN73" s="317">
        <f t="shared" si="60"/>
        <v>-3099.8333333333335</v>
      </c>
      <c r="BO73" s="317">
        <f t="shared" si="55"/>
        <v>-37198</v>
      </c>
      <c r="BP73" s="594">
        <f t="shared" si="56"/>
        <v>0</v>
      </c>
    </row>
    <row r="74" spans="1:68" ht="17.399999999999999" hidden="1" customHeight="1" x14ac:dyDescent="0.55000000000000004">
      <c r="A74" s="7222"/>
      <c r="B74" s="7207" t="s">
        <v>431</v>
      </c>
      <c r="C74" s="202" t="s">
        <v>227</v>
      </c>
      <c r="D74" s="300">
        <v>1186</v>
      </c>
      <c r="E74" s="301">
        <v>1086</v>
      </c>
      <c r="F74" s="301">
        <v>1036</v>
      </c>
      <c r="G74" s="301">
        <v>1060</v>
      </c>
      <c r="H74" s="301">
        <v>1033</v>
      </c>
      <c r="I74" s="301">
        <v>1050</v>
      </c>
      <c r="J74" s="301">
        <v>1042</v>
      </c>
      <c r="K74" s="301">
        <v>1461</v>
      </c>
      <c r="L74" s="301">
        <v>945</v>
      </c>
      <c r="M74" s="301">
        <v>1662</v>
      </c>
      <c r="N74" s="301">
        <v>1051</v>
      </c>
      <c r="O74" s="301">
        <v>885</v>
      </c>
      <c r="P74" s="301">
        <f t="shared" si="38"/>
        <v>13497</v>
      </c>
      <c r="Q74" s="302">
        <f t="shared" si="39"/>
        <v>1124.75</v>
      </c>
      <c r="R74" s="374"/>
      <c r="S74" s="300">
        <v>1064</v>
      </c>
      <c r="T74" s="301">
        <v>1462</v>
      </c>
      <c r="U74" s="301">
        <v>1209</v>
      </c>
      <c r="V74" s="301">
        <v>1185</v>
      </c>
      <c r="W74" s="301">
        <v>1283</v>
      </c>
      <c r="X74" s="301">
        <v>1149</v>
      </c>
      <c r="Y74" s="301">
        <v>1064</v>
      </c>
      <c r="Z74" s="301">
        <v>1751</v>
      </c>
      <c r="AA74" s="301">
        <v>851</v>
      </c>
      <c r="AB74" s="301">
        <v>1620</v>
      </c>
      <c r="AC74" s="301">
        <v>1217</v>
      </c>
      <c r="AD74" s="301">
        <v>944</v>
      </c>
      <c r="AE74" s="301">
        <f t="shared" si="40"/>
        <v>14799</v>
      </c>
      <c r="AF74" s="302">
        <f t="shared" si="41"/>
        <v>1233.25</v>
      </c>
      <c r="AG74" s="374"/>
      <c r="AH74" s="1023">
        <v>1579</v>
      </c>
      <c r="AI74" s="1024">
        <v>917</v>
      </c>
      <c r="AJ74" s="1024">
        <v>1129</v>
      </c>
      <c r="AK74" s="1024">
        <v>1167</v>
      </c>
      <c r="AL74" s="1024">
        <v>1111</v>
      </c>
      <c r="AM74" s="1024">
        <v>1016</v>
      </c>
      <c r="AN74" s="1024">
        <v>1625</v>
      </c>
      <c r="AO74" s="301">
        <v>1126</v>
      </c>
      <c r="AP74" s="301">
        <v>1605</v>
      </c>
      <c r="AQ74" s="301">
        <v>1148</v>
      </c>
      <c r="AR74" s="301">
        <v>1071</v>
      </c>
      <c r="AS74" s="301">
        <v>955.00000000000011</v>
      </c>
      <c r="AT74" s="301">
        <f t="shared" si="42"/>
        <v>14449</v>
      </c>
      <c r="AU74" s="302">
        <f t="shared" si="59"/>
        <v>1204.0833333333333</v>
      </c>
      <c r="AV74" s="374"/>
      <c r="AW74" s="2018"/>
      <c r="AX74" s="1024"/>
      <c r="AY74" s="1024"/>
      <c r="AZ74" s="1024"/>
      <c r="BA74" s="1024"/>
      <c r="BB74" s="1024"/>
      <c r="BC74" s="1024"/>
      <c r="BD74" s="301"/>
      <c r="BE74" s="301"/>
      <c r="BF74" s="301"/>
      <c r="BG74" s="301"/>
      <c r="BH74" s="301"/>
      <c r="BI74" s="301">
        <f t="shared" ref="BI74:BI88" si="69">SUM(AW74:BH74)</f>
        <v>0</v>
      </c>
      <c r="BJ74" s="302">
        <f t="shared" si="46"/>
        <v>0</v>
      </c>
      <c r="BL74" s="317">
        <f>ROW()</f>
        <v>74</v>
      </c>
      <c r="BM74" s="317">
        <f t="shared" si="54"/>
        <v>-955.00000000000011</v>
      </c>
      <c r="BN74" s="317">
        <f t="shared" si="60"/>
        <v>-1204.0833333333333</v>
      </c>
      <c r="BO74" s="317">
        <f t="shared" si="55"/>
        <v>-14449</v>
      </c>
      <c r="BP74" s="594">
        <f t="shared" si="56"/>
        <v>0</v>
      </c>
    </row>
    <row r="75" spans="1:68" ht="17.399999999999999" hidden="1" customHeight="1" x14ac:dyDescent="0.55000000000000004">
      <c r="A75" s="7222"/>
      <c r="B75" s="7208"/>
      <c r="C75" s="202" t="s">
        <v>228</v>
      </c>
      <c r="D75" s="300">
        <v>1335</v>
      </c>
      <c r="E75" s="301">
        <v>1360</v>
      </c>
      <c r="F75" s="301">
        <v>1208</v>
      </c>
      <c r="G75" s="301">
        <v>1233</v>
      </c>
      <c r="H75" s="301">
        <v>1247</v>
      </c>
      <c r="I75" s="301">
        <v>1406</v>
      </c>
      <c r="J75" s="301">
        <v>1171</v>
      </c>
      <c r="K75" s="301">
        <v>1740</v>
      </c>
      <c r="L75" s="301">
        <v>1029</v>
      </c>
      <c r="M75" s="301">
        <v>1555</v>
      </c>
      <c r="N75" s="301">
        <v>1140</v>
      </c>
      <c r="O75" s="301">
        <v>1025</v>
      </c>
      <c r="P75" s="301">
        <f t="shared" si="38"/>
        <v>15449</v>
      </c>
      <c r="Q75" s="302">
        <f t="shared" si="39"/>
        <v>1287.4166666666667</v>
      </c>
      <c r="R75" s="374"/>
      <c r="S75" s="300">
        <v>1066</v>
      </c>
      <c r="T75" s="301">
        <v>1438</v>
      </c>
      <c r="U75" s="301">
        <v>1092</v>
      </c>
      <c r="V75" s="301">
        <v>1092</v>
      </c>
      <c r="W75" s="301">
        <v>1237</v>
      </c>
      <c r="X75" s="301">
        <v>1188</v>
      </c>
      <c r="Y75" s="301">
        <v>1058</v>
      </c>
      <c r="Z75" s="301">
        <v>1800</v>
      </c>
      <c r="AA75" s="301">
        <v>844</v>
      </c>
      <c r="AB75" s="301">
        <v>1583</v>
      </c>
      <c r="AC75" s="301">
        <v>1026</v>
      </c>
      <c r="AD75" s="301">
        <v>820</v>
      </c>
      <c r="AE75" s="301">
        <f t="shared" si="40"/>
        <v>14244</v>
      </c>
      <c r="AF75" s="302">
        <f t="shared" si="41"/>
        <v>1187</v>
      </c>
      <c r="AG75" s="374"/>
      <c r="AH75" s="1023">
        <v>1745</v>
      </c>
      <c r="AI75" s="1024">
        <v>1051</v>
      </c>
      <c r="AJ75" s="1024">
        <v>1170</v>
      </c>
      <c r="AK75" s="1024">
        <v>1152</v>
      </c>
      <c r="AL75" s="1024">
        <v>1255</v>
      </c>
      <c r="AM75" s="1024">
        <v>1156</v>
      </c>
      <c r="AN75" s="1024">
        <v>1823</v>
      </c>
      <c r="AO75" s="301">
        <v>1324</v>
      </c>
      <c r="AP75" s="301">
        <v>1704</v>
      </c>
      <c r="AQ75" s="301">
        <v>1328</v>
      </c>
      <c r="AR75" s="301">
        <v>1199</v>
      </c>
      <c r="AS75" s="301">
        <v>1056</v>
      </c>
      <c r="AT75" s="301">
        <f t="shared" si="42"/>
        <v>15963</v>
      </c>
      <c r="AU75" s="302">
        <f t="shared" si="59"/>
        <v>1330.25</v>
      </c>
      <c r="AV75" s="374"/>
      <c r="AW75" s="2018"/>
      <c r="AX75" s="1024"/>
      <c r="AY75" s="1024"/>
      <c r="AZ75" s="1024"/>
      <c r="BA75" s="1024"/>
      <c r="BB75" s="1024"/>
      <c r="BC75" s="1024"/>
      <c r="BD75" s="301"/>
      <c r="BE75" s="301"/>
      <c r="BF75" s="301"/>
      <c r="BG75" s="301"/>
      <c r="BH75" s="301"/>
      <c r="BI75" s="301">
        <f t="shared" si="69"/>
        <v>0</v>
      </c>
      <c r="BJ75" s="302">
        <f t="shared" si="46"/>
        <v>0</v>
      </c>
      <c r="BL75" s="317">
        <f>ROW()</f>
        <v>75</v>
      </c>
      <c r="BM75" s="317">
        <f t="shared" si="54"/>
        <v>-1056</v>
      </c>
      <c r="BN75" s="317">
        <f t="shared" si="60"/>
        <v>-1330.25</v>
      </c>
      <c r="BO75" s="317">
        <f t="shared" si="55"/>
        <v>-15963</v>
      </c>
      <c r="BP75" s="594">
        <f t="shared" si="56"/>
        <v>0</v>
      </c>
    </row>
    <row r="76" spans="1:68" ht="17.399999999999999" hidden="1" customHeight="1" x14ac:dyDescent="0.55000000000000004">
      <c r="A76" s="7222"/>
      <c r="B76" s="7208"/>
      <c r="C76" s="203" t="s">
        <v>229</v>
      </c>
      <c r="D76" s="303">
        <v>948</v>
      </c>
      <c r="E76" s="304">
        <v>1010</v>
      </c>
      <c r="F76" s="304">
        <v>877</v>
      </c>
      <c r="G76" s="304">
        <v>1087</v>
      </c>
      <c r="H76" s="304">
        <v>1012</v>
      </c>
      <c r="I76" s="304">
        <v>1110</v>
      </c>
      <c r="J76" s="304">
        <v>960</v>
      </c>
      <c r="K76" s="304">
        <v>1375</v>
      </c>
      <c r="L76" s="304">
        <v>964</v>
      </c>
      <c r="M76" s="304">
        <v>1567</v>
      </c>
      <c r="N76" s="304">
        <v>1073</v>
      </c>
      <c r="O76" s="304">
        <v>841</v>
      </c>
      <c r="P76" s="304">
        <f t="shared" si="38"/>
        <v>12824</v>
      </c>
      <c r="Q76" s="305">
        <f t="shared" si="39"/>
        <v>1068.6666666666667</v>
      </c>
      <c r="R76" s="374"/>
      <c r="S76" s="303">
        <v>981</v>
      </c>
      <c r="T76" s="304">
        <v>1182</v>
      </c>
      <c r="U76" s="304">
        <v>978</v>
      </c>
      <c r="V76" s="304">
        <v>869</v>
      </c>
      <c r="W76" s="304">
        <v>1168</v>
      </c>
      <c r="X76" s="304">
        <v>1004</v>
      </c>
      <c r="Y76" s="304">
        <v>937</v>
      </c>
      <c r="Z76" s="304">
        <v>1509</v>
      </c>
      <c r="AA76" s="304">
        <v>760</v>
      </c>
      <c r="AB76" s="304">
        <v>1535</v>
      </c>
      <c r="AC76" s="304">
        <v>1015</v>
      </c>
      <c r="AD76" s="304">
        <v>831</v>
      </c>
      <c r="AE76" s="304">
        <f t="shared" si="40"/>
        <v>12769</v>
      </c>
      <c r="AF76" s="305">
        <f t="shared" si="41"/>
        <v>1064.0833333333333</v>
      </c>
      <c r="AG76" s="374"/>
      <c r="AH76" s="1025">
        <v>1538</v>
      </c>
      <c r="AI76" s="1026">
        <v>906</v>
      </c>
      <c r="AJ76" s="1026">
        <v>985</v>
      </c>
      <c r="AK76" s="1026">
        <v>1020.0000000000001</v>
      </c>
      <c r="AL76" s="1026">
        <v>987</v>
      </c>
      <c r="AM76" s="1026">
        <v>953.99999999999989</v>
      </c>
      <c r="AN76" s="1026">
        <v>1396</v>
      </c>
      <c r="AO76" s="304">
        <v>1020</v>
      </c>
      <c r="AP76" s="304">
        <v>1367</v>
      </c>
      <c r="AQ76" s="304">
        <v>1039</v>
      </c>
      <c r="AR76" s="304">
        <v>989</v>
      </c>
      <c r="AS76" s="304">
        <v>815</v>
      </c>
      <c r="AT76" s="304">
        <f t="shared" si="42"/>
        <v>13016</v>
      </c>
      <c r="AU76" s="305">
        <f t="shared" si="59"/>
        <v>1084.6666666666667</v>
      </c>
      <c r="AV76" s="374"/>
      <c r="AW76" s="2019"/>
      <c r="AX76" s="1026"/>
      <c r="AY76" s="1026"/>
      <c r="AZ76" s="1026"/>
      <c r="BA76" s="1026"/>
      <c r="BB76" s="1026"/>
      <c r="BC76" s="1026"/>
      <c r="BD76" s="304"/>
      <c r="BE76" s="304"/>
      <c r="BF76" s="304"/>
      <c r="BG76" s="304"/>
      <c r="BH76" s="304"/>
      <c r="BI76" s="304">
        <f t="shared" si="69"/>
        <v>0</v>
      </c>
      <c r="BJ76" s="305">
        <f t="shared" si="46"/>
        <v>0</v>
      </c>
      <c r="BL76" s="317">
        <f>ROW()</f>
        <v>76</v>
      </c>
      <c r="BM76" s="317">
        <f t="shared" si="54"/>
        <v>-815</v>
      </c>
      <c r="BN76" s="317">
        <f t="shared" si="60"/>
        <v>-1084.6666666666667</v>
      </c>
      <c r="BO76" s="317">
        <f t="shared" si="55"/>
        <v>-13016</v>
      </c>
      <c r="BP76" s="594">
        <f t="shared" si="56"/>
        <v>0</v>
      </c>
    </row>
    <row r="77" spans="1:68" ht="17.399999999999999" hidden="1" customHeight="1" x14ac:dyDescent="0.55000000000000004">
      <c r="A77" s="7222"/>
      <c r="B77" s="7208"/>
      <c r="C77" s="203" t="s">
        <v>230</v>
      </c>
      <c r="D77" s="303">
        <v>1532</v>
      </c>
      <c r="E77" s="304">
        <v>1471</v>
      </c>
      <c r="F77" s="304">
        <v>1283</v>
      </c>
      <c r="G77" s="304">
        <v>1460</v>
      </c>
      <c r="H77" s="304">
        <v>1467</v>
      </c>
      <c r="I77" s="304">
        <v>1605</v>
      </c>
      <c r="J77" s="304">
        <v>1304</v>
      </c>
      <c r="K77" s="304">
        <v>1899</v>
      </c>
      <c r="L77" s="304">
        <v>1238</v>
      </c>
      <c r="M77" s="304">
        <v>1999</v>
      </c>
      <c r="N77" s="304">
        <v>1381</v>
      </c>
      <c r="O77" s="304">
        <v>1141</v>
      </c>
      <c r="P77" s="304">
        <f t="shared" si="38"/>
        <v>17780</v>
      </c>
      <c r="Q77" s="305">
        <f t="shared" si="39"/>
        <v>1481.6666666666667</v>
      </c>
      <c r="R77" s="374"/>
      <c r="S77" s="303">
        <v>1378</v>
      </c>
      <c r="T77" s="304">
        <v>1811</v>
      </c>
      <c r="U77" s="304">
        <v>1421</v>
      </c>
      <c r="V77" s="304">
        <v>1405</v>
      </c>
      <c r="W77" s="304">
        <v>1460</v>
      </c>
      <c r="X77" s="304">
        <v>1421</v>
      </c>
      <c r="Y77" s="304">
        <v>1257</v>
      </c>
      <c r="Z77" s="304">
        <v>2149</v>
      </c>
      <c r="AA77" s="304">
        <v>1012</v>
      </c>
      <c r="AB77" s="304">
        <v>1959</v>
      </c>
      <c r="AC77" s="304">
        <v>1230</v>
      </c>
      <c r="AD77" s="304">
        <v>1118</v>
      </c>
      <c r="AE77" s="304">
        <f t="shared" si="40"/>
        <v>17621</v>
      </c>
      <c r="AF77" s="305">
        <f t="shared" si="41"/>
        <v>1468.4166666666667</v>
      </c>
      <c r="AG77" s="374"/>
      <c r="AH77" s="1025">
        <v>1979</v>
      </c>
      <c r="AI77" s="1026">
        <v>1219</v>
      </c>
      <c r="AJ77" s="1026">
        <v>1353</v>
      </c>
      <c r="AK77" s="1026">
        <v>1359</v>
      </c>
      <c r="AL77" s="1026">
        <v>1448</v>
      </c>
      <c r="AM77" s="1026">
        <v>1196</v>
      </c>
      <c r="AN77" s="1026">
        <v>1838</v>
      </c>
      <c r="AO77" s="304">
        <v>1372</v>
      </c>
      <c r="AP77" s="304">
        <v>1761.9999999999998</v>
      </c>
      <c r="AQ77" s="304">
        <v>1341</v>
      </c>
      <c r="AR77" s="304">
        <v>1278</v>
      </c>
      <c r="AS77" s="304">
        <v>1117</v>
      </c>
      <c r="AT77" s="304">
        <f t="shared" si="42"/>
        <v>17262</v>
      </c>
      <c r="AU77" s="305">
        <f t="shared" si="59"/>
        <v>1438.5</v>
      </c>
      <c r="AV77" s="374"/>
      <c r="AW77" s="2019"/>
      <c r="AX77" s="1026"/>
      <c r="AY77" s="1026"/>
      <c r="AZ77" s="1026"/>
      <c r="BA77" s="1026"/>
      <c r="BB77" s="1026"/>
      <c r="BC77" s="1026"/>
      <c r="BD77" s="304"/>
      <c r="BE77" s="304"/>
      <c r="BF77" s="304"/>
      <c r="BG77" s="304"/>
      <c r="BH77" s="304"/>
      <c r="BI77" s="304">
        <f t="shared" si="69"/>
        <v>0</v>
      </c>
      <c r="BJ77" s="305">
        <f t="shared" si="46"/>
        <v>0</v>
      </c>
      <c r="BL77" s="317">
        <f>ROW()</f>
        <v>77</v>
      </c>
      <c r="BM77" s="317">
        <f t="shared" si="54"/>
        <v>-1117</v>
      </c>
      <c r="BN77" s="317">
        <f t="shared" si="60"/>
        <v>-1438.5</v>
      </c>
      <c r="BO77" s="317">
        <f t="shared" si="55"/>
        <v>-17262</v>
      </c>
      <c r="BP77" s="594">
        <f t="shared" si="56"/>
        <v>0</v>
      </c>
    </row>
    <row r="78" spans="1:68" ht="17.399999999999999" hidden="1" customHeight="1" x14ac:dyDescent="0.55000000000000004">
      <c r="A78" s="7222"/>
      <c r="B78" s="7208"/>
      <c r="C78" s="202" t="s">
        <v>231</v>
      </c>
      <c r="D78" s="300">
        <v>1969</v>
      </c>
      <c r="E78" s="301">
        <v>1972</v>
      </c>
      <c r="F78" s="301">
        <v>1949</v>
      </c>
      <c r="G78" s="301">
        <v>2001</v>
      </c>
      <c r="H78" s="301">
        <v>1992</v>
      </c>
      <c r="I78" s="301">
        <v>2328</v>
      </c>
      <c r="J78" s="301">
        <v>1915</v>
      </c>
      <c r="K78" s="301">
        <v>2626</v>
      </c>
      <c r="L78" s="301">
        <v>1857</v>
      </c>
      <c r="M78" s="301">
        <v>2913</v>
      </c>
      <c r="N78" s="301">
        <v>2074</v>
      </c>
      <c r="O78" s="301">
        <v>1789</v>
      </c>
      <c r="P78" s="301">
        <f t="shared" si="38"/>
        <v>25385</v>
      </c>
      <c r="Q78" s="302">
        <f t="shared" si="39"/>
        <v>2115.4166666666665</v>
      </c>
      <c r="R78" s="374"/>
      <c r="S78" s="300">
        <v>1903</v>
      </c>
      <c r="T78" s="301">
        <v>2465</v>
      </c>
      <c r="U78" s="301">
        <v>2028</v>
      </c>
      <c r="V78" s="301">
        <v>1975</v>
      </c>
      <c r="W78" s="301">
        <v>1950</v>
      </c>
      <c r="X78" s="301">
        <v>2002</v>
      </c>
      <c r="Y78" s="301">
        <v>1881</v>
      </c>
      <c r="Z78" s="301">
        <v>2779</v>
      </c>
      <c r="AA78" s="301">
        <v>1443</v>
      </c>
      <c r="AB78" s="301">
        <v>2712</v>
      </c>
      <c r="AC78" s="301">
        <v>1882</v>
      </c>
      <c r="AD78" s="301">
        <v>1609</v>
      </c>
      <c r="AE78" s="301">
        <f t="shared" si="40"/>
        <v>24629</v>
      </c>
      <c r="AF78" s="302">
        <f t="shared" si="41"/>
        <v>2052.4166666666665</v>
      </c>
      <c r="AG78" s="374"/>
      <c r="AH78" s="1023">
        <v>2719</v>
      </c>
      <c r="AI78" s="1024">
        <v>1850</v>
      </c>
      <c r="AJ78" s="1024">
        <v>1872.9999999999998</v>
      </c>
      <c r="AK78" s="1024">
        <v>1916</v>
      </c>
      <c r="AL78" s="1024">
        <v>1990</v>
      </c>
      <c r="AM78" s="1024">
        <v>1773</v>
      </c>
      <c r="AN78" s="1024">
        <v>2633</v>
      </c>
      <c r="AO78" s="301">
        <v>2033.9999999999998</v>
      </c>
      <c r="AP78" s="301">
        <v>2495</v>
      </c>
      <c r="AQ78" s="301">
        <v>2050</v>
      </c>
      <c r="AR78" s="301">
        <v>1773</v>
      </c>
      <c r="AS78" s="301">
        <v>1593</v>
      </c>
      <c r="AT78" s="301">
        <f t="shared" si="42"/>
        <v>24699</v>
      </c>
      <c r="AU78" s="302">
        <f t="shared" si="59"/>
        <v>2058.25</v>
      </c>
      <c r="AV78" s="374"/>
      <c r="AW78" s="2018"/>
      <c r="AX78" s="1024"/>
      <c r="AY78" s="1024"/>
      <c r="AZ78" s="1024"/>
      <c r="BA78" s="1024"/>
      <c r="BB78" s="1024"/>
      <c r="BC78" s="1024"/>
      <c r="BD78" s="301"/>
      <c r="BE78" s="301"/>
      <c r="BF78" s="301"/>
      <c r="BG78" s="301"/>
      <c r="BH78" s="301"/>
      <c r="BI78" s="301">
        <f t="shared" si="69"/>
        <v>0</v>
      </c>
      <c r="BJ78" s="302">
        <f t="shared" si="46"/>
        <v>0</v>
      </c>
      <c r="BL78" s="317">
        <f>ROW()</f>
        <v>78</v>
      </c>
      <c r="BM78" s="317">
        <f t="shared" si="54"/>
        <v>-1593</v>
      </c>
      <c r="BN78" s="317">
        <f t="shared" si="60"/>
        <v>-2058.25</v>
      </c>
      <c r="BO78" s="317">
        <f t="shared" si="55"/>
        <v>-24699</v>
      </c>
      <c r="BP78" s="594">
        <f t="shared" si="56"/>
        <v>0</v>
      </c>
    </row>
    <row r="79" spans="1:68" ht="17.399999999999999" hidden="1" customHeight="1" x14ac:dyDescent="0.55000000000000004">
      <c r="A79" s="7222"/>
      <c r="B79" s="7208"/>
      <c r="C79" s="202" t="s">
        <v>232</v>
      </c>
      <c r="D79" s="300">
        <v>1250</v>
      </c>
      <c r="E79" s="301">
        <v>1191</v>
      </c>
      <c r="F79" s="301">
        <v>1191</v>
      </c>
      <c r="G79" s="301">
        <v>1299</v>
      </c>
      <c r="H79" s="301">
        <v>1261</v>
      </c>
      <c r="I79" s="301">
        <v>1402</v>
      </c>
      <c r="J79" s="301">
        <v>1121</v>
      </c>
      <c r="K79" s="301">
        <v>1678</v>
      </c>
      <c r="L79" s="301">
        <v>1117</v>
      </c>
      <c r="M79" s="301">
        <v>1603</v>
      </c>
      <c r="N79" s="301">
        <v>1277</v>
      </c>
      <c r="O79" s="301">
        <v>1072</v>
      </c>
      <c r="P79" s="301">
        <f t="shared" si="38"/>
        <v>15462</v>
      </c>
      <c r="Q79" s="302">
        <f t="shared" si="39"/>
        <v>1288.5</v>
      </c>
      <c r="R79" s="374"/>
      <c r="S79" s="300">
        <v>1244</v>
      </c>
      <c r="T79" s="301">
        <v>1506</v>
      </c>
      <c r="U79" s="301">
        <v>1400</v>
      </c>
      <c r="V79" s="301">
        <v>1293</v>
      </c>
      <c r="W79" s="301">
        <v>1340</v>
      </c>
      <c r="X79" s="301">
        <v>1331</v>
      </c>
      <c r="Y79" s="301">
        <v>1080</v>
      </c>
      <c r="Z79" s="301">
        <v>2096</v>
      </c>
      <c r="AA79" s="301">
        <v>960</v>
      </c>
      <c r="AB79" s="301">
        <v>1772</v>
      </c>
      <c r="AC79" s="301">
        <v>1187</v>
      </c>
      <c r="AD79" s="301">
        <v>954</v>
      </c>
      <c r="AE79" s="301">
        <f t="shared" si="40"/>
        <v>16163</v>
      </c>
      <c r="AF79" s="302">
        <f t="shared" si="41"/>
        <v>1346.9166666666667</v>
      </c>
      <c r="AG79" s="374"/>
      <c r="AH79" s="1023">
        <v>1973</v>
      </c>
      <c r="AI79" s="1024">
        <v>1302</v>
      </c>
      <c r="AJ79" s="1024">
        <v>1323</v>
      </c>
      <c r="AK79" s="1024">
        <v>1310</v>
      </c>
      <c r="AL79" s="1024">
        <v>1348</v>
      </c>
      <c r="AM79" s="1024">
        <v>1121</v>
      </c>
      <c r="AN79" s="1024">
        <v>1673</v>
      </c>
      <c r="AO79" s="301">
        <v>1337</v>
      </c>
      <c r="AP79" s="301">
        <v>1580</v>
      </c>
      <c r="AQ79" s="301">
        <v>1413</v>
      </c>
      <c r="AR79" s="301">
        <v>1180</v>
      </c>
      <c r="AS79" s="301">
        <v>971</v>
      </c>
      <c r="AT79" s="301">
        <f t="shared" si="42"/>
        <v>16531</v>
      </c>
      <c r="AU79" s="302">
        <f t="shared" si="59"/>
        <v>1377.5833333333333</v>
      </c>
      <c r="AV79" s="374"/>
      <c r="AW79" s="2018"/>
      <c r="AX79" s="1024"/>
      <c r="AY79" s="1024"/>
      <c r="AZ79" s="1024"/>
      <c r="BA79" s="1024"/>
      <c r="BB79" s="1024"/>
      <c r="BC79" s="1024"/>
      <c r="BD79" s="301"/>
      <c r="BE79" s="301"/>
      <c r="BF79" s="301"/>
      <c r="BG79" s="301"/>
      <c r="BH79" s="301"/>
      <c r="BI79" s="301">
        <f t="shared" si="69"/>
        <v>0</v>
      </c>
      <c r="BJ79" s="302">
        <f t="shared" si="46"/>
        <v>0</v>
      </c>
      <c r="BL79" s="317">
        <f>ROW()</f>
        <v>79</v>
      </c>
      <c r="BM79" s="317">
        <f t="shared" si="54"/>
        <v>-971</v>
      </c>
      <c r="BN79" s="317">
        <f t="shared" si="60"/>
        <v>-1377.5833333333333</v>
      </c>
      <c r="BO79" s="317">
        <f t="shared" si="55"/>
        <v>-16531</v>
      </c>
      <c r="BP79" s="594">
        <f t="shared" si="56"/>
        <v>0</v>
      </c>
    </row>
    <row r="80" spans="1:68" ht="17.399999999999999" hidden="1" customHeight="1" x14ac:dyDescent="0.55000000000000004">
      <c r="A80" s="7222"/>
      <c r="B80" s="7208"/>
      <c r="C80" s="203" t="s">
        <v>233</v>
      </c>
      <c r="D80" s="303">
        <v>2035</v>
      </c>
      <c r="E80" s="304">
        <v>2181</v>
      </c>
      <c r="F80" s="304">
        <v>1947</v>
      </c>
      <c r="G80" s="304">
        <v>1979</v>
      </c>
      <c r="H80" s="304">
        <v>1995</v>
      </c>
      <c r="I80" s="304">
        <v>2272</v>
      </c>
      <c r="J80" s="304">
        <v>1899</v>
      </c>
      <c r="K80" s="304">
        <v>2687</v>
      </c>
      <c r="L80" s="304">
        <v>1609</v>
      </c>
      <c r="M80" s="304">
        <v>2568</v>
      </c>
      <c r="N80" s="304">
        <v>2044</v>
      </c>
      <c r="O80" s="304">
        <v>1852</v>
      </c>
      <c r="P80" s="304">
        <f t="shared" si="38"/>
        <v>25068</v>
      </c>
      <c r="Q80" s="305">
        <f t="shared" si="39"/>
        <v>2089</v>
      </c>
      <c r="R80" s="374"/>
      <c r="S80" s="303">
        <v>1876</v>
      </c>
      <c r="T80" s="304">
        <v>2827</v>
      </c>
      <c r="U80" s="304">
        <v>2052</v>
      </c>
      <c r="V80" s="304">
        <v>1998</v>
      </c>
      <c r="W80" s="304">
        <v>2099</v>
      </c>
      <c r="X80" s="304">
        <v>1975</v>
      </c>
      <c r="Y80" s="304">
        <v>1721</v>
      </c>
      <c r="Z80" s="304">
        <v>3398</v>
      </c>
      <c r="AA80" s="304">
        <v>1443</v>
      </c>
      <c r="AB80" s="304">
        <v>2586</v>
      </c>
      <c r="AC80" s="304">
        <v>1769</v>
      </c>
      <c r="AD80" s="304">
        <v>1561</v>
      </c>
      <c r="AE80" s="304">
        <f t="shared" si="40"/>
        <v>25305</v>
      </c>
      <c r="AF80" s="305">
        <f t="shared" si="41"/>
        <v>2108.75</v>
      </c>
      <c r="AG80" s="374"/>
      <c r="AH80" s="1025">
        <v>3085</v>
      </c>
      <c r="AI80" s="1026">
        <v>1858</v>
      </c>
      <c r="AJ80" s="1026">
        <v>1928.0000000000002</v>
      </c>
      <c r="AK80" s="1026">
        <v>1983</v>
      </c>
      <c r="AL80" s="1026">
        <v>2111</v>
      </c>
      <c r="AM80" s="1026">
        <v>1739.9999999999998</v>
      </c>
      <c r="AN80" s="1026">
        <v>2876</v>
      </c>
      <c r="AO80" s="304">
        <v>1975</v>
      </c>
      <c r="AP80" s="304">
        <v>2443</v>
      </c>
      <c r="AQ80" s="304">
        <v>1945</v>
      </c>
      <c r="AR80" s="304">
        <v>1713</v>
      </c>
      <c r="AS80" s="304">
        <v>1539</v>
      </c>
      <c r="AT80" s="304">
        <f t="shared" si="42"/>
        <v>25196</v>
      </c>
      <c r="AU80" s="305">
        <f t="shared" si="59"/>
        <v>2099.6666666666665</v>
      </c>
      <c r="AV80" s="374"/>
      <c r="AW80" s="2019"/>
      <c r="AX80" s="1026"/>
      <c r="AY80" s="1026"/>
      <c r="AZ80" s="1026"/>
      <c r="BA80" s="1026"/>
      <c r="BB80" s="1026"/>
      <c r="BC80" s="1026"/>
      <c r="BD80" s="304"/>
      <c r="BE80" s="304"/>
      <c r="BF80" s="304"/>
      <c r="BG80" s="304"/>
      <c r="BH80" s="304"/>
      <c r="BI80" s="304">
        <f t="shared" si="69"/>
        <v>0</v>
      </c>
      <c r="BJ80" s="305">
        <f t="shared" si="46"/>
        <v>0</v>
      </c>
      <c r="BL80" s="317">
        <f>ROW()</f>
        <v>80</v>
      </c>
      <c r="BM80" s="317">
        <f t="shared" si="54"/>
        <v>-1539</v>
      </c>
      <c r="BN80" s="317">
        <f t="shared" si="60"/>
        <v>-2099.6666666666665</v>
      </c>
      <c r="BO80" s="317">
        <f t="shared" si="55"/>
        <v>-25196</v>
      </c>
      <c r="BP80" s="594">
        <f t="shared" si="56"/>
        <v>0</v>
      </c>
    </row>
    <row r="81" spans="1:68" ht="17.399999999999999" hidden="1" customHeight="1" x14ac:dyDescent="0.55000000000000004">
      <c r="A81" s="7222"/>
      <c r="B81" s="7208"/>
      <c r="C81" s="203" t="s">
        <v>234</v>
      </c>
      <c r="D81" s="303">
        <v>1965</v>
      </c>
      <c r="E81" s="304">
        <v>1908</v>
      </c>
      <c r="F81" s="304">
        <v>1825</v>
      </c>
      <c r="G81" s="304">
        <v>1928</v>
      </c>
      <c r="H81" s="304">
        <v>1803</v>
      </c>
      <c r="I81" s="304">
        <v>2345</v>
      </c>
      <c r="J81" s="304">
        <v>1718</v>
      </c>
      <c r="K81" s="304">
        <v>2725</v>
      </c>
      <c r="L81" s="304">
        <v>1572</v>
      </c>
      <c r="M81" s="304">
        <v>2453</v>
      </c>
      <c r="N81" s="304">
        <v>1830</v>
      </c>
      <c r="O81" s="304">
        <v>1465</v>
      </c>
      <c r="P81" s="304">
        <f t="shared" si="38"/>
        <v>23537</v>
      </c>
      <c r="Q81" s="305">
        <f t="shared" si="39"/>
        <v>1961.4166666666667</v>
      </c>
      <c r="R81" s="374"/>
      <c r="S81" s="303">
        <v>1795</v>
      </c>
      <c r="T81" s="304">
        <v>2377</v>
      </c>
      <c r="U81" s="304">
        <v>1789</v>
      </c>
      <c r="V81" s="304">
        <v>1691</v>
      </c>
      <c r="W81" s="304">
        <v>2006</v>
      </c>
      <c r="X81" s="304">
        <v>1949</v>
      </c>
      <c r="Y81" s="304">
        <v>1555</v>
      </c>
      <c r="Z81" s="304">
        <v>2821</v>
      </c>
      <c r="AA81" s="304">
        <v>1431</v>
      </c>
      <c r="AB81" s="304">
        <v>2531</v>
      </c>
      <c r="AC81" s="304">
        <v>1569</v>
      </c>
      <c r="AD81" s="304">
        <v>1426</v>
      </c>
      <c r="AE81" s="304">
        <f t="shared" si="40"/>
        <v>22940</v>
      </c>
      <c r="AF81" s="305">
        <f t="shared" si="41"/>
        <v>1911.6666666666667</v>
      </c>
      <c r="AG81" s="374"/>
      <c r="AH81" s="1025">
        <v>2937</v>
      </c>
      <c r="AI81" s="1026">
        <v>1579</v>
      </c>
      <c r="AJ81" s="1026">
        <v>1817</v>
      </c>
      <c r="AK81" s="1026">
        <v>1797</v>
      </c>
      <c r="AL81" s="1026">
        <v>1742</v>
      </c>
      <c r="AM81" s="1026">
        <v>1727</v>
      </c>
      <c r="AN81" s="1026">
        <v>2521</v>
      </c>
      <c r="AO81" s="304">
        <v>1787.0000000000002</v>
      </c>
      <c r="AP81" s="304">
        <v>2357</v>
      </c>
      <c r="AQ81" s="304">
        <v>1736.9999999999998</v>
      </c>
      <c r="AR81" s="304">
        <v>1658</v>
      </c>
      <c r="AS81" s="304">
        <v>1346</v>
      </c>
      <c r="AT81" s="304">
        <f t="shared" si="42"/>
        <v>23005</v>
      </c>
      <c r="AU81" s="305">
        <f t="shared" si="59"/>
        <v>1917.0833333333333</v>
      </c>
      <c r="AV81" s="374"/>
      <c r="AW81" s="2019"/>
      <c r="AX81" s="1026"/>
      <c r="AY81" s="1026"/>
      <c r="AZ81" s="1026"/>
      <c r="BA81" s="1026"/>
      <c r="BB81" s="1026"/>
      <c r="BC81" s="1026"/>
      <c r="BD81" s="304"/>
      <c r="BE81" s="304"/>
      <c r="BF81" s="304"/>
      <c r="BG81" s="304"/>
      <c r="BH81" s="304"/>
      <c r="BI81" s="304">
        <f t="shared" si="69"/>
        <v>0</v>
      </c>
      <c r="BJ81" s="305">
        <f t="shared" si="46"/>
        <v>0</v>
      </c>
      <c r="BL81" s="317">
        <f>ROW()</f>
        <v>81</v>
      </c>
      <c r="BM81" s="317">
        <f t="shared" si="54"/>
        <v>-1346</v>
      </c>
      <c r="BN81" s="317">
        <f t="shared" si="60"/>
        <v>-1917.0833333333333</v>
      </c>
      <c r="BO81" s="317">
        <f t="shared" si="55"/>
        <v>-23005</v>
      </c>
      <c r="BP81" s="594">
        <f t="shared" si="56"/>
        <v>0</v>
      </c>
    </row>
    <row r="82" spans="1:68" ht="17.399999999999999" hidden="1" customHeight="1" x14ac:dyDescent="0.55000000000000004">
      <c r="A82" s="7222"/>
      <c r="B82" s="7208"/>
      <c r="C82" s="202" t="s">
        <v>235</v>
      </c>
      <c r="D82" s="300">
        <v>1529</v>
      </c>
      <c r="E82" s="301">
        <v>1616</v>
      </c>
      <c r="F82" s="301">
        <v>1484</v>
      </c>
      <c r="G82" s="301">
        <v>1529</v>
      </c>
      <c r="H82" s="301">
        <v>1457</v>
      </c>
      <c r="I82" s="301">
        <v>1717</v>
      </c>
      <c r="J82" s="301">
        <v>1339</v>
      </c>
      <c r="K82" s="301">
        <v>2308</v>
      </c>
      <c r="L82" s="301">
        <v>1208</v>
      </c>
      <c r="M82" s="301">
        <v>2041</v>
      </c>
      <c r="N82" s="301">
        <v>1448</v>
      </c>
      <c r="O82" s="301">
        <v>1242</v>
      </c>
      <c r="P82" s="301">
        <f t="shared" si="38"/>
        <v>18918</v>
      </c>
      <c r="Q82" s="302">
        <f t="shared" si="39"/>
        <v>1576.5</v>
      </c>
      <c r="R82" s="374"/>
      <c r="S82" s="300">
        <v>1317</v>
      </c>
      <c r="T82" s="301">
        <v>1929</v>
      </c>
      <c r="U82" s="301">
        <v>1501</v>
      </c>
      <c r="V82" s="301">
        <v>1429</v>
      </c>
      <c r="W82" s="301">
        <v>1636</v>
      </c>
      <c r="X82" s="301">
        <v>1478</v>
      </c>
      <c r="Y82" s="301">
        <v>1419</v>
      </c>
      <c r="Z82" s="301">
        <v>2478</v>
      </c>
      <c r="AA82" s="301">
        <v>1132</v>
      </c>
      <c r="AB82" s="301">
        <v>2094</v>
      </c>
      <c r="AC82" s="301">
        <v>1405</v>
      </c>
      <c r="AD82" s="301">
        <v>1234</v>
      </c>
      <c r="AE82" s="301">
        <f t="shared" si="40"/>
        <v>19052</v>
      </c>
      <c r="AF82" s="302">
        <f t="shared" si="41"/>
        <v>1587.6666666666667</v>
      </c>
      <c r="AG82" s="374"/>
      <c r="AH82" s="1023">
        <v>2284</v>
      </c>
      <c r="AI82" s="1024">
        <v>1281</v>
      </c>
      <c r="AJ82" s="1024">
        <v>1452</v>
      </c>
      <c r="AK82" s="1024">
        <v>1475</v>
      </c>
      <c r="AL82" s="1024">
        <v>1403</v>
      </c>
      <c r="AM82" s="1024">
        <v>1286</v>
      </c>
      <c r="AN82" s="1024">
        <v>1990.0000000000002</v>
      </c>
      <c r="AO82" s="301">
        <v>1392</v>
      </c>
      <c r="AP82" s="301">
        <v>1879</v>
      </c>
      <c r="AQ82" s="301">
        <v>1407</v>
      </c>
      <c r="AR82" s="301">
        <v>1326</v>
      </c>
      <c r="AS82" s="301">
        <v>1233</v>
      </c>
      <c r="AT82" s="301">
        <f t="shared" si="42"/>
        <v>18408</v>
      </c>
      <c r="AU82" s="302">
        <f t="shared" si="59"/>
        <v>1534</v>
      </c>
      <c r="AV82" s="374"/>
      <c r="AW82" s="2018"/>
      <c r="AX82" s="1024"/>
      <c r="AY82" s="1024"/>
      <c r="AZ82" s="1024"/>
      <c r="BA82" s="1024"/>
      <c r="BB82" s="1024"/>
      <c r="BC82" s="1024"/>
      <c r="BD82" s="301"/>
      <c r="BE82" s="301"/>
      <c r="BF82" s="301"/>
      <c r="BG82" s="301"/>
      <c r="BH82" s="301"/>
      <c r="BI82" s="301">
        <f t="shared" si="69"/>
        <v>0</v>
      </c>
      <c r="BJ82" s="302">
        <f t="shared" si="46"/>
        <v>0</v>
      </c>
      <c r="BL82" s="317">
        <f>ROW()</f>
        <v>82</v>
      </c>
      <c r="BM82" s="317">
        <f t="shared" si="54"/>
        <v>-1233</v>
      </c>
      <c r="BN82" s="317">
        <f t="shared" si="60"/>
        <v>-1534</v>
      </c>
      <c r="BO82" s="317">
        <f t="shared" si="55"/>
        <v>-18408</v>
      </c>
      <c r="BP82" s="594">
        <f t="shared" si="56"/>
        <v>0</v>
      </c>
    </row>
    <row r="83" spans="1:68" ht="18" hidden="1" customHeight="1" thickBot="1" x14ac:dyDescent="0.6">
      <c r="A83" s="7222"/>
      <c r="B83" s="7209"/>
      <c r="C83" s="204" t="s">
        <v>236</v>
      </c>
      <c r="D83" s="306">
        <v>1547</v>
      </c>
      <c r="E83" s="307">
        <v>1603</v>
      </c>
      <c r="F83" s="307">
        <v>1578</v>
      </c>
      <c r="G83" s="307">
        <v>1552</v>
      </c>
      <c r="H83" s="307">
        <v>1517</v>
      </c>
      <c r="I83" s="307">
        <v>1796</v>
      </c>
      <c r="J83" s="307">
        <v>1440</v>
      </c>
      <c r="K83" s="307">
        <v>1868</v>
      </c>
      <c r="L83" s="307">
        <v>1301</v>
      </c>
      <c r="M83" s="307">
        <v>2048</v>
      </c>
      <c r="N83" s="307">
        <v>1421</v>
      </c>
      <c r="O83" s="307">
        <v>1319</v>
      </c>
      <c r="P83" s="307">
        <f t="shared" si="38"/>
        <v>18990</v>
      </c>
      <c r="Q83" s="308">
        <f t="shared" si="39"/>
        <v>1582.5</v>
      </c>
      <c r="R83" s="374"/>
      <c r="S83" s="306">
        <v>1303</v>
      </c>
      <c r="T83" s="307">
        <v>1950</v>
      </c>
      <c r="U83" s="307">
        <v>1535</v>
      </c>
      <c r="V83" s="307">
        <v>1396</v>
      </c>
      <c r="W83" s="307">
        <v>1620</v>
      </c>
      <c r="X83" s="307">
        <v>1447</v>
      </c>
      <c r="Y83" s="307">
        <v>1359</v>
      </c>
      <c r="Z83" s="307">
        <v>2243</v>
      </c>
      <c r="AA83" s="307">
        <v>1133</v>
      </c>
      <c r="AB83" s="307">
        <v>1995</v>
      </c>
      <c r="AC83" s="307">
        <v>1409</v>
      </c>
      <c r="AD83" s="307">
        <v>1249</v>
      </c>
      <c r="AE83" s="307">
        <f t="shared" si="40"/>
        <v>18639</v>
      </c>
      <c r="AF83" s="308">
        <f t="shared" si="41"/>
        <v>1553.25</v>
      </c>
      <c r="AG83" s="374"/>
      <c r="AH83" s="1027">
        <v>2021</v>
      </c>
      <c r="AI83" s="1028">
        <v>1301</v>
      </c>
      <c r="AJ83" s="1028">
        <v>1470</v>
      </c>
      <c r="AK83" s="1028">
        <v>1448</v>
      </c>
      <c r="AL83" s="1028">
        <v>1439</v>
      </c>
      <c r="AM83" s="1028">
        <v>1422</v>
      </c>
      <c r="AN83" s="1028">
        <v>2058</v>
      </c>
      <c r="AO83" s="307">
        <v>1529</v>
      </c>
      <c r="AP83" s="307">
        <v>2037</v>
      </c>
      <c r="AQ83" s="307">
        <v>1491</v>
      </c>
      <c r="AR83" s="307">
        <v>1398</v>
      </c>
      <c r="AS83" s="307">
        <v>1176</v>
      </c>
      <c r="AT83" s="307">
        <f t="shared" si="42"/>
        <v>18790</v>
      </c>
      <c r="AU83" s="308">
        <f t="shared" si="59"/>
        <v>1565.8333333333333</v>
      </c>
      <c r="AV83" s="374"/>
      <c r="AW83" s="2020"/>
      <c r="AX83" s="1028"/>
      <c r="AY83" s="1028"/>
      <c r="AZ83" s="1028"/>
      <c r="BA83" s="1028"/>
      <c r="BB83" s="1028"/>
      <c r="BC83" s="1028"/>
      <c r="BD83" s="307"/>
      <c r="BE83" s="307"/>
      <c r="BF83" s="307"/>
      <c r="BG83" s="307"/>
      <c r="BH83" s="307"/>
      <c r="BI83" s="307">
        <f t="shared" si="69"/>
        <v>0</v>
      </c>
      <c r="BJ83" s="308">
        <f t="shared" si="46"/>
        <v>0</v>
      </c>
      <c r="BL83" s="317">
        <f>ROW()</f>
        <v>83</v>
      </c>
      <c r="BM83" s="317">
        <f t="shared" si="54"/>
        <v>-1176</v>
      </c>
      <c r="BN83" s="317">
        <f t="shared" si="60"/>
        <v>-1565.8333333333333</v>
      </c>
      <c r="BO83" s="317">
        <f t="shared" si="55"/>
        <v>-18790</v>
      </c>
      <c r="BP83" s="594">
        <f t="shared" si="56"/>
        <v>0</v>
      </c>
    </row>
    <row r="84" spans="1:68" ht="17.399999999999999" hidden="1" customHeight="1" x14ac:dyDescent="0.55000000000000004">
      <c r="A84" s="7222"/>
      <c r="B84" s="7213" t="s">
        <v>1119</v>
      </c>
      <c r="C84" s="199" t="s">
        <v>419</v>
      </c>
      <c r="D84" s="291">
        <f>D89+D90</f>
        <v>117</v>
      </c>
      <c r="E84" s="292">
        <f t="shared" ref="E84:O84" si="70">E89+E90</f>
        <v>151</v>
      </c>
      <c r="F84" s="292">
        <f t="shared" si="70"/>
        <v>167</v>
      </c>
      <c r="G84" s="292">
        <f t="shared" si="70"/>
        <v>141</v>
      </c>
      <c r="H84" s="292">
        <f t="shared" si="70"/>
        <v>122</v>
      </c>
      <c r="I84" s="292">
        <f t="shared" si="70"/>
        <v>150</v>
      </c>
      <c r="J84" s="292">
        <f t="shared" si="70"/>
        <v>134</v>
      </c>
      <c r="K84" s="292">
        <f t="shared" si="70"/>
        <v>293</v>
      </c>
      <c r="L84" s="292">
        <f t="shared" si="70"/>
        <v>142</v>
      </c>
      <c r="M84" s="292">
        <f t="shared" si="70"/>
        <v>220</v>
      </c>
      <c r="N84" s="292">
        <f t="shared" si="70"/>
        <v>174</v>
      </c>
      <c r="O84" s="292">
        <f t="shared" si="70"/>
        <v>84</v>
      </c>
      <c r="P84" s="292">
        <f t="shared" si="38"/>
        <v>1895</v>
      </c>
      <c r="Q84" s="293">
        <f t="shared" si="39"/>
        <v>157.91666666666666</v>
      </c>
      <c r="R84" s="374"/>
      <c r="S84" s="291">
        <f>S89+S90</f>
        <v>32</v>
      </c>
      <c r="T84" s="292">
        <f t="shared" ref="T84:AD84" si="71">T89+T90</f>
        <v>209</v>
      </c>
      <c r="U84" s="292">
        <f t="shared" si="71"/>
        <v>54</v>
      </c>
      <c r="V84" s="292">
        <f t="shared" si="71"/>
        <v>52</v>
      </c>
      <c r="W84" s="292">
        <f t="shared" si="71"/>
        <v>51</v>
      </c>
      <c r="X84" s="292">
        <f t="shared" si="71"/>
        <v>30</v>
      </c>
      <c r="Y84" s="292">
        <f t="shared" si="71"/>
        <v>30</v>
      </c>
      <c r="Z84" s="292">
        <f t="shared" si="71"/>
        <v>70</v>
      </c>
      <c r="AA84" s="292">
        <f t="shared" si="71"/>
        <v>28</v>
      </c>
      <c r="AB84" s="292">
        <f t="shared" si="71"/>
        <v>60</v>
      </c>
      <c r="AC84" s="292">
        <f t="shared" si="71"/>
        <v>40</v>
      </c>
      <c r="AD84" s="292">
        <f t="shared" si="71"/>
        <v>22</v>
      </c>
      <c r="AE84" s="292">
        <f t="shared" si="40"/>
        <v>678</v>
      </c>
      <c r="AF84" s="293">
        <f t="shared" si="41"/>
        <v>56.5</v>
      </c>
      <c r="AG84" s="374"/>
      <c r="AH84" s="291">
        <v>29</v>
      </c>
      <c r="AI84" s="292">
        <v>37</v>
      </c>
      <c r="AJ84" s="292">
        <v>53</v>
      </c>
      <c r="AK84" s="292">
        <v>51</v>
      </c>
      <c r="AL84" s="292">
        <v>61</v>
      </c>
      <c r="AM84" s="292">
        <v>31</v>
      </c>
      <c r="AN84" s="292">
        <v>122</v>
      </c>
      <c r="AO84" s="292">
        <v>33</v>
      </c>
      <c r="AP84" s="292">
        <v>52</v>
      </c>
      <c r="AQ84" s="292">
        <v>31</v>
      </c>
      <c r="AR84" s="292">
        <v>32</v>
      </c>
      <c r="AS84" s="292">
        <v>21</v>
      </c>
      <c r="AT84" s="292">
        <f t="shared" si="42"/>
        <v>553</v>
      </c>
      <c r="AU84" s="293">
        <f t="shared" si="59"/>
        <v>46.083333333333336</v>
      </c>
      <c r="AV84" s="374"/>
      <c r="AW84" s="2015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>
        <f t="shared" si="69"/>
        <v>0</v>
      </c>
      <c r="BJ84" s="293">
        <f t="shared" si="46"/>
        <v>0</v>
      </c>
      <c r="BL84" s="317">
        <f>ROW()</f>
        <v>84</v>
      </c>
      <c r="BM84" s="317">
        <f t="shared" si="54"/>
        <v>-21</v>
      </c>
      <c r="BN84" s="317">
        <f t="shared" si="60"/>
        <v>-46.083333333333336</v>
      </c>
      <c r="BO84" s="317">
        <f t="shared" si="55"/>
        <v>-553</v>
      </c>
      <c r="BP84" s="594">
        <f t="shared" si="56"/>
        <v>0</v>
      </c>
    </row>
    <row r="85" spans="1:68" ht="17.399999999999999" hidden="1" customHeight="1" x14ac:dyDescent="0.55000000000000004">
      <c r="A85" s="7222"/>
      <c r="B85" s="7214"/>
      <c r="C85" s="200" t="s">
        <v>420</v>
      </c>
      <c r="D85" s="294">
        <f>D91+D92</f>
        <v>194</v>
      </c>
      <c r="E85" s="295">
        <f t="shared" ref="E85:O85" si="72">E91+E92</f>
        <v>217</v>
      </c>
      <c r="F85" s="295">
        <f t="shared" si="72"/>
        <v>168</v>
      </c>
      <c r="G85" s="295">
        <f t="shared" si="72"/>
        <v>155</v>
      </c>
      <c r="H85" s="295">
        <f t="shared" si="72"/>
        <v>136</v>
      </c>
      <c r="I85" s="295">
        <f t="shared" si="72"/>
        <v>200</v>
      </c>
      <c r="J85" s="295">
        <f t="shared" si="72"/>
        <v>145</v>
      </c>
      <c r="K85" s="295">
        <f t="shared" si="72"/>
        <v>255</v>
      </c>
      <c r="L85" s="295">
        <f t="shared" si="72"/>
        <v>117</v>
      </c>
      <c r="M85" s="295">
        <f t="shared" si="72"/>
        <v>194</v>
      </c>
      <c r="N85" s="295">
        <f t="shared" si="72"/>
        <v>85</v>
      </c>
      <c r="O85" s="295">
        <f t="shared" si="72"/>
        <v>86</v>
      </c>
      <c r="P85" s="295">
        <f t="shared" si="38"/>
        <v>1952</v>
      </c>
      <c r="Q85" s="296">
        <f t="shared" si="39"/>
        <v>162.66666666666666</v>
      </c>
      <c r="R85" s="374"/>
      <c r="S85" s="294">
        <f>S91+S92</f>
        <v>74</v>
      </c>
      <c r="T85" s="295">
        <f t="shared" ref="T85:AD85" si="73">T91+T92</f>
        <v>130</v>
      </c>
      <c r="U85" s="295">
        <f t="shared" si="73"/>
        <v>68</v>
      </c>
      <c r="V85" s="295">
        <f t="shared" si="73"/>
        <v>54</v>
      </c>
      <c r="W85" s="295">
        <f t="shared" si="73"/>
        <v>79</v>
      </c>
      <c r="X85" s="295">
        <f t="shared" si="73"/>
        <v>45</v>
      </c>
      <c r="Y85" s="295">
        <f t="shared" si="73"/>
        <v>31</v>
      </c>
      <c r="Z85" s="295">
        <f t="shared" si="73"/>
        <v>50</v>
      </c>
      <c r="AA85" s="295">
        <f t="shared" si="73"/>
        <v>19</v>
      </c>
      <c r="AB85" s="295">
        <f t="shared" si="73"/>
        <v>56</v>
      </c>
      <c r="AC85" s="295">
        <f t="shared" si="73"/>
        <v>34</v>
      </c>
      <c r="AD85" s="295">
        <f t="shared" si="73"/>
        <v>13</v>
      </c>
      <c r="AE85" s="295">
        <f t="shared" si="40"/>
        <v>653</v>
      </c>
      <c r="AF85" s="296">
        <f t="shared" si="41"/>
        <v>54.416666666666664</v>
      </c>
      <c r="AG85" s="374"/>
      <c r="AH85" s="294">
        <v>20</v>
      </c>
      <c r="AI85" s="295">
        <v>15</v>
      </c>
      <c r="AJ85" s="295">
        <v>34</v>
      </c>
      <c r="AK85" s="295">
        <v>18</v>
      </c>
      <c r="AL85" s="295">
        <v>38</v>
      </c>
      <c r="AM85" s="295">
        <v>36</v>
      </c>
      <c r="AN85" s="295">
        <v>95</v>
      </c>
      <c r="AO85" s="295">
        <v>23</v>
      </c>
      <c r="AP85" s="295">
        <v>20</v>
      </c>
      <c r="AQ85" s="295">
        <v>18</v>
      </c>
      <c r="AR85" s="295">
        <v>14</v>
      </c>
      <c r="AS85" s="295">
        <v>8</v>
      </c>
      <c r="AT85" s="295">
        <f t="shared" si="42"/>
        <v>339</v>
      </c>
      <c r="AU85" s="296">
        <f t="shared" si="59"/>
        <v>28.25</v>
      </c>
      <c r="AV85" s="374"/>
      <c r="AW85" s="2016"/>
      <c r="AX85" s="295"/>
      <c r="AY85" s="295"/>
      <c r="AZ85" s="295"/>
      <c r="BA85" s="295"/>
      <c r="BB85" s="295"/>
      <c r="BC85" s="295"/>
      <c r="BD85" s="295"/>
      <c r="BE85" s="295"/>
      <c r="BF85" s="295"/>
      <c r="BG85" s="295"/>
      <c r="BH85" s="295"/>
      <c r="BI85" s="295">
        <f t="shared" si="69"/>
        <v>0</v>
      </c>
      <c r="BJ85" s="296">
        <f t="shared" si="46"/>
        <v>0</v>
      </c>
      <c r="BL85" s="317">
        <f>ROW()</f>
        <v>85</v>
      </c>
      <c r="BM85" s="317">
        <f t="shared" si="54"/>
        <v>-8</v>
      </c>
      <c r="BN85" s="317">
        <f t="shared" si="60"/>
        <v>-28.25</v>
      </c>
      <c r="BO85" s="317">
        <f t="shared" si="55"/>
        <v>-339</v>
      </c>
      <c r="BP85" s="594">
        <f t="shared" si="56"/>
        <v>0</v>
      </c>
    </row>
    <row r="86" spans="1:68" ht="17.399999999999999" hidden="1" customHeight="1" x14ac:dyDescent="0.55000000000000004">
      <c r="A86" s="7222"/>
      <c r="B86" s="7214"/>
      <c r="C86" s="200" t="s">
        <v>421</v>
      </c>
      <c r="D86" s="294">
        <f>D93+D94</f>
        <v>353</v>
      </c>
      <c r="E86" s="295">
        <f t="shared" ref="E86:O86" si="74">E93+E94</f>
        <v>354</v>
      </c>
      <c r="F86" s="295">
        <f t="shared" si="74"/>
        <v>322</v>
      </c>
      <c r="G86" s="295">
        <f t="shared" si="74"/>
        <v>295</v>
      </c>
      <c r="H86" s="295">
        <f t="shared" si="74"/>
        <v>381</v>
      </c>
      <c r="I86" s="295">
        <f t="shared" si="74"/>
        <v>279</v>
      </c>
      <c r="J86" s="295">
        <f t="shared" si="74"/>
        <v>260</v>
      </c>
      <c r="K86" s="295">
        <f t="shared" si="74"/>
        <v>316</v>
      </c>
      <c r="L86" s="295">
        <f t="shared" si="74"/>
        <v>260</v>
      </c>
      <c r="M86" s="295">
        <f t="shared" si="74"/>
        <v>329</v>
      </c>
      <c r="N86" s="295">
        <f t="shared" si="74"/>
        <v>235</v>
      </c>
      <c r="O86" s="295">
        <f t="shared" si="74"/>
        <v>168</v>
      </c>
      <c r="P86" s="295">
        <f t="shared" si="38"/>
        <v>3552</v>
      </c>
      <c r="Q86" s="296">
        <f t="shared" si="39"/>
        <v>296</v>
      </c>
      <c r="R86" s="374"/>
      <c r="S86" s="294">
        <f>S93+S94</f>
        <v>108</v>
      </c>
      <c r="T86" s="295">
        <f t="shared" ref="T86:AD86" si="75">T93+T94</f>
        <v>196</v>
      </c>
      <c r="U86" s="295">
        <f t="shared" si="75"/>
        <v>131</v>
      </c>
      <c r="V86" s="295">
        <f t="shared" si="75"/>
        <v>123</v>
      </c>
      <c r="W86" s="295">
        <f t="shared" si="75"/>
        <v>180</v>
      </c>
      <c r="X86" s="295">
        <f t="shared" si="75"/>
        <v>71</v>
      </c>
      <c r="Y86" s="295">
        <f t="shared" si="75"/>
        <v>45</v>
      </c>
      <c r="Z86" s="295">
        <f t="shared" si="75"/>
        <v>72</v>
      </c>
      <c r="AA86" s="295">
        <f t="shared" si="75"/>
        <v>25</v>
      </c>
      <c r="AB86" s="295">
        <f t="shared" si="75"/>
        <v>42</v>
      </c>
      <c r="AC86" s="295">
        <f t="shared" si="75"/>
        <v>17</v>
      </c>
      <c r="AD86" s="295">
        <f t="shared" si="75"/>
        <v>6</v>
      </c>
      <c r="AE86" s="295">
        <f t="shared" si="40"/>
        <v>1016</v>
      </c>
      <c r="AF86" s="296">
        <f t="shared" si="41"/>
        <v>84.666666666666671</v>
      </c>
      <c r="AG86" s="374"/>
      <c r="AH86" s="294">
        <v>10</v>
      </c>
      <c r="AI86" s="295">
        <v>27</v>
      </c>
      <c r="AJ86" s="295">
        <v>22</v>
      </c>
      <c r="AK86" s="295">
        <v>20</v>
      </c>
      <c r="AL86" s="295">
        <v>30</v>
      </c>
      <c r="AM86" s="295">
        <v>18</v>
      </c>
      <c r="AN86" s="295">
        <v>118</v>
      </c>
      <c r="AO86" s="295">
        <v>18</v>
      </c>
      <c r="AP86" s="295">
        <v>20</v>
      </c>
      <c r="AQ86" s="295">
        <v>13</v>
      </c>
      <c r="AR86" s="295">
        <v>7</v>
      </c>
      <c r="AS86" s="295">
        <v>12</v>
      </c>
      <c r="AT86" s="295">
        <f t="shared" si="42"/>
        <v>315</v>
      </c>
      <c r="AU86" s="296">
        <f t="shared" si="59"/>
        <v>26.25</v>
      </c>
      <c r="AV86" s="374"/>
      <c r="AW86" s="2016"/>
      <c r="AX86" s="295"/>
      <c r="AY86" s="295"/>
      <c r="AZ86" s="295"/>
      <c r="BA86" s="295"/>
      <c r="BB86" s="295"/>
      <c r="BC86" s="295"/>
      <c r="BD86" s="295"/>
      <c r="BE86" s="295"/>
      <c r="BF86" s="295"/>
      <c r="BG86" s="295"/>
      <c r="BH86" s="295"/>
      <c r="BI86" s="295">
        <f t="shared" si="69"/>
        <v>0</v>
      </c>
      <c r="BJ86" s="296">
        <f t="shared" si="46"/>
        <v>0</v>
      </c>
      <c r="BL86" s="317">
        <f>ROW()</f>
        <v>86</v>
      </c>
      <c r="BM86" s="317">
        <f t="shared" si="54"/>
        <v>-12</v>
      </c>
      <c r="BN86" s="317">
        <f t="shared" si="60"/>
        <v>-26.25</v>
      </c>
      <c r="BO86" s="317">
        <f t="shared" si="55"/>
        <v>-315</v>
      </c>
      <c r="BP86" s="594">
        <f t="shared" si="56"/>
        <v>0</v>
      </c>
    </row>
    <row r="87" spans="1:68" ht="17.399999999999999" hidden="1" customHeight="1" x14ac:dyDescent="0.55000000000000004">
      <c r="A87" s="7222"/>
      <c r="B87" s="7214"/>
      <c r="C87" s="200" t="s">
        <v>422</v>
      </c>
      <c r="D87" s="294">
        <f>D95+D96</f>
        <v>316</v>
      </c>
      <c r="E87" s="295">
        <f t="shared" ref="E87:O87" si="76">E95+E96</f>
        <v>510</v>
      </c>
      <c r="F87" s="295">
        <f t="shared" si="76"/>
        <v>270</v>
      </c>
      <c r="G87" s="295">
        <f t="shared" si="76"/>
        <v>297</v>
      </c>
      <c r="H87" s="295">
        <f t="shared" si="76"/>
        <v>354</v>
      </c>
      <c r="I87" s="295">
        <f t="shared" si="76"/>
        <v>385</v>
      </c>
      <c r="J87" s="295">
        <f t="shared" si="76"/>
        <v>292</v>
      </c>
      <c r="K87" s="295">
        <f t="shared" si="76"/>
        <v>620</v>
      </c>
      <c r="L87" s="295">
        <f t="shared" si="76"/>
        <v>246</v>
      </c>
      <c r="M87" s="295">
        <f t="shared" si="76"/>
        <v>492</v>
      </c>
      <c r="N87" s="295">
        <f t="shared" si="76"/>
        <v>227</v>
      </c>
      <c r="O87" s="295">
        <f t="shared" si="76"/>
        <v>201</v>
      </c>
      <c r="P87" s="295">
        <f t="shared" si="38"/>
        <v>4210</v>
      </c>
      <c r="Q87" s="296">
        <f t="shared" si="39"/>
        <v>350.83333333333331</v>
      </c>
      <c r="R87" s="374"/>
      <c r="S87" s="294">
        <f>S95+S96</f>
        <v>196</v>
      </c>
      <c r="T87" s="295">
        <f t="shared" ref="T87:AD87" si="77">T95+T96</f>
        <v>334</v>
      </c>
      <c r="U87" s="295">
        <f t="shared" si="77"/>
        <v>155</v>
      </c>
      <c r="V87" s="295">
        <f t="shared" si="77"/>
        <v>154</v>
      </c>
      <c r="W87" s="295">
        <f t="shared" si="77"/>
        <v>182</v>
      </c>
      <c r="X87" s="295">
        <f t="shared" si="77"/>
        <v>85</v>
      </c>
      <c r="Y87" s="295">
        <f t="shared" si="77"/>
        <v>63</v>
      </c>
      <c r="Z87" s="295">
        <f t="shared" si="77"/>
        <v>243</v>
      </c>
      <c r="AA87" s="295">
        <f t="shared" si="77"/>
        <v>36</v>
      </c>
      <c r="AB87" s="295">
        <f t="shared" si="77"/>
        <v>164</v>
      </c>
      <c r="AC87" s="295">
        <f t="shared" si="77"/>
        <v>27</v>
      </c>
      <c r="AD87" s="295">
        <f t="shared" si="77"/>
        <v>16</v>
      </c>
      <c r="AE87" s="295">
        <f t="shared" si="40"/>
        <v>1655</v>
      </c>
      <c r="AF87" s="296">
        <f t="shared" si="41"/>
        <v>137.91666666666666</v>
      </c>
      <c r="AG87" s="374"/>
      <c r="AH87" s="294">
        <v>38</v>
      </c>
      <c r="AI87" s="295">
        <v>43</v>
      </c>
      <c r="AJ87" s="295">
        <v>64</v>
      </c>
      <c r="AK87" s="295">
        <v>59</v>
      </c>
      <c r="AL87" s="295">
        <v>88</v>
      </c>
      <c r="AM87" s="295">
        <v>52</v>
      </c>
      <c r="AN87" s="295">
        <v>175</v>
      </c>
      <c r="AO87" s="295">
        <v>56</v>
      </c>
      <c r="AP87" s="295">
        <v>65</v>
      </c>
      <c r="AQ87" s="295">
        <v>68</v>
      </c>
      <c r="AR87" s="295">
        <v>43</v>
      </c>
      <c r="AS87" s="295">
        <v>33</v>
      </c>
      <c r="AT87" s="295">
        <f t="shared" si="42"/>
        <v>784</v>
      </c>
      <c r="AU87" s="296">
        <f t="shared" si="59"/>
        <v>65.333333333333329</v>
      </c>
      <c r="AV87" s="374"/>
      <c r="AW87" s="2016"/>
      <c r="AX87" s="295"/>
      <c r="AY87" s="295"/>
      <c r="AZ87" s="295"/>
      <c r="BA87" s="295"/>
      <c r="BB87" s="295"/>
      <c r="BC87" s="295"/>
      <c r="BD87" s="295"/>
      <c r="BE87" s="295"/>
      <c r="BF87" s="295"/>
      <c r="BG87" s="295"/>
      <c r="BH87" s="295"/>
      <c r="BI87" s="295">
        <f t="shared" si="69"/>
        <v>0</v>
      </c>
      <c r="BJ87" s="296">
        <f t="shared" si="46"/>
        <v>0</v>
      </c>
      <c r="BL87" s="317">
        <f>ROW()</f>
        <v>87</v>
      </c>
      <c r="BM87" s="317">
        <f t="shared" si="54"/>
        <v>-33</v>
      </c>
      <c r="BN87" s="317">
        <f t="shared" si="60"/>
        <v>-65.333333333333329</v>
      </c>
      <c r="BO87" s="317">
        <f t="shared" si="55"/>
        <v>-784</v>
      </c>
      <c r="BP87" s="594">
        <f t="shared" si="56"/>
        <v>0</v>
      </c>
    </row>
    <row r="88" spans="1:68" ht="17.399999999999999" hidden="1" customHeight="1" x14ac:dyDescent="0.55000000000000004">
      <c r="A88" s="7222"/>
      <c r="B88" s="7215"/>
      <c r="C88" s="201" t="s">
        <v>423</v>
      </c>
      <c r="D88" s="297">
        <f>D97+D98</f>
        <v>214</v>
      </c>
      <c r="E88" s="298">
        <f t="shared" ref="E88:O88" si="78">E97+E98</f>
        <v>294</v>
      </c>
      <c r="F88" s="298">
        <f t="shared" si="78"/>
        <v>183</v>
      </c>
      <c r="G88" s="298">
        <f t="shared" si="78"/>
        <v>189</v>
      </c>
      <c r="H88" s="298">
        <f t="shared" si="78"/>
        <v>263</v>
      </c>
      <c r="I88" s="298">
        <f t="shared" si="78"/>
        <v>282</v>
      </c>
      <c r="J88" s="298">
        <f t="shared" si="78"/>
        <v>248</v>
      </c>
      <c r="K88" s="298">
        <f t="shared" si="78"/>
        <v>373</v>
      </c>
      <c r="L88" s="298">
        <f t="shared" si="78"/>
        <v>209</v>
      </c>
      <c r="M88" s="298">
        <f t="shared" si="78"/>
        <v>319</v>
      </c>
      <c r="N88" s="298">
        <f t="shared" si="78"/>
        <v>183</v>
      </c>
      <c r="O88" s="298">
        <f t="shared" si="78"/>
        <v>189</v>
      </c>
      <c r="P88" s="298">
        <f t="shared" si="38"/>
        <v>2946</v>
      </c>
      <c r="Q88" s="299">
        <f t="shared" si="39"/>
        <v>245.5</v>
      </c>
      <c r="R88" s="374"/>
      <c r="S88" s="297">
        <f>S97+S98</f>
        <v>151</v>
      </c>
      <c r="T88" s="298">
        <f t="shared" ref="T88:AD88" si="79">T97+T98</f>
        <v>255</v>
      </c>
      <c r="U88" s="298">
        <f t="shared" si="79"/>
        <v>162</v>
      </c>
      <c r="V88" s="298">
        <f t="shared" si="79"/>
        <v>116</v>
      </c>
      <c r="W88" s="298">
        <f t="shared" si="79"/>
        <v>97</v>
      </c>
      <c r="X88" s="298">
        <f t="shared" si="79"/>
        <v>25</v>
      </c>
      <c r="Y88" s="298">
        <f t="shared" si="79"/>
        <v>51</v>
      </c>
      <c r="Z88" s="298">
        <f t="shared" si="79"/>
        <v>66</v>
      </c>
      <c r="AA88" s="298">
        <f t="shared" si="79"/>
        <v>23</v>
      </c>
      <c r="AB88" s="298">
        <f t="shared" si="79"/>
        <v>81</v>
      </c>
      <c r="AC88" s="298">
        <f t="shared" si="79"/>
        <v>18</v>
      </c>
      <c r="AD88" s="298">
        <f t="shared" si="79"/>
        <v>11</v>
      </c>
      <c r="AE88" s="298">
        <f t="shared" si="40"/>
        <v>1056</v>
      </c>
      <c r="AF88" s="299">
        <f t="shared" si="41"/>
        <v>88</v>
      </c>
      <c r="AG88" s="374"/>
      <c r="AH88" s="297">
        <v>18</v>
      </c>
      <c r="AI88" s="298">
        <v>17</v>
      </c>
      <c r="AJ88" s="298">
        <v>36</v>
      </c>
      <c r="AK88" s="298">
        <v>33</v>
      </c>
      <c r="AL88" s="298">
        <v>57</v>
      </c>
      <c r="AM88" s="298">
        <v>33</v>
      </c>
      <c r="AN88" s="298">
        <v>137</v>
      </c>
      <c r="AO88" s="298">
        <v>41</v>
      </c>
      <c r="AP88" s="298">
        <v>52</v>
      </c>
      <c r="AQ88" s="298">
        <v>41</v>
      </c>
      <c r="AR88" s="298">
        <v>30</v>
      </c>
      <c r="AS88" s="298">
        <v>18</v>
      </c>
      <c r="AT88" s="298">
        <f t="shared" si="42"/>
        <v>513</v>
      </c>
      <c r="AU88" s="299">
        <f t="shared" si="59"/>
        <v>42.75</v>
      </c>
      <c r="AV88" s="374"/>
      <c r="AW88" s="2017"/>
      <c r="AX88" s="298"/>
      <c r="AY88" s="298"/>
      <c r="AZ88" s="298"/>
      <c r="BA88" s="298"/>
      <c r="BB88" s="298"/>
      <c r="BC88" s="298"/>
      <c r="BD88" s="298"/>
      <c r="BE88" s="298"/>
      <c r="BF88" s="298"/>
      <c r="BG88" s="298"/>
      <c r="BH88" s="298"/>
      <c r="BI88" s="298">
        <f t="shared" si="69"/>
        <v>0</v>
      </c>
      <c r="BJ88" s="299">
        <f t="shared" si="46"/>
        <v>0</v>
      </c>
      <c r="BL88" s="317">
        <f>ROW()</f>
        <v>88</v>
      </c>
      <c r="BM88" s="317">
        <f t="shared" si="54"/>
        <v>-18</v>
      </c>
      <c r="BN88" s="317">
        <f t="shared" si="60"/>
        <v>-42.75</v>
      </c>
      <c r="BO88" s="317">
        <f t="shared" si="55"/>
        <v>-513</v>
      </c>
      <c r="BP88" s="594">
        <f t="shared" si="56"/>
        <v>0</v>
      </c>
    </row>
    <row r="89" spans="1:68" ht="17.399999999999999" hidden="1" customHeight="1" x14ac:dyDescent="0.55000000000000004">
      <c r="A89" s="7222"/>
      <c r="B89" s="7207" t="s">
        <v>1120</v>
      </c>
      <c r="C89" s="202" t="s">
        <v>227</v>
      </c>
      <c r="D89" s="300">
        <v>51</v>
      </c>
      <c r="E89" s="301">
        <v>64</v>
      </c>
      <c r="F89" s="301">
        <v>108</v>
      </c>
      <c r="G89" s="301">
        <v>94</v>
      </c>
      <c r="H89" s="301">
        <v>69</v>
      </c>
      <c r="I89" s="301">
        <v>81</v>
      </c>
      <c r="J89" s="301">
        <v>102</v>
      </c>
      <c r="K89" s="301">
        <v>176</v>
      </c>
      <c r="L89" s="301">
        <v>97</v>
      </c>
      <c r="M89" s="301">
        <v>129</v>
      </c>
      <c r="N89" s="301">
        <v>147</v>
      </c>
      <c r="O89" s="301">
        <v>66</v>
      </c>
      <c r="P89" s="301">
        <f t="shared" ref="P89:P98" si="80">SUM(D89:O89)</f>
        <v>1184</v>
      </c>
      <c r="Q89" s="302">
        <f t="shared" si="39"/>
        <v>98.666666666666671</v>
      </c>
      <c r="R89" s="374"/>
      <c r="S89" s="300">
        <v>11</v>
      </c>
      <c r="T89" s="301">
        <v>135</v>
      </c>
      <c r="U89" s="301">
        <v>19</v>
      </c>
      <c r="V89" s="301">
        <v>23</v>
      </c>
      <c r="W89" s="301">
        <v>12</v>
      </c>
      <c r="X89" s="301">
        <v>8</v>
      </c>
      <c r="Y89" s="301">
        <v>7</v>
      </c>
      <c r="Z89" s="301">
        <v>19</v>
      </c>
      <c r="AA89" s="301">
        <v>11</v>
      </c>
      <c r="AB89" s="301">
        <v>15</v>
      </c>
      <c r="AC89" s="301">
        <v>7</v>
      </c>
      <c r="AD89" s="301">
        <v>5</v>
      </c>
      <c r="AE89" s="301">
        <f t="shared" si="40"/>
        <v>272</v>
      </c>
      <c r="AF89" s="302">
        <f t="shared" si="41"/>
        <v>22.666666666666668</v>
      </c>
      <c r="AG89" s="374"/>
      <c r="AH89" s="300">
        <v>4</v>
      </c>
      <c r="AI89" s="301">
        <v>4</v>
      </c>
      <c r="AJ89" s="301">
        <v>8</v>
      </c>
      <c r="AK89" s="301">
        <v>14</v>
      </c>
      <c r="AL89" s="301">
        <v>13</v>
      </c>
      <c r="AM89" s="301">
        <v>16</v>
      </c>
      <c r="AN89" s="301">
        <v>44</v>
      </c>
      <c r="AO89" s="301">
        <v>6</v>
      </c>
      <c r="AP89" s="301">
        <v>14</v>
      </c>
      <c r="AQ89" s="301">
        <v>14</v>
      </c>
      <c r="AR89" s="301">
        <v>12</v>
      </c>
      <c r="AS89" s="301">
        <v>8</v>
      </c>
      <c r="AT89" s="301">
        <f t="shared" ref="AT89:AT98" si="81">SUM(AH89:AS89)</f>
        <v>157</v>
      </c>
      <c r="AU89" s="302">
        <f t="shared" si="59"/>
        <v>13.083333333333334</v>
      </c>
      <c r="AV89" s="374"/>
      <c r="AW89" s="2021"/>
      <c r="AX89" s="301"/>
      <c r="AY89" s="301"/>
      <c r="AZ89" s="301"/>
      <c r="BA89" s="301"/>
      <c r="BB89" s="301"/>
      <c r="BC89" s="301"/>
      <c r="BD89" s="301"/>
      <c r="BE89" s="301"/>
      <c r="BF89" s="301"/>
      <c r="BG89" s="301"/>
      <c r="BH89" s="301"/>
      <c r="BI89" s="301">
        <f t="shared" ref="BI89:BI98" si="82">SUM(AW89:BH89)</f>
        <v>0</v>
      </c>
      <c r="BJ89" s="302">
        <f t="shared" si="46"/>
        <v>0</v>
      </c>
      <c r="BL89" s="317">
        <f>ROW()</f>
        <v>89</v>
      </c>
      <c r="BM89" s="317">
        <f t="shared" si="54"/>
        <v>-8</v>
      </c>
      <c r="BN89" s="317">
        <f t="shared" si="60"/>
        <v>-13.083333333333334</v>
      </c>
      <c r="BO89" s="317">
        <f t="shared" si="55"/>
        <v>-157</v>
      </c>
      <c r="BP89" s="594">
        <f t="shared" si="56"/>
        <v>0</v>
      </c>
    </row>
    <row r="90" spans="1:68" ht="17.399999999999999" hidden="1" customHeight="1" x14ac:dyDescent="0.55000000000000004">
      <c r="A90" s="7222"/>
      <c r="B90" s="7208"/>
      <c r="C90" s="202" t="s">
        <v>228</v>
      </c>
      <c r="D90" s="300">
        <v>66</v>
      </c>
      <c r="E90" s="301">
        <v>87</v>
      </c>
      <c r="F90" s="301">
        <v>59</v>
      </c>
      <c r="G90" s="301">
        <v>47</v>
      </c>
      <c r="H90" s="301">
        <v>53</v>
      </c>
      <c r="I90" s="301">
        <v>69</v>
      </c>
      <c r="J90" s="301">
        <v>32</v>
      </c>
      <c r="K90" s="301">
        <v>117</v>
      </c>
      <c r="L90" s="301">
        <v>45</v>
      </c>
      <c r="M90" s="301">
        <v>91</v>
      </c>
      <c r="N90" s="301">
        <v>27</v>
      </c>
      <c r="O90" s="301">
        <v>18</v>
      </c>
      <c r="P90" s="301">
        <f t="shared" si="80"/>
        <v>711</v>
      </c>
      <c r="Q90" s="302">
        <f t="shared" si="39"/>
        <v>59.25</v>
      </c>
      <c r="R90" s="374"/>
      <c r="S90" s="300">
        <v>21</v>
      </c>
      <c r="T90" s="301">
        <v>74</v>
      </c>
      <c r="U90" s="301">
        <v>35</v>
      </c>
      <c r="V90" s="301">
        <v>29</v>
      </c>
      <c r="W90" s="301">
        <v>39</v>
      </c>
      <c r="X90" s="301">
        <v>22</v>
      </c>
      <c r="Y90" s="301">
        <v>23</v>
      </c>
      <c r="Z90" s="301">
        <v>51</v>
      </c>
      <c r="AA90" s="301">
        <v>17</v>
      </c>
      <c r="AB90" s="301">
        <v>45</v>
      </c>
      <c r="AC90" s="301">
        <v>33</v>
      </c>
      <c r="AD90" s="301">
        <v>17</v>
      </c>
      <c r="AE90" s="301">
        <f t="shared" si="40"/>
        <v>406</v>
      </c>
      <c r="AF90" s="302">
        <f t="shared" si="41"/>
        <v>33.833333333333336</v>
      </c>
      <c r="AG90" s="374"/>
      <c r="AH90" s="300">
        <v>25</v>
      </c>
      <c r="AI90" s="301">
        <v>33</v>
      </c>
      <c r="AJ90" s="301">
        <v>45</v>
      </c>
      <c r="AK90" s="301">
        <v>37</v>
      </c>
      <c r="AL90" s="301">
        <v>48</v>
      </c>
      <c r="AM90" s="301">
        <v>15</v>
      </c>
      <c r="AN90" s="301">
        <v>78</v>
      </c>
      <c r="AO90" s="301">
        <v>27</v>
      </c>
      <c r="AP90" s="301">
        <v>38</v>
      </c>
      <c r="AQ90" s="301">
        <v>17</v>
      </c>
      <c r="AR90" s="301">
        <v>20</v>
      </c>
      <c r="AS90" s="301">
        <v>13</v>
      </c>
      <c r="AT90" s="301">
        <f t="shared" si="81"/>
        <v>396</v>
      </c>
      <c r="AU90" s="302">
        <f t="shared" si="59"/>
        <v>33</v>
      </c>
      <c r="AV90" s="374"/>
      <c r="AW90" s="2021"/>
      <c r="AX90" s="301"/>
      <c r="AY90" s="301"/>
      <c r="AZ90" s="301"/>
      <c r="BA90" s="301"/>
      <c r="BB90" s="301"/>
      <c r="BC90" s="301"/>
      <c r="BD90" s="301"/>
      <c r="BE90" s="301"/>
      <c r="BF90" s="301"/>
      <c r="BG90" s="301"/>
      <c r="BH90" s="301"/>
      <c r="BI90" s="301">
        <f t="shared" si="82"/>
        <v>0</v>
      </c>
      <c r="BJ90" s="302">
        <f t="shared" si="46"/>
        <v>0</v>
      </c>
      <c r="BL90" s="317">
        <f>ROW()</f>
        <v>90</v>
      </c>
      <c r="BM90" s="317">
        <f t="shared" si="54"/>
        <v>-13</v>
      </c>
      <c r="BN90" s="317">
        <f t="shared" si="60"/>
        <v>-33</v>
      </c>
      <c r="BO90" s="317">
        <f t="shared" si="55"/>
        <v>-396</v>
      </c>
      <c r="BP90" s="594">
        <f t="shared" si="56"/>
        <v>0</v>
      </c>
    </row>
    <row r="91" spans="1:68" ht="17.399999999999999" hidden="1" customHeight="1" x14ac:dyDescent="0.55000000000000004">
      <c r="A91" s="7222"/>
      <c r="B91" s="7208"/>
      <c r="C91" s="203" t="s">
        <v>229</v>
      </c>
      <c r="D91" s="303">
        <v>89</v>
      </c>
      <c r="E91" s="304">
        <v>110</v>
      </c>
      <c r="F91" s="304">
        <v>72</v>
      </c>
      <c r="G91" s="304">
        <v>42</v>
      </c>
      <c r="H91" s="304">
        <v>44</v>
      </c>
      <c r="I91" s="304">
        <v>72</v>
      </c>
      <c r="J91" s="304">
        <v>56</v>
      </c>
      <c r="K91" s="304">
        <v>89</v>
      </c>
      <c r="L91" s="304">
        <v>33</v>
      </c>
      <c r="M91" s="304">
        <v>66</v>
      </c>
      <c r="N91" s="304">
        <v>33</v>
      </c>
      <c r="O91" s="304">
        <v>34</v>
      </c>
      <c r="P91" s="304">
        <f t="shared" si="80"/>
        <v>740</v>
      </c>
      <c r="Q91" s="305">
        <f t="shared" si="39"/>
        <v>61.666666666666664</v>
      </c>
      <c r="R91" s="374"/>
      <c r="S91" s="303">
        <v>23</v>
      </c>
      <c r="T91" s="304">
        <v>30</v>
      </c>
      <c r="U91" s="304">
        <v>21</v>
      </c>
      <c r="V91" s="304">
        <v>12</v>
      </c>
      <c r="W91" s="304">
        <v>10</v>
      </c>
      <c r="X91" s="304">
        <v>18</v>
      </c>
      <c r="Y91" s="304">
        <v>21</v>
      </c>
      <c r="Z91" s="304">
        <v>24</v>
      </c>
      <c r="AA91" s="304">
        <v>10</v>
      </c>
      <c r="AB91" s="304">
        <v>35</v>
      </c>
      <c r="AC91" s="304">
        <v>22</v>
      </c>
      <c r="AD91" s="304">
        <v>10</v>
      </c>
      <c r="AE91" s="304">
        <f t="shared" si="40"/>
        <v>236</v>
      </c>
      <c r="AF91" s="305">
        <f t="shared" si="41"/>
        <v>19.666666666666668</v>
      </c>
      <c r="AG91" s="374"/>
      <c r="AH91" s="303">
        <v>12</v>
      </c>
      <c r="AI91" s="304">
        <v>9</v>
      </c>
      <c r="AJ91" s="304">
        <v>26</v>
      </c>
      <c r="AK91" s="304">
        <v>10</v>
      </c>
      <c r="AL91" s="304">
        <v>18</v>
      </c>
      <c r="AM91" s="304">
        <v>21</v>
      </c>
      <c r="AN91" s="304">
        <v>44</v>
      </c>
      <c r="AO91" s="304">
        <v>11</v>
      </c>
      <c r="AP91" s="304">
        <v>12.999999999999998</v>
      </c>
      <c r="AQ91" s="304">
        <v>10</v>
      </c>
      <c r="AR91" s="304">
        <v>8</v>
      </c>
      <c r="AS91" s="304">
        <v>6</v>
      </c>
      <c r="AT91" s="304">
        <f t="shared" si="81"/>
        <v>188</v>
      </c>
      <c r="AU91" s="305">
        <f t="shared" si="59"/>
        <v>15.666666666666666</v>
      </c>
      <c r="AV91" s="374"/>
      <c r="AW91" s="2022"/>
      <c r="AX91" s="304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>
        <f t="shared" si="82"/>
        <v>0</v>
      </c>
      <c r="BJ91" s="305">
        <f t="shared" si="46"/>
        <v>0</v>
      </c>
      <c r="BL91" s="317">
        <f>ROW()</f>
        <v>91</v>
      </c>
      <c r="BM91" s="317">
        <f t="shared" si="54"/>
        <v>-6</v>
      </c>
      <c r="BN91" s="317">
        <f t="shared" si="60"/>
        <v>-15.666666666666666</v>
      </c>
      <c r="BO91" s="317">
        <f t="shared" si="55"/>
        <v>-188</v>
      </c>
      <c r="BP91" s="594">
        <f t="shared" si="56"/>
        <v>0</v>
      </c>
    </row>
    <row r="92" spans="1:68" ht="17.399999999999999" hidden="1" customHeight="1" x14ac:dyDescent="0.55000000000000004">
      <c r="A92" s="7222"/>
      <c r="B92" s="7208"/>
      <c r="C92" s="203" t="s">
        <v>230</v>
      </c>
      <c r="D92" s="303">
        <v>105</v>
      </c>
      <c r="E92" s="304">
        <v>107</v>
      </c>
      <c r="F92" s="304">
        <v>96</v>
      </c>
      <c r="G92" s="304">
        <v>113</v>
      </c>
      <c r="H92" s="304">
        <v>92</v>
      </c>
      <c r="I92" s="304">
        <v>128</v>
      </c>
      <c r="J92" s="304">
        <v>89</v>
      </c>
      <c r="K92" s="304">
        <v>166</v>
      </c>
      <c r="L92" s="304">
        <v>84</v>
      </c>
      <c r="M92" s="304">
        <v>128</v>
      </c>
      <c r="N92" s="304">
        <v>52</v>
      </c>
      <c r="O92" s="304">
        <v>52</v>
      </c>
      <c r="P92" s="304">
        <f t="shared" si="80"/>
        <v>1212</v>
      </c>
      <c r="Q92" s="305">
        <f t="shared" si="39"/>
        <v>101</v>
      </c>
      <c r="R92" s="374"/>
      <c r="S92" s="303">
        <v>51</v>
      </c>
      <c r="T92" s="304">
        <v>100</v>
      </c>
      <c r="U92" s="304">
        <v>47</v>
      </c>
      <c r="V92" s="304">
        <v>42</v>
      </c>
      <c r="W92" s="304">
        <v>69</v>
      </c>
      <c r="X92" s="304">
        <v>27</v>
      </c>
      <c r="Y92" s="304">
        <v>10</v>
      </c>
      <c r="Z92" s="304">
        <v>26</v>
      </c>
      <c r="AA92" s="304">
        <v>9</v>
      </c>
      <c r="AB92" s="304">
        <v>21</v>
      </c>
      <c r="AC92" s="304">
        <v>12</v>
      </c>
      <c r="AD92" s="304">
        <v>3</v>
      </c>
      <c r="AE92" s="304">
        <f t="shared" si="40"/>
        <v>417</v>
      </c>
      <c r="AF92" s="305">
        <f t="shared" si="41"/>
        <v>34.75</v>
      </c>
      <c r="AG92" s="374"/>
      <c r="AH92" s="303">
        <v>8</v>
      </c>
      <c r="AI92" s="304">
        <v>6</v>
      </c>
      <c r="AJ92" s="304">
        <v>8</v>
      </c>
      <c r="AK92" s="304">
        <v>8</v>
      </c>
      <c r="AL92" s="304">
        <v>20</v>
      </c>
      <c r="AM92" s="304">
        <v>15</v>
      </c>
      <c r="AN92" s="304">
        <v>51</v>
      </c>
      <c r="AO92" s="304">
        <v>12</v>
      </c>
      <c r="AP92" s="304">
        <v>7</v>
      </c>
      <c r="AQ92" s="304">
        <v>8</v>
      </c>
      <c r="AR92" s="304">
        <v>6</v>
      </c>
      <c r="AS92" s="304">
        <v>2</v>
      </c>
      <c r="AT92" s="304">
        <f t="shared" si="81"/>
        <v>151</v>
      </c>
      <c r="AU92" s="305">
        <f t="shared" si="59"/>
        <v>12.583333333333334</v>
      </c>
      <c r="AV92" s="374"/>
      <c r="AW92" s="2022"/>
      <c r="AX92" s="304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>
        <f t="shared" si="82"/>
        <v>0</v>
      </c>
      <c r="BJ92" s="305">
        <f t="shared" si="46"/>
        <v>0</v>
      </c>
      <c r="BL92" s="317">
        <f>ROW()</f>
        <v>92</v>
      </c>
      <c r="BM92" s="317">
        <f t="shared" si="54"/>
        <v>-2</v>
      </c>
      <c r="BN92" s="317">
        <f t="shared" si="60"/>
        <v>-12.583333333333334</v>
      </c>
      <c r="BO92" s="317">
        <f t="shared" si="55"/>
        <v>-151</v>
      </c>
      <c r="BP92" s="594">
        <f t="shared" si="56"/>
        <v>0</v>
      </c>
    </row>
    <row r="93" spans="1:68" ht="17.399999999999999" hidden="1" customHeight="1" x14ac:dyDescent="0.55000000000000004">
      <c r="A93" s="7222"/>
      <c r="B93" s="7208"/>
      <c r="C93" s="202" t="s">
        <v>231</v>
      </c>
      <c r="D93" s="300">
        <v>270</v>
      </c>
      <c r="E93" s="301">
        <v>244</v>
      </c>
      <c r="F93" s="301">
        <v>200</v>
      </c>
      <c r="G93" s="301">
        <v>237</v>
      </c>
      <c r="H93" s="301">
        <v>273</v>
      </c>
      <c r="I93" s="301">
        <v>166</v>
      </c>
      <c r="J93" s="301">
        <v>185</v>
      </c>
      <c r="K93" s="301">
        <v>196</v>
      </c>
      <c r="L93" s="301">
        <v>167</v>
      </c>
      <c r="M93" s="301">
        <v>190</v>
      </c>
      <c r="N93" s="301">
        <v>134</v>
      </c>
      <c r="O93" s="301">
        <v>106</v>
      </c>
      <c r="P93" s="301">
        <f t="shared" si="80"/>
        <v>2368</v>
      </c>
      <c r="Q93" s="302">
        <f t="shared" si="39"/>
        <v>197.33333333333334</v>
      </c>
      <c r="R93" s="374"/>
      <c r="S93" s="300">
        <v>69</v>
      </c>
      <c r="T93" s="301">
        <v>131</v>
      </c>
      <c r="U93" s="301">
        <v>45</v>
      </c>
      <c r="V93" s="301">
        <v>66</v>
      </c>
      <c r="W93" s="301">
        <v>121</v>
      </c>
      <c r="X93" s="301">
        <v>49</v>
      </c>
      <c r="Y93" s="301">
        <v>19</v>
      </c>
      <c r="Z93" s="301">
        <v>40</v>
      </c>
      <c r="AA93" s="301">
        <v>7</v>
      </c>
      <c r="AB93" s="301">
        <v>32</v>
      </c>
      <c r="AC93" s="301">
        <v>15</v>
      </c>
      <c r="AD93" s="301">
        <v>6</v>
      </c>
      <c r="AE93" s="301">
        <f t="shared" si="40"/>
        <v>600</v>
      </c>
      <c r="AF93" s="302">
        <f t="shared" si="41"/>
        <v>50</v>
      </c>
      <c r="AG93" s="374"/>
      <c r="AH93" s="300">
        <v>2</v>
      </c>
      <c r="AI93" s="301">
        <v>14</v>
      </c>
      <c r="AJ93" s="301">
        <v>8</v>
      </c>
      <c r="AK93" s="301">
        <v>12</v>
      </c>
      <c r="AL93" s="301">
        <v>10</v>
      </c>
      <c r="AM93" s="301">
        <v>10</v>
      </c>
      <c r="AN93" s="301">
        <v>45</v>
      </c>
      <c r="AO93" s="301">
        <v>7</v>
      </c>
      <c r="AP93" s="301">
        <v>9</v>
      </c>
      <c r="AQ93" s="301">
        <v>5</v>
      </c>
      <c r="AR93" s="301">
        <v>4</v>
      </c>
      <c r="AS93" s="301">
        <v>8</v>
      </c>
      <c r="AT93" s="301">
        <f t="shared" si="81"/>
        <v>134</v>
      </c>
      <c r="AU93" s="302">
        <f t="shared" si="59"/>
        <v>11.166666666666666</v>
      </c>
      <c r="AV93" s="374"/>
      <c r="AW93" s="2021"/>
      <c r="AX93" s="301"/>
      <c r="AY93" s="301"/>
      <c r="AZ93" s="301"/>
      <c r="BA93" s="301"/>
      <c r="BB93" s="301"/>
      <c r="BC93" s="301"/>
      <c r="BD93" s="301"/>
      <c r="BE93" s="301"/>
      <c r="BF93" s="301"/>
      <c r="BG93" s="301"/>
      <c r="BH93" s="301"/>
      <c r="BI93" s="301">
        <f t="shared" si="82"/>
        <v>0</v>
      </c>
      <c r="BJ93" s="302">
        <f t="shared" si="46"/>
        <v>0</v>
      </c>
      <c r="BL93" s="317">
        <f>ROW()</f>
        <v>93</v>
      </c>
      <c r="BM93" s="317">
        <f t="shared" si="54"/>
        <v>-8</v>
      </c>
      <c r="BN93" s="317">
        <f t="shared" si="60"/>
        <v>-11.166666666666666</v>
      </c>
      <c r="BO93" s="317">
        <f t="shared" si="55"/>
        <v>-134</v>
      </c>
      <c r="BP93" s="594">
        <f t="shared" si="56"/>
        <v>0</v>
      </c>
    </row>
    <row r="94" spans="1:68" ht="17.399999999999999" hidden="1" customHeight="1" x14ac:dyDescent="0.55000000000000004">
      <c r="A94" s="7222"/>
      <c r="B94" s="7208"/>
      <c r="C94" s="202" t="s">
        <v>232</v>
      </c>
      <c r="D94" s="300">
        <v>83</v>
      </c>
      <c r="E94" s="301">
        <v>110</v>
      </c>
      <c r="F94" s="301">
        <v>122</v>
      </c>
      <c r="G94" s="301">
        <v>58</v>
      </c>
      <c r="H94" s="301">
        <v>108</v>
      </c>
      <c r="I94" s="301">
        <v>113</v>
      </c>
      <c r="J94" s="301">
        <v>75</v>
      </c>
      <c r="K94" s="301">
        <v>120</v>
      </c>
      <c r="L94" s="301">
        <v>93</v>
      </c>
      <c r="M94" s="301">
        <v>139</v>
      </c>
      <c r="N94" s="301">
        <v>101</v>
      </c>
      <c r="O94" s="301">
        <v>62</v>
      </c>
      <c r="P94" s="301">
        <f t="shared" si="80"/>
        <v>1184</v>
      </c>
      <c r="Q94" s="302">
        <f t="shared" si="39"/>
        <v>98.666666666666671</v>
      </c>
      <c r="R94" s="374"/>
      <c r="S94" s="300">
        <v>39</v>
      </c>
      <c r="T94" s="301">
        <v>65</v>
      </c>
      <c r="U94" s="301">
        <v>86</v>
      </c>
      <c r="V94" s="301">
        <v>57</v>
      </c>
      <c r="W94" s="301">
        <v>59</v>
      </c>
      <c r="X94" s="301">
        <v>22</v>
      </c>
      <c r="Y94" s="301">
        <v>26</v>
      </c>
      <c r="Z94" s="301">
        <v>32</v>
      </c>
      <c r="AA94" s="301">
        <v>18</v>
      </c>
      <c r="AB94" s="301">
        <v>10</v>
      </c>
      <c r="AC94" s="301">
        <v>2</v>
      </c>
      <c r="AD94" s="301">
        <v>0</v>
      </c>
      <c r="AE94" s="301">
        <f t="shared" si="40"/>
        <v>416</v>
      </c>
      <c r="AF94" s="302">
        <f t="shared" si="41"/>
        <v>34.666666666666664</v>
      </c>
      <c r="AG94" s="374"/>
      <c r="AH94" s="300">
        <v>8</v>
      </c>
      <c r="AI94" s="301">
        <v>13</v>
      </c>
      <c r="AJ94" s="301">
        <v>14</v>
      </c>
      <c r="AK94" s="301">
        <v>8</v>
      </c>
      <c r="AL94" s="301">
        <v>20</v>
      </c>
      <c r="AM94" s="301">
        <v>8</v>
      </c>
      <c r="AN94" s="301">
        <v>73</v>
      </c>
      <c r="AO94" s="301">
        <v>11</v>
      </c>
      <c r="AP94" s="301">
        <v>11</v>
      </c>
      <c r="AQ94" s="301">
        <v>8</v>
      </c>
      <c r="AR94" s="301">
        <v>3</v>
      </c>
      <c r="AS94" s="301">
        <v>4</v>
      </c>
      <c r="AT94" s="301">
        <f t="shared" si="81"/>
        <v>181</v>
      </c>
      <c r="AU94" s="302">
        <f t="shared" si="59"/>
        <v>15.083333333333334</v>
      </c>
      <c r="AV94" s="374"/>
      <c r="AW94" s="2021"/>
      <c r="AX94" s="301"/>
      <c r="AY94" s="301"/>
      <c r="AZ94" s="301"/>
      <c r="BA94" s="301"/>
      <c r="BB94" s="301"/>
      <c r="BC94" s="301"/>
      <c r="BD94" s="301"/>
      <c r="BE94" s="301"/>
      <c r="BF94" s="301"/>
      <c r="BG94" s="301"/>
      <c r="BH94" s="301"/>
      <c r="BI94" s="301">
        <f t="shared" si="82"/>
        <v>0</v>
      </c>
      <c r="BJ94" s="302">
        <f t="shared" si="46"/>
        <v>0</v>
      </c>
      <c r="BL94" s="317">
        <f>ROW()</f>
        <v>94</v>
      </c>
      <c r="BM94" s="317">
        <f t="shared" si="54"/>
        <v>-4</v>
      </c>
      <c r="BN94" s="317">
        <f t="shared" si="60"/>
        <v>-15.083333333333334</v>
      </c>
      <c r="BO94" s="317">
        <f t="shared" si="55"/>
        <v>-181</v>
      </c>
      <c r="BP94" s="594">
        <f t="shared" si="56"/>
        <v>0</v>
      </c>
    </row>
    <row r="95" spans="1:68" ht="17.399999999999999" hidden="1" customHeight="1" x14ac:dyDescent="0.55000000000000004">
      <c r="A95" s="7222"/>
      <c r="B95" s="7208"/>
      <c r="C95" s="203" t="s">
        <v>233</v>
      </c>
      <c r="D95" s="303">
        <v>182</v>
      </c>
      <c r="E95" s="304">
        <v>262</v>
      </c>
      <c r="F95" s="304">
        <v>178</v>
      </c>
      <c r="G95" s="304">
        <v>215</v>
      </c>
      <c r="H95" s="304">
        <v>220</v>
      </c>
      <c r="I95" s="304">
        <v>229</v>
      </c>
      <c r="J95" s="304">
        <v>144</v>
      </c>
      <c r="K95" s="304">
        <v>380</v>
      </c>
      <c r="L95" s="304">
        <v>121</v>
      </c>
      <c r="M95" s="304">
        <v>261</v>
      </c>
      <c r="N95" s="304">
        <v>114</v>
      </c>
      <c r="O95" s="304">
        <v>45</v>
      </c>
      <c r="P95" s="304">
        <f t="shared" si="80"/>
        <v>2351</v>
      </c>
      <c r="Q95" s="305">
        <f t="shared" si="39"/>
        <v>195.91666666666666</v>
      </c>
      <c r="R95" s="374"/>
      <c r="S95" s="303">
        <v>65</v>
      </c>
      <c r="T95" s="304">
        <v>158</v>
      </c>
      <c r="U95" s="304">
        <v>45</v>
      </c>
      <c r="V95" s="304">
        <v>54</v>
      </c>
      <c r="W95" s="304">
        <v>79</v>
      </c>
      <c r="X95" s="304">
        <v>54</v>
      </c>
      <c r="Y95" s="304">
        <v>26</v>
      </c>
      <c r="Z95" s="304">
        <v>142</v>
      </c>
      <c r="AA95" s="304">
        <v>19</v>
      </c>
      <c r="AB95" s="304">
        <v>91</v>
      </c>
      <c r="AC95" s="304">
        <v>19</v>
      </c>
      <c r="AD95" s="304">
        <v>10</v>
      </c>
      <c r="AE95" s="304">
        <f t="shared" si="40"/>
        <v>762</v>
      </c>
      <c r="AF95" s="305">
        <f t="shared" si="41"/>
        <v>63.5</v>
      </c>
      <c r="AG95" s="374"/>
      <c r="AH95" s="303">
        <v>20</v>
      </c>
      <c r="AI95" s="304">
        <v>25</v>
      </c>
      <c r="AJ95" s="304">
        <v>34</v>
      </c>
      <c r="AK95" s="304">
        <v>39</v>
      </c>
      <c r="AL95" s="304">
        <v>41</v>
      </c>
      <c r="AM95" s="304">
        <v>33</v>
      </c>
      <c r="AN95" s="304">
        <v>121.99999999999999</v>
      </c>
      <c r="AO95" s="304">
        <v>31</v>
      </c>
      <c r="AP95" s="304">
        <v>28</v>
      </c>
      <c r="AQ95" s="304">
        <v>45</v>
      </c>
      <c r="AR95" s="304">
        <v>25</v>
      </c>
      <c r="AS95" s="304">
        <v>17</v>
      </c>
      <c r="AT95" s="304">
        <f t="shared" si="81"/>
        <v>460</v>
      </c>
      <c r="AU95" s="305">
        <f t="shared" si="59"/>
        <v>38.333333333333336</v>
      </c>
      <c r="AV95" s="374"/>
      <c r="AW95" s="2022"/>
      <c r="AX95" s="304"/>
      <c r="AY95" s="304"/>
      <c r="AZ95" s="304"/>
      <c r="BA95" s="304"/>
      <c r="BB95" s="304"/>
      <c r="BC95" s="304"/>
      <c r="BD95" s="304"/>
      <c r="BE95" s="304"/>
      <c r="BF95" s="304"/>
      <c r="BG95" s="304"/>
      <c r="BH95" s="304"/>
      <c r="BI95" s="304">
        <f t="shared" si="82"/>
        <v>0</v>
      </c>
      <c r="BJ95" s="305">
        <f t="shared" si="46"/>
        <v>0</v>
      </c>
      <c r="BL95" s="317">
        <f>ROW()</f>
        <v>95</v>
      </c>
      <c r="BM95" s="317">
        <f t="shared" si="54"/>
        <v>-17</v>
      </c>
      <c r="BN95" s="317">
        <f t="shared" si="60"/>
        <v>-38.333333333333336</v>
      </c>
      <c r="BO95" s="317">
        <f t="shared" si="55"/>
        <v>-460</v>
      </c>
      <c r="BP95" s="594">
        <f t="shared" si="56"/>
        <v>0</v>
      </c>
    </row>
    <row r="96" spans="1:68" ht="17.399999999999999" hidden="1" customHeight="1" x14ac:dyDescent="0.55000000000000004">
      <c r="A96" s="7222"/>
      <c r="B96" s="7208"/>
      <c r="C96" s="203" t="s">
        <v>234</v>
      </c>
      <c r="D96" s="303">
        <v>134</v>
      </c>
      <c r="E96" s="304">
        <v>248</v>
      </c>
      <c r="F96" s="304">
        <v>92</v>
      </c>
      <c r="G96" s="304">
        <v>82</v>
      </c>
      <c r="H96" s="304">
        <v>134</v>
      </c>
      <c r="I96" s="304">
        <v>156</v>
      </c>
      <c r="J96" s="304">
        <v>148</v>
      </c>
      <c r="K96" s="304">
        <v>240</v>
      </c>
      <c r="L96" s="304">
        <v>125</v>
      </c>
      <c r="M96" s="304">
        <v>231</v>
      </c>
      <c r="N96" s="304">
        <v>113</v>
      </c>
      <c r="O96" s="304">
        <v>156</v>
      </c>
      <c r="P96" s="304">
        <f t="shared" si="80"/>
        <v>1859</v>
      </c>
      <c r="Q96" s="305">
        <f t="shared" si="39"/>
        <v>154.91666666666666</v>
      </c>
      <c r="R96" s="374"/>
      <c r="S96" s="303">
        <v>131</v>
      </c>
      <c r="T96" s="304">
        <v>176</v>
      </c>
      <c r="U96" s="304">
        <v>110</v>
      </c>
      <c r="V96" s="304">
        <v>100</v>
      </c>
      <c r="W96" s="304">
        <v>103</v>
      </c>
      <c r="X96" s="304">
        <v>31</v>
      </c>
      <c r="Y96" s="304">
        <v>37</v>
      </c>
      <c r="Z96" s="304">
        <v>101</v>
      </c>
      <c r="AA96" s="304">
        <v>17</v>
      </c>
      <c r="AB96" s="304">
        <v>73</v>
      </c>
      <c r="AC96" s="304">
        <v>8</v>
      </c>
      <c r="AD96" s="304">
        <v>6</v>
      </c>
      <c r="AE96" s="304">
        <f t="shared" si="40"/>
        <v>893</v>
      </c>
      <c r="AF96" s="305">
        <f t="shared" si="41"/>
        <v>74.416666666666671</v>
      </c>
      <c r="AG96" s="374"/>
      <c r="AH96" s="303">
        <v>18</v>
      </c>
      <c r="AI96" s="304">
        <v>18</v>
      </c>
      <c r="AJ96" s="304">
        <v>29.999999999999996</v>
      </c>
      <c r="AK96" s="304">
        <v>20</v>
      </c>
      <c r="AL96" s="304">
        <v>47</v>
      </c>
      <c r="AM96" s="304">
        <v>19</v>
      </c>
      <c r="AN96" s="304">
        <v>53</v>
      </c>
      <c r="AO96" s="304">
        <v>25</v>
      </c>
      <c r="AP96" s="304">
        <v>37</v>
      </c>
      <c r="AQ96" s="304">
        <v>23</v>
      </c>
      <c r="AR96" s="304">
        <v>18</v>
      </c>
      <c r="AS96" s="304">
        <v>16</v>
      </c>
      <c r="AT96" s="304">
        <f t="shared" si="81"/>
        <v>324</v>
      </c>
      <c r="AU96" s="305">
        <f t="shared" si="59"/>
        <v>27</v>
      </c>
      <c r="AV96" s="374"/>
      <c r="AW96" s="2022"/>
      <c r="AX96" s="304"/>
      <c r="AY96" s="304"/>
      <c r="AZ96" s="304"/>
      <c r="BA96" s="304"/>
      <c r="BB96" s="304"/>
      <c r="BC96" s="304"/>
      <c r="BD96" s="304"/>
      <c r="BE96" s="304"/>
      <c r="BF96" s="304"/>
      <c r="BG96" s="304"/>
      <c r="BH96" s="304"/>
      <c r="BI96" s="304">
        <f t="shared" si="82"/>
        <v>0</v>
      </c>
      <c r="BJ96" s="305">
        <f t="shared" si="46"/>
        <v>0</v>
      </c>
      <c r="BL96" s="317">
        <f>ROW()</f>
        <v>96</v>
      </c>
      <c r="BM96" s="317">
        <f t="shared" si="54"/>
        <v>-16</v>
      </c>
      <c r="BN96" s="317">
        <f t="shared" si="60"/>
        <v>-27</v>
      </c>
      <c r="BO96" s="317">
        <f t="shared" si="55"/>
        <v>-324</v>
      </c>
      <c r="BP96" s="594">
        <f t="shared" si="56"/>
        <v>0</v>
      </c>
    </row>
    <row r="97" spans="1:72" ht="17.399999999999999" hidden="1" customHeight="1" x14ac:dyDescent="0.55000000000000004">
      <c r="A97" s="7222"/>
      <c r="B97" s="7208"/>
      <c r="C97" s="202" t="s">
        <v>235</v>
      </c>
      <c r="D97" s="300">
        <v>81</v>
      </c>
      <c r="E97" s="301">
        <v>120</v>
      </c>
      <c r="F97" s="301">
        <v>91</v>
      </c>
      <c r="G97" s="301">
        <v>111</v>
      </c>
      <c r="H97" s="301">
        <v>126</v>
      </c>
      <c r="I97" s="301">
        <v>156</v>
      </c>
      <c r="J97" s="301">
        <v>144</v>
      </c>
      <c r="K97" s="301">
        <v>211</v>
      </c>
      <c r="L97" s="301">
        <v>118</v>
      </c>
      <c r="M97" s="301">
        <v>190</v>
      </c>
      <c r="N97" s="301">
        <v>109</v>
      </c>
      <c r="O97" s="301">
        <v>99</v>
      </c>
      <c r="P97" s="301">
        <f t="shared" si="80"/>
        <v>1556</v>
      </c>
      <c r="Q97" s="302">
        <f t="shared" si="39"/>
        <v>129.66666666666666</v>
      </c>
      <c r="R97" s="374"/>
      <c r="S97" s="300">
        <v>69</v>
      </c>
      <c r="T97" s="301">
        <v>135</v>
      </c>
      <c r="U97" s="301">
        <v>72</v>
      </c>
      <c r="V97" s="301">
        <v>46</v>
      </c>
      <c r="W97" s="301">
        <v>28</v>
      </c>
      <c r="X97" s="301">
        <v>11</v>
      </c>
      <c r="Y97" s="301">
        <v>7</v>
      </c>
      <c r="Z97" s="301">
        <v>29</v>
      </c>
      <c r="AA97" s="301">
        <v>7</v>
      </c>
      <c r="AB97" s="301">
        <v>30</v>
      </c>
      <c r="AC97" s="301">
        <v>3</v>
      </c>
      <c r="AD97" s="301">
        <v>4</v>
      </c>
      <c r="AE97" s="301">
        <f t="shared" si="40"/>
        <v>441</v>
      </c>
      <c r="AF97" s="302">
        <f t="shared" si="41"/>
        <v>36.75</v>
      </c>
      <c r="AG97" s="374"/>
      <c r="AH97" s="300">
        <v>10</v>
      </c>
      <c r="AI97" s="301">
        <v>9</v>
      </c>
      <c r="AJ97" s="301">
        <v>12</v>
      </c>
      <c r="AK97" s="301">
        <v>17</v>
      </c>
      <c r="AL97" s="301">
        <v>26</v>
      </c>
      <c r="AM97" s="301">
        <v>16</v>
      </c>
      <c r="AN97" s="301">
        <v>30</v>
      </c>
      <c r="AO97" s="301">
        <v>11</v>
      </c>
      <c r="AP97" s="301">
        <v>33</v>
      </c>
      <c r="AQ97" s="301">
        <v>23</v>
      </c>
      <c r="AR97" s="301">
        <v>13</v>
      </c>
      <c r="AS97" s="301">
        <v>10</v>
      </c>
      <c r="AT97" s="301">
        <f t="shared" si="81"/>
        <v>210</v>
      </c>
      <c r="AU97" s="302">
        <f t="shared" si="59"/>
        <v>17.5</v>
      </c>
      <c r="AV97" s="374"/>
      <c r="AW97" s="2021"/>
      <c r="AX97" s="301"/>
      <c r="AY97" s="301"/>
      <c r="AZ97" s="301"/>
      <c r="BA97" s="301"/>
      <c r="BB97" s="301"/>
      <c r="BC97" s="301"/>
      <c r="BD97" s="301"/>
      <c r="BE97" s="301"/>
      <c r="BF97" s="301"/>
      <c r="BG97" s="301"/>
      <c r="BH97" s="301"/>
      <c r="BI97" s="301">
        <f t="shared" si="82"/>
        <v>0</v>
      </c>
      <c r="BJ97" s="302">
        <f t="shared" si="46"/>
        <v>0</v>
      </c>
      <c r="BL97" s="317">
        <f>ROW()</f>
        <v>97</v>
      </c>
      <c r="BM97" s="317">
        <f t="shared" si="54"/>
        <v>-10</v>
      </c>
      <c r="BN97" s="317">
        <f t="shared" si="60"/>
        <v>-17.5</v>
      </c>
      <c r="BO97" s="317">
        <f t="shared" si="55"/>
        <v>-210</v>
      </c>
      <c r="BP97" s="594">
        <f t="shared" si="56"/>
        <v>0</v>
      </c>
    </row>
    <row r="98" spans="1:72" ht="18" hidden="1" customHeight="1" thickBot="1" x14ac:dyDescent="0.6">
      <c r="A98" s="7222"/>
      <c r="B98" s="7209"/>
      <c r="C98" s="204" t="s">
        <v>236</v>
      </c>
      <c r="D98" s="306">
        <v>133</v>
      </c>
      <c r="E98" s="307">
        <v>174</v>
      </c>
      <c r="F98" s="307">
        <v>92</v>
      </c>
      <c r="G98" s="307">
        <v>78</v>
      </c>
      <c r="H98" s="307">
        <v>137</v>
      </c>
      <c r="I98" s="307">
        <v>126</v>
      </c>
      <c r="J98" s="307">
        <v>104</v>
      </c>
      <c r="K98" s="307">
        <v>162</v>
      </c>
      <c r="L98" s="307">
        <v>91</v>
      </c>
      <c r="M98" s="307">
        <v>129</v>
      </c>
      <c r="N98" s="307">
        <v>74</v>
      </c>
      <c r="O98" s="307">
        <v>90</v>
      </c>
      <c r="P98" s="307">
        <f t="shared" si="80"/>
        <v>1390</v>
      </c>
      <c r="Q98" s="308">
        <f t="shared" si="39"/>
        <v>115.83333333333333</v>
      </c>
      <c r="R98" s="374"/>
      <c r="S98" s="306">
        <v>82</v>
      </c>
      <c r="T98" s="307">
        <v>120</v>
      </c>
      <c r="U98" s="307">
        <v>90</v>
      </c>
      <c r="V98" s="307">
        <v>70</v>
      </c>
      <c r="W98" s="307">
        <v>69</v>
      </c>
      <c r="X98" s="307">
        <v>14</v>
      </c>
      <c r="Y98" s="307">
        <v>44</v>
      </c>
      <c r="Z98" s="307">
        <v>37</v>
      </c>
      <c r="AA98" s="307">
        <v>16</v>
      </c>
      <c r="AB98" s="307">
        <v>51</v>
      </c>
      <c r="AC98" s="307">
        <v>15</v>
      </c>
      <c r="AD98" s="307">
        <v>7</v>
      </c>
      <c r="AE98" s="307">
        <f t="shared" si="40"/>
        <v>615</v>
      </c>
      <c r="AF98" s="308">
        <f t="shared" si="41"/>
        <v>51.25</v>
      </c>
      <c r="AG98" s="374"/>
      <c r="AH98" s="306">
        <v>8</v>
      </c>
      <c r="AI98" s="307">
        <v>8</v>
      </c>
      <c r="AJ98" s="307">
        <v>24</v>
      </c>
      <c r="AK98" s="307">
        <v>16</v>
      </c>
      <c r="AL98" s="307">
        <v>31</v>
      </c>
      <c r="AM98" s="307">
        <v>17</v>
      </c>
      <c r="AN98" s="307">
        <v>107</v>
      </c>
      <c r="AO98" s="307">
        <v>30</v>
      </c>
      <c r="AP98" s="307">
        <v>19</v>
      </c>
      <c r="AQ98" s="307">
        <v>18</v>
      </c>
      <c r="AR98" s="307">
        <v>17</v>
      </c>
      <c r="AS98" s="307">
        <v>8</v>
      </c>
      <c r="AT98" s="307">
        <f t="shared" si="81"/>
        <v>303</v>
      </c>
      <c r="AU98" s="308">
        <f t="shared" si="59"/>
        <v>25.25</v>
      </c>
      <c r="AV98" s="374"/>
      <c r="AW98" s="2023"/>
      <c r="AX98" s="307"/>
      <c r="AY98" s="307"/>
      <c r="AZ98" s="307"/>
      <c r="BA98" s="307"/>
      <c r="BB98" s="307"/>
      <c r="BC98" s="307"/>
      <c r="BD98" s="307"/>
      <c r="BE98" s="307"/>
      <c r="BF98" s="307"/>
      <c r="BG98" s="307"/>
      <c r="BH98" s="307"/>
      <c r="BI98" s="307">
        <f t="shared" si="82"/>
        <v>0</v>
      </c>
      <c r="BJ98" s="308">
        <f t="shared" si="46"/>
        <v>0</v>
      </c>
      <c r="BL98" s="317">
        <f>ROW()</f>
        <v>98</v>
      </c>
      <c r="BM98" s="317">
        <f t="shared" si="54"/>
        <v>-8</v>
      </c>
      <c r="BN98" s="317">
        <f t="shared" si="60"/>
        <v>-25.25</v>
      </c>
      <c r="BO98" s="317">
        <f t="shared" si="55"/>
        <v>-303</v>
      </c>
      <c r="BP98" s="594">
        <f t="shared" si="56"/>
        <v>0</v>
      </c>
    </row>
    <row r="99" spans="1:72" hidden="1" x14ac:dyDescent="0.55000000000000004">
      <c r="A99" s="7222"/>
      <c r="B99" s="7213" t="s">
        <v>432</v>
      </c>
      <c r="C99" s="199" t="s">
        <v>419</v>
      </c>
      <c r="D99" s="291">
        <f>D104+D105</f>
        <v>4081</v>
      </c>
      <c r="E99" s="292">
        <f t="shared" ref="E99:O99" si="83">E104+E105</f>
        <v>5378</v>
      </c>
      <c r="F99" s="292">
        <f t="shared" si="83"/>
        <v>4538</v>
      </c>
      <c r="G99" s="292">
        <f t="shared" si="83"/>
        <v>5099</v>
      </c>
      <c r="H99" s="292">
        <f t="shared" si="83"/>
        <v>5388</v>
      </c>
      <c r="I99" s="292">
        <f t="shared" si="83"/>
        <v>5753</v>
      </c>
      <c r="J99" s="292">
        <f t="shared" si="83"/>
        <v>4808</v>
      </c>
      <c r="K99" s="292">
        <f t="shared" si="83"/>
        <v>5269</v>
      </c>
      <c r="L99" s="292">
        <f t="shared" si="83"/>
        <v>3462</v>
      </c>
      <c r="M99" s="292">
        <f t="shared" si="83"/>
        <v>5411</v>
      </c>
      <c r="N99" s="292">
        <f t="shared" si="83"/>
        <v>3689</v>
      </c>
      <c r="O99" s="292">
        <f t="shared" si="83"/>
        <v>3330</v>
      </c>
      <c r="P99" s="292">
        <f t="shared" si="38"/>
        <v>56206</v>
      </c>
      <c r="Q99" s="293">
        <f t="shared" si="39"/>
        <v>4683.833333333333</v>
      </c>
      <c r="R99" s="374"/>
      <c r="S99" s="291">
        <f>S104+S105</f>
        <v>3545</v>
      </c>
      <c r="T99" s="292">
        <f t="shared" ref="T99:AD99" si="84">T104+T105</f>
        <v>4347</v>
      </c>
      <c r="U99" s="292">
        <f t="shared" si="84"/>
        <v>3323</v>
      </c>
      <c r="V99" s="292">
        <f t="shared" si="84"/>
        <v>3494</v>
      </c>
      <c r="W99" s="292">
        <f t="shared" si="84"/>
        <v>3544</v>
      </c>
      <c r="X99" s="292">
        <f t="shared" si="84"/>
        <v>3238</v>
      </c>
      <c r="Y99" s="292">
        <f t="shared" si="84"/>
        <v>3734</v>
      </c>
      <c r="Z99" s="292">
        <f t="shared" si="84"/>
        <v>4781</v>
      </c>
      <c r="AA99" s="292">
        <f t="shared" si="84"/>
        <v>3087</v>
      </c>
      <c r="AB99" s="292">
        <f t="shared" si="84"/>
        <v>4552</v>
      </c>
      <c r="AC99" s="292">
        <f t="shared" si="84"/>
        <v>3206</v>
      </c>
      <c r="AD99" s="292">
        <f t="shared" si="84"/>
        <v>2657</v>
      </c>
      <c r="AE99" s="292">
        <f t="shared" si="40"/>
        <v>43508</v>
      </c>
      <c r="AF99" s="293">
        <f t="shared" si="41"/>
        <v>3625.6666666666665</v>
      </c>
      <c r="AG99" s="374"/>
      <c r="AH99" s="291">
        <v>4269</v>
      </c>
      <c r="AI99" s="292">
        <v>3079</v>
      </c>
      <c r="AJ99" s="292">
        <v>3615</v>
      </c>
      <c r="AK99" s="292">
        <v>3654</v>
      </c>
      <c r="AL99" s="292">
        <v>4206</v>
      </c>
      <c r="AM99" s="292">
        <v>3681</v>
      </c>
      <c r="AN99" s="292">
        <v>4701</v>
      </c>
      <c r="AO99" s="292">
        <v>3952</v>
      </c>
      <c r="AP99" s="292">
        <v>3921</v>
      </c>
      <c r="AQ99" s="292">
        <v>3913</v>
      </c>
      <c r="AR99" s="292">
        <v>3748</v>
      </c>
      <c r="AS99" s="292">
        <v>2928</v>
      </c>
      <c r="AT99" s="292">
        <f t="shared" si="42"/>
        <v>45667</v>
      </c>
      <c r="AU99" s="293">
        <f t="shared" si="59"/>
        <v>3805.5833333333335</v>
      </c>
      <c r="AV99" s="374"/>
      <c r="AW99" s="2015"/>
      <c r="AX99" s="292"/>
      <c r="AY99" s="292"/>
      <c r="AZ99" s="292"/>
      <c r="BA99" s="292"/>
      <c r="BB99" s="292"/>
      <c r="BC99" s="292"/>
      <c r="BD99" s="292"/>
      <c r="BE99" s="292"/>
      <c r="BF99" s="292"/>
      <c r="BG99" s="292"/>
      <c r="BH99" s="292"/>
      <c r="BI99" s="292">
        <f>SUM(AW99:BH99)</f>
        <v>0</v>
      </c>
      <c r="BJ99" s="293">
        <f t="shared" si="46"/>
        <v>0</v>
      </c>
      <c r="BL99" s="317">
        <f>ROW()</f>
        <v>99</v>
      </c>
      <c r="BM99" s="317">
        <f t="shared" si="54"/>
        <v>-2928</v>
      </c>
      <c r="BN99" s="317">
        <f t="shared" si="60"/>
        <v>-3805.5833333333335</v>
      </c>
      <c r="BO99" s="317">
        <f t="shared" si="55"/>
        <v>-45667</v>
      </c>
      <c r="BP99" s="594">
        <f t="shared" si="56"/>
        <v>0</v>
      </c>
    </row>
    <row r="100" spans="1:72" hidden="1" x14ac:dyDescent="0.55000000000000004">
      <c r="A100" s="7222"/>
      <c r="B100" s="7214"/>
      <c r="C100" s="200" t="s">
        <v>420</v>
      </c>
      <c r="D100" s="294">
        <f>D106</f>
        <v>2736</v>
      </c>
      <c r="E100" s="295">
        <f t="shared" ref="E100:O100" si="85">E106</f>
        <v>4043</v>
      </c>
      <c r="F100" s="295">
        <f t="shared" si="85"/>
        <v>3300</v>
      </c>
      <c r="G100" s="295">
        <f t="shared" si="85"/>
        <v>3839</v>
      </c>
      <c r="H100" s="295">
        <f t="shared" si="85"/>
        <v>3905</v>
      </c>
      <c r="I100" s="295">
        <f t="shared" si="85"/>
        <v>3550</v>
      </c>
      <c r="J100" s="295">
        <f t="shared" si="85"/>
        <v>3115</v>
      </c>
      <c r="K100" s="295">
        <f t="shared" si="85"/>
        <v>3979</v>
      </c>
      <c r="L100" s="295">
        <f t="shared" si="85"/>
        <v>2575</v>
      </c>
      <c r="M100" s="295">
        <f t="shared" si="85"/>
        <v>3489</v>
      </c>
      <c r="N100" s="295">
        <f t="shared" si="85"/>
        <v>2598</v>
      </c>
      <c r="O100" s="295">
        <f t="shared" si="85"/>
        <v>2308</v>
      </c>
      <c r="P100" s="295">
        <f t="shared" si="38"/>
        <v>39437</v>
      </c>
      <c r="Q100" s="296">
        <f t="shared" si="39"/>
        <v>3286.4166666666665</v>
      </c>
      <c r="R100" s="374"/>
      <c r="S100" s="294">
        <f>S106</f>
        <v>2544</v>
      </c>
      <c r="T100" s="295">
        <f t="shared" ref="T100:AD100" si="86">T106</f>
        <v>2931</v>
      </c>
      <c r="U100" s="295">
        <f t="shared" si="86"/>
        <v>2025</v>
      </c>
      <c r="V100" s="295">
        <f t="shared" si="86"/>
        <v>1801</v>
      </c>
      <c r="W100" s="295">
        <f t="shared" si="86"/>
        <v>2053</v>
      </c>
      <c r="X100" s="295">
        <f t="shared" si="86"/>
        <v>2009</v>
      </c>
      <c r="Y100" s="295">
        <f t="shared" si="86"/>
        <v>2262</v>
      </c>
      <c r="Z100" s="295">
        <f t="shared" si="86"/>
        <v>3075</v>
      </c>
      <c r="AA100" s="295">
        <f t="shared" si="86"/>
        <v>2116</v>
      </c>
      <c r="AB100" s="295">
        <f t="shared" si="86"/>
        <v>3059</v>
      </c>
      <c r="AC100" s="295">
        <f t="shared" si="86"/>
        <v>2264</v>
      </c>
      <c r="AD100" s="295">
        <f t="shared" si="86"/>
        <v>1877</v>
      </c>
      <c r="AE100" s="295">
        <f t="shared" si="40"/>
        <v>28016</v>
      </c>
      <c r="AF100" s="296">
        <f t="shared" si="41"/>
        <v>2334.6666666666665</v>
      </c>
      <c r="AG100" s="374"/>
      <c r="AH100" s="294">
        <v>2751</v>
      </c>
      <c r="AI100" s="295">
        <v>2166</v>
      </c>
      <c r="AJ100" s="295">
        <v>2493</v>
      </c>
      <c r="AK100" s="295">
        <v>2502</v>
      </c>
      <c r="AL100" s="295">
        <v>2834</v>
      </c>
      <c r="AM100" s="295">
        <v>2616</v>
      </c>
      <c r="AN100" s="295">
        <v>3205</v>
      </c>
      <c r="AO100" s="295">
        <v>2744</v>
      </c>
      <c r="AP100" s="295">
        <v>3008.0000000000005</v>
      </c>
      <c r="AQ100" s="295">
        <v>2802</v>
      </c>
      <c r="AR100" s="295">
        <v>2578</v>
      </c>
      <c r="AS100" s="295">
        <v>2213</v>
      </c>
      <c r="AT100" s="295">
        <f t="shared" si="42"/>
        <v>31912</v>
      </c>
      <c r="AU100" s="296">
        <f t="shared" si="59"/>
        <v>2659.3333333333335</v>
      </c>
      <c r="AV100" s="374"/>
      <c r="AW100" s="2016"/>
      <c r="AX100" s="295"/>
      <c r="AY100" s="295"/>
      <c r="AZ100" s="295"/>
      <c r="BA100" s="295"/>
      <c r="BB100" s="295"/>
      <c r="BC100" s="295"/>
      <c r="BD100" s="295"/>
      <c r="BE100" s="295"/>
      <c r="BF100" s="295"/>
      <c r="BG100" s="295"/>
      <c r="BH100" s="295"/>
      <c r="BI100" s="295">
        <f>SUM(AW100:BH100)</f>
        <v>0</v>
      </c>
      <c r="BJ100" s="296">
        <f t="shared" si="46"/>
        <v>0</v>
      </c>
      <c r="BL100" s="317">
        <f>ROW()</f>
        <v>100</v>
      </c>
      <c r="BM100" s="317">
        <f t="shared" ref="BM100:BM131" si="87">HLOOKUP($A$2,$AW$2:$BH$411,ROW()-1,0)-HLOOKUP($A$2,$AH$2:$AS$411,ROW()-1,0)</f>
        <v>-2213</v>
      </c>
      <c r="BN100" s="317">
        <f t="shared" si="60"/>
        <v>-2659.3333333333335</v>
      </c>
      <c r="BO100" s="317">
        <f t="shared" ref="BO100:BO131" si="88">BI100-SUM(AH100:AS100)</f>
        <v>-31912</v>
      </c>
      <c r="BP100" s="594">
        <f t="shared" ref="BP100:BP131" si="89">HLOOKUP($A$2,$AW$2:$BH$520,ROW()-1,0)-HLOOKUP($A$2-1,$AW$2:$BH$520,ROW()-1,1)</f>
        <v>0</v>
      </c>
    </row>
    <row r="101" spans="1:72" hidden="1" x14ac:dyDescent="0.55000000000000004">
      <c r="A101" s="7222"/>
      <c r="B101" s="7214"/>
      <c r="C101" s="200" t="s">
        <v>421</v>
      </c>
      <c r="D101" s="294">
        <f>D107</f>
        <v>2647</v>
      </c>
      <c r="E101" s="295">
        <f t="shared" ref="E101:O101" si="90">E107</f>
        <v>3342</v>
      </c>
      <c r="F101" s="295">
        <f t="shared" si="90"/>
        <v>3095</v>
      </c>
      <c r="G101" s="295">
        <f t="shared" si="90"/>
        <v>3189</v>
      </c>
      <c r="H101" s="295">
        <f t="shared" si="90"/>
        <v>3406</v>
      </c>
      <c r="I101" s="295">
        <f t="shared" si="90"/>
        <v>3351</v>
      </c>
      <c r="J101" s="295">
        <f t="shared" si="90"/>
        <v>3245</v>
      </c>
      <c r="K101" s="295">
        <f t="shared" si="90"/>
        <v>3923</v>
      </c>
      <c r="L101" s="295">
        <f t="shared" si="90"/>
        <v>2456</v>
      </c>
      <c r="M101" s="295">
        <f t="shared" si="90"/>
        <v>3476</v>
      </c>
      <c r="N101" s="295">
        <f t="shared" si="90"/>
        <v>2338</v>
      </c>
      <c r="O101" s="295">
        <f t="shared" si="90"/>
        <v>2210</v>
      </c>
      <c r="P101" s="295">
        <f t="shared" si="38"/>
        <v>36678</v>
      </c>
      <c r="Q101" s="296">
        <f t="shared" si="39"/>
        <v>3056.5</v>
      </c>
      <c r="R101" s="374"/>
      <c r="S101" s="294">
        <f>S107</f>
        <v>2337</v>
      </c>
      <c r="T101" s="295">
        <f t="shared" ref="T101:AD101" si="91">T107</f>
        <v>2567</v>
      </c>
      <c r="U101" s="295">
        <f t="shared" si="91"/>
        <v>2291</v>
      </c>
      <c r="V101" s="295">
        <f t="shared" si="91"/>
        <v>2154</v>
      </c>
      <c r="W101" s="295">
        <f t="shared" si="91"/>
        <v>2254</v>
      </c>
      <c r="X101" s="295">
        <f t="shared" si="91"/>
        <v>2075</v>
      </c>
      <c r="Y101" s="295">
        <f t="shared" si="91"/>
        <v>2633</v>
      </c>
      <c r="Z101" s="295">
        <f t="shared" si="91"/>
        <v>3077</v>
      </c>
      <c r="AA101" s="295">
        <f t="shared" si="91"/>
        <v>2048</v>
      </c>
      <c r="AB101" s="295">
        <f t="shared" si="91"/>
        <v>2875</v>
      </c>
      <c r="AC101" s="295">
        <f t="shared" si="91"/>
        <v>2105</v>
      </c>
      <c r="AD101" s="295">
        <f t="shared" si="91"/>
        <v>1781</v>
      </c>
      <c r="AE101" s="295">
        <f t="shared" si="40"/>
        <v>28197</v>
      </c>
      <c r="AF101" s="296">
        <f t="shared" si="41"/>
        <v>2349.75</v>
      </c>
      <c r="AG101" s="374"/>
      <c r="AH101" s="294">
        <v>2440</v>
      </c>
      <c r="AI101" s="295">
        <v>2161</v>
      </c>
      <c r="AJ101" s="295">
        <v>2284</v>
      </c>
      <c r="AK101" s="295">
        <v>2347</v>
      </c>
      <c r="AL101" s="295">
        <v>2922</v>
      </c>
      <c r="AM101" s="295">
        <v>2867</v>
      </c>
      <c r="AN101" s="295">
        <v>3356</v>
      </c>
      <c r="AO101" s="295">
        <v>2641</v>
      </c>
      <c r="AP101" s="295">
        <v>2681</v>
      </c>
      <c r="AQ101" s="295">
        <v>2849</v>
      </c>
      <c r="AR101" s="295">
        <v>2488</v>
      </c>
      <c r="AS101" s="295">
        <v>2061</v>
      </c>
      <c r="AT101" s="295">
        <f t="shared" si="42"/>
        <v>31097</v>
      </c>
      <c r="AU101" s="296">
        <f t="shared" si="59"/>
        <v>2591.4166666666665</v>
      </c>
      <c r="AV101" s="374"/>
      <c r="AW101" s="2016"/>
      <c r="AX101" s="295"/>
      <c r="AY101" s="295"/>
      <c r="AZ101" s="295"/>
      <c r="BA101" s="295"/>
      <c r="BB101" s="295"/>
      <c r="BC101" s="295"/>
      <c r="BD101" s="295"/>
      <c r="BE101" s="295"/>
      <c r="BF101" s="295"/>
      <c r="BG101" s="295"/>
      <c r="BH101" s="295"/>
      <c r="BI101" s="295">
        <f>SUM(AW101:BH101)</f>
        <v>0</v>
      </c>
      <c r="BJ101" s="296">
        <f t="shared" si="46"/>
        <v>0</v>
      </c>
      <c r="BL101" s="317">
        <f>ROW()</f>
        <v>101</v>
      </c>
      <c r="BM101" s="317">
        <f t="shared" si="87"/>
        <v>-2061</v>
      </c>
      <c r="BN101" s="317">
        <f t="shared" si="60"/>
        <v>-2591.4166666666665</v>
      </c>
      <c r="BO101" s="317">
        <f t="shared" si="88"/>
        <v>-31097</v>
      </c>
      <c r="BP101" s="594">
        <f t="shared" si="89"/>
        <v>0</v>
      </c>
    </row>
    <row r="102" spans="1:72" hidden="1" x14ac:dyDescent="0.55000000000000004">
      <c r="A102" s="7222"/>
      <c r="B102" s="7214"/>
      <c r="C102" s="200" t="s">
        <v>422</v>
      </c>
      <c r="D102" s="294">
        <f>D108+D109</f>
        <v>5845</v>
      </c>
      <c r="E102" s="295">
        <f t="shared" ref="E102:O102" si="92">E108+E109</f>
        <v>7286</v>
      </c>
      <c r="F102" s="295">
        <f t="shared" si="92"/>
        <v>6661</v>
      </c>
      <c r="G102" s="295">
        <f t="shared" si="92"/>
        <v>6964</v>
      </c>
      <c r="H102" s="295">
        <f t="shared" si="92"/>
        <v>7074</v>
      </c>
      <c r="I102" s="295">
        <f t="shared" si="92"/>
        <v>5923</v>
      </c>
      <c r="J102" s="295">
        <f t="shared" si="92"/>
        <v>5818</v>
      </c>
      <c r="K102" s="295">
        <f t="shared" si="92"/>
        <v>6287</v>
      </c>
      <c r="L102" s="295">
        <f t="shared" si="92"/>
        <v>4770</v>
      </c>
      <c r="M102" s="295">
        <f t="shared" si="92"/>
        <v>6438</v>
      </c>
      <c r="N102" s="295">
        <f t="shared" si="92"/>
        <v>4511</v>
      </c>
      <c r="O102" s="295">
        <f t="shared" si="92"/>
        <v>3609</v>
      </c>
      <c r="P102" s="295">
        <f t="shared" si="38"/>
        <v>71186</v>
      </c>
      <c r="Q102" s="296">
        <f t="shared" si="39"/>
        <v>5932.166666666667</v>
      </c>
      <c r="R102" s="374"/>
      <c r="S102" s="294">
        <f>S108+S109</f>
        <v>4382</v>
      </c>
      <c r="T102" s="295">
        <f t="shared" ref="T102:AD102" si="93">T108+T109</f>
        <v>5529</v>
      </c>
      <c r="U102" s="295">
        <f t="shared" si="93"/>
        <v>4490</v>
      </c>
      <c r="V102" s="295">
        <f t="shared" si="93"/>
        <v>4533</v>
      </c>
      <c r="W102" s="295">
        <f t="shared" si="93"/>
        <v>4627</v>
      </c>
      <c r="X102" s="295">
        <f t="shared" si="93"/>
        <v>4189</v>
      </c>
      <c r="Y102" s="295">
        <f t="shared" si="93"/>
        <v>4578</v>
      </c>
      <c r="Z102" s="295">
        <f t="shared" si="93"/>
        <v>6106</v>
      </c>
      <c r="AA102" s="295">
        <f t="shared" si="93"/>
        <v>4354</v>
      </c>
      <c r="AB102" s="295">
        <f t="shared" si="93"/>
        <v>5658</v>
      </c>
      <c r="AC102" s="295">
        <f t="shared" si="93"/>
        <v>4314</v>
      </c>
      <c r="AD102" s="295">
        <f t="shared" si="93"/>
        <v>3370</v>
      </c>
      <c r="AE102" s="295">
        <f t="shared" si="40"/>
        <v>56130</v>
      </c>
      <c r="AF102" s="296">
        <f t="shared" si="41"/>
        <v>4677.5</v>
      </c>
      <c r="AG102" s="374"/>
      <c r="AH102" s="294">
        <v>5623</v>
      </c>
      <c r="AI102" s="295">
        <v>4473</v>
      </c>
      <c r="AJ102" s="295">
        <v>4805</v>
      </c>
      <c r="AK102" s="295">
        <v>4905</v>
      </c>
      <c r="AL102" s="295">
        <v>5016</v>
      </c>
      <c r="AM102" s="295">
        <v>4510</v>
      </c>
      <c r="AN102" s="295">
        <v>5301</v>
      </c>
      <c r="AO102" s="295">
        <v>4335</v>
      </c>
      <c r="AP102" s="295">
        <v>5440</v>
      </c>
      <c r="AQ102" s="295">
        <v>5224</v>
      </c>
      <c r="AR102" s="295">
        <v>5914</v>
      </c>
      <c r="AS102" s="295">
        <v>5186</v>
      </c>
      <c r="AT102" s="295">
        <f t="shared" si="42"/>
        <v>60732</v>
      </c>
      <c r="AU102" s="296">
        <f t="shared" si="59"/>
        <v>5061</v>
      </c>
      <c r="AV102" s="374"/>
      <c r="AW102" s="2016"/>
      <c r="AX102" s="295"/>
      <c r="AY102" s="295"/>
      <c r="AZ102" s="295"/>
      <c r="BA102" s="295"/>
      <c r="BB102" s="295"/>
      <c r="BC102" s="295"/>
      <c r="BD102" s="295"/>
      <c r="BE102" s="295"/>
      <c r="BF102" s="295"/>
      <c r="BG102" s="295"/>
      <c r="BH102" s="295"/>
      <c r="BI102" s="295">
        <f>SUM(AW102:BH102)</f>
        <v>0</v>
      </c>
      <c r="BJ102" s="296">
        <f t="shared" si="46"/>
        <v>0</v>
      </c>
      <c r="BL102" s="317">
        <f>ROW()</f>
        <v>102</v>
      </c>
      <c r="BM102" s="317">
        <f t="shared" si="87"/>
        <v>-5186</v>
      </c>
      <c r="BN102" s="317">
        <f t="shared" si="60"/>
        <v>-5061</v>
      </c>
      <c r="BO102" s="317">
        <f t="shared" si="88"/>
        <v>-60732</v>
      </c>
      <c r="BP102" s="594">
        <f t="shared" si="89"/>
        <v>0</v>
      </c>
    </row>
    <row r="103" spans="1:72" hidden="1" x14ac:dyDescent="0.55000000000000004">
      <c r="A103" s="7222"/>
      <c r="B103" s="7215"/>
      <c r="C103" s="201" t="s">
        <v>423</v>
      </c>
      <c r="D103" s="297">
        <f>D110+D111</f>
        <v>7377</v>
      </c>
      <c r="E103" s="298">
        <f t="shared" ref="E103:O103" si="94">E110+E111</f>
        <v>7726</v>
      </c>
      <c r="F103" s="298">
        <f t="shared" si="94"/>
        <v>6826</v>
      </c>
      <c r="G103" s="298">
        <f t="shared" si="94"/>
        <v>7038</v>
      </c>
      <c r="H103" s="298">
        <f t="shared" si="94"/>
        <v>7519</v>
      </c>
      <c r="I103" s="298">
        <f t="shared" si="94"/>
        <v>6706</v>
      </c>
      <c r="J103" s="298">
        <f t="shared" si="94"/>
        <v>6335</v>
      </c>
      <c r="K103" s="298">
        <f t="shared" si="94"/>
        <v>6923</v>
      </c>
      <c r="L103" s="298">
        <f t="shared" si="94"/>
        <v>4934</v>
      </c>
      <c r="M103" s="298">
        <f t="shared" si="94"/>
        <v>7342</v>
      </c>
      <c r="N103" s="298">
        <f t="shared" si="94"/>
        <v>5401</v>
      </c>
      <c r="O103" s="298">
        <f t="shared" si="94"/>
        <v>4851</v>
      </c>
      <c r="P103" s="298">
        <f t="shared" si="38"/>
        <v>78978</v>
      </c>
      <c r="Q103" s="299">
        <f t="shared" si="39"/>
        <v>6581.5</v>
      </c>
      <c r="R103" s="374"/>
      <c r="S103" s="297">
        <f>S110+S111</f>
        <v>5503</v>
      </c>
      <c r="T103" s="298">
        <f t="shared" ref="T103:AD103" si="95">T110+T111</f>
        <v>6363</v>
      </c>
      <c r="U103" s="298">
        <f t="shared" si="95"/>
        <v>5233</v>
      </c>
      <c r="V103" s="298">
        <f t="shared" si="95"/>
        <v>5120</v>
      </c>
      <c r="W103" s="298">
        <f t="shared" si="95"/>
        <v>4979</v>
      </c>
      <c r="X103" s="298">
        <f t="shared" si="95"/>
        <v>4643</v>
      </c>
      <c r="Y103" s="298">
        <f t="shared" si="95"/>
        <v>5210</v>
      </c>
      <c r="Z103" s="298">
        <f t="shared" si="95"/>
        <v>6690</v>
      </c>
      <c r="AA103" s="298">
        <f t="shared" si="95"/>
        <v>4854</v>
      </c>
      <c r="AB103" s="298">
        <f t="shared" si="95"/>
        <v>5960</v>
      </c>
      <c r="AC103" s="298">
        <f t="shared" si="95"/>
        <v>4541</v>
      </c>
      <c r="AD103" s="298">
        <f t="shared" si="95"/>
        <v>3861</v>
      </c>
      <c r="AE103" s="298">
        <f t="shared" si="40"/>
        <v>62957</v>
      </c>
      <c r="AF103" s="299">
        <f t="shared" si="41"/>
        <v>5246.416666666667</v>
      </c>
      <c r="AG103" s="374"/>
      <c r="AH103" s="297">
        <v>5912</v>
      </c>
      <c r="AI103" s="298">
        <v>4813</v>
      </c>
      <c r="AJ103" s="298">
        <v>5185</v>
      </c>
      <c r="AK103" s="298">
        <v>5024</v>
      </c>
      <c r="AL103" s="298">
        <v>5168</v>
      </c>
      <c r="AM103" s="298">
        <v>4954</v>
      </c>
      <c r="AN103" s="298">
        <v>5634</v>
      </c>
      <c r="AO103" s="298">
        <v>4158</v>
      </c>
      <c r="AP103" s="298">
        <v>5386</v>
      </c>
      <c r="AQ103" s="298">
        <v>5198</v>
      </c>
      <c r="AR103" s="298">
        <v>5602</v>
      </c>
      <c r="AS103" s="298">
        <v>4615</v>
      </c>
      <c r="AT103" s="298">
        <f t="shared" si="42"/>
        <v>61649</v>
      </c>
      <c r="AU103" s="299">
        <f t="shared" si="59"/>
        <v>5137.416666666667</v>
      </c>
      <c r="AV103" s="374"/>
      <c r="AW103" s="2017"/>
      <c r="AX103" s="298"/>
      <c r="AY103" s="298"/>
      <c r="AZ103" s="298"/>
      <c r="BA103" s="298"/>
      <c r="BB103" s="298"/>
      <c r="BC103" s="298"/>
      <c r="BD103" s="298"/>
      <c r="BE103" s="298"/>
      <c r="BF103" s="298"/>
      <c r="BG103" s="298"/>
      <c r="BH103" s="298"/>
      <c r="BI103" s="298">
        <f>SUM(AW103:BH103)</f>
        <v>0</v>
      </c>
      <c r="BJ103" s="299">
        <f t="shared" si="46"/>
        <v>0</v>
      </c>
      <c r="BL103" s="317">
        <f>ROW()</f>
        <v>103</v>
      </c>
      <c r="BM103" s="317">
        <f t="shared" si="87"/>
        <v>-4615</v>
      </c>
      <c r="BN103" s="317">
        <f t="shared" si="60"/>
        <v>-5137.416666666667</v>
      </c>
      <c r="BO103" s="317">
        <f t="shared" si="88"/>
        <v>-61649</v>
      </c>
      <c r="BP103" s="594">
        <f t="shared" si="89"/>
        <v>0</v>
      </c>
    </row>
    <row r="104" spans="1:72" hidden="1" x14ac:dyDescent="0.55000000000000004">
      <c r="A104" s="7222"/>
      <c r="B104" s="7207" t="s">
        <v>433</v>
      </c>
      <c r="C104" s="203" t="s">
        <v>242</v>
      </c>
      <c r="D104" s="303">
        <v>2568</v>
      </c>
      <c r="E104" s="304">
        <v>3494</v>
      </c>
      <c r="F104" s="304">
        <v>2956</v>
      </c>
      <c r="G104" s="304">
        <v>3351</v>
      </c>
      <c r="H104" s="304">
        <v>3537</v>
      </c>
      <c r="I104" s="304">
        <v>3779</v>
      </c>
      <c r="J104" s="304">
        <v>3294</v>
      </c>
      <c r="K104" s="304">
        <v>3655</v>
      </c>
      <c r="L104" s="304">
        <v>2432</v>
      </c>
      <c r="M104" s="304">
        <v>3781</v>
      </c>
      <c r="N104" s="304">
        <v>2534</v>
      </c>
      <c r="O104" s="304">
        <v>2415</v>
      </c>
      <c r="P104" s="304">
        <f t="shared" ref="P104:P111" si="96">SUM(D104:O104)</f>
        <v>37796</v>
      </c>
      <c r="Q104" s="305">
        <f t="shared" ref="Q104:Q111" si="97">P104/12</f>
        <v>3149.6666666666665</v>
      </c>
      <c r="R104" s="374"/>
      <c r="S104" s="303">
        <v>2516</v>
      </c>
      <c r="T104" s="304">
        <v>3087</v>
      </c>
      <c r="U104" s="304">
        <v>2316</v>
      </c>
      <c r="V104" s="304">
        <v>2462</v>
      </c>
      <c r="W104" s="304">
        <v>2526</v>
      </c>
      <c r="X104" s="304">
        <v>2273</v>
      </c>
      <c r="Y104" s="304">
        <v>2648</v>
      </c>
      <c r="Z104" s="304">
        <v>3312</v>
      </c>
      <c r="AA104" s="304">
        <v>2160</v>
      </c>
      <c r="AB104" s="304">
        <v>3141</v>
      </c>
      <c r="AC104" s="304">
        <v>2249</v>
      </c>
      <c r="AD104" s="304">
        <v>1807</v>
      </c>
      <c r="AE104" s="304">
        <f t="shared" si="40"/>
        <v>30497</v>
      </c>
      <c r="AF104" s="305">
        <f t="shared" si="41"/>
        <v>2541.4166666666665</v>
      </c>
      <c r="AG104" s="374"/>
      <c r="AH104" s="303">
        <v>2936</v>
      </c>
      <c r="AI104" s="304">
        <v>2106</v>
      </c>
      <c r="AJ104" s="304">
        <v>2604</v>
      </c>
      <c r="AK104" s="304">
        <v>2514</v>
      </c>
      <c r="AL104" s="304">
        <v>2978</v>
      </c>
      <c r="AM104" s="304">
        <v>2592</v>
      </c>
      <c r="AN104" s="304">
        <v>3228</v>
      </c>
      <c r="AO104" s="304">
        <v>2762</v>
      </c>
      <c r="AP104" s="304">
        <v>2744</v>
      </c>
      <c r="AQ104" s="304">
        <v>2838</v>
      </c>
      <c r="AR104" s="304">
        <v>2711</v>
      </c>
      <c r="AS104" s="304">
        <v>2044</v>
      </c>
      <c r="AT104" s="304">
        <f t="shared" ref="AT104:AT111" si="98">SUM(AH104:AS104)</f>
        <v>32057</v>
      </c>
      <c r="AU104" s="305">
        <f t="shared" si="59"/>
        <v>2671.4166666666665</v>
      </c>
      <c r="AV104" s="374"/>
      <c r="AW104" s="2022"/>
      <c r="AX104" s="304"/>
      <c r="AY104" s="304"/>
      <c r="AZ104" s="304"/>
      <c r="BA104" s="304"/>
      <c r="BB104" s="304"/>
      <c r="BC104" s="304"/>
      <c r="BD104" s="304"/>
      <c r="BE104" s="304"/>
      <c r="BF104" s="304"/>
      <c r="BG104" s="304"/>
      <c r="BH104" s="304"/>
      <c r="BI104" s="304">
        <f t="shared" ref="BI104:BI111" si="99">SUM(AW104:BH104)</f>
        <v>0</v>
      </c>
      <c r="BJ104" s="305">
        <f t="shared" si="46"/>
        <v>0</v>
      </c>
      <c r="BL104" s="317">
        <f>ROW()</f>
        <v>104</v>
      </c>
      <c r="BM104" s="317">
        <f t="shared" si="87"/>
        <v>-2044</v>
      </c>
      <c r="BN104" s="317">
        <f t="shared" si="60"/>
        <v>-2671.4166666666665</v>
      </c>
      <c r="BO104" s="317">
        <f t="shared" si="88"/>
        <v>-32057</v>
      </c>
      <c r="BP104" s="594">
        <f t="shared" si="89"/>
        <v>0</v>
      </c>
    </row>
    <row r="105" spans="1:72" hidden="1" x14ac:dyDescent="0.55000000000000004">
      <c r="A105" s="7222"/>
      <c r="B105" s="7208"/>
      <c r="C105" s="203" t="s">
        <v>243</v>
      </c>
      <c r="D105" s="303">
        <v>1513</v>
      </c>
      <c r="E105" s="304">
        <v>1884</v>
      </c>
      <c r="F105" s="304">
        <v>1582</v>
      </c>
      <c r="G105" s="304">
        <v>1748</v>
      </c>
      <c r="H105" s="304">
        <v>1851</v>
      </c>
      <c r="I105" s="304">
        <v>1974</v>
      </c>
      <c r="J105" s="304">
        <v>1514</v>
      </c>
      <c r="K105" s="304">
        <v>1614</v>
      </c>
      <c r="L105" s="304">
        <v>1030</v>
      </c>
      <c r="M105" s="304">
        <v>1630</v>
      </c>
      <c r="N105" s="304">
        <v>1155</v>
      </c>
      <c r="O105" s="304">
        <v>915</v>
      </c>
      <c r="P105" s="304">
        <f t="shared" si="96"/>
        <v>18410</v>
      </c>
      <c r="Q105" s="305">
        <f t="shared" si="97"/>
        <v>1534.1666666666667</v>
      </c>
      <c r="R105" s="374"/>
      <c r="S105" s="303">
        <v>1029</v>
      </c>
      <c r="T105" s="304">
        <v>1260</v>
      </c>
      <c r="U105" s="304">
        <v>1007</v>
      </c>
      <c r="V105" s="304">
        <v>1032</v>
      </c>
      <c r="W105" s="304">
        <v>1018</v>
      </c>
      <c r="X105" s="304">
        <v>965</v>
      </c>
      <c r="Y105" s="304">
        <v>1086</v>
      </c>
      <c r="Z105" s="304">
        <v>1469</v>
      </c>
      <c r="AA105" s="304">
        <v>927</v>
      </c>
      <c r="AB105" s="304">
        <v>1411</v>
      </c>
      <c r="AC105" s="304">
        <v>957</v>
      </c>
      <c r="AD105" s="304">
        <v>850</v>
      </c>
      <c r="AE105" s="304">
        <f t="shared" si="40"/>
        <v>13011</v>
      </c>
      <c r="AF105" s="305">
        <f t="shared" si="41"/>
        <v>1084.25</v>
      </c>
      <c r="AG105" s="374"/>
      <c r="AH105" s="303">
        <v>1333</v>
      </c>
      <c r="AI105" s="304">
        <v>973</v>
      </c>
      <c r="AJ105" s="304">
        <v>1011</v>
      </c>
      <c r="AK105" s="304">
        <v>1140</v>
      </c>
      <c r="AL105" s="304">
        <v>1228</v>
      </c>
      <c r="AM105" s="304">
        <v>1089</v>
      </c>
      <c r="AN105" s="304">
        <v>1473</v>
      </c>
      <c r="AO105" s="304">
        <v>1190</v>
      </c>
      <c r="AP105" s="304">
        <v>1177</v>
      </c>
      <c r="AQ105" s="304">
        <v>1075</v>
      </c>
      <c r="AR105" s="304">
        <v>1037</v>
      </c>
      <c r="AS105" s="304">
        <v>884</v>
      </c>
      <c r="AT105" s="304">
        <f t="shared" si="98"/>
        <v>13610</v>
      </c>
      <c r="AU105" s="305">
        <f t="shared" si="59"/>
        <v>1134.1666666666667</v>
      </c>
      <c r="AV105" s="374"/>
      <c r="AW105" s="2022"/>
      <c r="AX105" s="304"/>
      <c r="AY105" s="304"/>
      <c r="AZ105" s="304"/>
      <c r="BA105" s="304"/>
      <c r="BB105" s="304"/>
      <c r="BC105" s="304"/>
      <c r="BD105" s="304"/>
      <c r="BE105" s="304"/>
      <c r="BF105" s="304"/>
      <c r="BG105" s="304"/>
      <c r="BH105" s="304"/>
      <c r="BI105" s="304">
        <f t="shared" si="99"/>
        <v>0</v>
      </c>
      <c r="BJ105" s="305">
        <f t="shared" si="46"/>
        <v>0</v>
      </c>
      <c r="BL105" s="317">
        <f>ROW()</f>
        <v>105</v>
      </c>
      <c r="BM105" s="317">
        <f t="shared" si="87"/>
        <v>-884</v>
      </c>
      <c r="BN105" s="317">
        <f t="shared" si="60"/>
        <v>-1134.1666666666667</v>
      </c>
      <c r="BO105" s="317">
        <f t="shared" si="88"/>
        <v>-13610</v>
      </c>
      <c r="BP105" s="594">
        <f t="shared" si="89"/>
        <v>0</v>
      </c>
    </row>
    <row r="106" spans="1:72" s="190" customFormat="1" hidden="1" x14ac:dyDescent="0.55000000000000004">
      <c r="A106" s="7222"/>
      <c r="B106" s="7208"/>
      <c r="C106" s="211" t="s">
        <v>244</v>
      </c>
      <c r="D106" s="309">
        <v>2736</v>
      </c>
      <c r="E106" s="310">
        <v>4043</v>
      </c>
      <c r="F106" s="310">
        <v>3300</v>
      </c>
      <c r="G106" s="310">
        <v>3839</v>
      </c>
      <c r="H106" s="310">
        <v>3905</v>
      </c>
      <c r="I106" s="310">
        <v>3550</v>
      </c>
      <c r="J106" s="310">
        <v>3115</v>
      </c>
      <c r="K106" s="310">
        <v>3979</v>
      </c>
      <c r="L106" s="310">
        <v>2575</v>
      </c>
      <c r="M106" s="310">
        <v>3489</v>
      </c>
      <c r="N106" s="310">
        <v>2598</v>
      </c>
      <c r="O106" s="310">
        <v>2308</v>
      </c>
      <c r="P106" s="310">
        <f t="shared" si="96"/>
        <v>39437</v>
      </c>
      <c r="Q106" s="311">
        <f t="shared" si="97"/>
        <v>3286.4166666666665</v>
      </c>
      <c r="R106" s="374"/>
      <c r="S106" s="309">
        <v>2544</v>
      </c>
      <c r="T106" s="310">
        <v>2931</v>
      </c>
      <c r="U106" s="310">
        <v>2025</v>
      </c>
      <c r="V106" s="310">
        <v>1801</v>
      </c>
      <c r="W106" s="310">
        <v>2053</v>
      </c>
      <c r="X106" s="310">
        <v>2009</v>
      </c>
      <c r="Y106" s="310">
        <v>2262</v>
      </c>
      <c r="Z106" s="310">
        <v>3075</v>
      </c>
      <c r="AA106" s="310">
        <v>2116</v>
      </c>
      <c r="AB106" s="310">
        <v>3059</v>
      </c>
      <c r="AC106" s="310">
        <v>2264</v>
      </c>
      <c r="AD106" s="310">
        <v>1877</v>
      </c>
      <c r="AE106" s="310">
        <f t="shared" si="40"/>
        <v>28016</v>
      </c>
      <c r="AF106" s="311">
        <f t="shared" si="41"/>
        <v>2334.6666666666665</v>
      </c>
      <c r="AG106" s="374"/>
      <c r="AH106" s="309">
        <v>2751</v>
      </c>
      <c r="AI106" s="310">
        <v>2166</v>
      </c>
      <c r="AJ106" s="310">
        <v>2493</v>
      </c>
      <c r="AK106" s="310">
        <v>2502</v>
      </c>
      <c r="AL106" s="310">
        <v>2834</v>
      </c>
      <c r="AM106" s="310">
        <v>2616</v>
      </c>
      <c r="AN106" s="310">
        <v>3205</v>
      </c>
      <c r="AO106" s="310">
        <v>2744</v>
      </c>
      <c r="AP106" s="310">
        <v>3008.0000000000005</v>
      </c>
      <c r="AQ106" s="310">
        <v>2802</v>
      </c>
      <c r="AR106" s="310">
        <v>2578</v>
      </c>
      <c r="AS106" s="310">
        <v>2213</v>
      </c>
      <c r="AT106" s="310">
        <f t="shared" si="98"/>
        <v>31912</v>
      </c>
      <c r="AU106" s="311">
        <f t="shared" si="59"/>
        <v>2659.3333333333335</v>
      </c>
      <c r="AV106" s="374"/>
      <c r="AW106" s="2021"/>
      <c r="AX106" s="310"/>
      <c r="AY106" s="310"/>
      <c r="AZ106" s="310"/>
      <c r="BA106" s="310"/>
      <c r="BB106" s="310"/>
      <c r="BC106" s="310"/>
      <c r="BD106" s="310"/>
      <c r="BE106" s="310"/>
      <c r="BF106" s="310"/>
      <c r="BG106" s="310"/>
      <c r="BH106" s="310"/>
      <c r="BI106" s="310">
        <f t="shared" si="99"/>
        <v>0</v>
      </c>
      <c r="BJ106" s="311">
        <f t="shared" si="46"/>
        <v>0</v>
      </c>
      <c r="BL106" s="317">
        <f>ROW()</f>
        <v>106</v>
      </c>
      <c r="BM106" s="317">
        <f t="shared" si="87"/>
        <v>-2213</v>
      </c>
      <c r="BN106" s="317">
        <f t="shared" si="60"/>
        <v>-2659.3333333333335</v>
      </c>
      <c r="BO106" s="317">
        <f t="shared" si="88"/>
        <v>-31912</v>
      </c>
      <c r="BP106" s="594">
        <f t="shared" si="89"/>
        <v>0</v>
      </c>
      <c r="BQ106"/>
      <c r="BR106"/>
      <c r="BS106"/>
      <c r="BT106"/>
    </row>
    <row r="107" spans="1:72" s="190" customFormat="1" hidden="1" x14ac:dyDescent="0.55000000000000004">
      <c r="A107" s="7222"/>
      <c r="B107" s="7208"/>
      <c r="C107" s="203" t="s">
        <v>245</v>
      </c>
      <c r="D107" s="303">
        <v>2647</v>
      </c>
      <c r="E107" s="304">
        <v>3342</v>
      </c>
      <c r="F107" s="304">
        <v>3095</v>
      </c>
      <c r="G107" s="304">
        <v>3189</v>
      </c>
      <c r="H107" s="304">
        <v>3406</v>
      </c>
      <c r="I107" s="304">
        <v>3351</v>
      </c>
      <c r="J107" s="304">
        <v>3245</v>
      </c>
      <c r="K107" s="304">
        <v>3923</v>
      </c>
      <c r="L107" s="304">
        <v>2456</v>
      </c>
      <c r="M107" s="304">
        <v>3476</v>
      </c>
      <c r="N107" s="304">
        <v>2338</v>
      </c>
      <c r="O107" s="304">
        <v>2210</v>
      </c>
      <c r="P107" s="304">
        <f t="shared" si="96"/>
        <v>36678</v>
      </c>
      <c r="Q107" s="305">
        <f t="shared" si="97"/>
        <v>3056.5</v>
      </c>
      <c r="R107" s="374"/>
      <c r="S107" s="303">
        <v>2337</v>
      </c>
      <c r="T107" s="304">
        <v>2567</v>
      </c>
      <c r="U107" s="304">
        <v>2291</v>
      </c>
      <c r="V107" s="304">
        <v>2154</v>
      </c>
      <c r="W107" s="304">
        <v>2254</v>
      </c>
      <c r="X107" s="304">
        <v>2075</v>
      </c>
      <c r="Y107" s="304">
        <v>2633</v>
      </c>
      <c r="Z107" s="304">
        <v>3077</v>
      </c>
      <c r="AA107" s="304">
        <v>2048</v>
      </c>
      <c r="AB107" s="304">
        <v>2875</v>
      </c>
      <c r="AC107" s="304">
        <v>2105</v>
      </c>
      <c r="AD107" s="304">
        <v>1781</v>
      </c>
      <c r="AE107" s="304">
        <f t="shared" si="40"/>
        <v>28197</v>
      </c>
      <c r="AF107" s="305">
        <f t="shared" si="41"/>
        <v>2349.75</v>
      </c>
      <c r="AG107" s="374"/>
      <c r="AH107" s="303">
        <v>2440</v>
      </c>
      <c r="AI107" s="304">
        <v>2161</v>
      </c>
      <c r="AJ107" s="304">
        <v>2284</v>
      </c>
      <c r="AK107" s="304">
        <v>2347</v>
      </c>
      <c r="AL107" s="304">
        <v>2922</v>
      </c>
      <c r="AM107" s="304">
        <v>2867</v>
      </c>
      <c r="AN107" s="304">
        <v>3356</v>
      </c>
      <c r="AO107" s="304">
        <v>2641</v>
      </c>
      <c r="AP107" s="304">
        <v>2681</v>
      </c>
      <c r="AQ107" s="304">
        <v>2849</v>
      </c>
      <c r="AR107" s="304">
        <v>2488</v>
      </c>
      <c r="AS107" s="304">
        <v>2061</v>
      </c>
      <c r="AT107" s="304">
        <f t="shared" si="98"/>
        <v>31097</v>
      </c>
      <c r="AU107" s="305">
        <f t="shared" si="59"/>
        <v>2591.4166666666665</v>
      </c>
      <c r="AV107" s="374"/>
      <c r="AW107" s="2022"/>
      <c r="AX107" s="304"/>
      <c r="AY107" s="304"/>
      <c r="AZ107" s="304"/>
      <c r="BA107" s="304"/>
      <c r="BB107" s="304"/>
      <c r="BC107" s="304"/>
      <c r="BD107" s="304"/>
      <c r="BE107" s="304"/>
      <c r="BF107" s="304"/>
      <c r="BG107" s="304"/>
      <c r="BH107" s="304"/>
      <c r="BI107" s="304">
        <f t="shared" si="99"/>
        <v>0</v>
      </c>
      <c r="BJ107" s="305">
        <f t="shared" si="46"/>
        <v>0</v>
      </c>
      <c r="BL107" s="317">
        <f>ROW()</f>
        <v>107</v>
      </c>
      <c r="BM107" s="317">
        <f t="shared" si="87"/>
        <v>-2061</v>
      </c>
      <c r="BN107" s="317">
        <f t="shared" si="60"/>
        <v>-2591.4166666666665</v>
      </c>
      <c r="BO107" s="317">
        <f t="shared" si="88"/>
        <v>-31097</v>
      </c>
      <c r="BP107" s="594">
        <f t="shared" si="89"/>
        <v>0</v>
      </c>
      <c r="BQ107"/>
      <c r="BR107"/>
      <c r="BS107"/>
      <c r="BT107"/>
    </row>
    <row r="108" spans="1:72" s="190" customFormat="1" hidden="1" x14ac:dyDescent="0.55000000000000004">
      <c r="A108" s="7222"/>
      <c r="B108" s="7208"/>
      <c r="C108" s="211" t="s">
        <v>246</v>
      </c>
      <c r="D108" s="309">
        <v>3256</v>
      </c>
      <c r="E108" s="310">
        <v>4211</v>
      </c>
      <c r="F108" s="310">
        <v>3941</v>
      </c>
      <c r="G108" s="310">
        <v>3956</v>
      </c>
      <c r="H108" s="310">
        <v>4154</v>
      </c>
      <c r="I108" s="310">
        <v>3406</v>
      </c>
      <c r="J108" s="310">
        <v>3303</v>
      </c>
      <c r="K108" s="310">
        <v>3463</v>
      </c>
      <c r="L108" s="310">
        <v>2837</v>
      </c>
      <c r="M108" s="310">
        <v>3716</v>
      </c>
      <c r="N108" s="310">
        <v>2850</v>
      </c>
      <c r="O108" s="310">
        <v>2470</v>
      </c>
      <c r="P108" s="310">
        <f t="shared" si="96"/>
        <v>41563</v>
      </c>
      <c r="Q108" s="311">
        <f t="shared" si="97"/>
        <v>3463.5833333333335</v>
      </c>
      <c r="R108" s="374"/>
      <c r="S108" s="309">
        <v>2547</v>
      </c>
      <c r="T108" s="310">
        <v>3011</v>
      </c>
      <c r="U108" s="310">
        <v>2733</v>
      </c>
      <c r="V108" s="310">
        <v>2519</v>
      </c>
      <c r="W108" s="310">
        <v>2603</v>
      </c>
      <c r="X108" s="310">
        <v>2278</v>
      </c>
      <c r="Y108" s="310">
        <v>2615</v>
      </c>
      <c r="Z108" s="310">
        <v>3337</v>
      </c>
      <c r="AA108" s="310">
        <v>2595</v>
      </c>
      <c r="AB108" s="310">
        <v>3283</v>
      </c>
      <c r="AC108" s="310">
        <v>2546</v>
      </c>
      <c r="AD108" s="310">
        <v>2060</v>
      </c>
      <c r="AE108" s="310">
        <f t="shared" si="40"/>
        <v>32127</v>
      </c>
      <c r="AF108" s="311">
        <f t="shared" si="41"/>
        <v>2677.25</v>
      </c>
      <c r="AG108" s="374"/>
      <c r="AH108" s="309">
        <v>3354</v>
      </c>
      <c r="AI108" s="310">
        <v>2663</v>
      </c>
      <c r="AJ108" s="310">
        <v>2761</v>
      </c>
      <c r="AK108" s="310">
        <v>2995</v>
      </c>
      <c r="AL108" s="310">
        <v>2928</v>
      </c>
      <c r="AM108" s="310">
        <v>2712</v>
      </c>
      <c r="AN108" s="310">
        <v>3129</v>
      </c>
      <c r="AO108" s="310">
        <v>2579</v>
      </c>
      <c r="AP108" s="310">
        <v>3423</v>
      </c>
      <c r="AQ108" s="310">
        <v>3351</v>
      </c>
      <c r="AR108" s="310">
        <v>3953.9999999999995</v>
      </c>
      <c r="AS108" s="310">
        <v>3430.0000000000005</v>
      </c>
      <c r="AT108" s="310">
        <f t="shared" si="98"/>
        <v>37279</v>
      </c>
      <c r="AU108" s="311">
        <f t="shared" si="59"/>
        <v>3106.5833333333335</v>
      </c>
      <c r="AV108" s="374"/>
      <c r="AW108" s="2021"/>
      <c r="AX108" s="310"/>
      <c r="AY108" s="310"/>
      <c r="AZ108" s="310"/>
      <c r="BA108" s="310"/>
      <c r="BB108" s="310"/>
      <c r="BC108" s="310"/>
      <c r="BD108" s="310"/>
      <c r="BE108" s="310"/>
      <c r="BF108" s="310"/>
      <c r="BG108" s="310"/>
      <c r="BH108" s="310"/>
      <c r="BI108" s="310">
        <f t="shared" si="99"/>
        <v>0</v>
      </c>
      <c r="BJ108" s="311">
        <f t="shared" si="46"/>
        <v>0</v>
      </c>
      <c r="BL108" s="317">
        <f>ROW()</f>
        <v>108</v>
      </c>
      <c r="BM108" s="317">
        <f t="shared" si="87"/>
        <v>-3430.0000000000005</v>
      </c>
      <c r="BN108" s="317">
        <f t="shared" si="60"/>
        <v>-3106.5833333333335</v>
      </c>
      <c r="BO108" s="317">
        <f t="shared" si="88"/>
        <v>-37279</v>
      </c>
      <c r="BP108" s="594">
        <f t="shared" si="89"/>
        <v>0</v>
      </c>
      <c r="BQ108"/>
      <c r="BR108"/>
      <c r="BS108"/>
      <c r="BT108"/>
    </row>
    <row r="109" spans="1:72" hidden="1" x14ac:dyDescent="0.55000000000000004">
      <c r="A109" s="7222"/>
      <c r="B109" s="7208"/>
      <c r="C109" s="202" t="s">
        <v>247</v>
      </c>
      <c r="D109" s="300">
        <v>2589</v>
      </c>
      <c r="E109" s="301">
        <v>3075</v>
      </c>
      <c r="F109" s="301">
        <v>2720</v>
      </c>
      <c r="G109" s="301">
        <v>3008</v>
      </c>
      <c r="H109" s="301">
        <v>2920</v>
      </c>
      <c r="I109" s="301">
        <v>2517</v>
      </c>
      <c r="J109" s="301">
        <v>2515</v>
      </c>
      <c r="K109" s="301">
        <v>2824</v>
      </c>
      <c r="L109" s="301">
        <v>1933</v>
      </c>
      <c r="M109" s="301">
        <v>2722</v>
      </c>
      <c r="N109" s="301">
        <v>1661</v>
      </c>
      <c r="O109" s="301">
        <v>1139</v>
      </c>
      <c r="P109" s="301">
        <f t="shared" si="96"/>
        <v>29623</v>
      </c>
      <c r="Q109" s="302">
        <f t="shared" si="97"/>
        <v>2468.5833333333335</v>
      </c>
      <c r="R109" s="374"/>
      <c r="S109" s="300">
        <v>1835</v>
      </c>
      <c r="T109" s="301">
        <v>2518</v>
      </c>
      <c r="U109" s="301">
        <v>1757</v>
      </c>
      <c r="V109" s="301">
        <v>2014</v>
      </c>
      <c r="W109" s="301">
        <v>2024</v>
      </c>
      <c r="X109" s="301">
        <v>1911</v>
      </c>
      <c r="Y109" s="301">
        <v>1963</v>
      </c>
      <c r="Z109" s="301">
        <v>2769</v>
      </c>
      <c r="AA109" s="301">
        <v>1759</v>
      </c>
      <c r="AB109" s="301">
        <v>2375</v>
      </c>
      <c r="AC109" s="301">
        <v>1768</v>
      </c>
      <c r="AD109" s="301">
        <v>1310</v>
      </c>
      <c r="AE109" s="301">
        <f t="shared" si="40"/>
        <v>24003</v>
      </c>
      <c r="AF109" s="302">
        <f t="shared" si="41"/>
        <v>2000.25</v>
      </c>
      <c r="AG109" s="374"/>
      <c r="AH109" s="300">
        <v>2269</v>
      </c>
      <c r="AI109" s="301">
        <v>1810</v>
      </c>
      <c r="AJ109" s="301">
        <v>2044</v>
      </c>
      <c r="AK109" s="301">
        <v>1910.0000000000002</v>
      </c>
      <c r="AL109" s="301">
        <v>2088</v>
      </c>
      <c r="AM109" s="301">
        <v>1798</v>
      </c>
      <c r="AN109" s="301">
        <v>2172</v>
      </c>
      <c r="AO109" s="301">
        <v>1756</v>
      </c>
      <c r="AP109" s="301">
        <v>2017</v>
      </c>
      <c r="AQ109" s="301">
        <v>1873</v>
      </c>
      <c r="AR109" s="301">
        <v>1960</v>
      </c>
      <c r="AS109" s="301">
        <v>1755.9999999999998</v>
      </c>
      <c r="AT109" s="301">
        <f t="shared" si="98"/>
        <v>23453</v>
      </c>
      <c r="AU109" s="302">
        <f t="shared" si="59"/>
        <v>1954.4166666666667</v>
      </c>
      <c r="AV109" s="374"/>
      <c r="AW109" s="2021"/>
      <c r="AX109" s="301"/>
      <c r="AY109" s="301"/>
      <c r="AZ109" s="301"/>
      <c r="BA109" s="301"/>
      <c r="BB109" s="301"/>
      <c r="BC109" s="301"/>
      <c r="BD109" s="301"/>
      <c r="BE109" s="301"/>
      <c r="BF109" s="301"/>
      <c r="BG109" s="301"/>
      <c r="BH109" s="301"/>
      <c r="BI109" s="301">
        <f t="shared" si="99"/>
        <v>0</v>
      </c>
      <c r="BJ109" s="302">
        <f t="shared" si="46"/>
        <v>0</v>
      </c>
      <c r="BL109" s="317">
        <f>ROW()</f>
        <v>109</v>
      </c>
      <c r="BM109" s="317">
        <f t="shared" si="87"/>
        <v>-1755.9999999999998</v>
      </c>
      <c r="BN109" s="317">
        <f t="shared" si="60"/>
        <v>-1954.4166666666667</v>
      </c>
      <c r="BO109" s="317">
        <f t="shared" si="88"/>
        <v>-23453</v>
      </c>
      <c r="BP109" s="594">
        <f t="shared" si="89"/>
        <v>0</v>
      </c>
    </row>
    <row r="110" spans="1:72" hidden="1" x14ac:dyDescent="0.55000000000000004">
      <c r="A110" s="7222"/>
      <c r="B110" s="7208"/>
      <c r="C110" s="203" t="s">
        <v>235</v>
      </c>
      <c r="D110" s="303">
        <v>4141</v>
      </c>
      <c r="E110" s="304">
        <v>4229</v>
      </c>
      <c r="F110" s="304">
        <v>3770</v>
      </c>
      <c r="G110" s="304">
        <v>3853</v>
      </c>
      <c r="H110" s="304">
        <v>3976</v>
      </c>
      <c r="I110" s="304">
        <v>3848</v>
      </c>
      <c r="J110" s="304">
        <v>3683</v>
      </c>
      <c r="K110" s="304">
        <v>4049</v>
      </c>
      <c r="L110" s="304">
        <v>2848</v>
      </c>
      <c r="M110" s="304">
        <v>4061</v>
      </c>
      <c r="N110" s="304">
        <v>3008</v>
      </c>
      <c r="O110" s="304">
        <v>2851</v>
      </c>
      <c r="P110" s="304">
        <f t="shared" si="96"/>
        <v>44317</v>
      </c>
      <c r="Q110" s="305">
        <f t="shared" si="97"/>
        <v>3693.0833333333335</v>
      </c>
      <c r="R110" s="374"/>
      <c r="S110" s="303">
        <v>3183</v>
      </c>
      <c r="T110" s="304">
        <v>3722</v>
      </c>
      <c r="U110" s="304">
        <v>3229</v>
      </c>
      <c r="V110" s="304">
        <v>3066</v>
      </c>
      <c r="W110" s="304">
        <v>3065</v>
      </c>
      <c r="X110" s="304">
        <v>2837</v>
      </c>
      <c r="Y110" s="304">
        <v>3163</v>
      </c>
      <c r="Z110" s="304">
        <v>4039</v>
      </c>
      <c r="AA110" s="304">
        <v>2864</v>
      </c>
      <c r="AB110" s="304">
        <v>3597</v>
      </c>
      <c r="AC110" s="304">
        <v>2755</v>
      </c>
      <c r="AD110" s="304">
        <v>2292</v>
      </c>
      <c r="AE110" s="304">
        <f t="shared" si="40"/>
        <v>37812</v>
      </c>
      <c r="AF110" s="305">
        <f t="shared" si="41"/>
        <v>3151</v>
      </c>
      <c r="AG110" s="374"/>
      <c r="AH110" s="303">
        <v>3596.0000000000005</v>
      </c>
      <c r="AI110" s="304">
        <v>2785</v>
      </c>
      <c r="AJ110" s="304">
        <v>3066</v>
      </c>
      <c r="AK110" s="304">
        <v>3151</v>
      </c>
      <c r="AL110" s="304">
        <v>3280</v>
      </c>
      <c r="AM110" s="304">
        <v>2858</v>
      </c>
      <c r="AN110" s="304">
        <v>3371</v>
      </c>
      <c r="AO110" s="304">
        <v>2313</v>
      </c>
      <c r="AP110" s="304">
        <v>3334</v>
      </c>
      <c r="AQ110" s="304">
        <v>3155</v>
      </c>
      <c r="AR110" s="304">
        <v>3312</v>
      </c>
      <c r="AS110" s="304">
        <v>2723</v>
      </c>
      <c r="AT110" s="304">
        <f t="shared" si="98"/>
        <v>36944</v>
      </c>
      <c r="AU110" s="305">
        <f t="shared" si="59"/>
        <v>3078.6666666666665</v>
      </c>
      <c r="AV110" s="374"/>
      <c r="AW110" s="2022"/>
      <c r="AX110" s="304"/>
      <c r="AY110" s="304"/>
      <c r="AZ110" s="304"/>
      <c r="BA110" s="304"/>
      <c r="BB110" s="304"/>
      <c r="BC110" s="304"/>
      <c r="BD110" s="304"/>
      <c r="BE110" s="304"/>
      <c r="BF110" s="304"/>
      <c r="BG110" s="304"/>
      <c r="BH110" s="304"/>
      <c r="BI110" s="304">
        <f t="shared" si="99"/>
        <v>0</v>
      </c>
      <c r="BJ110" s="305">
        <f t="shared" si="46"/>
        <v>0</v>
      </c>
      <c r="BL110" s="317">
        <f>ROW()</f>
        <v>110</v>
      </c>
      <c r="BM110" s="317">
        <f t="shared" si="87"/>
        <v>-2723</v>
      </c>
      <c r="BN110" s="317">
        <f t="shared" si="60"/>
        <v>-3078.6666666666665</v>
      </c>
      <c r="BO110" s="317">
        <f t="shared" si="88"/>
        <v>-36944</v>
      </c>
      <c r="BP110" s="594">
        <f t="shared" si="89"/>
        <v>0</v>
      </c>
    </row>
    <row r="111" spans="1:72" ht="18" hidden="1" thickBot="1" x14ac:dyDescent="0.6">
      <c r="A111" s="7223"/>
      <c r="B111" s="7209"/>
      <c r="C111" s="212" t="s">
        <v>236</v>
      </c>
      <c r="D111" s="312">
        <v>3236</v>
      </c>
      <c r="E111" s="313">
        <v>3497</v>
      </c>
      <c r="F111" s="313">
        <v>3056</v>
      </c>
      <c r="G111" s="313">
        <v>3185</v>
      </c>
      <c r="H111" s="313">
        <v>3543</v>
      </c>
      <c r="I111" s="313">
        <v>2858</v>
      </c>
      <c r="J111" s="313">
        <v>2652</v>
      </c>
      <c r="K111" s="313">
        <v>2874</v>
      </c>
      <c r="L111" s="313">
        <v>2086</v>
      </c>
      <c r="M111" s="313">
        <v>3281</v>
      </c>
      <c r="N111" s="313">
        <v>2393</v>
      </c>
      <c r="O111" s="313">
        <v>2000</v>
      </c>
      <c r="P111" s="313">
        <f t="shared" si="96"/>
        <v>34661</v>
      </c>
      <c r="Q111" s="314">
        <f t="shared" si="97"/>
        <v>2888.4166666666665</v>
      </c>
      <c r="R111" s="374"/>
      <c r="S111" s="312">
        <v>2320</v>
      </c>
      <c r="T111" s="313">
        <v>2641</v>
      </c>
      <c r="U111" s="313">
        <v>2004</v>
      </c>
      <c r="V111" s="313">
        <v>2054</v>
      </c>
      <c r="W111" s="313">
        <v>1914</v>
      </c>
      <c r="X111" s="313">
        <v>1806</v>
      </c>
      <c r="Y111" s="313">
        <v>2047</v>
      </c>
      <c r="Z111" s="313">
        <v>2651</v>
      </c>
      <c r="AA111" s="313">
        <v>1990</v>
      </c>
      <c r="AB111" s="313">
        <v>2363</v>
      </c>
      <c r="AC111" s="313">
        <v>1786</v>
      </c>
      <c r="AD111" s="313">
        <v>1569</v>
      </c>
      <c r="AE111" s="313">
        <f t="shared" si="40"/>
        <v>25145</v>
      </c>
      <c r="AF111" s="314">
        <f t="shared" si="41"/>
        <v>2095.4166666666665</v>
      </c>
      <c r="AG111" s="374"/>
      <c r="AH111" s="312">
        <v>2316</v>
      </c>
      <c r="AI111" s="313">
        <v>2028</v>
      </c>
      <c r="AJ111" s="313">
        <v>2119</v>
      </c>
      <c r="AK111" s="313">
        <v>1872.9999999999998</v>
      </c>
      <c r="AL111" s="313">
        <v>1888</v>
      </c>
      <c r="AM111" s="313">
        <v>2096</v>
      </c>
      <c r="AN111" s="313">
        <v>2263</v>
      </c>
      <c r="AO111" s="313">
        <v>1844.9999999999998</v>
      </c>
      <c r="AP111" s="313">
        <v>2052</v>
      </c>
      <c r="AQ111" s="313">
        <v>2043.0000000000002</v>
      </c>
      <c r="AR111" s="313">
        <v>2290</v>
      </c>
      <c r="AS111" s="313">
        <v>1892</v>
      </c>
      <c r="AT111" s="313">
        <f t="shared" si="98"/>
        <v>24705</v>
      </c>
      <c r="AU111" s="314">
        <f t="shared" si="59"/>
        <v>2058.75</v>
      </c>
      <c r="AV111" s="374"/>
      <c r="AW111" s="2024"/>
      <c r="AX111" s="313"/>
      <c r="AY111" s="313"/>
      <c r="AZ111" s="313"/>
      <c r="BA111" s="313"/>
      <c r="BB111" s="313"/>
      <c r="BC111" s="313"/>
      <c r="BD111" s="313"/>
      <c r="BE111" s="313"/>
      <c r="BF111" s="313"/>
      <c r="BG111" s="313"/>
      <c r="BH111" s="313"/>
      <c r="BI111" s="313">
        <f t="shared" si="99"/>
        <v>0</v>
      </c>
      <c r="BJ111" s="314">
        <f t="shared" si="46"/>
        <v>0</v>
      </c>
      <c r="BL111" s="317">
        <f>ROW()</f>
        <v>111</v>
      </c>
      <c r="BM111" s="317">
        <f t="shared" si="87"/>
        <v>-1892</v>
      </c>
      <c r="BN111" s="317">
        <f t="shared" si="60"/>
        <v>-2058.75</v>
      </c>
      <c r="BO111" s="317">
        <f t="shared" si="88"/>
        <v>-24705</v>
      </c>
      <c r="BP111" s="594">
        <f t="shared" si="89"/>
        <v>0</v>
      </c>
    </row>
    <row r="112" spans="1:72" s="1" customFormat="1" ht="6" customHeight="1" thickBot="1" x14ac:dyDescent="0.6">
      <c r="A112" s="186"/>
      <c r="B112" s="231"/>
      <c r="C112" s="218"/>
      <c r="D112" s="304"/>
      <c r="E112" s="304"/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74"/>
      <c r="S112" s="304"/>
      <c r="T112" s="304"/>
      <c r="U112" s="304"/>
      <c r="V112" s="304"/>
      <c r="W112" s="304"/>
      <c r="X112" s="304"/>
      <c r="Y112" s="304"/>
      <c r="Z112" s="304"/>
      <c r="AA112" s="304"/>
      <c r="AB112" s="304"/>
      <c r="AC112" s="304"/>
      <c r="AD112" s="304"/>
      <c r="AE112" s="304"/>
      <c r="AF112" s="304"/>
      <c r="AG112" s="374"/>
      <c r="AH112" s="304"/>
      <c r="AI112" s="304"/>
      <c r="AJ112" s="304"/>
      <c r="AK112" s="304"/>
      <c r="AL112" s="304"/>
      <c r="AM112" s="304"/>
      <c r="AN112" s="304"/>
      <c r="AO112" s="304"/>
      <c r="AP112" s="304"/>
      <c r="AQ112" s="304"/>
      <c r="AR112" s="304"/>
      <c r="AS112" s="304"/>
      <c r="AT112" s="304"/>
      <c r="AU112" s="304"/>
      <c r="AV112" s="374"/>
      <c r="AW112" s="2026"/>
      <c r="AX112" s="304"/>
      <c r="AY112" s="304"/>
      <c r="AZ112" s="304"/>
      <c r="BA112" s="304"/>
      <c r="BB112" s="304"/>
      <c r="BC112" s="304"/>
      <c r="BD112" s="304"/>
      <c r="BE112" s="304"/>
      <c r="BF112" s="304"/>
      <c r="BG112" s="304"/>
      <c r="BH112" s="304"/>
      <c r="BI112" s="304"/>
      <c r="BJ112" s="304"/>
      <c r="BL112" s="317">
        <f>ROW()</f>
        <v>112</v>
      </c>
      <c r="BM112" s="317">
        <f t="shared" si="87"/>
        <v>0</v>
      </c>
      <c r="BN112" s="317">
        <f t="shared" si="60"/>
        <v>0</v>
      </c>
      <c r="BO112" s="317">
        <f t="shared" si="88"/>
        <v>0</v>
      </c>
      <c r="BP112" s="594">
        <f t="shared" si="89"/>
        <v>0</v>
      </c>
      <c r="BQ112"/>
      <c r="BR112"/>
      <c r="BS112"/>
      <c r="BT112"/>
    </row>
    <row r="113" spans="1:72" ht="17.399999999999999" customHeight="1" x14ac:dyDescent="0.55000000000000004">
      <c r="A113" s="7221" t="s">
        <v>82</v>
      </c>
      <c r="B113" s="41" t="s">
        <v>434</v>
      </c>
      <c r="C113" s="206"/>
      <c r="D113" s="270">
        <v>54546.979625170134</v>
      </c>
      <c r="E113" s="271">
        <v>58670.79353381064</v>
      </c>
      <c r="F113" s="271">
        <v>53521.485396905606</v>
      </c>
      <c r="G113" s="271">
        <v>55528.703110552546</v>
      </c>
      <c r="H113" s="271">
        <v>55086.456050428271</v>
      </c>
      <c r="I113" s="271">
        <v>58215.442361273279</v>
      </c>
      <c r="J113" s="271">
        <v>57211.01877834271</v>
      </c>
      <c r="K113" s="271">
        <v>64831.791251934941</v>
      </c>
      <c r="L113" s="271">
        <v>56404.67820010701</v>
      </c>
      <c r="M113" s="271">
        <v>63414.163024136375</v>
      </c>
      <c r="N113" s="271">
        <v>57422.625551225814</v>
      </c>
      <c r="O113" s="271">
        <v>59322.386476955326</v>
      </c>
      <c r="P113" s="271">
        <v>58086.99367142644</v>
      </c>
      <c r="Q113" s="272">
        <v>58086.99367142644</v>
      </c>
      <c r="R113" s="374"/>
      <c r="S113" s="270">
        <v>59351.038928186426</v>
      </c>
      <c r="T113" s="271">
        <v>63511.345366619265</v>
      </c>
      <c r="U113" s="271">
        <v>59805.40387251458</v>
      </c>
      <c r="V113" s="271">
        <v>61863.718820519498</v>
      </c>
      <c r="W113" s="271">
        <v>58854.549000272709</v>
      </c>
      <c r="X113" s="271">
        <v>58517.12687731786</v>
      </c>
      <c r="Y113" s="271">
        <v>56787.158949974844</v>
      </c>
      <c r="Z113" s="271">
        <v>69013.626053232263</v>
      </c>
      <c r="AA113" s="271">
        <v>56337.762414347519</v>
      </c>
      <c r="AB113" s="271">
        <v>63652.501619565257</v>
      </c>
      <c r="AC113" s="271">
        <v>61422.04840181733</v>
      </c>
      <c r="AD113" s="271">
        <v>58732.119217876629</v>
      </c>
      <c r="AE113" s="271">
        <v>61190.481927399909</v>
      </c>
      <c r="AF113" s="272">
        <v>61190.481927399909</v>
      </c>
      <c r="AG113" s="374"/>
      <c r="AH113" s="270">
        <v>66693.559813750879</v>
      </c>
      <c r="AI113" s="271">
        <v>59977.9737115592</v>
      </c>
      <c r="AJ113" s="271">
        <v>57320.616502855279</v>
      </c>
      <c r="AK113" s="271">
        <v>55523.126033544417</v>
      </c>
      <c r="AL113" s="271">
        <v>54794.962335132856</v>
      </c>
      <c r="AM113" s="271">
        <v>54741.360556272688</v>
      </c>
      <c r="AN113" s="271">
        <v>63160.168608437103</v>
      </c>
      <c r="AO113" s="271">
        <v>57820.341690231355</v>
      </c>
      <c r="AP113" s="271">
        <v>64020.102716004396</v>
      </c>
      <c r="AQ113" s="271">
        <v>58235.93174079046</v>
      </c>
      <c r="AR113" s="271">
        <v>60025.901492508507</v>
      </c>
      <c r="AS113" s="271">
        <v>60335.523445962863</v>
      </c>
      <c r="AT113" s="271">
        <f t="shared" ref="AT113:AT118" si="100">AVERAGE(AH113:AS113)</f>
        <v>59387.464053920827</v>
      </c>
      <c r="AU113" s="272">
        <f>AT113</f>
        <v>59387.464053920827</v>
      </c>
      <c r="AV113" s="374"/>
      <c r="AW113" s="2010">
        <v>58207.926233766244</v>
      </c>
      <c r="AX113" s="271">
        <v>63258.986313234047</v>
      </c>
      <c r="AY113" s="271">
        <v>58651.542771001077</v>
      </c>
      <c r="AZ113" s="271">
        <v>57854.61525310429</v>
      </c>
      <c r="BA113" s="271">
        <v>53350.99735128574</v>
      </c>
      <c r="BB113" s="271">
        <v>58044.210804309514</v>
      </c>
      <c r="BC113" s="271">
        <v>58725.850233619822</v>
      </c>
      <c r="BD113" s="271">
        <v>65489.31030111741</v>
      </c>
      <c r="BE113" s="271">
        <v>67606.045241009866</v>
      </c>
      <c r="BF113" s="271">
        <v>64583.838000639895</v>
      </c>
      <c r="BG113" s="271">
        <v>63187.728906604025</v>
      </c>
      <c r="BH113" s="271">
        <v>63059.546679142222</v>
      </c>
      <c r="BI113" s="271">
        <f>BJ113</f>
        <v>61001.716507402853</v>
      </c>
      <c r="BJ113" s="272">
        <f>AVERAGE(AW113:BH113)</f>
        <v>61001.716507402853</v>
      </c>
      <c r="BL113" s="317">
        <f>ROW()</f>
        <v>113</v>
      </c>
      <c r="BM113" s="317">
        <f t="shared" si="87"/>
        <v>2724.0232331793595</v>
      </c>
      <c r="BN113" s="317">
        <f t="shared" si="60"/>
        <v>1614.2524534820259</v>
      </c>
      <c r="BO113" s="317">
        <f t="shared" si="88"/>
        <v>-651647.85213964712</v>
      </c>
      <c r="BP113" s="594">
        <f t="shared" si="89"/>
        <v>-128.18222746180254</v>
      </c>
    </row>
    <row r="114" spans="1:72" ht="17.399999999999999" customHeight="1" x14ac:dyDescent="0.55000000000000004">
      <c r="A114" s="7222"/>
      <c r="B114" s="42"/>
      <c r="C114" s="156" t="s">
        <v>424</v>
      </c>
      <c r="D114" s="324">
        <v>64533.894444979051</v>
      </c>
      <c r="E114" s="325">
        <v>66358.218348792623</v>
      </c>
      <c r="F114" s="325">
        <v>61067.878810534567</v>
      </c>
      <c r="G114" s="325">
        <v>62644.294912999736</v>
      </c>
      <c r="H114" s="325">
        <v>64092.12737104109</v>
      </c>
      <c r="I114" s="325">
        <v>67383.47098733719</v>
      </c>
      <c r="J114" s="325">
        <v>63401.428189826278</v>
      </c>
      <c r="K114" s="325">
        <v>73090.312324781728</v>
      </c>
      <c r="L114" s="325">
        <v>65642.066736424254</v>
      </c>
      <c r="M114" s="325">
        <v>72704.693750216407</v>
      </c>
      <c r="N114" s="325">
        <v>66770.675196569893</v>
      </c>
      <c r="O114" s="325">
        <v>66335.1947922338</v>
      </c>
      <c r="P114" s="325">
        <v>66583.427591922882</v>
      </c>
      <c r="Q114" s="326">
        <v>66583.427591922882</v>
      </c>
      <c r="R114" s="374"/>
      <c r="S114" s="324">
        <v>68569.764032381689</v>
      </c>
      <c r="T114" s="325">
        <v>72582.175554769798</v>
      </c>
      <c r="U114" s="325">
        <v>66872.797905578278</v>
      </c>
      <c r="V114" s="325">
        <v>69468.311915357626</v>
      </c>
      <c r="W114" s="325">
        <v>68557.391494357798</v>
      </c>
      <c r="X114" s="325">
        <v>67288.931325785379</v>
      </c>
      <c r="Y114" s="325">
        <v>65140.6220638655</v>
      </c>
      <c r="Z114" s="325">
        <v>78058.583737572786</v>
      </c>
      <c r="AA114" s="325">
        <v>67745.820798333269</v>
      </c>
      <c r="AB114" s="325">
        <v>75552.496398836971</v>
      </c>
      <c r="AC114" s="325">
        <v>67895.926133202171</v>
      </c>
      <c r="AD114" s="325">
        <v>65662.779727092493</v>
      </c>
      <c r="AE114" s="325">
        <v>70177.963814250674</v>
      </c>
      <c r="AF114" s="326">
        <v>70177.963814250674</v>
      </c>
      <c r="AG114" s="374"/>
      <c r="AH114" s="324">
        <v>75454.835965601131</v>
      </c>
      <c r="AI114" s="325">
        <v>66009.74235882581</v>
      </c>
      <c r="AJ114" s="325">
        <v>62302.99543696738</v>
      </c>
      <c r="AK114" s="325">
        <v>62168.173244572383</v>
      </c>
      <c r="AL114" s="325">
        <v>61598.253714061713</v>
      </c>
      <c r="AM114" s="325">
        <v>61453.515467982535</v>
      </c>
      <c r="AN114" s="325">
        <v>72783.777800053635</v>
      </c>
      <c r="AO114" s="325">
        <v>63267.388992768647</v>
      </c>
      <c r="AP114" s="325">
        <v>71169.452929936015</v>
      </c>
      <c r="AQ114" s="325">
        <v>65177.443318658319</v>
      </c>
      <c r="AR114" s="325">
        <v>64354.457858567614</v>
      </c>
      <c r="AS114" s="325">
        <v>62186.922996649817</v>
      </c>
      <c r="AT114" s="325">
        <f t="shared" si="100"/>
        <v>65660.580007053752</v>
      </c>
      <c r="AU114" s="326">
        <f t="shared" ref="AU114:AU119" si="101">AT114</f>
        <v>65660.580007053752</v>
      </c>
      <c r="AV114" s="374"/>
      <c r="AW114" s="2027">
        <v>57827.123598105281</v>
      </c>
      <c r="AX114" s="325">
        <v>69717.108301485103</v>
      </c>
      <c r="AY114" s="325">
        <v>58937.93814809632</v>
      </c>
      <c r="AZ114" s="325">
        <v>56596.837679055418</v>
      </c>
      <c r="BA114" s="325">
        <v>54712.572661462065</v>
      </c>
      <c r="BB114" s="325">
        <v>57041.760307832934</v>
      </c>
      <c r="BC114" s="325">
        <v>67885.451937892212</v>
      </c>
      <c r="BD114" s="325">
        <v>61760.388384475387</v>
      </c>
      <c r="BE114" s="325">
        <v>71950.849837879912</v>
      </c>
      <c r="BF114" s="325">
        <v>63945.411294106139</v>
      </c>
      <c r="BG114" s="325">
        <v>61983.973046428298</v>
      </c>
      <c r="BH114" s="325">
        <v>60204.929117055297</v>
      </c>
      <c r="BI114" s="325">
        <f t="shared" ref="BI114:BI119" si="102">BJ114</f>
        <v>61880.362026156188</v>
      </c>
      <c r="BJ114" s="326">
        <f t="shared" ref="BJ114:BJ119" si="103">AVERAGE(AW114:BH114)</f>
        <v>61880.362026156188</v>
      </c>
      <c r="BL114" s="317">
        <f>ROW()</f>
        <v>114</v>
      </c>
      <c r="BM114" s="317">
        <f t="shared" si="87"/>
        <v>-1981.99387959452</v>
      </c>
      <c r="BN114" s="317">
        <f t="shared" si="60"/>
        <v>-3780.2179808975634</v>
      </c>
      <c r="BO114" s="317">
        <f t="shared" si="88"/>
        <v>-726046.5980584888</v>
      </c>
      <c r="BP114" s="594">
        <f t="shared" si="89"/>
        <v>-1779.0439293730014</v>
      </c>
    </row>
    <row r="115" spans="1:72" ht="17.399999999999999" customHeight="1" x14ac:dyDescent="0.55000000000000004">
      <c r="A115" s="7222"/>
      <c r="B115" s="232"/>
      <c r="C115" s="156" t="s">
        <v>1112</v>
      </c>
      <c r="D115" s="324">
        <v>53985.166017693016</v>
      </c>
      <c r="E115" s="325">
        <v>55706.29219179209</v>
      </c>
      <c r="F115" s="325">
        <v>49607.755138141009</v>
      </c>
      <c r="G115" s="325">
        <v>52014.790172446046</v>
      </c>
      <c r="H115" s="325">
        <v>52209.737585809715</v>
      </c>
      <c r="I115" s="325">
        <v>53052.246501470472</v>
      </c>
      <c r="J115" s="325">
        <v>49539.217096164582</v>
      </c>
      <c r="K115" s="325">
        <v>65342.606009565367</v>
      </c>
      <c r="L115" s="325">
        <v>43733.307843285453</v>
      </c>
      <c r="M115" s="325">
        <v>59982.348473477985</v>
      </c>
      <c r="N115" s="325">
        <v>55591.817484518462</v>
      </c>
      <c r="O115" s="325">
        <v>54904.180558938308</v>
      </c>
      <c r="P115" s="325">
        <v>54371.957196099873</v>
      </c>
      <c r="Q115" s="326">
        <v>54371.957196099873</v>
      </c>
      <c r="R115" s="374"/>
      <c r="S115" s="324">
        <v>57609.547626864711</v>
      </c>
      <c r="T115" s="325">
        <v>67739.669229589388</v>
      </c>
      <c r="U115" s="325">
        <v>50800.886201058172</v>
      </c>
      <c r="V115" s="325">
        <v>55983.987187101629</v>
      </c>
      <c r="W115" s="325">
        <v>52048.415533956846</v>
      </c>
      <c r="X115" s="325">
        <v>45859.287019241099</v>
      </c>
      <c r="Y115" s="325">
        <v>43166.743245421232</v>
      </c>
      <c r="Z115" s="325">
        <v>61342.509581754675</v>
      </c>
      <c r="AA115" s="325">
        <v>42296.819472222232</v>
      </c>
      <c r="AB115" s="325">
        <v>59314.103724365646</v>
      </c>
      <c r="AC115" s="325">
        <v>44092.913826735487</v>
      </c>
      <c r="AD115" s="325">
        <v>42141.150943826637</v>
      </c>
      <c r="AE115" s="325">
        <v>55584.018973050588</v>
      </c>
      <c r="AF115" s="326">
        <v>55584.018973050588</v>
      </c>
      <c r="AG115" s="374"/>
      <c r="AH115" s="324">
        <v>48391.372761904742</v>
      </c>
      <c r="AI115" s="325">
        <v>46766.314543987086</v>
      </c>
      <c r="AJ115" s="325">
        <v>48013.831904761908</v>
      </c>
      <c r="AK115" s="325">
        <v>47133.165363618245</v>
      </c>
      <c r="AL115" s="325">
        <v>44799.120804953549</v>
      </c>
      <c r="AM115" s="325">
        <v>41779.319636530949</v>
      </c>
      <c r="AN115" s="325">
        <v>61487.116287257144</v>
      </c>
      <c r="AO115" s="325">
        <v>43685.986925566351</v>
      </c>
      <c r="AP115" s="325">
        <v>50840.424918722521</v>
      </c>
      <c r="AQ115" s="325">
        <v>47714.913425925923</v>
      </c>
      <c r="AR115" s="325">
        <v>45462.382712643674</v>
      </c>
      <c r="AS115" s="325">
        <v>43468.247982683992</v>
      </c>
      <c r="AT115" s="325">
        <f t="shared" ref="AT115" si="104">AVERAGE(AH115:AS115)</f>
        <v>47461.849772379675</v>
      </c>
      <c r="AU115" s="326">
        <f t="shared" ref="AU115" si="105">AT115</f>
        <v>47461.849772379675</v>
      </c>
      <c r="AV115" s="374"/>
      <c r="AW115" s="2027">
        <v>39379.459189857764</v>
      </c>
      <c r="AX115" s="325">
        <v>58738.425671321143</v>
      </c>
      <c r="AY115" s="325">
        <v>40933.665130177527</v>
      </c>
      <c r="AZ115" s="325">
        <v>45735.117899305551</v>
      </c>
      <c r="BA115" s="325">
        <v>44543.387909302321</v>
      </c>
      <c r="BB115" s="325">
        <v>42789.085251308898</v>
      </c>
      <c r="BC115" s="325">
        <v>50391.31568831169</v>
      </c>
      <c r="BD115" s="325">
        <v>47153.238416666667</v>
      </c>
      <c r="BE115" s="325">
        <v>52850.971426710101</v>
      </c>
      <c r="BF115" s="325">
        <v>52740.644038461549</v>
      </c>
      <c r="BG115" s="325">
        <v>45430.233098445598</v>
      </c>
      <c r="BH115" s="325">
        <v>48130.432427184474</v>
      </c>
      <c r="BI115" s="325">
        <f t="shared" si="102"/>
        <v>47401.331345587772</v>
      </c>
      <c r="BJ115" s="326">
        <f t="shared" si="103"/>
        <v>47401.331345587772</v>
      </c>
      <c r="BL115" s="317">
        <f>ROW()</f>
        <v>115</v>
      </c>
      <c r="BM115" s="317">
        <f t="shared" si="87"/>
        <v>4662.1844445004826</v>
      </c>
      <c r="BN115" s="317">
        <f t="shared" ref="BN115" si="106">BJ115-AU115</f>
        <v>-60.518426791903039</v>
      </c>
      <c r="BO115" s="317">
        <f t="shared" si="88"/>
        <v>-522140.86592296831</v>
      </c>
      <c r="BP115" s="594">
        <f t="shared" si="89"/>
        <v>2700.1993287388759</v>
      </c>
    </row>
    <row r="116" spans="1:72" ht="17.399999999999999" customHeight="1" x14ac:dyDescent="0.55000000000000004">
      <c r="A116" s="7222"/>
      <c r="B116" s="42"/>
      <c r="C116" s="156" t="s">
        <v>426</v>
      </c>
      <c r="D116" s="324">
        <v>52436.355212209215</v>
      </c>
      <c r="E116" s="325">
        <v>58999.611336719434</v>
      </c>
      <c r="F116" s="325">
        <v>53159.503107779172</v>
      </c>
      <c r="G116" s="325">
        <v>55166.112810142818</v>
      </c>
      <c r="H116" s="325">
        <v>56863.486656016466</v>
      </c>
      <c r="I116" s="325">
        <v>57689.18613506409</v>
      </c>
      <c r="J116" s="325">
        <v>58399.89183527042</v>
      </c>
      <c r="K116" s="325">
        <v>64282.068942409918</v>
      </c>
      <c r="L116" s="325">
        <v>61070.354866012254</v>
      </c>
      <c r="M116" s="325">
        <v>64303.724276701854</v>
      </c>
      <c r="N116" s="325">
        <v>58115.279281570583</v>
      </c>
      <c r="O116" s="325">
        <v>60457.681891274697</v>
      </c>
      <c r="P116" s="325">
        <v>58399.238547342771</v>
      </c>
      <c r="Q116" s="326">
        <v>58399.238547342771</v>
      </c>
      <c r="R116" s="374"/>
      <c r="S116" s="324">
        <v>61372.458441735136</v>
      </c>
      <c r="T116" s="325">
        <v>63716.267129370783</v>
      </c>
      <c r="U116" s="325">
        <v>61095.138694299414</v>
      </c>
      <c r="V116" s="325">
        <v>62971.275870995159</v>
      </c>
      <c r="W116" s="325">
        <v>57472.401940027223</v>
      </c>
      <c r="X116" s="325">
        <v>58161.040234540822</v>
      </c>
      <c r="Y116" s="325">
        <v>55360.30131133533</v>
      </c>
      <c r="Z116" s="325">
        <v>68927.307997667143</v>
      </c>
      <c r="AA116" s="325">
        <v>59682.703747049891</v>
      </c>
      <c r="AB116" s="325">
        <v>68592.989316122286</v>
      </c>
      <c r="AC116" s="325">
        <v>63168.279961171931</v>
      </c>
      <c r="AD116" s="325">
        <v>60172.567682864144</v>
      </c>
      <c r="AE116" s="325">
        <v>62137.312037248565</v>
      </c>
      <c r="AF116" s="326">
        <v>62137.312037248565</v>
      </c>
      <c r="AG116" s="374"/>
      <c r="AH116" s="324">
        <v>70224.196944142459</v>
      </c>
      <c r="AI116" s="325">
        <v>65025.411242683564</v>
      </c>
      <c r="AJ116" s="325">
        <v>61325.605784367552</v>
      </c>
      <c r="AK116" s="325">
        <v>58050.871521406792</v>
      </c>
      <c r="AL116" s="325">
        <v>55417.103366633266</v>
      </c>
      <c r="AM116" s="325">
        <v>57462.38001427774</v>
      </c>
      <c r="AN116" s="325">
        <v>64747.08329614711</v>
      </c>
      <c r="AO116" s="325">
        <v>63269.28117294635</v>
      </c>
      <c r="AP116" s="325">
        <v>70766.794098049068</v>
      </c>
      <c r="AQ116" s="325">
        <v>69183.431891658372</v>
      </c>
      <c r="AR116" s="325">
        <v>65503.872289353822</v>
      </c>
      <c r="AS116" s="325">
        <v>68710.801892126357</v>
      </c>
      <c r="AT116" s="325">
        <f t="shared" si="100"/>
        <v>64140.569459482707</v>
      </c>
      <c r="AU116" s="326">
        <f t="shared" si="101"/>
        <v>64140.569459482707</v>
      </c>
      <c r="AV116" s="374"/>
      <c r="AW116" s="2027">
        <v>68742.97391260638</v>
      </c>
      <c r="AX116" s="325">
        <v>73668.401063153346</v>
      </c>
      <c r="AY116" s="325">
        <v>71520.370640616675</v>
      </c>
      <c r="AZ116" s="325">
        <v>70197.087476298242</v>
      </c>
      <c r="BA116" s="325">
        <v>63150.605977560663</v>
      </c>
      <c r="BB116" s="325">
        <v>68005.091417013391</v>
      </c>
      <c r="BC116" s="325">
        <v>65837.548701830747</v>
      </c>
      <c r="BD116" s="325">
        <v>79601.65190343406</v>
      </c>
      <c r="BE116" s="325">
        <v>77420.272080553754</v>
      </c>
      <c r="BF116" s="325">
        <v>79800.996086927262</v>
      </c>
      <c r="BG116" s="325">
        <v>79593.897374108914</v>
      </c>
      <c r="BH116" s="325">
        <v>76690.85685239645</v>
      </c>
      <c r="BI116" s="325">
        <f t="shared" si="102"/>
        <v>72852.479457208319</v>
      </c>
      <c r="BJ116" s="326">
        <f t="shared" si="103"/>
        <v>72852.479457208319</v>
      </c>
      <c r="BL116" s="317">
        <f>ROW()</f>
        <v>116</v>
      </c>
      <c r="BM116" s="317">
        <f t="shared" si="87"/>
        <v>7980.0549602700921</v>
      </c>
      <c r="BN116" s="317">
        <f t="shared" si="60"/>
        <v>8711.9099977256119</v>
      </c>
      <c r="BO116" s="317">
        <f t="shared" si="88"/>
        <v>-696834.35405658418</v>
      </c>
      <c r="BP116" s="594">
        <f t="shared" si="89"/>
        <v>-2903.0405217124644</v>
      </c>
    </row>
    <row r="117" spans="1:72" ht="17.399999999999999" customHeight="1" x14ac:dyDescent="0.55000000000000004">
      <c r="A117" s="7222"/>
      <c r="B117" s="42"/>
      <c r="C117" s="156" t="s">
        <v>954</v>
      </c>
      <c r="D117" s="324">
        <v>48717.133352395627</v>
      </c>
      <c r="E117" s="325">
        <v>52664.256496923015</v>
      </c>
      <c r="F117" s="325">
        <v>47407.457766896594</v>
      </c>
      <c r="G117" s="325">
        <v>49564.832912807273</v>
      </c>
      <c r="H117" s="325">
        <v>43633.245508040316</v>
      </c>
      <c r="I117" s="325">
        <v>50661.675691942211</v>
      </c>
      <c r="J117" s="325">
        <v>51750.62604330523</v>
      </c>
      <c r="K117" s="325">
        <v>58365.775087181937</v>
      </c>
      <c r="L117" s="325">
        <v>54019.516852220178</v>
      </c>
      <c r="M117" s="325">
        <v>60594.132782283079</v>
      </c>
      <c r="N117" s="325">
        <v>50035.59003257232</v>
      </c>
      <c r="O117" s="325">
        <v>52799.824480453433</v>
      </c>
      <c r="P117" s="325">
        <v>52536.586244686208</v>
      </c>
      <c r="Q117" s="326">
        <v>52536.586244686208</v>
      </c>
      <c r="R117" s="374"/>
      <c r="S117" s="324">
        <v>49823.106006234113</v>
      </c>
      <c r="T117" s="325">
        <v>56638.76492993463</v>
      </c>
      <c r="U117" s="325">
        <v>52858.877456250579</v>
      </c>
      <c r="V117" s="325">
        <v>50899.501308864383</v>
      </c>
      <c r="W117" s="325">
        <v>50772.118486075851</v>
      </c>
      <c r="X117" s="325">
        <v>50760.879726497464</v>
      </c>
      <c r="Y117" s="325">
        <v>51022.092981638256</v>
      </c>
      <c r="Z117" s="325">
        <v>56367.625332349671</v>
      </c>
      <c r="AA117" s="325">
        <v>45690.90322192273</v>
      </c>
      <c r="AB117" s="325">
        <v>54882.919881180969</v>
      </c>
      <c r="AC117" s="325">
        <v>48674.391312413034</v>
      </c>
      <c r="AD117" s="325">
        <v>45700.142494820095</v>
      </c>
      <c r="AE117" s="325">
        <v>52189.639162779291</v>
      </c>
      <c r="AF117" s="326">
        <v>52189.639162779291</v>
      </c>
      <c r="AG117" s="374"/>
      <c r="AH117" s="324">
        <v>49778.114176241579</v>
      </c>
      <c r="AI117" s="325">
        <v>48082.189149581252</v>
      </c>
      <c r="AJ117" s="325">
        <v>44046.619100558994</v>
      </c>
      <c r="AK117" s="325">
        <v>46757.434522344724</v>
      </c>
      <c r="AL117" s="325">
        <v>46174.832477591204</v>
      </c>
      <c r="AM117" s="325">
        <v>45544.892050547511</v>
      </c>
      <c r="AN117" s="325">
        <v>50294.567562874159</v>
      </c>
      <c r="AO117" s="325">
        <v>48632.424231895209</v>
      </c>
      <c r="AP117" s="325">
        <v>53631.621902207335</v>
      </c>
      <c r="AQ117" s="325">
        <v>51597.911038241007</v>
      </c>
      <c r="AR117" s="325">
        <v>49442.150639152947</v>
      </c>
      <c r="AS117" s="325">
        <v>46853.293934922534</v>
      </c>
      <c r="AT117" s="325">
        <f t="shared" si="100"/>
        <v>48403.004232179868</v>
      </c>
      <c r="AU117" s="326">
        <f t="shared" si="101"/>
        <v>48403.004232179868</v>
      </c>
      <c r="AV117" s="374"/>
      <c r="AW117" s="2027">
        <v>42397.211865989048</v>
      </c>
      <c r="AX117" s="325">
        <v>44956.946769228671</v>
      </c>
      <c r="AY117" s="325">
        <v>44565.967351892046</v>
      </c>
      <c r="AZ117" s="325">
        <v>44272.646028308955</v>
      </c>
      <c r="BA117" s="325">
        <v>41797.00053873111</v>
      </c>
      <c r="BB117" s="325">
        <v>42815.510791010049</v>
      </c>
      <c r="BC117" s="325">
        <v>46158.557923705368</v>
      </c>
      <c r="BD117" s="325">
        <v>47925.489318702843</v>
      </c>
      <c r="BE117" s="325">
        <v>55343.823319167321</v>
      </c>
      <c r="BF117" s="325">
        <v>50730.074827705226</v>
      </c>
      <c r="BG117" s="325">
        <v>49365.5166731891</v>
      </c>
      <c r="BH117" s="325">
        <v>47172.151636288996</v>
      </c>
      <c r="BI117" s="325">
        <f t="shared" si="102"/>
        <v>46458.40808699323</v>
      </c>
      <c r="BJ117" s="326">
        <f t="shared" si="103"/>
        <v>46458.40808699323</v>
      </c>
      <c r="BL117" s="317">
        <f>ROW()</f>
        <v>117</v>
      </c>
      <c r="BM117" s="317">
        <f t="shared" si="87"/>
        <v>318.8577013664617</v>
      </c>
      <c r="BN117" s="317">
        <f t="shared" si="60"/>
        <v>-1944.5961451866388</v>
      </c>
      <c r="BO117" s="317">
        <f t="shared" si="88"/>
        <v>-534377.64269916515</v>
      </c>
      <c r="BP117" s="594">
        <f t="shared" si="89"/>
        <v>-2193.3650369001043</v>
      </c>
    </row>
    <row r="118" spans="1:72" ht="17.399999999999999" customHeight="1" x14ac:dyDescent="0.55000000000000004">
      <c r="A118" s="7222"/>
      <c r="B118" s="232"/>
      <c r="C118" s="156" t="s">
        <v>427</v>
      </c>
      <c r="D118" s="324">
        <v>36400.466307695526</v>
      </c>
      <c r="E118" s="325">
        <v>43619.988392384475</v>
      </c>
      <c r="F118" s="325">
        <v>42656.327304022103</v>
      </c>
      <c r="G118" s="325">
        <v>41454.32557835077</v>
      </c>
      <c r="H118" s="325">
        <v>34915.031862625634</v>
      </c>
      <c r="I118" s="325">
        <v>37430.610762476572</v>
      </c>
      <c r="J118" s="325">
        <v>40130.910761680869</v>
      </c>
      <c r="K118" s="325">
        <v>43045.397212077813</v>
      </c>
      <c r="L118" s="325">
        <v>31230.88454905387</v>
      </c>
      <c r="M118" s="325">
        <v>34053.406852662876</v>
      </c>
      <c r="N118" s="325">
        <v>31599.792051487861</v>
      </c>
      <c r="O118" s="325">
        <v>32186.798839222476</v>
      </c>
      <c r="P118" s="325">
        <v>37282.585986093181</v>
      </c>
      <c r="Q118" s="326">
        <v>37282.585986093181</v>
      </c>
      <c r="R118" s="374"/>
      <c r="S118" s="324">
        <v>30594.357634782609</v>
      </c>
      <c r="T118" s="325">
        <v>38144.568733620137</v>
      </c>
      <c r="U118" s="325">
        <v>40783.707871284874</v>
      </c>
      <c r="V118" s="325">
        <v>40158.35451146197</v>
      </c>
      <c r="W118" s="325">
        <v>41567.215397766566</v>
      </c>
      <c r="X118" s="325">
        <v>39684.33781234426</v>
      </c>
      <c r="Y118" s="325">
        <v>40755.814624018829</v>
      </c>
      <c r="Z118" s="325">
        <v>43644.094057278628</v>
      </c>
      <c r="AA118" s="325">
        <v>31069.713948354616</v>
      </c>
      <c r="AB118" s="325">
        <v>34940.156275779715</v>
      </c>
      <c r="AC118" s="325">
        <v>46828.204492661789</v>
      </c>
      <c r="AD118" s="325">
        <v>42016.019380572092</v>
      </c>
      <c r="AE118" s="325">
        <v>38285.580836967012</v>
      </c>
      <c r="AF118" s="326">
        <v>38285.580836967012</v>
      </c>
      <c r="AG118" s="374"/>
      <c r="AH118" s="324">
        <v>43348.556016067741</v>
      </c>
      <c r="AI118" s="325">
        <v>31804.459955723403</v>
      </c>
      <c r="AJ118" s="325">
        <v>33965.910465686284</v>
      </c>
      <c r="AK118" s="325">
        <v>29115.913998225355</v>
      </c>
      <c r="AL118" s="325">
        <v>33759.993802102654</v>
      </c>
      <c r="AM118" s="325">
        <v>21154.013628858062</v>
      </c>
      <c r="AN118" s="325">
        <v>34193.931962858136</v>
      </c>
      <c r="AO118" s="325">
        <v>24520.691425995672</v>
      </c>
      <c r="AP118" s="325">
        <v>46746.197533882842</v>
      </c>
      <c r="AQ118" s="325">
        <v>23504.661101947244</v>
      </c>
      <c r="AR118" s="325">
        <v>29892.134616656098</v>
      </c>
      <c r="AS118" s="325">
        <v>27182.268647764438</v>
      </c>
      <c r="AT118" s="325">
        <f t="shared" si="100"/>
        <v>31599.061096313995</v>
      </c>
      <c r="AU118" s="326">
        <f t="shared" si="101"/>
        <v>31599.061096313995</v>
      </c>
      <c r="AV118" s="374"/>
      <c r="AW118" s="2027">
        <v>29887.383549149909</v>
      </c>
      <c r="AX118" s="325">
        <v>44720.083948027037</v>
      </c>
      <c r="AY118" s="325">
        <v>30297.991646299492</v>
      </c>
      <c r="AZ118" s="325">
        <v>30209.415554479416</v>
      </c>
      <c r="BA118" s="325">
        <v>36457.082010420687</v>
      </c>
      <c r="BB118" s="325">
        <v>41353.788707668558</v>
      </c>
      <c r="BC118" s="325">
        <v>30543.227446296289</v>
      </c>
      <c r="BD118" s="325">
        <v>34539.809876215142</v>
      </c>
      <c r="BE118" s="325">
        <v>36104.497903368072</v>
      </c>
      <c r="BF118" s="325">
        <v>28310.074714529928</v>
      </c>
      <c r="BG118" s="325">
        <v>23898.496966440274</v>
      </c>
      <c r="BH118" s="325">
        <v>35216.417781589502</v>
      </c>
      <c r="BI118" s="325">
        <f t="shared" si="102"/>
        <v>33461.522508707021</v>
      </c>
      <c r="BJ118" s="326">
        <f t="shared" si="103"/>
        <v>33461.522508707021</v>
      </c>
      <c r="BL118" s="317">
        <f>ROW()</f>
        <v>118</v>
      </c>
      <c r="BM118" s="317">
        <f t="shared" si="87"/>
        <v>8034.1491338250635</v>
      </c>
      <c r="BN118" s="317">
        <f t="shared" si="60"/>
        <v>1862.461412393026</v>
      </c>
      <c r="BO118" s="317">
        <f t="shared" si="88"/>
        <v>-345727.21064706094</v>
      </c>
      <c r="BP118" s="594">
        <f t="shared" si="89"/>
        <v>11317.920815149228</v>
      </c>
    </row>
    <row r="119" spans="1:72" ht="17.399999999999999" customHeight="1" thickBot="1" x14ac:dyDescent="0.6">
      <c r="A119" s="7223"/>
      <c r="B119" s="233"/>
      <c r="C119" s="216" t="s">
        <v>428</v>
      </c>
      <c r="D119" s="327">
        <v>64296.936521739313</v>
      </c>
      <c r="E119" s="328">
        <v>66945.957931034325</v>
      </c>
      <c r="F119" s="328">
        <v>66971.391551459252</v>
      </c>
      <c r="G119" s="328">
        <v>66925.575733333317</v>
      </c>
      <c r="H119" s="328">
        <v>64492.667667356778</v>
      </c>
      <c r="I119" s="328">
        <v>64408.298130511452</v>
      </c>
      <c r="J119" s="328">
        <v>62882.591878009625</v>
      </c>
      <c r="K119" s="328">
        <v>67673.686115970282</v>
      </c>
      <c r="L119" s="328">
        <v>64049.659634766511</v>
      </c>
      <c r="M119" s="328">
        <v>64892.250643402382</v>
      </c>
      <c r="N119" s="328">
        <v>66920.997009602026</v>
      </c>
      <c r="O119" s="328">
        <v>68880.624493797688</v>
      </c>
      <c r="P119" s="328">
        <v>65920.718887158437</v>
      </c>
      <c r="Q119" s="329">
        <v>65920.718887158437</v>
      </c>
      <c r="R119" s="374"/>
      <c r="S119" s="327">
        <v>69471.726470374342</v>
      </c>
      <c r="T119" s="328">
        <v>68912.850707483041</v>
      </c>
      <c r="U119" s="328">
        <v>67191.294699792954</v>
      </c>
      <c r="V119" s="328">
        <v>73793.799473389401</v>
      </c>
      <c r="W119" s="328">
        <v>75164.708040593279</v>
      </c>
      <c r="X119" s="328">
        <v>57400.561386800291</v>
      </c>
      <c r="Y119" s="328">
        <v>64470.113707052406</v>
      </c>
      <c r="Z119" s="328">
        <v>67498.38995184598</v>
      </c>
      <c r="AA119" s="328">
        <v>70291.333614718707</v>
      </c>
      <c r="AB119" s="328">
        <v>69451.521294810052</v>
      </c>
      <c r="AC119" s="328">
        <v>68962.198116639964</v>
      </c>
      <c r="AD119" s="328">
        <v>67009.670095238034</v>
      </c>
      <c r="AE119" s="328">
        <v>67891.873998088297</v>
      </c>
      <c r="AF119" s="329">
        <v>67891.873998088297</v>
      </c>
      <c r="AG119" s="374"/>
      <c r="AH119" s="327" t="s">
        <v>482</v>
      </c>
      <c r="AI119" s="328" t="s">
        <v>482</v>
      </c>
      <c r="AJ119" s="328" t="s">
        <v>482</v>
      </c>
      <c r="AK119" s="328">
        <v>0</v>
      </c>
      <c r="AL119" s="328">
        <v>0</v>
      </c>
      <c r="AM119" s="328" t="s">
        <v>482</v>
      </c>
      <c r="AN119" s="328">
        <v>0</v>
      </c>
      <c r="AO119" s="328">
        <v>0</v>
      </c>
      <c r="AP119" s="328">
        <v>0</v>
      </c>
      <c r="AQ119" s="328">
        <v>0</v>
      </c>
      <c r="AR119" s="328">
        <v>0</v>
      </c>
      <c r="AS119" s="328">
        <v>0</v>
      </c>
      <c r="AT119" s="328">
        <v>0</v>
      </c>
      <c r="AU119" s="329">
        <f t="shared" si="101"/>
        <v>0</v>
      </c>
      <c r="AV119" s="374"/>
      <c r="AW119" s="2028">
        <v>0</v>
      </c>
      <c r="AX119" s="328">
        <v>0</v>
      </c>
      <c r="AY119" s="328">
        <v>0</v>
      </c>
      <c r="AZ119" s="328">
        <v>0</v>
      </c>
      <c r="BA119" s="328">
        <v>0</v>
      </c>
      <c r="BB119" s="328">
        <v>0</v>
      </c>
      <c r="BC119" s="328">
        <v>0</v>
      </c>
      <c r="BD119" s="328">
        <v>0</v>
      </c>
      <c r="BE119" s="328">
        <v>0</v>
      </c>
      <c r="BF119" s="328"/>
      <c r="BG119" s="328">
        <v>0</v>
      </c>
      <c r="BH119" s="328">
        <v>0</v>
      </c>
      <c r="BI119" s="328">
        <f t="shared" si="102"/>
        <v>0</v>
      </c>
      <c r="BJ119" s="329">
        <f t="shared" si="103"/>
        <v>0</v>
      </c>
      <c r="BL119" s="317">
        <f>ROW()</f>
        <v>119</v>
      </c>
      <c r="BM119" s="317">
        <f t="shared" si="87"/>
        <v>0</v>
      </c>
      <c r="BN119" s="317">
        <f t="shared" si="60"/>
        <v>0</v>
      </c>
      <c r="BO119" s="317">
        <f t="shared" si="88"/>
        <v>0</v>
      </c>
      <c r="BP119" s="594">
        <f t="shared" si="89"/>
        <v>0</v>
      </c>
    </row>
    <row r="120" spans="1:72" s="1" customFormat="1" ht="6" customHeight="1" thickBot="1" x14ac:dyDescent="0.6">
      <c r="B120" s="47"/>
      <c r="C120" s="33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84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84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029"/>
      <c r="AR120" s="171"/>
      <c r="AS120" s="171"/>
      <c r="AT120" s="171"/>
      <c r="AU120" s="171"/>
      <c r="AV120" s="1584"/>
      <c r="AW120" s="2007"/>
      <c r="AX120" s="171"/>
      <c r="AY120" s="1029"/>
      <c r="AZ120" s="171"/>
      <c r="BA120" s="1029"/>
      <c r="BB120" s="1029"/>
      <c r="BC120" s="171"/>
      <c r="BD120" s="171"/>
      <c r="BE120" s="171"/>
      <c r="BF120" s="1029"/>
      <c r="BG120" s="171"/>
      <c r="BH120" s="171"/>
      <c r="BI120" s="171"/>
      <c r="BJ120" s="171"/>
      <c r="BL120" s="317">
        <f>ROW()</f>
        <v>120</v>
      </c>
      <c r="BM120" s="317">
        <f t="shared" si="87"/>
        <v>0</v>
      </c>
      <c r="BN120" s="317">
        <f t="shared" si="60"/>
        <v>0</v>
      </c>
      <c r="BO120" s="317">
        <f t="shared" si="88"/>
        <v>0</v>
      </c>
      <c r="BP120" s="594">
        <f t="shared" si="89"/>
        <v>0</v>
      </c>
      <c r="BQ120"/>
      <c r="BR120"/>
      <c r="BS120"/>
      <c r="BT120"/>
    </row>
    <row r="121" spans="1:72" ht="17.399999999999999" customHeight="1" x14ac:dyDescent="0.55000000000000004">
      <c r="A121" s="7221" t="s">
        <v>1140</v>
      </c>
      <c r="B121" s="41" t="s">
        <v>434</v>
      </c>
      <c r="C121" s="206"/>
      <c r="D121" s="270">
        <v>54546.979625170134</v>
      </c>
      <c r="E121" s="271">
        <v>58670.79353381064</v>
      </c>
      <c r="F121" s="271">
        <v>53521.485396905606</v>
      </c>
      <c r="G121" s="271">
        <v>55528.703110552546</v>
      </c>
      <c r="H121" s="271">
        <v>55086.456050428271</v>
      </c>
      <c r="I121" s="271">
        <v>58215.442361273279</v>
      </c>
      <c r="J121" s="271">
        <v>57211.01877834271</v>
      </c>
      <c r="K121" s="271">
        <v>64831.791251934941</v>
      </c>
      <c r="L121" s="271">
        <v>56404.67820010701</v>
      </c>
      <c r="M121" s="271">
        <v>63414.163024136375</v>
      </c>
      <c r="N121" s="271">
        <v>57422.625551225814</v>
      </c>
      <c r="O121" s="271">
        <v>59322.386476955326</v>
      </c>
      <c r="P121" s="271"/>
      <c r="Q121" s="272"/>
      <c r="R121" s="374"/>
      <c r="S121" s="270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2"/>
      <c r="AG121" s="374"/>
      <c r="AH121" s="270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2"/>
      <c r="AV121" s="374"/>
      <c r="AW121" s="2010"/>
      <c r="AX121" s="271"/>
      <c r="AY121" s="271"/>
      <c r="AZ121" s="271"/>
      <c r="BA121" s="271">
        <v>59377.341108805478</v>
      </c>
      <c r="BB121" s="271">
        <v>58065.527459411904</v>
      </c>
      <c r="BC121" s="271">
        <v>55043.836797929922</v>
      </c>
      <c r="BD121" s="271">
        <v>56541.49739933775</v>
      </c>
      <c r="BE121" s="271">
        <v>56710.196930751779</v>
      </c>
      <c r="BF121" s="271">
        <v>57241.060167179603</v>
      </c>
      <c r="BG121" s="271">
        <v>57759.459238184172</v>
      </c>
      <c r="BH121" s="271">
        <v>62520.776627580883</v>
      </c>
      <c r="BI121" s="271">
        <f>BJ121</f>
        <v>57907.461966147683</v>
      </c>
      <c r="BJ121" s="272">
        <f>AVERAGE(AW121:BH121)</f>
        <v>57907.461966147683</v>
      </c>
      <c r="BL121" s="317">
        <f>ROW()</f>
        <v>121</v>
      </c>
      <c r="BM121" s="317">
        <f t="shared" si="87"/>
        <v>62520.776627580883</v>
      </c>
      <c r="BN121" s="317">
        <f t="shared" ref="BN121:BN128" si="107">BJ121-AU121</f>
        <v>57907.461966147683</v>
      </c>
      <c r="BO121" s="317">
        <f t="shared" si="88"/>
        <v>57907.461966147683</v>
      </c>
      <c r="BP121" s="594">
        <f t="shared" si="89"/>
        <v>4761.3173893967105</v>
      </c>
    </row>
    <row r="122" spans="1:72" ht="17.399999999999999" customHeight="1" x14ac:dyDescent="0.55000000000000004">
      <c r="A122" s="7222"/>
      <c r="B122" s="42"/>
      <c r="C122" s="156" t="s">
        <v>424</v>
      </c>
      <c r="D122" s="324">
        <v>64533.894444979051</v>
      </c>
      <c r="E122" s="325">
        <v>66358.218348792623</v>
      </c>
      <c r="F122" s="325">
        <v>61067.878810534567</v>
      </c>
      <c r="G122" s="325">
        <v>62644.294912999736</v>
      </c>
      <c r="H122" s="325">
        <v>64092.12737104109</v>
      </c>
      <c r="I122" s="325">
        <v>67383.47098733719</v>
      </c>
      <c r="J122" s="325">
        <v>63401.428189826278</v>
      </c>
      <c r="K122" s="325">
        <v>73090.312324781728</v>
      </c>
      <c r="L122" s="325">
        <v>65642.066736424254</v>
      </c>
      <c r="M122" s="325">
        <v>72704.693750216407</v>
      </c>
      <c r="N122" s="325">
        <v>66770.675196569893</v>
      </c>
      <c r="O122" s="325">
        <v>66335.1947922338</v>
      </c>
      <c r="P122" s="325"/>
      <c r="Q122" s="326"/>
      <c r="R122" s="374"/>
      <c r="S122" s="324"/>
      <c r="T122" s="325"/>
      <c r="U122" s="325"/>
      <c r="V122" s="325"/>
      <c r="W122" s="325"/>
      <c r="X122" s="325"/>
      <c r="Y122" s="325"/>
      <c r="Z122" s="325"/>
      <c r="AA122" s="325"/>
      <c r="AB122" s="325"/>
      <c r="AC122" s="325"/>
      <c r="AD122" s="325"/>
      <c r="AE122" s="325"/>
      <c r="AF122" s="326"/>
      <c r="AG122" s="374"/>
      <c r="AH122" s="324"/>
      <c r="AI122" s="325"/>
      <c r="AJ122" s="325"/>
      <c r="AK122" s="325"/>
      <c r="AL122" s="325"/>
      <c r="AM122" s="325"/>
      <c r="AN122" s="325"/>
      <c r="AO122" s="325"/>
      <c r="AP122" s="325"/>
      <c r="AQ122" s="325"/>
      <c r="AR122" s="325"/>
      <c r="AS122" s="325"/>
      <c r="AT122" s="325"/>
      <c r="AU122" s="326"/>
      <c r="AV122" s="374"/>
      <c r="AW122" s="2027"/>
      <c r="AX122" s="325"/>
      <c r="AY122" s="325"/>
      <c r="AZ122" s="325"/>
      <c r="BA122" s="325">
        <v>60005.147374859691</v>
      </c>
      <c r="BB122" s="325">
        <v>58380.605209210466</v>
      </c>
      <c r="BC122" s="325">
        <v>53224.282065590742</v>
      </c>
      <c r="BD122" s="325">
        <v>59197.066140034985</v>
      </c>
      <c r="BE122" s="325">
        <v>58415.619704747311</v>
      </c>
      <c r="BF122" s="325">
        <v>59142.672914680807</v>
      </c>
      <c r="BG122" s="325">
        <v>59325.957358314568</v>
      </c>
      <c r="BH122" s="325">
        <v>57914.158434969904</v>
      </c>
      <c r="BI122" s="325">
        <f t="shared" ref="BI122:BI125" si="108">BJ122</f>
        <v>58200.688650301054</v>
      </c>
      <c r="BJ122" s="326">
        <f t="shared" ref="BJ122:BJ125" si="109">AVERAGE(AW122:BH122)</f>
        <v>58200.688650301054</v>
      </c>
      <c r="BL122" s="317">
        <f>ROW()</f>
        <v>122</v>
      </c>
      <c r="BM122" s="317">
        <f t="shared" si="87"/>
        <v>57914.158434969904</v>
      </c>
      <c r="BN122" s="317">
        <f t="shared" si="107"/>
        <v>58200.688650301054</v>
      </c>
      <c r="BO122" s="317">
        <f t="shared" si="88"/>
        <v>58200.688650301054</v>
      </c>
      <c r="BP122" s="594">
        <f t="shared" si="89"/>
        <v>-1411.7989233446642</v>
      </c>
    </row>
    <row r="123" spans="1:72" ht="17.399999999999999" customHeight="1" x14ac:dyDescent="0.55000000000000004">
      <c r="A123" s="7222"/>
      <c r="B123" s="232"/>
      <c r="C123" s="156" t="s">
        <v>1112</v>
      </c>
      <c r="D123" s="324">
        <v>53985.166017693016</v>
      </c>
      <c r="E123" s="325">
        <v>55706.29219179209</v>
      </c>
      <c r="F123" s="325">
        <v>49607.755138141009</v>
      </c>
      <c r="G123" s="325">
        <v>52014.790172446046</v>
      </c>
      <c r="H123" s="325">
        <v>52209.737585809715</v>
      </c>
      <c r="I123" s="325">
        <v>53052.246501470472</v>
      </c>
      <c r="J123" s="325">
        <v>49539.217096164582</v>
      </c>
      <c r="K123" s="325">
        <v>65342.606009565367</v>
      </c>
      <c r="L123" s="325">
        <v>43733.307843285453</v>
      </c>
      <c r="M123" s="325">
        <v>59982.348473477985</v>
      </c>
      <c r="N123" s="325">
        <v>55591.817484518462</v>
      </c>
      <c r="O123" s="325">
        <v>54904.180558938308</v>
      </c>
      <c r="P123" s="325"/>
      <c r="Q123" s="326"/>
      <c r="R123" s="374"/>
      <c r="S123" s="324"/>
      <c r="T123" s="325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  <c r="AF123" s="326"/>
      <c r="AG123" s="374"/>
      <c r="AH123" s="324"/>
      <c r="AI123" s="325"/>
      <c r="AJ123" s="325"/>
      <c r="AK123" s="325"/>
      <c r="AL123" s="325"/>
      <c r="AM123" s="325"/>
      <c r="AN123" s="325"/>
      <c r="AO123" s="325"/>
      <c r="AP123" s="325"/>
      <c r="AQ123" s="325"/>
      <c r="AR123" s="325"/>
      <c r="AS123" s="325"/>
      <c r="AT123" s="325"/>
      <c r="AU123" s="326"/>
      <c r="AV123" s="374"/>
      <c r="AW123" s="2027"/>
      <c r="AX123" s="325"/>
      <c r="AY123" s="325"/>
      <c r="AZ123" s="325"/>
      <c r="BA123" s="325">
        <v>48089.844121593298</v>
      </c>
      <c r="BB123" s="325">
        <v>46705.977008695671</v>
      </c>
      <c r="BC123" s="325">
        <v>40076.814040540536</v>
      </c>
      <c r="BD123" s="325">
        <v>47476.689692589207</v>
      </c>
      <c r="BE123" s="325">
        <v>47375.719409863952</v>
      </c>
      <c r="BF123" s="325">
        <v>47797.843414755363</v>
      </c>
      <c r="BG123" s="325">
        <v>48710.335506859483</v>
      </c>
      <c r="BH123" s="325">
        <v>47221.845674558586</v>
      </c>
      <c r="BI123" s="325">
        <f t="shared" si="108"/>
        <v>46681.883608682016</v>
      </c>
      <c r="BJ123" s="326">
        <f t="shared" si="109"/>
        <v>46681.883608682016</v>
      </c>
      <c r="BL123" s="317">
        <f>ROW()</f>
        <v>123</v>
      </c>
      <c r="BM123" s="317">
        <f t="shared" si="87"/>
        <v>47221.845674558586</v>
      </c>
      <c r="BN123" s="317">
        <f t="shared" si="107"/>
        <v>46681.883608682016</v>
      </c>
      <c r="BO123" s="317">
        <f t="shared" si="88"/>
        <v>46681.883608682016</v>
      </c>
      <c r="BP123" s="594">
        <f t="shared" si="89"/>
        <v>-1488.4898323008965</v>
      </c>
    </row>
    <row r="124" spans="1:72" ht="17.399999999999999" customHeight="1" x14ac:dyDescent="0.55000000000000004">
      <c r="A124" s="7222"/>
      <c r="B124" s="42"/>
      <c r="C124" s="156" t="s">
        <v>426</v>
      </c>
      <c r="D124" s="324">
        <v>52436.355212209215</v>
      </c>
      <c r="E124" s="325">
        <v>58999.611336719434</v>
      </c>
      <c r="F124" s="325">
        <v>53159.503107779172</v>
      </c>
      <c r="G124" s="325">
        <v>55166.112810142818</v>
      </c>
      <c r="H124" s="325">
        <v>56863.486656016466</v>
      </c>
      <c r="I124" s="325">
        <v>57689.18613506409</v>
      </c>
      <c r="J124" s="325">
        <v>58399.89183527042</v>
      </c>
      <c r="K124" s="325">
        <v>64282.068942409918</v>
      </c>
      <c r="L124" s="325">
        <v>61070.354866012254</v>
      </c>
      <c r="M124" s="325">
        <v>64303.724276701854</v>
      </c>
      <c r="N124" s="325">
        <v>58115.279281570583</v>
      </c>
      <c r="O124" s="325">
        <v>60457.681891274697</v>
      </c>
      <c r="P124" s="325"/>
      <c r="Q124" s="326"/>
      <c r="R124" s="374"/>
      <c r="S124" s="324"/>
      <c r="T124" s="325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25"/>
      <c r="AE124" s="325"/>
      <c r="AF124" s="326"/>
      <c r="AG124" s="374"/>
      <c r="AH124" s="324"/>
      <c r="AI124" s="325"/>
      <c r="AJ124" s="325"/>
      <c r="AK124" s="325"/>
      <c r="AL124" s="325"/>
      <c r="AM124" s="325"/>
      <c r="AN124" s="325"/>
      <c r="AO124" s="325"/>
      <c r="AP124" s="325"/>
      <c r="AQ124" s="325"/>
      <c r="AR124" s="325"/>
      <c r="AS124" s="325"/>
      <c r="AT124" s="325"/>
      <c r="AU124" s="326"/>
      <c r="AV124" s="374"/>
      <c r="AW124" s="2027"/>
      <c r="AX124" s="325"/>
      <c r="AY124" s="325"/>
      <c r="AZ124" s="325"/>
      <c r="BA124" s="325">
        <v>68871.077795097866</v>
      </c>
      <c r="BB124" s="325">
        <v>66653.97732862948</v>
      </c>
      <c r="BC124" s="325">
        <v>61458.373407016814</v>
      </c>
      <c r="BD124" s="325">
        <v>64705.321101613459</v>
      </c>
      <c r="BE124" s="325">
        <v>65039.173472683477</v>
      </c>
      <c r="BF124" s="325">
        <v>64879.445470831561</v>
      </c>
      <c r="BG124" s="325">
        <v>65978.148823257317</v>
      </c>
      <c r="BH124" s="325">
        <v>66189.562186038936</v>
      </c>
      <c r="BI124" s="325">
        <f t="shared" si="108"/>
        <v>65471.884948146107</v>
      </c>
      <c r="BJ124" s="326">
        <f t="shared" si="109"/>
        <v>65471.884948146107</v>
      </c>
      <c r="BL124" s="317">
        <f>ROW()</f>
        <v>124</v>
      </c>
      <c r="BM124" s="317">
        <f t="shared" si="87"/>
        <v>66189.562186038936</v>
      </c>
      <c r="BN124" s="317">
        <f t="shared" si="107"/>
        <v>65471.884948146107</v>
      </c>
      <c r="BO124" s="317">
        <f t="shared" si="88"/>
        <v>65471.884948146107</v>
      </c>
      <c r="BP124" s="594">
        <f t="shared" si="89"/>
        <v>211.41336278161907</v>
      </c>
    </row>
    <row r="125" spans="1:72" ht="17.399999999999999" customHeight="1" x14ac:dyDescent="0.55000000000000004">
      <c r="A125" s="7222"/>
      <c r="B125" s="42"/>
      <c r="C125" s="156" t="s">
        <v>954</v>
      </c>
      <c r="D125" s="324">
        <v>48717.133352395627</v>
      </c>
      <c r="E125" s="325">
        <v>52664.256496923015</v>
      </c>
      <c r="F125" s="325">
        <v>47407.457766896594</v>
      </c>
      <c r="G125" s="325">
        <v>49564.832912807273</v>
      </c>
      <c r="H125" s="325">
        <v>43633.245508040316</v>
      </c>
      <c r="I125" s="325">
        <v>50661.675691942211</v>
      </c>
      <c r="J125" s="325">
        <v>51750.62604330523</v>
      </c>
      <c r="K125" s="325">
        <v>58365.775087181937</v>
      </c>
      <c r="L125" s="325">
        <v>54019.516852220178</v>
      </c>
      <c r="M125" s="325">
        <v>60594.132782283079</v>
      </c>
      <c r="N125" s="325">
        <v>50035.59003257232</v>
      </c>
      <c r="O125" s="325">
        <v>52799.824480453433</v>
      </c>
      <c r="P125" s="325"/>
      <c r="Q125" s="326"/>
      <c r="R125" s="374"/>
      <c r="S125" s="324"/>
      <c r="T125" s="325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25"/>
      <c r="AE125" s="325"/>
      <c r="AF125" s="326"/>
      <c r="AG125" s="374"/>
      <c r="AH125" s="324"/>
      <c r="AI125" s="325"/>
      <c r="AJ125" s="325"/>
      <c r="AK125" s="325"/>
      <c r="AL125" s="325"/>
      <c r="AM125" s="325"/>
      <c r="AN125" s="325"/>
      <c r="AO125" s="325"/>
      <c r="AP125" s="325"/>
      <c r="AQ125" s="325"/>
      <c r="AR125" s="325"/>
      <c r="AS125" s="325"/>
      <c r="AT125" s="325"/>
      <c r="AU125" s="326"/>
      <c r="AV125" s="374"/>
      <c r="AW125" s="2027"/>
      <c r="AX125" s="325"/>
      <c r="AY125" s="325"/>
      <c r="AZ125" s="325"/>
      <c r="BA125" s="325">
        <v>44327.920031069298</v>
      </c>
      <c r="BB125" s="325">
        <v>44310.632893106987</v>
      </c>
      <c r="BC125" s="325">
        <v>43294.755026469327</v>
      </c>
      <c r="BD125" s="325">
        <v>44922.838132835765</v>
      </c>
      <c r="BE125" s="325">
        <v>45487.467479966144</v>
      </c>
      <c r="BF125" s="325">
        <v>47134.692012439002</v>
      </c>
      <c r="BG125" s="325">
        <v>47805.459406573966</v>
      </c>
      <c r="BH125" s="325">
        <v>48000.893162396358</v>
      </c>
      <c r="BI125" s="325">
        <f t="shared" si="108"/>
        <v>45660.5822681071</v>
      </c>
      <c r="BJ125" s="326">
        <f t="shared" si="109"/>
        <v>45660.5822681071</v>
      </c>
      <c r="BL125" s="317">
        <f>ROW()</f>
        <v>125</v>
      </c>
      <c r="BM125" s="317">
        <f t="shared" si="87"/>
        <v>48000.893162396358</v>
      </c>
      <c r="BN125" s="317">
        <f t="shared" si="107"/>
        <v>45660.5822681071</v>
      </c>
      <c r="BO125" s="317">
        <f t="shared" si="88"/>
        <v>45660.5822681071</v>
      </c>
      <c r="BP125" s="594">
        <f t="shared" si="89"/>
        <v>195.43375582239241</v>
      </c>
    </row>
    <row r="126" spans="1:72" ht="17.399999999999999" customHeight="1" x14ac:dyDescent="0.55000000000000004">
      <c r="A126" s="7222"/>
      <c r="B126" s="232"/>
      <c r="C126" s="156" t="s">
        <v>427</v>
      </c>
      <c r="D126" s="324">
        <v>36400.466307695526</v>
      </c>
      <c r="E126" s="325">
        <v>43619.988392384475</v>
      </c>
      <c r="F126" s="325">
        <v>42656.327304022103</v>
      </c>
      <c r="G126" s="325">
        <v>41454.32557835077</v>
      </c>
      <c r="H126" s="325">
        <v>34915.031862625634</v>
      </c>
      <c r="I126" s="325">
        <v>37430.610762476572</v>
      </c>
      <c r="J126" s="325">
        <v>40130.910761680869</v>
      </c>
      <c r="K126" s="325">
        <v>43045.397212077813</v>
      </c>
      <c r="L126" s="325">
        <v>31230.88454905387</v>
      </c>
      <c r="M126" s="325">
        <v>34053.406852662876</v>
      </c>
      <c r="N126" s="325">
        <v>31599.792051487861</v>
      </c>
      <c r="O126" s="325">
        <v>32186.798839222476</v>
      </c>
      <c r="P126" s="325"/>
      <c r="Q126" s="326"/>
      <c r="R126" s="374"/>
      <c r="S126" s="324"/>
      <c r="T126" s="325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25"/>
      <c r="AE126" s="325"/>
      <c r="AF126" s="326"/>
      <c r="AG126" s="374"/>
      <c r="AH126" s="324"/>
      <c r="AI126" s="325"/>
      <c r="AJ126" s="325"/>
      <c r="AK126" s="325"/>
      <c r="AL126" s="325"/>
      <c r="AM126" s="325"/>
      <c r="AN126" s="325"/>
      <c r="AO126" s="325"/>
      <c r="AP126" s="325"/>
      <c r="AQ126" s="325"/>
      <c r="AR126" s="325"/>
      <c r="AS126" s="325"/>
      <c r="AT126" s="325"/>
      <c r="AU126" s="326"/>
      <c r="AV126" s="374"/>
      <c r="AW126" s="2027"/>
      <c r="AX126" s="325"/>
      <c r="AY126" s="325"/>
      <c r="AZ126" s="325"/>
      <c r="BA126" s="325"/>
      <c r="BB126" s="325"/>
      <c r="BC126" s="325"/>
      <c r="BD126" s="325"/>
      <c r="BE126" s="325"/>
      <c r="BF126" s="325"/>
      <c r="BG126" s="325"/>
      <c r="BH126" s="325"/>
      <c r="BI126" s="325"/>
      <c r="BJ126" s="326"/>
      <c r="BL126" s="317">
        <f>ROW()</f>
        <v>126</v>
      </c>
      <c r="BM126" s="317">
        <f t="shared" si="87"/>
        <v>0</v>
      </c>
      <c r="BN126" s="317">
        <f t="shared" si="107"/>
        <v>0</v>
      </c>
      <c r="BO126" s="317">
        <f t="shared" si="88"/>
        <v>0</v>
      </c>
      <c r="BP126" s="594">
        <f t="shared" si="89"/>
        <v>0</v>
      </c>
    </row>
    <row r="127" spans="1:72" ht="17.399999999999999" customHeight="1" thickBot="1" x14ac:dyDescent="0.6">
      <c r="A127" s="7223"/>
      <c r="B127" s="233"/>
      <c r="C127" s="216" t="s">
        <v>428</v>
      </c>
      <c r="D127" s="327">
        <v>64296.936521739313</v>
      </c>
      <c r="E127" s="328">
        <v>66945.957931034325</v>
      </c>
      <c r="F127" s="328">
        <v>66971.391551459252</v>
      </c>
      <c r="G127" s="328">
        <v>66925.575733333317</v>
      </c>
      <c r="H127" s="328">
        <v>64492.667667356778</v>
      </c>
      <c r="I127" s="328">
        <v>64408.298130511452</v>
      </c>
      <c r="J127" s="328">
        <v>62882.591878009625</v>
      </c>
      <c r="K127" s="328">
        <v>67673.686115970282</v>
      </c>
      <c r="L127" s="328">
        <v>64049.659634766511</v>
      </c>
      <c r="M127" s="328">
        <v>64892.250643402382</v>
      </c>
      <c r="N127" s="328">
        <v>66920.997009602026</v>
      </c>
      <c r="O127" s="328">
        <v>68880.624493797688</v>
      </c>
      <c r="P127" s="328"/>
      <c r="Q127" s="329"/>
      <c r="R127" s="374"/>
      <c r="S127" s="327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9"/>
      <c r="AG127" s="374"/>
      <c r="AH127" s="327"/>
      <c r="AI127" s="328"/>
      <c r="AJ127" s="328"/>
      <c r="AK127" s="328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9"/>
      <c r="AV127" s="374"/>
      <c r="AW127" s="2028"/>
      <c r="AX127" s="328"/>
      <c r="AY127" s="328"/>
      <c r="AZ127" s="328"/>
      <c r="BA127" s="328"/>
      <c r="BB127" s="328"/>
      <c r="BC127" s="328"/>
      <c r="BD127" s="328"/>
      <c r="BE127" s="328"/>
      <c r="BF127" s="328"/>
      <c r="BG127" s="328"/>
      <c r="BH127" s="328"/>
      <c r="BI127" s="328"/>
      <c r="BJ127" s="329"/>
      <c r="BL127" s="317">
        <f>ROW()</f>
        <v>127</v>
      </c>
      <c r="BM127" s="317">
        <f t="shared" si="87"/>
        <v>0</v>
      </c>
      <c r="BN127" s="317">
        <f t="shared" si="107"/>
        <v>0</v>
      </c>
      <c r="BO127" s="317">
        <f t="shared" si="88"/>
        <v>0</v>
      </c>
      <c r="BP127" s="594">
        <f t="shared" si="89"/>
        <v>0</v>
      </c>
    </row>
    <row r="128" spans="1:72" s="1" customFormat="1" ht="6" customHeight="1" x14ac:dyDescent="0.55000000000000004">
      <c r="B128" s="47"/>
      <c r="C128" s="33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2266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2266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029"/>
      <c r="AR128" s="171"/>
      <c r="AS128" s="171"/>
      <c r="AT128" s="171"/>
      <c r="AU128" s="171"/>
      <c r="AV128" s="2266"/>
      <c r="AW128" s="2007"/>
      <c r="AX128" s="171"/>
      <c r="AY128" s="1029"/>
      <c r="AZ128" s="171"/>
      <c r="BA128" s="1029"/>
      <c r="BB128" s="1029"/>
      <c r="BC128" s="171"/>
      <c r="BD128" s="171"/>
      <c r="BE128" s="171"/>
      <c r="BF128" s="1029"/>
      <c r="BG128" s="171"/>
      <c r="BH128" s="171"/>
      <c r="BI128" s="171"/>
      <c r="BJ128" s="171"/>
      <c r="BL128" s="317">
        <f>ROW()</f>
        <v>128</v>
      </c>
      <c r="BM128" s="317">
        <f t="shared" si="87"/>
        <v>0</v>
      </c>
      <c r="BN128" s="317">
        <f t="shared" si="107"/>
        <v>0</v>
      </c>
      <c r="BO128" s="317">
        <f t="shared" si="88"/>
        <v>0</v>
      </c>
      <c r="BP128" s="594">
        <f t="shared" si="89"/>
        <v>0</v>
      </c>
      <c r="BQ128"/>
      <c r="BR128"/>
      <c r="BS128"/>
      <c r="BT128"/>
    </row>
    <row r="129" spans="1:72" hidden="1" x14ac:dyDescent="0.55000000000000004">
      <c r="A129" s="7221" t="s">
        <v>98</v>
      </c>
      <c r="B129" s="41" t="s">
        <v>435</v>
      </c>
      <c r="C129" s="206"/>
      <c r="D129" s="375">
        <f>D130/D131</f>
        <v>1.0042033353599424</v>
      </c>
      <c r="E129" s="376">
        <f t="shared" ref="E129:P129" si="110">E130/E131</f>
        <v>1.0489383684535605</v>
      </c>
      <c r="F129" s="376">
        <f t="shared" si="110"/>
        <v>1.0240425506720996</v>
      </c>
      <c r="G129" s="376">
        <f t="shared" si="110"/>
        <v>1.0529794467245837</v>
      </c>
      <c r="H129" s="376">
        <f t="shared" si="110"/>
        <v>1.0732229068404724</v>
      </c>
      <c r="I129" s="376">
        <f t="shared" si="110"/>
        <v>1.1158564546069991</v>
      </c>
      <c r="J129" s="376">
        <f t="shared" si="110"/>
        <v>1.0246299640002663</v>
      </c>
      <c r="K129" s="376">
        <f t="shared" si="110"/>
        <v>1.1611674782189148</v>
      </c>
      <c r="L129" s="376">
        <f t="shared" si="110"/>
        <v>1.0937465513668472</v>
      </c>
      <c r="M129" s="376">
        <f t="shared" si="110"/>
        <v>1.1566072638148421</v>
      </c>
      <c r="N129" s="376">
        <f t="shared" si="110"/>
        <v>1.0475079778838698</v>
      </c>
      <c r="O129" s="376">
        <f t="shared" si="110"/>
        <v>0.9928872072151298</v>
      </c>
      <c r="P129" s="376">
        <f t="shared" si="110"/>
        <v>1.0690735963713687</v>
      </c>
      <c r="Q129" s="377">
        <f>P129</f>
        <v>1.0690735963713687</v>
      </c>
      <c r="R129" s="378"/>
      <c r="S129" s="375">
        <f t="shared" ref="S129:AE129" si="111">S130/S131</f>
        <v>1.0224312874397989</v>
      </c>
      <c r="T129" s="376">
        <f t="shared" si="111"/>
        <v>1.0727506409238561</v>
      </c>
      <c r="U129" s="376">
        <f t="shared" si="111"/>
        <v>1.0266659099970559</v>
      </c>
      <c r="V129" s="376">
        <f t="shared" si="111"/>
        <v>1.0814911645695313</v>
      </c>
      <c r="W129" s="376">
        <f t="shared" si="111"/>
        <v>1.0620834803763346</v>
      </c>
      <c r="X129" s="376">
        <f t="shared" si="111"/>
        <v>1.0033935415001363</v>
      </c>
      <c r="Y129" s="376">
        <f t="shared" si="111"/>
        <v>0.94112986463415904</v>
      </c>
      <c r="Z129" s="376">
        <f t="shared" si="111"/>
        <v>1.1102915455290032</v>
      </c>
      <c r="AA129" s="376">
        <f t="shared" si="111"/>
        <v>0.97841789207567231</v>
      </c>
      <c r="AB129" s="376">
        <f t="shared" si="111"/>
        <v>1.0614991415621882</v>
      </c>
      <c r="AC129" s="376">
        <f t="shared" si="111"/>
        <v>0.96720045057262072</v>
      </c>
      <c r="AD129" s="376">
        <f t="shared" si="111"/>
        <v>0.91090044131953918</v>
      </c>
      <c r="AE129" s="376">
        <f t="shared" si="111"/>
        <v>1.023857159509433</v>
      </c>
      <c r="AF129" s="377">
        <f>AE129</f>
        <v>1.023857159509433</v>
      </c>
      <c r="AG129" s="378"/>
      <c r="AH129" s="375">
        <v>1.059310739227495</v>
      </c>
      <c r="AI129" s="376">
        <v>0.95700539014538322</v>
      </c>
      <c r="AJ129" s="376">
        <v>0.99638416370071847</v>
      </c>
      <c r="AK129" s="376">
        <v>1.0242104808546983</v>
      </c>
      <c r="AL129" s="376">
        <v>1.0228015375290502</v>
      </c>
      <c r="AM129" s="376">
        <v>0.99631254818697945</v>
      </c>
      <c r="AN129" s="376">
        <v>1.1015986838922469</v>
      </c>
      <c r="AO129" s="376">
        <v>1.0272000501408662</v>
      </c>
      <c r="AP129" s="376">
        <v>1.0888416613570786</v>
      </c>
      <c r="AQ129" s="376">
        <v>1.0212692174468303</v>
      </c>
      <c r="AR129" s="376">
        <v>0.96720045057262072</v>
      </c>
      <c r="AS129" s="376">
        <v>0.95262156758550331</v>
      </c>
      <c r="AT129" s="376">
        <f>AT130/AT131</f>
        <v>1.022415893079917</v>
      </c>
      <c r="AU129" s="377">
        <f>AT129</f>
        <v>1.022415893079917</v>
      </c>
      <c r="AV129" s="378"/>
      <c r="AW129" s="2029"/>
      <c r="AX129" s="376"/>
      <c r="AY129" s="376"/>
      <c r="AZ129" s="376"/>
      <c r="BA129" s="376"/>
      <c r="BB129" s="376"/>
      <c r="BC129" s="376"/>
      <c r="BD129" s="376"/>
      <c r="BE129" s="376"/>
      <c r="BF129" s="376"/>
      <c r="BG129" s="376"/>
      <c r="BH129" s="376"/>
      <c r="BI129" s="376" t="e">
        <f>BI130/BI131</f>
        <v>#DIV/0!</v>
      </c>
      <c r="BJ129" s="377" t="e">
        <f>BI129</f>
        <v>#DIV/0!</v>
      </c>
      <c r="BL129" s="317">
        <f>ROW()</f>
        <v>129</v>
      </c>
      <c r="BM129" s="317">
        <f t="shared" si="87"/>
        <v>-0.95262156758550331</v>
      </c>
      <c r="BN129" s="317" t="e">
        <f t="shared" si="60"/>
        <v>#DIV/0!</v>
      </c>
      <c r="BO129" s="317" t="e">
        <f t="shared" si="88"/>
        <v>#DIV/0!</v>
      </c>
      <c r="BP129" s="594">
        <f t="shared" si="89"/>
        <v>0</v>
      </c>
    </row>
    <row r="130" spans="1:72" hidden="1" x14ac:dyDescent="0.55000000000000004">
      <c r="A130" s="7222"/>
      <c r="B130" s="42"/>
      <c r="C130" s="207" t="s">
        <v>436</v>
      </c>
      <c r="D130" s="379">
        <f>D132</f>
        <v>2045075360.3610036</v>
      </c>
      <c r="E130" s="380">
        <f t="shared" ref="E130:O130" si="112">E132</f>
        <v>2211562637.3829989</v>
      </c>
      <c r="F130" s="380">
        <f t="shared" si="112"/>
        <v>2099110877.9499984</v>
      </c>
      <c r="G130" s="380">
        <f t="shared" si="112"/>
        <v>2030095441.1690056</v>
      </c>
      <c r="H130" s="380">
        <f t="shared" si="112"/>
        <v>2009503833.1239994</v>
      </c>
      <c r="I130" s="380">
        <f t="shared" si="112"/>
        <v>2116991883.4579973</v>
      </c>
      <c r="J130" s="380">
        <f t="shared" si="112"/>
        <v>1948607814.7209916</v>
      </c>
      <c r="K130" s="380">
        <f t="shared" si="112"/>
        <v>2712295749.5530033</v>
      </c>
      <c r="L130" s="380">
        <f t="shared" si="112"/>
        <v>1947255846.5699992</v>
      </c>
      <c r="M130" s="380">
        <f t="shared" si="112"/>
        <v>3039475730.0650015</v>
      </c>
      <c r="N130" s="380">
        <f t="shared" si="112"/>
        <v>2252664305.0960011</v>
      </c>
      <c r="O130" s="380">
        <f t="shared" si="112"/>
        <v>2043532827.2199988</v>
      </c>
      <c r="P130" s="380">
        <f t="shared" ref="P130:P137" si="113">SUM(D130:O130)</f>
        <v>26456172306.669998</v>
      </c>
      <c r="Q130" s="381">
        <f t="shared" ref="Q130:Q137" si="114">P130/12</f>
        <v>2204681025.5558333</v>
      </c>
      <c r="R130" s="382"/>
      <c r="S130" s="379">
        <f>S132</f>
        <v>2146434999.8200021</v>
      </c>
      <c r="T130" s="380">
        <f t="shared" ref="T130:AD130" si="115">T132</f>
        <v>2783777096.2589931</v>
      </c>
      <c r="U130" s="380">
        <f t="shared" si="115"/>
        <v>2218001921.2099972</v>
      </c>
      <c r="V130" s="380">
        <f t="shared" si="115"/>
        <v>2044851598.5689988</v>
      </c>
      <c r="W130" s="380">
        <f t="shared" si="115"/>
        <v>2194413551.9740052</v>
      </c>
      <c r="X130" s="380">
        <f t="shared" si="115"/>
        <v>2181068489.3159957</v>
      </c>
      <c r="Y130" s="380">
        <f t="shared" si="115"/>
        <v>2190930319.7789993</v>
      </c>
      <c r="Z130" s="380">
        <f t="shared" si="115"/>
        <v>3067910423.1840019</v>
      </c>
      <c r="AA130" s="380">
        <f t="shared" si="115"/>
        <v>1726380939.471</v>
      </c>
      <c r="AB130" s="380">
        <f t="shared" si="115"/>
        <v>3224598063.0719986</v>
      </c>
      <c r="AC130" s="380">
        <f t="shared" si="115"/>
        <v>2077823853.2640009</v>
      </c>
      <c r="AD130" s="380">
        <f t="shared" si="115"/>
        <v>1871903319.1970003</v>
      </c>
      <c r="AE130" s="380">
        <f t="shared" ref="AE130:AE137" si="116">SUM(S130:AD130)</f>
        <v>27728094575.11499</v>
      </c>
      <c r="AF130" s="381">
        <f t="shared" ref="AF130:AF137" si="117">AE130/12</f>
        <v>2310674547.926249</v>
      </c>
      <c r="AG130" s="382"/>
      <c r="AH130" s="379">
        <v>3324011751.1559978</v>
      </c>
      <c r="AI130" s="380">
        <v>2350373145.7179999</v>
      </c>
      <c r="AJ130" s="380">
        <v>2219992674.5770006</v>
      </c>
      <c r="AK130" s="380">
        <v>2188192175.6050005</v>
      </c>
      <c r="AL130" s="380">
        <v>2193287703.9849997</v>
      </c>
      <c r="AM130" s="380">
        <v>1978367034.7059989</v>
      </c>
      <c r="AN130" s="380">
        <v>2970511739.7090006</v>
      </c>
      <c r="AO130" s="380">
        <v>2142165356.799005</v>
      </c>
      <c r="AP130" s="380">
        <v>3214134666.9460063</v>
      </c>
      <c r="AQ130" s="380">
        <v>2693030905.0510006</v>
      </c>
      <c r="AR130" s="380">
        <v>2077823853.2640009</v>
      </c>
      <c r="AS130" s="380">
        <v>2018552316</v>
      </c>
      <c r="AT130" s="380">
        <f t="shared" ref="AT130:AT137" si="118">SUM(AH130:AS130)</f>
        <v>29370443323.516014</v>
      </c>
      <c r="AU130" s="381">
        <f>AT130/12</f>
        <v>2447536943.6263347</v>
      </c>
      <c r="AV130" s="382"/>
      <c r="AW130" s="2030"/>
      <c r="AX130" s="380"/>
      <c r="AY130" s="380"/>
      <c r="AZ130" s="380"/>
      <c r="BA130" s="380"/>
      <c r="BB130" s="380"/>
      <c r="BC130" s="380"/>
      <c r="BD130" s="380"/>
      <c r="BE130" s="380"/>
      <c r="BF130" s="380"/>
      <c r="BG130" s="380"/>
      <c r="BH130" s="380"/>
      <c r="BI130" s="380">
        <f t="shared" ref="BI130:BI137" si="119">SUM(AW130:BH130)</f>
        <v>0</v>
      </c>
      <c r="BJ130" s="381">
        <f t="shared" ref="BJ130:BJ137" si="120">BI130/$A$2</f>
        <v>0</v>
      </c>
      <c r="BL130" s="317">
        <f>ROW()</f>
        <v>130</v>
      </c>
      <c r="BM130" s="317">
        <f t="shared" si="87"/>
        <v>-2018552316</v>
      </c>
      <c r="BN130" s="317">
        <f t="shared" si="60"/>
        <v>-2447536943.6263347</v>
      </c>
      <c r="BO130" s="317">
        <f t="shared" si="88"/>
        <v>-29370443323.516014</v>
      </c>
      <c r="BP130" s="594">
        <f t="shared" si="89"/>
        <v>0</v>
      </c>
    </row>
    <row r="131" spans="1:72" hidden="1" x14ac:dyDescent="0.55000000000000004">
      <c r="A131" s="7222"/>
      <c r="B131" s="42"/>
      <c r="C131" s="207" t="s">
        <v>437</v>
      </c>
      <c r="D131" s="379">
        <f>D135</f>
        <v>2036515203.9929996</v>
      </c>
      <c r="E131" s="380">
        <f t="shared" ref="E131:O131" si="121">E135</f>
        <v>2108381868.6540031</v>
      </c>
      <c r="F131" s="380">
        <f t="shared" si="121"/>
        <v>2049827789.452997</v>
      </c>
      <c r="G131" s="380">
        <f t="shared" si="121"/>
        <v>1927953529.8470035</v>
      </c>
      <c r="H131" s="380">
        <f t="shared" si="121"/>
        <v>1872401176.2289929</v>
      </c>
      <c r="I131" s="380">
        <f t="shared" si="121"/>
        <v>1897190158.0330014</v>
      </c>
      <c r="J131" s="380">
        <f t="shared" si="121"/>
        <v>1901767353.2729959</v>
      </c>
      <c r="K131" s="380">
        <f t="shared" si="121"/>
        <v>2335835097.374002</v>
      </c>
      <c r="L131" s="380">
        <f t="shared" si="121"/>
        <v>1780353816.0980053</v>
      </c>
      <c r="M131" s="380">
        <f t="shared" si="121"/>
        <v>2627923777.7219963</v>
      </c>
      <c r="N131" s="380">
        <f t="shared" si="121"/>
        <v>2150498471.2829928</v>
      </c>
      <c r="O131" s="380">
        <f t="shared" si="121"/>
        <v>2058172179.4479971</v>
      </c>
      <c r="P131" s="380">
        <f t="shared" si="113"/>
        <v>24746820421.406986</v>
      </c>
      <c r="Q131" s="381">
        <f t="shared" si="114"/>
        <v>2062235035.1172488</v>
      </c>
      <c r="R131" s="382"/>
      <c r="S131" s="379">
        <f>S135</f>
        <v>2099344010.8769999</v>
      </c>
      <c r="T131" s="380">
        <f t="shared" ref="T131:AD131" si="122">T135</f>
        <v>2594989916.6329985</v>
      </c>
      <c r="U131" s="380">
        <f t="shared" si="122"/>
        <v>2160393073.9419971</v>
      </c>
      <c r="V131" s="380">
        <f t="shared" si="122"/>
        <v>1890770507.9429994</v>
      </c>
      <c r="W131" s="380">
        <f t="shared" si="122"/>
        <v>2066140367.0420003</v>
      </c>
      <c r="X131" s="380">
        <f t="shared" si="122"/>
        <v>2173691975.3889999</v>
      </c>
      <c r="Y131" s="380">
        <f t="shared" si="122"/>
        <v>2327978743.5399995</v>
      </c>
      <c r="Z131" s="380">
        <f t="shared" si="122"/>
        <v>2763157510.7800021</v>
      </c>
      <c r="AA131" s="380">
        <f t="shared" si="122"/>
        <v>1764461743.241996</v>
      </c>
      <c r="AB131" s="380">
        <f t="shared" si="122"/>
        <v>3037777362.9910045</v>
      </c>
      <c r="AC131" s="380">
        <f t="shared" si="122"/>
        <v>2148286688.6940007</v>
      </c>
      <c r="AD131" s="380">
        <f t="shared" si="122"/>
        <v>2055003197.1500015</v>
      </c>
      <c r="AE131" s="380">
        <f t="shared" si="116"/>
        <v>27081995098.223</v>
      </c>
      <c r="AF131" s="381">
        <f t="shared" si="117"/>
        <v>2256832924.8519168</v>
      </c>
      <c r="AG131" s="382"/>
      <c r="AH131" s="379">
        <v>3137900549.9179983</v>
      </c>
      <c r="AI131" s="380">
        <v>2455966465.7279973</v>
      </c>
      <c r="AJ131" s="380">
        <v>2228048934.791997</v>
      </c>
      <c r="AK131" s="380">
        <v>2136467275.5339954</v>
      </c>
      <c r="AL131" s="380">
        <v>2144392263.3159952</v>
      </c>
      <c r="AM131" s="380">
        <v>1985689167.8280015</v>
      </c>
      <c r="AN131" s="380">
        <v>2696546195.2200027</v>
      </c>
      <c r="AO131" s="380">
        <v>2085441250.2269998</v>
      </c>
      <c r="AP131" s="380">
        <v>2951884356.5740008</v>
      </c>
      <c r="AQ131" s="380">
        <v>2636945145.3589964</v>
      </c>
      <c r="AR131" s="380">
        <v>2148286688.6940007</v>
      </c>
      <c r="AS131" s="380">
        <v>2118944589</v>
      </c>
      <c r="AT131" s="380">
        <f t="shared" si="118"/>
        <v>28726512882.189987</v>
      </c>
      <c r="AU131" s="381">
        <f t="shared" ref="AU131:AU137" si="123">AT131/12</f>
        <v>2393876073.5158324</v>
      </c>
      <c r="AV131" s="382"/>
      <c r="AW131" s="2030"/>
      <c r="AX131" s="380"/>
      <c r="AY131" s="380"/>
      <c r="AZ131" s="380"/>
      <c r="BA131" s="380"/>
      <c r="BB131" s="380"/>
      <c r="BC131" s="380"/>
      <c r="BD131" s="380"/>
      <c r="BE131" s="380"/>
      <c r="BF131" s="380"/>
      <c r="BG131" s="380"/>
      <c r="BH131" s="380"/>
      <c r="BI131" s="380">
        <f t="shared" si="119"/>
        <v>0</v>
      </c>
      <c r="BJ131" s="381">
        <f t="shared" si="120"/>
        <v>0</v>
      </c>
      <c r="BL131" s="317">
        <f>ROW()</f>
        <v>131</v>
      </c>
      <c r="BM131" s="317">
        <f t="shared" si="87"/>
        <v>-2118944589</v>
      </c>
      <c r="BN131" s="317">
        <f t="shared" si="60"/>
        <v>-2393876073.5158324</v>
      </c>
      <c r="BO131" s="317">
        <f t="shared" si="88"/>
        <v>-28726512882.189987</v>
      </c>
      <c r="BP131" s="594">
        <f t="shared" si="89"/>
        <v>0</v>
      </c>
    </row>
    <row r="132" spans="1:72" hidden="1" x14ac:dyDescent="0.55000000000000004">
      <c r="A132" s="7222"/>
      <c r="B132" s="234" t="s">
        <v>438</v>
      </c>
      <c r="C132" s="219"/>
      <c r="D132" s="383">
        <f>D133+D134</f>
        <v>2045075360.3610036</v>
      </c>
      <c r="E132" s="384">
        <f t="shared" ref="E132:O132" si="124">E133+E134</f>
        <v>2211562637.3829989</v>
      </c>
      <c r="F132" s="384">
        <f t="shared" si="124"/>
        <v>2099110877.9499984</v>
      </c>
      <c r="G132" s="384">
        <f t="shared" si="124"/>
        <v>2030095441.1690056</v>
      </c>
      <c r="H132" s="384">
        <f t="shared" si="124"/>
        <v>2009503833.1239994</v>
      </c>
      <c r="I132" s="384">
        <f t="shared" si="124"/>
        <v>2116991883.4579973</v>
      </c>
      <c r="J132" s="384">
        <f t="shared" si="124"/>
        <v>1948607814.7209916</v>
      </c>
      <c r="K132" s="384">
        <f t="shared" si="124"/>
        <v>2712295749.5530033</v>
      </c>
      <c r="L132" s="384">
        <f t="shared" si="124"/>
        <v>1947255846.5699992</v>
      </c>
      <c r="M132" s="384">
        <f t="shared" si="124"/>
        <v>3039475730.0650015</v>
      </c>
      <c r="N132" s="384">
        <f t="shared" si="124"/>
        <v>2252664305.0960011</v>
      </c>
      <c r="O132" s="384">
        <f t="shared" si="124"/>
        <v>2043532827.2199988</v>
      </c>
      <c r="P132" s="384">
        <f t="shared" si="113"/>
        <v>26456172306.669998</v>
      </c>
      <c r="Q132" s="385">
        <f t="shared" si="114"/>
        <v>2204681025.5558333</v>
      </c>
      <c r="R132" s="382"/>
      <c r="S132" s="383">
        <f t="shared" ref="S132:AD132" si="125">S133+S134</f>
        <v>2146434999.8200021</v>
      </c>
      <c r="T132" s="384">
        <f t="shared" si="125"/>
        <v>2783777096.2589931</v>
      </c>
      <c r="U132" s="384">
        <f t="shared" si="125"/>
        <v>2218001921.2099972</v>
      </c>
      <c r="V132" s="384">
        <f t="shared" si="125"/>
        <v>2044851598.5689988</v>
      </c>
      <c r="W132" s="384">
        <f t="shared" si="125"/>
        <v>2194413551.9740052</v>
      </c>
      <c r="X132" s="384">
        <f t="shared" si="125"/>
        <v>2181068489.3159957</v>
      </c>
      <c r="Y132" s="384">
        <f t="shared" si="125"/>
        <v>2190930319.7789993</v>
      </c>
      <c r="Z132" s="384">
        <f t="shared" si="125"/>
        <v>3067910423.1840019</v>
      </c>
      <c r="AA132" s="384">
        <f t="shared" si="125"/>
        <v>1726380939.471</v>
      </c>
      <c r="AB132" s="384">
        <f t="shared" si="125"/>
        <v>3224598063.0719986</v>
      </c>
      <c r="AC132" s="384">
        <f t="shared" si="125"/>
        <v>2077823853.2640009</v>
      </c>
      <c r="AD132" s="384">
        <f t="shared" si="125"/>
        <v>1871903319.1970003</v>
      </c>
      <c r="AE132" s="384">
        <f t="shared" si="116"/>
        <v>27728094575.11499</v>
      </c>
      <c r="AF132" s="385">
        <f t="shared" si="117"/>
        <v>2310674547.926249</v>
      </c>
      <c r="AG132" s="382"/>
      <c r="AH132" s="383">
        <v>3324011751.1559978</v>
      </c>
      <c r="AI132" s="384">
        <v>2350373145.7179999</v>
      </c>
      <c r="AJ132" s="384">
        <v>2219992674.5770006</v>
      </c>
      <c r="AK132" s="384">
        <v>2188192175.6050005</v>
      </c>
      <c r="AL132" s="384">
        <v>2193287703.9849997</v>
      </c>
      <c r="AM132" s="384">
        <v>1978367034.7059989</v>
      </c>
      <c r="AN132" s="384">
        <v>2970511739.7090006</v>
      </c>
      <c r="AO132" s="384">
        <v>2142165356.799005</v>
      </c>
      <c r="AP132" s="384">
        <v>3214134666.9460063</v>
      </c>
      <c r="AQ132" s="384">
        <v>2693030905.0510006</v>
      </c>
      <c r="AR132" s="384">
        <v>2077823853.2640009</v>
      </c>
      <c r="AS132" s="384">
        <v>2018552316</v>
      </c>
      <c r="AT132" s="384">
        <f t="shared" si="118"/>
        <v>29370443323.516014</v>
      </c>
      <c r="AU132" s="385">
        <f t="shared" si="123"/>
        <v>2447536943.6263347</v>
      </c>
      <c r="AV132" s="382"/>
      <c r="AW132" s="2031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>
        <f t="shared" si="119"/>
        <v>0</v>
      </c>
      <c r="BJ132" s="385">
        <f t="shared" si="120"/>
        <v>0</v>
      </c>
      <c r="BL132" s="317">
        <f>ROW()</f>
        <v>132</v>
      </c>
      <c r="BM132" s="317">
        <f t="shared" ref="BM132:BM137" si="126">HLOOKUP($A$2,$AW$2:$BH$411,ROW()-1,0)-HLOOKUP($A$2,$AH$2:$AS$411,ROW()-1,0)</f>
        <v>-2018552316</v>
      </c>
      <c r="BN132" s="317">
        <f t="shared" si="60"/>
        <v>-2447536943.6263347</v>
      </c>
      <c r="BO132" s="317">
        <f t="shared" ref="BO132:BO137" si="127">BI132-SUM(AH132:AS132)</f>
        <v>-29370443323.516014</v>
      </c>
      <c r="BP132" s="594">
        <f t="shared" ref="BP132:BP137" si="128">HLOOKUP($A$2,$AW$2:$BH$520,ROW()-1,0)-HLOOKUP($A$2-1,$AW$2:$BH$520,ROW()-1,1)</f>
        <v>0</v>
      </c>
    </row>
    <row r="133" spans="1:72" hidden="1" x14ac:dyDescent="0.55000000000000004">
      <c r="A133" s="7222"/>
      <c r="B133" s="235"/>
      <c r="C133" s="198" t="s">
        <v>19</v>
      </c>
      <c r="D133" s="386">
        <v>1773386406.5400035</v>
      </c>
      <c r="E133" s="387">
        <v>1806185111.444999</v>
      </c>
      <c r="F133" s="387">
        <v>1689762266.9579983</v>
      </c>
      <c r="G133" s="387">
        <v>1660676850.9200058</v>
      </c>
      <c r="H133" s="387">
        <v>1661514750.6439996</v>
      </c>
      <c r="I133" s="387">
        <v>1798667725.9289973</v>
      </c>
      <c r="J133" s="387">
        <v>1640298214.2199917</v>
      </c>
      <c r="K133" s="387">
        <v>2244254780.7960033</v>
      </c>
      <c r="L133" s="387">
        <v>1579591749.3019991</v>
      </c>
      <c r="M133" s="387">
        <v>2267911918.8040013</v>
      </c>
      <c r="N133" s="387">
        <v>1811648223.138001</v>
      </c>
      <c r="O133" s="387">
        <v>1674355246.6959989</v>
      </c>
      <c r="P133" s="387">
        <f t="shared" si="113"/>
        <v>21608253245.391998</v>
      </c>
      <c r="Q133" s="388">
        <f t="shared" si="114"/>
        <v>1800687770.4493332</v>
      </c>
      <c r="R133" s="382"/>
      <c r="S133" s="386">
        <v>1785962679.9930019</v>
      </c>
      <c r="T133" s="387">
        <v>2344608612.3169932</v>
      </c>
      <c r="U133" s="387">
        <v>1874144364.054997</v>
      </c>
      <c r="V133" s="387">
        <v>1716996000.6719987</v>
      </c>
      <c r="W133" s="387">
        <v>1786460199.4980052</v>
      </c>
      <c r="X133" s="387">
        <v>1779732082.6469958</v>
      </c>
      <c r="Y133" s="387">
        <v>1723770319.0559993</v>
      </c>
      <c r="Z133" s="387">
        <v>2492847412.9780021</v>
      </c>
      <c r="AA133" s="387">
        <v>1418906996.1049998</v>
      </c>
      <c r="AB133" s="387">
        <v>2254226099.2299981</v>
      </c>
      <c r="AC133" s="387">
        <v>1640111990.3230009</v>
      </c>
      <c r="AD133" s="387">
        <v>1513954481.9620001</v>
      </c>
      <c r="AE133" s="387">
        <f t="shared" si="116"/>
        <v>22331721238.835995</v>
      </c>
      <c r="AF133" s="388">
        <f t="shared" si="117"/>
        <v>1860976769.9029996</v>
      </c>
      <c r="AG133" s="382"/>
      <c r="AH133" s="386">
        <v>2629987757.9769979</v>
      </c>
      <c r="AI133" s="387">
        <v>1750037720.5179999</v>
      </c>
      <c r="AJ133" s="387">
        <v>1709728853.2630005</v>
      </c>
      <c r="AK133" s="387">
        <v>1637484770.9580004</v>
      </c>
      <c r="AL133" s="387">
        <v>1631238397.3499997</v>
      </c>
      <c r="AM133" s="387">
        <v>1533865913.898999</v>
      </c>
      <c r="AN133" s="387">
        <v>2260900830.2650008</v>
      </c>
      <c r="AO133" s="387">
        <v>1562634320.1460049</v>
      </c>
      <c r="AP133" s="387">
        <v>2016540991.2410061</v>
      </c>
      <c r="AQ133" s="387">
        <v>1658513341.3650002</v>
      </c>
      <c r="AR133" s="387">
        <v>1640111990.3230009</v>
      </c>
      <c r="AS133" s="387">
        <v>1447231028</v>
      </c>
      <c r="AT133" s="387">
        <f t="shared" si="118"/>
        <v>21478275915.305012</v>
      </c>
      <c r="AU133" s="388">
        <f t="shared" si="123"/>
        <v>1789856326.2754176</v>
      </c>
      <c r="AV133" s="382"/>
      <c r="AW133" s="2032"/>
      <c r="AX133" s="387"/>
      <c r="AY133" s="387"/>
      <c r="AZ133" s="387"/>
      <c r="BA133" s="387"/>
      <c r="BB133" s="387"/>
      <c r="BC133" s="387"/>
      <c r="BD133" s="387"/>
      <c r="BE133" s="387"/>
      <c r="BF133" s="387"/>
      <c r="BG133" s="387"/>
      <c r="BH133" s="387"/>
      <c r="BI133" s="387">
        <f t="shared" si="119"/>
        <v>0</v>
      </c>
      <c r="BJ133" s="388">
        <f t="shared" si="120"/>
        <v>0</v>
      </c>
      <c r="BL133" s="317">
        <f>ROW()</f>
        <v>133</v>
      </c>
      <c r="BM133" s="317">
        <f t="shared" si="126"/>
        <v>-1447231028</v>
      </c>
      <c r="BN133" s="317">
        <f t="shared" si="60"/>
        <v>-1789856326.2754176</v>
      </c>
      <c r="BO133" s="317">
        <f t="shared" si="127"/>
        <v>-21478275915.305012</v>
      </c>
      <c r="BP133" s="594">
        <f t="shared" si="128"/>
        <v>0</v>
      </c>
    </row>
    <row r="134" spans="1:72" hidden="1" x14ac:dyDescent="0.55000000000000004">
      <c r="A134" s="7222"/>
      <c r="B134" s="236"/>
      <c r="C134" s="208" t="s">
        <v>954</v>
      </c>
      <c r="D134" s="389">
        <v>271688953.82100004</v>
      </c>
      <c r="E134" s="390">
        <v>405377525.93799996</v>
      </c>
      <c r="F134" s="390">
        <v>409348610.99199998</v>
      </c>
      <c r="G134" s="390">
        <v>369418590.24899983</v>
      </c>
      <c r="H134" s="390">
        <v>347989082.47999984</v>
      </c>
      <c r="I134" s="390">
        <v>318324157.52899992</v>
      </c>
      <c r="J134" s="390">
        <v>308309600.50099999</v>
      </c>
      <c r="K134" s="390">
        <v>468040968.75700021</v>
      </c>
      <c r="L134" s="390">
        <v>367664097.26800001</v>
      </c>
      <c r="M134" s="390">
        <v>771563811.26100004</v>
      </c>
      <c r="N134" s="390">
        <v>441016081.958</v>
      </c>
      <c r="O134" s="390">
        <v>369177580.52400005</v>
      </c>
      <c r="P134" s="390">
        <f t="shared" si="113"/>
        <v>4847919061.2779999</v>
      </c>
      <c r="Q134" s="391">
        <f t="shared" si="114"/>
        <v>403993255.10649997</v>
      </c>
      <c r="R134" s="382"/>
      <c r="S134" s="389">
        <v>360472319.82700008</v>
      </c>
      <c r="T134" s="390">
        <v>439168483.94200009</v>
      </c>
      <c r="U134" s="390">
        <v>343857557.15500003</v>
      </c>
      <c r="V134" s="390">
        <v>327855597.89700007</v>
      </c>
      <c r="W134" s="390">
        <v>407953352.47599995</v>
      </c>
      <c r="X134" s="390">
        <v>401336406.66899997</v>
      </c>
      <c r="Y134" s="390">
        <v>467160000.72299987</v>
      </c>
      <c r="Z134" s="390">
        <v>575063010.20599985</v>
      </c>
      <c r="AA134" s="390">
        <v>307473943.36600024</v>
      </c>
      <c r="AB134" s="390">
        <v>970371963.84200037</v>
      </c>
      <c r="AC134" s="390">
        <v>437711862.94099993</v>
      </c>
      <c r="AD134" s="390">
        <v>357948837.23500007</v>
      </c>
      <c r="AE134" s="390">
        <f t="shared" si="116"/>
        <v>5396373336.2790003</v>
      </c>
      <c r="AF134" s="391">
        <f t="shared" si="117"/>
        <v>449697778.02325004</v>
      </c>
      <c r="AG134" s="382"/>
      <c r="AH134" s="389">
        <v>694023993.17900002</v>
      </c>
      <c r="AI134" s="390">
        <v>600335425.20000005</v>
      </c>
      <c r="AJ134" s="390">
        <v>510263821.31400013</v>
      </c>
      <c r="AK134" s="390">
        <v>550707404.64699996</v>
      </c>
      <c r="AL134" s="390">
        <v>562049306.63499999</v>
      </c>
      <c r="AM134" s="390">
        <v>444501120.80699992</v>
      </c>
      <c r="AN134" s="390">
        <v>709610909.44400001</v>
      </c>
      <c r="AO134" s="390">
        <v>579531036.65300012</v>
      </c>
      <c r="AP134" s="390">
        <v>1197593675.7050002</v>
      </c>
      <c r="AQ134" s="390">
        <v>1034517563.6860002</v>
      </c>
      <c r="AR134" s="390">
        <v>437711862.94099993</v>
      </c>
      <c r="AS134" s="390">
        <v>571321288</v>
      </c>
      <c r="AT134" s="390">
        <f t="shared" si="118"/>
        <v>7892167408.2110004</v>
      </c>
      <c r="AU134" s="391">
        <f t="shared" si="123"/>
        <v>657680617.35091674</v>
      </c>
      <c r="AV134" s="382"/>
      <c r="AW134" s="2033"/>
      <c r="AX134" s="390"/>
      <c r="AY134" s="390"/>
      <c r="AZ134" s="390"/>
      <c r="BA134" s="390"/>
      <c r="BB134" s="390"/>
      <c r="BC134" s="390"/>
      <c r="BD134" s="390"/>
      <c r="BE134" s="390"/>
      <c r="BF134" s="390"/>
      <c r="BG134" s="390"/>
      <c r="BH134" s="390"/>
      <c r="BI134" s="390">
        <f t="shared" si="119"/>
        <v>0</v>
      </c>
      <c r="BJ134" s="391">
        <f t="shared" si="120"/>
        <v>0</v>
      </c>
      <c r="BL134" s="317">
        <f>ROW()</f>
        <v>134</v>
      </c>
      <c r="BM134" s="317">
        <f t="shared" si="126"/>
        <v>-571321288</v>
      </c>
      <c r="BN134" s="317">
        <f t="shared" si="60"/>
        <v>-657680617.35091674</v>
      </c>
      <c r="BO134" s="317">
        <f t="shared" si="127"/>
        <v>-7892167408.2110004</v>
      </c>
      <c r="BP134" s="594">
        <f t="shared" si="128"/>
        <v>0</v>
      </c>
    </row>
    <row r="135" spans="1:72" hidden="1" x14ac:dyDescent="0.55000000000000004">
      <c r="A135" s="7222"/>
      <c r="B135" s="237" t="s">
        <v>439</v>
      </c>
      <c r="C135" s="220"/>
      <c r="D135" s="392">
        <f t="shared" ref="D135:O135" si="129">D136+D137</f>
        <v>2036515203.9929996</v>
      </c>
      <c r="E135" s="393">
        <f t="shared" si="129"/>
        <v>2108381868.6540031</v>
      </c>
      <c r="F135" s="393">
        <f t="shared" si="129"/>
        <v>2049827789.452997</v>
      </c>
      <c r="G135" s="393">
        <f t="shared" si="129"/>
        <v>1927953529.8470035</v>
      </c>
      <c r="H135" s="393">
        <f t="shared" si="129"/>
        <v>1872401176.2289929</v>
      </c>
      <c r="I135" s="393">
        <f t="shared" si="129"/>
        <v>1897190158.0330014</v>
      </c>
      <c r="J135" s="393">
        <f t="shared" si="129"/>
        <v>1901767353.2729959</v>
      </c>
      <c r="K135" s="393">
        <f t="shared" si="129"/>
        <v>2335835097.374002</v>
      </c>
      <c r="L135" s="393">
        <f t="shared" si="129"/>
        <v>1780353816.0980053</v>
      </c>
      <c r="M135" s="393">
        <f t="shared" si="129"/>
        <v>2627923777.7219963</v>
      </c>
      <c r="N135" s="393">
        <f t="shared" si="129"/>
        <v>2150498471.2829928</v>
      </c>
      <c r="O135" s="393">
        <f t="shared" si="129"/>
        <v>2058172179.4479971</v>
      </c>
      <c r="P135" s="393">
        <f t="shared" si="113"/>
        <v>24746820421.406986</v>
      </c>
      <c r="Q135" s="394">
        <f t="shared" si="114"/>
        <v>2062235035.1172488</v>
      </c>
      <c r="R135" s="382"/>
      <c r="S135" s="392">
        <f t="shared" ref="S135:AD135" si="130">S136+S137</f>
        <v>2099344010.8769999</v>
      </c>
      <c r="T135" s="393">
        <f t="shared" si="130"/>
        <v>2594989916.6329985</v>
      </c>
      <c r="U135" s="393">
        <f t="shared" si="130"/>
        <v>2160393073.9419971</v>
      </c>
      <c r="V135" s="393">
        <f t="shared" si="130"/>
        <v>1890770507.9429994</v>
      </c>
      <c r="W135" s="393">
        <f t="shared" si="130"/>
        <v>2066140367.0420003</v>
      </c>
      <c r="X135" s="393">
        <f t="shared" si="130"/>
        <v>2173691975.3889999</v>
      </c>
      <c r="Y135" s="393">
        <f t="shared" si="130"/>
        <v>2327978743.5399995</v>
      </c>
      <c r="Z135" s="393">
        <f t="shared" si="130"/>
        <v>2763157510.7800021</v>
      </c>
      <c r="AA135" s="393">
        <f t="shared" si="130"/>
        <v>1764461743.241996</v>
      </c>
      <c r="AB135" s="393">
        <f t="shared" si="130"/>
        <v>3037777362.9910045</v>
      </c>
      <c r="AC135" s="393">
        <f t="shared" si="130"/>
        <v>2148286688.6940007</v>
      </c>
      <c r="AD135" s="393">
        <f t="shared" si="130"/>
        <v>2055003197.1500015</v>
      </c>
      <c r="AE135" s="393">
        <f t="shared" si="116"/>
        <v>27081995098.223</v>
      </c>
      <c r="AF135" s="394">
        <f t="shared" si="117"/>
        <v>2256832924.8519168</v>
      </c>
      <c r="AG135" s="382"/>
      <c r="AH135" s="392">
        <v>3137900549.9179983</v>
      </c>
      <c r="AI135" s="393">
        <v>2455966465.7279973</v>
      </c>
      <c r="AJ135" s="393">
        <v>2228048934.791997</v>
      </c>
      <c r="AK135" s="393">
        <v>2136467275.5339954</v>
      </c>
      <c r="AL135" s="393">
        <v>2144392263.3159952</v>
      </c>
      <c r="AM135" s="393">
        <v>1985689167.8280015</v>
      </c>
      <c r="AN135" s="393">
        <v>2696546195.2200027</v>
      </c>
      <c r="AO135" s="393">
        <v>2085441250.2269998</v>
      </c>
      <c r="AP135" s="393">
        <v>2951884356.5740008</v>
      </c>
      <c r="AQ135" s="393">
        <v>2636945145.3589964</v>
      </c>
      <c r="AR135" s="393">
        <v>2148286688.6940007</v>
      </c>
      <c r="AS135" s="393">
        <v>2118944589</v>
      </c>
      <c r="AT135" s="393">
        <f t="shared" si="118"/>
        <v>28726512882.189987</v>
      </c>
      <c r="AU135" s="394">
        <f t="shared" si="123"/>
        <v>2393876073.5158324</v>
      </c>
      <c r="AV135" s="382"/>
      <c r="AW135" s="2034"/>
      <c r="AX135" s="393"/>
      <c r="AY135" s="393"/>
      <c r="AZ135" s="393"/>
      <c r="BA135" s="393"/>
      <c r="BB135" s="393"/>
      <c r="BC135" s="393"/>
      <c r="BD135" s="393"/>
      <c r="BE135" s="393"/>
      <c r="BF135" s="393"/>
      <c r="BG135" s="393"/>
      <c r="BH135" s="393"/>
      <c r="BI135" s="393">
        <f t="shared" si="119"/>
        <v>0</v>
      </c>
      <c r="BJ135" s="394">
        <f t="shared" si="120"/>
        <v>0</v>
      </c>
      <c r="BL135" s="317">
        <f>ROW()</f>
        <v>135</v>
      </c>
      <c r="BM135" s="317">
        <f t="shared" si="126"/>
        <v>-2118944589</v>
      </c>
      <c r="BN135" s="317">
        <f t="shared" si="60"/>
        <v>-2393876073.5158324</v>
      </c>
      <c r="BO135" s="317">
        <f t="shared" si="127"/>
        <v>-28726512882.189987</v>
      </c>
      <c r="BP135" s="594">
        <f t="shared" si="128"/>
        <v>0</v>
      </c>
    </row>
    <row r="136" spans="1:72" hidden="1" x14ac:dyDescent="0.55000000000000004">
      <c r="A136" s="7222"/>
      <c r="B136" s="238"/>
      <c r="C136" s="221" t="s">
        <v>19</v>
      </c>
      <c r="D136" s="395">
        <v>1767965313.9149995</v>
      </c>
      <c r="E136" s="396">
        <v>1740546362.6710031</v>
      </c>
      <c r="F136" s="396">
        <v>1672953520.8099971</v>
      </c>
      <c r="G136" s="396">
        <v>1576751548.3980036</v>
      </c>
      <c r="H136" s="396">
        <v>1545594405.7519929</v>
      </c>
      <c r="I136" s="396">
        <v>1602932031.1860015</v>
      </c>
      <c r="J136" s="396">
        <v>1615756063.6429958</v>
      </c>
      <c r="K136" s="396">
        <v>1918787452.407002</v>
      </c>
      <c r="L136" s="396">
        <v>1451258443.6090052</v>
      </c>
      <c r="M136" s="396">
        <v>1965162589.3079967</v>
      </c>
      <c r="N136" s="396">
        <v>1751706940.5059929</v>
      </c>
      <c r="O136" s="396">
        <v>1710750369.6529973</v>
      </c>
      <c r="P136" s="396">
        <f t="shared" si="113"/>
        <v>20320165041.857986</v>
      </c>
      <c r="Q136" s="397">
        <f t="shared" si="114"/>
        <v>1693347086.8214989</v>
      </c>
      <c r="R136" s="382"/>
      <c r="S136" s="395">
        <v>1745642793.4599996</v>
      </c>
      <c r="T136" s="396">
        <v>2186236800.5599985</v>
      </c>
      <c r="U136" s="396">
        <v>1830397744.6959972</v>
      </c>
      <c r="V136" s="396">
        <v>1586072405.9329996</v>
      </c>
      <c r="W136" s="396">
        <v>1679746553.8800001</v>
      </c>
      <c r="X136" s="396">
        <v>1790625002.3270001</v>
      </c>
      <c r="Y136" s="396">
        <v>1867878615.7939997</v>
      </c>
      <c r="Z136" s="396">
        <v>2236411581.3400025</v>
      </c>
      <c r="AA136" s="396">
        <v>1461562104.0009959</v>
      </c>
      <c r="AB136" s="396">
        <v>2099065095.233005</v>
      </c>
      <c r="AC136" s="396">
        <v>1698767790.8640008</v>
      </c>
      <c r="AD136" s="396">
        <v>1687426600.8480017</v>
      </c>
      <c r="AE136" s="396">
        <f t="shared" si="116"/>
        <v>21869833088.936001</v>
      </c>
      <c r="AF136" s="397">
        <f t="shared" si="117"/>
        <v>1822486090.7446668</v>
      </c>
      <c r="AG136" s="382"/>
      <c r="AH136" s="395">
        <v>2459071143.1589985</v>
      </c>
      <c r="AI136" s="396">
        <v>1866698934.8109972</v>
      </c>
      <c r="AJ136" s="396">
        <v>1767582268.1049974</v>
      </c>
      <c r="AK136" s="396">
        <v>1645235310.2799952</v>
      </c>
      <c r="AL136" s="396">
        <v>1673698835.7749951</v>
      </c>
      <c r="AM136" s="396">
        <v>1610930397.1010015</v>
      </c>
      <c r="AN136" s="396">
        <v>2067062625.0190024</v>
      </c>
      <c r="AO136" s="396">
        <v>1582622397.4549994</v>
      </c>
      <c r="AP136" s="396">
        <v>1861872180.6950004</v>
      </c>
      <c r="AQ136" s="396">
        <v>1710643944.1939971</v>
      </c>
      <c r="AR136" s="396">
        <v>1698767790.8640008</v>
      </c>
      <c r="AS136" s="396">
        <v>1563717726</v>
      </c>
      <c r="AT136" s="396">
        <f t="shared" si="118"/>
        <v>21507903553.457989</v>
      </c>
      <c r="AU136" s="397">
        <f t="shared" si="123"/>
        <v>1792325296.1214991</v>
      </c>
      <c r="AV136" s="382"/>
      <c r="AW136" s="2035"/>
      <c r="AX136" s="396"/>
      <c r="AY136" s="396"/>
      <c r="AZ136" s="396"/>
      <c r="BA136" s="396"/>
      <c r="BB136" s="396"/>
      <c r="BC136" s="396"/>
      <c r="BD136" s="396"/>
      <c r="BE136" s="396"/>
      <c r="BF136" s="396"/>
      <c r="BG136" s="396"/>
      <c r="BH136" s="396"/>
      <c r="BI136" s="396">
        <f t="shared" si="119"/>
        <v>0</v>
      </c>
      <c r="BJ136" s="397">
        <f t="shared" si="120"/>
        <v>0</v>
      </c>
      <c r="BL136" s="317">
        <f>ROW()</f>
        <v>136</v>
      </c>
      <c r="BM136" s="317">
        <f t="shared" si="126"/>
        <v>-1563717726</v>
      </c>
      <c r="BN136" s="317">
        <f t="shared" si="60"/>
        <v>-1792325296.1214991</v>
      </c>
      <c r="BO136" s="317">
        <f t="shared" si="127"/>
        <v>-21507903553.457989</v>
      </c>
      <c r="BP136" s="594">
        <f t="shared" si="128"/>
        <v>0</v>
      </c>
    </row>
    <row r="137" spans="1:72" ht="18" hidden="1" thickBot="1" x14ac:dyDescent="0.6">
      <c r="A137" s="7223"/>
      <c r="B137" s="239"/>
      <c r="C137" s="226" t="s">
        <v>954</v>
      </c>
      <c r="D137" s="398">
        <v>268549890.07800013</v>
      </c>
      <c r="E137" s="399">
        <v>367835505.98299992</v>
      </c>
      <c r="F137" s="399">
        <v>376874268.64299995</v>
      </c>
      <c r="G137" s="399">
        <v>351201981.44899994</v>
      </c>
      <c r="H137" s="399">
        <v>326806770.47700006</v>
      </c>
      <c r="I137" s="399">
        <v>294258126.84699994</v>
      </c>
      <c r="J137" s="399">
        <v>286011289.63</v>
      </c>
      <c r="K137" s="399">
        <v>417047644.96699989</v>
      </c>
      <c r="L137" s="399">
        <v>329095372.4890002</v>
      </c>
      <c r="M137" s="399">
        <v>662761188.41399956</v>
      </c>
      <c r="N137" s="399">
        <v>398791530.77699977</v>
      </c>
      <c r="O137" s="399">
        <v>347421809.79499996</v>
      </c>
      <c r="P137" s="399">
        <f t="shared" si="113"/>
        <v>4426655379.5489998</v>
      </c>
      <c r="Q137" s="400">
        <f t="shared" si="114"/>
        <v>368887948.29574996</v>
      </c>
      <c r="R137" s="382"/>
      <c r="S137" s="398">
        <v>353701217.41700017</v>
      </c>
      <c r="T137" s="399">
        <v>408753116.07299978</v>
      </c>
      <c r="U137" s="399">
        <v>329995329.24599999</v>
      </c>
      <c r="V137" s="399">
        <v>304698102.00999987</v>
      </c>
      <c r="W137" s="399">
        <v>386393813.16200012</v>
      </c>
      <c r="X137" s="399">
        <v>383066973.06199992</v>
      </c>
      <c r="Y137" s="399">
        <v>460100127.74599975</v>
      </c>
      <c r="Z137" s="399">
        <v>526745929.43999952</v>
      </c>
      <c r="AA137" s="399">
        <v>302899639.24100012</v>
      </c>
      <c r="AB137" s="399">
        <v>938712267.75799942</v>
      </c>
      <c r="AC137" s="399">
        <v>449518897.8300001</v>
      </c>
      <c r="AD137" s="399">
        <v>367576596.30199975</v>
      </c>
      <c r="AE137" s="399">
        <f t="shared" si="116"/>
        <v>5212162009.2869987</v>
      </c>
      <c r="AF137" s="400">
        <f t="shared" si="117"/>
        <v>434346834.10724992</v>
      </c>
      <c r="AG137" s="382"/>
      <c r="AH137" s="398">
        <v>678829406.75899959</v>
      </c>
      <c r="AI137" s="399">
        <v>589267530.91699994</v>
      </c>
      <c r="AJ137" s="399">
        <v>460466666.6869998</v>
      </c>
      <c r="AK137" s="399">
        <v>491231965.25400013</v>
      </c>
      <c r="AL137" s="399">
        <v>470693427.54100007</v>
      </c>
      <c r="AM137" s="399">
        <v>374758770.72699994</v>
      </c>
      <c r="AN137" s="399">
        <v>629483570.20100009</v>
      </c>
      <c r="AO137" s="399">
        <v>502818852.77200025</v>
      </c>
      <c r="AP137" s="399">
        <v>1090012175.8790004</v>
      </c>
      <c r="AQ137" s="399">
        <v>926301201.16499949</v>
      </c>
      <c r="AR137" s="399">
        <v>449518897.8300001</v>
      </c>
      <c r="AS137" s="399">
        <v>555226863</v>
      </c>
      <c r="AT137" s="399">
        <f t="shared" si="118"/>
        <v>7218609328.7320004</v>
      </c>
      <c r="AU137" s="400">
        <f t="shared" si="123"/>
        <v>601550777.39433336</v>
      </c>
      <c r="AV137" s="382"/>
      <c r="AW137" s="2036"/>
      <c r="AX137" s="399"/>
      <c r="AY137" s="399"/>
      <c r="AZ137" s="399"/>
      <c r="BA137" s="399"/>
      <c r="BB137" s="399"/>
      <c r="BC137" s="399"/>
      <c r="BD137" s="399"/>
      <c r="BE137" s="399"/>
      <c r="BF137" s="399"/>
      <c r="BG137" s="399"/>
      <c r="BH137" s="399"/>
      <c r="BI137" s="399">
        <f t="shared" si="119"/>
        <v>0</v>
      </c>
      <c r="BJ137" s="400">
        <f t="shared" si="120"/>
        <v>0</v>
      </c>
      <c r="BL137" s="317">
        <f>ROW()</f>
        <v>137</v>
      </c>
      <c r="BM137" s="317">
        <f t="shared" si="126"/>
        <v>-555226863</v>
      </c>
      <c r="BN137" s="317">
        <f t="shared" si="60"/>
        <v>-601550777.39433336</v>
      </c>
      <c r="BO137" s="317">
        <f t="shared" si="127"/>
        <v>-7218609328.7320004</v>
      </c>
      <c r="BP137" s="594">
        <f t="shared" si="128"/>
        <v>0</v>
      </c>
    </row>
    <row r="138" spans="1:72" s="8" customFormat="1" ht="7.3" customHeight="1" x14ac:dyDescent="0.55000000000000004">
      <c r="A138" s="186"/>
      <c r="B138" s="240"/>
      <c r="C138" s="222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184"/>
      <c r="S138" s="215"/>
      <c r="T138" s="215"/>
      <c r="U138" s="215"/>
      <c r="V138" s="215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184"/>
      <c r="AH138" s="215"/>
      <c r="AI138" s="215"/>
      <c r="AJ138" s="215"/>
      <c r="AK138" s="215"/>
      <c r="AL138" s="215"/>
      <c r="AM138" s="215"/>
      <c r="AN138" s="215"/>
      <c r="AO138" s="215"/>
      <c r="AP138" s="215"/>
      <c r="AQ138" s="1029"/>
      <c r="AR138" s="215"/>
      <c r="AS138" s="215"/>
      <c r="AT138" s="215"/>
      <c r="AU138" s="215"/>
      <c r="AV138" s="1584"/>
      <c r="AW138" s="2007"/>
      <c r="AX138" s="215"/>
      <c r="AY138" s="1029"/>
      <c r="AZ138" s="215"/>
      <c r="BA138" s="1029"/>
      <c r="BB138" s="1029"/>
      <c r="BC138" s="215"/>
      <c r="BD138" s="215"/>
      <c r="BE138" s="215"/>
      <c r="BF138" s="1029"/>
      <c r="BG138" s="215"/>
      <c r="BH138" s="215"/>
      <c r="BI138" s="215"/>
      <c r="BJ138" s="215"/>
      <c r="BM138" s="908"/>
      <c r="BO138"/>
      <c r="BP138"/>
      <c r="BQ138"/>
      <c r="BR138"/>
      <c r="BS138"/>
      <c r="BT138"/>
    </row>
    <row r="139" spans="1:72" s="225" customFormat="1" ht="10.3" customHeight="1" x14ac:dyDescent="0.55000000000000004">
      <c r="A139" s="187"/>
      <c r="B139" s="241"/>
      <c r="C139" s="223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18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184"/>
      <c r="AH139" s="224"/>
      <c r="AI139" s="224"/>
      <c r="AJ139" s="224"/>
      <c r="AK139" s="224"/>
      <c r="AL139" s="224"/>
      <c r="AM139" s="224"/>
      <c r="AN139" s="224"/>
      <c r="AO139" s="224"/>
      <c r="AP139" s="224"/>
      <c r="AQ139" s="1303"/>
      <c r="AR139" s="224"/>
      <c r="AS139" s="224"/>
      <c r="AT139" s="224"/>
      <c r="AU139" s="224"/>
      <c r="AV139" s="1584"/>
      <c r="AW139" s="2037"/>
      <c r="AX139" s="224"/>
      <c r="AY139" s="1303"/>
      <c r="AZ139" s="224"/>
      <c r="BA139" s="1303"/>
      <c r="BB139" s="1303"/>
      <c r="BC139" s="224"/>
      <c r="BD139" s="224"/>
      <c r="BE139" s="224"/>
      <c r="BF139" s="1303"/>
      <c r="BG139" s="224"/>
      <c r="BH139" s="224"/>
      <c r="BI139" s="224"/>
      <c r="BJ139" s="224"/>
      <c r="BM139" s="1433"/>
      <c r="BO139" s="189"/>
    </row>
    <row r="140" spans="1:72" s="229" customFormat="1" ht="7.75" customHeight="1" thickBot="1" x14ac:dyDescent="0.6">
      <c r="A140" s="227"/>
      <c r="B140" s="242"/>
      <c r="C140" s="228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184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184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1304"/>
      <c r="AR140" s="217"/>
      <c r="AS140" s="217"/>
      <c r="AT140" s="217"/>
      <c r="AU140" s="217"/>
      <c r="AV140" s="1584"/>
      <c r="AW140" s="2038"/>
      <c r="AX140" s="217"/>
      <c r="AY140" s="1304"/>
      <c r="AZ140" s="217"/>
      <c r="BA140" s="1304"/>
      <c r="BB140" s="1304"/>
      <c r="BC140" s="217"/>
      <c r="BD140" s="217"/>
      <c r="BE140" s="217"/>
      <c r="BF140" s="1304"/>
      <c r="BG140" s="217"/>
      <c r="BH140" s="217"/>
      <c r="BI140" s="217"/>
      <c r="BJ140" s="217"/>
      <c r="BM140" s="1434"/>
      <c r="BO140" s="710"/>
    </row>
    <row r="141" spans="1:72" ht="17.399999999999999" customHeight="1" x14ac:dyDescent="0.55000000000000004">
      <c r="A141" s="7221" t="s">
        <v>445</v>
      </c>
      <c r="B141" s="41" t="s">
        <v>440</v>
      </c>
      <c r="C141" s="206"/>
      <c r="D141" s="270">
        <f t="shared" ref="D141:O141" si="131">SUM(D142:D143)</f>
        <v>14203</v>
      </c>
      <c r="E141" s="271">
        <f t="shared" si="131"/>
        <v>14299</v>
      </c>
      <c r="F141" s="271">
        <f t="shared" si="131"/>
        <v>15076</v>
      </c>
      <c r="G141" s="271">
        <f t="shared" si="131"/>
        <v>16761</v>
      </c>
      <c r="H141" s="271">
        <f t="shared" si="131"/>
        <v>17335</v>
      </c>
      <c r="I141" s="271">
        <f t="shared" si="131"/>
        <v>17375</v>
      </c>
      <c r="J141" s="271">
        <f t="shared" si="131"/>
        <v>15519</v>
      </c>
      <c r="K141" s="271">
        <f t="shared" si="131"/>
        <v>17061</v>
      </c>
      <c r="L141" s="271">
        <f t="shared" si="131"/>
        <v>13790</v>
      </c>
      <c r="M141" s="271">
        <f t="shared" si="131"/>
        <v>16266</v>
      </c>
      <c r="N141" s="271">
        <f t="shared" si="131"/>
        <v>14851</v>
      </c>
      <c r="O141" s="271">
        <f t="shared" si="131"/>
        <v>13178</v>
      </c>
      <c r="P141" s="271">
        <f>SUM(D141:O141)</f>
        <v>185714</v>
      </c>
      <c r="Q141" s="272">
        <f>P141/12</f>
        <v>15476.166666666666</v>
      </c>
      <c r="R141" s="374"/>
      <c r="S141" s="270">
        <f t="shared" ref="S141:AD141" si="132">SUM(S142:S143)</f>
        <v>14515</v>
      </c>
      <c r="T141" s="271">
        <f t="shared" si="132"/>
        <v>16613</v>
      </c>
      <c r="U141" s="271">
        <f t="shared" si="132"/>
        <v>15878</v>
      </c>
      <c r="V141" s="271">
        <f t="shared" si="132"/>
        <v>15091</v>
      </c>
      <c r="W141" s="271">
        <f t="shared" si="132"/>
        <v>16140</v>
      </c>
      <c r="X141" s="271">
        <f t="shared" si="132"/>
        <v>15315</v>
      </c>
      <c r="Y141" s="271">
        <f t="shared" si="132"/>
        <v>13410</v>
      </c>
      <c r="Z141" s="271">
        <f t="shared" si="132"/>
        <v>17717</v>
      </c>
      <c r="AA141" s="271">
        <f t="shared" si="132"/>
        <v>12417</v>
      </c>
      <c r="AB141" s="271">
        <f t="shared" si="132"/>
        <v>14905</v>
      </c>
      <c r="AC141" s="271">
        <f t="shared" si="132"/>
        <v>13802</v>
      </c>
      <c r="AD141" s="271">
        <f t="shared" si="132"/>
        <v>11497</v>
      </c>
      <c r="AE141" s="271">
        <f>SUM(S141:AD141)</f>
        <v>177300</v>
      </c>
      <c r="AF141" s="272">
        <f>AE141/12</f>
        <v>14775</v>
      </c>
      <c r="AG141" s="374"/>
      <c r="AH141" s="270">
        <v>16770</v>
      </c>
      <c r="AI141" s="271">
        <v>12981</v>
      </c>
      <c r="AJ141" s="271">
        <v>13375</v>
      </c>
      <c r="AK141" s="271">
        <v>13284</v>
      </c>
      <c r="AL141" s="271">
        <v>14141</v>
      </c>
      <c r="AM141" s="271">
        <v>13296</v>
      </c>
      <c r="AN141" s="271">
        <v>16115</v>
      </c>
      <c r="AO141" s="271">
        <v>13414</v>
      </c>
      <c r="AP141" s="271">
        <v>14255</v>
      </c>
      <c r="AQ141" s="271">
        <v>14389</v>
      </c>
      <c r="AR141" s="271">
        <v>13845</v>
      </c>
      <c r="AS141" s="271">
        <v>12721</v>
      </c>
      <c r="AT141" s="271">
        <f>SUM(AH141:AS141)</f>
        <v>168586</v>
      </c>
      <c r="AU141" s="272">
        <f>AT141/12</f>
        <v>14048.833333333334</v>
      </c>
      <c r="AV141" s="374"/>
      <c r="AW141" s="2010">
        <v>11584</v>
      </c>
      <c r="AX141" s="271">
        <v>19049</v>
      </c>
      <c r="AY141" s="271">
        <f>AY142+AY143</f>
        <v>15232</v>
      </c>
      <c r="AZ141" s="271">
        <v>16870</v>
      </c>
      <c r="BA141" s="271">
        <f>SUM(BA142:BA143)</f>
        <v>24218</v>
      </c>
      <c r="BB141" s="271">
        <v>19039</v>
      </c>
      <c r="BC141" s="271">
        <v>22359</v>
      </c>
      <c r="BD141" s="271">
        <v>17243</v>
      </c>
      <c r="BE141" s="271">
        <v>19522</v>
      </c>
      <c r="BF141" s="271">
        <v>15375</v>
      </c>
      <c r="BG141" s="271">
        <v>14339</v>
      </c>
      <c r="BH141" s="271">
        <v>12667</v>
      </c>
      <c r="BI141" s="271">
        <f t="shared" ref="BI141:BI172" si="133">SUM(AW141:BH141)</f>
        <v>207497</v>
      </c>
      <c r="BJ141" s="272">
        <f t="shared" ref="BJ141:BJ147" si="134">BI141/$A$2</f>
        <v>17289.975835347057</v>
      </c>
      <c r="BL141" s="317">
        <f>ROW()</f>
        <v>141</v>
      </c>
      <c r="BM141" s="1432">
        <f t="shared" ref="BM141:BM172" si="135">HLOOKUP($A$2,$AW$2:$BH$511,ROW()-1,0)-HLOOKUP($A$2,$AH$2:$AS$511,ROW()-1,0)</f>
        <v>-54</v>
      </c>
      <c r="BN141" s="317">
        <f>BJ141-AU141</f>
        <v>3241.1425020137231</v>
      </c>
      <c r="BO141" s="317">
        <f t="shared" ref="BO141:BO172" si="136">BI141-SUM(AH141:AS141)</f>
        <v>38911</v>
      </c>
      <c r="BP141" s="594">
        <f t="shared" ref="BP141:BP204" si="137">HLOOKUP($A$2,$AW$2:$BH$520,ROW()-1,0)-HLOOKUP($A$2-1,$AW$2:$BH$520,ROW()-1,1)</f>
        <v>-1672</v>
      </c>
    </row>
    <row r="142" spans="1:72" ht="17.399999999999999" customHeight="1" x14ac:dyDescent="0.55000000000000004">
      <c r="A142" s="7222"/>
      <c r="B142" s="42"/>
      <c r="C142" s="213" t="s">
        <v>264</v>
      </c>
      <c r="D142" s="273">
        <v>8835</v>
      </c>
      <c r="E142" s="274">
        <v>7940</v>
      </c>
      <c r="F142" s="274">
        <v>8642</v>
      </c>
      <c r="G142" s="274">
        <v>9004</v>
      </c>
      <c r="H142" s="274">
        <v>9187</v>
      </c>
      <c r="I142" s="274">
        <v>8604</v>
      </c>
      <c r="J142" s="274">
        <v>7114</v>
      </c>
      <c r="K142" s="274">
        <v>8473</v>
      </c>
      <c r="L142" s="274">
        <v>7793</v>
      </c>
      <c r="M142" s="274">
        <v>9518</v>
      </c>
      <c r="N142" s="274">
        <v>7874</v>
      </c>
      <c r="O142" s="274">
        <v>6548</v>
      </c>
      <c r="P142" s="274">
        <f t="shared" ref="P142:P191" si="138">SUM(D142:O142)</f>
        <v>99532</v>
      </c>
      <c r="Q142" s="275">
        <f t="shared" ref="Q142:Q292" si="139">P142/12</f>
        <v>8294.3333333333339</v>
      </c>
      <c r="R142" s="374"/>
      <c r="S142" s="273">
        <v>6504</v>
      </c>
      <c r="T142" s="274">
        <v>7852</v>
      </c>
      <c r="U142" s="274">
        <v>7526</v>
      </c>
      <c r="V142" s="274">
        <v>7295</v>
      </c>
      <c r="W142" s="274">
        <v>8110</v>
      </c>
      <c r="X142" s="274">
        <v>7625</v>
      </c>
      <c r="Y142" s="274">
        <v>6435</v>
      </c>
      <c r="Z142" s="274">
        <v>8676</v>
      </c>
      <c r="AA142" s="274">
        <v>6562</v>
      </c>
      <c r="AB142" s="274">
        <v>7068</v>
      </c>
      <c r="AC142" s="274">
        <v>7026</v>
      </c>
      <c r="AD142" s="274">
        <v>5514</v>
      </c>
      <c r="AE142" s="274">
        <f t="shared" ref="AE142:AE191" si="140">SUM(S142:AD142)</f>
        <v>86193</v>
      </c>
      <c r="AF142" s="275">
        <f t="shared" ref="AF142:AF292" si="141">AE142/12</f>
        <v>7182.75</v>
      </c>
      <c r="AG142" s="374"/>
      <c r="AH142" s="273">
        <v>8034</v>
      </c>
      <c r="AI142" s="274">
        <v>6503</v>
      </c>
      <c r="AJ142" s="274">
        <v>7899</v>
      </c>
      <c r="AK142" s="274">
        <v>7960</v>
      </c>
      <c r="AL142" s="274">
        <v>8817</v>
      </c>
      <c r="AM142" s="274">
        <v>8714</v>
      </c>
      <c r="AN142" s="274">
        <v>9485</v>
      </c>
      <c r="AO142" s="274">
        <v>8409</v>
      </c>
      <c r="AP142" s="274">
        <v>8734</v>
      </c>
      <c r="AQ142" s="274">
        <v>8898</v>
      </c>
      <c r="AR142" s="274">
        <v>8418</v>
      </c>
      <c r="AS142" s="274">
        <v>7890</v>
      </c>
      <c r="AT142" s="274">
        <f t="shared" ref="AT142:AT191" si="142">SUM(AH142:AS142)</f>
        <v>99761</v>
      </c>
      <c r="AU142" s="275">
        <f t="shared" ref="AU142:AU206" si="143">AT142/12</f>
        <v>8313.4166666666661</v>
      </c>
      <c r="AV142" s="374"/>
      <c r="AW142" s="2011">
        <v>7148</v>
      </c>
      <c r="AX142" s="274">
        <v>10554</v>
      </c>
      <c r="AY142" s="274">
        <v>9221</v>
      </c>
      <c r="AZ142" s="274">
        <v>10270</v>
      </c>
      <c r="BA142" s="274">
        <v>17518</v>
      </c>
      <c r="BB142" s="274">
        <v>12275</v>
      </c>
      <c r="BC142" s="274">
        <v>14241</v>
      </c>
      <c r="BD142" s="274">
        <v>10314</v>
      </c>
      <c r="BE142" s="274">
        <v>10564</v>
      </c>
      <c r="BF142" s="274">
        <v>8702</v>
      </c>
      <c r="BG142" s="274">
        <v>8154</v>
      </c>
      <c r="BH142" s="274">
        <v>7523</v>
      </c>
      <c r="BI142" s="274">
        <f t="shared" si="133"/>
        <v>126484</v>
      </c>
      <c r="BJ142" s="275">
        <f t="shared" si="134"/>
        <v>10539.455045412882</v>
      </c>
      <c r="BL142" s="317">
        <f>ROW()</f>
        <v>142</v>
      </c>
      <c r="BM142" s="1432">
        <f t="shared" si="135"/>
        <v>-367</v>
      </c>
      <c r="BN142" s="317">
        <f t="shared" ref="BN142:BN205" si="144">BJ142-AU142</f>
        <v>2226.038378746216</v>
      </c>
      <c r="BO142" s="317">
        <f t="shared" si="136"/>
        <v>26723</v>
      </c>
      <c r="BP142" s="594">
        <f t="shared" si="137"/>
        <v>-631</v>
      </c>
    </row>
    <row r="143" spans="1:72" ht="17.399999999999999" customHeight="1" x14ac:dyDescent="0.55000000000000004">
      <c r="A143" s="7222"/>
      <c r="B143" s="42"/>
      <c r="C143" s="214" t="s">
        <v>441</v>
      </c>
      <c r="D143" s="273">
        <v>5368</v>
      </c>
      <c r="E143" s="274">
        <v>6359</v>
      </c>
      <c r="F143" s="274">
        <v>6434</v>
      </c>
      <c r="G143" s="274">
        <v>7757</v>
      </c>
      <c r="H143" s="274">
        <v>8148</v>
      </c>
      <c r="I143" s="274">
        <v>8771</v>
      </c>
      <c r="J143" s="274">
        <v>8405</v>
      </c>
      <c r="K143" s="274">
        <v>8588</v>
      </c>
      <c r="L143" s="274">
        <v>5997</v>
      </c>
      <c r="M143" s="274">
        <v>6748</v>
      </c>
      <c r="N143" s="274">
        <v>6977</v>
      </c>
      <c r="O143" s="274">
        <v>6630</v>
      </c>
      <c r="P143" s="274">
        <f t="shared" si="138"/>
        <v>86182</v>
      </c>
      <c r="Q143" s="275">
        <f t="shared" si="139"/>
        <v>7181.833333333333</v>
      </c>
      <c r="R143" s="374"/>
      <c r="S143" s="273">
        <v>8011</v>
      </c>
      <c r="T143" s="274">
        <v>8761</v>
      </c>
      <c r="U143" s="274">
        <v>8352</v>
      </c>
      <c r="V143" s="274">
        <v>7796</v>
      </c>
      <c r="W143" s="274">
        <v>8030</v>
      </c>
      <c r="X143" s="274">
        <v>7690</v>
      </c>
      <c r="Y143" s="274">
        <v>6975</v>
      </c>
      <c r="Z143" s="274">
        <v>9041</v>
      </c>
      <c r="AA143" s="274">
        <v>5855</v>
      </c>
      <c r="AB143" s="274">
        <v>7837</v>
      </c>
      <c r="AC143" s="274">
        <v>6776</v>
      </c>
      <c r="AD143" s="274">
        <v>5983</v>
      </c>
      <c r="AE143" s="274">
        <f t="shared" si="140"/>
        <v>91107</v>
      </c>
      <c r="AF143" s="275">
        <f t="shared" si="141"/>
        <v>7592.25</v>
      </c>
      <c r="AG143" s="374"/>
      <c r="AH143" s="273">
        <v>8736</v>
      </c>
      <c r="AI143" s="274">
        <v>6478</v>
      </c>
      <c r="AJ143" s="274">
        <v>5476</v>
      </c>
      <c r="AK143" s="274">
        <v>5324</v>
      </c>
      <c r="AL143" s="274">
        <v>5324</v>
      </c>
      <c r="AM143" s="274">
        <v>4582</v>
      </c>
      <c r="AN143" s="274">
        <v>6630</v>
      </c>
      <c r="AO143" s="274">
        <v>5005</v>
      </c>
      <c r="AP143" s="274">
        <v>5521</v>
      </c>
      <c r="AQ143" s="274">
        <v>5491</v>
      </c>
      <c r="AR143" s="274">
        <v>5427</v>
      </c>
      <c r="AS143" s="274">
        <v>4831</v>
      </c>
      <c r="AT143" s="274">
        <f t="shared" si="142"/>
        <v>68825</v>
      </c>
      <c r="AU143" s="275">
        <f t="shared" si="143"/>
        <v>5735.416666666667</v>
      </c>
      <c r="AV143" s="374"/>
      <c r="AW143" s="2011">
        <v>4436</v>
      </c>
      <c r="AX143" s="274">
        <v>8495</v>
      </c>
      <c r="AY143" s="274">
        <v>6011</v>
      </c>
      <c r="AZ143" s="274">
        <v>6600</v>
      </c>
      <c r="BA143" s="274">
        <v>6700</v>
      </c>
      <c r="BB143" s="274">
        <v>6764</v>
      </c>
      <c r="BC143" s="274">
        <v>8118</v>
      </c>
      <c r="BD143" s="274">
        <v>6929</v>
      </c>
      <c r="BE143" s="274">
        <v>8958</v>
      </c>
      <c r="BF143" s="274">
        <v>6673</v>
      </c>
      <c r="BG143" s="274">
        <v>6185</v>
      </c>
      <c r="BH143" s="274">
        <v>5144</v>
      </c>
      <c r="BI143" s="274">
        <f t="shared" si="133"/>
        <v>81013</v>
      </c>
      <c r="BJ143" s="275">
        <f t="shared" si="134"/>
        <v>6750.5207899341722</v>
      </c>
      <c r="BL143" s="317">
        <f>ROW()</f>
        <v>143</v>
      </c>
      <c r="BM143" s="1432">
        <f t="shared" si="135"/>
        <v>313</v>
      </c>
      <c r="BN143" s="317">
        <f t="shared" si="144"/>
        <v>1015.1041232675052</v>
      </c>
      <c r="BO143" s="317">
        <f t="shared" si="136"/>
        <v>12188</v>
      </c>
      <c r="BP143" s="594">
        <f t="shared" si="137"/>
        <v>-1041</v>
      </c>
    </row>
    <row r="144" spans="1:72" ht="17.399999999999999" customHeight="1" x14ac:dyDescent="0.55000000000000004">
      <c r="A144" s="7222"/>
      <c r="B144" s="7219" t="s">
        <v>444</v>
      </c>
      <c r="C144" s="197" t="s">
        <v>424</v>
      </c>
      <c r="D144" s="276">
        <v>5825</v>
      </c>
      <c r="E144" s="277">
        <v>5400</v>
      </c>
      <c r="F144" s="277">
        <v>5544</v>
      </c>
      <c r="G144" s="277">
        <v>5936</v>
      </c>
      <c r="H144" s="277">
        <v>5899</v>
      </c>
      <c r="I144" s="277">
        <v>6442</v>
      </c>
      <c r="J144" s="277">
        <v>6180</v>
      </c>
      <c r="K144" s="277">
        <v>6673</v>
      </c>
      <c r="L144" s="277">
        <v>5436</v>
      </c>
      <c r="M144" s="277">
        <v>5746</v>
      </c>
      <c r="N144" s="277">
        <v>6588</v>
      </c>
      <c r="O144" s="277">
        <v>6276</v>
      </c>
      <c r="P144" s="277">
        <f t="shared" si="138"/>
        <v>71945</v>
      </c>
      <c r="Q144" s="278">
        <f t="shared" si="139"/>
        <v>5995.416666666667</v>
      </c>
      <c r="R144" s="374"/>
      <c r="S144" s="276">
        <v>7624</v>
      </c>
      <c r="T144" s="277">
        <v>7990</v>
      </c>
      <c r="U144" s="277">
        <v>7749</v>
      </c>
      <c r="V144" s="277">
        <v>7779</v>
      </c>
      <c r="W144" s="277">
        <v>7369</v>
      </c>
      <c r="X144" s="277">
        <v>7156</v>
      </c>
      <c r="Y144" s="277">
        <v>5893</v>
      </c>
      <c r="Z144" s="277">
        <v>8458</v>
      </c>
      <c r="AA144" s="277">
        <v>5353</v>
      </c>
      <c r="AB144" s="277">
        <v>6845</v>
      </c>
      <c r="AC144" s="277">
        <v>6254</v>
      </c>
      <c r="AD144" s="277">
        <v>5472</v>
      </c>
      <c r="AE144" s="277">
        <f t="shared" si="140"/>
        <v>83942</v>
      </c>
      <c r="AF144" s="278">
        <f t="shared" si="141"/>
        <v>6995.166666666667</v>
      </c>
      <c r="AG144" s="374"/>
      <c r="AH144" s="276">
        <v>8509</v>
      </c>
      <c r="AI144" s="277">
        <v>6541</v>
      </c>
      <c r="AJ144" s="277">
        <v>5975</v>
      </c>
      <c r="AK144" s="277">
        <v>5892</v>
      </c>
      <c r="AL144" s="277">
        <v>6106</v>
      </c>
      <c r="AM144" s="277">
        <v>5312</v>
      </c>
      <c r="AN144" s="277">
        <v>7187</v>
      </c>
      <c r="AO144" s="277">
        <v>5377</v>
      </c>
      <c r="AP144" s="277">
        <v>6029</v>
      </c>
      <c r="AQ144" s="277">
        <v>5701</v>
      </c>
      <c r="AR144" s="277">
        <v>5527</v>
      </c>
      <c r="AS144" s="277">
        <v>4999</v>
      </c>
      <c r="AT144" s="277">
        <f t="shared" si="142"/>
        <v>73155</v>
      </c>
      <c r="AU144" s="278">
        <f t="shared" si="143"/>
        <v>6096.25</v>
      </c>
      <c r="AV144" s="374"/>
      <c r="AW144" s="2012">
        <v>4201</v>
      </c>
      <c r="AX144" s="277">
        <v>8836</v>
      </c>
      <c r="AY144" s="277">
        <v>6326</v>
      </c>
      <c r="AZ144" s="277">
        <v>6931</v>
      </c>
      <c r="BA144" s="277">
        <v>10007</v>
      </c>
      <c r="BB144" s="277">
        <v>6188</v>
      </c>
      <c r="BC144" s="277">
        <v>8880</v>
      </c>
      <c r="BD144" s="277">
        <v>6068</v>
      </c>
      <c r="BE144" s="277">
        <v>6814</v>
      </c>
      <c r="BF144" s="277">
        <v>5090</v>
      </c>
      <c r="BG144" s="277">
        <v>4902</v>
      </c>
      <c r="BH144" s="277">
        <v>4509</v>
      </c>
      <c r="BI144" s="277">
        <f t="shared" si="133"/>
        <v>78752</v>
      </c>
      <c r="BJ144" s="278">
        <f t="shared" si="134"/>
        <v>6562.1198233480545</v>
      </c>
      <c r="BL144" s="317">
        <f>ROW()</f>
        <v>144</v>
      </c>
      <c r="BM144" s="1432">
        <f t="shared" si="135"/>
        <v>-490</v>
      </c>
      <c r="BN144" s="317">
        <f t="shared" si="144"/>
        <v>465.86982334805452</v>
      </c>
      <c r="BO144" s="317">
        <f t="shared" si="136"/>
        <v>5597</v>
      </c>
      <c r="BP144" s="594">
        <f t="shared" si="137"/>
        <v>-393</v>
      </c>
    </row>
    <row r="145" spans="1:68" ht="17.399999999999999" customHeight="1" x14ac:dyDescent="0.55000000000000004">
      <c r="A145" s="7222"/>
      <c r="B145" s="7212"/>
      <c r="C145" s="198" t="s">
        <v>1112</v>
      </c>
      <c r="D145" s="279">
        <v>1173</v>
      </c>
      <c r="E145" s="280">
        <v>1163</v>
      </c>
      <c r="F145" s="280">
        <v>1581</v>
      </c>
      <c r="G145" s="280">
        <v>1625</v>
      </c>
      <c r="H145" s="280">
        <v>1675</v>
      </c>
      <c r="I145" s="280">
        <v>1710</v>
      </c>
      <c r="J145" s="280">
        <v>1550</v>
      </c>
      <c r="K145" s="280">
        <v>1331</v>
      </c>
      <c r="L145" s="280">
        <v>1658</v>
      </c>
      <c r="M145" s="280">
        <v>2815</v>
      </c>
      <c r="N145" s="280">
        <v>1939</v>
      </c>
      <c r="O145" s="280">
        <v>1792</v>
      </c>
      <c r="P145" s="280">
        <f>SUM(D145:O145)</f>
        <v>20012</v>
      </c>
      <c r="Q145" s="281">
        <f>P145/12</f>
        <v>1667.6666666666667</v>
      </c>
      <c r="R145" s="374"/>
      <c r="S145" s="279">
        <v>1538</v>
      </c>
      <c r="T145" s="280">
        <v>1837</v>
      </c>
      <c r="U145" s="280">
        <v>2071</v>
      </c>
      <c r="V145" s="280">
        <v>2123</v>
      </c>
      <c r="W145" s="280">
        <v>2726</v>
      </c>
      <c r="X145" s="280">
        <v>2490</v>
      </c>
      <c r="Y145" s="280">
        <v>2087</v>
      </c>
      <c r="Z145" s="280">
        <v>2088</v>
      </c>
      <c r="AA145" s="280">
        <v>1824</v>
      </c>
      <c r="AB145" s="280">
        <v>1567</v>
      </c>
      <c r="AC145" s="280">
        <v>1903</v>
      </c>
      <c r="AD145" s="280">
        <v>1826</v>
      </c>
      <c r="AE145" s="280">
        <f>SUM(S145:AD145)</f>
        <v>24080</v>
      </c>
      <c r="AF145" s="281">
        <f>AE145/12</f>
        <v>2006.6666666666667</v>
      </c>
      <c r="AG145" s="374"/>
      <c r="AH145" s="279">
        <v>1623</v>
      </c>
      <c r="AI145" s="280">
        <v>1308</v>
      </c>
      <c r="AJ145" s="280">
        <v>1361</v>
      </c>
      <c r="AK145" s="280">
        <v>1458</v>
      </c>
      <c r="AL145" s="280">
        <v>1635</v>
      </c>
      <c r="AM145" s="280">
        <v>2257</v>
      </c>
      <c r="AN145" s="280">
        <v>2102</v>
      </c>
      <c r="AO145" s="280">
        <v>1847</v>
      </c>
      <c r="AP145" s="280">
        <v>2020</v>
      </c>
      <c r="AQ145" s="280">
        <v>1727</v>
      </c>
      <c r="AR145" s="280">
        <v>1207</v>
      </c>
      <c r="AS145" s="280">
        <v>901</v>
      </c>
      <c r="AT145" s="280">
        <f>SUM(AH145:AS145)</f>
        <v>19446</v>
      </c>
      <c r="AU145" s="281">
        <f t="shared" ref="AU145" si="145">AT145/12</f>
        <v>1620.5</v>
      </c>
      <c r="AV145" s="374"/>
      <c r="AW145" s="2013">
        <v>1561</v>
      </c>
      <c r="AX145" s="280">
        <v>2141</v>
      </c>
      <c r="AY145" s="280">
        <v>2083</v>
      </c>
      <c r="AZ145" s="280">
        <v>2824</v>
      </c>
      <c r="BA145" s="280">
        <v>3005</v>
      </c>
      <c r="BB145" s="280">
        <v>3772</v>
      </c>
      <c r="BC145" s="280">
        <v>4530</v>
      </c>
      <c r="BD145" s="280">
        <v>4335</v>
      </c>
      <c r="BE145" s="280">
        <v>5627</v>
      </c>
      <c r="BF145" s="280">
        <v>3937</v>
      </c>
      <c r="BG145" s="280">
        <v>3163</v>
      </c>
      <c r="BH145" s="280">
        <v>1402</v>
      </c>
      <c r="BI145" s="280">
        <f t="shared" si="133"/>
        <v>38380</v>
      </c>
      <c r="BJ145" s="281">
        <f>BI145/$A$2</f>
        <v>3198.0668277643531</v>
      </c>
      <c r="BL145" s="317">
        <f>ROW()</f>
        <v>145</v>
      </c>
      <c r="BM145" s="1432">
        <f t="shared" si="135"/>
        <v>501</v>
      </c>
      <c r="BN145" s="317">
        <f t="shared" ref="BN145" si="146">BJ145-AU145</f>
        <v>1577.5668277643531</v>
      </c>
      <c r="BO145" s="317">
        <f t="shared" si="136"/>
        <v>18934</v>
      </c>
      <c r="BP145" s="594">
        <f t="shared" si="137"/>
        <v>-1761</v>
      </c>
    </row>
    <row r="146" spans="1:68" ht="17.399999999999999" customHeight="1" x14ac:dyDescent="0.55000000000000004">
      <c r="A146" s="7222"/>
      <c r="B146" s="7212"/>
      <c r="C146" s="198" t="s">
        <v>426</v>
      </c>
      <c r="D146" s="279">
        <v>6325</v>
      </c>
      <c r="E146" s="280">
        <v>6935</v>
      </c>
      <c r="F146" s="280">
        <v>6807</v>
      </c>
      <c r="G146" s="280">
        <v>8288</v>
      </c>
      <c r="H146" s="280">
        <v>8952</v>
      </c>
      <c r="I146" s="280">
        <v>8467</v>
      </c>
      <c r="J146" s="280">
        <v>7095</v>
      </c>
      <c r="K146" s="280">
        <v>7899</v>
      </c>
      <c r="L146" s="280">
        <v>5417</v>
      </c>
      <c r="M146" s="280">
        <v>6082</v>
      </c>
      <c r="N146" s="280">
        <v>5283</v>
      </c>
      <c r="O146" s="280">
        <v>4637</v>
      </c>
      <c r="P146" s="280">
        <f t="shared" si="138"/>
        <v>82187</v>
      </c>
      <c r="Q146" s="281">
        <f t="shared" si="139"/>
        <v>6848.916666666667</v>
      </c>
      <c r="R146" s="374"/>
      <c r="S146" s="279">
        <v>5170</v>
      </c>
      <c r="T146" s="280">
        <v>6553</v>
      </c>
      <c r="U146" s="280">
        <v>5908</v>
      </c>
      <c r="V146" s="280">
        <v>5071</v>
      </c>
      <c r="W146" s="280">
        <v>5930</v>
      </c>
      <c r="X146" s="280">
        <v>5388</v>
      </c>
      <c r="Y146" s="280">
        <v>5122</v>
      </c>
      <c r="Z146" s="280">
        <v>6801</v>
      </c>
      <c r="AA146" s="280">
        <v>5054</v>
      </c>
      <c r="AB146" s="280">
        <v>6222</v>
      </c>
      <c r="AC146" s="280">
        <v>5264</v>
      </c>
      <c r="AD146" s="280">
        <v>4014</v>
      </c>
      <c r="AE146" s="280">
        <f t="shared" si="140"/>
        <v>66497</v>
      </c>
      <c r="AF146" s="281">
        <f t="shared" si="141"/>
        <v>5541.416666666667</v>
      </c>
      <c r="AG146" s="374"/>
      <c r="AH146" s="279">
        <v>6033</v>
      </c>
      <c r="AI146" s="280">
        <v>4745</v>
      </c>
      <c r="AJ146" s="280">
        <v>5577</v>
      </c>
      <c r="AK146" s="280">
        <v>5389</v>
      </c>
      <c r="AL146" s="280">
        <v>5755</v>
      </c>
      <c r="AM146" s="280">
        <v>5297</v>
      </c>
      <c r="AN146" s="280">
        <v>6304</v>
      </c>
      <c r="AO146" s="280">
        <v>5820</v>
      </c>
      <c r="AP146" s="280">
        <v>5963</v>
      </c>
      <c r="AQ146" s="280">
        <v>6590</v>
      </c>
      <c r="AR146" s="280">
        <v>6558</v>
      </c>
      <c r="AS146" s="280">
        <v>5911</v>
      </c>
      <c r="AT146" s="280">
        <f t="shared" si="142"/>
        <v>69942</v>
      </c>
      <c r="AU146" s="281">
        <f t="shared" si="143"/>
        <v>5828.5</v>
      </c>
      <c r="AV146" s="374"/>
      <c r="AW146" s="2013">
        <v>5569</v>
      </c>
      <c r="AX146" s="280">
        <v>7758</v>
      </c>
      <c r="AY146" s="280">
        <v>6335</v>
      </c>
      <c r="AZ146" s="280">
        <v>6739</v>
      </c>
      <c r="BA146" s="280">
        <v>10648</v>
      </c>
      <c r="BB146" s="280">
        <v>8587</v>
      </c>
      <c r="BC146" s="280">
        <v>8014</v>
      </c>
      <c r="BD146" s="280">
        <v>6472</v>
      </c>
      <c r="BE146" s="280">
        <v>6181</v>
      </c>
      <c r="BF146" s="280">
        <v>5974</v>
      </c>
      <c r="BG146" s="280">
        <v>5852</v>
      </c>
      <c r="BH146" s="280">
        <v>6250</v>
      </c>
      <c r="BI146" s="280">
        <f t="shared" si="133"/>
        <v>84379</v>
      </c>
      <c r="BJ146" s="281">
        <f t="shared" si="134"/>
        <v>7030.9974168819272</v>
      </c>
      <c r="BL146" s="317">
        <f>ROW()</f>
        <v>146</v>
      </c>
      <c r="BM146" s="1432">
        <f t="shared" si="135"/>
        <v>339</v>
      </c>
      <c r="BN146" s="317">
        <f t="shared" si="144"/>
        <v>1202.4974168819272</v>
      </c>
      <c r="BO146" s="317">
        <f t="shared" si="136"/>
        <v>14437</v>
      </c>
      <c r="BP146" s="594">
        <f t="shared" si="137"/>
        <v>398</v>
      </c>
    </row>
    <row r="147" spans="1:68" ht="17.399999999999999" customHeight="1" x14ac:dyDescent="0.55000000000000004">
      <c r="A147" s="7222"/>
      <c r="B147" s="7212"/>
      <c r="C147" s="198" t="s">
        <v>954</v>
      </c>
      <c r="D147" s="279">
        <v>880</v>
      </c>
      <c r="E147" s="280">
        <v>801</v>
      </c>
      <c r="F147" s="280">
        <v>1144</v>
      </c>
      <c r="G147" s="280">
        <v>912</v>
      </c>
      <c r="H147" s="280">
        <v>809</v>
      </c>
      <c r="I147" s="280">
        <v>756</v>
      </c>
      <c r="J147" s="280">
        <v>694</v>
      </c>
      <c r="K147" s="280">
        <v>1158</v>
      </c>
      <c r="L147" s="280">
        <v>1279</v>
      </c>
      <c r="M147" s="280">
        <v>1623</v>
      </c>
      <c r="N147" s="280">
        <v>1041</v>
      </c>
      <c r="O147" s="280">
        <v>473</v>
      </c>
      <c r="P147" s="280">
        <f t="shared" si="138"/>
        <v>11570</v>
      </c>
      <c r="Q147" s="281">
        <f t="shared" si="139"/>
        <v>964.16666666666663</v>
      </c>
      <c r="R147" s="374"/>
      <c r="S147" s="279">
        <v>183</v>
      </c>
      <c r="T147" s="280">
        <v>233</v>
      </c>
      <c r="U147" s="280">
        <v>150</v>
      </c>
      <c r="V147" s="280">
        <v>118</v>
      </c>
      <c r="W147" s="280">
        <v>115</v>
      </c>
      <c r="X147" s="280">
        <v>281</v>
      </c>
      <c r="Y147" s="280">
        <v>308</v>
      </c>
      <c r="Z147" s="280">
        <v>370</v>
      </c>
      <c r="AA147" s="280">
        <v>186</v>
      </c>
      <c r="AB147" s="280">
        <v>271</v>
      </c>
      <c r="AC147" s="280">
        <v>381</v>
      </c>
      <c r="AD147" s="280">
        <v>185</v>
      </c>
      <c r="AE147" s="280">
        <f t="shared" si="140"/>
        <v>2781</v>
      </c>
      <c r="AF147" s="281">
        <f t="shared" si="141"/>
        <v>231.75</v>
      </c>
      <c r="AG147" s="374"/>
      <c r="AH147" s="279">
        <v>605</v>
      </c>
      <c r="AI147" s="280">
        <v>387</v>
      </c>
      <c r="AJ147" s="280">
        <v>462</v>
      </c>
      <c r="AK147" s="280">
        <v>545</v>
      </c>
      <c r="AL147" s="280">
        <v>645</v>
      </c>
      <c r="AM147" s="280">
        <v>430</v>
      </c>
      <c r="AN147" s="280">
        <v>522</v>
      </c>
      <c r="AO147" s="280">
        <v>370</v>
      </c>
      <c r="AP147" s="280">
        <v>233</v>
      </c>
      <c r="AQ147" s="280">
        <v>371</v>
      </c>
      <c r="AR147" s="280">
        <v>69</v>
      </c>
      <c r="AS147" s="280">
        <v>503</v>
      </c>
      <c r="AT147" s="280">
        <f t="shared" si="142"/>
        <v>5142</v>
      </c>
      <c r="AU147" s="281">
        <f t="shared" si="143"/>
        <v>428.5</v>
      </c>
      <c r="AV147" s="374"/>
      <c r="AW147" s="2013">
        <v>189</v>
      </c>
      <c r="AX147" s="280">
        <v>22</v>
      </c>
      <c r="AY147" s="280">
        <v>124</v>
      </c>
      <c r="AZ147" s="280">
        <v>186</v>
      </c>
      <c r="BA147" s="280">
        <v>524</v>
      </c>
      <c r="BB147" s="280">
        <v>316</v>
      </c>
      <c r="BC147" s="280">
        <v>518</v>
      </c>
      <c r="BD147" s="280">
        <v>200</v>
      </c>
      <c r="BE147" s="280">
        <v>277</v>
      </c>
      <c r="BF147" s="280">
        <v>198</v>
      </c>
      <c r="BG147" s="280">
        <v>306</v>
      </c>
      <c r="BH147" s="280">
        <v>272</v>
      </c>
      <c r="BI147" s="280">
        <f t="shared" si="133"/>
        <v>3132</v>
      </c>
      <c r="BJ147" s="281">
        <f t="shared" si="134"/>
        <v>260.97825181234896</v>
      </c>
      <c r="BL147" s="317">
        <f>ROW()</f>
        <v>147</v>
      </c>
      <c r="BM147" s="1432">
        <f t="shared" si="135"/>
        <v>-231</v>
      </c>
      <c r="BN147" s="317">
        <f t="shared" si="144"/>
        <v>-167.52174818765104</v>
      </c>
      <c r="BO147" s="317">
        <f t="shared" si="136"/>
        <v>-2010</v>
      </c>
      <c r="BP147" s="594">
        <f t="shared" si="137"/>
        <v>-34</v>
      </c>
    </row>
    <row r="148" spans="1:68" ht="17.399999999999999" customHeight="1" x14ac:dyDescent="0.55000000000000004">
      <c r="A148" s="7222"/>
      <c r="B148" s="7212"/>
      <c r="C148" s="198" t="s">
        <v>22</v>
      </c>
      <c r="D148" s="279">
        <v>0</v>
      </c>
      <c r="E148" s="280">
        <v>0</v>
      </c>
      <c r="F148" s="280">
        <v>0</v>
      </c>
      <c r="G148" s="280">
        <v>0</v>
      </c>
      <c r="H148" s="280">
        <v>0</v>
      </c>
      <c r="I148" s="280">
        <v>0</v>
      </c>
      <c r="J148" s="280">
        <v>0</v>
      </c>
      <c r="K148" s="280">
        <v>0</v>
      </c>
      <c r="L148" s="280">
        <v>0</v>
      </c>
      <c r="M148" s="280">
        <v>0</v>
      </c>
      <c r="N148" s="280">
        <v>0</v>
      </c>
      <c r="O148" s="280">
        <v>0</v>
      </c>
      <c r="P148" s="280">
        <f t="shared" si="138"/>
        <v>0</v>
      </c>
      <c r="Q148" s="281">
        <f t="shared" si="139"/>
        <v>0</v>
      </c>
      <c r="R148" s="374"/>
      <c r="S148" s="279">
        <v>0</v>
      </c>
      <c r="T148" s="280">
        <v>0</v>
      </c>
      <c r="U148" s="280">
        <v>0</v>
      </c>
      <c r="V148" s="280">
        <v>0</v>
      </c>
      <c r="W148" s="280">
        <v>0</v>
      </c>
      <c r="X148" s="280">
        <v>0</v>
      </c>
      <c r="Y148" s="280">
        <v>0</v>
      </c>
      <c r="Z148" s="280">
        <v>0</v>
      </c>
      <c r="AA148" s="280">
        <v>0</v>
      </c>
      <c r="AB148" s="280">
        <v>0</v>
      </c>
      <c r="AC148" s="280">
        <v>0</v>
      </c>
      <c r="AD148" s="280">
        <v>0</v>
      </c>
      <c r="AE148" s="280">
        <f t="shared" si="140"/>
        <v>0</v>
      </c>
      <c r="AF148" s="281">
        <f t="shared" si="141"/>
        <v>0</v>
      </c>
      <c r="AG148" s="374"/>
      <c r="AH148" s="279">
        <v>0</v>
      </c>
      <c r="AI148" s="280">
        <v>0</v>
      </c>
      <c r="AJ148" s="280">
        <v>0</v>
      </c>
      <c r="AK148" s="280">
        <v>0</v>
      </c>
      <c r="AL148" s="280">
        <v>0</v>
      </c>
      <c r="AM148" s="280">
        <v>0</v>
      </c>
      <c r="AN148" s="280">
        <v>0</v>
      </c>
      <c r="AO148" s="280">
        <v>0</v>
      </c>
      <c r="AP148" s="280">
        <v>0</v>
      </c>
      <c r="AQ148" s="280">
        <v>0</v>
      </c>
      <c r="AR148" s="280">
        <v>89</v>
      </c>
      <c r="AS148" s="280">
        <v>0</v>
      </c>
      <c r="AT148" s="280">
        <f t="shared" si="142"/>
        <v>89</v>
      </c>
      <c r="AU148" s="281">
        <f t="shared" si="143"/>
        <v>7.416666666666667</v>
      </c>
      <c r="AV148" s="374"/>
      <c r="AW148" s="2013">
        <v>0</v>
      </c>
      <c r="AX148" s="280">
        <v>0</v>
      </c>
      <c r="AY148" s="280">
        <v>0</v>
      </c>
      <c r="AZ148" s="280">
        <v>185</v>
      </c>
      <c r="BA148" s="280">
        <v>33</v>
      </c>
      <c r="BB148" s="280">
        <v>176</v>
      </c>
      <c r="BC148" s="280">
        <v>417</v>
      </c>
      <c r="BD148" s="280">
        <v>168</v>
      </c>
      <c r="BE148" s="280">
        <v>623</v>
      </c>
      <c r="BF148" s="280">
        <v>176</v>
      </c>
      <c r="BG148" s="280">
        <v>116</v>
      </c>
      <c r="BH148" s="280">
        <v>234</v>
      </c>
      <c r="BI148" s="280">
        <f t="shared" si="133"/>
        <v>2128</v>
      </c>
      <c r="BJ148" s="281">
        <f t="shared" ref="BJ148:BJ198" si="147">BI148/$A$2</f>
        <v>177.31855678693444</v>
      </c>
      <c r="BL148" s="317">
        <f>ROW()</f>
        <v>148</v>
      </c>
      <c r="BM148" s="1432">
        <f t="shared" si="135"/>
        <v>234</v>
      </c>
      <c r="BN148" s="317">
        <f t="shared" si="144"/>
        <v>169.90189012026778</v>
      </c>
      <c r="BO148" s="317">
        <f t="shared" si="136"/>
        <v>2039</v>
      </c>
      <c r="BP148" s="594">
        <f t="shared" si="137"/>
        <v>118</v>
      </c>
    </row>
    <row r="149" spans="1:68" ht="17.399999999999999" customHeight="1" x14ac:dyDescent="0.55000000000000004">
      <c r="A149" s="7222"/>
      <c r="B149" s="7213" t="s">
        <v>430</v>
      </c>
      <c r="C149" s="199" t="s">
        <v>419</v>
      </c>
      <c r="D149" s="291">
        <f>D154+D155</f>
        <v>772</v>
      </c>
      <c r="E149" s="292">
        <f t="shared" ref="E149:O149" si="148">E154+E155</f>
        <v>856</v>
      </c>
      <c r="F149" s="292">
        <f t="shared" si="148"/>
        <v>755</v>
      </c>
      <c r="G149" s="292">
        <f t="shared" si="148"/>
        <v>722</v>
      </c>
      <c r="H149" s="292">
        <f t="shared" si="148"/>
        <v>837</v>
      </c>
      <c r="I149" s="292">
        <f t="shared" si="148"/>
        <v>871</v>
      </c>
      <c r="J149" s="292">
        <f t="shared" si="148"/>
        <v>897</v>
      </c>
      <c r="K149" s="292">
        <f t="shared" si="148"/>
        <v>944</v>
      </c>
      <c r="L149" s="292">
        <f t="shared" si="148"/>
        <v>772</v>
      </c>
      <c r="M149" s="292">
        <f t="shared" si="148"/>
        <v>733</v>
      </c>
      <c r="N149" s="292">
        <f t="shared" si="148"/>
        <v>842</v>
      </c>
      <c r="O149" s="292">
        <f t="shared" si="148"/>
        <v>858</v>
      </c>
      <c r="P149" s="292">
        <f t="shared" si="138"/>
        <v>9859</v>
      </c>
      <c r="Q149" s="293">
        <f t="shared" si="139"/>
        <v>821.58333333333337</v>
      </c>
      <c r="R149" s="374"/>
      <c r="S149" s="291">
        <f>S154+S155</f>
        <v>999</v>
      </c>
      <c r="T149" s="292">
        <f t="shared" ref="T149:AD149" si="149">T154+T155</f>
        <v>1116</v>
      </c>
      <c r="U149" s="292">
        <f t="shared" si="149"/>
        <v>992</v>
      </c>
      <c r="V149" s="292">
        <f t="shared" si="149"/>
        <v>1097</v>
      </c>
      <c r="W149" s="292">
        <f t="shared" si="149"/>
        <v>992</v>
      </c>
      <c r="X149" s="292">
        <f t="shared" si="149"/>
        <v>882</v>
      </c>
      <c r="Y149" s="292">
        <f t="shared" si="149"/>
        <v>780</v>
      </c>
      <c r="Z149" s="292">
        <f t="shared" si="149"/>
        <v>1155</v>
      </c>
      <c r="AA149" s="292">
        <f t="shared" si="149"/>
        <v>663</v>
      </c>
      <c r="AB149" s="292">
        <f t="shared" si="149"/>
        <v>873</v>
      </c>
      <c r="AC149" s="292">
        <f t="shared" si="149"/>
        <v>728</v>
      </c>
      <c r="AD149" s="292">
        <f t="shared" si="149"/>
        <v>703</v>
      </c>
      <c r="AE149" s="292">
        <f t="shared" si="140"/>
        <v>10980</v>
      </c>
      <c r="AF149" s="293">
        <f t="shared" si="141"/>
        <v>915</v>
      </c>
      <c r="AG149" s="374"/>
      <c r="AH149" s="291">
        <v>1146</v>
      </c>
      <c r="AI149" s="292">
        <v>810</v>
      </c>
      <c r="AJ149" s="292">
        <v>895</v>
      </c>
      <c r="AK149" s="292">
        <v>940</v>
      </c>
      <c r="AL149" s="292">
        <v>893</v>
      </c>
      <c r="AM149" s="292">
        <v>773</v>
      </c>
      <c r="AN149" s="292">
        <v>1190</v>
      </c>
      <c r="AO149" s="292">
        <v>908</v>
      </c>
      <c r="AP149" s="292">
        <v>1029</v>
      </c>
      <c r="AQ149" s="292">
        <v>865</v>
      </c>
      <c r="AR149" s="292">
        <v>849</v>
      </c>
      <c r="AS149" s="292">
        <v>784</v>
      </c>
      <c r="AT149" s="292">
        <f t="shared" si="142"/>
        <v>11082</v>
      </c>
      <c r="AU149" s="293">
        <f t="shared" si="143"/>
        <v>923.5</v>
      </c>
      <c r="AV149" s="374"/>
      <c r="AW149" s="2015">
        <v>659</v>
      </c>
      <c r="AX149" s="292">
        <v>1435</v>
      </c>
      <c r="AY149" s="292">
        <v>1003.0000000000001</v>
      </c>
      <c r="AZ149" s="292">
        <v>1220</v>
      </c>
      <c r="BA149" s="292">
        <v>1748</v>
      </c>
      <c r="BB149" s="292">
        <v>1025</v>
      </c>
      <c r="BC149" s="292">
        <v>1481</v>
      </c>
      <c r="BD149" s="292">
        <v>989</v>
      </c>
      <c r="BE149" s="292">
        <v>1133</v>
      </c>
      <c r="BF149" s="292">
        <v>774</v>
      </c>
      <c r="BG149" s="292">
        <v>833</v>
      </c>
      <c r="BH149" s="292">
        <v>785</v>
      </c>
      <c r="BI149" s="292">
        <f t="shared" si="133"/>
        <v>13085</v>
      </c>
      <c r="BJ149" s="293">
        <f t="shared" si="147"/>
        <v>1090.325806182818</v>
      </c>
      <c r="BL149" s="317">
        <f>ROW()</f>
        <v>149</v>
      </c>
      <c r="BM149" s="1432">
        <f t="shared" si="135"/>
        <v>1</v>
      </c>
      <c r="BN149" s="317">
        <f t="shared" si="144"/>
        <v>166.82580618281804</v>
      </c>
      <c r="BO149" s="317">
        <f t="shared" si="136"/>
        <v>2003</v>
      </c>
      <c r="BP149" s="594">
        <f t="shared" si="137"/>
        <v>-48</v>
      </c>
    </row>
    <row r="150" spans="1:68" ht="17.399999999999999" customHeight="1" x14ac:dyDescent="0.55000000000000004">
      <c r="A150" s="7222"/>
      <c r="B150" s="7214"/>
      <c r="C150" s="200" t="s">
        <v>420</v>
      </c>
      <c r="D150" s="294">
        <f>D156+D157</f>
        <v>984</v>
      </c>
      <c r="E150" s="295">
        <f t="shared" ref="E150:O150" si="150">E156+E157</f>
        <v>806</v>
      </c>
      <c r="F150" s="295">
        <f t="shared" si="150"/>
        <v>838</v>
      </c>
      <c r="G150" s="295">
        <f t="shared" si="150"/>
        <v>1007</v>
      </c>
      <c r="H150" s="295">
        <f t="shared" si="150"/>
        <v>932</v>
      </c>
      <c r="I150" s="295">
        <f t="shared" si="150"/>
        <v>1148</v>
      </c>
      <c r="J150" s="295">
        <f t="shared" si="150"/>
        <v>1188</v>
      </c>
      <c r="K150" s="295">
        <f t="shared" si="150"/>
        <v>1122</v>
      </c>
      <c r="L150" s="295">
        <f t="shared" si="150"/>
        <v>985</v>
      </c>
      <c r="M150" s="295">
        <f t="shared" si="150"/>
        <v>956</v>
      </c>
      <c r="N150" s="295">
        <f t="shared" si="150"/>
        <v>892</v>
      </c>
      <c r="O150" s="295">
        <f t="shared" si="150"/>
        <v>957</v>
      </c>
      <c r="P150" s="295">
        <f t="shared" si="138"/>
        <v>11815</v>
      </c>
      <c r="Q150" s="296">
        <f t="shared" si="139"/>
        <v>984.58333333333337</v>
      </c>
      <c r="R150" s="374"/>
      <c r="S150" s="294">
        <f>S156+S157</f>
        <v>1298</v>
      </c>
      <c r="T150" s="295">
        <f t="shared" ref="T150:AD150" si="151">T156+T157</f>
        <v>1361</v>
      </c>
      <c r="U150" s="295">
        <f t="shared" si="151"/>
        <v>1371</v>
      </c>
      <c r="V150" s="295">
        <f t="shared" si="151"/>
        <v>1220</v>
      </c>
      <c r="W150" s="295">
        <f t="shared" si="151"/>
        <v>1295</v>
      </c>
      <c r="X150" s="295">
        <f t="shared" si="151"/>
        <v>1153</v>
      </c>
      <c r="Y150" s="295">
        <f t="shared" si="151"/>
        <v>970</v>
      </c>
      <c r="Z150" s="295">
        <f t="shared" si="151"/>
        <v>1403</v>
      </c>
      <c r="AA150" s="295">
        <f t="shared" si="151"/>
        <v>870</v>
      </c>
      <c r="AB150" s="295">
        <f t="shared" si="151"/>
        <v>1246</v>
      </c>
      <c r="AC150" s="295">
        <f t="shared" si="151"/>
        <v>1005</v>
      </c>
      <c r="AD150" s="295">
        <f t="shared" si="151"/>
        <v>880</v>
      </c>
      <c r="AE150" s="295">
        <f t="shared" si="140"/>
        <v>14072</v>
      </c>
      <c r="AF150" s="296">
        <f t="shared" si="141"/>
        <v>1172.6666666666667</v>
      </c>
      <c r="AG150" s="374"/>
      <c r="AH150" s="294">
        <v>1386</v>
      </c>
      <c r="AI150" s="295">
        <v>977</v>
      </c>
      <c r="AJ150" s="295">
        <v>895</v>
      </c>
      <c r="AK150" s="295">
        <v>872</v>
      </c>
      <c r="AL150" s="295">
        <v>936</v>
      </c>
      <c r="AM150" s="295">
        <v>831</v>
      </c>
      <c r="AN150" s="295">
        <v>1118</v>
      </c>
      <c r="AO150" s="295">
        <v>868</v>
      </c>
      <c r="AP150" s="295">
        <v>905</v>
      </c>
      <c r="AQ150" s="295">
        <v>850</v>
      </c>
      <c r="AR150" s="295">
        <v>956</v>
      </c>
      <c r="AS150" s="295">
        <v>826</v>
      </c>
      <c r="AT150" s="295">
        <f t="shared" si="142"/>
        <v>11420</v>
      </c>
      <c r="AU150" s="296">
        <f t="shared" si="143"/>
        <v>951.66666666666663</v>
      </c>
      <c r="AV150" s="374"/>
      <c r="AW150" s="2016">
        <v>780</v>
      </c>
      <c r="AX150" s="295">
        <v>1428</v>
      </c>
      <c r="AY150" s="295">
        <v>1048</v>
      </c>
      <c r="AZ150" s="295">
        <v>1048</v>
      </c>
      <c r="BA150" s="295">
        <v>1803</v>
      </c>
      <c r="BB150" s="295">
        <v>962</v>
      </c>
      <c r="BC150" s="295">
        <v>1375</v>
      </c>
      <c r="BD150" s="295">
        <v>998</v>
      </c>
      <c r="BE150" s="295">
        <v>1193</v>
      </c>
      <c r="BF150" s="295">
        <v>822</v>
      </c>
      <c r="BG150" s="295">
        <v>738</v>
      </c>
      <c r="BH150" s="295">
        <v>770</v>
      </c>
      <c r="BI150" s="295">
        <f t="shared" si="133"/>
        <v>12965</v>
      </c>
      <c r="BJ150" s="296">
        <f t="shared" si="147"/>
        <v>1080.3266394467128</v>
      </c>
      <c r="BL150" s="317">
        <f>ROW()</f>
        <v>150</v>
      </c>
      <c r="BM150" s="1432">
        <f t="shared" si="135"/>
        <v>-56</v>
      </c>
      <c r="BN150" s="317">
        <f t="shared" si="144"/>
        <v>128.65997278004613</v>
      </c>
      <c r="BO150" s="317">
        <f t="shared" si="136"/>
        <v>1545</v>
      </c>
      <c r="BP150" s="594">
        <f t="shared" si="137"/>
        <v>32</v>
      </c>
    </row>
    <row r="151" spans="1:68" ht="17.399999999999999" customHeight="1" x14ac:dyDescent="0.55000000000000004">
      <c r="A151" s="7222"/>
      <c r="B151" s="7214"/>
      <c r="C151" s="200" t="s">
        <v>421</v>
      </c>
      <c r="D151" s="294">
        <f>D158+D159</f>
        <v>1371</v>
      </c>
      <c r="E151" s="295">
        <f t="shared" ref="E151:O151" si="152">E158+E159</f>
        <v>1303</v>
      </c>
      <c r="F151" s="295">
        <f t="shared" si="152"/>
        <v>1375</v>
      </c>
      <c r="G151" s="295">
        <f t="shared" si="152"/>
        <v>1460</v>
      </c>
      <c r="H151" s="295">
        <f t="shared" si="152"/>
        <v>1419</v>
      </c>
      <c r="I151" s="295">
        <f t="shared" si="152"/>
        <v>1454</v>
      </c>
      <c r="J151" s="295">
        <f t="shared" si="152"/>
        <v>1441</v>
      </c>
      <c r="K151" s="295">
        <f t="shared" si="152"/>
        <v>1577</v>
      </c>
      <c r="L151" s="295">
        <f t="shared" si="152"/>
        <v>1328</v>
      </c>
      <c r="M151" s="295">
        <f t="shared" si="152"/>
        <v>1407</v>
      </c>
      <c r="N151" s="295">
        <f t="shared" si="152"/>
        <v>1634</v>
      </c>
      <c r="O151" s="295">
        <f t="shared" si="152"/>
        <v>1507</v>
      </c>
      <c r="P151" s="295">
        <f t="shared" si="138"/>
        <v>17276</v>
      </c>
      <c r="Q151" s="296">
        <f t="shared" si="139"/>
        <v>1439.6666666666667</v>
      </c>
      <c r="R151" s="374"/>
      <c r="S151" s="294">
        <f>S158+S159</f>
        <v>1835</v>
      </c>
      <c r="T151" s="295">
        <f t="shared" ref="T151:AD151" si="153">T158+T159</f>
        <v>1850</v>
      </c>
      <c r="U151" s="295">
        <f t="shared" si="153"/>
        <v>1922</v>
      </c>
      <c r="V151" s="295">
        <f t="shared" si="153"/>
        <v>1838</v>
      </c>
      <c r="W151" s="295">
        <f t="shared" si="153"/>
        <v>1746</v>
      </c>
      <c r="X151" s="295">
        <f t="shared" si="153"/>
        <v>1770</v>
      </c>
      <c r="Y151" s="295">
        <f t="shared" si="153"/>
        <v>1409</v>
      </c>
      <c r="Z151" s="295">
        <f t="shared" si="153"/>
        <v>1968</v>
      </c>
      <c r="AA151" s="295">
        <f t="shared" si="153"/>
        <v>1351</v>
      </c>
      <c r="AB151" s="295">
        <f t="shared" si="153"/>
        <v>1660</v>
      </c>
      <c r="AC151" s="295">
        <f t="shared" si="153"/>
        <v>1647</v>
      </c>
      <c r="AD151" s="295">
        <f t="shared" si="153"/>
        <v>1270</v>
      </c>
      <c r="AE151" s="295">
        <f t="shared" si="140"/>
        <v>20266</v>
      </c>
      <c r="AF151" s="296">
        <f t="shared" si="141"/>
        <v>1688.8333333333333</v>
      </c>
      <c r="AG151" s="374"/>
      <c r="AH151" s="294">
        <v>2058</v>
      </c>
      <c r="AI151" s="295">
        <v>1662</v>
      </c>
      <c r="AJ151" s="295">
        <v>1283</v>
      </c>
      <c r="AK151" s="295">
        <v>1249</v>
      </c>
      <c r="AL151" s="295">
        <v>1348</v>
      </c>
      <c r="AM151" s="295">
        <v>1028</v>
      </c>
      <c r="AN151" s="295">
        <v>1567</v>
      </c>
      <c r="AO151" s="295">
        <v>1191</v>
      </c>
      <c r="AP151" s="295">
        <v>1347</v>
      </c>
      <c r="AQ151" s="295">
        <v>1338</v>
      </c>
      <c r="AR151" s="295">
        <v>1223</v>
      </c>
      <c r="AS151" s="295">
        <v>1110</v>
      </c>
      <c r="AT151" s="295">
        <f t="shared" si="142"/>
        <v>16404</v>
      </c>
      <c r="AU151" s="296">
        <f t="shared" si="143"/>
        <v>1367</v>
      </c>
      <c r="AV151" s="374"/>
      <c r="AW151" s="2016">
        <v>969</v>
      </c>
      <c r="AX151" s="295">
        <v>1934</v>
      </c>
      <c r="AY151" s="295">
        <v>1278</v>
      </c>
      <c r="AZ151" s="295">
        <v>1440</v>
      </c>
      <c r="BA151" s="295">
        <v>2265</v>
      </c>
      <c r="BB151" s="295">
        <v>1392</v>
      </c>
      <c r="BC151" s="295">
        <v>1937</v>
      </c>
      <c r="BD151" s="295">
        <v>1319</v>
      </c>
      <c r="BE151" s="295">
        <v>1498</v>
      </c>
      <c r="BF151" s="295">
        <v>1090</v>
      </c>
      <c r="BG151" s="295">
        <v>1114</v>
      </c>
      <c r="BH151" s="295">
        <v>1031</v>
      </c>
      <c r="BI151" s="295">
        <f t="shared" si="133"/>
        <v>17267</v>
      </c>
      <c r="BJ151" s="296">
        <f t="shared" si="147"/>
        <v>1438.7967669360887</v>
      </c>
      <c r="BL151" s="317">
        <f>ROW()</f>
        <v>151</v>
      </c>
      <c r="BM151" s="1432">
        <f t="shared" si="135"/>
        <v>-79</v>
      </c>
      <c r="BN151" s="317">
        <f t="shared" si="144"/>
        <v>71.796766936088716</v>
      </c>
      <c r="BO151" s="317">
        <f t="shared" si="136"/>
        <v>863</v>
      </c>
      <c r="BP151" s="594">
        <f t="shared" si="137"/>
        <v>-83</v>
      </c>
    </row>
    <row r="152" spans="1:68" ht="17.399999999999999" customHeight="1" x14ac:dyDescent="0.55000000000000004">
      <c r="A152" s="7222"/>
      <c r="B152" s="7214"/>
      <c r="C152" s="200" t="s">
        <v>422</v>
      </c>
      <c r="D152" s="294">
        <f>D160+D161</f>
        <v>1565</v>
      </c>
      <c r="E152" s="295">
        <f t="shared" ref="E152:O152" si="154">E160+E161</f>
        <v>1393</v>
      </c>
      <c r="F152" s="295">
        <f t="shared" si="154"/>
        <v>1612</v>
      </c>
      <c r="G152" s="295">
        <f t="shared" si="154"/>
        <v>1715</v>
      </c>
      <c r="H152" s="295">
        <f t="shared" si="154"/>
        <v>1741</v>
      </c>
      <c r="I152" s="295">
        <f t="shared" si="154"/>
        <v>1984</v>
      </c>
      <c r="J152" s="295">
        <f t="shared" si="154"/>
        <v>1781</v>
      </c>
      <c r="K152" s="295">
        <f t="shared" si="154"/>
        <v>1946</v>
      </c>
      <c r="L152" s="295">
        <f t="shared" si="154"/>
        <v>1526</v>
      </c>
      <c r="M152" s="295">
        <f t="shared" si="154"/>
        <v>1698</v>
      </c>
      <c r="N152" s="295">
        <f t="shared" si="154"/>
        <v>2086</v>
      </c>
      <c r="O152" s="295">
        <f t="shared" si="154"/>
        <v>1939</v>
      </c>
      <c r="P152" s="295">
        <f t="shared" si="138"/>
        <v>20986</v>
      </c>
      <c r="Q152" s="296">
        <f t="shared" si="139"/>
        <v>1748.8333333333333</v>
      </c>
      <c r="R152" s="374"/>
      <c r="S152" s="294">
        <f>S160+S161</f>
        <v>2214</v>
      </c>
      <c r="T152" s="295">
        <f t="shared" ref="T152:AD152" si="155">T160+T161</f>
        <v>2331</v>
      </c>
      <c r="U152" s="295">
        <f t="shared" si="155"/>
        <v>2123</v>
      </c>
      <c r="V152" s="295">
        <f t="shared" si="155"/>
        <v>2235</v>
      </c>
      <c r="W152" s="295">
        <f t="shared" si="155"/>
        <v>2070</v>
      </c>
      <c r="X152" s="295">
        <f t="shared" si="155"/>
        <v>2096</v>
      </c>
      <c r="Y152" s="295">
        <f t="shared" si="155"/>
        <v>1663</v>
      </c>
      <c r="Z152" s="295">
        <f t="shared" si="155"/>
        <v>2433</v>
      </c>
      <c r="AA152" s="295">
        <f t="shared" si="155"/>
        <v>1480</v>
      </c>
      <c r="AB152" s="295">
        <f t="shared" si="155"/>
        <v>1855</v>
      </c>
      <c r="AC152" s="295">
        <f t="shared" si="155"/>
        <v>1805</v>
      </c>
      <c r="AD152" s="295">
        <f t="shared" si="155"/>
        <v>1612</v>
      </c>
      <c r="AE152" s="295">
        <f t="shared" si="140"/>
        <v>23917</v>
      </c>
      <c r="AF152" s="296">
        <f t="shared" si="141"/>
        <v>1993.0833333333333</v>
      </c>
      <c r="AG152" s="374"/>
      <c r="AH152" s="294">
        <v>2456</v>
      </c>
      <c r="AI152" s="295">
        <v>2088</v>
      </c>
      <c r="AJ152" s="295">
        <v>1681</v>
      </c>
      <c r="AK152" s="295">
        <v>1709</v>
      </c>
      <c r="AL152" s="295">
        <v>1788</v>
      </c>
      <c r="AM152" s="295">
        <v>1597</v>
      </c>
      <c r="AN152" s="295">
        <v>2010</v>
      </c>
      <c r="AO152" s="295">
        <v>1466</v>
      </c>
      <c r="AP152" s="295">
        <v>1611</v>
      </c>
      <c r="AQ152" s="295">
        <v>1643</v>
      </c>
      <c r="AR152" s="295">
        <v>1525</v>
      </c>
      <c r="AS152" s="295">
        <v>1380</v>
      </c>
      <c r="AT152" s="295">
        <f t="shared" si="142"/>
        <v>20954</v>
      </c>
      <c r="AU152" s="296">
        <f t="shared" si="143"/>
        <v>1746.1666666666667</v>
      </c>
      <c r="AV152" s="374"/>
      <c r="AW152" s="2016">
        <v>1023</v>
      </c>
      <c r="AX152" s="295">
        <v>2301</v>
      </c>
      <c r="AY152" s="295">
        <v>1698</v>
      </c>
      <c r="AZ152" s="295">
        <v>1991</v>
      </c>
      <c r="BA152" s="295">
        <v>2452</v>
      </c>
      <c r="BB152" s="295">
        <v>1719</v>
      </c>
      <c r="BC152" s="295">
        <v>2475</v>
      </c>
      <c r="BD152" s="295">
        <v>1615</v>
      </c>
      <c r="BE152" s="295">
        <v>1699</v>
      </c>
      <c r="BF152" s="295">
        <v>1410</v>
      </c>
      <c r="BG152" s="295">
        <v>1280</v>
      </c>
      <c r="BH152" s="295">
        <v>1066</v>
      </c>
      <c r="BI152" s="295">
        <f t="shared" si="133"/>
        <v>20729</v>
      </c>
      <c r="BJ152" s="296">
        <f t="shared" si="147"/>
        <v>1727.2727272727273</v>
      </c>
      <c r="BL152" s="317">
        <f>ROW()</f>
        <v>152</v>
      </c>
      <c r="BM152" s="1432">
        <f t="shared" si="135"/>
        <v>-314</v>
      </c>
      <c r="BN152" s="317">
        <f t="shared" si="144"/>
        <v>-18.89393939393949</v>
      </c>
      <c r="BO152" s="317">
        <f t="shared" si="136"/>
        <v>-225</v>
      </c>
      <c r="BP152" s="594">
        <f t="shared" si="137"/>
        <v>-214</v>
      </c>
    </row>
    <row r="153" spans="1:68" ht="17.399999999999999" customHeight="1" x14ac:dyDescent="0.55000000000000004">
      <c r="A153" s="7222"/>
      <c r="B153" s="7215"/>
      <c r="C153" s="201" t="s">
        <v>423</v>
      </c>
      <c r="D153" s="297">
        <f>D162+D163</f>
        <v>1133</v>
      </c>
      <c r="E153" s="298">
        <f t="shared" ref="E153:O153" si="156">E162+E163</f>
        <v>1042</v>
      </c>
      <c r="F153" s="298">
        <f t="shared" si="156"/>
        <v>964</v>
      </c>
      <c r="G153" s="298">
        <f t="shared" si="156"/>
        <v>1032</v>
      </c>
      <c r="H153" s="298">
        <f t="shared" si="156"/>
        <v>970</v>
      </c>
      <c r="I153" s="298">
        <f t="shared" si="156"/>
        <v>985</v>
      </c>
      <c r="J153" s="298">
        <f t="shared" si="156"/>
        <v>873</v>
      </c>
      <c r="K153" s="298">
        <f t="shared" si="156"/>
        <v>1084</v>
      </c>
      <c r="L153" s="298">
        <f t="shared" si="156"/>
        <v>825</v>
      </c>
      <c r="M153" s="298">
        <f t="shared" si="156"/>
        <v>952</v>
      </c>
      <c r="N153" s="298">
        <f t="shared" si="156"/>
        <v>1134</v>
      </c>
      <c r="O153" s="298">
        <f t="shared" si="156"/>
        <v>1015</v>
      </c>
      <c r="P153" s="298">
        <f t="shared" si="138"/>
        <v>12009</v>
      </c>
      <c r="Q153" s="299">
        <f t="shared" si="139"/>
        <v>1000.75</v>
      </c>
      <c r="R153" s="374"/>
      <c r="S153" s="297">
        <f>S162+S163</f>
        <v>1278</v>
      </c>
      <c r="T153" s="298">
        <f t="shared" ref="T153:AD153" si="157">T162+T163</f>
        <v>1332</v>
      </c>
      <c r="U153" s="298">
        <f t="shared" si="157"/>
        <v>1341</v>
      </c>
      <c r="V153" s="298">
        <f t="shared" si="157"/>
        <v>1389</v>
      </c>
      <c r="W153" s="298">
        <f t="shared" si="157"/>
        <v>1266</v>
      </c>
      <c r="X153" s="298">
        <f t="shared" si="157"/>
        <v>1254</v>
      </c>
      <c r="Y153" s="298">
        <f t="shared" si="157"/>
        <v>1071</v>
      </c>
      <c r="Z153" s="298">
        <f t="shared" si="157"/>
        <v>1499</v>
      </c>
      <c r="AA153" s="298">
        <f t="shared" si="157"/>
        <v>989</v>
      </c>
      <c r="AB153" s="298">
        <f t="shared" si="157"/>
        <v>1211</v>
      </c>
      <c r="AC153" s="298">
        <f t="shared" si="157"/>
        <v>1069</v>
      </c>
      <c r="AD153" s="298">
        <f t="shared" si="157"/>
        <v>1007</v>
      </c>
      <c r="AE153" s="298">
        <f t="shared" si="140"/>
        <v>14706</v>
      </c>
      <c r="AF153" s="299">
        <f t="shared" si="141"/>
        <v>1225.5</v>
      </c>
      <c r="AG153" s="374"/>
      <c r="AH153" s="297">
        <v>1463</v>
      </c>
      <c r="AI153" s="298">
        <v>1004</v>
      </c>
      <c r="AJ153" s="298">
        <v>1221</v>
      </c>
      <c r="AK153" s="298">
        <v>1122</v>
      </c>
      <c r="AL153" s="298">
        <v>1141</v>
      </c>
      <c r="AM153" s="298">
        <v>1083</v>
      </c>
      <c r="AN153" s="298">
        <v>1302</v>
      </c>
      <c r="AO153" s="298">
        <v>944</v>
      </c>
      <c r="AP153" s="298">
        <v>1137</v>
      </c>
      <c r="AQ153" s="298">
        <v>1005</v>
      </c>
      <c r="AR153" s="298">
        <v>974</v>
      </c>
      <c r="AS153" s="298">
        <v>899</v>
      </c>
      <c r="AT153" s="298">
        <f t="shared" si="142"/>
        <v>13295</v>
      </c>
      <c r="AU153" s="299">
        <f t="shared" si="143"/>
        <v>1107.9166666666667</v>
      </c>
      <c r="AV153" s="374"/>
      <c r="AW153" s="2017">
        <v>770</v>
      </c>
      <c r="AX153" s="298">
        <v>1738</v>
      </c>
      <c r="AY153" s="298">
        <v>1299</v>
      </c>
      <c r="AZ153" s="298">
        <v>1232</v>
      </c>
      <c r="BA153" s="298">
        <v>1739</v>
      </c>
      <c r="BB153" s="298">
        <v>1090</v>
      </c>
      <c r="BC153" s="298">
        <v>1612</v>
      </c>
      <c r="BD153" s="298">
        <v>1147</v>
      </c>
      <c r="BE153" s="298">
        <v>1291</v>
      </c>
      <c r="BF153" s="298">
        <v>994</v>
      </c>
      <c r="BG153" s="298">
        <v>937</v>
      </c>
      <c r="BH153" s="298">
        <v>857</v>
      </c>
      <c r="BI153" s="298">
        <f t="shared" si="133"/>
        <v>14706</v>
      </c>
      <c r="BJ153" s="299">
        <f t="shared" si="147"/>
        <v>1225.3978835097075</v>
      </c>
      <c r="BL153" s="317">
        <f>ROW()</f>
        <v>153</v>
      </c>
      <c r="BM153" s="1432">
        <f t="shared" si="135"/>
        <v>-42</v>
      </c>
      <c r="BN153" s="317">
        <f t="shared" si="144"/>
        <v>117.48121684304078</v>
      </c>
      <c r="BO153" s="317">
        <f t="shared" si="136"/>
        <v>1411</v>
      </c>
      <c r="BP153" s="594">
        <f t="shared" si="137"/>
        <v>-80</v>
      </c>
    </row>
    <row r="154" spans="1:68" ht="17.399999999999999" customHeight="1" x14ac:dyDescent="0.55000000000000004">
      <c r="A154" s="7222"/>
      <c r="B154" s="7207" t="s">
        <v>431</v>
      </c>
      <c r="C154" s="202" t="s">
        <v>227</v>
      </c>
      <c r="D154" s="300">
        <v>378</v>
      </c>
      <c r="E154" s="301">
        <v>411</v>
      </c>
      <c r="F154" s="301">
        <v>360</v>
      </c>
      <c r="G154" s="301">
        <v>330</v>
      </c>
      <c r="H154" s="301">
        <v>360</v>
      </c>
      <c r="I154" s="301">
        <v>401</v>
      </c>
      <c r="J154" s="301">
        <v>469</v>
      </c>
      <c r="K154" s="301">
        <v>471</v>
      </c>
      <c r="L154" s="301">
        <v>421</v>
      </c>
      <c r="M154" s="301">
        <v>354</v>
      </c>
      <c r="N154" s="301">
        <v>373</v>
      </c>
      <c r="O154" s="301">
        <v>390</v>
      </c>
      <c r="P154" s="301">
        <f t="shared" si="138"/>
        <v>4718</v>
      </c>
      <c r="Q154" s="302">
        <f t="shared" si="139"/>
        <v>393.16666666666669</v>
      </c>
      <c r="R154" s="374"/>
      <c r="S154" s="300">
        <v>502</v>
      </c>
      <c r="T154" s="301">
        <v>565</v>
      </c>
      <c r="U154" s="301">
        <v>569</v>
      </c>
      <c r="V154" s="301">
        <v>626</v>
      </c>
      <c r="W154" s="301">
        <v>533</v>
      </c>
      <c r="X154" s="301">
        <v>449</v>
      </c>
      <c r="Y154" s="301">
        <v>403</v>
      </c>
      <c r="Z154" s="301">
        <v>597</v>
      </c>
      <c r="AA154" s="301">
        <v>323</v>
      </c>
      <c r="AB154" s="301">
        <v>453</v>
      </c>
      <c r="AC154" s="301">
        <v>419</v>
      </c>
      <c r="AD154" s="301">
        <v>414</v>
      </c>
      <c r="AE154" s="301">
        <f t="shared" si="140"/>
        <v>5853</v>
      </c>
      <c r="AF154" s="302">
        <f t="shared" si="141"/>
        <v>487.75</v>
      </c>
      <c r="AG154" s="374"/>
      <c r="AH154" s="300">
        <v>576</v>
      </c>
      <c r="AI154" s="301">
        <v>429</v>
      </c>
      <c r="AJ154" s="301">
        <v>445</v>
      </c>
      <c r="AK154" s="301">
        <v>514</v>
      </c>
      <c r="AL154" s="301">
        <v>453</v>
      </c>
      <c r="AM154" s="301">
        <v>395</v>
      </c>
      <c r="AN154" s="301">
        <v>555</v>
      </c>
      <c r="AO154" s="301">
        <v>412</v>
      </c>
      <c r="AP154" s="301">
        <v>431</v>
      </c>
      <c r="AQ154" s="301">
        <v>384</v>
      </c>
      <c r="AR154" s="301">
        <v>387</v>
      </c>
      <c r="AS154" s="301">
        <v>360</v>
      </c>
      <c r="AT154" s="301">
        <f t="shared" si="142"/>
        <v>5341</v>
      </c>
      <c r="AU154" s="302">
        <f t="shared" si="143"/>
        <v>445.08333333333331</v>
      </c>
      <c r="AV154" s="374"/>
      <c r="AW154" s="2021">
        <v>313</v>
      </c>
      <c r="AX154" s="301">
        <v>682</v>
      </c>
      <c r="AY154" s="301">
        <v>481</v>
      </c>
      <c r="AZ154" s="301">
        <v>579</v>
      </c>
      <c r="BA154" s="301">
        <v>859</v>
      </c>
      <c r="BB154" s="301">
        <v>508</v>
      </c>
      <c r="BC154" s="301">
        <v>760</v>
      </c>
      <c r="BD154" s="301">
        <v>441</v>
      </c>
      <c r="BE154" s="301">
        <v>574</v>
      </c>
      <c r="BF154" s="301">
        <v>372</v>
      </c>
      <c r="BG154" s="301">
        <v>391</v>
      </c>
      <c r="BH154" s="301">
        <v>392</v>
      </c>
      <c r="BI154" s="301">
        <f t="shared" si="133"/>
        <v>6352</v>
      </c>
      <c r="BJ154" s="302">
        <f t="shared" si="147"/>
        <v>529.2892258978419</v>
      </c>
      <c r="BL154" s="317">
        <f>ROW()</f>
        <v>154</v>
      </c>
      <c r="BM154" s="1432">
        <f t="shared" si="135"/>
        <v>32</v>
      </c>
      <c r="BN154" s="317">
        <f t="shared" si="144"/>
        <v>84.205892564508588</v>
      </c>
      <c r="BO154" s="317">
        <f t="shared" si="136"/>
        <v>1011</v>
      </c>
      <c r="BP154" s="594">
        <f t="shared" si="137"/>
        <v>1</v>
      </c>
    </row>
    <row r="155" spans="1:68" ht="17.399999999999999" customHeight="1" x14ac:dyDescent="0.55000000000000004">
      <c r="A155" s="7222"/>
      <c r="B155" s="7208"/>
      <c r="C155" s="202" t="s">
        <v>228</v>
      </c>
      <c r="D155" s="300">
        <v>394</v>
      </c>
      <c r="E155" s="301">
        <v>445</v>
      </c>
      <c r="F155" s="301">
        <v>395</v>
      </c>
      <c r="G155" s="301">
        <v>392</v>
      </c>
      <c r="H155" s="301">
        <v>477</v>
      </c>
      <c r="I155" s="301">
        <v>470</v>
      </c>
      <c r="J155" s="301">
        <v>428</v>
      </c>
      <c r="K155" s="301">
        <v>473</v>
      </c>
      <c r="L155" s="301">
        <v>351</v>
      </c>
      <c r="M155" s="301">
        <v>379</v>
      </c>
      <c r="N155" s="301">
        <v>469</v>
      </c>
      <c r="O155" s="301">
        <v>468</v>
      </c>
      <c r="P155" s="301">
        <f t="shared" si="138"/>
        <v>5141</v>
      </c>
      <c r="Q155" s="302">
        <f t="shared" si="139"/>
        <v>428.41666666666669</v>
      </c>
      <c r="R155" s="374"/>
      <c r="S155" s="300">
        <v>497</v>
      </c>
      <c r="T155" s="301">
        <v>551</v>
      </c>
      <c r="U155" s="301">
        <v>423</v>
      </c>
      <c r="V155" s="301">
        <v>471</v>
      </c>
      <c r="W155" s="301">
        <v>459</v>
      </c>
      <c r="X155" s="301">
        <v>433</v>
      </c>
      <c r="Y155" s="301">
        <v>377</v>
      </c>
      <c r="Z155" s="301">
        <v>558</v>
      </c>
      <c r="AA155" s="301">
        <v>340</v>
      </c>
      <c r="AB155" s="301">
        <v>420</v>
      </c>
      <c r="AC155" s="301">
        <v>309</v>
      </c>
      <c r="AD155" s="301">
        <v>289</v>
      </c>
      <c r="AE155" s="301">
        <f t="shared" si="140"/>
        <v>5127</v>
      </c>
      <c r="AF155" s="302">
        <f t="shared" si="141"/>
        <v>427.25</v>
      </c>
      <c r="AG155" s="374"/>
      <c r="AH155" s="300">
        <v>570</v>
      </c>
      <c r="AI155" s="301">
        <v>381</v>
      </c>
      <c r="AJ155" s="301">
        <v>450</v>
      </c>
      <c r="AK155" s="301">
        <v>426</v>
      </c>
      <c r="AL155" s="301">
        <v>440</v>
      </c>
      <c r="AM155" s="301">
        <v>378</v>
      </c>
      <c r="AN155" s="301">
        <v>635</v>
      </c>
      <c r="AO155" s="301">
        <v>496</v>
      </c>
      <c r="AP155" s="301">
        <v>598</v>
      </c>
      <c r="AQ155" s="301">
        <v>481</v>
      </c>
      <c r="AR155" s="301">
        <v>462</v>
      </c>
      <c r="AS155" s="301">
        <v>424</v>
      </c>
      <c r="AT155" s="301">
        <f t="shared" si="142"/>
        <v>5741</v>
      </c>
      <c r="AU155" s="302">
        <f t="shared" si="143"/>
        <v>478.41666666666669</v>
      </c>
      <c r="AV155" s="374"/>
      <c r="AW155" s="2021">
        <v>346</v>
      </c>
      <c r="AX155" s="301">
        <v>753</v>
      </c>
      <c r="AY155" s="301">
        <v>522</v>
      </c>
      <c r="AZ155" s="301">
        <v>641</v>
      </c>
      <c r="BA155" s="301">
        <v>889</v>
      </c>
      <c r="BB155" s="301">
        <v>517</v>
      </c>
      <c r="BC155" s="301">
        <v>721</v>
      </c>
      <c r="BD155" s="301">
        <v>548</v>
      </c>
      <c r="BE155" s="301">
        <v>559</v>
      </c>
      <c r="BF155" s="301">
        <v>402</v>
      </c>
      <c r="BG155" s="301">
        <v>442</v>
      </c>
      <c r="BH155" s="301">
        <v>393</v>
      </c>
      <c r="BI155" s="301">
        <f t="shared" si="133"/>
        <v>6733</v>
      </c>
      <c r="BJ155" s="302">
        <f t="shared" si="147"/>
        <v>561.03658028497625</v>
      </c>
      <c r="BL155" s="317">
        <f>ROW()</f>
        <v>155</v>
      </c>
      <c r="BM155" s="1432">
        <f t="shared" si="135"/>
        <v>-31</v>
      </c>
      <c r="BN155" s="317">
        <f t="shared" si="144"/>
        <v>82.619913618309567</v>
      </c>
      <c r="BO155" s="317">
        <f t="shared" si="136"/>
        <v>992</v>
      </c>
      <c r="BP155" s="594">
        <f t="shared" si="137"/>
        <v>-49</v>
      </c>
    </row>
    <row r="156" spans="1:68" ht="17.399999999999999" customHeight="1" x14ac:dyDescent="0.55000000000000004">
      <c r="A156" s="7222"/>
      <c r="B156" s="7208"/>
      <c r="C156" s="203" t="s">
        <v>229</v>
      </c>
      <c r="D156" s="303">
        <v>383</v>
      </c>
      <c r="E156" s="304">
        <v>319</v>
      </c>
      <c r="F156" s="304">
        <v>360</v>
      </c>
      <c r="G156" s="304">
        <v>441</v>
      </c>
      <c r="H156" s="304">
        <v>405</v>
      </c>
      <c r="I156" s="304">
        <v>560</v>
      </c>
      <c r="J156" s="304">
        <v>574</v>
      </c>
      <c r="K156" s="304">
        <v>529</v>
      </c>
      <c r="L156" s="304">
        <v>506</v>
      </c>
      <c r="M156" s="304">
        <v>459</v>
      </c>
      <c r="N156" s="304">
        <v>402</v>
      </c>
      <c r="O156" s="304">
        <v>421</v>
      </c>
      <c r="P156" s="304">
        <f t="shared" si="138"/>
        <v>5359</v>
      </c>
      <c r="Q156" s="305">
        <f t="shared" si="139"/>
        <v>446.58333333333331</v>
      </c>
      <c r="R156" s="374"/>
      <c r="S156" s="303">
        <v>676</v>
      </c>
      <c r="T156" s="304">
        <v>652</v>
      </c>
      <c r="U156" s="304">
        <v>689</v>
      </c>
      <c r="V156" s="304">
        <v>570</v>
      </c>
      <c r="W156" s="304">
        <v>615</v>
      </c>
      <c r="X156" s="304">
        <v>522</v>
      </c>
      <c r="Y156" s="304">
        <v>480</v>
      </c>
      <c r="Z156" s="304">
        <v>624</v>
      </c>
      <c r="AA156" s="304">
        <v>440</v>
      </c>
      <c r="AB156" s="304">
        <v>584</v>
      </c>
      <c r="AC156" s="304">
        <v>452</v>
      </c>
      <c r="AD156" s="304">
        <v>423</v>
      </c>
      <c r="AE156" s="304">
        <f t="shared" si="140"/>
        <v>6727</v>
      </c>
      <c r="AF156" s="305">
        <f t="shared" si="141"/>
        <v>560.58333333333337</v>
      </c>
      <c r="AG156" s="374"/>
      <c r="AH156" s="303">
        <v>668</v>
      </c>
      <c r="AI156" s="304">
        <v>421</v>
      </c>
      <c r="AJ156" s="304">
        <v>363</v>
      </c>
      <c r="AK156" s="304">
        <v>365</v>
      </c>
      <c r="AL156" s="304">
        <v>378</v>
      </c>
      <c r="AM156" s="304">
        <v>374</v>
      </c>
      <c r="AN156" s="304">
        <v>488</v>
      </c>
      <c r="AO156" s="304">
        <v>373</v>
      </c>
      <c r="AP156" s="304">
        <v>367</v>
      </c>
      <c r="AQ156" s="304">
        <v>350</v>
      </c>
      <c r="AR156" s="304">
        <v>407</v>
      </c>
      <c r="AS156" s="304">
        <v>335</v>
      </c>
      <c r="AT156" s="304">
        <f t="shared" si="142"/>
        <v>4889</v>
      </c>
      <c r="AU156" s="305">
        <f t="shared" si="143"/>
        <v>407.41666666666669</v>
      </c>
      <c r="AV156" s="374"/>
      <c r="AW156" s="2022">
        <v>348</v>
      </c>
      <c r="AX156" s="304">
        <v>603</v>
      </c>
      <c r="AY156" s="304">
        <v>440</v>
      </c>
      <c r="AZ156" s="304">
        <v>480</v>
      </c>
      <c r="BA156" s="304">
        <v>795</v>
      </c>
      <c r="BB156" s="304">
        <v>415</v>
      </c>
      <c r="BC156" s="304">
        <v>641</v>
      </c>
      <c r="BD156" s="304">
        <v>441</v>
      </c>
      <c r="BE156" s="304">
        <v>549</v>
      </c>
      <c r="BF156" s="304">
        <v>384</v>
      </c>
      <c r="BG156" s="304">
        <v>310</v>
      </c>
      <c r="BH156" s="304">
        <v>326</v>
      </c>
      <c r="BI156" s="304">
        <f t="shared" si="133"/>
        <v>5732</v>
      </c>
      <c r="BJ156" s="305">
        <f t="shared" si="147"/>
        <v>477.62686442796434</v>
      </c>
      <c r="BL156" s="317">
        <f>ROW()</f>
        <v>156</v>
      </c>
      <c r="BM156" s="1432">
        <f t="shared" si="135"/>
        <v>-9</v>
      </c>
      <c r="BN156" s="317">
        <f t="shared" si="144"/>
        <v>70.21019776129765</v>
      </c>
      <c r="BO156" s="317">
        <f t="shared" si="136"/>
        <v>843</v>
      </c>
      <c r="BP156" s="594">
        <f t="shared" si="137"/>
        <v>16</v>
      </c>
    </row>
    <row r="157" spans="1:68" ht="17.399999999999999" customHeight="1" x14ac:dyDescent="0.55000000000000004">
      <c r="A157" s="7222"/>
      <c r="B157" s="7208"/>
      <c r="C157" s="203" t="s">
        <v>230</v>
      </c>
      <c r="D157" s="303">
        <v>601</v>
      </c>
      <c r="E157" s="304">
        <v>487</v>
      </c>
      <c r="F157" s="304">
        <v>478</v>
      </c>
      <c r="G157" s="304">
        <v>566</v>
      </c>
      <c r="H157" s="304">
        <v>527</v>
      </c>
      <c r="I157" s="304">
        <v>588</v>
      </c>
      <c r="J157" s="304">
        <v>614</v>
      </c>
      <c r="K157" s="304">
        <v>593</v>
      </c>
      <c r="L157" s="304">
        <v>479</v>
      </c>
      <c r="M157" s="304">
        <v>497</v>
      </c>
      <c r="N157" s="304">
        <v>490</v>
      </c>
      <c r="O157" s="304">
        <v>536</v>
      </c>
      <c r="P157" s="304">
        <f t="shared" si="138"/>
        <v>6456</v>
      </c>
      <c r="Q157" s="305">
        <f t="shared" si="139"/>
        <v>538</v>
      </c>
      <c r="R157" s="374"/>
      <c r="S157" s="303">
        <v>622</v>
      </c>
      <c r="T157" s="304">
        <v>709</v>
      </c>
      <c r="U157" s="304">
        <v>682</v>
      </c>
      <c r="V157" s="304">
        <v>650</v>
      </c>
      <c r="W157" s="304">
        <v>680</v>
      </c>
      <c r="X157" s="304">
        <v>631</v>
      </c>
      <c r="Y157" s="304">
        <v>490</v>
      </c>
      <c r="Z157" s="304">
        <v>779</v>
      </c>
      <c r="AA157" s="304">
        <v>430</v>
      </c>
      <c r="AB157" s="304">
        <v>662</v>
      </c>
      <c r="AC157" s="304">
        <v>553</v>
      </c>
      <c r="AD157" s="304">
        <v>457</v>
      </c>
      <c r="AE157" s="304">
        <f t="shared" si="140"/>
        <v>7345</v>
      </c>
      <c r="AF157" s="305">
        <f t="shared" si="141"/>
        <v>612.08333333333337</v>
      </c>
      <c r="AG157" s="374"/>
      <c r="AH157" s="303">
        <v>718</v>
      </c>
      <c r="AI157" s="304">
        <v>556</v>
      </c>
      <c r="AJ157" s="304">
        <v>532</v>
      </c>
      <c r="AK157" s="304">
        <v>507</v>
      </c>
      <c r="AL157" s="304">
        <v>558</v>
      </c>
      <c r="AM157" s="304">
        <v>457</v>
      </c>
      <c r="AN157" s="304">
        <v>630</v>
      </c>
      <c r="AO157" s="304">
        <v>495</v>
      </c>
      <c r="AP157" s="304">
        <v>538</v>
      </c>
      <c r="AQ157" s="304">
        <v>500</v>
      </c>
      <c r="AR157" s="304">
        <v>549</v>
      </c>
      <c r="AS157" s="304">
        <v>491</v>
      </c>
      <c r="AT157" s="304">
        <f t="shared" si="142"/>
        <v>6531</v>
      </c>
      <c r="AU157" s="305">
        <f t="shared" si="143"/>
        <v>544.25</v>
      </c>
      <c r="AV157" s="374"/>
      <c r="AW157" s="2022">
        <v>432</v>
      </c>
      <c r="AX157" s="304">
        <v>825</v>
      </c>
      <c r="AY157" s="304">
        <v>608</v>
      </c>
      <c r="AZ157" s="304">
        <v>568</v>
      </c>
      <c r="BA157" s="304">
        <v>1008</v>
      </c>
      <c r="BB157" s="304">
        <v>547</v>
      </c>
      <c r="BC157" s="304">
        <v>734</v>
      </c>
      <c r="BD157" s="304">
        <v>557</v>
      </c>
      <c r="BE157" s="304">
        <v>644</v>
      </c>
      <c r="BF157" s="304">
        <v>438</v>
      </c>
      <c r="BG157" s="304">
        <v>428</v>
      </c>
      <c r="BH157" s="304">
        <v>444</v>
      </c>
      <c r="BI157" s="304">
        <f t="shared" si="133"/>
        <v>7233</v>
      </c>
      <c r="BJ157" s="305">
        <f t="shared" si="147"/>
        <v>602.69977501874848</v>
      </c>
      <c r="BL157" s="317">
        <f>ROW()</f>
        <v>157</v>
      </c>
      <c r="BM157" s="1432">
        <f t="shared" si="135"/>
        <v>-47</v>
      </c>
      <c r="BN157" s="317">
        <f t="shared" si="144"/>
        <v>58.449775018748483</v>
      </c>
      <c r="BO157" s="317">
        <f t="shared" si="136"/>
        <v>702</v>
      </c>
      <c r="BP157" s="594">
        <f t="shared" si="137"/>
        <v>16</v>
      </c>
    </row>
    <row r="158" spans="1:68" ht="17.399999999999999" customHeight="1" x14ac:dyDescent="0.55000000000000004">
      <c r="A158" s="7222"/>
      <c r="B158" s="7208"/>
      <c r="C158" s="202" t="s">
        <v>231</v>
      </c>
      <c r="D158" s="300">
        <v>775</v>
      </c>
      <c r="E158" s="301">
        <v>802</v>
      </c>
      <c r="F158" s="301">
        <v>848</v>
      </c>
      <c r="G158" s="301">
        <v>846</v>
      </c>
      <c r="H158" s="301">
        <v>815</v>
      </c>
      <c r="I158" s="301">
        <v>862</v>
      </c>
      <c r="J158" s="301">
        <v>891</v>
      </c>
      <c r="K158" s="301">
        <v>912</v>
      </c>
      <c r="L158" s="301">
        <v>771</v>
      </c>
      <c r="M158" s="301">
        <v>814</v>
      </c>
      <c r="N158" s="301">
        <v>962</v>
      </c>
      <c r="O158" s="301">
        <v>910</v>
      </c>
      <c r="P158" s="301">
        <f t="shared" si="138"/>
        <v>10208</v>
      </c>
      <c r="Q158" s="302">
        <f t="shared" si="139"/>
        <v>850.66666666666663</v>
      </c>
      <c r="R158" s="374"/>
      <c r="S158" s="300">
        <v>1086</v>
      </c>
      <c r="T158" s="301">
        <v>1091</v>
      </c>
      <c r="U158" s="301">
        <v>1063</v>
      </c>
      <c r="V158" s="301">
        <v>1092</v>
      </c>
      <c r="W158" s="301">
        <v>976</v>
      </c>
      <c r="X158" s="301">
        <v>1027</v>
      </c>
      <c r="Y158" s="301">
        <v>825</v>
      </c>
      <c r="Z158" s="301">
        <v>1072</v>
      </c>
      <c r="AA158" s="301">
        <v>729</v>
      </c>
      <c r="AB158" s="301">
        <v>933</v>
      </c>
      <c r="AC158" s="301">
        <v>958</v>
      </c>
      <c r="AD158" s="301">
        <v>777</v>
      </c>
      <c r="AE158" s="301">
        <f t="shared" si="140"/>
        <v>11629</v>
      </c>
      <c r="AF158" s="302">
        <f t="shared" si="141"/>
        <v>969.08333333333337</v>
      </c>
      <c r="AG158" s="374"/>
      <c r="AH158" s="300">
        <v>1169</v>
      </c>
      <c r="AI158" s="301">
        <v>1000</v>
      </c>
      <c r="AJ158" s="301">
        <v>730</v>
      </c>
      <c r="AK158" s="301">
        <v>724</v>
      </c>
      <c r="AL158" s="301">
        <v>817</v>
      </c>
      <c r="AM158" s="301">
        <v>656</v>
      </c>
      <c r="AN158" s="301">
        <v>979</v>
      </c>
      <c r="AO158" s="301">
        <v>722</v>
      </c>
      <c r="AP158" s="301">
        <v>820</v>
      </c>
      <c r="AQ158" s="301">
        <v>792</v>
      </c>
      <c r="AR158" s="301">
        <v>745</v>
      </c>
      <c r="AS158" s="301">
        <v>667</v>
      </c>
      <c r="AT158" s="301">
        <f t="shared" si="142"/>
        <v>9821</v>
      </c>
      <c r="AU158" s="302">
        <f t="shared" si="143"/>
        <v>818.41666666666663</v>
      </c>
      <c r="AV158" s="374"/>
      <c r="AW158" s="2021">
        <v>603</v>
      </c>
      <c r="AX158" s="301">
        <v>1188</v>
      </c>
      <c r="AY158" s="301">
        <v>725</v>
      </c>
      <c r="AZ158" s="301">
        <v>835</v>
      </c>
      <c r="BA158" s="301">
        <v>1365</v>
      </c>
      <c r="BB158" s="301">
        <v>833</v>
      </c>
      <c r="BC158" s="301">
        <v>1152</v>
      </c>
      <c r="BD158" s="301">
        <v>767</v>
      </c>
      <c r="BE158" s="301">
        <v>832</v>
      </c>
      <c r="BF158" s="301">
        <v>656</v>
      </c>
      <c r="BG158" s="301">
        <v>652</v>
      </c>
      <c r="BH158" s="301">
        <v>629</v>
      </c>
      <c r="BI158" s="301">
        <f t="shared" si="133"/>
        <v>10237</v>
      </c>
      <c r="BJ158" s="302">
        <f t="shared" si="147"/>
        <v>853.01224897925181</v>
      </c>
      <c r="BL158" s="317">
        <f>ROW()</f>
        <v>158</v>
      </c>
      <c r="BM158" s="1432">
        <f t="shared" si="135"/>
        <v>-38</v>
      </c>
      <c r="BN158" s="317">
        <f t="shared" si="144"/>
        <v>34.595582312585179</v>
      </c>
      <c r="BO158" s="317">
        <f t="shared" si="136"/>
        <v>416</v>
      </c>
      <c r="BP158" s="594">
        <f t="shared" si="137"/>
        <v>-23</v>
      </c>
    </row>
    <row r="159" spans="1:68" ht="17.399999999999999" customHeight="1" x14ac:dyDescent="0.55000000000000004">
      <c r="A159" s="7222"/>
      <c r="B159" s="7208"/>
      <c r="C159" s="202" t="s">
        <v>232</v>
      </c>
      <c r="D159" s="300">
        <v>596</v>
      </c>
      <c r="E159" s="301">
        <v>501</v>
      </c>
      <c r="F159" s="301">
        <v>527</v>
      </c>
      <c r="G159" s="301">
        <v>614</v>
      </c>
      <c r="H159" s="301">
        <v>604</v>
      </c>
      <c r="I159" s="301">
        <v>592</v>
      </c>
      <c r="J159" s="301">
        <v>550</v>
      </c>
      <c r="K159" s="301">
        <v>665</v>
      </c>
      <c r="L159" s="301">
        <v>557</v>
      </c>
      <c r="M159" s="301">
        <v>593</v>
      </c>
      <c r="N159" s="301">
        <v>672</v>
      </c>
      <c r="O159" s="301">
        <v>597</v>
      </c>
      <c r="P159" s="301">
        <f t="shared" si="138"/>
        <v>7068</v>
      </c>
      <c r="Q159" s="302">
        <f t="shared" si="139"/>
        <v>589</v>
      </c>
      <c r="R159" s="374"/>
      <c r="S159" s="300">
        <v>749</v>
      </c>
      <c r="T159" s="301">
        <v>759</v>
      </c>
      <c r="U159" s="301">
        <v>859</v>
      </c>
      <c r="V159" s="301">
        <v>746</v>
      </c>
      <c r="W159" s="301">
        <v>770</v>
      </c>
      <c r="X159" s="301">
        <v>743</v>
      </c>
      <c r="Y159" s="301">
        <v>584</v>
      </c>
      <c r="Z159" s="301">
        <v>896</v>
      </c>
      <c r="AA159" s="301">
        <v>622</v>
      </c>
      <c r="AB159" s="301">
        <v>727</v>
      </c>
      <c r="AC159" s="301">
        <v>689</v>
      </c>
      <c r="AD159" s="301">
        <v>493</v>
      </c>
      <c r="AE159" s="301">
        <f t="shared" si="140"/>
        <v>8637</v>
      </c>
      <c r="AF159" s="302">
        <f t="shared" si="141"/>
        <v>719.75</v>
      </c>
      <c r="AG159" s="374"/>
      <c r="AH159" s="300">
        <v>889</v>
      </c>
      <c r="AI159" s="301">
        <v>662</v>
      </c>
      <c r="AJ159" s="301">
        <v>553</v>
      </c>
      <c r="AK159" s="301">
        <v>525</v>
      </c>
      <c r="AL159" s="301">
        <v>531</v>
      </c>
      <c r="AM159" s="301">
        <v>372</v>
      </c>
      <c r="AN159" s="301">
        <v>588</v>
      </c>
      <c r="AO159" s="301">
        <v>469</v>
      </c>
      <c r="AP159" s="301">
        <v>527</v>
      </c>
      <c r="AQ159" s="301">
        <v>546</v>
      </c>
      <c r="AR159" s="301">
        <v>478</v>
      </c>
      <c r="AS159" s="301">
        <v>443</v>
      </c>
      <c r="AT159" s="301">
        <f t="shared" si="142"/>
        <v>6583</v>
      </c>
      <c r="AU159" s="302">
        <f t="shared" si="143"/>
        <v>548.58333333333337</v>
      </c>
      <c r="AV159" s="374"/>
      <c r="AW159" s="2021">
        <v>366</v>
      </c>
      <c r="AX159" s="301">
        <v>746</v>
      </c>
      <c r="AY159" s="301">
        <v>553</v>
      </c>
      <c r="AZ159" s="301">
        <v>605</v>
      </c>
      <c r="BA159" s="301">
        <v>900</v>
      </c>
      <c r="BB159" s="301">
        <v>559</v>
      </c>
      <c r="BC159" s="301">
        <v>785</v>
      </c>
      <c r="BD159" s="301">
        <v>552</v>
      </c>
      <c r="BE159" s="301">
        <v>666</v>
      </c>
      <c r="BF159" s="301">
        <v>434</v>
      </c>
      <c r="BG159" s="301">
        <v>462</v>
      </c>
      <c r="BH159" s="301">
        <v>402</v>
      </c>
      <c r="BI159" s="301">
        <f t="shared" si="133"/>
        <v>7030</v>
      </c>
      <c r="BJ159" s="302">
        <f t="shared" si="147"/>
        <v>585.78451795683691</v>
      </c>
      <c r="BL159" s="317">
        <f>ROW()</f>
        <v>159</v>
      </c>
      <c r="BM159" s="1432">
        <f t="shared" si="135"/>
        <v>-41</v>
      </c>
      <c r="BN159" s="317">
        <f t="shared" si="144"/>
        <v>37.201184623503536</v>
      </c>
      <c r="BO159" s="317">
        <f t="shared" si="136"/>
        <v>447</v>
      </c>
      <c r="BP159" s="594">
        <f t="shared" si="137"/>
        <v>-60</v>
      </c>
    </row>
    <row r="160" spans="1:68" ht="17.399999999999999" customHeight="1" x14ac:dyDescent="0.55000000000000004">
      <c r="A160" s="7222"/>
      <c r="B160" s="7208"/>
      <c r="C160" s="203" t="s">
        <v>233</v>
      </c>
      <c r="D160" s="303">
        <v>971</v>
      </c>
      <c r="E160" s="304">
        <v>823</v>
      </c>
      <c r="F160" s="304">
        <v>944</v>
      </c>
      <c r="G160" s="304">
        <v>1113</v>
      </c>
      <c r="H160" s="304">
        <v>1235</v>
      </c>
      <c r="I160" s="304">
        <v>1296</v>
      </c>
      <c r="J160" s="304">
        <v>1239</v>
      </c>
      <c r="K160" s="304">
        <v>1290</v>
      </c>
      <c r="L160" s="304">
        <v>981</v>
      </c>
      <c r="M160" s="304">
        <v>1117</v>
      </c>
      <c r="N160" s="304">
        <v>1310</v>
      </c>
      <c r="O160" s="304">
        <v>1267</v>
      </c>
      <c r="P160" s="304">
        <f t="shared" si="138"/>
        <v>13586</v>
      </c>
      <c r="Q160" s="305">
        <f t="shared" si="139"/>
        <v>1132.1666666666667</v>
      </c>
      <c r="R160" s="374"/>
      <c r="S160" s="303">
        <v>1334</v>
      </c>
      <c r="T160" s="304">
        <v>1448</v>
      </c>
      <c r="U160" s="304">
        <v>1370</v>
      </c>
      <c r="V160" s="304">
        <v>1406</v>
      </c>
      <c r="W160" s="304">
        <v>1251</v>
      </c>
      <c r="X160" s="304">
        <v>1282</v>
      </c>
      <c r="Y160" s="304">
        <v>1000</v>
      </c>
      <c r="Z160" s="304">
        <v>1505</v>
      </c>
      <c r="AA160" s="304">
        <v>925</v>
      </c>
      <c r="AB160" s="304">
        <v>1212</v>
      </c>
      <c r="AC160" s="304">
        <v>1142</v>
      </c>
      <c r="AD160" s="304">
        <v>969</v>
      </c>
      <c r="AE160" s="304">
        <f t="shared" si="140"/>
        <v>14844</v>
      </c>
      <c r="AF160" s="305">
        <f t="shared" si="141"/>
        <v>1237</v>
      </c>
      <c r="AG160" s="374"/>
      <c r="AH160" s="303">
        <v>1487</v>
      </c>
      <c r="AI160" s="304">
        <v>1345</v>
      </c>
      <c r="AJ160" s="304">
        <v>990</v>
      </c>
      <c r="AK160" s="304">
        <v>1073</v>
      </c>
      <c r="AL160" s="304">
        <v>1109</v>
      </c>
      <c r="AM160" s="304">
        <v>977</v>
      </c>
      <c r="AN160" s="304">
        <v>1205</v>
      </c>
      <c r="AO160" s="304">
        <v>904</v>
      </c>
      <c r="AP160" s="304">
        <v>933</v>
      </c>
      <c r="AQ160" s="304">
        <v>1024</v>
      </c>
      <c r="AR160" s="304">
        <v>909</v>
      </c>
      <c r="AS160" s="304">
        <v>896</v>
      </c>
      <c r="AT160" s="304">
        <f t="shared" si="142"/>
        <v>12852</v>
      </c>
      <c r="AU160" s="305">
        <f t="shared" si="143"/>
        <v>1071</v>
      </c>
      <c r="AV160" s="374"/>
      <c r="AW160" s="2022">
        <v>549</v>
      </c>
      <c r="AX160" s="304">
        <v>1356</v>
      </c>
      <c r="AY160" s="304">
        <v>1025</v>
      </c>
      <c r="AZ160" s="304">
        <v>1233</v>
      </c>
      <c r="BA160" s="304">
        <v>1441</v>
      </c>
      <c r="BB160" s="304">
        <v>1032</v>
      </c>
      <c r="BC160" s="304">
        <v>1464</v>
      </c>
      <c r="BD160" s="304">
        <v>1025</v>
      </c>
      <c r="BE160" s="304">
        <v>976</v>
      </c>
      <c r="BF160" s="304">
        <v>912</v>
      </c>
      <c r="BG160" s="304">
        <v>743</v>
      </c>
      <c r="BH160" s="304">
        <v>617</v>
      </c>
      <c r="BI160" s="304">
        <f t="shared" si="133"/>
        <v>12373</v>
      </c>
      <c r="BJ160" s="305">
        <f t="shared" si="147"/>
        <v>1030.9974168819265</v>
      </c>
      <c r="BL160" s="317">
        <f>ROW()</f>
        <v>160</v>
      </c>
      <c r="BM160" s="1432">
        <f t="shared" si="135"/>
        <v>-279</v>
      </c>
      <c r="BN160" s="317">
        <f t="shared" si="144"/>
        <v>-40.002583118073517</v>
      </c>
      <c r="BO160" s="317">
        <f t="shared" si="136"/>
        <v>-479</v>
      </c>
      <c r="BP160" s="594">
        <f t="shared" si="137"/>
        <v>-126</v>
      </c>
    </row>
    <row r="161" spans="1:68" ht="17.399999999999999" customHeight="1" x14ac:dyDescent="0.55000000000000004">
      <c r="A161" s="7222"/>
      <c r="B161" s="7208"/>
      <c r="C161" s="203" t="s">
        <v>234</v>
      </c>
      <c r="D161" s="303">
        <v>594</v>
      </c>
      <c r="E161" s="304">
        <v>570</v>
      </c>
      <c r="F161" s="304">
        <v>668</v>
      </c>
      <c r="G161" s="304">
        <v>602</v>
      </c>
      <c r="H161" s="304">
        <v>506</v>
      </c>
      <c r="I161" s="304">
        <v>688</v>
      </c>
      <c r="J161" s="304">
        <v>542</v>
      </c>
      <c r="K161" s="304">
        <v>656</v>
      </c>
      <c r="L161" s="304">
        <v>545</v>
      </c>
      <c r="M161" s="304">
        <v>581</v>
      </c>
      <c r="N161" s="304">
        <v>776</v>
      </c>
      <c r="O161" s="304">
        <v>672</v>
      </c>
      <c r="P161" s="304">
        <f t="shared" si="138"/>
        <v>7400</v>
      </c>
      <c r="Q161" s="305">
        <f t="shared" si="139"/>
        <v>616.66666666666663</v>
      </c>
      <c r="R161" s="374"/>
      <c r="S161" s="303">
        <v>880</v>
      </c>
      <c r="T161" s="304">
        <v>883</v>
      </c>
      <c r="U161" s="304">
        <v>753</v>
      </c>
      <c r="V161" s="304">
        <v>829</v>
      </c>
      <c r="W161" s="304">
        <v>819</v>
      </c>
      <c r="X161" s="304">
        <v>814</v>
      </c>
      <c r="Y161" s="304">
        <v>663</v>
      </c>
      <c r="Z161" s="304">
        <v>928</v>
      </c>
      <c r="AA161" s="304">
        <v>555</v>
      </c>
      <c r="AB161" s="304">
        <v>643</v>
      </c>
      <c r="AC161" s="304">
        <v>663</v>
      </c>
      <c r="AD161" s="304">
        <v>643</v>
      </c>
      <c r="AE161" s="304">
        <f t="shared" si="140"/>
        <v>9073</v>
      </c>
      <c r="AF161" s="305">
        <f t="shared" si="141"/>
        <v>756.08333333333337</v>
      </c>
      <c r="AG161" s="374"/>
      <c r="AH161" s="303">
        <v>969</v>
      </c>
      <c r="AI161" s="304">
        <v>743</v>
      </c>
      <c r="AJ161" s="304">
        <v>691</v>
      </c>
      <c r="AK161" s="304">
        <v>636</v>
      </c>
      <c r="AL161" s="304">
        <v>679</v>
      </c>
      <c r="AM161" s="304">
        <v>620</v>
      </c>
      <c r="AN161" s="304">
        <v>805</v>
      </c>
      <c r="AO161" s="304">
        <v>562</v>
      </c>
      <c r="AP161" s="304">
        <v>678</v>
      </c>
      <c r="AQ161" s="304">
        <v>619</v>
      </c>
      <c r="AR161" s="304">
        <v>616</v>
      </c>
      <c r="AS161" s="304">
        <v>484</v>
      </c>
      <c r="AT161" s="304">
        <f t="shared" si="142"/>
        <v>8102</v>
      </c>
      <c r="AU161" s="305">
        <f t="shared" si="143"/>
        <v>675.16666666666663</v>
      </c>
      <c r="AV161" s="374"/>
      <c r="AW161" s="2022">
        <v>474</v>
      </c>
      <c r="AX161" s="304">
        <v>945</v>
      </c>
      <c r="AY161" s="304">
        <v>673</v>
      </c>
      <c r="AZ161" s="304">
        <v>758</v>
      </c>
      <c r="BA161" s="304">
        <v>1011</v>
      </c>
      <c r="BB161" s="304">
        <v>687</v>
      </c>
      <c r="BC161" s="304">
        <v>1011</v>
      </c>
      <c r="BD161" s="304">
        <v>590</v>
      </c>
      <c r="BE161" s="304">
        <v>723</v>
      </c>
      <c r="BF161" s="304">
        <v>498</v>
      </c>
      <c r="BG161" s="304">
        <v>537</v>
      </c>
      <c r="BH161" s="304">
        <v>449</v>
      </c>
      <c r="BI161" s="304">
        <f t="shared" si="133"/>
        <v>8356</v>
      </c>
      <c r="BJ161" s="305">
        <f t="shared" si="147"/>
        <v>696.27531039080077</v>
      </c>
      <c r="BL161" s="317">
        <f>ROW()</f>
        <v>161</v>
      </c>
      <c r="BM161" s="1432">
        <f t="shared" si="135"/>
        <v>-35</v>
      </c>
      <c r="BN161" s="317">
        <f t="shared" si="144"/>
        <v>21.10864372413414</v>
      </c>
      <c r="BO161" s="317">
        <f t="shared" si="136"/>
        <v>254</v>
      </c>
      <c r="BP161" s="594">
        <f t="shared" si="137"/>
        <v>-88</v>
      </c>
    </row>
    <row r="162" spans="1:68" ht="17.399999999999999" customHeight="1" x14ac:dyDescent="0.55000000000000004">
      <c r="A162" s="7222"/>
      <c r="B162" s="7208"/>
      <c r="C162" s="202" t="s">
        <v>235</v>
      </c>
      <c r="D162" s="300">
        <v>612</v>
      </c>
      <c r="E162" s="301">
        <v>566</v>
      </c>
      <c r="F162" s="301">
        <v>523</v>
      </c>
      <c r="G162" s="301">
        <v>534</v>
      </c>
      <c r="H162" s="301">
        <v>527</v>
      </c>
      <c r="I162" s="301">
        <v>533</v>
      </c>
      <c r="J162" s="301">
        <v>474</v>
      </c>
      <c r="K162" s="301">
        <v>615</v>
      </c>
      <c r="L162" s="301">
        <v>401</v>
      </c>
      <c r="M162" s="301">
        <v>508</v>
      </c>
      <c r="N162" s="301">
        <v>672</v>
      </c>
      <c r="O162" s="301">
        <v>547</v>
      </c>
      <c r="P162" s="301">
        <f t="shared" si="138"/>
        <v>6512</v>
      </c>
      <c r="Q162" s="302">
        <f t="shared" si="139"/>
        <v>542.66666666666663</v>
      </c>
      <c r="R162" s="374"/>
      <c r="S162" s="300">
        <v>743</v>
      </c>
      <c r="T162" s="301">
        <v>788</v>
      </c>
      <c r="U162" s="301">
        <v>661</v>
      </c>
      <c r="V162" s="301">
        <v>669</v>
      </c>
      <c r="W162" s="301">
        <v>631</v>
      </c>
      <c r="X162" s="301">
        <v>659</v>
      </c>
      <c r="Y162" s="301">
        <v>526</v>
      </c>
      <c r="Z162" s="301">
        <v>809</v>
      </c>
      <c r="AA162" s="301">
        <v>457</v>
      </c>
      <c r="AB162" s="301">
        <v>613</v>
      </c>
      <c r="AC162" s="301">
        <v>489</v>
      </c>
      <c r="AD162" s="301">
        <v>452</v>
      </c>
      <c r="AE162" s="301">
        <f t="shared" si="140"/>
        <v>7497</v>
      </c>
      <c r="AF162" s="302">
        <f t="shared" si="141"/>
        <v>624.75</v>
      </c>
      <c r="AG162" s="374"/>
      <c r="AH162" s="300">
        <v>754</v>
      </c>
      <c r="AI162" s="301">
        <v>458</v>
      </c>
      <c r="AJ162" s="301">
        <v>659</v>
      </c>
      <c r="AK162" s="301">
        <v>606</v>
      </c>
      <c r="AL162" s="301">
        <v>585</v>
      </c>
      <c r="AM162" s="301">
        <v>575</v>
      </c>
      <c r="AN162" s="301">
        <v>679</v>
      </c>
      <c r="AO162" s="301">
        <v>520</v>
      </c>
      <c r="AP162" s="301">
        <v>523</v>
      </c>
      <c r="AQ162" s="301">
        <v>487</v>
      </c>
      <c r="AR162" s="301">
        <v>506</v>
      </c>
      <c r="AS162" s="301">
        <v>475</v>
      </c>
      <c r="AT162" s="301">
        <f t="shared" si="142"/>
        <v>6827</v>
      </c>
      <c r="AU162" s="302">
        <f t="shared" si="143"/>
        <v>568.91666666666663</v>
      </c>
      <c r="AV162" s="374"/>
      <c r="AW162" s="2021">
        <v>403</v>
      </c>
      <c r="AX162" s="301">
        <v>964</v>
      </c>
      <c r="AY162" s="301">
        <v>657</v>
      </c>
      <c r="AZ162" s="301">
        <v>641</v>
      </c>
      <c r="BA162" s="301">
        <v>912</v>
      </c>
      <c r="BB162" s="301">
        <v>509</v>
      </c>
      <c r="BC162" s="301">
        <v>812</v>
      </c>
      <c r="BD162" s="301">
        <v>573</v>
      </c>
      <c r="BE162" s="301">
        <v>715</v>
      </c>
      <c r="BF162" s="301">
        <v>495</v>
      </c>
      <c r="BG162" s="301">
        <v>447</v>
      </c>
      <c r="BH162" s="301">
        <v>417</v>
      </c>
      <c r="BI162" s="301">
        <f t="shared" si="133"/>
        <v>7545</v>
      </c>
      <c r="BJ162" s="302">
        <f t="shared" si="147"/>
        <v>628.69760853262233</v>
      </c>
      <c r="BL162" s="317">
        <f>ROW()</f>
        <v>162</v>
      </c>
      <c r="BM162" s="1432">
        <f t="shared" si="135"/>
        <v>-58</v>
      </c>
      <c r="BN162" s="317">
        <f t="shared" si="144"/>
        <v>59.780941865955697</v>
      </c>
      <c r="BO162" s="317">
        <f t="shared" si="136"/>
        <v>718</v>
      </c>
      <c r="BP162" s="594">
        <f t="shared" si="137"/>
        <v>-30</v>
      </c>
    </row>
    <row r="163" spans="1:68" ht="18" customHeight="1" thickBot="1" x14ac:dyDescent="0.6">
      <c r="A163" s="7222"/>
      <c r="B163" s="7209"/>
      <c r="C163" s="204" t="s">
        <v>236</v>
      </c>
      <c r="D163" s="306">
        <v>521</v>
      </c>
      <c r="E163" s="307">
        <v>476</v>
      </c>
      <c r="F163" s="307">
        <v>441</v>
      </c>
      <c r="G163" s="307">
        <v>498</v>
      </c>
      <c r="H163" s="307">
        <v>443</v>
      </c>
      <c r="I163" s="307">
        <v>452</v>
      </c>
      <c r="J163" s="307">
        <v>399</v>
      </c>
      <c r="K163" s="307">
        <v>469</v>
      </c>
      <c r="L163" s="307">
        <v>424</v>
      </c>
      <c r="M163" s="307">
        <v>444</v>
      </c>
      <c r="N163" s="307">
        <v>462</v>
      </c>
      <c r="O163" s="307">
        <v>468</v>
      </c>
      <c r="P163" s="307">
        <f t="shared" si="138"/>
        <v>5497</v>
      </c>
      <c r="Q163" s="308">
        <f t="shared" si="139"/>
        <v>458.08333333333331</v>
      </c>
      <c r="R163" s="374"/>
      <c r="S163" s="306">
        <v>535</v>
      </c>
      <c r="T163" s="307">
        <v>544</v>
      </c>
      <c r="U163" s="307">
        <v>680</v>
      </c>
      <c r="V163" s="307">
        <v>720</v>
      </c>
      <c r="W163" s="307">
        <v>635</v>
      </c>
      <c r="X163" s="307">
        <v>595</v>
      </c>
      <c r="Y163" s="307">
        <v>545</v>
      </c>
      <c r="Z163" s="307">
        <v>690</v>
      </c>
      <c r="AA163" s="307">
        <v>532</v>
      </c>
      <c r="AB163" s="307">
        <v>598</v>
      </c>
      <c r="AC163" s="307">
        <v>580</v>
      </c>
      <c r="AD163" s="307">
        <v>555</v>
      </c>
      <c r="AE163" s="307">
        <f t="shared" si="140"/>
        <v>7209</v>
      </c>
      <c r="AF163" s="308">
        <f t="shared" si="141"/>
        <v>600.75</v>
      </c>
      <c r="AG163" s="374"/>
      <c r="AH163" s="306">
        <v>709</v>
      </c>
      <c r="AI163" s="307">
        <v>546</v>
      </c>
      <c r="AJ163" s="307">
        <v>562</v>
      </c>
      <c r="AK163" s="307">
        <v>516</v>
      </c>
      <c r="AL163" s="307">
        <v>556</v>
      </c>
      <c r="AM163" s="307">
        <v>508</v>
      </c>
      <c r="AN163" s="307">
        <v>623</v>
      </c>
      <c r="AO163" s="307">
        <v>424</v>
      </c>
      <c r="AP163" s="307">
        <v>614</v>
      </c>
      <c r="AQ163" s="307">
        <v>518</v>
      </c>
      <c r="AR163" s="307">
        <v>468</v>
      </c>
      <c r="AS163" s="307">
        <v>424</v>
      </c>
      <c r="AT163" s="307">
        <f t="shared" si="142"/>
        <v>6468</v>
      </c>
      <c r="AU163" s="308">
        <f t="shared" si="143"/>
        <v>539</v>
      </c>
      <c r="AV163" s="374"/>
      <c r="AW163" s="2023">
        <v>367</v>
      </c>
      <c r="AX163" s="307">
        <v>774</v>
      </c>
      <c r="AY163" s="307">
        <v>642</v>
      </c>
      <c r="AZ163" s="307">
        <v>591</v>
      </c>
      <c r="BA163" s="307">
        <v>827</v>
      </c>
      <c r="BB163" s="307">
        <v>581</v>
      </c>
      <c r="BC163" s="307">
        <v>800</v>
      </c>
      <c r="BD163" s="307">
        <v>574</v>
      </c>
      <c r="BE163" s="307">
        <v>576</v>
      </c>
      <c r="BF163" s="307">
        <v>499</v>
      </c>
      <c r="BG163" s="307">
        <v>490</v>
      </c>
      <c r="BH163" s="307">
        <v>440</v>
      </c>
      <c r="BI163" s="307">
        <f t="shared" si="133"/>
        <v>7161</v>
      </c>
      <c r="BJ163" s="308">
        <f t="shared" si="147"/>
        <v>596.70027497708531</v>
      </c>
      <c r="BL163" s="317">
        <f>ROW()</f>
        <v>163</v>
      </c>
      <c r="BM163" s="1432">
        <f t="shared" si="135"/>
        <v>16</v>
      </c>
      <c r="BN163" s="317">
        <f t="shared" si="144"/>
        <v>57.700274977085314</v>
      </c>
      <c r="BO163" s="317">
        <f t="shared" si="136"/>
        <v>693</v>
      </c>
      <c r="BP163" s="594">
        <f t="shared" si="137"/>
        <v>-50</v>
      </c>
    </row>
    <row r="164" spans="1:68" ht="17.399999999999999" customHeight="1" x14ac:dyDescent="0.55000000000000004">
      <c r="A164" s="7222"/>
      <c r="B164" s="7213" t="s">
        <v>1119</v>
      </c>
      <c r="C164" s="199" t="s">
        <v>419</v>
      </c>
      <c r="D164" s="291">
        <f>D169+D170</f>
        <v>245</v>
      </c>
      <c r="E164" s="292">
        <f t="shared" ref="E164:O164" si="158">E169+E170</f>
        <v>273</v>
      </c>
      <c r="F164" s="292">
        <f t="shared" si="158"/>
        <v>253</v>
      </c>
      <c r="G164" s="292">
        <f t="shared" si="158"/>
        <v>280</v>
      </c>
      <c r="H164" s="292">
        <f t="shared" si="158"/>
        <v>213</v>
      </c>
      <c r="I164" s="292">
        <f t="shared" si="158"/>
        <v>415</v>
      </c>
      <c r="J164" s="292">
        <f t="shared" si="158"/>
        <v>313</v>
      </c>
      <c r="K164" s="292">
        <f t="shared" si="158"/>
        <v>256</v>
      </c>
      <c r="L164" s="292">
        <f t="shared" si="158"/>
        <v>406</v>
      </c>
      <c r="M164" s="292">
        <f t="shared" si="158"/>
        <v>870</v>
      </c>
      <c r="N164" s="292">
        <f t="shared" si="158"/>
        <v>331</v>
      </c>
      <c r="O164" s="292">
        <f t="shared" si="158"/>
        <v>295</v>
      </c>
      <c r="P164" s="292">
        <f t="shared" si="138"/>
        <v>4150</v>
      </c>
      <c r="Q164" s="293">
        <f t="shared" si="139"/>
        <v>345.83333333333331</v>
      </c>
      <c r="R164" s="374"/>
      <c r="S164" s="291">
        <f>S169+S170</f>
        <v>230</v>
      </c>
      <c r="T164" s="292">
        <f t="shared" ref="T164:AD164" si="159">T169+T170</f>
        <v>269</v>
      </c>
      <c r="U164" s="292">
        <f t="shared" si="159"/>
        <v>320</v>
      </c>
      <c r="V164" s="292">
        <f t="shared" si="159"/>
        <v>325</v>
      </c>
      <c r="W164" s="292">
        <f t="shared" si="159"/>
        <v>404</v>
      </c>
      <c r="X164" s="292">
        <f t="shared" si="159"/>
        <v>562</v>
      </c>
      <c r="Y164" s="292">
        <f t="shared" si="159"/>
        <v>452</v>
      </c>
      <c r="Z164" s="292">
        <f t="shared" si="159"/>
        <v>406</v>
      </c>
      <c r="AA164" s="292">
        <f t="shared" si="159"/>
        <v>277</v>
      </c>
      <c r="AB164" s="292">
        <f t="shared" si="159"/>
        <v>256</v>
      </c>
      <c r="AC164" s="292">
        <f t="shared" si="159"/>
        <v>319</v>
      </c>
      <c r="AD164" s="292">
        <f t="shared" si="159"/>
        <v>336</v>
      </c>
      <c r="AE164" s="292">
        <f t="shared" si="140"/>
        <v>4156</v>
      </c>
      <c r="AF164" s="293">
        <f t="shared" si="141"/>
        <v>346.33333333333331</v>
      </c>
      <c r="AG164" s="374"/>
      <c r="AH164" s="291">
        <v>298</v>
      </c>
      <c r="AI164" s="292">
        <v>283</v>
      </c>
      <c r="AJ164" s="292">
        <v>288</v>
      </c>
      <c r="AK164" s="292">
        <v>335</v>
      </c>
      <c r="AL164" s="292">
        <v>226</v>
      </c>
      <c r="AM164" s="292">
        <v>457</v>
      </c>
      <c r="AN164" s="292">
        <v>284</v>
      </c>
      <c r="AO164" s="292">
        <v>389</v>
      </c>
      <c r="AP164" s="292">
        <v>303</v>
      </c>
      <c r="AQ164" s="292">
        <v>865</v>
      </c>
      <c r="AR164" s="292">
        <v>213</v>
      </c>
      <c r="AS164" s="292">
        <v>232</v>
      </c>
      <c r="AT164" s="292">
        <f t="shared" si="142"/>
        <v>4173</v>
      </c>
      <c r="AU164" s="293">
        <f t="shared" si="143"/>
        <v>347.75</v>
      </c>
      <c r="AV164" s="374"/>
      <c r="AW164" s="2015">
        <v>196</v>
      </c>
      <c r="AX164" s="292">
        <v>369</v>
      </c>
      <c r="AY164" s="292">
        <v>322</v>
      </c>
      <c r="AZ164" s="292">
        <v>466</v>
      </c>
      <c r="BA164" s="292">
        <v>780</v>
      </c>
      <c r="BB164" s="292">
        <v>793</v>
      </c>
      <c r="BC164" s="292">
        <v>1298</v>
      </c>
      <c r="BD164" s="292">
        <v>1309</v>
      </c>
      <c r="BE164" s="292">
        <v>1129</v>
      </c>
      <c r="BF164" s="292">
        <v>1091</v>
      </c>
      <c r="BG164" s="292">
        <v>532</v>
      </c>
      <c r="BH164" s="292">
        <v>239</v>
      </c>
      <c r="BI164" s="292">
        <f t="shared" si="133"/>
        <v>8524</v>
      </c>
      <c r="BJ164" s="293">
        <f t="shared" si="147"/>
        <v>710.27414382134828</v>
      </c>
      <c r="BL164" s="317">
        <f>ROW()</f>
        <v>164</v>
      </c>
      <c r="BM164" s="1432">
        <f t="shared" si="135"/>
        <v>7</v>
      </c>
      <c r="BN164" s="317">
        <f t="shared" si="144"/>
        <v>362.52414382134828</v>
      </c>
      <c r="BO164" s="317">
        <f t="shared" si="136"/>
        <v>4351</v>
      </c>
      <c r="BP164" s="594">
        <f t="shared" si="137"/>
        <v>-293</v>
      </c>
    </row>
    <row r="165" spans="1:68" ht="17.399999999999999" customHeight="1" x14ac:dyDescent="0.55000000000000004">
      <c r="A165" s="7222"/>
      <c r="B165" s="7214"/>
      <c r="C165" s="200" t="s">
        <v>420</v>
      </c>
      <c r="D165" s="294">
        <f>D171+D172</f>
        <v>137</v>
      </c>
      <c r="E165" s="295">
        <f t="shared" ref="E165:O165" si="160">E171+E172</f>
        <v>186</v>
      </c>
      <c r="F165" s="295">
        <f t="shared" si="160"/>
        <v>233</v>
      </c>
      <c r="G165" s="295">
        <f t="shared" si="160"/>
        <v>261</v>
      </c>
      <c r="H165" s="295">
        <f t="shared" si="160"/>
        <v>433</v>
      </c>
      <c r="I165" s="295">
        <f t="shared" si="160"/>
        <v>221</v>
      </c>
      <c r="J165" s="295">
        <f t="shared" si="160"/>
        <v>222</v>
      </c>
      <c r="K165" s="295">
        <f t="shared" si="160"/>
        <v>193</v>
      </c>
      <c r="L165" s="295">
        <f t="shared" si="160"/>
        <v>328</v>
      </c>
      <c r="M165" s="295">
        <f t="shared" si="160"/>
        <v>679</v>
      </c>
      <c r="N165" s="295">
        <f t="shared" si="160"/>
        <v>452</v>
      </c>
      <c r="O165" s="295">
        <f t="shared" si="160"/>
        <v>292</v>
      </c>
      <c r="P165" s="295">
        <f t="shared" si="138"/>
        <v>3637</v>
      </c>
      <c r="Q165" s="296">
        <f t="shared" si="139"/>
        <v>303.08333333333331</v>
      </c>
      <c r="R165" s="374"/>
      <c r="S165" s="294">
        <f>S171+S172</f>
        <v>260</v>
      </c>
      <c r="T165" s="295">
        <f t="shared" ref="T165:AD165" si="161">T171+T172</f>
        <v>330</v>
      </c>
      <c r="U165" s="295">
        <f t="shared" si="161"/>
        <v>328</v>
      </c>
      <c r="V165" s="295">
        <f t="shared" si="161"/>
        <v>396</v>
      </c>
      <c r="W165" s="295">
        <f t="shared" si="161"/>
        <v>639</v>
      </c>
      <c r="X165" s="295">
        <f t="shared" si="161"/>
        <v>295</v>
      </c>
      <c r="Y165" s="295">
        <f t="shared" si="161"/>
        <v>269</v>
      </c>
      <c r="Z165" s="295">
        <f t="shared" si="161"/>
        <v>352</v>
      </c>
      <c r="AA165" s="295">
        <f t="shared" si="161"/>
        <v>388</v>
      </c>
      <c r="AB165" s="295">
        <f t="shared" si="161"/>
        <v>237</v>
      </c>
      <c r="AC165" s="295">
        <f t="shared" si="161"/>
        <v>240</v>
      </c>
      <c r="AD165" s="295">
        <f t="shared" si="161"/>
        <v>240</v>
      </c>
      <c r="AE165" s="295">
        <f t="shared" si="140"/>
        <v>3974</v>
      </c>
      <c r="AF165" s="296">
        <f t="shared" si="141"/>
        <v>331.16666666666669</v>
      </c>
      <c r="AG165" s="374"/>
      <c r="AH165" s="294">
        <v>330</v>
      </c>
      <c r="AI165" s="295">
        <v>186</v>
      </c>
      <c r="AJ165" s="295">
        <v>238</v>
      </c>
      <c r="AK165" s="295">
        <v>193</v>
      </c>
      <c r="AL165" s="295">
        <v>217</v>
      </c>
      <c r="AM165" s="295">
        <v>315</v>
      </c>
      <c r="AN165" s="295">
        <v>202</v>
      </c>
      <c r="AO165" s="295">
        <v>192</v>
      </c>
      <c r="AP165" s="295">
        <v>283</v>
      </c>
      <c r="AQ165" s="295">
        <v>850</v>
      </c>
      <c r="AR165" s="295">
        <v>174</v>
      </c>
      <c r="AS165" s="295">
        <v>144</v>
      </c>
      <c r="AT165" s="295">
        <f t="shared" si="142"/>
        <v>3324</v>
      </c>
      <c r="AU165" s="296">
        <f t="shared" si="143"/>
        <v>277</v>
      </c>
      <c r="AV165" s="374"/>
      <c r="AW165" s="2016">
        <v>93</v>
      </c>
      <c r="AX165" s="295">
        <v>148</v>
      </c>
      <c r="AY165" s="295">
        <v>124</v>
      </c>
      <c r="AZ165" s="295">
        <v>142</v>
      </c>
      <c r="BA165" s="295">
        <v>266</v>
      </c>
      <c r="BB165" s="295">
        <v>189</v>
      </c>
      <c r="BC165" s="295">
        <v>531</v>
      </c>
      <c r="BD165" s="295">
        <v>762</v>
      </c>
      <c r="BE165" s="295">
        <v>492</v>
      </c>
      <c r="BF165" s="295">
        <v>591</v>
      </c>
      <c r="BG165" s="295">
        <v>447</v>
      </c>
      <c r="BH165" s="295">
        <v>279</v>
      </c>
      <c r="BI165" s="295">
        <f t="shared" si="133"/>
        <v>4064</v>
      </c>
      <c r="BJ165" s="296">
        <f t="shared" si="147"/>
        <v>338.63844679610037</v>
      </c>
      <c r="BL165" s="317">
        <f>ROW()</f>
        <v>165</v>
      </c>
      <c r="BM165" s="1432">
        <f t="shared" si="135"/>
        <v>135</v>
      </c>
      <c r="BN165" s="317">
        <f t="shared" si="144"/>
        <v>61.638446796100368</v>
      </c>
      <c r="BO165" s="317">
        <f t="shared" si="136"/>
        <v>740</v>
      </c>
      <c r="BP165" s="594">
        <f t="shared" si="137"/>
        <v>-168</v>
      </c>
    </row>
    <row r="166" spans="1:68" ht="17.399999999999999" customHeight="1" x14ac:dyDescent="0.55000000000000004">
      <c r="A166" s="7222"/>
      <c r="B166" s="7214"/>
      <c r="C166" s="200" t="s">
        <v>421</v>
      </c>
      <c r="D166" s="294">
        <f>D173+D174</f>
        <v>157</v>
      </c>
      <c r="E166" s="295">
        <f t="shared" ref="E166:O166" si="162">E173+E174</f>
        <v>181</v>
      </c>
      <c r="F166" s="295">
        <f t="shared" si="162"/>
        <v>248</v>
      </c>
      <c r="G166" s="295">
        <f t="shared" si="162"/>
        <v>272</v>
      </c>
      <c r="H166" s="295">
        <f t="shared" si="162"/>
        <v>238</v>
      </c>
      <c r="I166" s="295">
        <f t="shared" si="162"/>
        <v>286</v>
      </c>
      <c r="J166" s="295">
        <f t="shared" si="162"/>
        <v>234</v>
      </c>
      <c r="K166" s="295">
        <f t="shared" si="162"/>
        <v>184</v>
      </c>
      <c r="L166" s="295">
        <f t="shared" si="162"/>
        <v>317</v>
      </c>
      <c r="M166" s="295">
        <f t="shared" si="162"/>
        <v>555</v>
      </c>
      <c r="N166" s="295">
        <f t="shared" si="162"/>
        <v>366</v>
      </c>
      <c r="O166" s="295">
        <f t="shared" si="162"/>
        <v>322</v>
      </c>
      <c r="P166" s="295">
        <f t="shared" si="138"/>
        <v>3360</v>
      </c>
      <c r="Q166" s="296">
        <f t="shared" si="139"/>
        <v>280</v>
      </c>
      <c r="R166" s="374"/>
      <c r="S166" s="294">
        <f>S173+S174</f>
        <v>239</v>
      </c>
      <c r="T166" s="295">
        <f t="shared" ref="T166:AD166" si="163">T173+T174</f>
        <v>356</v>
      </c>
      <c r="U166" s="295">
        <f t="shared" si="163"/>
        <v>341</v>
      </c>
      <c r="V166" s="295">
        <f t="shared" si="163"/>
        <v>413</v>
      </c>
      <c r="W166" s="295">
        <f t="shared" si="163"/>
        <v>522</v>
      </c>
      <c r="X166" s="295">
        <f t="shared" si="163"/>
        <v>392</v>
      </c>
      <c r="Y166" s="295">
        <f t="shared" si="163"/>
        <v>362</v>
      </c>
      <c r="Z166" s="295">
        <f t="shared" si="163"/>
        <v>472</v>
      </c>
      <c r="AA166" s="295">
        <f t="shared" si="163"/>
        <v>221</v>
      </c>
      <c r="AB166" s="295">
        <f t="shared" si="163"/>
        <v>321</v>
      </c>
      <c r="AC166" s="295">
        <f t="shared" si="163"/>
        <v>272</v>
      </c>
      <c r="AD166" s="295">
        <f t="shared" si="163"/>
        <v>384</v>
      </c>
      <c r="AE166" s="295">
        <f t="shared" si="140"/>
        <v>4295</v>
      </c>
      <c r="AF166" s="296">
        <f t="shared" si="141"/>
        <v>357.91666666666669</v>
      </c>
      <c r="AG166" s="374"/>
      <c r="AH166" s="294">
        <v>233</v>
      </c>
      <c r="AI166" s="295">
        <v>225</v>
      </c>
      <c r="AJ166" s="295">
        <v>173</v>
      </c>
      <c r="AK166" s="295">
        <v>257</v>
      </c>
      <c r="AL166" s="295">
        <v>299</v>
      </c>
      <c r="AM166" s="295">
        <v>353</v>
      </c>
      <c r="AN166" s="295">
        <v>485</v>
      </c>
      <c r="AO166" s="295">
        <v>392</v>
      </c>
      <c r="AP166" s="295">
        <v>259</v>
      </c>
      <c r="AQ166" s="295">
        <v>1338</v>
      </c>
      <c r="AR166" s="295">
        <v>153</v>
      </c>
      <c r="AS166" s="295">
        <v>168</v>
      </c>
      <c r="AT166" s="295">
        <f t="shared" si="142"/>
        <v>4335</v>
      </c>
      <c r="AU166" s="296">
        <f t="shared" si="143"/>
        <v>361.25</v>
      </c>
      <c r="AV166" s="374"/>
      <c r="AW166" s="2016">
        <v>408</v>
      </c>
      <c r="AX166" s="295">
        <v>304</v>
      </c>
      <c r="AY166" s="295">
        <v>174</v>
      </c>
      <c r="AZ166" s="295">
        <v>273</v>
      </c>
      <c r="BA166" s="295">
        <v>313</v>
      </c>
      <c r="BB166" s="295">
        <v>576</v>
      </c>
      <c r="BC166" s="295">
        <v>463</v>
      </c>
      <c r="BD166" s="295">
        <v>335</v>
      </c>
      <c r="BE166" s="295">
        <v>455</v>
      </c>
      <c r="BF166" s="295">
        <v>267</v>
      </c>
      <c r="BG166" s="295">
        <v>717</v>
      </c>
      <c r="BH166" s="295">
        <v>228</v>
      </c>
      <c r="BI166" s="295">
        <f t="shared" si="133"/>
        <v>4513</v>
      </c>
      <c r="BJ166" s="296">
        <f t="shared" si="147"/>
        <v>376.05199566702777</v>
      </c>
      <c r="BL166" s="317">
        <f>ROW()</f>
        <v>166</v>
      </c>
      <c r="BM166" s="1432">
        <f t="shared" si="135"/>
        <v>60</v>
      </c>
      <c r="BN166" s="317">
        <f t="shared" si="144"/>
        <v>14.801995667027768</v>
      </c>
      <c r="BO166" s="317">
        <f t="shared" si="136"/>
        <v>178</v>
      </c>
      <c r="BP166" s="594">
        <f t="shared" si="137"/>
        <v>-489</v>
      </c>
    </row>
    <row r="167" spans="1:68" ht="17.399999999999999" customHeight="1" x14ac:dyDescent="0.55000000000000004">
      <c r="A167" s="7222"/>
      <c r="B167" s="7214"/>
      <c r="C167" s="200" t="s">
        <v>422</v>
      </c>
      <c r="D167" s="294">
        <f>D175+D176</f>
        <v>336</v>
      </c>
      <c r="E167" s="295">
        <f t="shared" ref="E167:O167" si="164">E175+E176</f>
        <v>292</v>
      </c>
      <c r="F167" s="295">
        <f t="shared" si="164"/>
        <v>505</v>
      </c>
      <c r="G167" s="295">
        <f t="shared" si="164"/>
        <v>501</v>
      </c>
      <c r="H167" s="295">
        <f t="shared" si="164"/>
        <v>495</v>
      </c>
      <c r="I167" s="295">
        <f t="shared" si="164"/>
        <v>451</v>
      </c>
      <c r="J167" s="295">
        <f t="shared" si="164"/>
        <v>418</v>
      </c>
      <c r="K167" s="295">
        <f t="shared" si="164"/>
        <v>365</v>
      </c>
      <c r="L167" s="295">
        <f t="shared" si="164"/>
        <v>312</v>
      </c>
      <c r="M167" s="295">
        <f t="shared" si="164"/>
        <v>421</v>
      </c>
      <c r="N167" s="295">
        <f t="shared" si="164"/>
        <v>414</v>
      </c>
      <c r="O167" s="295">
        <f t="shared" si="164"/>
        <v>351</v>
      </c>
      <c r="P167" s="295">
        <f t="shared" si="138"/>
        <v>4861</v>
      </c>
      <c r="Q167" s="296">
        <f t="shared" si="139"/>
        <v>405.08333333333331</v>
      </c>
      <c r="R167" s="374"/>
      <c r="S167" s="294">
        <f>S175+S176</f>
        <v>426</v>
      </c>
      <c r="T167" s="295">
        <f t="shared" ref="T167:AD167" si="165">T175+T176</f>
        <v>440</v>
      </c>
      <c r="U167" s="295">
        <f t="shared" si="165"/>
        <v>507</v>
      </c>
      <c r="V167" s="295">
        <f t="shared" si="165"/>
        <v>539</v>
      </c>
      <c r="W167" s="295">
        <f t="shared" si="165"/>
        <v>631</v>
      </c>
      <c r="X167" s="295">
        <f t="shared" si="165"/>
        <v>663</v>
      </c>
      <c r="Y167" s="295">
        <f t="shared" si="165"/>
        <v>489</v>
      </c>
      <c r="Z167" s="295">
        <f t="shared" si="165"/>
        <v>449</v>
      </c>
      <c r="AA167" s="295">
        <f t="shared" si="165"/>
        <v>603</v>
      </c>
      <c r="AB167" s="295">
        <f t="shared" si="165"/>
        <v>361</v>
      </c>
      <c r="AC167" s="295">
        <f t="shared" si="165"/>
        <v>452</v>
      </c>
      <c r="AD167" s="295">
        <f t="shared" si="165"/>
        <v>408</v>
      </c>
      <c r="AE167" s="295">
        <f t="shared" si="140"/>
        <v>5968</v>
      </c>
      <c r="AF167" s="296">
        <f t="shared" si="141"/>
        <v>497.33333333333331</v>
      </c>
      <c r="AG167" s="374"/>
      <c r="AH167" s="294">
        <v>375</v>
      </c>
      <c r="AI167" s="295">
        <v>245</v>
      </c>
      <c r="AJ167" s="295">
        <v>369</v>
      </c>
      <c r="AK167" s="295">
        <v>394</v>
      </c>
      <c r="AL167" s="295">
        <v>385</v>
      </c>
      <c r="AM167" s="295">
        <v>473</v>
      </c>
      <c r="AN167" s="295">
        <v>460</v>
      </c>
      <c r="AO167" s="295">
        <v>361</v>
      </c>
      <c r="AP167" s="295">
        <v>357</v>
      </c>
      <c r="AQ167" s="295">
        <v>1643</v>
      </c>
      <c r="AR167" s="295">
        <v>224</v>
      </c>
      <c r="AS167" s="295">
        <v>225</v>
      </c>
      <c r="AT167" s="295">
        <f t="shared" si="142"/>
        <v>5511</v>
      </c>
      <c r="AU167" s="296">
        <f t="shared" si="143"/>
        <v>459.25</v>
      </c>
      <c r="AV167" s="374"/>
      <c r="AW167" s="2016">
        <v>234</v>
      </c>
      <c r="AX167" s="295">
        <v>371</v>
      </c>
      <c r="AY167" s="295">
        <v>578</v>
      </c>
      <c r="AZ167" s="295">
        <v>934</v>
      </c>
      <c r="BA167" s="295">
        <v>633</v>
      </c>
      <c r="BB167" s="295">
        <v>567</v>
      </c>
      <c r="BC167" s="295">
        <v>949</v>
      </c>
      <c r="BD167" s="295">
        <v>717</v>
      </c>
      <c r="BE167" s="295">
        <v>1196</v>
      </c>
      <c r="BF167" s="295">
        <v>635</v>
      </c>
      <c r="BG167" s="295">
        <v>391</v>
      </c>
      <c r="BH167" s="295">
        <v>193</v>
      </c>
      <c r="BI167" s="295">
        <f t="shared" si="133"/>
        <v>7398</v>
      </c>
      <c r="BJ167" s="296">
        <f t="shared" si="147"/>
        <v>616.44862928089333</v>
      </c>
      <c r="BL167" s="317">
        <f>ROW()</f>
        <v>167</v>
      </c>
      <c r="BM167" s="1432">
        <f t="shared" si="135"/>
        <v>-32</v>
      </c>
      <c r="BN167" s="317">
        <f t="shared" si="144"/>
        <v>157.19862928089333</v>
      </c>
      <c r="BO167" s="317">
        <f t="shared" si="136"/>
        <v>1887</v>
      </c>
      <c r="BP167" s="594">
        <f t="shared" si="137"/>
        <v>-198</v>
      </c>
    </row>
    <row r="168" spans="1:68" ht="17.399999999999999" customHeight="1" x14ac:dyDescent="0.55000000000000004">
      <c r="A168" s="7222"/>
      <c r="B168" s="7215"/>
      <c r="C168" s="201" t="s">
        <v>423</v>
      </c>
      <c r="D168" s="297">
        <f>D177+D178</f>
        <v>298</v>
      </c>
      <c r="E168" s="298">
        <f t="shared" ref="E168:O168" si="166">E177+E178</f>
        <v>231</v>
      </c>
      <c r="F168" s="298">
        <f t="shared" si="166"/>
        <v>342</v>
      </c>
      <c r="G168" s="298">
        <f t="shared" si="166"/>
        <v>311</v>
      </c>
      <c r="H168" s="298">
        <f t="shared" si="166"/>
        <v>296</v>
      </c>
      <c r="I168" s="298">
        <f t="shared" si="166"/>
        <v>337</v>
      </c>
      <c r="J168" s="298">
        <f t="shared" si="166"/>
        <v>363</v>
      </c>
      <c r="K168" s="298">
        <f t="shared" si="166"/>
        <v>333</v>
      </c>
      <c r="L168" s="298">
        <f t="shared" si="166"/>
        <v>295</v>
      </c>
      <c r="M168" s="298">
        <f t="shared" si="166"/>
        <v>290</v>
      </c>
      <c r="N168" s="298">
        <f t="shared" si="166"/>
        <v>376</v>
      </c>
      <c r="O168" s="298">
        <f t="shared" si="166"/>
        <v>532</v>
      </c>
      <c r="P168" s="298">
        <f t="shared" si="138"/>
        <v>4004</v>
      </c>
      <c r="Q168" s="299">
        <f t="shared" si="139"/>
        <v>333.66666666666669</v>
      </c>
      <c r="R168" s="374"/>
      <c r="S168" s="297">
        <f>S177+S178</f>
        <v>383</v>
      </c>
      <c r="T168" s="298">
        <f t="shared" ref="T168:AD168" si="167">T177+T178</f>
        <v>442</v>
      </c>
      <c r="U168" s="298">
        <f t="shared" si="167"/>
        <v>575</v>
      </c>
      <c r="V168" s="298">
        <f t="shared" si="167"/>
        <v>450</v>
      </c>
      <c r="W168" s="298">
        <f t="shared" si="167"/>
        <v>530</v>
      </c>
      <c r="X168" s="298">
        <f t="shared" si="167"/>
        <v>578</v>
      </c>
      <c r="Y168" s="298">
        <f t="shared" si="167"/>
        <v>515</v>
      </c>
      <c r="Z168" s="298">
        <f t="shared" si="167"/>
        <v>409</v>
      </c>
      <c r="AA168" s="298">
        <f t="shared" si="167"/>
        <v>335</v>
      </c>
      <c r="AB168" s="298">
        <f t="shared" si="167"/>
        <v>392</v>
      </c>
      <c r="AC168" s="298">
        <f t="shared" si="167"/>
        <v>620</v>
      </c>
      <c r="AD168" s="298">
        <f t="shared" si="167"/>
        <v>458</v>
      </c>
      <c r="AE168" s="298">
        <f t="shared" si="140"/>
        <v>5687</v>
      </c>
      <c r="AF168" s="299">
        <f t="shared" si="141"/>
        <v>473.91666666666669</v>
      </c>
      <c r="AG168" s="374"/>
      <c r="AH168" s="297">
        <v>387</v>
      </c>
      <c r="AI168" s="298">
        <v>369</v>
      </c>
      <c r="AJ168" s="298">
        <v>293</v>
      </c>
      <c r="AK168" s="298">
        <v>279</v>
      </c>
      <c r="AL168" s="298">
        <v>508</v>
      </c>
      <c r="AM168" s="298">
        <v>659</v>
      </c>
      <c r="AN168" s="298">
        <v>671</v>
      </c>
      <c r="AO168" s="298">
        <v>513</v>
      </c>
      <c r="AP168" s="298">
        <v>818</v>
      </c>
      <c r="AQ168" s="298">
        <v>1005</v>
      </c>
      <c r="AR168" s="298">
        <v>443</v>
      </c>
      <c r="AS168" s="298">
        <v>531</v>
      </c>
      <c r="AT168" s="298">
        <f t="shared" si="142"/>
        <v>6476</v>
      </c>
      <c r="AU168" s="299">
        <f t="shared" si="143"/>
        <v>539.66666666666663</v>
      </c>
      <c r="AV168" s="374"/>
      <c r="AW168" s="2017">
        <v>630</v>
      </c>
      <c r="AX168" s="298">
        <v>949</v>
      </c>
      <c r="AY168" s="298">
        <v>885</v>
      </c>
      <c r="AZ168" s="298">
        <v>1009</v>
      </c>
      <c r="BA168" s="298">
        <v>1013</v>
      </c>
      <c r="BB168" s="298">
        <v>1491</v>
      </c>
      <c r="BC168" s="298">
        <v>1289</v>
      </c>
      <c r="BD168" s="298">
        <v>1212</v>
      </c>
      <c r="BE168" s="298">
        <v>2355</v>
      </c>
      <c r="BF168" s="298">
        <v>1353</v>
      </c>
      <c r="BG168" s="298">
        <v>1076</v>
      </c>
      <c r="BH168" s="298">
        <v>463</v>
      </c>
      <c r="BI168" s="298">
        <f t="shared" si="133"/>
        <v>13725</v>
      </c>
      <c r="BJ168" s="299">
        <f t="shared" si="147"/>
        <v>1143.6546954420467</v>
      </c>
      <c r="BL168" s="317">
        <f>ROW()</f>
        <v>168</v>
      </c>
      <c r="BM168" s="1432">
        <f t="shared" si="135"/>
        <v>-68</v>
      </c>
      <c r="BN168" s="317">
        <f t="shared" si="144"/>
        <v>603.98802877538003</v>
      </c>
      <c r="BO168" s="317">
        <f t="shared" si="136"/>
        <v>7249</v>
      </c>
      <c r="BP168" s="594">
        <f t="shared" si="137"/>
        <v>-613</v>
      </c>
    </row>
    <row r="169" spans="1:68" ht="17.399999999999999" customHeight="1" x14ac:dyDescent="0.55000000000000004">
      <c r="A169" s="7222"/>
      <c r="B169" s="7207" t="s">
        <v>1120</v>
      </c>
      <c r="C169" s="202" t="s">
        <v>227</v>
      </c>
      <c r="D169" s="300">
        <v>112</v>
      </c>
      <c r="E169" s="301">
        <v>165</v>
      </c>
      <c r="F169" s="301">
        <v>66</v>
      </c>
      <c r="G169" s="301">
        <v>101</v>
      </c>
      <c r="H169" s="301">
        <v>74</v>
      </c>
      <c r="I169" s="301">
        <v>155</v>
      </c>
      <c r="J169" s="301">
        <v>147</v>
      </c>
      <c r="K169" s="301">
        <v>106</v>
      </c>
      <c r="L169" s="301">
        <v>202</v>
      </c>
      <c r="M169" s="301">
        <v>360</v>
      </c>
      <c r="N169" s="301">
        <v>157</v>
      </c>
      <c r="O169" s="301">
        <v>132</v>
      </c>
      <c r="P169" s="301">
        <f t="shared" si="138"/>
        <v>1777</v>
      </c>
      <c r="Q169" s="302">
        <f t="shared" si="139"/>
        <v>148.08333333333334</v>
      </c>
      <c r="R169" s="374"/>
      <c r="S169" s="300">
        <v>74</v>
      </c>
      <c r="T169" s="301">
        <v>61</v>
      </c>
      <c r="U169" s="301">
        <v>119</v>
      </c>
      <c r="V169" s="301">
        <v>150</v>
      </c>
      <c r="W169" s="301">
        <v>145</v>
      </c>
      <c r="X169" s="301">
        <v>187</v>
      </c>
      <c r="Y169" s="301">
        <v>133</v>
      </c>
      <c r="Z169" s="301">
        <v>116</v>
      </c>
      <c r="AA169" s="301">
        <v>43</v>
      </c>
      <c r="AB169" s="301">
        <v>78</v>
      </c>
      <c r="AC169" s="301">
        <v>94</v>
      </c>
      <c r="AD169" s="301">
        <v>167</v>
      </c>
      <c r="AE169" s="301">
        <f t="shared" si="140"/>
        <v>1367</v>
      </c>
      <c r="AF169" s="302">
        <f t="shared" si="141"/>
        <v>113.91666666666667</v>
      </c>
      <c r="AG169" s="374"/>
      <c r="AH169" s="300">
        <v>92</v>
      </c>
      <c r="AI169" s="301">
        <v>51</v>
      </c>
      <c r="AJ169" s="301">
        <v>132</v>
      </c>
      <c r="AK169" s="301">
        <v>172</v>
      </c>
      <c r="AL169" s="301">
        <v>44</v>
      </c>
      <c r="AM169" s="301">
        <v>70</v>
      </c>
      <c r="AN169" s="301">
        <v>53</v>
      </c>
      <c r="AO169" s="301">
        <v>172</v>
      </c>
      <c r="AP169" s="301">
        <v>70</v>
      </c>
      <c r="AQ169" s="301">
        <v>80</v>
      </c>
      <c r="AR169" s="301">
        <v>64</v>
      </c>
      <c r="AS169" s="301">
        <v>89</v>
      </c>
      <c r="AT169" s="301">
        <f t="shared" si="142"/>
        <v>1089</v>
      </c>
      <c r="AU169" s="302">
        <f t="shared" si="143"/>
        <v>90.75</v>
      </c>
      <c r="AV169" s="374"/>
      <c r="AW169" s="2021">
        <v>28</v>
      </c>
      <c r="AX169" s="301">
        <v>145</v>
      </c>
      <c r="AY169" s="301">
        <v>125</v>
      </c>
      <c r="AZ169" s="301">
        <v>110</v>
      </c>
      <c r="BA169" s="301">
        <v>291</v>
      </c>
      <c r="BB169" s="301">
        <v>131</v>
      </c>
      <c r="BC169" s="301">
        <v>413</v>
      </c>
      <c r="BD169" s="301">
        <v>228</v>
      </c>
      <c r="BE169" s="301">
        <v>171</v>
      </c>
      <c r="BF169" s="301">
        <v>117</v>
      </c>
      <c r="BG169" s="301">
        <v>80</v>
      </c>
      <c r="BH169" s="301">
        <v>36</v>
      </c>
      <c r="BI169" s="301">
        <f t="shared" si="133"/>
        <v>1875</v>
      </c>
      <c r="BJ169" s="302">
        <f t="shared" si="147"/>
        <v>156.23698025164569</v>
      </c>
      <c r="BL169" s="317">
        <f>ROW()</f>
        <v>169</v>
      </c>
      <c r="BM169" s="1432">
        <f t="shared" si="135"/>
        <v>-53</v>
      </c>
      <c r="BN169" s="317">
        <f t="shared" si="144"/>
        <v>65.48698025164569</v>
      </c>
      <c r="BO169" s="317">
        <f t="shared" si="136"/>
        <v>786</v>
      </c>
      <c r="BP169" s="594">
        <f t="shared" si="137"/>
        <v>-44</v>
      </c>
    </row>
    <row r="170" spans="1:68" ht="17.399999999999999" customHeight="1" x14ac:dyDescent="0.55000000000000004">
      <c r="A170" s="7222"/>
      <c r="B170" s="7208"/>
      <c r="C170" s="202" t="s">
        <v>228</v>
      </c>
      <c r="D170" s="300">
        <v>133</v>
      </c>
      <c r="E170" s="301">
        <v>108</v>
      </c>
      <c r="F170" s="301">
        <v>187</v>
      </c>
      <c r="G170" s="301">
        <v>179</v>
      </c>
      <c r="H170" s="301">
        <v>139</v>
      </c>
      <c r="I170" s="301">
        <v>260</v>
      </c>
      <c r="J170" s="301">
        <v>166</v>
      </c>
      <c r="K170" s="301">
        <v>150</v>
      </c>
      <c r="L170" s="301">
        <v>204</v>
      </c>
      <c r="M170" s="301">
        <v>510</v>
      </c>
      <c r="N170" s="301">
        <v>174</v>
      </c>
      <c r="O170" s="301">
        <v>163</v>
      </c>
      <c r="P170" s="301">
        <f t="shared" si="138"/>
        <v>2373</v>
      </c>
      <c r="Q170" s="302">
        <f t="shared" si="139"/>
        <v>197.75</v>
      </c>
      <c r="R170" s="374"/>
      <c r="S170" s="300">
        <v>156</v>
      </c>
      <c r="T170" s="301">
        <v>208</v>
      </c>
      <c r="U170" s="301">
        <v>201</v>
      </c>
      <c r="V170" s="301">
        <v>175</v>
      </c>
      <c r="W170" s="301">
        <v>259</v>
      </c>
      <c r="X170" s="301">
        <v>375</v>
      </c>
      <c r="Y170" s="301">
        <v>319</v>
      </c>
      <c r="Z170" s="301">
        <v>290</v>
      </c>
      <c r="AA170" s="301">
        <v>234</v>
      </c>
      <c r="AB170" s="301">
        <v>178</v>
      </c>
      <c r="AC170" s="301">
        <v>225</v>
      </c>
      <c r="AD170" s="301">
        <v>169</v>
      </c>
      <c r="AE170" s="301">
        <f t="shared" si="140"/>
        <v>2789</v>
      </c>
      <c r="AF170" s="302">
        <f t="shared" si="141"/>
        <v>232.41666666666666</v>
      </c>
      <c r="AG170" s="374"/>
      <c r="AH170" s="300">
        <v>206</v>
      </c>
      <c r="AI170" s="301">
        <v>232</v>
      </c>
      <c r="AJ170" s="301">
        <v>156</v>
      </c>
      <c r="AK170" s="301">
        <v>163</v>
      </c>
      <c r="AL170" s="301">
        <v>182</v>
      </c>
      <c r="AM170" s="301">
        <v>387</v>
      </c>
      <c r="AN170" s="301">
        <v>231</v>
      </c>
      <c r="AO170" s="301">
        <v>217</v>
      </c>
      <c r="AP170" s="301">
        <v>233</v>
      </c>
      <c r="AQ170" s="301">
        <v>187</v>
      </c>
      <c r="AR170" s="301">
        <v>149</v>
      </c>
      <c r="AS170" s="301">
        <v>143</v>
      </c>
      <c r="AT170" s="301">
        <f t="shared" si="142"/>
        <v>2486</v>
      </c>
      <c r="AU170" s="302">
        <f t="shared" si="143"/>
        <v>207.16666666666666</v>
      </c>
      <c r="AV170" s="374"/>
      <c r="AW170" s="2021">
        <v>168</v>
      </c>
      <c r="AX170" s="301">
        <v>224</v>
      </c>
      <c r="AY170" s="301">
        <v>197</v>
      </c>
      <c r="AZ170" s="301">
        <v>356</v>
      </c>
      <c r="BA170" s="301">
        <v>489</v>
      </c>
      <c r="BB170" s="301">
        <v>662</v>
      </c>
      <c r="BC170" s="301">
        <v>885</v>
      </c>
      <c r="BD170" s="301">
        <v>1081</v>
      </c>
      <c r="BE170" s="301">
        <v>958</v>
      </c>
      <c r="BF170" s="301">
        <v>974</v>
      </c>
      <c r="BG170" s="301">
        <v>452</v>
      </c>
      <c r="BH170" s="301">
        <v>203</v>
      </c>
      <c r="BI170" s="301">
        <f t="shared" si="133"/>
        <v>6649</v>
      </c>
      <c r="BJ170" s="302">
        <f t="shared" si="147"/>
        <v>554.03716356970256</v>
      </c>
      <c r="BL170" s="317">
        <f>ROW()</f>
        <v>170</v>
      </c>
      <c r="BM170" s="1432">
        <f t="shared" si="135"/>
        <v>60</v>
      </c>
      <c r="BN170" s="317">
        <f t="shared" si="144"/>
        <v>346.87049690303593</v>
      </c>
      <c r="BO170" s="317">
        <f t="shared" si="136"/>
        <v>4163</v>
      </c>
      <c r="BP170" s="594">
        <f t="shared" si="137"/>
        <v>-249</v>
      </c>
    </row>
    <row r="171" spans="1:68" ht="17.399999999999999" customHeight="1" x14ac:dyDescent="0.55000000000000004">
      <c r="A171" s="7222"/>
      <c r="B171" s="7208"/>
      <c r="C171" s="203" t="s">
        <v>229</v>
      </c>
      <c r="D171" s="303">
        <v>46</v>
      </c>
      <c r="E171" s="304">
        <v>57</v>
      </c>
      <c r="F171" s="304">
        <v>66</v>
      </c>
      <c r="G171" s="304">
        <v>65</v>
      </c>
      <c r="H171" s="304">
        <v>82</v>
      </c>
      <c r="I171" s="304">
        <v>77</v>
      </c>
      <c r="J171" s="304">
        <v>63</v>
      </c>
      <c r="K171" s="304">
        <v>75</v>
      </c>
      <c r="L171" s="304">
        <v>104</v>
      </c>
      <c r="M171" s="304">
        <v>176</v>
      </c>
      <c r="N171" s="304">
        <v>229</v>
      </c>
      <c r="O171" s="304">
        <v>80</v>
      </c>
      <c r="P171" s="304">
        <f t="shared" si="138"/>
        <v>1120</v>
      </c>
      <c r="Q171" s="305">
        <f t="shared" si="139"/>
        <v>93.333333333333329</v>
      </c>
      <c r="R171" s="374"/>
      <c r="S171" s="303">
        <v>114</v>
      </c>
      <c r="T171" s="304">
        <v>132</v>
      </c>
      <c r="U171" s="304">
        <v>127</v>
      </c>
      <c r="V171" s="304">
        <v>209</v>
      </c>
      <c r="W171" s="304">
        <v>206</v>
      </c>
      <c r="X171" s="304">
        <v>96</v>
      </c>
      <c r="Y171" s="304">
        <v>80</v>
      </c>
      <c r="Z171" s="304">
        <v>152</v>
      </c>
      <c r="AA171" s="304">
        <v>145</v>
      </c>
      <c r="AB171" s="304">
        <v>125</v>
      </c>
      <c r="AC171" s="304">
        <v>120</v>
      </c>
      <c r="AD171" s="304">
        <v>94</v>
      </c>
      <c r="AE171" s="304">
        <f t="shared" si="140"/>
        <v>1600</v>
      </c>
      <c r="AF171" s="305">
        <f t="shared" si="141"/>
        <v>133.33333333333334</v>
      </c>
      <c r="AG171" s="374"/>
      <c r="AH171" s="303">
        <v>71</v>
      </c>
      <c r="AI171" s="304">
        <v>111</v>
      </c>
      <c r="AJ171" s="304">
        <v>77</v>
      </c>
      <c r="AK171" s="304">
        <v>96</v>
      </c>
      <c r="AL171" s="304">
        <v>141</v>
      </c>
      <c r="AM171" s="304">
        <v>114</v>
      </c>
      <c r="AN171" s="304">
        <v>92</v>
      </c>
      <c r="AO171" s="304">
        <v>90</v>
      </c>
      <c r="AP171" s="304">
        <v>110</v>
      </c>
      <c r="AQ171" s="304">
        <v>152</v>
      </c>
      <c r="AR171" s="304">
        <v>69</v>
      </c>
      <c r="AS171" s="304">
        <v>94</v>
      </c>
      <c r="AT171" s="304">
        <f t="shared" si="142"/>
        <v>1217</v>
      </c>
      <c r="AU171" s="305">
        <f t="shared" si="143"/>
        <v>101.41666666666667</v>
      </c>
      <c r="AV171" s="374"/>
      <c r="AW171" s="2022">
        <v>44</v>
      </c>
      <c r="AX171" s="304">
        <v>91</v>
      </c>
      <c r="AY171" s="304">
        <v>82</v>
      </c>
      <c r="AZ171" s="304">
        <v>69</v>
      </c>
      <c r="BA171" s="304">
        <v>181</v>
      </c>
      <c r="BB171" s="304">
        <v>147</v>
      </c>
      <c r="BC171" s="304">
        <v>461</v>
      </c>
      <c r="BD171" s="304">
        <v>677</v>
      </c>
      <c r="BE171" s="304">
        <v>427</v>
      </c>
      <c r="BF171" s="304">
        <v>497</v>
      </c>
      <c r="BG171" s="304">
        <v>316</v>
      </c>
      <c r="BH171" s="304">
        <v>196</v>
      </c>
      <c r="BI171" s="304">
        <f t="shared" si="133"/>
        <v>3188</v>
      </c>
      <c r="BJ171" s="305">
        <f t="shared" si="147"/>
        <v>265.64452962253148</v>
      </c>
      <c r="BL171" s="317">
        <f>ROW()</f>
        <v>171</v>
      </c>
      <c r="BM171" s="1432">
        <f t="shared" si="135"/>
        <v>102</v>
      </c>
      <c r="BN171" s="317">
        <f t="shared" si="144"/>
        <v>164.22786295586479</v>
      </c>
      <c r="BO171" s="317">
        <f t="shared" si="136"/>
        <v>1971</v>
      </c>
      <c r="BP171" s="594">
        <f t="shared" si="137"/>
        <v>-120</v>
      </c>
    </row>
    <row r="172" spans="1:68" ht="17.399999999999999" customHeight="1" x14ac:dyDescent="0.55000000000000004">
      <c r="A172" s="7222"/>
      <c r="B172" s="7208"/>
      <c r="C172" s="203" t="s">
        <v>230</v>
      </c>
      <c r="D172" s="303">
        <v>91</v>
      </c>
      <c r="E172" s="304">
        <v>129</v>
      </c>
      <c r="F172" s="304">
        <v>167</v>
      </c>
      <c r="G172" s="304">
        <v>196</v>
      </c>
      <c r="H172" s="304">
        <v>351</v>
      </c>
      <c r="I172" s="304">
        <v>144</v>
      </c>
      <c r="J172" s="304">
        <v>159</v>
      </c>
      <c r="K172" s="304">
        <v>118</v>
      </c>
      <c r="L172" s="304">
        <v>224</v>
      </c>
      <c r="M172" s="304">
        <v>503</v>
      </c>
      <c r="N172" s="304">
        <v>223</v>
      </c>
      <c r="O172" s="304">
        <v>212</v>
      </c>
      <c r="P172" s="304">
        <f t="shared" si="138"/>
        <v>2517</v>
      </c>
      <c r="Q172" s="305">
        <f t="shared" si="139"/>
        <v>209.75</v>
      </c>
      <c r="R172" s="374"/>
      <c r="S172" s="303">
        <v>146</v>
      </c>
      <c r="T172" s="304">
        <v>198</v>
      </c>
      <c r="U172" s="304">
        <v>201</v>
      </c>
      <c r="V172" s="304">
        <v>187</v>
      </c>
      <c r="W172" s="304">
        <v>433</v>
      </c>
      <c r="X172" s="304">
        <v>199</v>
      </c>
      <c r="Y172" s="304">
        <v>189</v>
      </c>
      <c r="Z172" s="304">
        <v>200</v>
      </c>
      <c r="AA172" s="304">
        <v>243</v>
      </c>
      <c r="AB172" s="304">
        <v>112</v>
      </c>
      <c r="AC172" s="304">
        <v>120</v>
      </c>
      <c r="AD172" s="304">
        <v>146</v>
      </c>
      <c r="AE172" s="304">
        <f t="shared" si="140"/>
        <v>2374</v>
      </c>
      <c r="AF172" s="305">
        <f t="shared" si="141"/>
        <v>197.83333333333334</v>
      </c>
      <c r="AG172" s="374"/>
      <c r="AH172" s="303">
        <v>259</v>
      </c>
      <c r="AI172" s="304">
        <v>75</v>
      </c>
      <c r="AJ172" s="304">
        <v>161</v>
      </c>
      <c r="AK172" s="304">
        <v>97</v>
      </c>
      <c r="AL172" s="304">
        <v>76</v>
      </c>
      <c r="AM172" s="304">
        <v>201</v>
      </c>
      <c r="AN172" s="304">
        <v>110</v>
      </c>
      <c r="AO172" s="304">
        <v>102</v>
      </c>
      <c r="AP172" s="304">
        <v>173</v>
      </c>
      <c r="AQ172" s="304">
        <v>156</v>
      </c>
      <c r="AR172" s="304">
        <v>105</v>
      </c>
      <c r="AS172" s="304">
        <v>50</v>
      </c>
      <c r="AT172" s="304">
        <f t="shared" si="142"/>
        <v>1565</v>
      </c>
      <c r="AU172" s="305">
        <f t="shared" si="143"/>
        <v>130.41666666666666</v>
      </c>
      <c r="AV172" s="374"/>
      <c r="AW172" s="2022">
        <v>49</v>
      </c>
      <c r="AX172" s="304">
        <v>57</v>
      </c>
      <c r="AY172" s="304">
        <v>42</v>
      </c>
      <c r="AZ172" s="304">
        <v>73</v>
      </c>
      <c r="BA172" s="304">
        <v>85</v>
      </c>
      <c r="BB172" s="304">
        <v>42</v>
      </c>
      <c r="BC172" s="304">
        <v>70</v>
      </c>
      <c r="BD172" s="304">
        <v>85</v>
      </c>
      <c r="BE172" s="304">
        <v>65</v>
      </c>
      <c r="BF172" s="304">
        <v>94</v>
      </c>
      <c r="BG172" s="304">
        <v>131</v>
      </c>
      <c r="BH172" s="304">
        <v>83</v>
      </c>
      <c r="BI172" s="304">
        <f t="shared" si="133"/>
        <v>876</v>
      </c>
      <c r="BJ172" s="305">
        <f t="shared" si="147"/>
        <v>72.993917173568875</v>
      </c>
      <c r="BL172" s="317">
        <f>ROW()</f>
        <v>172</v>
      </c>
      <c r="BM172" s="1432">
        <f t="shared" si="135"/>
        <v>33</v>
      </c>
      <c r="BN172" s="317">
        <f t="shared" si="144"/>
        <v>-57.422749493097783</v>
      </c>
      <c r="BO172" s="317">
        <f t="shared" si="136"/>
        <v>-689</v>
      </c>
      <c r="BP172" s="594">
        <f t="shared" si="137"/>
        <v>-48</v>
      </c>
    </row>
    <row r="173" spans="1:68" ht="17.399999999999999" customHeight="1" x14ac:dyDescent="0.55000000000000004">
      <c r="A173" s="7222"/>
      <c r="B173" s="7208"/>
      <c r="C173" s="202" t="s">
        <v>231</v>
      </c>
      <c r="D173" s="300">
        <v>115</v>
      </c>
      <c r="E173" s="301">
        <v>118</v>
      </c>
      <c r="F173" s="301">
        <v>181</v>
      </c>
      <c r="G173" s="301">
        <v>158</v>
      </c>
      <c r="H173" s="301">
        <v>148</v>
      </c>
      <c r="I173" s="301">
        <v>168</v>
      </c>
      <c r="J173" s="301">
        <v>152</v>
      </c>
      <c r="K173" s="301">
        <v>101</v>
      </c>
      <c r="L173" s="301">
        <v>140</v>
      </c>
      <c r="M173" s="301">
        <v>320</v>
      </c>
      <c r="N173" s="301">
        <v>150</v>
      </c>
      <c r="O173" s="301">
        <v>200</v>
      </c>
      <c r="P173" s="301">
        <f t="shared" si="138"/>
        <v>1951</v>
      </c>
      <c r="Q173" s="302">
        <f t="shared" si="139"/>
        <v>162.58333333333334</v>
      </c>
      <c r="R173" s="374"/>
      <c r="S173" s="300">
        <v>145</v>
      </c>
      <c r="T173" s="301">
        <v>205</v>
      </c>
      <c r="U173" s="301">
        <v>191</v>
      </c>
      <c r="V173" s="301">
        <v>295</v>
      </c>
      <c r="W173" s="301">
        <v>369</v>
      </c>
      <c r="X173" s="301">
        <v>241</v>
      </c>
      <c r="Y173" s="301">
        <v>236</v>
      </c>
      <c r="Z173" s="301">
        <v>264</v>
      </c>
      <c r="AA173" s="301">
        <v>118</v>
      </c>
      <c r="AB173" s="301">
        <v>175</v>
      </c>
      <c r="AC173" s="301">
        <v>211</v>
      </c>
      <c r="AD173" s="301">
        <v>210</v>
      </c>
      <c r="AE173" s="301">
        <f t="shared" si="140"/>
        <v>2660</v>
      </c>
      <c r="AF173" s="302">
        <f t="shared" si="141"/>
        <v>221.66666666666666</v>
      </c>
      <c r="AG173" s="374"/>
      <c r="AH173" s="300">
        <v>175</v>
      </c>
      <c r="AI173" s="301">
        <v>145</v>
      </c>
      <c r="AJ173" s="301">
        <v>99</v>
      </c>
      <c r="AK173" s="301">
        <v>178</v>
      </c>
      <c r="AL173" s="301">
        <v>216</v>
      </c>
      <c r="AM173" s="301">
        <v>283</v>
      </c>
      <c r="AN173" s="301">
        <v>283</v>
      </c>
      <c r="AO173" s="301">
        <v>186.00000000000003</v>
      </c>
      <c r="AP173" s="301">
        <v>87</v>
      </c>
      <c r="AQ173" s="301">
        <v>304</v>
      </c>
      <c r="AR173" s="301">
        <v>91</v>
      </c>
      <c r="AS173" s="301">
        <v>79</v>
      </c>
      <c r="AT173" s="301">
        <f t="shared" si="142"/>
        <v>2126</v>
      </c>
      <c r="AU173" s="302">
        <f t="shared" si="143"/>
        <v>177.16666666666666</v>
      </c>
      <c r="AV173" s="374"/>
      <c r="AW173" s="2021">
        <v>330</v>
      </c>
      <c r="AX173" s="301">
        <v>254</v>
      </c>
      <c r="AY173" s="301">
        <v>119</v>
      </c>
      <c r="AZ173" s="301">
        <v>222</v>
      </c>
      <c r="BA173" s="301">
        <v>239</v>
      </c>
      <c r="BB173" s="301">
        <v>489</v>
      </c>
      <c r="BC173" s="301">
        <v>356</v>
      </c>
      <c r="BD173" s="301">
        <v>239</v>
      </c>
      <c r="BE173" s="301">
        <v>346</v>
      </c>
      <c r="BF173" s="301">
        <v>140</v>
      </c>
      <c r="BG173" s="301">
        <v>590</v>
      </c>
      <c r="BH173" s="301">
        <v>173</v>
      </c>
      <c r="BI173" s="301">
        <f t="shared" ref="BI173:BI202" si="168">SUM(AW173:BH173)</f>
        <v>3497</v>
      </c>
      <c r="BJ173" s="302">
        <f t="shared" si="147"/>
        <v>291.39238396800266</v>
      </c>
      <c r="BL173" s="317">
        <f>ROW()</f>
        <v>173</v>
      </c>
      <c r="BM173" s="1432">
        <f t="shared" ref="BM173:BM202" si="169">HLOOKUP($A$2,$AW$2:$BH$511,ROW()-1,0)-HLOOKUP($A$2,$AH$2:$AS$511,ROW()-1,0)</f>
        <v>94</v>
      </c>
      <c r="BN173" s="317">
        <f t="shared" si="144"/>
        <v>114.225717301336</v>
      </c>
      <c r="BO173" s="317">
        <f t="shared" ref="BO173:BO204" si="170">BI173-SUM(AH173:AS173)</f>
        <v>1371</v>
      </c>
      <c r="BP173" s="594">
        <f t="shared" si="137"/>
        <v>-417</v>
      </c>
    </row>
    <row r="174" spans="1:68" ht="17.399999999999999" customHeight="1" x14ac:dyDescent="0.55000000000000004">
      <c r="A174" s="7222"/>
      <c r="B174" s="7208"/>
      <c r="C174" s="202" t="s">
        <v>232</v>
      </c>
      <c r="D174" s="300">
        <v>42</v>
      </c>
      <c r="E174" s="301">
        <v>63</v>
      </c>
      <c r="F174" s="301">
        <v>67</v>
      </c>
      <c r="G174" s="301">
        <v>114</v>
      </c>
      <c r="H174" s="301">
        <v>90</v>
      </c>
      <c r="I174" s="301">
        <v>118</v>
      </c>
      <c r="J174" s="301">
        <v>82</v>
      </c>
      <c r="K174" s="301">
        <v>83</v>
      </c>
      <c r="L174" s="301">
        <v>177</v>
      </c>
      <c r="M174" s="301">
        <v>235</v>
      </c>
      <c r="N174" s="301">
        <v>216</v>
      </c>
      <c r="O174" s="301">
        <v>122</v>
      </c>
      <c r="P174" s="301">
        <f t="shared" si="138"/>
        <v>1409</v>
      </c>
      <c r="Q174" s="302">
        <f t="shared" si="139"/>
        <v>117.41666666666667</v>
      </c>
      <c r="R174" s="374"/>
      <c r="S174" s="300">
        <v>94</v>
      </c>
      <c r="T174" s="301">
        <v>151</v>
      </c>
      <c r="U174" s="301">
        <v>150</v>
      </c>
      <c r="V174" s="301">
        <v>118</v>
      </c>
      <c r="W174" s="301">
        <v>153</v>
      </c>
      <c r="X174" s="301">
        <v>151</v>
      </c>
      <c r="Y174" s="301">
        <v>126</v>
      </c>
      <c r="Z174" s="301">
        <v>208</v>
      </c>
      <c r="AA174" s="301">
        <v>103</v>
      </c>
      <c r="AB174" s="301">
        <v>146</v>
      </c>
      <c r="AC174" s="301">
        <v>61</v>
      </c>
      <c r="AD174" s="301">
        <v>174</v>
      </c>
      <c r="AE174" s="301">
        <f t="shared" si="140"/>
        <v>1635</v>
      </c>
      <c r="AF174" s="302">
        <f t="shared" si="141"/>
        <v>136.25</v>
      </c>
      <c r="AG174" s="374"/>
      <c r="AH174" s="300">
        <v>58</v>
      </c>
      <c r="AI174" s="301">
        <v>80</v>
      </c>
      <c r="AJ174" s="301">
        <v>74</v>
      </c>
      <c r="AK174" s="301">
        <v>79</v>
      </c>
      <c r="AL174" s="301">
        <v>83</v>
      </c>
      <c r="AM174" s="301">
        <v>70</v>
      </c>
      <c r="AN174" s="301">
        <v>202</v>
      </c>
      <c r="AO174" s="301">
        <v>206</v>
      </c>
      <c r="AP174" s="301">
        <v>172</v>
      </c>
      <c r="AQ174" s="301">
        <v>95</v>
      </c>
      <c r="AR174" s="301">
        <v>62</v>
      </c>
      <c r="AS174" s="301">
        <v>89</v>
      </c>
      <c r="AT174" s="301">
        <f t="shared" si="142"/>
        <v>1270</v>
      </c>
      <c r="AU174" s="302">
        <f t="shared" si="143"/>
        <v>105.83333333333333</v>
      </c>
      <c r="AV174" s="374"/>
      <c r="AW174" s="2021">
        <v>78</v>
      </c>
      <c r="AX174" s="301">
        <v>50</v>
      </c>
      <c r="AY174" s="301">
        <v>55</v>
      </c>
      <c r="AZ174" s="301">
        <v>51</v>
      </c>
      <c r="BA174" s="301">
        <v>74</v>
      </c>
      <c r="BB174" s="301">
        <v>87</v>
      </c>
      <c r="BC174" s="301">
        <v>107</v>
      </c>
      <c r="BD174" s="301">
        <v>96</v>
      </c>
      <c r="BE174" s="301">
        <v>109</v>
      </c>
      <c r="BF174" s="301">
        <v>127</v>
      </c>
      <c r="BG174" s="301">
        <v>127</v>
      </c>
      <c r="BH174" s="301">
        <v>55</v>
      </c>
      <c r="BI174" s="301">
        <f t="shared" si="168"/>
        <v>1016</v>
      </c>
      <c r="BJ174" s="302">
        <f t="shared" si="147"/>
        <v>84.659611699025092</v>
      </c>
      <c r="BL174" s="317">
        <f>ROW()</f>
        <v>174</v>
      </c>
      <c r="BM174" s="1432">
        <f t="shared" si="169"/>
        <v>-34</v>
      </c>
      <c r="BN174" s="317">
        <f t="shared" si="144"/>
        <v>-21.173721634308237</v>
      </c>
      <c r="BO174" s="317">
        <f t="shared" si="170"/>
        <v>-254</v>
      </c>
      <c r="BP174" s="594">
        <f t="shared" si="137"/>
        <v>-72</v>
      </c>
    </row>
    <row r="175" spans="1:68" ht="17.399999999999999" customHeight="1" x14ac:dyDescent="0.55000000000000004">
      <c r="A175" s="7222"/>
      <c r="B175" s="7208"/>
      <c r="C175" s="203" t="s">
        <v>233</v>
      </c>
      <c r="D175" s="303">
        <v>195</v>
      </c>
      <c r="E175" s="304">
        <v>178</v>
      </c>
      <c r="F175" s="304">
        <v>240</v>
      </c>
      <c r="G175" s="304">
        <v>201</v>
      </c>
      <c r="H175" s="304">
        <v>227</v>
      </c>
      <c r="I175" s="304">
        <v>251</v>
      </c>
      <c r="J175" s="304">
        <v>250</v>
      </c>
      <c r="K175" s="304">
        <v>241</v>
      </c>
      <c r="L175" s="304">
        <v>179</v>
      </c>
      <c r="M175" s="304">
        <v>265</v>
      </c>
      <c r="N175" s="304">
        <v>211</v>
      </c>
      <c r="O175" s="304">
        <v>230</v>
      </c>
      <c r="P175" s="304">
        <f t="shared" si="138"/>
        <v>2668</v>
      </c>
      <c r="Q175" s="305">
        <f t="shared" si="139"/>
        <v>222.33333333333334</v>
      </c>
      <c r="R175" s="374"/>
      <c r="S175" s="303">
        <v>265</v>
      </c>
      <c r="T175" s="304">
        <v>294</v>
      </c>
      <c r="U175" s="304">
        <v>309</v>
      </c>
      <c r="V175" s="304">
        <v>328</v>
      </c>
      <c r="W175" s="304">
        <v>303</v>
      </c>
      <c r="X175" s="304">
        <v>387</v>
      </c>
      <c r="Y175" s="304">
        <v>281</v>
      </c>
      <c r="Z175" s="304">
        <v>247</v>
      </c>
      <c r="AA175" s="304">
        <v>329</v>
      </c>
      <c r="AB175" s="304">
        <v>217</v>
      </c>
      <c r="AC175" s="304">
        <v>285</v>
      </c>
      <c r="AD175" s="304">
        <v>244</v>
      </c>
      <c r="AE175" s="304">
        <f t="shared" si="140"/>
        <v>3489</v>
      </c>
      <c r="AF175" s="305">
        <f t="shared" si="141"/>
        <v>290.75</v>
      </c>
      <c r="AG175" s="374"/>
      <c r="AH175" s="303">
        <v>240</v>
      </c>
      <c r="AI175" s="304">
        <v>156</v>
      </c>
      <c r="AJ175" s="304">
        <v>233</v>
      </c>
      <c r="AK175" s="304">
        <v>255</v>
      </c>
      <c r="AL175" s="304">
        <v>258</v>
      </c>
      <c r="AM175" s="304">
        <v>293</v>
      </c>
      <c r="AN175" s="304">
        <v>292</v>
      </c>
      <c r="AO175" s="304">
        <v>225</v>
      </c>
      <c r="AP175" s="304">
        <v>215</v>
      </c>
      <c r="AQ175" s="304">
        <v>219</v>
      </c>
      <c r="AR175" s="304">
        <v>132</v>
      </c>
      <c r="AS175" s="304">
        <v>106</v>
      </c>
      <c r="AT175" s="304">
        <f t="shared" si="142"/>
        <v>2624</v>
      </c>
      <c r="AU175" s="305">
        <f t="shared" si="143"/>
        <v>218.66666666666666</v>
      </c>
      <c r="AV175" s="374"/>
      <c r="AW175" s="2022">
        <v>96.999999999999986</v>
      </c>
      <c r="AX175" s="304">
        <v>258</v>
      </c>
      <c r="AY175" s="304">
        <v>446</v>
      </c>
      <c r="AZ175" s="304">
        <v>242</v>
      </c>
      <c r="BA175" s="304">
        <v>479</v>
      </c>
      <c r="BB175" s="304">
        <v>318</v>
      </c>
      <c r="BC175" s="304">
        <v>381</v>
      </c>
      <c r="BD175" s="304">
        <v>427</v>
      </c>
      <c r="BE175" s="304">
        <v>740</v>
      </c>
      <c r="BF175" s="304">
        <v>328</v>
      </c>
      <c r="BG175" s="304">
        <v>174</v>
      </c>
      <c r="BH175" s="304">
        <v>80</v>
      </c>
      <c r="BI175" s="304">
        <f t="shared" si="168"/>
        <v>3970</v>
      </c>
      <c r="BJ175" s="305">
        <f t="shared" si="147"/>
        <v>330.80576618615117</v>
      </c>
      <c r="BL175" s="317">
        <f>ROW()</f>
        <v>175</v>
      </c>
      <c r="BM175" s="1432">
        <f t="shared" si="169"/>
        <v>-26</v>
      </c>
      <c r="BN175" s="317">
        <f t="shared" si="144"/>
        <v>112.13909951948452</v>
      </c>
      <c r="BO175" s="317">
        <f t="shared" si="170"/>
        <v>1346</v>
      </c>
      <c r="BP175" s="594">
        <f t="shared" si="137"/>
        <v>-94</v>
      </c>
    </row>
    <row r="176" spans="1:68" ht="17.399999999999999" customHeight="1" x14ac:dyDescent="0.55000000000000004">
      <c r="A176" s="7222"/>
      <c r="B176" s="7208"/>
      <c r="C176" s="203" t="s">
        <v>234</v>
      </c>
      <c r="D176" s="303">
        <v>141</v>
      </c>
      <c r="E176" s="304">
        <v>114</v>
      </c>
      <c r="F176" s="304">
        <v>265</v>
      </c>
      <c r="G176" s="304">
        <v>300</v>
      </c>
      <c r="H176" s="304">
        <v>268</v>
      </c>
      <c r="I176" s="304">
        <v>200</v>
      </c>
      <c r="J176" s="304">
        <v>168</v>
      </c>
      <c r="K176" s="304">
        <v>124</v>
      </c>
      <c r="L176" s="304">
        <v>133</v>
      </c>
      <c r="M176" s="304">
        <v>156</v>
      </c>
      <c r="N176" s="304">
        <v>203</v>
      </c>
      <c r="O176" s="304">
        <v>121</v>
      </c>
      <c r="P176" s="304">
        <f t="shared" si="138"/>
        <v>2193</v>
      </c>
      <c r="Q176" s="305">
        <f t="shared" si="139"/>
        <v>182.75</v>
      </c>
      <c r="R176" s="374"/>
      <c r="S176" s="303">
        <v>161</v>
      </c>
      <c r="T176" s="304">
        <v>146</v>
      </c>
      <c r="U176" s="304">
        <v>198</v>
      </c>
      <c r="V176" s="304">
        <v>211</v>
      </c>
      <c r="W176" s="304">
        <v>328</v>
      </c>
      <c r="X176" s="304">
        <v>276</v>
      </c>
      <c r="Y176" s="304">
        <v>208</v>
      </c>
      <c r="Z176" s="304">
        <v>202</v>
      </c>
      <c r="AA176" s="304">
        <v>274</v>
      </c>
      <c r="AB176" s="304">
        <v>144</v>
      </c>
      <c r="AC176" s="304">
        <v>167</v>
      </c>
      <c r="AD176" s="304">
        <v>164</v>
      </c>
      <c r="AE176" s="304">
        <f t="shared" si="140"/>
        <v>2479</v>
      </c>
      <c r="AF176" s="305">
        <f t="shared" si="141"/>
        <v>206.58333333333334</v>
      </c>
      <c r="AG176" s="374"/>
      <c r="AH176" s="303">
        <v>135</v>
      </c>
      <c r="AI176" s="304">
        <v>89</v>
      </c>
      <c r="AJ176" s="304">
        <v>136</v>
      </c>
      <c r="AK176" s="304">
        <v>139</v>
      </c>
      <c r="AL176" s="304">
        <v>127</v>
      </c>
      <c r="AM176" s="304">
        <v>180</v>
      </c>
      <c r="AN176" s="304">
        <v>168</v>
      </c>
      <c r="AO176" s="304">
        <v>136</v>
      </c>
      <c r="AP176" s="304">
        <v>142</v>
      </c>
      <c r="AQ176" s="304">
        <v>174</v>
      </c>
      <c r="AR176" s="304">
        <v>92</v>
      </c>
      <c r="AS176" s="304">
        <v>119</v>
      </c>
      <c r="AT176" s="304">
        <f t="shared" si="142"/>
        <v>1637</v>
      </c>
      <c r="AU176" s="305">
        <f t="shared" si="143"/>
        <v>136.41666666666666</v>
      </c>
      <c r="AV176" s="374"/>
      <c r="AW176" s="2022">
        <v>137</v>
      </c>
      <c r="AX176" s="304">
        <v>113</v>
      </c>
      <c r="AY176" s="304">
        <v>132</v>
      </c>
      <c r="AZ176" s="304">
        <v>692</v>
      </c>
      <c r="BA176" s="304">
        <v>154</v>
      </c>
      <c r="BB176" s="304">
        <v>249</v>
      </c>
      <c r="BC176" s="304">
        <v>568</v>
      </c>
      <c r="BD176" s="304">
        <v>290</v>
      </c>
      <c r="BE176" s="304">
        <v>456</v>
      </c>
      <c r="BF176" s="304">
        <v>307</v>
      </c>
      <c r="BG176" s="304">
        <v>217</v>
      </c>
      <c r="BH176" s="304">
        <v>113</v>
      </c>
      <c r="BI176" s="304">
        <f t="shared" si="168"/>
        <v>3428</v>
      </c>
      <c r="BJ176" s="305">
        <f t="shared" si="147"/>
        <v>285.6428630947421</v>
      </c>
      <c r="BL176" s="317">
        <f>ROW()</f>
        <v>176</v>
      </c>
      <c r="BM176" s="1432">
        <f t="shared" si="169"/>
        <v>-6</v>
      </c>
      <c r="BN176" s="317">
        <f t="shared" si="144"/>
        <v>149.22619642807544</v>
      </c>
      <c r="BO176" s="317">
        <f t="shared" si="170"/>
        <v>1791</v>
      </c>
      <c r="BP176" s="594">
        <f t="shared" si="137"/>
        <v>-104</v>
      </c>
    </row>
    <row r="177" spans="1:72" ht="17.399999999999999" customHeight="1" x14ac:dyDescent="0.55000000000000004">
      <c r="A177" s="7222"/>
      <c r="B177" s="7208"/>
      <c r="C177" s="202" t="s">
        <v>235</v>
      </c>
      <c r="D177" s="300">
        <v>98</v>
      </c>
      <c r="E177" s="301">
        <v>113</v>
      </c>
      <c r="F177" s="301">
        <v>125</v>
      </c>
      <c r="G177" s="301">
        <v>158</v>
      </c>
      <c r="H177" s="301">
        <v>169</v>
      </c>
      <c r="I177" s="301">
        <v>160</v>
      </c>
      <c r="J177" s="301">
        <v>164</v>
      </c>
      <c r="K177" s="301">
        <v>199</v>
      </c>
      <c r="L177" s="301">
        <v>130</v>
      </c>
      <c r="M177" s="301">
        <v>141</v>
      </c>
      <c r="N177" s="301">
        <v>199</v>
      </c>
      <c r="O177" s="301">
        <v>239</v>
      </c>
      <c r="P177" s="301">
        <f t="shared" si="138"/>
        <v>1895</v>
      </c>
      <c r="Q177" s="302">
        <f t="shared" si="139"/>
        <v>157.91666666666666</v>
      </c>
      <c r="R177" s="374"/>
      <c r="S177" s="300">
        <v>155</v>
      </c>
      <c r="T177" s="301">
        <v>160</v>
      </c>
      <c r="U177" s="301">
        <v>289</v>
      </c>
      <c r="V177" s="301">
        <v>148</v>
      </c>
      <c r="W177" s="301">
        <v>248</v>
      </c>
      <c r="X177" s="301">
        <v>192</v>
      </c>
      <c r="Y177" s="301">
        <v>210</v>
      </c>
      <c r="Z177" s="301">
        <v>182</v>
      </c>
      <c r="AA177" s="301">
        <v>125</v>
      </c>
      <c r="AB177" s="301">
        <v>144</v>
      </c>
      <c r="AC177" s="301">
        <v>337</v>
      </c>
      <c r="AD177" s="301">
        <v>162</v>
      </c>
      <c r="AE177" s="301">
        <f t="shared" si="140"/>
        <v>2352</v>
      </c>
      <c r="AF177" s="302">
        <f t="shared" si="141"/>
        <v>196</v>
      </c>
      <c r="AG177" s="374"/>
      <c r="AH177" s="300">
        <v>167</v>
      </c>
      <c r="AI177" s="301">
        <v>109</v>
      </c>
      <c r="AJ177" s="301">
        <v>99</v>
      </c>
      <c r="AK177" s="301">
        <v>80</v>
      </c>
      <c r="AL177" s="301">
        <v>149</v>
      </c>
      <c r="AM177" s="301">
        <v>155</v>
      </c>
      <c r="AN177" s="301">
        <v>226</v>
      </c>
      <c r="AO177" s="301">
        <v>174</v>
      </c>
      <c r="AP177" s="301">
        <v>268</v>
      </c>
      <c r="AQ177" s="301">
        <v>124.00000000000001</v>
      </c>
      <c r="AR177" s="301">
        <v>182</v>
      </c>
      <c r="AS177" s="301">
        <v>178</v>
      </c>
      <c r="AT177" s="301">
        <f t="shared" si="142"/>
        <v>1911</v>
      </c>
      <c r="AU177" s="302">
        <f t="shared" si="143"/>
        <v>159.25</v>
      </c>
      <c r="AV177" s="374"/>
      <c r="AW177" s="2021">
        <v>259</v>
      </c>
      <c r="AX177" s="301">
        <v>612</v>
      </c>
      <c r="AY177" s="301">
        <v>325</v>
      </c>
      <c r="AZ177" s="301">
        <v>525</v>
      </c>
      <c r="BA177" s="301">
        <v>365</v>
      </c>
      <c r="BB177" s="301">
        <v>389</v>
      </c>
      <c r="BC177" s="301">
        <v>344</v>
      </c>
      <c r="BD177" s="301">
        <v>436</v>
      </c>
      <c r="BE177" s="301">
        <v>1254</v>
      </c>
      <c r="BF177" s="301">
        <v>585</v>
      </c>
      <c r="BG177" s="301">
        <v>653</v>
      </c>
      <c r="BH177" s="301">
        <v>341</v>
      </c>
      <c r="BI177" s="301">
        <f t="shared" si="168"/>
        <v>6088</v>
      </c>
      <c r="BJ177" s="302">
        <f t="shared" si="147"/>
        <v>507.29105907841017</v>
      </c>
      <c r="BL177" s="317">
        <f>ROW()</f>
        <v>177</v>
      </c>
      <c r="BM177" s="1432">
        <f t="shared" si="169"/>
        <v>163</v>
      </c>
      <c r="BN177" s="317">
        <f t="shared" si="144"/>
        <v>348.04105907841017</v>
      </c>
      <c r="BO177" s="317">
        <f t="shared" si="170"/>
        <v>4177</v>
      </c>
      <c r="BP177" s="594">
        <f t="shared" si="137"/>
        <v>-312</v>
      </c>
    </row>
    <row r="178" spans="1:72" ht="18" customHeight="1" thickBot="1" x14ac:dyDescent="0.6">
      <c r="A178" s="7222"/>
      <c r="B178" s="7209"/>
      <c r="C178" s="204" t="s">
        <v>236</v>
      </c>
      <c r="D178" s="306">
        <v>200</v>
      </c>
      <c r="E178" s="307">
        <v>118</v>
      </c>
      <c r="F178" s="307">
        <v>217</v>
      </c>
      <c r="G178" s="307">
        <v>153</v>
      </c>
      <c r="H178" s="307">
        <v>127</v>
      </c>
      <c r="I178" s="307">
        <v>177</v>
      </c>
      <c r="J178" s="307">
        <v>199</v>
      </c>
      <c r="K178" s="307">
        <v>134</v>
      </c>
      <c r="L178" s="307">
        <v>165</v>
      </c>
      <c r="M178" s="307">
        <v>149</v>
      </c>
      <c r="N178" s="307">
        <v>177</v>
      </c>
      <c r="O178" s="307">
        <v>293</v>
      </c>
      <c r="P178" s="307">
        <f t="shared" si="138"/>
        <v>2109</v>
      </c>
      <c r="Q178" s="308">
        <f t="shared" si="139"/>
        <v>175.75</v>
      </c>
      <c r="R178" s="374"/>
      <c r="S178" s="306">
        <v>228</v>
      </c>
      <c r="T178" s="307">
        <v>282</v>
      </c>
      <c r="U178" s="307">
        <v>286</v>
      </c>
      <c r="V178" s="307">
        <v>302</v>
      </c>
      <c r="W178" s="307">
        <v>282</v>
      </c>
      <c r="X178" s="307">
        <v>386</v>
      </c>
      <c r="Y178" s="307">
        <v>305</v>
      </c>
      <c r="Z178" s="307">
        <v>227</v>
      </c>
      <c r="AA178" s="307">
        <v>210</v>
      </c>
      <c r="AB178" s="307">
        <v>248</v>
      </c>
      <c r="AC178" s="307">
        <v>283</v>
      </c>
      <c r="AD178" s="307">
        <v>296</v>
      </c>
      <c r="AE178" s="307">
        <f t="shared" si="140"/>
        <v>3335</v>
      </c>
      <c r="AF178" s="308">
        <f t="shared" si="141"/>
        <v>277.91666666666669</v>
      </c>
      <c r="AG178" s="374"/>
      <c r="AH178" s="306">
        <v>220</v>
      </c>
      <c r="AI178" s="307">
        <v>260</v>
      </c>
      <c r="AJ178" s="307">
        <v>194</v>
      </c>
      <c r="AK178" s="307">
        <v>199</v>
      </c>
      <c r="AL178" s="307">
        <v>359</v>
      </c>
      <c r="AM178" s="307">
        <v>504</v>
      </c>
      <c r="AN178" s="307">
        <v>445</v>
      </c>
      <c r="AO178" s="307">
        <v>339</v>
      </c>
      <c r="AP178" s="307">
        <v>550</v>
      </c>
      <c r="AQ178" s="307">
        <v>236</v>
      </c>
      <c r="AR178" s="307">
        <v>261</v>
      </c>
      <c r="AS178" s="307">
        <v>353</v>
      </c>
      <c r="AT178" s="307">
        <f t="shared" si="142"/>
        <v>3920</v>
      </c>
      <c r="AU178" s="308">
        <f t="shared" si="143"/>
        <v>326.66666666666669</v>
      </c>
      <c r="AV178" s="374"/>
      <c r="AW178" s="2023">
        <v>371</v>
      </c>
      <c r="AX178" s="307">
        <v>337</v>
      </c>
      <c r="AY178" s="307">
        <v>560</v>
      </c>
      <c r="AZ178" s="307">
        <v>484</v>
      </c>
      <c r="BA178" s="307">
        <v>648</v>
      </c>
      <c r="BB178" s="307">
        <v>1102</v>
      </c>
      <c r="BC178" s="307">
        <v>945</v>
      </c>
      <c r="BD178" s="307">
        <v>776</v>
      </c>
      <c r="BE178" s="307">
        <v>1101</v>
      </c>
      <c r="BF178" s="307">
        <v>768</v>
      </c>
      <c r="BG178" s="307">
        <v>423</v>
      </c>
      <c r="BH178" s="307">
        <v>122</v>
      </c>
      <c r="BI178" s="307">
        <f t="shared" si="168"/>
        <v>7637</v>
      </c>
      <c r="BJ178" s="308">
        <f t="shared" si="147"/>
        <v>636.36363636363637</v>
      </c>
      <c r="BL178" s="317">
        <f>ROW()</f>
        <v>178</v>
      </c>
      <c r="BM178" s="1432">
        <f t="shared" si="169"/>
        <v>-231</v>
      </c>
      <c r="BN178" s="317">
        <f t="shared" si="144"/>
        <v>309.69696969696969</v>
      </c>
      <c r="BO178" s="317">
        <f t="shared" si="170"/>
        <v>3717</v>
      </c>
      <c r="BP178" s="594">
        <f t="shared" si="137"/>
        <v>-301</v>
      </c>
    </row>
    <row r="179" spans="1:72" x14ac:dyDescent="0.55000000000000004">
      <c r="A179" s="7222"/>
      <c r="B179" s="7213" t="s">
        <v>432</v>
      </c>
      <c r="C179" s="199" t="s">
        <v>419</v>
      </c>
      <c r="D179" s="291">
        <f>D184+D185</f>
        <v>1127</v>
      </c>
      <c r="E179" s="292">
        <f t="shared" ref="E179:O179" si="171">E184+E185</f>
        <v>1310</v>
      </c>
      <c r="F179" s="292">
        <f t="shared" si="171"/>
        <v>1302</v>
      </c>
      <c r="G179" s="292">
        <f t="shared" si="171"/>
        <v>1590</v>
      </c>
      <c r="H179" s="292">
        <f t="shared" si="171"/>
        <v>1889</v>
      </c>
      <c r="I179" s="292">
        <f t="shared" si="171"/>
        <v>1950</v>
      </c>
      <c r="J179" s="292">
        <f t="shared" si="171"/>
        <v>1360</v>
      </c>
      <c r="K179" s="292">
        <f t="shared" si="171"/>
        <v>1396</v>
      </c>
      <c r="L179" s="292">
        <f t="shared" si="171"/>
        <v>976</v>
      </c>
      <c r="M179" s="292">
        <f t="shared" si="171"/>
        <v>1275</v>
      </c>
      <c r="N179" s="292">
        <f t="shared" si="171"/>
        <v>1015</v>
      </c>
      <c r="O179" s="292">
        <f t="shared" si="171"/>
        <v>964</v>
      </c>
      <c r="P179" s="292">
        <f t="shared" si="138"/>
        <v>16154</v>
      </c>
      <c r="Q179" s="293">
        <f t="shared" si="139"/>
        <v>1346.1666666666667</v>
      </c>
      <c r="R179" s="374"/>
      <c r="S179" s="291">
        <f>S184+S185</f>
        <v>983</v>
      </c>
      <c r="T179" s="292">
        <f t="shared" ref="T179:AD179" si="172">T184+T185</f>
        <v>1338</v>
      </c>
      <c r="U179" s="292">
        <f t="shared" si="172"/>
        <v>1296</v>
      </c>
      <c r="V179" s="292">
        <f t="shared" si="172"/>
        <v>1047</v>
      </c>
      <c r="W179" s="292">
        <f t="shared" si="172"/>
        <v>1152</v>
      </c>
      <c r="X179" s="292">
        <f t="shared" si="172"/>
        <v>1102</v>
      </c>
      <c r="Y179" s="292">
        <f t="shared" si="172"/>
        <v>1027</v>
      </c>
      <c r="Z179" s="292">
        <f t="shared" si="172"/>
        <v>1444</v>
      </c>
      <c r="AA179" s="292">
        <f t="shared" si="172"/>
        <v>1149</v>
      </c>
      <c r="AB179" s="292">
        <f t="shared" si="172"/>
        <v>1221</v>
      </c>
      <c r="AC179" s="292">
        <f t="shared" si="172"/>
        <v>1126</v>
      </c>
      <c r="AD179" s="292">
        <f t="shared" si="172"/>
        <v>844</v>
      </c>
      <c r="AE179" s="292">
        <f t="shared" si="140"/>
        <v>13729</v>
      </c>
      <c r="AF179" s="293">
        <f t="shared" si="141"/>
        <v>1144.0833333333333</v>
      </c>
      <c r="AG179" s="374"/>
      <c r="AH179" s="291">
        <v>1250</v>
      </c>
      <c r="AI179" s="292">
        <v>850</v>
      </c>
      <c r="AJ179" s="292">
        <v>1094</v>
      </c>
      <c r="AK179" s="292">
        <v>981</v>
      </c>
      <c r="AL179" s="292">
        <v>1259</v>
      </c>
      <c r="AM179" s="292">
        <v>1116</v>
      </c>
      <c r="AN179" s="292">
        <v>1451</v>
      </c>
      <c r="AO179" s="292">
        <v>1333</v>
      </c>
      <c r="AP179" s="292">
        <v>1294</v>
      </c>
      <c r="AQ179" s="292">
        <v>1376</v>
      </c>
      <c r="AR179" s="292">
        <v>1243</v>
      </c>
      <c r="AS179" s="292">
        <v>1001</v>
      </c>
      <c r="AT179" s="292">
        <f t="shared" si="142"/>
        <v>14248</v>
      </c>
      <c r="AU179" s="293">
        <f t="shared" si="143"/>
        <v>1187.3333333333333</v>
      </c>
      <c r="AV179" s="374"/>
      <c r="AW179" s="2015">
        <v>1017</v>
      </c>
      <c r="AX179" s="292">
        <v>1432</v>
      </c>
      <c r="AY179" s="292">
        <v>1070</v>
      </c>
      <c r="AZ179" s="292">
        <v>1158</v>
      </c>
      <c r="BA179" s="292">
        <v>1981</v>
      </c>
      <c r="BB179" s="292">
        <v>1337</v>
      </c>
      <c r="BC179" s="292">
        <v>1347</v>
      </c>
      <c r="BD179" s="292">
        <v>1156</v>
      </c>
      <c r="BE179" s="292">
        <v>1078</v>
      </c>
      <c r="BF179" s="292">
        <v>998</v>
      </c>
      <c r="BG179" s="292">
        <v>1049</v>
      </c>
      <c r="BH179" s="292">
        <v>1165</v>
      </c>
      <c r="BI179" s="292">
        <f t="shared" si="168"/>
        <v>14788</v>
      </c>
      <c r="BJ179" s="293">
        <f t="shared" si="147"/>
        <v>1232.2306474460463</v>
      </c>
      <c r="BL179" s="317">
        <f>ROW()</f>
        <v>179</v>
      </c>
      <c r="BM179" s="1432">
        <f t="shared" si="169"/>
        <v>164</v>
      </c>
      <c r="BN179" s="317">
        <f t="shared" si="144"/>
        <v>44.897314112713048</v>
      </c>
      <c r="BO179" s="317">
        <f t="shared" si="170"/>
        <v>540</v>
      </c>
      <c r="BP179" s="594">
        <f t="shared" si="137"/>
        <v>116</v>
      </c>
    </row>
    <row r="180" spans="1:72" x14ac:dyDescent="0.55000000000000004">
      <c r="A180" s="7222"/>
      <c r="B180" s="7214"/>
      <c r="C180" s="200" t="s">
        <v>420</v>
      </c>
      <c r="D180" s="294">
        <f>D186</f>
        <v>909</v>
      </c>
      <c r="E180" s="295">
        <f t="shared" ref="E180:O180" si="173">E186</f>
        <v>1155</v>
      </c>
      <c r="F180" s="295">
        <f t="shared" si="173"/>
        <v>1170</v>
      </c>
      <c r="G180" s="295">
        <f t="shared" si="173"/>
        <v>1387</v>
      </c>
      <c r="H180" s="295">
        <f t="shared" si="173"/>
        <v>1479</v>
      </c>
      <c r="I180" s="295">
        <f t="shared" si="173"/>
        <v>1140</v>
      </c>
      <c r="J180" s="295">
        <f t="shared" si="173"/>
        <v>991</v>
      </c>
      <c r="K180" s="295">
        <f t="shared" si="173"/>
        <v>1195</v>
      </c>
      <c r="L180" s="295">
        <f t="shared" si="173"/>
        <v>717</v>
      </c>
      <c r="M180" s="295">
        <f t="shared" si="173"/>
        <v>873</v>
      </c>
      <c r="N180" s="295">
        <f t="shared" si="173"/>
        <v>808</v>
      </c>
      <c r="O180" s="295">
        <f t="shared" si="173"/>
        <v>692</v>
      </c>
      <c r="P180" s="295">
        <f t="shared" si="138"/>
        <v>12516</v>
      </c>
      <c r="Q180" s="296">
        <f t="shared" si="139"/>
        <v>1043</v>
      </c>
      <c r="R180" s="374"/>
      <c r="S180" s="294">
        <f>S186</f>
        <v>742</v>
      </c>
      <c r="T180" s="295">
        <f t="shared" ref="T180:AD180" si="174">T186</f>
        <v>930</v>
      </c>
      <c r="U180" s="295">
        <f t="shared" si="174"/>
        <v>818</v>
      </c>
      <c r="V180" s="295">
        <f t="shared" si="174"/>
        <v>554</v>
      </c>
      <c r="W180" s="295">
        <f t="shared" si="174"/>
        <v>694</v>
      </c>
      <c r="X180" s="295">
        <f t="shared" si="174"/>
        <v>593</v>
      </c>
      <c r="Y180" s="295">
        <f t="shared" si="174"/>
        <v>607</v>
      </c>
      <c r="Z180" s="295">
        <f t="shared" si="174"/>
        <v>811</v>
      </c>
      <c r="AA180" s="295">
        <f t="shared" si="174"/>
        <v>629</v>
      </c>
      <c r="AB180" s="295">
        <f t="shared" si="174"/>
        <v>871</v>
      </c>
      <c r="AC180" s="295">
        <f t="shared" si="174"/>
        <v>654</v>
      </c>
      <c r="AD180" s="295">
        <f t="shared" si="174"/>
        <v>574</v>
      </c>
      <c r="AE180" s="295">
        <f t="shared" si="140"/>
        <v>8477</v>
      </c>
      <c r="AF180" s="296">
        <f t="shared" si="141"/>
        <v>706.41666666666663</v>
      </c>
      <c r="AG180" s="374"/>
      <c r="AH180" s="294">
        <v>721</v>
      </c>
      <c r="AI180" s="295">
        <v>538</v>
      </c>
      <c r="AJ180" s="295">
        <v>779</v>
      </c>
      <c r="AK180" s="295">
        <v>768</v>
      </c>
      <c r="AL180" s="295">
        <v>742</v>
      </c>
      <c r="AM180" s="295">
        <v>715</v>
      </c>
      <c r="AN180" s="295">
        <v>850</v>
      </c>
      <c r="AO180" s="295">
        <v>1115</v>
      </c>
      <c r="AP180" s="295">
        <v>1065</v>
      </c>
      <c r="AQ180" s="295">
        <v>1057</v>
      </c>
      <c r="AR180" s="295">
        <v>892</v>
      </c>
      <c r="AS180" s="295">
        <v>889</v>
      </c>
      <c r="AT180" s="295">
        <f t="shared" si="142"/>
        <v>10131</v>
      </c>
      <c r="AU180" s="296">
        <f t="shared" si="143"/>
        <v>844.25</v>
      </c>
      <c r="AV180" s="374"/>
      <c r="AW180" s="2016">
        <v>749</v>
      </c>
      <c r="AX180" s="295">
        <v>1078</v>
      </c>
      <c r="AY180" s="295">
        <v>788</v>
      </c>
      <c r="AZ180" s="295">
        <v>763</v>
      </c>
      <c r="BA180" s="295">
        <v>1405</v>
      </c>
      <c r="BB180" s="295">
        <v>978</v>
      </c>
      <c r="BC180" s="295">
        <v>968</v>
      </c>
      <c r="BD180" s="295">
        <v>977</v>
      </c>
      <c r="BE180" s="295">
        <v>886</v>
      </c>
      <c r="BF180" s="295">
        <v>870</v>
      </c>
      <c r="BG180" s="295">
        <v>746</v>
      </c>
      <c r="BH180" s="295">
        <v>855</v>
      </c>
      <c r="BI180" s="295">
        <f t="shared" si="168"/>
        <v>11063</v>
      </c>
      <c r="BJ180" s="296">
        <f t="shared" si="147"/>
        <v>921.83984667944344</v>
      </c>
      <c r="BL180" s="317">
        <f>ROW()</f>
        <v>180</v>
      </c>
      <c r="BM180" s="1432">
        <f t="shared" si="169"/>
        <v>-34</v>
      </c>
      <c r="BN180" s="317">
        <f t="shared" si="144"/>
        <v>77.58984667944344</v>
      </c>
      <c r="BO180" s="317">
        <f t="shared" si="170"/>
        <v>932</v>
      </c>
      <c r="BP180" s="594">
        <f t="shared" si="137"/>
        <v>109</v>
      </c>
    </row>
    <row r="181" spans="1:72" x14ac:dyDescent="0.55000000000000004">
      <c r="A181" s="7222"/>
      <c r="B181" s="7214"/>
      <c r="C181" s="200" t="s">
        <v>421</v>
      </c>
      <c r="D181" s="294">
        <f>D187</f>
        <v>972</v>
      </c>
      <c r="E181" s="295">
        <f t="shared" ref="E181:O181" si="175">E187</f>
        <v>1074</v>
      </c>
      <c r="F181" s="295">
        <f t="shared" si="175"/>
        <v>1040</v>
      </c>
      <c r="G181" s="295">
        <f t="shared" si="175"/>
        <v>1272</v>
      </c>
      <c r="H181" s="295">
        <f t="shared" si="175"/>
        <v>1252</v>
      </c>
      <c r="I181" s="295">
        <f t="shared" si="175"/>
        <v>1178</v>
      </c>
      <c r="J181" s="295">
        <f t="shared" si="175"/>
        <v>988</v>
      </c>
      <c r="K181" s="295">
        <f t="shared" si="175"/>
        <v>1120</v>
      </c>
      <c r="L181" s="295">
        <f t="shared" si="175"/>
        <v>784</v>
      </c>
      <c r="M181" s="295">
        <f t="shared" si="175"/>
        <v>884</v>
      </c>
      <c r="N181" s="295">
        <f t="shared" si="175"/>
        <v>725</v>
      </c>
      <c r="O181" s="295">
        <f t="shared" si="175"/>
        <v>611</v>
      </c>
      <c r="P181" s="295">
        <f t="shared" si="138"/>
        <v>11900</v>
      </c>
      <c r="Q181" s="296">
        <f t="shared" si="139"/>
        <v>991.66666666666663</v>
      </c>
      <c r="R181" s="374"/>
      <c r="S181" s="294">
        <f>S187</f>
        <v>721</v>
      </c>
      <c r="T181" s="295">
        <f t="shared" ref="T181:AD181" si="176">T187</f>
        <v>777</v>
      </c>
      <c r="U181" s="295">
        <f t="shared" si="176"/>
        <v>771</v>
      </c>
      <c r="V181" s="295">
        <f t="shared" si="176"/>
        <v>676</v>
      </c>
      <c r="W181" s="295">
        <f t="shared" si="176"/>
        <v>796</v>
      </c>
      <c r="X181" s="295">
        <f t="shared" si="176"/>
        <v>745</v>
      </c>
      <c r="Y181" s="295">
        <f t="shared" si="176"/>
        <v>732</v>
      </c>
      <c r="Z181" s="295">
        <f t="shared" si="176"/>
        <v>876</v>
      </c>
      <c r="AA181" s="295">
        <f t="shared" si="176"/>
        <v>587</v>
      </c>
      <c r="AB181" s="295">
        <f t="shared" si="176"/>
        <v>825</v>
      </c>
      <c r="AC181" s="295">
        <f t="shared" si="176"/>
        <v>703</v>
      </c>
      <c r="AD181" s="295">
        <f t="shared" si="176"/>
        <v>540</v>
      </c>
      <c r="AE181" s="295">
        <f t="shared" si="140"/>
        <v>8749</v>
      </c>
      <c r="AF181" s="296">
        <f t="shared" si="141"/>
        <v>729.08333333333337</v>
      </c>
      <c r="AG181" s="374"/>
      <c r="AH181" s="294">
        <v>656</v>
      </c>
      <c r="AI181" s="295">
        <v>577</v>
      </c>
      <c r="AJ181" s="295">
        <v>808</v>
      </c>
      <c r="AK181" s="295">
        <v>697</v>
      </c>
      <c r="AL181" s="295">
        <v>812</v>
      </c>
      <c r="AM181" s="295">
        <v>814</v>
      </c>
      <c r="AN181" s="295">
        <v>973</v>
      </c>
      <c r="AO181" s="295">
        <v>881</v>
      </c>
      <c r="AP181" s="295">
        <v>783</v>
      </c>
      <c r="AQ181" s="295">
        <v>938</v>
      </c>
      <c r="AR181" s="295">
        <v>899</v>
      </c>
      <c r="AS181" s="295">
        <v>823</v>
      </c>
      <c r="AT181" s="295">
        <f t="shared" si="142"/>
        <v>9661</v>
      </c>
      <c r="AU181" s="296">
        <f t="shared" si="143"/>
        <v>805.08333333333337</v>
      </c>
      <c r="AV181" s="374"/>
      <c r="AW181" s="2016">
        <v>718</v>
      </c>
      <c r="AX181" s="295">
        <v>1090</v>
      </c>
      <c r="AY181" s="295">
        <v>988</v>
      </c>
      <c r="AZ181" s="295">
        <v>870</v>
      </c>
      <c r="BA181" s="295">
        <v>1405</v>
      </c>
      <c r="BB181" s="295">
        <v>1151</v>
      </c>
      <c r="BC181" s="295">
        <v>1040</v>
      </c>
      <c r="BD181" s="295">
        <v>712</v>
      </c>
      <c r="BE181" s="295">
        <v>797</v>
      </c>
      <c r="BF181" s="295">
        <v>733</v>
      </c>
      <c r="BG181" s="295">
        <v>683</v>
      </c>
      <c r="BH181" s="295">
        <v>843</v>
      </c>
      <c r="BI181" s="295">
        <f t="shared" si="168"/>
        <v>11030</v>
      </c>
      <c r="BJ181" s="296">
        <f t="shared" si="147"/>
        <v>919.0900758270144</v>
      </c>
      <c r="BL181" s="317">
        <f>ROW()</f>
        <v>181</v>
      </c>
      <c r="BM181" s="1432">
        <f t="shared" si="169"/>
        <v>20</v>
      </c>
      <c r="BN181" s="317">
        <f t="shared" si="144"/>
        <v>114.00674249368103</v>
      </c>
      <c r="BO181" s="317">
        <f t="shared" si="170"/>
        <v>1369</v>
      </c>
      <c r="BP181" s="594">
        <f t="shared" si="137"/>
        <v>160</v>
      </c>
    </row>
    <row r="182" spans="1:72" x14ac:dyDescent="0.55000000000000004">
      <c r="A182" s="7222"/>
      <c r="B182" s="7214"/>
      <c r="C182" s="200" t="s">
        <v>422</v>
      </c>
      <c r="D182" s="294">
        <f>D188+D189</f>
        <v>1632</v>
      </c>
      <c r="E182" s="295">
        <f t="shared" ref="E182:O182" si="177">E188+E189</f>
        <v>1730</v>
      </c>
      <c r="F182" s="295">
        <f t="shared" si="177"/>
        <v>1728</v>
      </c>
      <c r="G182" s="295">
        <f t="shared" si="177"/>
        <v>2081</v>
      </c>
      <c r="H182" s="295">
        <f t="shared" si="177"/>
        <v>2114</v>
      </c>
      <c r="I182" s="295">
        <f t="shared" si="177"/>
        <v>2124</v>
      </c>
      <c r="J182" s="295">
        <f t="shared" si="177"/>
        <v>1975</v>
      </c>
      <c r="K182" s="295">
        <f t="shared" si="177"/>
        <v>2189</v>
      </c>
      <c r="L182" s="295">
        <f t="shared" si="177"/>
        <v>1557</v>
      </c>
      <c r="M182" s="295">
        <f t="shared" si="177"/>
        <v>1575</v>
      </c>
      <c r="N182" s="295">
        <f t="shared" si="177"/>
        <v>1342</v>
      </c>
      <c r="O182" s="295">
        <f t="shared" si="177"/>
        <v>1029</v>
      </c>
      <c r="P182" s="295">
        <f t="shared" si="138"/>
        <v>21076</v>
      </c>
      <c r="Q182" s="296">
        <f t="shared" si="139"/>
        <v>1756.3333333333333</v>
      </c>
      <c r="R182" s="374"/>
      <c r="S182" s="294">
        <f>S188+S189</f>
        <v>1251</v>
      </c>
      <c r="T182" s="295">
        <f t="shared" ref="T182:AD182" si="178">T188+T189</f>
        <v>1727</v>
      </c>
      <c r="U182" s="295">
        <f t="shared" si="178"/>
        <v>1474</v>
      </c>
      <c r="V182" s="295">
        <f t="shared" si="178"/>
        <v>1340</v>
      </c>
      <c r="W182" s="295">
        <f t="shared" si="178"/>
        <v>1563</v>
      </c>
      <c r="X182" s="295">
        <f t="shared" si="178"/>
        <v>1446</v>
      </c>
      <c r="Y182" s="295">
        <f t="shared" si="178"/>
        <v>1314</v>
      </c>
      <c r="Z182" s="295">
        <f t="shared" si="178"/>
        <v>1752</v>
      </c>
      <c r="AA182" s="295">
        <f t="shared" si="178"/>
        <v>1291</v>
      </c>
      <c r="AB182" s="295">
        <f t="shared" si="178"/>
        <v>1703</v>
      </c>
      <c r="AC182" s="295">
        <f t="shared" si="178"/>
        <v>1410</v>
      </c>
      <c r="AD182" s="295">
        <f t="shared" si="178"/>
        <v>1016</v>
      </c>
      <c r="AE182" s="295">
        <f t="shared" si="140"/>
        <v>17287</v>
      </c>
      <c r="AF182" s="296">
        <f t="shared" si="141"/>
        <v>1440.5833333333333</v>
      </c>
      <c r="AG182" s="374"/>
      <c r="AH182" s="294">
        <v>1753</v>
      </c>
      <c r="AI182" s="295">
        <v>1458</v>
      </c>
      <c r="AJ182" s="295">
        <v>1608</v>
      </c>
      <c r="AK182" s="295">
        <v>1566</v>
      </c>
      <c r="AL182" s="295">
        <v>1660</v>
      </c>
      <c r="AM182" s="295">
        <v>1388</v>
      </c>
      <c r="AN182" s="295">
        <v>1631</v>
      </c>
      <c r="AO182" s="295">
        <v>1427</v>
      </c>
      <c r="AP182" s="295">
        <v>1542</v>
      </c>
      <c r="AQ182" s="295">
        <v>1670</v>
      </c>
      <c r="AR182" s="295">
        <v>1832</v>
      </c>
      <c r="AS182" s="295">
        <v>1747</v>
      </c>
      <c r="AT182" s="295">
        <f t="shared" si="142"/>
        <v>19282</v>
      </c>
      <c r="AU182" s="296">
        <f t="shared" si="143"/>
        <v>1606.8333333333333</v>
      </c>
      <c r="AV182" s="374"/>
      <c r="AW182" s="2016">
        <v>1729</v>
      </c>
      <c r="AX182" s="295">
        <v>2246</v>
      </c>
      <c r="AY182" s="295">
        <v>1897.0000000000002</v>
      </c>
      <c r="AZ182" s="295">
        <v>2215</v>
      </c>
      <c r="BA182" s="295">
        <v>3626</v>
      </c>
      <c r="BB182" s="295">
        <v>3351</v>
      </c>
      <c r="BC182" s="295">
        <v>2897</v>
      </c>
      <c r="BD182" s="295">
        <v>2270</v>
      </c>
      <c r="BE182" s="295">
        <v>1965</v>
      </c>
      <c r="BF182" s="295">
        <v>2049</v>
      </c>
      <c r="BG182" s="295">
        <v>1964</v>
      </c>
      <c r="BH182" s="295">
        <v>1909</v>
      </c>
      <c r="BI182" s="295">
        <f t="shared" si="168"/>
        <v>28118</v>
      </c>
      <c r="BJ182" s="296">
        <f t="shared" si="147"/>
        <v>2342.9714190484128</v>
      </c>
      <c r="BL182" s="317">
        <f>ROW()</f>
        <v>182</v>
      </c>
      <c r="BM182" s="1432">
        <f t="shared" si="169"/>
        <v>162</v>
      </c>
      <c r="BN182" s="317">
        <f t="shared" si="144"/>
        <v>736.13808571507957</v>
      </c>
      <c r="BO182" s="317">
        <f t="shared" si="170"/>
        <v>8836</v>
      </c>
      <c r="BP182" s="594">
        <f t="shared" si="137"/>
        <v>-55</v>
      </c>
    </row>
    <row r="183" spans="1:72" x14ac:dyDescent="0.55000000000000004">
      <c r="A183" s="7222"/>
      <c r="B183" s="7215"/>
      <c r="C183" s="201" t="s">
        <v>423</v>
      </c>
      <c r="D183" s="297">
        <f>D190+D191</f>
        <v>1685</v>
      </c>
      <c r="E183" s="298">
        <f t="shared" ref="E183:O183" si="179">E190+E191</f>
        <v>1666</v>
      </c>
      <c r="F183" s="298">
        <f t="shared" si="179"/>
        <v>1567</v>
      </c>
      <c r="G183" s="298">
        <f t="shared" si="179"/>
        <v>1958</v>
      </c>
      <c r="H183" s="298">
        <f t="shared" si="179"/>
        <v>2218</v>
      </c>
      <c r="I183" s="298">
        <f t="shared" si="179"/>
        <v>2075</v>
      </c>
      <c r="J183" s="298">
        <f t="shared" si="179"/>
        <v>1781</v>
      </c>
      <c r="K183" s="298">
        <f t="shared" si="179"/>
        <v>1999</v>
      </c>
      <c r="L183" s="298">
        <f t="shared" si="179"/>
        <v>1383</v>
      </c>
      <c r="M183" s="298">
        <f t="shared" si="179"/>
        <v>1475</v>
      </c>
      <c r="N183" s="298">
        <f t="shared" si="179"/>
        <v>1393</v>
      </c>
      <c r="O183" s="298">
        <f t="shared" si="179"/>
        <v>1341</v>
      </c>
      <c r="P183" s="298">
        <f t="shared" si="138"/>
        <v>20541</v>
      </c>
      <c r="Q183" s="299">
        <f t="shared" si="139"/>
        <v>1711.75</v>
      </c>
      <c r="R183" s="374"/>
      <c r="S183" s="297">
        <f>S190+S191</f>
        <v>1473</v>
      </c>
      <c r="T183" s="298">
        <f t="shared" ref="T183:AD183" si="180">T190+T191</f>
        <v>1781</v>
      </c>
      <c r="U183" s="298">
        <f t="shared" si="180"/>
        <v>1547</v>
      </c>
      <c r="V183" s="298">
        <f t="shared" si="180"/>
        <v>1454</v>
      </c>
      <c r="W183" s="298">
        <f t="shared" si="180"/>
        <v>1723</v>
      </c>
      <c r="X183" s="298">
        <f t="shared" si="180"/>
        <v>1502</v>
      </c>
      <c r="Y183" s="298">
        <f t="shared" si="180"/>
        <v>1442</v>
      </c>
      <c r="Z183" s="298">
        <f t="shared" si="180"/>
        <v>1918</v>
      </c>
      <c r="AA183" s="298">
        <f t="shared" si="180"/>
        <v>1398</v>
      </c>
      <c r="AB183" s="298">
        <f t="shared" si="180"/>
        <v>1602</v>
      </c>
      <c r="AC183" s="298">
        <f t="shared" si="180"/>
        <v>1371</v>
      </c>
      <c r="AD183" s="298">
        <f t="shared" si="180"/>
        <v>1040</v>
      </c>
      <c r="AE183" s="298">
        <f t="shared" si="140"/>
        <v>18251</v>
      </c>
      <c r="AF183" s="299">
        <f t="shared" si="141"/>
        <v>1520.9166666666667</v>
      </c>
      <c r="AG183" s="374"/>
      <c r="AH183" s="297">
        <v>1653</v>
      </c>
      <c r="AI183" s="298">
        <v>1322</v>
      </c>
      <c r="AJ183" s="298">
        <v>1288</v>
      </c>
      <c r="AK183" s="298">
        <v>1377</v>
      </c>
      <c r="AL183" s="298">
        <v>1282</v>
      </c>
      <c r="AM183" s="298">
        <v>1264</v>
      </c>
      <c r="AN183" s="298">
        <v>1399</v>
      </c>
      <c r="AO183" s="298">
        <v>1064</v>
      </c>
      <c r="AP183" s="298">
        <v>1279</v>
      </c>
      <c r="AQ183" s="298">
        <v>1549</v>
      </c>
      <c r="AR183" s="298">
        <v>1692</v>
      </c>
      <c r="AS183" s="298">
        <v>1451</v>
      </c>
      <c r="AT183" s="298">
        <f t="shared" si="142"/>
        <v>16620</v>
      </c>
      <c r="AU183" s="299">
        <f t="shared" si="143"/>
        <v>1385</v>
      </c>
      <c r="AV183" s="374"/>
      <c r="AW183" s="2017">
        <v>1356</v>
      </c>
      <c r="AX183" s="298">
        <v>1912</v>
      </c>
      <c r="AY183" s="298">
        <v>1592</v>
      </c>
      <c r="AZ183" s="298">
        <v>1733</v>
      </c>
      <c r="BA183" s="298">
        <v>2231</v>
      </c>
      <c r="BB183" s="298">
        <v>1770</v>
      </c>
      <c r="BC183" s="298">
        <v>1762</v>
      </c>
      <c r="BD183" s="298">
        <v>1357</v>
      </c>
      <c r="BE183" s="298">
        <v>1455</v>
      </c>
      <c r="BF183" s="298">
        <v>1324</v>
      </c>
      <c r="BG183" s="298">
        <v>1410</v>
      </c>
      <c r="BH183" s="298">
        <v>1478</v>
      </c>
      <c r="BI183" s="298">
        <f t="shared" si="168"/>
        <v>19380</v>
      </c>
      <c r="BJ183" s="299">
        <f t="shared" si="147"/>
        <v>1614.86542788101</v>
      </c>
      <c r="BL183" s="317">
        <f>ROW()</f>
        <v>183</v>
      </c>
      <c r="BM183" s="1432">
        <f t="shared" si="169"/>
        <v>27</v>
      </c>
      <c r="BN183" s="317">
        <f t="shared" si="144"/>
        <v>229.86542788100996</v>
      </c>
      <c r="BO183" s="317">
        <f t="shared" si="170"/>
        <v>2760</v>
      </c>
      <c r="BP183" s="594">
        <f t="shared" si="137"/>
        <v>68</v>
      </c>
    </row>
    <row r="184" spans="1:72" x14ac:dyDescent="0.55000000000000004">
      <c r="A184" s="7222"/>
      <c r="B184" s="7207" t="s">
        <v>433</v>
      </c>
      <c r="C184" s="203" t="s">
        <v>242</v>
      </c>
      <c r="D184" s="303">
        <v>784</v>
      </c>
      <c r="E184" s="304">
        <v>950</v>
      </c>
      <c r="F184" s="304">
        <v>925</v>
      </c>
      <c r="G184" s="304">
        <v>1218</v>
      </c>
      <c r="H184" s="304">
        <v>1398</v>
      </c>
      <c r="I184" s="304">
        <v>1393</v>
      </c>
      <c r="J184" s="304">
        <v>991</v>
      </c>
      <c r="K184" s="304">
        <v>963</v>
      </c>
      <c r="L184" s="304">
        <v>783</v>
      </c>
      <c r="M184" s="304">
        <v>989</v>
      </c>
      <c r="N184" s="304">
        <v>689</v>
      </c>
      <c r="O184" s="304">
        <v>743</v>
      </c>
      <c r="P184" s="304">
        <f t="shared" si="138"/>
        <v>11826</v>
      </c>
      <c r="Q184" s="305">
        <f t="shared" si="139"/>
        <v>985.5</v>
      </c>
      <c r="R184" s="374"/>
      <c r="S184" s="303">
        <v>724</v>
      </c>
      <c r="T184" s="304">
        <v>986</v>
      </c>
      <c r="U184" s="304">
        <v>880</v>
      </c>
      <c r="V184" s="304">
        <v>760</v>
      </c>
      <c r="W184" s="304">
        <v>784</v>
      </c>
      <c r="X184" s="304">
        <v>747</v>
      </c>
      <c r="Y184" s="304">
        <v>711</v>
      </c>
      <c r="Z184" s="304">
        <v>928</v>
      </c>
      <c r="AA184" s="304">
        <v>783</v>
      </c>
      <c r="AB184" s="304">
        <v>837</v>
      </c>
      <c r="AC184" s="304">
        <v>797</v>
      </c>
      <c r="AD184" s="304">
        <v>561</v>
      </c>
      <c r="AE184" s="304">
        <f t="shared" si="140"/>
        <v>9498</v>
      </c>
      <c r="AF184" s="305">
        <f t="shared" si="141"/>
        <v>791.5</v>
      </c>
      <c r="AG184" s="374"/>
      <c r="AH184" s="303">
        <v>921</v>
      </c>
      <c r="AI184" s="304">
        <v>552</v>
      </c>
      <c r="AJ184" s="304">
        <v>706</v>
      </c>
      <c r="AK184" s="304">
        <v>673</v>
      </c>
      <c r="AL184" s="304">
        <v>868</v>
      </c>
      <c r="AM184" s="304">
        <v>741</v>
      </c>
      <c r="AN184" s="304">
        <v>982</v>
      </c>
      <c r="AO184" s="304">
        <v>981</v>
      </c>
      <c r="AP184" s="304">
        <v>910</v>
      </c>
      <c r="AQ184" s="304">
        <v>993</v>
      </c>
      <c r="AR184" s="304">
        <v>853</v>
      </c>
      <c r="AS184" s="304">
        <v>708</v>
      </c>
      <c r="AT184" s="304">
        <f t="shared" si="142"/>
        <v>9888</v>
      </c>
      <c r="AU184" s="305">
        <f t="shared" si="143"/>
        <v>824</v>
      </c>
      <c r="AV184" s="374"/>
      <c r="AW184" s="2022">
        <v>686</v>
      </c>
      <c r="AX184" s="304">
        <v>1010</v>
      </c>
      <c r="AY184" s="304">
        <v>725</v>
      </c>
      <c r="AZ184" s="304">
        <v>842</v>
      </c>
      <c r="BA184" s="304">
        <v>1396</v>
      </c>
      <c r="BB184" s="304">
        <v>933</v>
      </c>
      <c r="BC184" s="304">
        <v>1347</v>
      </c>
      <c r="BD184" s="304">
        <v>1156</v>
      </c>
      <c r="BE184" s="304">
        <v>1078</v>
      </c>
      <c r="BF184" s="304">
        <v>998</v>
      </c>
      <c r="BG184" s="304">
        <v>1049</v>
      </c>
      <c r="BH184" s="304">
        <v>1165</v>
      </c>
      <c r="BI184" s="304">
        <f t="shared" si="168"/>
        <v>12385</v>
      </c>
      <c r="BJ184" s="305">
        <f t="shared" si="147"/>
        <v>1031.9973335555371</v>
      </c>
      <c r="BL184" s="317">
        <f>ROW()</f>
        <v>184</v>
      </c>
      <c r="BM184" s="1432">
        <f t="shared" si="169"/>
        <v>457</v>
      </c>
      <c r="BN184" s="317">
        <f t="shared" si="144"/>
        <v>207.99733355553712</v>
      </c>
      <c r="BO184" s="317">
        <f t="shared" si="170"/>
        <v>2497</v>
      </c>
      <c r="BP184" s="594">
        <f t="shared" si="137"/>
        <v>116</v>
      </c>
    </row>
    <row r="185" spans="1:72" x14ac:dyDescent="0.55000000000000004">
      <c r="A185" s="7222"/>
      <c r="B185" s="7208"/>
      <c r="C185" s="203" t="s">
        <v>243</v>
      </c>
      <c r="D185" s="303">
        <v>343</v>
      </c>
      <c r="E185" s="304">
        <v>360</v>
      </c>
      <c r="F185" s="304">
        <v>377</v>
      </c>
      <c r="G185" s="304">
        <v>372</v>
      </c>
      <c r="H185" s="304">
        <v>491</v>
      </c>
      <c r="I185" s="304">
        <v>557</v>
      </c>
      <c r="J185" s="304">
        <v>369</v>
      </c>
      <c r="K185" s="304">
        <v>433</v>
      </c>
      <c r="L185" s="304">
        <v>193</v>
      </c>
      <c r="M185" s="304">
        <v>286</v>
      </c>
      <c r="N185" s="304">
        <v>326</v>
      </c>
      <c r="O185" s="304">
        <v>221</v>
      </c>
      <c r="P185" s="304">
        <f t="shared" si="138"/>
        <v>4328</v>
      </c>
      <c r="Q185" s="305">
        <f t="shared" si="139"/>
        <v>360.66666666666669</v>
      </c>
      <c r="R185" s="374"/>
      <c r="S185" s="303">
        <v>259</v>
      </c>
      <c r="T185" s="304">
        <v>352</v>
      </c>
      <c r="U185" s="304">
        <v>416</v>
      </c>
      <c r="V185" s="304">
        <v>287</v>
      </c>
      <c r="W185" s="304">
        <v>368</v>
      </c>
      <c r="X185" s="304">
        <v>355</v>
      </c>
      <c r="Y185" s="304">
        <v>316</v>
      </c>
      <c r="Z185" s="304">
        <v>516</v>
      </c>
      <c r="AA185" s="304">
        <v>366</v>
      </c>
      <c r="AB185" s="304">
        <v>384</v>
      </c>
      <c r="AC185" s="304">
        <v>329</v>
      </c>
      <c r="AD185" s="304">
        <v>283</v>
      </c>
      <c r="AE185" s="304">
        <f t="shared" si="140"/>
        <v>4231</v>
      </c>
      <c r="AF185" s="305">
        <f t="shared" si="141"/>
        <v>352.58333333333331</v>
      </c>
      <c r="AG185" s="374"/>
      <c r="AH185" s="303">
        <v>329</v>
      </c>
      <c r="AI185" s="304">
        <v>298</v>
      </c>
      <c r="AJ185" s="304">
        <v>388</v>
      </c>
      <c r="AK185" s="304">
        <v>308</v>
      </c>
      <c r="AL185" s="304">
        <v>391</v>
      </c>
      <c r="AM185" s="304">
        <v>375</v>
      </c>
      <c r="AN185" s="304">
        <v>469</v>
      </c>
      <c r="AO185" s="304">
        <v>352</v>
      </c>
      <c r="AP185" s="304">
        <v>384</v>
      </c>
      <c r="AQ185" s="304">
        <v>383</v>
      </c>
      <c r="AR185" s="304">
        <v>390</v>
      </c>
      <c r="AS185" s="304">
        <v>293</v>
      </c>
      <c r="AT185" s="304">
        <f t="shared" si="142"/>
        <v>4360</v>
      </c>
      <c r="AU185" s="305">
        <f t="shared" si="143"/>
        <v>363.33333333333331</v>
      </c>
      <c r="AV185" s="374"/>
      <c r="AW185" s="2022">
        <v>331</v>
      </c>
      <c r="AX185" s="304">
        <v>422</v>
      </c>
      <c r="AY185" s="304">
        <v>345</v>
      </c>
      <c r="AZ185" s="304">
        <v>316</v>
      </c>
      <c r="BA185" s="304">
        <v>585</v>
      </c>
      <c r="BB185" s="304">
        <v>404</v>
      </c>
      <c r="BC185" s="2363"/>
      <c r="BD185" s="2363" t="s">
        <v>838</v>
      </c>
      <c r="BE185" s="2363" t="s">
        <v>838</v>
      </c>
      <c r="BF185" s="2363"/>
      <c r="BG185" s="2363"/>
      <c r="BH185" s="2363"/>
      <c r="BI185" s="304">
        <f t="shared" si="168"/>
        <v>2403</v>
      </c>
      <c r="BJ185" s="305">
        <f t="shared" si="147"/>
        <v>200.23331389050912</v>
      </c>
      <c r="BL185" s="317">
        <f>ROW()</f>
        <v>185</v>
      </c>
      <c r="BM185" s="1432">
        <f t="shared" si="169"/>
        <v>-293</v>
      </c>
      <c r="BN185" s="317">
        <f t="shared" si="144"/>
        <v>-163.10001944282419</v>
      </c>
      <c r="BO185" s="317">
        <f t="shared" si="170"/>
        <v>-1957</v>
      </c>
      <c r="BP185" s="594">
        <f t="shared" si="137"/>
        <v>0</v>
      </c>
    </row>
    <row r="186" spans="1:72" s="190" customFormat="1" x14ac:dyDescent="0.55000000000000004">
      <c r="A186" s="7222"/>
      <c r="B186" s="7208"/>
      <c r="C186" s="211" t="s">
        <v>244</v>
      </c>
      <c r="D186" s="309">
        <v>909</v>
      </c>
      <c r="E186" s="310">
        <v>1155</v>
      </c>
      <c r="F186" s="310">
        <v>1170</v>
      </c>
      <c r="G186" s="310">
        <v>1387</v>
      </c>
      <c r="H186" s="310">
        <v>1479</v>
      </c>
      <c r="I186" s="310">
        <v>1140</v>
      </c>
      <c r="J186" s="310">
        <v>991</v>
      </c>
      <c r="K186" s="310">
        <v>1195</v>
      </c>
      <c r="L186" s="310">
        <v>717</v>
      </c>
      <c r="M186" s="310">
        <v>873</v>
      </c>
      <c r="N186" s="310">
        <v>808</v>
      </c>
      <c r="O186" s="310">
        <v>692</v>
      </c>
      <c r="P186" s="310">
        <f t="shared" si="138"/>
        <v>12516</v>
      </c>
      <c r="Q186" s="311">
        <f t="shared" si="139"/>
        <v>1043</v>
      </c>
      <c r="R186" s="374"/>
      <c r="S186" s="309">
        <v>742</v>
      </c>
      <c r="T186" s="310">
        <v>930</v>
      </c>
      <c r="U186" s="310">
        <v>818</v>
      </c>
      <c r="V186" s="310">
        <v>554</v>
      </c>
      <c r="W186" s="310">
        <v>694</v>
      </c>
      <c r="X186" s="310">
        <v>593</v>
      </c>
      <c r="Y186" s="310">
        <v>607</v>
      </c>
      <c r="Z186" s="310">
        <v>811</v>
      </c>
      <c r="AA186" s="310">
        <v>629</v>
      </c>
      <c r="AB186" s="310">
        <v>871</v>
      </c>
      <c r="AC186" s="310">
        <v>654</v>
      </c>
      <c r="AD186" s="310">
        <v>574</v>
      </c>
      <c r="AE186" s="310">
        <f t="shared" si="140"/>
        <v>8477</v>
      </c>
      <c r="AF186" s="311">
        <f t="shared" si="141"/>
        <v>706.41666666666663</v>
      </c>
      <c r="AG186" s="374"/>
      <c r="AH186" s="309">
        <v>721</v>
      </c>
      <c r="AI186" s="310">
        <v>538</v>
      </c>
      <c r="AJ186" s="310">
        <v>779</v>
      </c>
      <c r="AK186" s="310">
        <v>768</v>
      </c>
      <c r="AL186" s="310">
        <v>742</v>
      </c>
      <c r="AM186" s="310">
        <v>715</v>
      </c>
      <c r="AN186" s="310">
        <v>850</v>
      </c>
      <c r="AO186" s="310">
        <v>1115</v>
      </c>
      <c r="AP186" s="310">
        <v>1065</v>
      </c>
      <c r="AQ186" s="310">
        <v>1057</v>
      </c>
      <c r="AR186" s="310">
        <v>892</v>
      </c>
      <c r="AS186" s="310">
        <v>889</v>
      </c>
      <c r="AT186" s="310">
        <f t="shared" si="142"/>
        <v>10131</v>
      </c>
      <c r="AU186" s="311">
        <f t="shared" si="143"/>
        <v>844.25</v>
      </c>
      <c r="AV186" s="374"/>
      <c r="AW186" s="2021">
        <v>749</v>
      </c>
      <c r="AX186" s="310">
        <v>1078</v>
      </c>
      <c r="AY186" s="310">
        <v>788</v>
      </c>
      <c r="AZ186" s="310">
        <v>763</v>
      </c>
      <c r="BA186" s="310">
        <v>1405</v>
      </c>
      <c r="BB186" s="310">
        <v>978</v>
      </c>
      <c r="BC186" s="310">
        <v>968</v>
      </c>
      <c r="BD186" s="310">
        <v>977</v>
      </c>
      <c r="BE186" s="310">
        <v>886</v>
      </c>
      <c r="BF186" s="310">
        <v>870</v>
      </c>
      <c r="BG186" s="310">
        <v>746</v>
      </c>
      <c r="BH186" s="310">
        <v>855</v>
      </c>
      <c r="BI186" s="310">
        <f t="shared" si="168"/>
        <v>11063</v>
      </c>
      <c r="BJ186" s="311">
        <f t="shared" si="147"/>
        <v>921.83984667944344</v>
      </c>
      <c r="BL186" s="317">
        <f>ROW()</f>
        <v>186</v>
      </c>
      <c r="BM186" s="1432">
        <f t="shared" si="169"/>
        <v>-34</v>
      </c>
      <c r="BN186" s="317">
        <f t="shared" si="144"/>
        <v>77.58984667944344</v>
      </c>
      <c r="BO186" s="317">
        <f t="shared" si="170"/>
        <v>932</v>
      </c>
      <c r="BP186" s="594">
        <f t="shared" si="137"/>
        <v>109</v>
      </c>
      <c r="BQ186"/>
      <c r="BR186"/>
      <c r="BS186"/>
      <c r="BT186"/>
    </row>
    <row r="187" spans="1:72" s="190" customFormat="1" x14ac:dyDescent="0.55000000000000004">
      <c r="A187" s="7222"/>
      <c r="B187" s="7208"/>
      <c r="C187" s="203" t="s">
        <v>245</v>
      </c>
      <c r="D187" s="303">
        <v>972</v>
      </c>
      <c r="E187" s="304">
        <v>1074</v>
      </c>
      <c r="F187" s="304">
        <v>1040</v>
      </c>
      <c r="G187" s="304">
        <v>1272</v>
      </c>
      <c r="H187" s="304">
        <v>1252</v>
      </c>
      <c r="I187" s="304">
        <v>1178</v>
      </c>
      <c r="J187" s="304">
        <v>988</v>
      </c>
      <c r="K187" s="304">
        <v>1120</v>
      </c>
      <c r="L187" s="304">
        <v>784</v>
      </c>
      <c r="M187" s="304">
        <v>884</v>
      </c>
      <c r="N187" s="304">
        <v>725</v>
      </c>
      <c r="O187" s="304">
        <v>611</v>
      </c>
      <c r="P187" s="304">
        <f t="shared" si="138"/>
        <v>11900</v>
      </c>
      <c r="Q187" s="305">
        <f t="shared" si="139"/>
        <v>991.66666666666663</v>
      </c>
      <c r="R187" s="374"/>
      <c r="S187" s="303">
        <v>721</v>
      </c>
      <c r="T187" s="304">
        <v>777</v>
      </c>
      <c r="U187" s="304">
        <v>771</v>
      </c>
      <c r="V187" s="304">
        <v>676</v>
      </c>
      <c r="W187" s="304">
        <v>796</v>
      </c>
      <c r="X187" s="304">
        <v>745</v>
      </c>
      <c r="Y187" s="304">
        <v>732</v>
      </c>
      <c r="Z187" s="304">
        <v>876</v>
      </c>
      <c r="AA187" s="304">
        <v>587</v>
      </c>
      <c r="AB187" s="304">
        <v>825</v>
      </c>
      <c r="AC187" s="304">
        <v>703</v>
      </c>
      <c r="AD187" s="304">
        <v>540</v>
      </c>
      <c r="AE187" s="304">
        <f t="shared" si="140"/>
        <v>8749</v>
      </c>
      <c r="AF187" s="305">
        <f t="shared" si="141"/>
        <v>729.08333333333337</v>
      </c>
      <c r="AG187" s="374"/>
      <c r="AH187" s="303">
        <v>656</v>
      </c>
      <c r="AI187" s="304">
        <v>577</v>
      </c>
      <c r="AJ187" s="304">
        <v>808</v>
      </c>
      <c r="AK187" s="304">
        <v>697</v>
      </c>
      <c r="AL187" s="304">
        <v>812</v>
      </c>
      <c r="AM187" s="304">
        <v>814</v>
      </c>
      <c r="AN187" s="304">
        <v>973</v>
      </c>
      <c r="AO187" s="304">
        <v>881</v>
      </c>
      <c r="AP187" s="304">
        <v>783</v>
      </c>
      <c r="AQ187" s="304">
        <v>938</v>
      </c>
      <c r="AR187" s="304">
        <v>899</v>
      </c>
      <c r="AS187" s="304">
        <v>823</v>
      </c>
      <c r="AT187" s="304">
        <f t="shared" si="142"/>
        <v>9661</v>
      </c>
      <c r="AU187" s="305">
        <f t="shared" si="143"/>
        <v>805.08333333333337</v>
      </c>
      <c r="AV187" s="374"/>
      <c r="AW187" s="2022">
        <v>718</v>
      </c>
      <c r="AX187" s="304">
        <v>1090</v>
      </c>
      <c r="AY187" s="304">
        <v>988</v>
      </c>
      <c r="AZ187" s="304">
        <v>870</v>
      </c>
      <c r="BA187" s="304">
        <v>1405</v>
      </c>
      <c r="BB187" s="304">
        <v>1151</v>
      </c>
      <c r="BC187" s="304">
        <v>1040</v>
      </c>
      <c r="BD187" s="304">
        <v>712</v>
      </c>
      <c r="BE187" s="304">
        <v>797</v>
      </c>
      <c r="BF187" s="304">
        <v>733</v>
      </c>
      <c r="BG187" s="304">
        <v>683</v>
      </c>
      <c r="BH187" s="304">
        <v>843</v>
      </c>
      <c r="BI187" s="304">
        <f t="shared" si="168"/>
        <v>11030</v>
      </c>
      <c r="BJ187" s="305">
        <f t="shared" si="147"/>
        <v>919.0900758270144</v>
      </c>
      <c r="BL187" s="317">
        <f>ROW()</f>
        <v>187</v>
      </c>
      <c r="BM187" s="1432">
        <f t="shared" si="169"/>
        <v>20</v>
      </c>
      <c r="BN187" s="317">
        <f t="shared" si="144"/>
        <v>114.00674249368103</v>
      </c>
      <c r="BO187" s="317">
        <f t="shared" si="170"/>
        <v>1369</v>
      </c>
      <c r="BP187" s="594">
        <f t="shared" si="137"/>
        <v>160</v>
      </c>
      <c r="BQ187"/>
      <c r="BR187"/>
      <c r="BS187"/>
      <c r="BT187"/>
    </row>
    <row r="188" spans="1:72" s="190" customFormat="1" x14ac:dyDescent="0.55000000000000004">
      <c r="A188" s="7222"/>
      <c r="B188" s="7208"/>
      <c r="C188" s="211" t="s">
        <v>246</v>
      </c>
      <c r="D188" s="309">
        <v>768</v>
      </c>
      <c r="E188" s="310">
        <v>858</v>
      </c>
      <c r="F188" s="310">
        <v>870</v>
      </c>
      <c r="G188" s="310">
        <v>1039</v>
      </c>
      <c r="H188" s="310">
        <v>1149</v>
      </c>
      <c r="I188" s="310">
        <v>1189</v>
      </c>
      <c r="J188" s="310">
        <v>1124</v>
      </c>
      <c r="K188" s="310">
        <v>1237</v>
      </c>
      <c r="L188" s="310">
        <v>969</v>
      </c>
      <c r="M188" s="310">
        <v>932</v>
      </c>
      <c r="N188" s="310">
        <v>871</v>
      </c>
      <c r="O188" s="310">
        <v>713</v>
      </c>
      <c r="P188" s="310">
        <f t="shared" si="138"/>
        <v>11719</v>
      </c>
      <c r="Q188" s="311">
        <f t="shared" si="139"/>
        <v>976.58333333333337</v>
      </c>
      <c r="R188" s="374"/>
      <c r="S188" s="309">
        <v>778</v>
      </c>
      <c r="T188" s="310">
        <v>947</v>
      </c>
      <c r="U188" s="310">
        <v>932</v>
      </c>
      <c r="V188" s="310">
        <v>789</v>
      </c>
      <c r="W188" s="310">
        <v>879</v>
      </c>
      <c r="X188" s="310">
        <v>800</v>
      </c>
      <c r="Y188" s="310">
        <v>815</v>
      </c>
      <c r="Z188" s="310">
        <v>1115</v>
      </c>
      <c r="AA188" s="310">
        <v>802</v>
      </c>
      <c r="AB188" s="310">
        <v>1040</v>
      </c>
      <c r="AC188" s="310">
        <v>853</v>
      </c>
      <c r="AD188" s="310">
        <v>623</v>
      </c>
      <c r="AE188" s="310">
        <f t="shared" si="140"/>
        <v>10373</v>
      </c>
      <c r="AF188" s="311">
        <f t="shared" si="141"/>
        <v>864.41666666666663</v>
      </c>
      <c r="AG188" s="374"/>
      <c r="AH188" s="309">
        <v>1126</v>
      </c>
      <c r="AI188" s="310">
        <v>917</v>
      </c>
      <c r="AJ188" s="310">
        <v>1016</v>
      </c>
      <c r="AK188" s="310">
        <v>1036</v>
      </c>
      <c r="AL188" s="310">
        <v>1087</v>
      </c>
      <c r="AM188" s="310">
        <v>900</v>
      </c>
      <c r="AN188" s="310">
        <v>1089</v>
      </c>
      <c r="AO188" s="310">
        <v>892</v>
      </c>
      <c r="AP188" s="310">
        <v>998</v>
      </c>
      <c r="AQ188" s="310">
        <v>1139</v>
      </c>
      <c r="AR188" s="310">
        <v>1241</v>
      </c>
      <c r="AS188" s="310">
        <v>1215</v>
      </c>
      <c r="AT188" s="310">
        <f t="shared" si="142"/>
        <v>12656</v>
      </c>
      <c r="AU188" s="311">
        <f t="shared" si="143"/>
        <v>1054.6666666666667</v>
      </c>
      <c r="AV188" s="374"/>
      <c r="AW188" s="2021">
        <v>1119</v>
      </c>
      <c r="AX188" s="310">
        <v>1506</v>
      </c>
      <c r="AY188" s="310">
        <v>1216</v>
      </c>
      <c r="AZ188" s="310">
        <v>1516</v>
      </c>
      <c r="BA188" s="310">
        <v>2492</v>
      </c>
      <c r="BB188" s="310">
        <v>2472</v>
      </c>
      <c r="BC188" s="310">
        <v>2050</v>
      </c>
      <c r="BD188" s="310">
        <v>1553</v>
      </c>
      <c r="BE188" s="310">
        <v>1290</v>
      </c>
      <c r="BF188" s="310">
        <v>1312</v>
      </c>
      <c r="BG188" s="310">
        <v>1238</v>
      </c>
      <c r="BH188" s="310">
        <v>1209</v>
      </c>
      <c r="BI188" s="310">
        <f t="shared" si="168"/>
        <v>18973</v>
      </c>
      <c r="BJ188" s="311">
        <f t="shared" si="147"/>
        <v>1580.9515873677194</v>
      </c>
      <c r="BL188" s="317">
        <f>ROW()</f>
        <v>188</v>
      </c>
      <c r="BM188" s="1432">
        <f t="shared" si="169"/>
        <v>-6</v>
      </c>
      <c r="BN188" s="317">
        <f t="shared" si="144"/>
        <v>526.28492070105267</v>
      </c>
      <c r="BO188" s="317">
        <f t="shared" si="170"/>
        <v>6317</v>
      </c>
      <c r="BP188" s="594">
        <f t="shared" si="137"/>
        <v>-29</v>
      </c>
      <c r="BR188"/>
      <c r="BS188"/>
    </row>
    <row r="189" spans="1:72" x14ac:dyDescent="0.55000000000000004">
      <c r="A189" s="7222"/>
      <c r="B189" s="7208"/>
      <c r="C189" s="202" t="s">
        <v>247</v>
      </c>
      <c r="D189" s="300">
        <v>864</v>
      </c>
      <c r="E189" s="301">
        <v>872</v>
      </c>
      <c r="F189" s="301">
        <v>858</v>
      </c>
      <c r="G189" s="301">
        <v>1042</v>
      </c>
      <c r="H189" s="301">
        <v>965</v>
      </c>
      <c r="I189" s="301">
        <v>935</v>
      </c>
      <c r="J189" s="301">
        <v>851</v>
      </c>
      <c r="K189" s="301">
        <v>952</v>
      </c>
      <c r="L189" s="301">
        <v>588</v>
      </c>
      <c r="M189" s="301">
        <v>643</v>
      </c>
      <c r="N189" s="301">
        <v>471</v>
      </c>
      <c r="O189" s="301">
        <v>316</v>
      </c>
      <c r="P189" s="301">
        <f t="shared" si="138"/>
        <v>9357</v>
      </c>
      <c r="Q189" s="302">
        <f t="shared" si="139"/>
        <v>779.75</v>
      </c>
      <c r="R189" s="374"/>
      <c r="S189" s="300">
        <v>473</v>
      </c>
      <c r="T189" s="301">
        <v>780</v>
      </c>
      <c r="U189" s="301">
        <v>542</v>
      </c>
      <c r="V189" s="301">
        <v>551</v>
      </c>
      <c r="W189" s="301">
        <v>684</v>
      </c>
      <c r="X189" s="301">
        <v>646</v>
      </c>
      <c r="Y189" s="301">
        <v>499</v>
      </c>
      <c r="Z189" s="301">
        <v>637</v>
      </c>
      <c r="AA189" s="301">
        <v>489</v>
      </c>
      <c r="AB189" s="301">
        <v>663</v>
      </c>
      <c r="AC189" s="301">
        <v>557</v>
      </c>
      <c r="AD189" s="301">
        <v>393</v>
      </c>
      <c r="AE189" s="301">
        <f t="shared" si="140"/>
        <v>6914</v>
      </c>
      <c r="AF189" s="302">
        <f t="shared" si="141"/>
        <v>576.16666666666663</v>
      </c>
      <c r="AG189" s="374"/>
      <c r="AH189" s="300">
        <v>627</v>
      </c>
      <c r="AI189" s="301">
        <v>541</v>
      </c>
      <c r="AJ189" s="301">
        <v>592</v>
      </c>
      <c r="AK189" s="301">
        <v>530</v>
      </c>
      <c r="AL189" s="301">
        <v>573</v>
      </c>
      <c r="AM189" s="301">
        <v>488</v>
      </c>
      <c r="AN189" s="301">
        <v>542</v>
      </c>
      <c r="AO189" s="301">
        <v>535</v>
      </c>
      <c r="AP189" s="301">
        <v>544</v>
      </c>
      <c r="AQ189" s="301">
        <v>531</v>
      </c>
      <c r="AR189" s="301">
        <v>591</v>
      </c>
      <c r="AS189" s="301">
        <v>532</v>
      </c>
      <c r="AT189" s="301">
        <f t="shared" si="142"/>
        <v>6626</v>
      </c>
      <c r="AU189" s="302">
        <f t="shared" si="143"/>
        <v>552.16666666666663</v>
      </c>
      <c r="AV189" s="374"/>
      <c r="AW189" s="2021">
        <v>610</v>
      </c>
      <c r="AX189" s="301">
        <v>740</v>
      </c>
      <c r="AY189" s="301">
        <v>681</v>
      </c>
      <c r="AZ189" s="301">
        <v>699</v>
      </c>
      <c r="BA189" s="301">
        <v>1134</v>
      </c>
      <c r="BB189" s="301">
        <v>879</v>
      </c>
      <c r="BC189" s="301">
        <v>847</v>
      </c>
      <c r="BD189" s="301">
        <v>717</v>
      </c>
      <c r="BE189" s="301">
        <v>675</v>
      </c>
      <c r="BF189" s="301">
        <v>737</v>
      </c>
      <c r="BG189" s="301">
        <v>726</v>
      </c>
      <c r="BH189" s="301">
        <v>700</v>
      </c>
      <c r="BI189" s="301">
        <f t="shared" si="168"/>
        <v>9145</v>
      </c>
      <c r="BJ189" s="302">
        <f t="shared" si="147"/>
        <v>762.0198316806933</v>
      </c>
      <c r="BL189" s="317">
        <f>ROW()</f>
        <v>189</v>
      </c>
      <c r="BM189" s="1432">
        <f t="shared" si="169"/>
        <v>168</v>
      </c>
      <c r="BN189" s="317">
        <f t="shared" si="144"/>
        <v>209.85316501402667</v>
      </c>
      <c r="BO189" s="317">
        <f t="shared" si="170"/>
        <v>2519</v>
      </c>
      <c r="BP189" s="594">
        <f t="shared" si="137"/>
        <v>-26</v>
      </c>
    </row>
    <row r="190" spans="1:72" x14ac:dyDescent="0.55000000000000004">
      <c r="A190" s="7222"/>
      <c r="B190" s="7208"/>
      <c r="C190" s="203" t="s">
        <v>248</v>
      </c>
      <c r="D190" s="303">
        <v>796</v>
      </c>
      <c r="E190" s="304">
        <v>792</v>
      </c>
      <c r="F190" s="304">
        <v>778</v>
      </c>
      <c r="G190" s="304">
        <v>995</v>
      </c>
      <c r="H190" s="304">
        <v>1179</v>
      </c>
      <c r="I190" s="304">
        <v>1100</v>
      </c>
      <c r="J190" s="304">
        <v>911</v>
      </c>
      <c r="K190" s="304">
        <v>1177</v>
      </c>
      <c r="L190" s="304">
        <v>772</v>
      </c>
      <c r="M190" s="304">
        <v>694</v>
      </c>
      <c r="N190" s="304">
        <v>658</v>
      </c>
      <c r="O190" s="304">
        <v>786</v>
      </c>
      <c r="P190" s="304">
        <f t="shared" si="138"/>
        <v>10638</v>
      </c>
      <c r="Q190" s="305">
        <f t="shared" si="139"/>
        <v>886.5</v>
      </c>
      <c r="R190" s="374"/>
      <c r="S190" s="303">
        <v>736</v>
      </c>
      <c r="T190" s="304">
        <v>1001</v>
      </c>
      <c r="U190" s="304">
        <v>924</v>
      </c>
      <c r="V190" s="304">
        <v>895</v>
      </c>
      <c r="W190" s="304">
        <v>1015</v>
      </c>
      <c r="X190" s="304">
        <v>963</v>
      </c>
      <c r="Y190" s="304">
        <v>891</v>
      </c>
      <c r="Z190" s="304">
        <v>1169</v>
      </c>
      <c r="AA190" s="304">
        <v>881</v>
      </c>
      <c r="AB190" s="304">
        <v>1023</v>
      </c>
      <c r="AC190" s="304">
        <v>794</v>
      </c>
      <c r="AD190" s="304">
        <v>635</v>
      </c>
      <c r="AE190" s="304">
        <f t="shared" si="140"/>
        <v>10927</v>
      </c>
      <c r="AF190" s="305">
        <f t="shared" si="141"/>
        <v>910.58333333333337</v>
      </c>
      <c r="AG190" s="374"/>
      <c r="AH190" s="303">
        <v>1034</v>
      </c>
      <c r="AI190" s="304">
        <v>778</v>
      </c>
      <c r="AJ190" s="304">
        <v>738</v>
      </c>
      <c r="AK190" s="304">
        <v>837</v>
      </c>
      <c r="AL190" s="304">
        <v>804</v>
      </c>
      <c r="AM190" s="304">
        <v>732</v>
      </c>
      <c r="AN190" s="304">
        <v>841</v>
      </c>
      <c r="AO190" s="304">
        <v>580</v>
      </c>
      <c r="AP190" s="304">
        <v>750</v>
      </c>
      <c r="AQ190" s="304">
        <v>910</v>
      </c>
      <c r="AR190" s="304">
        <v>1031</v>
      </c>
      <c r="AS190" s="304">
        <v>857</v>
      </c>
      <c r="AT190" s="304">
        <f t="shared" si="142"/>
        <v>9892</v>
      </c>
      <c r="AU190" s="305">
        <f t="shared" si="143"/>
        <v>824.33333333333337</v>
      </c>
      <c r="AV190" s="374"/>
      <c r="AW190" s="2022">
        <v>812</v>
      </c>
      <c r="AX190" s="304">
        <v>1112</v>
      </c>
      <c r="AY190" s="304">
        <v>935</v>
      </c>
      <c r="AZ190" s="304">
        <v>1046</v>
      </c>
      <c r="BA190" s="304">
        <v>1448</v>
      </c>
      <c r="BB190" s="304">
        <v>1159</v>
      </c>
      <c r="BC190" s="304">
        <v>1034</v>
      </c>
      <c r="BD190" s="304">
        <v>795</v>
      </c>
      <c r="BE190" s="304">
        <v>827</v>
      </c>
      <c r="BF190" s="304">
        <v>805</v>
      </c>
      <c r="BG190" s="304">
        <v>887</v>
      </c>
      <c r="BH190" s="304">
        <v>847</v>
      </c>
      <c r="BI190" s="304">
        <f t="shared" si="168"/>
        <v>11707</v>
      </c>
      <c r="BJ190" s="305">
        <f t="shared" si="147"/>
        <v>975.50204149654201</v>
      </c>
      <c r="BL190" s="317">
        <f>ROW()</f>
        <v>190</v>
      </c>
      <c r="BM190" s="1432">
        <f t="shared" si="169"/>
        <v>-10</v>
      </c>
      <c r="BN190" s="317">
        <f t="shared" si="144"/>
        <v>151.16870816320863</v>
      </c>
      <c r="BO190" s="317">
        <f t="shared" si="170"/>
        <v>1815</v>
      </c>
      <c r="BP190" s="594">
        <f t="shared" si="137"/>
        <v>-40</v>
      </c>
    </row>
    <row r="191" spans="1:72" ht="18" thickBot="1" x14ac:dyDescent="0.6">
      <c r="A191" s="7223"/>
      <c r="B191" s="7209"/>
      <c r="C191" s="212" t="s">
        <v>249</v>
      </c>
      <c r="D191" s="312">
        <v>889</v>
      </c>
      <c r="E191" s="313">
        <v>874</v>
      </c>
      <c r="F191" s="313">
        <v>789</v>
      </c>
      <c r="G191" s="313">
        <v>963</v>
      </c>
      <c r="H191" s="313">
        <v>1039</v>
      </c>
      <c r="I191" s="313">
        <v>975</v>
      </c>
      <c r="J191" s="313">
        <v>870</v>
      </c>
      <c r="K191" s="313">
        <v>822</v>
      </c>
      <c r="L191" s="313">
        <v>611</v>
      </c>
      <c r="M191" s="313">
        <v>781</v>
      </c>
      <c r="N191" s="313">
        <v>735</v>
      </c>
      <c r="O191" s="313">
        <v>555</v>
      </c>
      <c r="P191" s="313">
        <f t="shared" si="138"/>
        <v>9903</v>
      </c>
      <c r="Q191" s="314">
        <f t="shared" si="139"/>
        <v>825.25</v>
      </c>
      <c r="R191" s="374"/>
      <c r="S191" s="312">
        <v>737</v>
      </c>
      <c r="T191" s="313">
        <v>780</v>
      </c>
      <c r="U191" s="313">
        <v>623</v>
      </c>
      <c r="V191" s="313">
        <v>559</v>
      </c>
      <c r="W191" s="313">
        <v>708</v>
      </c>
      <c r="X191" s="313">
        <v>539</v>
      </c>
      <c r="Y191" s="313">
        <v>551</v>
      </c>
      <c r="Z191" s="313">
        <v>749</v>
      </c>
      <c r="AA191" s="313">
        <v>517</v>
      </c>
      <c r="AB191" s="313">
        <v>579</v>
      </c>
      <c r="AC191" s="313">
        <v>577</v>
      </c>
      <c r="AD191" s="313">
        <v>405</v>
      </c>
      <c r="AE191" s="313">
        <f t="shared" si="140"/>
        <v>7324</v>
      </c>
      <c r="AF191" s="314">
        <f t="shared" si="141"/>
        <v>610.33333333333337</v>
      </c>
      <c r="AG191" s="374"/>
      <c r="AH191" s="312">
        <v>619</v>
      </c>
      <c r="AI191" s="313">
        <v>544</v>
      </c>
      <c r="AJ191" s="313">
        <v>550</v>
      </c>
      <c r="AK191" s="313">
        <v>540</v>
      </c>
      <c r="AL191" s="313">
        <v>478</v>
      </c>
      <c r="AM191" s="313">
        <v>532</v>
      </c>
      <c r="AN191" s="313">
        <v>558</v>
      </c>
      <c r="AO191" s="313">
        <v>484</v>
      </c>
      <c r="AP191" s="313">
        <v>529</v>
      </c>
      <c r="AQ191" s="313">
        <v>639</v>
      </c>
      <c r="AR191" s="313">
        <v>661</v>
      </c>
      <c r="AS191" s="313">
        <v>594</v>
      </c>
      <c r="AT191" s="313">
        <f t="shared" si="142"/>
        <v>6728</v>
      </c>
      <c r="AU191" s="314">
        <f t="shared" si="143"/>
        <v>560.66666666666663</v>
      </c>
      <c r="AV191" s="374"/>
      <c r="AW191" s="2024">
        <v>544</v>
      </c>
      <c r="AX191" s="313">
        <v>800</v>
      </c>
      <c r="AY191" s="313">
        <v>657</v>
      </c>
      <c r="AZ191" s="313">
        <v>687</v>
      </c>
      <c r="BA191" s="313">
        <v>783</v>
      </c>
      <c r="BB191" s="313">
        <v>611</v>
      </c>
      <c r="BC191" s="313">
        <v>728</v>
      </c>
      <c r="BD191" s="313">
        <v>562</v>
      </c>
      <c r="BE191" s="313">
        <v>628</v>
      </c>
      <c r="BF191" s="313">
        <v>519</v>
      </c>
      <c r="BG191" s="313">
        <v>523</v>
      </c>
      <c r="BH191" s="313">
        <v>631</v>
      </c>
      <c r="BI191" s="313">
        <f t="shared" si="168"/>
        <v>7673</v>
      </c>
      <c r="BJ191" s="314">
        <f t="shared" si="147"/>
        <v>639.36338638446796</v>
      </c>
      <c r="BL191" s="317">
        <f>ROW()</f>
        <v>191</v>
      </c>
      <c r="BM191" s="1432">
        <f t="shared" si="169"/>
        <v>37</v>
      </c>
      <c r="BN191" s="317">
        <f t="shared" si="144"/>
        <v>78.696719717801329</v>
      </c>
      <c r="BO191" s="317">
        <f t="shared" si="170"/>
        <v>945</v>
      </c>
      <c r="BP191" s="594">
        <f t="shared" si="137"/>
        <v>108</v>
      </c>
    </row>
    <row r="192" spans="1:72" ht="17.399999999999999" customHeight="1" x14ac:dyDescent="0.55000000000000004">
      <c r="A192" s="7221" t="s">
        <v>442</v>
      </c>
      <c r="B192" s="41" t="s">
        <v>443</v>
      </c>
      <c r="C192" s="206"/>
      <c r="D192" s="270">
        <f>D193+D194</f>
        <v>8835</v>
      </c>
      <c r="E192" s="271">
        <f t="shared" ref="E192:O192" si="181">E193+E194</f>
        <v>7940</v>
      </c>
      <c r="F192" s="271">
        <f t="shared" si="181"/>
        <v>8642</v>
      </c>
      <c r="G192" s="271">
        <f t="shared" si="181"/>
        <v>9004</v>
      </c>
      <c r="H192" s="271">
        <f t="shared" si="181"/>
        <v>9187</v>
      </c>
      <c r="I192" s="271">
        <f t="shared" si="181"/>
        <v>8604</v>
      </c>
      <c r="J192" s="271">
        <f t="shared" si="181"/>
        <v>7114</v>
      </c>
      <c r="K192" s="271">
        <f t="shared" si="181"/>
        <v>8473</v>
      </c>
      <c r="L192" s="271">
        <f t="shared" si="181"/>
        <v>7793</v>
      </c>
      <c r="M192" s="271">
        <f t="shared" si="181"/>
        <v>9518</v>
      </c>
      <c r="N192" s="271">
        <f t="shared" si="181"/>
        <v>7874</v>
      </c>
      <c r="O192" s="271">
        <f t="shared" si="181"/>
        <v>6548</v>
      </c>
      <c r="P192" s="271">
        <f>SUM(D192:O192)</f>
        <v>99532</v>
      </c>
      <c r="Q192" s="272">
        <f>P192/12</f>
        <v>8294.3333333333339</v>
      </c>
      <c r="R192" s="374"/>
      <c r="S192" s="270">
        <f t="shared" ref="S192:AD192" si="182">S193+S194</f>
        <v>6504</v>
      </c>
      <c r="T192" s="271">
        <f t="shared" si="182"/>
        <v>7852</v>
      </c>
      <c r="U192" s="271">
        <f t="shared" si="182"/>
        <v>7526</v>
      </c>
      <c r="V192" s="271">
        <f t="shared" si="182"/>
        <v>7295</v>
      </c>
      <c r="W192" s="271">
        <f t="shared" si="182"/>
        <v>8110</v>
      </c>
      <c r="X192" s="271">
        <f t="shared" si="182"/>
        <v>7625</v>
      </c>
      <c r="Y192" s="271">
        <f t="shared" si="182"/>
        <v>6435</v>
      </c>
      <c r="Z192" s="271">
        <f t="shared" si="182"/>
        <v>8676</v>
      </c>
      <c r="AA192" s="271">
        <f t="shared" si="182"/>
        <v>6562</v>
      </c>
      <c r="AB192" s="271">
        <f t="shared" si="182"/>
        <v>7068</v>
      </c>
      <c r="AC192" s="271">
        <f t="shared" si="182"/>
        <v>7026</v>
      </c>
      <c r="AD192" s="271">
        <f t="shared" si="182"/>
        <v>5514</v>
      </c>
      <c r="AE192" s="271">
        <f>SUM(S192:AD192)</f>
        <v>86193</v>
      </c>
      <c r="AF192" s="272">
        <f>AE192/12</f>
        <v>7182.75</v>
      </c>
      <c r="AG192" s="374"/>
      <c r="AH192" s="270">
        <v>8034</v>
      </c>
      <c r="AI192" s="271">
        <v>6503</v>
      </c>
      <c r="AJ192" s="271">
        <v>7899</v>
      </c>
      <c r="AK192" s="271">
        <v>7960</v>
      </c>
      <c r="AL192" s="271">
        <v>8817</v>
      </c>
      <c r="AM192" s="271">
        <v>8714</v>
      </c>
      <c r="AN192" s="271">
        <v>9485</v>
      </c>
      <c r="AO192" s="271">
        <v>8409</v>
      </c>
      <c r="AP192" s="271">
        <v>8734</v>
      </c>
      <c r="AQ192" s="271">
        <v>8898</v>
      </c>
      <c r="AR192" s="271">
        <v>8418</v>
      </c>
      <c r="AS192" s="271">
        <v>7890</v>
      </c>
      <c r="AT192" s="271">
        <f>SUM(AH192:AS192)</f>
        <v>99761</v>
      </c>
      <c r="AU192" s="272">
        <f t="shared" si="143"/>
        <v>8313.4166666666661</v>
      </c>
      <c r="AV192" s="374"/>
      <c r="AW192" s="2010">
        <v>7148</v>
      </c>
      <c r="AX192" s="271">
        <v>10554</v>
      </c>
      <c r="AY192" s="271">
        <v>9221</v>
      </c>
      <c r="AZ192" s="271">
        <v>10270</v>
      </c>
      <c r="BA192" s="271">
        <f>SUM(BA193:BA194)</f>
        <v>17518</v>
      </c>
      <c r="BB192" s="271">
        <v>12275</v>
      </c>
      <c r="BC192" s="271">
        <v>14241</v>
      </c>
      <c r="BD192" s="271">
        <v>10314</v>
      </c>
      <c r="BE192" s="271">
        <v>10564</v>
      </c>
      <c r="BF192" s="271">
        <v>8702</v>
      </c>
      <c r="BG192" s="271">
        <v>8154</v>
      </c>
      <c r="BH192" s="271">
        <v>7523</v>
      </c>
      <c r="BI192" s="271">
        <f t="shared" si="168"/>
        <v>126484</v>
      </c>
      <c r="BJ192" s="272">
        <f t="shared" si="147"/>
        <v>10539.455045412882</v>
      </c>
      <c r="BK192" s="317">
        <v>4295</v>
      </c>
      <c r="BL192" s="317">
        <f>ROW()</f>
        <v>192</v>
      </c>
      <c r="BM192" s="1432">
        <f t="shared" si="169"/>
        <v>-367</v>
      </c>
      <c r="BN192" s="317">
        <f t="shared" si="144"/>
        <v>2226.038378746216</v>
      </c>
      <c r="BO192" s="317">
        <f t="shared" si="170"/>
        <v>26723</v>
      </c>
      <c r="BP192" s="594">
        <f t="shared" si="137"/>
        <v>-631</v>
      </c>
    </row>
    <row r="193" spans="1:71" ht="17.399999999999999" customHeight="1" x14ac:dyDescent="0.55000000000000004">
      <c r="A193" s="7222"/>
      <c r="B193" s="42"/>
      <c r="C193" s="213" t="s">
        <v>87</v>
      </c>
      <c r="D193" s="273">
        <v>3459</v>
      </c>
      <c r="E193" s="274">
        <v>3444</v>
      </c>
      <c r="F193" s="274">
        <v>3792</v>
      </c>
      <c r="G193" s="274">
        <v>3944</v>
      </c>
      <c r="H193" s="274">
        <v>4007</v>
      </c>
      <c r="I193" s="274">
        <v>3854</v>
      </c>
      <c r="J193" s="274">
        <v>3318</v>
      </c>
      <c r="K193" s="274">
        <v>3808</v>
      </c>
      <c r="L193" s="274">
        <v>3491</v>
      </c>
      <c r="M193" s="274">
        <v>3945</v>
      </c>
      <c r="N193" s="274">
        <v>3453</v>
      </c>
      <c r="O193" s="274">
        <v>2878</v>
      </c>
      <c r="P193" s="274">
        <f>SUM(D193:O193)</f>
        <v>43393</v>
      </c>
      <c r="Q193" s="275">
        <f t="shared" si="139"/>
        <v>3616.0833333333335</v>
      </c>
      <c r="R193" s="374"/>
      <c r="S193" s="273">
        <v>2954</v>
      </c>
      <c r="T193" s="274">
        <v>3612</v>
      </c>
      <c r="U193" s="274">
        <v>3606</v>
      </c>
      <c r="V193" s="274">
        <v>3357</v>
      </c>
      <c r="W193" s="274">
        <v>3570</v>
      </c>
      <c r="X193" s="274">
        <v>3411</v>
      </c>
      <c r="Y193" s="274">
        <v>2964</v>
      </c>
      <c r="Z193" s="274">
        <v>3917</v>
      </c>
      <c r="AA193" s="274">
        <v>3062</v>
      </c>
      <c r="AB193" s="274">
        <v>3218</v>
      </c>
      <c r="AC193" s="274">
        <v>3120</v>
      </c>
      <c r="AD193" s="274">
        <v>2566</v>
      </c>
      <c r="AE193" s="274">
        <f t="shared" ref="AE193:AE231" si="183">SUM(S193:AD193)</f>
        <v>39357</v>
      </c>
      <c r="AF193" s="275">
        <f t="shared" ref="AF193:AF231" si="184">AE193/12</f>
        <v>3279.75</v>
      </c>
      <c r="AG193" s="374"/>
      <c r="AH193" s="273">
        <v>3853</v>
      </c>
      <c r="AI193" s="274">
        <v>3103</v>
      </c>
      <c r="AJ193" s="274">
        <v>3794</v>
      </c>
      <c r="AK193" s="274">
        <v>3703</v>
      </c>
      <c r="AL193" s="274">
        <v>4011</v>
      </c>
      <c r="AM193" s="274">
        <v>3938</v>
      </c>
      <c r="AN193" s="274">
        <v>4325</v>
      </c>
      <c r="AO193" s="274">
        <v>3793.9999999999995</v>
      </c>
      <c r="AP193" s="274">
        <v>4097</v>
      </c>
      <c r="AQ193" s="274">
        <v>4126</v>
      </c>
      <c r="AR193" s="274">
        <v>3849</v>
      </c>
      <c r="AS193" s="274">
        <v>3635</v>
      </c>
      <c r="AT193" s="274">
        <f>SUM(AH193:AS193)</f>
        <v>46228</v>
      </c>
      <c r="AU193" s="275">
        <f t="shared" si="143"/>
        <v>3852.3333333333335</v>
      </c>
      <c r="AV193" s="374"/>
      <c r="AW193" s="2011">
        <v>3381</v>
      </c>
      <c r="AX193" s="274">
        <v>4834</v>
      </c>
      <c r="AY193" s="274">
        <v>4355</v>
      </c>
      <c r="AZ193" s="274">
        <v>4818</v>
      </c>
      <c r="BA193" s="274">
        <v>8532</v>
      </c>
      <c r="BB193" s="274">
        <v>5781</v>
      </c>
      <c r="BC193" s="274">
        <v>6665</v>
      </c>
      <c r="BD193" s="274">
        <v>4492</v>
      </c>
      <c r="BE193" s="274">
        <v>4825</v>
      </c>
      <c r="BF193" s="274">
        <v>3747</v>
      </c>
      <c r="BG193" s="274">
        <v>3673</v>
      </c>
      <c r="BH193" s="274">
        <v>3502</v>
      </c>
      <c r="BI193" s="274">
        <f t="shared" si="168"/>
        <v>58605</v>
      </c>
      <c r="BJ193" s="275">
        <f t="shared" si="147"/>
        <v>4883.3430547454382</v>
      </c>
      <c r="BL193" s="317">
        <f>ROW()</f>
        <v>193</v>
      </c>
      <c r="BM193" s="1432">
        <f t="shared" si="169"/>
        <v>-133</v>
      </c>
      <c r="BN193" s="317">
        <f t="shared" si="144"/>
        <v>1031.0097214121047</v>
      </c>
      <c r="BO193" s="317">
        <f t="shared" si="170"/>
        <v>12377</v>
      </c>
      <c r="BP193" s="594">
        <f t="shared" si="137"/>
        <v>-171</v>
      </c>
    </row>
    <row r="194" spans="1:71" ht="17.399999999999999" customHeight="1" x14ac:dyDescent="0.55000000000000004">
      <c r="A194" s="7222"/>
      <c r="B194" s="42"/>
      <c r="C194" s="214" t="s">
        <v>88</v>
      </c>
      <c r="D194" s="273">
        <v>5376</v>
      </c>
      <c r="E194" s="274">
        <v>4496</v>
      </c>
      <c r="F194" s="274">
        <v>4850</v>
      </c>
      <c r="G194" s="274">
        <v>5060</v>
      </c>
      <c r="H194" s="274">
        <v>5180</v>
      </c>
      <c r="I194" s="274">
        <v>4750</v>
      </c>
      <c r="J194" s="274">
        <v>3796</v>
      </c>
      <c r="K194" s="274">
        <v>4665</v>
      </c>
      <c r="L194" s="274">
        <v>4302</v>
      </c>
      <c r="M194" s="274">
        <v>5573</v>
      </c>
      <c r="N194" s="274">
        <v>4421</v>
      </c>
      <c r="O194" s="274">
        <v>3670</v>
      </c>
      <c r="P194" s="274">
        <f>SUM(D194:O194)</f>
        <v>56139</v>
      </c>
      <c r="Q194" s="275">
        <f t="shared" si="139"/>
        <v>4678.25</v>
      </c>
      <c r="R194" s="374"/>
      <c r="S194" s="273">
        <v>3550</v>
      </c>
      <c r="T194" s="274">
        <v>4240</v>
      </c>
      <c r="U194" s="274">
        <v>3920</v>
      </c>
      <c r="V194" s="274">
        <v>3938</v>
      </c>
      <c r="W194" s="274">
        <v>4540</v>
      </c>
      <c r="X194" s="274">
        <v>4214</v>
      </c>
      <c r="Y194" s="274">
        <v>3471</v>
      </c>
      <c r="Z194" s="274">
        <v>4759</v>
      </c>
      <c r="AA194" s="274">
        <v>3500</v>
      </c>
      <c r="AB194" s="274">
        <v>3850</v>
      </c>
      <c r="AC194" s="274">
        <v>3906</v>
      </c>
      <c r="AD194" s="274">
        <v>2948</v>
      </c>
      <c r="AE194" s="274">
        <f t="shared" si="183"/>
        <v>46836</v>
      </c>
      <c r="AF194" s="275">
        <f t="shared" si="184"/>
        <v>3903</v>
      </c>
      <c r="AG194" s="374"/>
      <c r="AH194" s="273">
        <v>4181</v>
      </c>
      <c r="AI194" s="274">
        <v>3400</v>
      </c>
      <c r="AJ194" s="274">
        <v>4105</v>
      </c>
      <c r="AK194" s="274">
        <v>4257</v>
      </c>
      <c r="AL194" s="274">
        <v>4806</v>
      </c>
      <c r="AM194" s="274">
        <v>4776</v>
      </c>
      <c r="AN194" s="274">
        <v>5160</v>
      </c>
      <c r="AO194" s="274">
        <v>4615</v>
      </c>
      <c r="AP194" s="274">
        <v>4637</v>
      </c>
      <c r="AQ194" s="274">
        <v>4772</v>
      </c>
      <c r="AR194" s="274">
        <v>4569</v>
      </c>
      <c r="AS194" s="274">
        <v>4255</v>
      </c>
      <c r="AT194" s="274">
        <f>SUM(AH194:AS194)</f>
        <v>53533</v>
      </c>
      <c r="AU194" s="275">
        <f t="shared" si="143"/>
        <v>4461.083333333333</v>
      </c>
      <c r="AV194" s="374"/>
      <c r="AW194" s="2011">
        <v>3767</v>
      </c>
      <c r="AX194" s="274">
        <v>5720</v>
      </c>
      <c r="AY194" s="274">
        <v>4866</v>
      </c>
      <c r="AZ194" s="274">
        <v>5452</v>
      </c>
      <c r="BA194" s="274">
        <v>8986</v>
      </c>
      <c r="BB194" s="274">
        <v>6494</v>
      </c>
      <c r="BC194" s="274">
        <v>7576</v>
      </c>
      <c r="BD194" s="274">
        <v>5822</v>
      </c>
      <c r="BE194" s="274">
        <v>5739</v>
      </c>
      <c r="BF194" s="274">
        <v>4955</v>
      </c>
      <c r="BG194" s="274">
        <v>4481</v>
      </c>
      <c r="BH194" s="274">
        <v>4021</v>
      </c>
      <c r="BI194" s="274">
        <f t="shared" si="168"/>
        <v>67879</v>
      </c>
      <c r="BJ194" s="275">
        <f t="shared" si="147"/>
        <v>5656.1119906674448</v>
      </c>
      <c r="BL194" s="317">
        <f>ROW()</f>
        <v>194</v>
      </c>
      <c r="BM194" s="1432">
        <f t="shared" si="169"/>
        <v>-234</v>
      </c>
      <c r="BN194" s="317">
        <f t="shared" si="144"/>
        <v>1195.0286573341118</v>
      </c>
      <c r="BO194" s="317">
        <f t="shared" si="170"/>
        <v>14346</v>
      </c>
      <c r="BP194" s="594">
        <f t="shared" si="137"/>
        <v>-460</v>
      </c>
    </row>
    <row r="195" spans="1:71" ht="17.399999999999999" customHeight="1" x14ac:dyDescent="0.55000000000000004">
      <c r="A195" s="7222"/>
      <c r="B195" s="42"/>
      <c r="C195" s="431" t="s">
        <v>449</v>
      </c>
      <c r="D195" s="324">
        <v>5238</v>
      </c>
      <c r="E195" s="325">
        <v>4389</v>
      </c>
      <c r="F195" s="325">
        <v>4719</v>
      </c>
      <c r="G195" s="325">
        <v>4901</v>
      </c>
      <c r="H195" s="325">
        <v>4929</v>
      </c>
      <c r="I195" s="325">
        <v>4537</v>
      </c>
      <c r="J195" s="325">
        <v>3544</v>
      </c>
      <c r="K195" s="325">
        <v>4229</v>
      </c>
      <c r="L195" s="325">
        <v>3616</v>
      </c>
      <c r="M195" s="325">
        <v>3771</v>
      </c>
      <c r="N195" s="325">
        <v>3650</v>
      </c>
      <c r="O195" s="325">
        <v>3088</v>
      </c>
      <c r="P195" s="325">
        <f t="shared" ref="P195:P231" si="185">SUM(D195:O195)</f>
        <v>50611</v>
      </c>
      <c r="Q195" s="326">
        <f t="shared" si="139"/>
        <v>4217.583333333333</v>
      </c>
      <c r="R195" s="325"/>
      <c r="S195" s="324">
        <v>3238</v>
      </c>
      <c r="T195" s="325">
        <v>3753</v>
      </c>
      <c r="U195" s="325">
        <v>3388</v>
      </c>
      <c r="V195" s="325">
        <v>3435</v>
      </c>
      <c r="W195" s="325">
        <v>3610</v>
      </c>
      <c r="X195" s="325">
        <v>3349</v>
      </c>
      <c r="Y195" s="325">
        <v>2896</v>
      </c>
      <c r="Z195" s="325">
        <v>3956</v>
      </c>
      <c r="AA195" s="325">
        <v>2952</v>
      </c>
      <c r="AB195" s="325">
        <v>3508</v>
      </c>
      <c r="AC195" s="325">
        <v>3471</v>
      </c>
      <c r="AD195" s="325">
        <v>2405</v>
      </c>
      <c r="AE195" s="325">
        <f t="shared" si="183"/>
        <v>39961</v>
      </c>
      <c r="AF195" s="326">
        <f t="shared" si="184"/>
        <v>3330.0833333333335</v>
      </c>
      <c r="AG195" s="325"/>
      <c r="AH195" s="324">
        <v>3807</v>
      </c>
      <c r="AI195" s="325">
        <v>3148</v>
      </c>
      <c r="AJ195" s="325">
        <v>3730</v>
      </c>
      <c r="AK195" s="325">
        <v>3742</v>
      </c>
      <c r="AL195" s="325">
        <v>4228</v>
      </c>
      <c r="AM195" s="325">
        <v>3879</v>
      </c>
      <c r="AN195" s="325">
        <v>4460</v>
      </c>
      <c r="AO195" s="325">
        <v>4262</v>
      </c>
      <c r="AP195" s="325">
        <v>4052.9999999999995</v>
      </c>
      <c r="AQ195" s="325">
        <v>4359</v>
      </c>
      <c r="AR195" s="325">
        <v>4362</v>
      </c>
      <c r="AS195" s="325">
        <v>3856.0000000000005</v>
      </c>
      <c r="AT195" s="325">
        <f t="shared" ref="AT195:AT231" si="186">SUM(AH195:AS195)</f>
        <v>47886</v>
      </c>
      <c r="AU195" s="326">
        <f t="shared" si="143"/>
        <v>3990.5</v>
      </c>
      <c r="AV195" s="325"/>
      <c r="AW195" s="2027">
        <v>3460</v>
      </c>
      <c r="AX195" s="325">
        <v>5357</v>
      </c>
      <c r="AY195" s="325">
        <v>4534</v>
      </c>
      <c r="AZ195" s="325">
        <v>5003</v>
      </c>
      <c r="BA195" s="325">
        <v>8818</v>
      </c>
      <c r="BB195" s="325">
        <v>5900</v>
      </c>
      <c r="BC195" s="325">
        <v>6867</v>
      </c>
      <c r="BD195" s="325">
        <v>4725</v>
      </c>
      <c r="BE195" s="325">
        <v>4742</v>
      </c>
      <c r="BF195" s="325">
        <v>3798</v>
      </c>
      <c r="BG195" s="325">
        <v>3801</v>
      </c>
      <c r="BH195" s="325">
        <v>3644</v>
      </c>
      <c r="BI195" s="325">
        <f t="shared" si="168"/>
        <v>60649</v>
      </c>
      <c r="BJ195" s="326">
        <f t="shared" si="147"/>
        <v>5053.6621948170987</v>
      </c>
      <c r="BL195" s="317">
        <f>ROW()</f>
        <v>195</v>
      </c>
      <c r="BM195" s="1432">
        <f t="shared" si="169"/>
        <v>-212.00000000000045</v>
      </c>
      <c r="BN195" s="317">
        <f t="shared" si="144"/>
        <v>1063.1621948170987</v>
      </c>
      <c r="BO195" s="317">
        <f t="shared" si="170"/>
        <v>12763</v>
      </c>
      <c r="BP195" s="594">
        <f t="shared" si="137"/>
        <v>-157</v>
      </c>
    </row>
    <row r="196" spans="1:71" s="172" customFormat="1" ht="17.399999999999999" customHeight="1" x14ac:dyDescent="0.55000000000000004">
      <c r="A196" s="7222"/>
      <c r="B196" s="404"/>
      <c r="C196" s="432" t="s">
        <v>447</v>
      </c>
      <c r="D196" s="433">
        <v>2766</v>
      </c>
      <c r="E196" s="434">
        <v>2714</v>
      </c>
      <c r="F196" s="434">
        <v>2827</v>
      </c>
      <c r="G196" s="434">
        <v>3055</v>
      </c>
      <c r="H196" s="434">
        <v>3244</v>
      </c>
      <c r="I196" s="434">
        <v>3130</v>
      </c>
      <c r="J196" s="434">
        <v>2572</v>
      </c>
      <c r="K196" s="434">
        <v>3102</v>
      </c>
      <c r="L196" s="434">
        <v>2617</v>
      </c>
      <c r="M196" s="434">
        <v>2979</v>
      </c>
      <c r="N196" s="434">
        <v>2686</v>
      </c>
      <c r="O196" s="434">
        <v>2185</v>
      </c>
      <c r="P196" s="434">
        <f t="shared" si="185"/>
        <v>33877</v>
      </c>
      <c r="Q196" s="435">
        <f t="shared" si="139"/>
        <v>2823.0833333333335</v>
      </c>
      <c r="R196" s="434"/>
      <c r="S196" s="433">
        <v>2571</v>
      </c>
      <c r="T196" s="434">
        <v>3047</v>
      </c>
      <c r="U196" s="434">
        <v>2781</v>
      </c>
      <c r="V196" s="434">
        <v>2728</v>
      </c>
      <c r="W196" s="434">
        <v>2895</v>
      </c>
      <c r="X196" s="434">
        <v>2708</v>
      </c>
      <c r="Y196" s="434">
        <v>2321</v>
      </c>
      <c r="Z196" s="434">
        <v>3172</v>
      </c>
      <c r="AA196" s="434">
        <v>2222</v>
      </c>
      <c r="AB196" s="434">
        <v>2965</v>
      </c>
      <c r="AC196" s="434">
        <v>2544</v>
      </c>
      <c r="AD196" s="434">
        <v>1956</v>
      </c>
      <c r="AE196" s="434">
        <f t="shared" si="183"/>
        <v>31910</v>
      </c>
      <c r="AF196" s="435">
        <f t="shared" si="184"/>
        <v>2659.1666666666665</v>
      </c>
      <c r="AG196" s="434"/>
      <c r="AH196" s="433">
        <v>2927</v>
      </c>
      <c r="AI196" s="434">
        <v>2307</v>
      </c>
      <c r="AJ196" s="434">
        <v>2847</v>
      </c>
      <c r="AK196" s="434">
        <v>2865</v>
      </c>
      <c r="AL196" s="434">
        <v>3145</v>
      </c>
      <c r="AM196" s="434">
        <v>2960</v>
      </c>
      <c r="AN196" s="434">
        <v>3488</v>
      </c>
      <c r="AO196" s="434">
        <v>3390</v>
      </c>
      <c r="AP196" s="434">
        <v>3291</v>
      </c>
      <c r="AQ196" s="434">
        <v>3395</v>
      </c>
      <c r="AR196" s="434">
        <v>3337</v>
      </c>
      <c r="AS196" s="434">
        <v>3027.0000000000005</v>
      </c>
      <c r="AT196" s="434">
        <f t="shared" si="186"/>
        <v>36979</v>
      </c>
      <c r="AU196" s="435">
        <f t="shared" si="143"/>
        <v>3081.5833333333335</v>
      </c>
      <c r="AV196" s="434"/>
      <c r="AW196" s="2021">
        <v>2800</v>
      </c>
      <c r="AX196" s="434">
        <v>4207</v>
      </c>
      <c r="AY196" s="434">
        <f>AY195-AY197</f>
        <v>3498</v>
      </c>
      <c r="AZ196" s="434">
        <v>3916</v>
      </c>
      <c r="BA196" s="434">
        <f>BA195-BA197</f>
        <v>7296</v>
      </c>
      <c r="BB196" s="434">
        <f>BB195-BB197</f>
        <v>4820</v>
      </c>
      <c r="BC196" s="434">
        <v>5674</v>
      </c>
      <c r="BD196" s="434">
        <v>3600</v>
      </c>
      <c r="BE196" s="434">
        <v>3867</v>
      </c>
      <c r="BF196" s="434">
        <v>3025</v>
      </c>
      <c r="BG196" s="434">
        <v>2945</v>
      </c>
      <c r="BH196" s="434">
        <v>2855</v>
      </c>
      <c r="BI196" s="434">
        <f t="shared" si="168"/>
        <v>48503</v>
      </c>
      <c r="BJ196" s="435">
        <f t="shared" si="147"/>
        <v>4041.5798683443049</v>
      </c>
      <c r="BL196" s="317">
        <f>ROW()</f>
        <v>196</v>
      </c>
      <c r="BM196" s="1432">
        <f t="shared" si="169"/>
        <v>-172.00000000000045</v>
      </c>
      <c r="BN196" s="317">
        <f t="shared" si="144"/>
        <v>959.99653501097146</v>
      </c>
      <c r="BO196" s="317">
        <f t="shared" si="170"/>
        <v>11524</v>
      </c>
      <c r="BP196" s="594">
        <f t="shared" si="137"/>
        <v>-90</v>
      </c>
      <c r="BR196"/>
      <c r="BS196"/>
    </row>
    <row r="197" spans="1:71" s="172" customFormat="1" ht="17.399999999999999" customHeight="1" x14ac:dyDescent="0.55000000000000004">
      <c r="A197" s="7222"/>
      <c r="B197" s="404"/>
      <c r="C197" s="432" t="s">
        <v>448</v>
      </c>
      <c r="D197" s="433">
        <v>2472</v>
      </c>
      <c r="E197" s="434">
        <v>1675</v>
      </c>
      <c r="F197" s="434">
        <v>1892</v>
      </c>
      <c r="G197" s="434">
        <v>1846</v>
      </c>
      <c r="H197" s="434">
        <v>1685</v>
      </c>
      <c r="I197" s="434">
        <v>1407</v>
      </c>
      <c r="J197" s="434">
        <v>972</v>
      </c>
      <c r="K197" s="434">
        <v>1127</v>
      </c>
      <c r="L197" s="434">
        <v>999</v>
      </c>
      <c r="M197" s="434">
        <v>792</v>
      </c>
      <c r="N197" s="434">
        <v>964</v>
      </c>
      <c r="O197" s="434">
        <v>903</v>
      </c>
      <c r="P197" s="434">
        <f t="shared" si="185"/>
        <v>16734</v>
      </c>
      <c r="Q197" s="435">
        <f t="shared" si="139"/>
        <v>1394.5</v>
      </c>
      <c r="R197" s="434"/>
      <c r="S197" s="433">
        <v>856</v>
      </c>
      <c r="T197" s="434">
        <v>930</v>
      </c>
      <c r="U197" s="434">
        <v>804</v>
      </c>
      <c r="V197" s="434">
        <v>867</v>
      </c>
      <c r="W197" s="434">
        <v>874</v>
      </c>
      <c r="X197" s="434">
        <v>806</v>
      </c>
      <c r="Y197" s="434">
        <v>703</v>
      </c>
      <c r="Z197" s="434">
        <v>953</v>
      </c>
      <c r="AA197" s="434">
        <v>1084</v>
      </c>
      <c r="AB197" s="434">
        <v>1316</v>
      </c>
      <c r="AC197" s="434">
        <v>1426</v>
      </c>
      <c r="AD197" s="434">
        <v>592</v>
      </c>
      <c r="AE197" s="434">
        <f t="shared" si="183"/>
        <v>11211</v>
      </c>
      <c r="AF197" s="435">
        <f t="shared" si="184"/>
        <v>934.25</v>
      </c>
      <c r="AG197" s="434"/>
      <c r="AH197" s="433">
        <v>880</v>
      </c>
      <c r="AI197" s="434">
        <v>841</v>
      </c>
      <c r="AJ197" s="434">
        <v>883</v>
      </c>
      <c r="AK197" s="434">
        <v>877</v>
      </c>
      <c r="AL197" s="434">
        <v>1083</v>
      </c>
      <c r="AM197" s="434">
        <v>919</v>
      </c>
      <c r="AN197" s="434">
        <v>972</v>
      </c>
      <c r="AO197" s="434">
        <v>872</v>
      </c>
      <c r="AP197" s="434">
        <v>762</v>
      </c>
      <c r="AQ197" s="434">
        <v>964</v>
      </c>
      <c r="AR197" s="434">
        <v>1025</v>
      </c>
      <c r="AS197" s="434">
        <v>829</v>
      </c>
      <c r="AT197" s="434">
        <f t="shared" si="186"/>
        <v>10907</v>
      </c>
      <c r="AU197" s="435">
        <f t="shared" si="143"/>
        <v>908.91666666666663</v>
      </c>
      <c r="AV197" s="434"/>
      <c r="AW197" s="2021">
        <v>660</v>
      </c>
      <c r="AX197" s="434">
        <v>1150</v>
      </c>
      <c r="AY197" s="434">
        <v>1036</v>
      </c>
      <c r="AZ197" s="434">
        <v>1087</v>
      </c>
      <c r="BA197" s="434">
        <v>1522</v>
      </c>
      <c r="BB197" s="434">
        <v>1080</v>
      </c>
      <c r="BC197" s="434">
        <v>1193</v>
      </c>
      <c r="BD197" s="434">
        <v>1125</v>
      </c>
      <c r="BE197" s="434">
        <v>875</v>
      </c>
      <c r="BF197" s="434">
        <v>773</v>
      </c>
      <c r="BG197" s="434">
        <v>856</v>
      </c>
      <c r="BH197" s="434">
        <v>789</v>
      </c>
      <c r="BI197" s="434">
        <f t="shared" si="168"/>
        <v>12146</v>
      </c>
      <c r="BJ197" s="435">
        <f>BI197/$A$2</f>
        <v>1012.082326472794</v>
      </c>
      <c r="BL197" s="317">
        <f>ROW()</f>
        <v>197</v>
      </c>
      <c r="BM197" s="1432">
        <f t="shared" si="169"/>
        <v>-40</v>
      </c>
      <c r="BN197" s="317">
        <f t="shared" si="144"/>
        <v>103.16565980612734</v>
      </c>
      <c r="BO197" s="317">
        <f t="shared" si="170"/>
        <v>1239</v>
      </c>
      <c r="BP197" s="594">
        <f t="shared" si="137"/>
        <v>-67</v>
      </c>
      <c r="BR197"/>
      <c r="BS197"/>
    </row>
    <row r="198" spans="1:71" ht="17.399999999999999" customHeight="1" x14ac:dyDescent="0.55000000000000004">
      <c r="A198" s="7222"/>
      <c r="B198" s="42"/>
      <c r="C198" s="431" t="s">
        <v>450</v>
      </c>
      <c r="D198" s="324">
        <v>138</v>
      </c>
      <c r="E198" s="325">
        <v>107</v>
      </c>
      <c r="F198" s="325">
        <v>131</v>
      </c>
      <c r="G198" s="325">
        <v>159</v>
      </c>
      <c r="H198" s="325">
        <v>251</v>
      </c>
      <c r="I198" s="325">
        <v>213</v>
      </c>
      <c r="J198" s="325">
        <v>252</v>
      </c>
      <c r="K198" s="325">
        <v>436</v>
      </c>
      <c r="L198" s="325">
        <v>686</v>
      </c>
      <c r="M198" s="325">
        <v>1802</v>
      </c>
      <c r="N198" s="325">
        <v>771</v>
      </c>
      <c r="O198" s="325">
        <v>582</v>
      </c>
      <c r="P198" s="325">
        <f t="shared" si="185"/>
        <v>5528</v>
      </c>
      <c r="Q198" s="326">
        <f t="shared" si="139"/>
        <v>460.66666666666669</v>
      </c>
      <c r="R198" s="325"/>
      <c r="S198" s="324">
        <v>312</v>
      </c>
      <c r="T198" s="325">
        <v>487</v>
      </c>
      <c r="U198" s="325">
        <v>532</v>
      </c>
      <c r="V198" s="325">
        <v>503</v>
      </c>
      <c r="W198" s="325">
        <v>930</v>
      </c>
      <c r="X198" s="325">
        <v>864</v>
      </c>
      <c r="Y198" s="325">
        <v>575</v>
      </c>
      <c r="Z198" s="325">
        <v>803</v>
      </c>
      <c r="AA198" s="325">
        <v>548</v>
      </c>
      <c r="AB198" s="325">
        <v>342</v>
      </c>
      <c r="AC198" s="325">
        <v>435</v>
      </c>
      <c r="AD198" s="325">
        <v>543</v>
      </c>
      <c r="AE198" s="325">
        <f t="shared" si="183"/>
        <v>6874</v>
      </c>
      <c r="AF198" s="326">
        <f t="shared" si="184"/>
        <v>572.83333333333337</v>
      </c>
      <c r="AG198" s="325"/>
      <c r="AH198" s="324">
        <v>374</v>
      </c>
      <c r="AI198" s="325">
        <v>252</v>
      </c>
      <c r="AJ198" s="325">
        <v>375</v>
      </c>
      <c r="AK198" s="325">
        <v>515</v>
      </c>
      <c r="AL198" s="325">
        <v>573</v>
      </c>
      <c r="AM198" s="325">
        <v>897.00000000000011</v>
      </c>
      <c r="AN198" s="325">
        <v>700</v>
      </c>
      <c r="AO198" s="325">
        <v>354</v>
      </c>
      <c r="AP198" s="325">
        <v>885</v>
      </c>
      <c r="AQ198" s="325">
        <v>417</v>
      </c>
      <c r="AR198" s="325">
        <v>207</v>
      </c>
      <c r="AS198" s="325">
        <v>399</v>
      </c>
      <c r="AT198" s="325">
        <f t="shared" si="186"/>
        <v>5948</v>
      </c>
      <c r="AU198" s="326">
        <f t="shared" si="143"/>
        <v>495.66666666666669</v>
      </c>
      <c r="AV198" s="434"/>
      <c r="AW198" s="2027">
        <v>316</v>
      </c>
      <c r="AX198" s="325">
        <v>363</v>
      </c>
      <c r="AY198" s="325">
        <v>349</v>
      </c>
      <c r="AZ198" s="325">
        <v>453</v>
      </c>
      <c r="BA198" s="325">
        <v>204</v>
      </c>
      <c r="BB198" s="325">
        <v>631</v>
      </c>
      <c r="BC198" s="325">
        <v>709</v>
      </c>
      <c r="BD198" s="325">
        <v>1097</v>
      </c>
      <c r="BE198" s="325">
        <v>997</v>
      </c>
      <c r="BF198" s="325">
        <v>1157</v>
      </c>
      <c r="BG198" s="325">
        <v>680</v>
      </c>
      <c r="BH198" s="325">
        <v>377</v>
      </c>
      <c r="BI198" s="325">
        <f t="shared" si="168"/>
        <v>7333</v>
      </c>
      <c r="BJ198" s="326">
        <f t="shared" si="147"/>
        <v>611.03241396550288</v>
      </c>
      <c r="BL198" s="317">
        <f>ROW()</f>
        <v>198</v>
      </c>
      <c r="BM198" s="1432">
        <f t="shared" si="169"/>
        <v>-22</v>
      </c>
      <c r="BN198" s="317">
        <f t="shared" si="144"/>
        <v>115.3657472988362</v>
      </c>
      <c r="BO198" s="317">
        <f t="shared" si="170"/>
        <v>1385</v>
      </c>
      <c r="BP198" s="594">
        <f t="shared" si="137"/>
        <v>-303</v>
      </c>
    </row>
    <row r="199" spans="1:71" ht="17.399999999999999" customHeight="1" x14ac:dyDescent="0.55000000000000004">
      <c r="A199" s="7222"/>
      <c r="B199" s="7210" t="s">
        <v>89</v>
      </c>
      <c r="C199" s="197" t="s">
        <v>424</v>
      </c>
      <c r="D199" s="276">
        <f t="shared" ref="D199:O199" si="187">D232+D280</f>
        <v>3738</v>
      </c>
      <c r="E199" s="277">
        <f t="shared" si="187"/>
        <v>2782</v>
      </c>
      <c r="F199" s="277">
        <f t="shared" si="187"/>
        <v>2796</v>
      </c>
      <c r="G199" s="277">
        <f t="shared" si="187"/>
        <v>2739</v>
      </c>
      <c r="H199" s="277">
        <f t="shared" si="187"/>
        <v>2814</v>
      </c>
      <c r="I199" s="277">
        <f t="shared" si="187"/>
        <v>2880</v>
      </c>
      <c r="J199" s="277">
        <f t="shared" si="187"/>
        <v>2623</v>
      </c>
      <c r="K199" s="277">
        <f t="shared" si="187"/>
        <v>3109</v>
      </c>
      <c r="L199" s="277">
        <f t="shared" si="187"/>
        <v>2505</v>
      </c>
      <c r="M199" s="277">
        <f t="shared" si="187"/>
        <v>2506</v>
      </c>
      <c r="N199" s="277">
        <f t="shared" si="187"/>
        <v>2823</v>
      </c>
      <c r="O199" s="277">
        <f t="shared" si="187"/>
        <v>2556</v>
      </c>
      <c r="P199" s="277">
        <f t="shared" si="185"/>
        <v>33871</v>
      </c>
      <c r="Q199" s="278">
        <f>P199/12</f>
        <v>2822.5833333333335</v>
      </c>
      <c r="R199" s="374"/>
      <c r="S199" s="276">
        <f t="shared" ref="S199:AD199" si="188">S232+S280</f>
        <v>2978</v>
      </c>
      <c r="T199" s="277">
        <f t="shared" si="188"/>
        <v>3446</v>
      </c>
      <c r="U199" s="277">
        <f t="shared" si="188"/>
        <v>3124</v>
      </c>
      <c r="V199" s="277">
        <f t="shared" si="188"/>
        <v>3293</v>
      </c>
      <c r="W199" s="277">
        <f t="shared" si="188"/>
        <v>2860</v>
      </c>
      <c r="X199" s="277">
        <f t="shared" si="188"/>
        <v>2860</v>
      </c>
      <c r="Y199" s="277">
        <f t="shared" si="188"/>
        <v>2384</v>
      </c>
      <c r="Z199" s="277">
        <f t="shared" si="188"/>
        <v>3562</v>
      </c>
      <c r="AA199" s="277">
        <f t="shared" si="188"/>
        <v>2177</v>
      </c>
      <c r="AB199" s="277">
        <f t="shared" si="188"/>
        <v>2661</v>
      </c>
      <c r="AC199" s="277">
        <f t="shared" si="188"/>
        <v>2471</v>
      </c>
      <c r="AD199" s="277">
        <f t="shared" si="188"/>
        <v>2058</v>
      </c>
      <c r="AE199" s="277">
        <f t="shared" si="183"/>
        <v>33874</v>
      </c>
      <c r="AF199" s="278">
        <f t="shared" si="184"/>
        <v>2822.8333333333335</v>
      </c>
      <c r="AG199" s="374"/>
      <c r="AH199" s="276">
        <v>3604</v>
      </c>
      <c r="AI199" s="277">
        <v>2781</v>
      </c>
      <c r="AJ199" s="277">
        <v>3368</v>
      </c>
      <c r="AK199" s="277">
        <v>3552</v>
      </c>
      <c r="AL199" s="277">
        <v>3605</v>
      </c>
      <c r="AM199" s="277">
        <v>3115</v>
      </c>
      <c r="AN199" s="277">
        <v>3999</v>
      </c>
      <c r="AO199" s="277">
        <v>3086</v>
      </c>
      <c r="AP199" s="277">
        <v>3272</v>
      </c>
      <c r="AQ199" s="277">
        <v>3263</v>
      </c>
      <c r="AR199" s="277">
        <v>3254</v>
      </c>
      <c r="AS199" s="277">
        <v>2920</v>
      </c>
      <c r="AT199" s="277">
        <v>39819</v>
      </c>
      <c r="AU199" s="278">
        <v>3318.25</v>
      </c>
      <c r="AV199" s="434"/>
      <c r="AW199" s="2012">
        <v>2493</v>
      </c>
      <c r="AX199" s="277">
        <v>4919</v>
      </c>
      <c r="AY199" s="277">
        <v>3745</v>
      </c>
      <c r="AZ199" s="277">
        <v>4432</v>
      </c>
      <c r="BA199" s="277">
        <v>7562.9999999999991</v>
      </c>
      <c r="BB199" s="277">
        <v>4089</v>
      </c>
      <c r="BC199" s="277">
        <v>5772</v>
      </c>
      <c r="BD199" s="277">
        <v>3850</v>
      </c>
      <c r="BE199" s="277">
        <v>3971</v>
      </c>
      <c r="BF199" s="277">
        <v>2774</v>
      </c>
      <c r="BG199" s="277">
        <v>2835</v>
      </c>
      <c r="BH199" s="277">
        <v>2685</v>
      </c>
      <c r="BI199" s="277">
        <f t="shared" si="168"/>
        <v>49128</v>
      </c>
      <c r="BJ199" s="278">
        <f>BI199/$A$2</f>
        <v>4093.6588617615203</v>
      </c>
      <c r="BK199" s="789">
        <v>3700</v>
      </c>
      <c r="BL199" s="317">
        <f>ROW()</f>
        <v>199</v>
      </c>
      <c r="BM199" s="1432">
        <f t="shared" si="169"/>
        <v>-235</v>
      </c>
      <c r="BN199" s="317">
        <f t="shared" si="144"/>
        <v>775.40886176152026</v>
      </c>
      <c r="BO199" s="317">
        <f t="shared" si="170"/>
        <v>9309</v>
      </c>
      <c r="BP199" s="594">
        <f t="shared" si="137"/>
        <v>-150</v>
      </c>
    </row>
    <row r="200" spans="1:71" ht="17.399999999999999" customHeight="1" x14ac:dyDescent="0.55000000000000004">
      <c r="A200" s="7222"/>
      <c r="B200" s="7211"/>
      <c r="C200" s="198" t="s">
        <v>1112</v>
      </c>
      <c r="D200" s="279">
        <f t="shared" ref="D200:O200" si="189">D232+D280</f>
        <v>3738</v>
      </c>
      <c r="E200" s="280">
        <f t="shared" si="189"/>
        <v>2782</v>
      </c>
      <c r="F200" s="280">
        <f t="shared" si="189"/>
        <v>2796</v>
      </c>
      <c r="G200" s="280">
        <f t="shared" si="189"/>
        <v>2739</v>
      </c>
      <c r="H200" s="280">
        <f t="shared" si="189"/>
        <v>2814</v>
      </c>
      <c r="I200" s="280">
        <f t="shared" si="189"/>
        <v>2880</v>
      </c>
      <c r="J200" s="280">
        <f t="shared" si="189"/>
        <v>2623</v>
      </c>
      <c r="K200" s="280">
        <f t="shared" si="189"/>
        <v>3109</v>
      </c>
      <c r="L200" s="280">
        <f t="shared" si="189"/>
        <v>2505</v>
      </c>
      <c r="M200" s="280">
        <f t="shared" si="189"/>
        <v>2506</v>
      </c>
      <c r="N200" s="280">
        <f t="shared" si="189"/>
        <v>2823</v>
      </c>
      <c r="O200" s="280">
        <f t="shared" si="189"/>
        <v>2556</v>
      </c>
      <c r="P200" s="280">
        <f t="shared" ref="P200" si="190">SUM(D200:O200)</f>
        <v>33871</v>
      </c>
      <c r="Q200" s="281">
        <f>P200/12</f>
        <v>2822.5833333333335</v>
      </c>
      <c r="R200" s="280"/>
      <c r="S200" s="279">
        <f t="shared" ref="S200:AD200" si="191">S232+S280</f>
        <v>2978</v>
      </c>
      <c r="T200" s="280">
        <f t="shared" si="191"/>
        <v>3446</v>
      </c>
      <c r="U200" s="280">
        <f t="shared" si="191"/>
        <v>3124</v>
      </c>
      <c r="V200" s="280">
        <f t="shared" si="191"/>
        <v>3293</v>
      </c>
      <c r="W200" s="280">
        <f t="shared" si="191"/>
        <v>2860</v>
      </c>
      <c r="X200" s="280">
        <f t="shared" si="191"/>
        <v>2860</v>
      </c>
      <c r="Y200" s="280">
        <f t="shared" si="191"/>
        <v>2384</v>
      </c>
      <c r="Z200" s="280">
        <f t="shared" si="191"/>
        <v>3562</v>
      </c>
      <c r="AA200" s="280">
        <f t="shared" si="191"/>
        <v>2177</v>
      </c>
      <c r="AB200" s="280">
        <f t="shared" si="191"/>
        <v>2661</v>
      </c>
      <c r="AC200" s="280">
        <f t="shared" si="191"/>
        <v>2471</v>
      </c>
      <c r="AD200" s="280">
        <f t="shared" si="191"/>
        <v>2058</v>
      </c>
      <c r="AE200" s="280">
        <f t="shared" ref="AE200" si="192">SUM(S200:AD200)</f>
        <v>33874</v>
      </c>
      <c r="AF200" s="281">
        <f t="shared" ref="AF200" si="193">AE200/12</f>
        <v>2822.8333333333335</v>
      </c>
      <c r="AG200" s="280"/>
      <c r="AH200" s="279">
        <v>1018</v>
      </c>
      <c r="AI200" s="280">
        <v>872</v>
      </c>
      <c r="AJ200" s="280">
        <v>1003</v>
      </c>
      <c r="AK200" s="280">
        <v>902</v>
      </c>
      <c r="AL200" s="280">
        <v>1019</v>
      </c>
      <c r="AM200" s="280">
        <v>1399</v>
      </c>
      <c r="AN200" s="280">
        <v>1273</v>
      </c>
      <c r="AO200" s="280">
        <v>1465</v>
      </c>
      <c r="AP200" s="280">
        <v>1382</v>
      </c>
      <c r="AQ200" s="280">
        <v>1267</v>
      </c>
      <c r="AR200" s="280">
        <v>965</v>
      </c>
      <c r="AS200" s="280">
        <v>818</v>
      </c>
      <c r="AT200" s="280">
        <v>13383</v>
      </c>
      <c r="AU200" s="281">
        <v>1115.25</v>
      </c>
      <c r="AV200" s="434"/>
      <c r="AW200" s="2230">
        <v>827</v>
      </c>
      <c r="AX200" s="280">
        <v>811</v>
      </c>
      <c r="AY200" s="280">
        <v>1119</v>
      </c>
      <c r="AZ200" s="280">
        <v>1636</v>
      </c>
      <c r="BA200" s="280">
        <v>1679</v>
      </c>
      <c r="BB200" s="280">
        <v>1794</v>
      </c>
      <c r="BC200" s="280">
        <v>2373</v>
      </c>
      <c r="BD200" s="280">
        <v>2273</v>
      </c>
      <c r="BE200" s="280">
        <v>2257</v>
      </c>
      <c r="BF200" s="280">
        <v>1917</v>
      </c>
      <c r="BG200" s="280">
        <v>1313</v>
      </c>
      <c r="BH200" s="280">
        <v>886</v>
      </c>
      <c r="BI200" s="280">
        <f t="shared" si="168"/>
        <v>18885</v>
      </c>
      <c r="BJ200" s="281">
        <f>BI200/$A$2</f>
        <v>1573.6188650945755</v>
      </c>
      <c r="BK200" s="789">
        <f>AU200-AF200</f>
        <v>-1707.5833333333335</v>
      </c>
      <c r="BL200" s="317">
        <f>ROW()</f>
        <v>200</v>
      </c>
      <c r="BM200" s="1432">
        <f t="shared" si="169"/>
        <v>68</v>
      </c>
      <c r="BN200" s="317">
        <f t="shared" ref="BN200" si="194">BJ200-AU200</f>
        <v>458.36886509457554</v>
      </c>
      <c r="BO200" s="317">
        <f t="shared" si="170"/>
        <v>5502</v>
      </c>
      <c r="BP200" s="594">
        <f t="shared" si="137"/>
        <v>-427</v>
      </c>
    </row>
    <row r="201" spans="1:71" ht="17.399999999999999" customHeight="1" x14ac:dyDescent="0.55000000000000004">
      <c r="A201" s="7222"/>
      <c r="B201" s="7212"/>
      <c r="C201" s="198" t="s">
        <v>426</v>
      </c>
      <c r="D201" s="279">
        <f t="shared" ref="D201:O201" si="195">D234+D282</f>
        <v>3313</v>
      </c>
      <c r="E201" s="280">
        <f t="shared" si="195"/>
        <v>3511</v>
      </c>
      <c r="F201" s="280">
        <f t="shared" si="195"/>
        <v>3645</v>
      </c>
      <c r="G201" s="280">
        <f t="shared" si="195"/>
        <v>4338</v>
      </c>
      <c r="H201" s="280">
        <f t="shared" si="195"/>
        <v>4528</v>
      </c>
      <c r="I201" s="280">
        <f t="shared" si="195"/>
        <v>4011</v>
      </c>
      <c r="J201" s="280">
        <f t="shared" si="195"/>
        <v>2871</v>
      </c>
      <c r="K201" s="280">
        <f t="shared" si="195"/>
        <v>3406</v>
      </c>
      <c r="L201" s="280">
        <f t="shared" si="195"/>
        <v>2794</v>
      </c>
      <c r="M201" s="280">
        <f t="shared" si="195"/>
        <v>3077</v>
      </c>
      <c r="N201" s="280">
        <f t="shared" si="195"/>
        <v>2670</v>
      </c>
      <c r="O201" s="280">
        <f t="shared" si="195"/>
        <v>2219</v>
      </c>
      <c r="P201" s="280">
        <f t="shared" si="185"/>
        <v>40383</v>
      </c>
      <c r="Q201" s="281">
        <f>P201/12</f>
        <v>3365.25</v>
      </c>
      <c r="R201" s="374"/>
      <c r="S201" s="279">
        <f t="shared" ref="S201:AD201" si="196">S234+S282</f>
        <v>2402</v>
      </c>
      <c r="T201" s="280">
        <f t="shared" si="196"/>
        <v>2901</v>
      </c>
      <c r="U201" s="280">
        <f t="shared" si="196"/>
        <v>2742</v>
      </c>
      <c r="V201" s="280">
        <f t="shared" si="196"/>
        <v>2355</v>
      </c>
      <c r="W201" s="280">
        <f t="shared" si="196"/>
        <v>3000</v>
      </c>
      <c r="X201" s="280">
        <f t="shared" si="196"/>
        <v>2569</v>
      </c>
      <c r="Y201" s="280">
        <f t="shared" si="196"/>
        <v>2319</v>
      </c>
      <c r="Z201" s="280">
        <f t="shared" si="196"/>
        <v>3210</v>
      </c>
      <c r="AA201" s="280">
        <f t="shared" si="196"/>
        <v>2743</v>
      </c>
      <c r="AB201" s="280">
        <f t="shared" si="196"/>
        <v>2887</v>
      </c>
      <c r="AC201" s="280">
        <f t="shared" si="196"/>
        <v>2837</v>
      </c>
      <c r="AD201" s="280">
        <f t="shared" si="196"/>
        <v>1936</v>
      </c>
      <c r="AE201" s="280">
        <f t="shared" si="183"/>
        <v>31901</v>
      </c>
      <c r="AF201" s="281">
        <f t="shared" si="184"/>
        <v>2658.4166666666665</v>
      </c>
      <c r="AG201" s="374"/>
      <c r="AH201" s="279">
        <v>3004</v>
      </c>
      <c r="AI201" s="280">
        <v>2545</v>
      </c>
      <c r="AJ201" s="280">
        <v>3007</v>
      </c>
      <c r="AK201" s="280">
        <v>2830</v>
      </c>
      <c r="AL201" s="280">
        <v>3353</v>
      </c>
      <c r="AM201" s="280">
        <v>3104</v>
      </c>
      <c r="AN201" s="280">
        <v>3409</v>
      </c>
      <c r="AO201" s="280">
        <v>3396</v>
      </c>
      <c r="AP201" s="280">
        <v>3423</v>
      </c>
      <c r="AQ201" s="280">
        <v>3899</v>
      </c>
      <c r="AR201" s="280">
        <v>3919</v>
      </c>
      <c r="AS201" s="280">
        <v>3664</v>
      </c>
      <c r="AT201" s="280">
        <v>39553</v>
      </c>
      <c r="AU201" s="281">
        <v>3296.0833333333335</v>
      </c>
      <c r="AV201" s="434"/>
      <c r="AW201" s="2013">
        <v>3467</v>
      </c>
      <c r="AX201" s="280">
        <v>4420</v>
      </c>
      <c r="AY201" s="280">
        <v>3884</v>
      </c>
      <c r="AZ201" s="280">
        <v>4016</v>
      </c>
      <c r="BA201" s="280">
        <v>7752</v>
      </c>
      <c r="BB201" s="280">
        <v>6076</v>
      </c>
      <c r="BC201" s="280">
        <v>5412</v>
      </c>
      <c r="BD201" s="280">
        <v>3967</v>
      </c>
      <c r="BE201" s="280">
        <v>4043</v>
      </c>
      <c r="BF201" s="280">
        <v>3808</v>
      </c>
      <c r="BG201" s="280">
        <v>3714</v>
      </c>
      <c r="BH201" s="280">
        <v>3694</v>
      </c>
      <c r="BI201" s="280">
        <f t="shared" si="168"/>
        <v>54253</v>
      </c>
      <c r="BJ201" s="281">
        <f>BI201/$A$2</f>
        <v>4520.7066077826848</v>
      </c>
      <c r="BK201" s="789">
        <f>AU201-AF201</f>
        <v>637.66666666666697</v>
      </c>
      <c r="BL201" s="317">
        <f>ROW()</f>
        <v>201</v>
      </c>
      <c r="BM201" s="1432">
        <f t="shared" si="169"/>
        <v>30</v>
      </c>
      <c r="BN201" s="317">
        <f t="shared" si="144"/>
        <v>1224.6232744493514</v>
      </c>
      <c r="BO201" s="317">
        <f t="shared" si="170"/>
        <v>14700</v>
      </c>
      <c r="BP201" s="594">
        <f t="shared" si="137"/>
        <v>-20</v>
      </c>
    </row>
    <row r="202" spans="1:71" ht="17.399999999999999" customHeight="1" x14ac:dyDescent="0.55000000000000004">
      <c r="A202" s="7222"/>
      <c r="B202" s="7212"/>
      <c r="C202" s="198" t="s">
        <v>954</v>
      </c>
      <c r="D202" s="279">
        <f t="shared" ref="D202:O202" si="197">D235+D283</f>
        <v>848</v>
      </c>
      <c r="E202" s="280">
        <f t="shared" si="197"/>
        <v>756</v>
      </c>
      <c r="F202" s="280">
        <f t="shared" si="197"/>
        <v>1001</v>
      </c>
      <c r="G202" s="280">
        <f t="shared" si="197"/>
        <v>752</v>
      </c>
      <c r="H202" s="280">
        <f t="shared" si="197"/>
        <v>764</v>
      </c>
      <c r="I202" s="280">
        <f t="shared" si="197"/>
        <v>659</v>
      </c>
      <c r="J202" s="280">
        <f t="shared" si="197"/>
        <v>632</v>
      </c>
      <c r="K202" s="280">
        <f t="shared" si="197"/>
        <v>1087</v>
      </c>
      <c r="L202" s="280">
        <f t="shared" si="197"/>
        <v>1221</v>
      </c>
      <c r="M202" s="280">
        <f t="shared" si="197"/>
        <v>1574</v>
      </c>
      <c r="N202" s="280">
        <f t="shared" si="197"/>
        <v>982</v>
      </c>
      <c r="O202" s="280">
        <f t="shared" si="197"/>
        <v>453</v>
      </c>
      <c r="P202" s="280">
        <f t="shared" si="185"/>
        <v>10729</v>
      </c>
      <c r="Q202" s="281">
        <f>P202/12</f>
        <v>894.08333333333337</v>
      </c>
      <c r="R202" s="374"/>
      <c r="S202" s="279">
        <f t="shared" ref="S202:AD202" si="198">S235+S283</f>
        <v>26</v>
      </c>
      <c r="T202" s="280">
        <f t="shared" si="198"/>
        <v>35</v>
      </c>
      <c r="U202" s="280">
        <f t="shared" si="198"/>
        <v>18</v>
      </c>
      <c r="V202" s="280">
        <f t="shared" si="198"/>
        <v>10</v>
      </c>
      <c r="W202" s="280">
        <f t="shared" si="198"/>
        <v>25</v>
      </c>
      <c r="X202" s="280">
        <f t="shared" si="198"/>
        <v>137</v>
      </c>
      <c r="Y202" s="280">
        <f t="shared" si="198"/>
        <v>142</v>
      </c>
      <c r="Z202" s="280">
        <f t="shared" si="198"/>
        <v>128</v>
      </c>
      <c r="AA202" s="280">
        <f t="shared" si="198"/>
        <v>114</v>
      </c>
      <c r="AB202" s="280">
        <f t="shared" si="198"/>
        <v>247</v>
      </c>
      <c r="AC202" s="280">
        <f t="shared" si="198"/>
        <v>249</v>
      </c>
      <c r="AD202" s="280">
        <f t="shared" si="198"/>
        <v>21</v>
      </c>
      <c r="AE202" s="280">
        <f t="shared" si="183"/>
        <v>1152</v>
      </c>
      <c r="AF202" s="281">
        <f t="shared" si="184"/>
        <v>96</v>
      </c>
      <c r="AG202" s="374"/>
      <c r="AH202" s="279">
        <v>86</v>
      </c>
      <c r="AI202" s="280">
        <v>53</v>
      </c>
      <c r="AJ202" s="280">
        <v>146</v>
      </c>
      <c r="AK202" s="280">
        <v>161</v>
      </c>
      <c r="AL202" s="280">
        <v>265</v>
      </c>
      <c r="AM202" s="280">
        <v>198</v>
      </c>
      <c r="AN202" s="280">
        <v>104</v>
      </c>
      <c r="AO202" s="280">
        <v>108</v>
      </c>
      <c r="AP202" s="280">
        <v>63</v>
      </c>
      <c r="AQ202" s="280">
        <v>53</v>
      </c>
      <c r="AR202" s="280">
        <v>69</v>
      </c>
      <c r="AS202" s="280">
        <v>89</v>
      </c>
      <c r="AT202" s="280">
        <v>1395</v>
      </c>
      <c r="AU202" s="281">
        <v>116.25</v>
      </c>
      <c r="AV202" s="434"/>
      <c r="AW202" s="2013">
        <v>47</v>
      </c>
      <c r="AX202" s="280">
        <v>34</v>
      </c>
      <c r="AY202" s="280">
        <v>124</v>
      </c>
      <c r="AZ202" s="280">
        <v>186</v>
      </c>
      <c r="BA202" s="280">
        <v>524</v>
      </c>
      <c r="BB202" s="280">
        <v>316</v>
      </c>
      <c r="BC202" s="280">
        <v>516</v>
      </c>
      <c r="BD202" s="280">
        <v>200</v>
      </c>
      <c r="BE202" s="280">
        <v>277</v>
      </c>
      <c r="BF202" s="280">
        <v>190</v>
      </c>
      <c r="BG202" s="280">
        <v>270</v>
      </c>
      <c r="BH202" s="280">
        <v>242</v>
      </c>
      <c r="BI202" s="280">
        <f t="shared" si="168"/>
        <v>2926</v>
      </c>
      <c r="BJ202" s="281">
        <f>BI202/$A$2</f>
        <v>243.81301558203484</v>
      </c>
      <c r="BK202" s="789">
        <f>AU202-AF202</f>
        <v>20.25</v>
      </c>
      <c r="BL202" s="317">
        <f>ROW()</f>
        <v>202</v>
      </c>
      <c r="BM202" s="1432">
        <f t="shared" si="169"/>
        <v>153</v>
      </c>
      <c r="BN202" s="317">
        <f t="shared" si="144"/>
        <v>127.56301558203484</v>
      </c>
      <c r="BO202" s="317">
        <f t="shared" si="170"/>
        <v>1531</v>
      </c>
      <c r="BP202" s="594">
        <f t="shared" si="137"/>
        <v>-28</v>
      </c>
    </row>
    <row r="203" spans="1:71" ht="17.399999999999999" customHeight="1" x14ac:dyDescent="0.55000000000000004">
      <c r="A203" s="7222"/>
      <c r="B203" s="2214"/>
      <c r="C203" s="2231" t="s">
        <v>22</v>
      </c>
      <c r="D203" s="279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1"/>
      <c r="R203" s="280"/>
      <c r="S203" s="279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1"/>
      <c r="AG203" s="280"/>
      <c r="AH203" s="279"/>
      <c r="AI203" s="280">
        <v>1</v>
      </c>
      <c r="AJ203" s="280">
        <v>3</v>
      </c>
      <c r="AK203" s="280">
        <v>2</v>
      </c>
      <c r="AL203" s="280"/>
      <c r="AM203" s="280"/>
      <c r="AN203" s="280"/>
      <c r="AO203" s="280">
        <v>3</v>
      </c>
      <c r="AP203" s="280">
        <v>60</v>
      </c>
      <c r="AQ203" s="280">
        <v>6</v>
      </c>
      <c r="AR203" s="280">
        <v>4</v>
      </c>
      <c r="AS203" s="280"/>
      <c r="AT203" s="280">
        <f>SUM(AH203:AS203)</f>
        <v>79</v>
      </c>
      <c r="AU203" s="281">
        <f>AVERAGE(AH203:AS203)</f>
        <v>11.285714285714286</v>
      </c>
      <c r="AV203" s="434"/>
      <c r="AW203" s="2230">
        <v>15</v>
      </c>
      <c r="AX203" s="280">
        <v>13</v>
      </c>
      <c r="AY203" s="280">
        <v>36</v>
      </c>
      <c r="AZ203" s="280">
        <v>0</v>
      </c>
      <c r="BA203" s="280">
        <v>0</v>
      </c>
      <c r="BB203" s="280">
        <v>0</v>
      </c>
      <c r="BC203" s="280">
        <v>168</v>
      </c>
      <c r="BD203" s="280">
        <v>24</v>
      </c>
      <c r="BE203" s="280">
        <v>16</v>
      </c>
      <c r="BF203" s="280">
        <v>13</v>
      </c>
      <c r="BG203" s="280">
        <v>22</v>
      </c>
      <c r="BH203" s="280">
        <v>16</v>
      </c>
      <c r="BI203" s="280"/>
      <c r="BJ203" s="281"/>
      <c r="BK203" s="789"/>
      <c r="BL203" s="317">
        <f>ROW()</f>
        <v>203</v>
      </c>
      <c r="BM203" s="1432"/>
      <c r="BN203" s="317"/>
      <c r="BO203" s="317">
        <f t="shared" si="170"/>
        <v>-79</v>
      </c>
      <c r="BP203" s="594">
        <f t="shared" si="137"/>
        <v>-6</v>
      </c>
    </row>
    <row r="204" spans="1:71" ht="17.399999999999999" customHeight="1" x14ac:dyDescent="0.55000000000000004">
      <c r="A204" s="7222"/>
      <c r="B204" s="7213" t="s">
        <v>430</v>
      </c>
      <c r="C204" s="199" t="s">
        <v>419</v>
      </c>
      <c r="D204" s="291">
        <f>D209+D210</f>
        <v>547</v>
      </c>
      <c r="E204" s="292">
        <f t="shared" ref="E204:O204" si="199">E209+E210</f>
        <v>428</v>
      </c>
      <c r="F204" s="292">
        <f t="shared" si="199"/>
        <v>403</v>
      </c>
      <c r="G204" s="292">
        <f t="shared" si="199"/>
        <v>396</v>
      </c>
      <c r="H204" s="292">
        <f t="shared" si="199"/>
        <v>417</v>
      </c>
      <c r="I204" s="292">
        <f t="shared" si="199"/>
        <v>470</v>
      </c>
      <c r="J204" s="292">
        <f t="shared" si="199"/>
        <v>433</v>
      </c>
      <c r="K204" s="292">
        <f t="shared" si="199"/>
        <v>478</v>
      </c>
      <c r="L204" s="292">
        <f t="shared" si="199"/>
        <v>396</v>
      </c>
      <c r="M204" s="292">
        <f t="shared" si="199"/>
        <v>330</v>
      </c>
      <c r="N204" s="292">
        <f t="shared" si="199"/>
        <v>389</v>
      </c>
      <c r="O204" s="292">
        <f t="shared" si="199"/>
        <v>361</v>
      </c>
      <c r="P204" s="292">
        <f t="shared" si="185"/>
        <v>5048</v>
      </c>
      <c r="Q204" s="293">
        <f t="shared" ref="Q204:Q231" si="200">P204/12</f>
        <v>420.66666666666669</v>
      </c>
      <c r="R204" s="374"/>
      <c r="S204" s="291">
        <f>S209+S210</f>
        <v>424</v>
      </c>
      <c r="T204" s="292">
        <f t="shared" ref="T204:AD204" si="201">T209+T210</f>
        <v>482</v>
      </c>
      <c r="U204" s="292">
        <f t="shared" si="201"/>
        <v>456</v>
      </c>
      <c r="V204" s="292">
        <f t="shared" si="201"/>
        <v>512</v>
      </c>
      <c r="W204" s="292">
        <f t="shared" si="201"/>
        <v>407</v>
      </c>
      <c r="X204" s="292">
        <f t="shared" si="201"/>
        <v>386</v>
      </c>
      <c r="Y204" s="292">
        <f t="shared" si="201"/>
        <v>354</v>
      </c>
      <c r="Z204" s="292">
        <f t="shared" si="201"/>
        <v>496</v>
      </c>
      <c r="AA204" s="292">
        <f t="shared" si="201"/>
        <v>271</v>
      </c>
      <c r="AB204" s="292">
        <f t="shared" si="201"/>
        <v>341</v>
      </c>
      <c r="AC204" s="292">
        <f t="shared" si="201"/>
        <v>284</v>
      </c>
      <c r="AD204" s="292">
        <f t="shared" si="201"/>
        <v>253</v>
      </c>
      <c r="AE204" s="292">
        <f t="shared" si="183"/>
        <v>4666</v>
      </c>
      <c r="AF204" s="293">
        <f t="shared" si="184"/>
        <v>388.83333333333331</v>
      </c>
      <c r="AG204" s="374"/>
      <c r="AH204" s="291">
        <v>448</v>
      </c>
      <c r="AI204" s="292">
        <v>352</v>
      </c>
      <c r="AJ204" s="292">
        <v>451</v>
      </c>
      <c r="AK204" s="292">
        <v>519</v>
      </c>
      <c r="AL204" s="292">
        <v>508</v>
      </c>
      <c r="AM204" s="292">
        <v>488</v>
      </c>
      <c r="AN204" s="292">
        <v>639</v>
      </c>
      <c r="AO204" s="292">
        <v>523</v>
      </c>
      <c r="AP204" s="292">
        <v>526</v>
      </c>
      <c r="AQ204" s="292">
        <v>464</v>
      </c>
      <c r="AR204" s="292">
        <v>849</v>
      </c>
      <c r="AS204" s="292">
        <v>463</v>
      </c>
      <c r="AT204" s="292">
        <f t="shared" si="186"/>
        <v>6230</v>
      </c>
      <c r="AU204" s="293">
        <f t="shared" si="143"/>
        <v>519.16666666666663</v>
      </c>
      <c r="AV204" s="434"/>
      <c r="AW204" s="2015">
        <v>388</v>
      </c>
      <c r="AX204" s="292">
        <v>750</v>
      </c>
      <c r="AY204" s="292">
        <v>562</v>
      </c>
      <c r="AZ204" s="292">
        <v>699</v>
      </c>
      <c r="BA204" s="292">
        <v>1336</v>
      </c>
      <c r="BB204" s="292">
        <v>642</v>
      </c>
      <c r="BC204" s="292">
        <v>914</v>
      </c>
      <c r="BD204" s="292">
        <v>560</v>
      </c>
      <c r="BE204" s="292">
        <v>574</v>
      </c>
      <c r="BF204" s="292">
        <v>378</v>
      </c>
      <c r="BG204" s="292">
        <v>468</v>
      </c>
      <c r="BH204" s="292">
        <v>424</v>
      </c>
      <c r="BI204" s="292">
        <f t="shared" ref="BI204:BI235" si="202">SUM(AW204:BH204)</f>
        <v>7695</v>
      </c>
      <c r="BJ204" s="293">
        <f t="shared" ref="BJ204:BJ268" si="203">BI204/$A$2</f>
        <v>641.19656695275398</v>
      </c>
      <c r="BL204" s="317">
        <f>ROW()</f>
        <v>204</v>
      </c>
      <c r="BM204" s="1432">
        <f t="shared" ref="BM204:BM235" si="204">HLOOKUP($A$2,$AW$2:$BH$511,ROW()-1,0)-HLOOKUP($A$2,$AH$2:$AS$511,ROW()-1,0)</f>
        <v>-39</v>
      </c>
      <c r="BN204" s="317">
        <f t="shared" si="144"/>
        <v>122.02990028608735</v>
      </c>
      <c r="BO204" s="317">
        <f t="shared" si="170"/>
        <v>1465</v>
      </c>
      <c r="BP204" s="594">
        <f t="shared" si="137"/>
        <v>-44</v>
      </c>
    </row>
    <row r="205" spans="1:71" ht="17.399999999999999" customHeight="1" x14ac:dyDescent="0.55000000000000004">
      <c r="A205" s="7222"/>
      <c r="B205" s="7214"/>
      <c r="C205" s="200" t="s">
        <v>420</v>
      </c>
      <c r="D205" s="294">
        <f>D211+D212</f>
        <v>664</v>
      </c>
      <c r="E205" s="295">
        <f t="shared" ref="E205:O205" si="205">E211+E212</f>
        <v>433</v>
      </c>
      <c r="F205" s="295">
        <f t="shared" si="205"/>
        <v>451</v>
      </c>
      <c r="G205" s="295">
        <f t="shared" si="205"/>
        <v>476</v>
      </c>
      <c r="H205" s="295">
        <f t="shared" si="205"/>
        <v>445</v>
      </c>
      <c r="I205" s="295">
        <f t="shared" si="205"/>
        <v>457</v>
      </c>
      <c r="J205" s="295">
        <f t="shared" si="205"/>
        <v>438</v>
      </c>
      <c r="K205" s="295">
        <f t="shared" si="205"/>
        <v>446</v>
      </c>
      <c r="L205" s="295">
        <f t="shared" si="205"/>
        <v>454</v>
      </c>
      <c r="M205" s="295">
        <f t="shared" si="205"/>
        <v>402</v>
      </c>
      <c r="N205" s="295">
        <f t="shared" si="205"/>
        <v>405</v>
      </c>
      <c r="O205" s="295">
        <f t="shared" si="205"/>
        <v>414</v>
      </c>
      <c r="P205" s="295">
        <f t="shared" si="185"/>
        <v>5485</v>
      </c>
      <c r="Q205" s="296">
        <f t="shared" si="200"/>
        <v>457.08333333333331</v>
      </c>
      <c r="R205" s="374"/>
      <c r="S205" s="294">
        <f>S211+S212</f>
        <v>515</v>
      </c>
      <c r="T205" s="295">
        <f t="shared" ref="T205:AD205" si="206">T211+T212</f>
        <v>607</v>
      </c>
      <c r="U205" s="295">
        <f t="shared" si="206"/>
        <v>580</v>
      </c>
      <c r="V205" s="295">
        <f t="shared" si="206"/>
        <v>590</v>
      </c>
      <c r="W205" s="295">
        <f t="shared" si="206"/>
        <v>535</v>
      </c>
      <c r="X205" s="295">
        <f t="shared" si="206"/>
        <v>512</v>
      </c>
      <c r="Y205" s="295">
        <f t="shared" si="206"/>
        <v>428</v>
      </c>
      <c r="Z205" s="295">
        <f t="shared" si="206"/>
        <v>617</v>
      </c>
      <c r="AA205" s="295">
        <f t="shared" si="206"/>
        <v>364</v>
      </c>
      <c r="AB205" s="295">
        <f t="shared" si="206"/>
        <v>511</v>
      </c>
      <c r="AC205" s="295">
        <f t="shared" si="206"/>
        <v>400</v>
      </c>
      <c r="AD205" s="295">
        <f t="shared" si="206"/>
        <v>366</v>
      </c>
      <c r="AE205" s="295">
        <f t="shared" si="183"/>
        <v>6025</v>
      </c>
      <c r="AF205" s="296">
        <f t="shared" si="184"/>
        <v>502.08333333333331</v>
      </c>
      <c r="AG205" s="374"/>
      <c r="AH205" s="294">
        <v>644</v>
      </c>
      <c r="AI205" s="295">
        <v>467</v>
      </c>
      <c r="AJ205" s="295">
        <v>543</v>
      </c>
      <c r="AK205" s="295">
        <v>605</v>
      </c>
      <c r="AL205" s="295">
        <v>611</v>
      </c>
      <c r="AM205" s="295">
        <v>525</v>
      </c>
      <c r="AN205" s="295">
        <v>693</v>
      </c>
      <c r="AO205" s="295">
        <v>505</v>
      </c>
      <c r="AP205" s="295">
        <v>498</v>
      </c>
      <c r="AQ205" s="295">
        <v>501</v>
      </c>
      <c r="AR205" s="295">
        <v>956</v>
      </c>
      <c r="AS205" s="295">
        <v>513</v>
      </c>
      <c r="AT205" s="295">
        <f t="shared" si="186"/>
        <v>7061</v>
      </c>
      <c r="AU205" s="296">
        <f t="shared" si="143"/>
        <v>588.41666666666663</v>
      </c>
      <c r="AV205" s="434"/>
      <c r="AW205" s="2016">
        <v>499</v>
      </c>
      <c r="AX205" s="295">
        <v>921</v>
      </c>
      <c r="AY205" s="295">
        <v>681</v>
      </c>
      <c r="AZ205" s="295">
        <v>727</v>
      </c>
      <c r="BA205" s="295">
        <v>1433</v>
      </c>
      <c r="BB205" s="295">
        <v>661</v>
      </c>
      <c r="BC205" s="295">
        <v>944</v>
      </c>
      <c r="BD205" s="295">
        <v>665</v>
      </c>
      <c r="BE205" s="295">
        <v>775</v>
      </c>
      <c r="BF205" s="295">
        <v>490</v>
      </c>
      <c r="BG205" s="295">
        <v>470</v>
      </c>
      <c r="BH205" s="295">
        <v>506</v>
      </c>
      <c r="BI205" s="295">
        <f t="shared" si="202"/>
        <v>8772</v>
      </c>
      <c r="BJ205" s="296">
        <f t="shared" si="203"/>
        <v>730.9390884092993</v>
      </c>
      <c r="BL205" s="317">
        <f>ROW()</f>
        <v>205</v>
      </c>
      <c r="BM205" s="1432">
        <f t="shared" si="204"/>
        <v>-7</v>
      </c>
      <c r="BN205" s="317">
        <f t="shared" si="144"/>
        <v>142.52242174263267</v>
      </c>
      <c r="BO205" s="317">
        <f t="shared" ref="BO205:BO235" si="207">BI205-SUM(AH205:AS205)</f>
        <v>1711</v>
      </c>
      <c r="BP205" s="594">
        <f t="shared" ref="BP205:BP268" si="208">HLOOKUP($A$2,$AW$2:$BH$520,ROW()-1,0)-HLOOKUP($A$2-1,$AW$2:$BH$520,ROW()-1,1)</f>
        <v>36</v>
      </c>
    </row>
    <row r="206" spans="1:71" ht="17.399999999999999" customHeight="1" x14ac:dyDescent="0.55000000000000004">
      <c r="A206" s="7222"/>
      <c r="B206" s="7214"/>
      <c r="C206" s="200" t="s">
        <v>421</v>
      </c>
      <c r="D206" s="294">
        <f>D213+D214</f>
        <v>805</v>
      </c>
      <c r="E206" s="295">
        <f t="shared" ref="E206:O206" si="209">E213+E214</f>
        <v>581</v>
      </c>
      <c r="F206" s="295">
        <f t="shared" si="209"/>
        <v>648</v>
      </c>
      <c r="G206" s="295">
        <f t="shared" si="209"/>
        <v>636</v>
      </c>
      <c r="H206" s="295">
        <f t="shared" si="209"/>
        <v>608</v>
      </c>
      <c r="I206" s="295">
        <f t="shared" si="209"/>
        <v>584</v>
      </c>
      <c r="J206" s="295">
        <f t="shared" si="209"/>
        <v>551</v>
      </c>
      <c r="K206" s="295">
        <f t="shared" si="209"/>
        <v>686</v>
      </c>
      <c r="L206" s="295">
        <f t="shared" si="209"/>
        <v>607</v>
      </c>
      <c r="M206" s="295">
        <f t="shared" si="209"/>
        <v>608</v>
      </c>
      <c r="N206" s="295">
        <f t="shared" si="209"/>
        <v>708</v>
      </c>
      <c r="O206" s="295">
        <f t="shared" si="209"/>
        <v>610</v>
      </c>
      <c r="P206" s="295">
        <f t="shared" si="185"/>
        <v>7632</v>
      </c>
      <c r="Q206" s="296">
        <f t="shared" si="200"/>
        <v>636</v>
      </c>
      <c r="R206" s="374"/>
      <c r="S206" s="294">
        <f>S213+S214</f>
        <v>711</v>
      </c>
      <c r="T206" s="295">
        <f t="shared" ref="T206:AD206" si="210">T213+T214</f>
        <v>727</v>
      </c>
      <c r="U206" s="295">
        <f t="shared" si="210"/>
        <v>717</v>
      </c>
      <c r="V206" s="295">
        <f t="shared" si="210"/>
        <v>746</v>
      </c>
      <c r="W206" s="295">
        <f t="shared" si="210"/>
        <v>663</v>
      </c>
      <c r="X206" s="295">
        <f t="shared" si="210"/>
        <v>639</v>
      </c>
      <c r="Y206" s="295">
        <f t="shared" si="210"/>
        <v>532</v>
      </c>
      <c r="Z206" s="295">
        <f t="shared" si="210"/>
        <v>846</v>
      </c>
      <c r="AA206" s="295">
        <f t="shared" si="210"/>
        <v>535</v>
      </c>
      <c r="AB206" s="295">
        <f t="shared" si="210"/>
        <v>625</v>
      </c>
      <c r="AC206" s="295">
        <f t="shared" si="210"/>
        <v>684</v>
      </c>
      <c r="AD206" s="295">
        <f t="shared" si="210"/>
        <v>468</v>
      </c>
      <c r="AE206" s="295">
        <f t="shared" si="183"/>
        <v>7893</v>
      </c>
      <c r="AF206" s="296">
        <f t="shared" si="184"/>
        <v>657.75</v>
      </c>
      <c r="AG206" s="374"/>
      <c r="AH206" s="294">
        <v>865</v>
      </c>
      <c r="AI206" s="295">
        <v>720</v>
      </c>
      <c r="AJ206" s="295">
        <v>745</v>
      </c>
      <c r="AK206" s="295">
        <v>779</v>
      </c>
      <c r="AL206" s="295">
        <v>871</v>
      </c>
      <c r="AM206" s="295">
        <v>639</v>
      </c>
      <c r="AN206" s="295">
        <v>902</v>
      </c>
      <c r="AO206" s="295">
        <v>728</v>
      </c>
      <c r="AP206" s="295">
        <v>822</v>
      </c>
      <c r="AQ206" s="295">
        <v>815</v>
      </c>
      <c r="AR206" s="295">
        <v>1223</v>
      </c>
      <c r="AS206" s="295">
        <v>726</v>
      </c>
      <c r="AT206" s="295">
        <f t="shared" si="186"/>
        <v>9835</v>
      </c>
      <c r="AU206" s="296">
        <f t="shared" si="143"/>
        <v>819.58333333333337</v>
      </c>
      <c r="AV206" s="434"/>
      <c r="AW206" s="2016">
        <v>595</v>
      </c>
      <c r="AX206" s="295">
        <v>1159</v>
      </c>
      <c r="AY206" s="295">
        <v>838</v>
      </c>
      <c r="AZ206" s="295">
        <v>1024</v>
      </c>
      <c r="BA206" s="295">
        <v>1765</v>
      </c>
      <c r="BB206" s="295">
        <v>999</v>
      </c>
      <c r="BC206" s="295">
        <v>1362</v>
      </c>
      <c r="BD206" s="295">
        <v>918</v>
      </c>
      <c r="BE206" s="295">
        <v>981</v>
      </c>
      <c r="BF206" s="295">
        <v>648</v>
      </c>
      <c r="BG206" s="295">
        <v>715</v>
      </c>
      <c r="BH206" s="295">
        <v>692</v>
      </c>
      <c r="BI206" s="295">
        <f t="shared" si="202"/>
        <v>11696</v>
      </c>
      <c r="BJ206" s="296">
        <f t="shared" si="203"/>
        <v>974.58545121239899</v>
      </c>
      <c r="BL206" s="317">
        <f>ROW()</f>
        <v>206</v>
      </c>
      <c r="BM206" s="1432">
        <f t="shared" si="204"/>
        <v>-34</v>
      </c>
      <c r="BN206" s="317">
        <f t="shared" ref="BN206:BN270" si="211">BJ206-AU206</f>
        <v>155.00211787906562</v>
      </c>
      <c r="BO206" s="317">
        <f t="shared" si="207"/>
        <v>1861</v>
      </c>
      <c r="BP206" s="594">
        <f t="shared" si="208"/>
        <v>-23</v>
      </c>
    </row>
    <row r="207" spans="1:71" ht="17.399999999999999" customHeight="1" x14ac:dyDescent="0.55000000000000004">
      <c r="A207" s="7222"/>
      <c r="B207" s="7214"/>
      <c r="C207" s="200" t="s">
        <v>422</v>
      </c>
      <c r="D207" s="294">
        <f>D215+D216</f>
        <v>994</v>
      </c>
      <c r="E207" s="295">
        <f t="shared" ref="E207:O207" si="212">E215+E216</f>
        <v>812</v>
      </c>
      <c r="F207" s="295">
        <f t="shared" si="212"/>
        <v>775</v>
      </c>
      <c r="G207" s="295">
        <f t="shared" si="212"/>
        <v>747</v>
      </c>
      <c r="H207" s="295">
        <f t="shared" si="212"/>
        <v>804</v>
      </c>
      <c r="I207" s="295">
        <f t="shared" si="212"/>
        <v>865</v>
      </c>
      <c r="J207" s="295">
        <f t="shared" si="212"/>
        <v>703</v>
      </c>
      <c r="K207" s="295">
        <f t="shared" si="212"/>
        <v>912</v>
      </c>
      <c r="L207" s="295">
        <f t="shared" si="212"/>
        <v>629</v>
      </c>
      <c r="M207" s="295">
        <f t="shared" si="212"/>
        <v>691</v>
      </c>
      <c r="N207" s="295">
        <f t="shared" si="212"/>
        <v>788</v>
      </c>
      <c r="O207" s="295">
        <f t="shared" si="212"/>
        <v>733</v>
      </c>
      <c r="P207" s="295">
        <f t="shared" si="185"/>
        <v>9453</v>
      </c>
      <c r="Q207" s="296">
        <f t="shared" si="200"/>
        <v>787.75</v>
      </c>
      <c r="R207" s="374"/>
      <c r="S207" s="294">
        <f>S215+S216</f>
        <v>788</v>
      </c>
      <c r="T207" s="295">
        <f t="shared" ref="T207:AD207" si="213">T215+T216</f>
        <v>1049</v>
      </c>
      <c r="U207" s="295">
        <f t="shared" si="213"/>
        <v>876</v>
      </c>
      <c r="V207" s="295">
        <f t="shared" si="213"/>
        <v>884</v>
      </c>
      <c r="W207" s="295">
        <f t="shared" si="213"/>
        <v>794</v>
      </c>
      <c r="X207" s="295">
        <f t="shared" si="213"/>
        <v>851</v>
      </c>
      <c r="Y207" s="295">
        <f t="shared" si="213"/>
        <v>640</v>
      </c>
      <c r="Z207" s="295">
        <f t="shared" si="213"/>
        <v>988</v>
      </c>
      <c r="AA207" s="295">
        <f t="shared" si="213"/>
        <v>596</v>
      </c>
      <c r="AB207" s="295">
        <f t="shared" si="213"/>
        <v>713</v>
      </c>
      <c r="AC207" s="295">
        <f t="shared" si="213"/>
        <v>691</v>
      </c>
      <c r="AD207" s="295">
        <f t="shared" si="213"/>
        <v>602</v>
      </c>
      <c r="AE207" s="295">
        <f t="shared" si="183"/>
        <v>9472</v>
      </c>
      <c r="AF207" s="296">
        <f t="shared" si="184"/>
        <v>789.33333333333337</v>
      </c>
      <c r="AG207" s="374"/>
      <c r="AH207" s="294">
        <v>1016</v>
      </c>
      <c r="AI207" s="295">
        <v>799</v>
      </c>
      <c r="AJ207" s="295">
        <v>965</v>
      </c>
      <c r="AK207" s="295">
        <v>1005</v>
      </c>
      <c r="AL207" s="295">
        <v>989</v>
      </c>
      <c r="AM207" s="295">
        <v>877</v>
      </c>
      <c r="AN207" s="295">
        <v>1114</v>
      </c>
      <c r="AO207" s="295">
        <v>806</v>
      </c>
      <c r="AP207" s="295">
        <v>837</v>
      </c>
      <c r="AQ207" s="295">
        <v>953</v>
      </c>
      <c r="AR207" s="295">
        <v>1525</v>
      </c>
      <c r="AS207" s="295">
        <v>755</v>
      </c>
      <c r="AT207" s="295">
        <f t="shared" si="186"/>
        <v>11641</v>
      </c>
      <c r="AU207" s="296">
        <f t="shared" ref="AU207:AU271" si="214">AT207/12</f>
        <v>970.08333333333337</v>
      </c>
      <c r="AV207" s="434"/>
      <c r="AW207" s="2016">
        <v>587</v>
      </c>
      <c r="AX207" s="295">
        <v>1218</v>
      </c>
      <c r="AY207" s="295">
        <v>941</v>
      </c>
      <c r="AZ207" s="295">
        <v>1292</v>
      </c>
      <c r="BA207" s="295">
        <v>1818</v>
      </c>
      <c r="BB207" s="295">
        <v>1109</v>
      </c>
      <c r="BC207" s="295">
        <v>1571</v>
      </c>
      <c r="BD207" s="295">
        <v>1032</v>
      </c>
      <c r="BE207" s="295">
        <v>1015</v>
      </c>
      <c r="BF207" s="295">
        <v>763</v>
      </c>
      <c r="BG207" s="295">
        <v>697</v>
      </c>
      <c r="BH207" s="295">
        <v>611</v>
      </c>
      <c r="BI207" s="295">
        <f t="shared" si="202"/>
        <v>12654</v>
      </c>
      <c r="BJ207" s="296">
        <f t="shared" si="203"/>
        <v>1054.4121323223064</v>
      </c>
      <c r="BL207" s="317">
        <f>ROW()</f>
        <v>207</v>
      </c>
      <c r="BM207" s="1432">
        <f t="shared" si="204"/>
        <v>-144</v>
      </c>
      <c r="BN207" s="317">
        <f t="shared" si="211"/>
        <v>84.328798988973062</v>
      </c>
      <c r="BO207" s="317">
        <f t="shared" si="207"/>
        <v>1013</v>
      </c>
      <c r="BP207" s="594">
        <f t="shared" si="208"/>
        <v>-86</v>
      </c>
    </row>
    <row r="208" spans="1:71" ht="17.399999999999999" customHeight="1" x14ac:dyDescent="0.55000000000000004">
      <c r="A208" s="7222"/>
      <c r="B208" s="7215"/>
      <c r="C208" s="201" t="s">
        <v>423</v>
      </c>
      <c r="D208" s="297">
        <f>D217+D218</f>
        <v>728</v>
      </c>
      <c r="E208" s="298">
        <f t="shared" ref="E208:O208" si="215">E217+E218</f>
        <v>528</v>
      </c>
      <c r="F208" s="298">
        <f t="shared" si="215"/>
        <v>519</v>
      </c>
      <c r="G208" s="298">
        <f t="shared" si="215"/>
        <v>484</v>
      </c>
      <c r="H208" s="298">
        <f t="shared" si="215"/>
        <v>540</v>
      </c>
      <c r="I208" s="298">
        <f t="shared" si="215"/>
        <v>504</v>
      </c>
      <c r="J208" s="298">
        <f t="shared" si="215"/>
        <v>498</v>
      </c>
      <c r="K208" s="298">
        <f t="shared" si="215"/>
        <v>587</v>
      </c>
      <c r="L208" s="298">
        <f t="shared" si="215"/>
        <v>419</v>
      </c>
      <c r="M208" s="298">
        <f t="shared" si="215"/>
        <v>475</v>
      </c>
      <c r="N208" s="298">
        <f t="shared" si="215"/>
        <v>533</v>
      </c>
      <c r="O208" s="298">
        <f t="shared" si="215"/>
        <v>438</v>
      </c>
      <c r="P208" s="298">
        <f t="shared" si="185"/>
        <v>6253</v>
      </c>
      <c r="Q208" s="299">
        <f t="shared" si="200"/>
        <v>521.08333333333337</v>
      </c>
      <c r="R208" s="374"/>
      <c r="S208" s="297">
        <f>S217+S218</f>
        <v>540</v>
      </c>
      <c r="T208" s="298">
        <f t="shared" ref="T208:AD208" si="216">T217+T218</f>
        <v>581</v>
      </c>
      <c r="U208" s="298">
        <f t="shared" si="216"/>
        <v>495</v>
      </c>
      <c r="V208" s="298">
        <f t="shared" si="216"/>
        <v>561</v>
      </c>
      <c r="W208" s="298">
        <f t="shared" si="216"/>
        <v>461</v>
      </c>
      <c r="X208" s="298">
        <f t="shared" si="216"/>
        <v>472</v>
      </c>
      <c r="Y208" s="298">
        <f t="shared" si="216"/>
        <v>430</v>
      </c>
      <c r="Z208" s="298">
        <f t="shared" si="216"/>
        <v>615</v>
      </c>
      <c r="AA208" s="298">
        <f t="shared" si="216"/>
        <v>411</v>
      </c>
      <c r="AB208" s="298">
        <f t="shared" si="216"/>
        <v>471</v>
      </c>
      <c r="AC208" s="298">
        <f t="shared" si="216"/>
        <v>412</v>
      </c>
      <c r="AD208" s="298">
        <f t="shared" si="216"/>
        <v>369</v>
      </c>
      <c r="AE208" s="298">
        <f t="shared" si="183"/>
        <v>5818</v>
      </c>
      <c r="AF208" s="299">
        <f t="shared" si="184"/>
        <v>484.83333333333331</v>
      </c>
      <c r="AG208" s="374"/>
      <c r="AH208" s="297">
        <v>629</v>
      </c>
      <c r="AI208" s="298">
        <v>443</v>
      </c>
      <c r="AJ208" s="298">
        <v>664</v>
      </c>
      <c r="AK208" s="298">
        <v>644</v>
      </c>
      <c r="AL208" s="298">
        <v>626</v>
      </c>
      <c r="AM208" s="298">
        <v>586</v>
      </c>
      <c r="AN208" s="298">
        <v>651</v>
      </c>
      <c r="AO208" s="298">
        <v>524</v>
      </c>
      <c r="AP208" s="298">
        <v>590</v>
      </c>
      <c r="AQ208" s="298">
        <v>530</v>
      </c>
      <c r="AR208" s="298">
        <v>974</v>
      </c>
      <c r="AS208" s="298">
        <v>463</v>
      </c>
      <c r="AT208" s="298">
        <f t="shared" si="186"/>
        <v>7324</v>
      </c>
      <c r="AU208" s="299">
        <f t="shared" si="214"/>
        <v>610.33333333333337</v>
      </c>
      <c r="AV208" s="434"/>
      <c r="AW208" s="2017">
        <v>424</v>
      </c>
      <c r="AX208" s="298">
        <v>873</v>
      </c>
      <c r="AY208" s="298">
        <v>723</v>
      </c>
      <c r="AZ208" s="298">
        <v>690</v>
      </c>
      <c r="BA208" s="298">
        <v>1211</v>
      </c>
      <c r="BB208" s="298">
        <v>678</v>
      </c>
      <c r="BC208" s="298">
        <v>981</v>
      </c>
      <c r="BD208" s="298">
        <v>675</v>
      </c>
      <c r="BE208" s="298">
        <v>626</v>
      </c>
      <c r="BF208" s="298">
        <v>495</v>
      </c>
      <c r="BG208" s="298">
        <v>485</v>
      </c>
      <c r="BH208" s="298">
        <v>452</v>
      </c>
      <c r="BI208" s="298">
        <f t="shared" si="202"/>
        <v>8313</v>
      </c>
      <c r="BJ208" s="299">
        <f t="shared" si="203"/>
        <v>692.69227564369635</v>
      </c>
      <c r="BL208" s="317">
        <f>ROW()</f>
        <v>208</v>
      </c>
      <c r="BM208" s="1432">
        <f t="shared" si="204"/>
        <v>-11</v>
      </c>
      <c r="BN208" s="317">
        <f t="shared" si="211"/>
        <v>82.358942310362977</v>
      </c>
      <c r="BO208" s="317">
        <f t="shared" si="207"/>
        <v>989</v>
      </c>
      <c r="BP208" s="594">
        <f t="shared" si="208"/>
        <v>-33</v>
      </c>
    </row>
    <row r="209" spans="1:68" ht="17.399999999999999" customHeight="1" x14ac:dyDescent="0.55000000000000004">
      <c r="A209" s="7222"/>
      <c r="B209" s="7207" t="s">
        <v>431</v>
      </c>
      <c r="C209" s="202" t="s">
        <v>227</v>
      </c>
      <c r="D209" s="300">
        <f t="shared" ref="D209:O209" si="217">D242+D290</f>
        <v>269</v>
      </c>
      <c r="E209" s="301">
        <f t="shared" si="217"/>
        <v>204</v>
      </c>
      <c r="F209" s="301">
        <f t="shared" si="217"/>
        <v>193</v>
      </c>
      <c r="G209" s="301">
        <f t="shared" si="217"/>
        <v>189</v>
      </c>
      <c r="H209" s="301">
        <f t="shared" si="217"/>
        <v>175</v>
      </c>
      <c r="I209" s="301">
        <f t="shared" si="217"/>
        <v>229</v>
      </c>
      <c r="J209" s="301">
        <f t="shared" si="217"/>
        <v>229</v>
      </c>
      <c r="K209" s="301">
        <f t="shared" si="217"/>
        <v>222</v>
      </c>
      <c r="L209" s="301">
        <f t="shared" si="217"/>
        <v>216</v>
      </c>
      <c r="M209" s="301">
        <f t="shared" si="217"/>
        <v>155</v>
      </c>
      <c r="N209" s="301">
        <f t="shared" si="217"/>
        <v>159</v>
      </c>
      <c r="O209" s="301">
        <f t="shared" si="217"/>
        <v>166</v>
      </c>
      <c r="P209" s="301">
        <f t="shared" si="185"/>
        <v>2406</v>
      </c>
      <c r="Q209" s="302">
        <f t="shared" si="200"/>
        <v>200.5</v>
      </c>
      <c r="R209" s="374"/>
      <c r="S209" s="300">
        <v>189</v>
      </c>
      <c r="T209" s="301">
        <v>218</v>
      </c>
      <c r="U209" s="301">
        <v>245</v>
      </c>
      <c r="V209" s="301">
        <v>271</v>
      </c>
      <c r="W209" s="301">
        <v>209</v>
      </c>
      <c r="X209" s="301">
        <v>194</v>
      </c>
      <c r="Y209" s="301">
        <v>186</v>
      </c>
      <c r="Z209" s="301">
        <v>249</v>
      </c>
      <c r="AA209" s="301">
        <v>132</v>
      </c>
      <c r="AB209" s="301">
        <v>188</v>
      </c>
      <c r="AC209" s="301">
        <v>177</v>
      </c>
      <c r="AD209" s="301">
        <v>150</v>
      </c>
      <c r="AE209" s="301">
        <f t="shared" si="183"/>
        <v>2408</v>
      </c>
      <c r="AF209" s="302">
        <f t="shared" si="184"/>
        <v>200.66666666666666</v>
      </c>
      <c r="AG209" s="374"/>
      <c r="AH209" s="300">
        <v>217</v>
      </c>
      <c r="AI209" s="301">
        <v>190</v>
      </c>
      <c r="AJ209" s="301">
        <v>240</v>
      </c>
      <c r="AK209" s="301">
        <v>267</v>
      </c>
      <c r="AL209" s="301">
        <v>240</v>
      </c>
      <c r="AM209" s="301">
        <v>240</v>
      </c>
      <c r="AN209" s="301">
        <v>251</v>
      </c>
      <c r="AO209" s="301">
        <v>219</v>
      </c>
      <c r="AP209" s="301">
        <v>190</v>
      </c>
      <c r="AQ209" s="301">
        <v>185</v>
      </c>
      <c r="AR209" s="301">
        <v>387</v>
      </c>
      <c r="AS209" s="301">
        <v>218</v>
      </c>
      <c r="AT209" s="301">
        <f t="shared" si="186"/>
        <v>2844</v>
      </c>
      <c r="AU209" s="302">
        <f t="shared" si="214"/>
        <v>237</v>
      </c>
      <c r="AV209" s="434"/>
      <c r="AW209" s="2021">
        <v>193</v>
      </c>
      <c r="AX209" s="301">
        <v>333</v>
      </c>
      <c r="AY209" s="301">
        <v>266</v>
      </c>
      <c r="AZ209" s="301">
        <v>337</v>
      </c>
      <c r="BA209" s="301">
        <v>668</v>
      </c>
      <c r="BB209" s="301">
        <v>333</v>
      </c>
      <c r="BC209" s="301">
        <v>466</v>
      </c>
      <c r="BD209" s="301">
        <v>252</v>
      </c>
      <c r="BE209" s="301">
        <v>285</v>
      </c>
      <c r="BF209" s="301">
        <v>178</v>
      </c>
      <c r="BG209" s="301">
        <v>213</v>
      </c>
      <c r="BH209" s="301">
        <v>194</v>
      </c>
      <c r="BI209" s="301">
        <f t="shared" si="202"/>
        <v>3718</v>
      </c>
      <c r="BJ209" s="302">
        <f t="shared" si="203"/>
        <v>309.80751604032997</v>
      </c>
      <c r="BL209" s="317">
        <f>ROW()</f>
        <v>209</v>
      </c>
      <c r="BM209" s="1432">
        <f t="shared" si="204"/>
        <v>-24</v>
      </c>
      <c r="BN209" s="317">
        <f t="shared" si="211"/>
        <v>72.807516040329972</v>
      </c>
      <c r="BO209" s="317">
        <f t="shared" si="207"/>
        <v>874</v>
      </c>
      <c r="BP209" s="594">
        <f t="shared" si="208"/>
        <v>-19</v>
      </c>
    </row>
    <row r="210" spans="1:68" ht="17.399999999999999" customHeight="1" x14ac:dyDescent="0.55000000000000004">
      <c r="A210" s="7222"/>
      <c r="B210" s="7208"/>
      <c r="C210" s="202" t="s">
        <v>228</v>
      </c>
      <c r="D210" s="300">
        <f t="shared" ref="D210:O210" si="218">D243+D291</f>
        <v>278</v>
      </c>
      <c r="E210" s="301">
        <f t="shared" si="218"/>
        <v>224</v>
      </c>
      <c r="F210" s="301">
        <f t="shared" si="218"/>
        <v>210</v>
      </c>
      <c r="G210" s="301">
        <f t="shared" si="218"/>
        <v>207</v>
      </c>
      <c r="H210" s="301">
        <f t="shared" si="218"/>
        <v>242</v>
      </c>
      <c r="I210" s="301">
        <f t="shared" si="218"/>
        <v>241</v>
      </c>
      <c r="J210" s="301">
        <f t="shared" si="218"/>
        <v>204</v>
      </c>
      <c r="K210" s="301">
        <f t="shared" si="218"/>
        <v>256</v>
      </c>
      <c r="L210" s="301">
        <f t="shared" si="218"/>
        <v>180</v>
      </c>
      <c r="M210" s="301">
        <f t="shared" si="218"/>
        <v>175</v>
      </c>
      <c r="N210" s="301">
        <f t="shared" si="218"/>
        <v>230</v>
      </c>
      <c r="O210" s="301">
        <f t="shared" si="218"/>
        <v>195</v>
      </c>
      <c r="P210" s="301">
        <f t="shared" si="185"/>
        <v>2642</v>
      </c>
      <c r="Q210" s="302">
        <f t="shared" si="200"/>
        <v>220.16666666666666</v>
      </c>
      <c r="R210" s="374"/>
      <c r="S210" s="300">
        <v>235</v>
      </c>
      <c r="T210" s="301">
        <v>264</v>
      </c>
      <c r="U210" s="301">
        <v>211</v>
      </c>
      <c r="V210" s="301">
        <v>241</v>
      </c>
      <c r="W210" s="301">
        <v>198</v>
      </c>
      <c r="X210" s="301">
        <v>192</v>
      </c>
      <c r="Y210" s="301">
        <v>168</v>
      </c>
      <c r="Z210" s="301">
        <v>247</v>
      </c>
      <c r="AA210" s="301">
        <v>139</v>
      </c>
      <c r="AB210" s="301">
        <v>153</v>
      </c>
      <c r="AC210" s="301">
        <v>107</v>
      </c>
      <c r="AD210" s="301">
        <v>103</v>
      </c>
      <c r="AE210" s="301">
        <f t="shared" si="183"/>
        <v>2258</v>
      </c>
      <c r="AF210" s="302">
        <f t="shared" si="184"/>
        <v>188.16666666666666</v>
      </c>
      <c r="AG210" s="374"/>
      <c r="AH210" s="300">
        <v>231</v>
      </c>
      <c r="AI210" s="301">
        <v>162</v>
      </c>
      <c r="AJ210" s="301">
        <v>211</v>
      </c>
      <c r="AK210" s="301">
        <v>252</v>
      </c>
      <c r="AL210" s="301">
        <v>268</v>
      </c>
      <c r="AM210" s="301">
        <v>248</v>
      </c>
      <c r="AN210" s="301">
        <v>388</v>
      </c>
      <c r="AO210" s="301">
        <v>304</v>
      </c>
      <c r="AP210" s="301">
        <v>336</v>
      </c>
      <c r="AQ210" s="301">
        <v>279</v>
      </c>
      <c r="AR210" s="301">
        <v>462</v>
      </c>
      <c r="AS210" s="301">
        <v>245</v>
      </c>
      <c r="AT210" s="301">
        <f t="shared" si="186"/>
        <v>3386</v>
      </c>
      <c r="AU210" s="302">
        <f t="shared" si="214"/>
        <v>282.16666666666669</v>
      </c>
      <c r="AV210" s="374"/>
      <c r="AW210" s="2021">
        <v>195</v>
      </c>
      <c r="AX210" s="301">
        <v>417</v>
      </c>
      <c r="AY210" s="301">
        <v>296</v>
      </c>
      <c r="AZ210" s="301">
        <v>362</v>
      </c>
      <c r="BA210" s="301">
        <v>668</v>
      </c>
      <c r="BB210" s="301">
        <v>309</v>
      </c>
      <c r="BC210" s="301">
        <v>448</v>
      </c>
      <c r="BD210" s="301">
        <v>308</v>
      </c>
      <c r="BE210" s="301">
        <v>289</v>
      </c>
      <c r="BF210" s="301">
        <v>200</v>
      </c>
      <c r="BG210" s="301">
        <v>255</v>
      </c>
      <c r="BH210" s="301">
        <v>230</v>
      </c>
      <c r="BI210" s="301">
        <f t="shared" si="202"/>
        <v>3977</v>
      </c>
      <c r="BJ210" s="302">
        <f t="shared" si="203"/>
        <v>331.38905091242395</v>
      </c>
      <c r="BL210" s="317">
        <f>ROW()</f>
        <v>210</v>
      </c>
      <c r="BM210" s="1432">
        <f t="shared" si="204"/>
        <v>-15</v>
      </c>
      <c r="BN210" s="317">
        <f t="shared" si="211"/>
        <v>49.222384245757269</v>
      </c>
      <c r="BO210" s="317">
        <f t="shared" si="207"/>
        <v>591</v>
      </c>
      <c r="BP210" s="594">
        <f t="shared" si="208"/>
        <v>-25</v>
      </c>
    </row>
    <row r="211" spans="1:68" ht="17.399999999999999" customHeight="1" x14ac:dyDescent="0.55000000000000004">
      <c r="A211" s="7222"/>
      <c r="B211" s="7208"/>
      <c r="C211" s="203" t="s">
        <v>229</v>
      </c>
      <c r="D211" s="303">
        <f t="shared" ref="D211:O211" si="219">D244+D292</f>
        <v>240</v>
      </c>
      <c r="E211" s="304">
        <f t="shared" si="219"/>
        <v>164</v>
      </c>
      <c r="F211" s="304">
        <f t="shared" si="219"/>
        <v>206</v>
      </c>
      <c r="G211" s="304">
        <f t="shared" si="219"/>
        <v>224</v>
      </c>
      <c r="H211" s="304">
        <f t="shared" si="219"/>
        <v>191</v>
      </c>
      <c r="I211" s="304">
        <f t="shared" si="219"/>
        <v>190</v>
      </c>
      <c r="J211" s="304">
        <f t="shared" si="219"/>
        <v>178</v>
      </c>
      <c r="K211" s="304">
        <f t="shared" si="219"/>
        <v>173</v>
      </c>
      <c r="L211" s="304">
        <f t="shared" si="219"/>
        <v>205</v>
      </c>
      <c r="M211" s="304">
        <f t="shared" si="219"/>
        <v>184</v>
      </c>
      <c r="N211" s="304">
        <f t="shared" si="219"/>
        <v>166</v>
      </c>
      <c r="O211" s="304">
        <f t="shared" si="219"/>
        <v>130</v>
      </c>
      <c r="P211" s="304">
        <f t="shared" si="185"/>
        <v>2251</v>
      </c>
      <c r="Q211" s="305">
        <f t="shared" si="200"/>
        <v>187.58333333333334</v>
      </c>
      <c r="R211" s="374"/>
      <c r="S211" s="303">
        <v>231</v>
      </c>
      <c r="T211" s="304">
        <v>238</v>
      </c>
      <c r="U211" s="304">
        <v>294</v>
      </c>
      <c r="V211" s="304">
        <v>283</v>
      </c>
      <c r="W211" s="304">
        <v>254</v>
      </c>
      <c r="X211" s="304">
        <v>203</v>
      </c>
      <c r="Y211" s="304">
        <v>183</v>
      </c>
      <c r="Z211" s="304">
        <v>258</v>
      </c>
      <c r="AA211" s="304">
        <v>160</v>
      </c>
      <c r="AB211" s="304">
        <v>222</v>
      </c>
      <c r="AC211" s="304">
        <v>186</v>
      </c>
      <c r="AD211" s="304">
        <v>171</v>
      </c>
      <c r="AE211" s="304">
        <f t="shared" si="183"/>
        <v>2683</v>
      </c>
      <c r="AF211" s="305">
        <f t="shared" si="184"/>
        <v>223.58333333333334</v>
      </c>
      <c r="AG211" s="374"/>
      <c r="AH211" s="303">
        <v>296</v>
      </c>
      <c r="AI211" s="304">
        <v>211</v>
      </c>
      <c r="AJ211" s="304">
        <v>236</v>
      </c>
      <c r="AK211" s="304">
        <v>280</v>
      </c>
      <c r="AL211" s="304">
        <v>258</v>
      </c>
      <c r="AM211" s="304">
        <v>232</v>
      </c>
      <c r="AN211" s="304">
        <v>303</v>
      </c>
      <c r="AO211" s="304">
        <v>212</v>
      </c>
      <c r="AP211" s="304">
        <v>199</v>
      </c>
      <c r="AQ211" s="304">
        <v>207</v>
      </c>
      <c r="AR211" s="304">
        <v>407</v>
      </c>
      <c r="AS211" s="304">
        <v>210</v>
      </c>
      <c r="AT211" s="304">
        <f t="shared" si="186"/>
        <v>3051</v>
      </c>
      <c r="AU211" s="305">
        <f t="shared" si="214"/>
        <v>254.25</v>
      </c>
      <c r="AV211" s="374"/>
      <c r="AW211" s="2022">
        <v>234</v>
      </c>
      <c r="AX211" s="304">
        <v>403</v>
      </c>
      <c r="AY211" s="304">
        <v>284</v>
      </c>
      <c r="AZ211" s="304">
        <v>328</v>
      </c>
      <c r="BA211" s="304">
        <v>636</v>
      </c>
      <c r="BB211" s="304">
        <v>271</v>
      </c>
      <c r="BC211" s="304">
        <v>422</v>
      </c>
      <c r="BD211" s="304">
        <v>273</v>
      </c>
      <c r="BE211" s="304">
        <v>320</v>
      </c>
      <c r="BF211" s="304">
        <v>189</v>
      </c>
      <c r="BG211" s="304">
        <v>170</v>
      </c>
      <c r="BH211" s="304">
        <v>201</v>
      </c>
      <c r="BI211" s="304">
        <f t="shared" si="202"/>
        <v>3731</v>
      </c>
      <c r="BJ211" s="305">
        <f t="shared" si="203"/>
        <v>310.89075910340807</v>
      </c>
      <c r="BL211" s="317">
        <f>ROW()</f>
        <v>211</v>
      </c>
      <c r="BM211" s="1432">
        <f t="shared" si="204"/>
        <v>-9</v>
      </c>
      <c r="BN211" s="317">
        <f t="shared" si="211"/>
        <v>56.640759103408072</v>
      </c>
      <c r="BO211" s="317">
        <f t="shared" si="207"/>
        <v>680</v>
      </c>
      <c r="BP211" s="594">
        <f t="shared" si="208"/>
        <v>31</v>
      </c>
    </row>
    <row r="212" spans="1:68" ht="17.399999999999999" customHeight="1" x14ac:dyDescent="0.55000000000000004">
      <c r="A212" s="7222"/>
      <c r="B212" s="7208"/>
      <c r="C212" s="203" t="s">
        <v>230</v>
      </c>
      <c r="D212" s="303">
        <f t="shared" ref="D212:O212" si="220">D245+D293</f>
        <v>424</v>
      </c>
      <c r="E212" s="304">
        <f t="shared" si="220"/>
        <v>269</v>
      </c>
      <c r="F212" s="304">
        <f t="shared" si="220"/>
        <v>245</v>
      </c>
      <c r="G212" s="304">
        <f t="shared" si="220"/>
        <v>252</v>
      </c>
      <c r="H212" s="304">
        <f t="shared" si="220"/>
        <v>254</v>
      </c>
      <c r="I212" s="304">
        <f t="shared" si="220"/>
        <v>267</v>
      </c>
      <c r="J212" s="304">
        <f t="shared" si="220"/>
        <v>260</v>
      </c>
      <c r="K212" s="304">
        <f t="shared" si="220"/>
        <v>273</v>
      </c>
      <c r="L212" s="304">
        <f t="shared" si="220"/>
        <v>249</v>
      </c>
      <c r="M212" s="304">
        <f t="shared" si="220"/>
        <v>218</v>
      </c>
      <c r="N212" s="304">
        <f t="shared" si="220"/>
        <v>239</v>
      </c>
      <c r="O212" s="304">
        <f t="shared" si="220"/>
        <v>284</v>
      </c>
      <c r="P212" s="304">
        <f t="shared" si="185"/>
        <v>3234</v>
      </c>
      <c r="Q212" s="305">
        <f t="shared" si="200"/>
        <v>269.5</v>
      </c>
      <c r="R212" s="374"/>
      <c r="S212" s="303">
        <v>284</v>
      </c>
      <c r="T212" s="304">
        <v>369</v>
      </c>
      <c r="U212" s="304">
        <v>286</v>
      </c>
      <c r="V212" s="304">
        <v>307</v>
      </c>
      <c r="W212" s="304">
        <v>281</v>
      </c>
      <c r="X212" s="304">
        <v>309</v>
      </c>
      <c r="Y212" s="304">
        <v>245</v>
      </c>
      <c r="Z212" s="304">
        <v>359</v>
      </c>
      <c r="AA212" s="304">
        <v>204</v>
      </c>
      <c r="AB212" s="304">
        <v>289</v>
      </c>
      <c r="AC212" s="304">
        <v>214</v>
      </c>
      <c r="AD212" s="304">
        <v>195</v>
      </c>
      <c r="AE212" s="304">
        <f t="shared" si="183"/>
        <v>3342</v>
      </c>
      <c r="AF212" s="305">
        <f t="shared" si="184"/>
        <v>278.5</v>
      </c>
      <c r="AG212" s="374"/>
      <c r="AH212" s="303">
        <v>348</v>
      </c>
      <c r="AI212" s="304">
        <v>256</v>
      </c>
      <c r="AJ212" s="304">
        <v>307</v>
      </c>
      <c r="AK212" s="304">
        <v>325</v>
      </c>
      <c r="AL212" s="304">
        <v>353</v>
      </c>
      <c r="AM212" s="304">
        <v>293</v>
      </c>
      <c r="AN212" s="304">
        <v>390</v>
      </c>
      <c r="AO212" s="304">
        <v>293</v>
      </c>
      <c r="AP212" s="304">
        <v>299</v>
      </c>
      <c r="AQ212" s="304">
        <v>294</v>
      </c>
      <c r="AR212" s="304">
        <v>549</v>
      </c>
      <c r="AS212" s="304">
        <v>303</v>
      </c>
      <c r="AT212" s="304">
        <f t="shared" si="186"/>
        <v>4010</v>
      </c>
      <c r="AU212" s="305">
        <f t="shared" si="214"/>
        <v>334.16666666666669</v>
      </c>
      <c r="AV212" s="374"/>
      <c r="AW212" s="2022">
        <v>265</v>
      </c>
      <c r="AX212" s="304">
        <v>518</v>
      </c>
      <c r="AY212" s="304">
        <v>397</v>
      </c>
      <c r="AZ212" s="304">
        <v>399</v>
      </c>
      <c r="BA212" s="304">
        <v>797</v>
      </c>
      <c r="BB212" s="304">
        <v>390</v>
      </c>
      <c r="BC212" s="304">
        <v>522</v>
      </c>
      <c r="BD212" s="304">
        <v>392</v>
      </c>
      <c r="BE212" s="304">
        <v>455</v>
      </c>
      <c r="BF212" s="304">
        <v>301</v>
      </c>
      <c r="BG212" s="304">
        <v>300</v>
      </c>
      <c r="BH212" s="304">
        <v>305</v>
      </c>
      <c r="BI212" s="304">
        <f t="shared" si="202"/>
        <v>5041</v>
      </c>
      <c r="BJ212" s="305">
        <f t="shared" si="203"/>
        <v>420.04832930589117</v>
      </c>
      <c r="BL212" s="317">
        <f>ROW()</f>
        <v>212</v>
      </c>
      <c r="BM212" s="1432">
        <f t="shared" si="204"/>
        <v>2</v>
      </c>
      <c r="BN212" s="317">
        <f t="shared" si="211"/>
        <v>85.881662639224487</v>
      </c>
      <c r="BO212" s="317">
        <f t="shared" si="207"/>
        <v>1031</v>
      </c>
      <c r="BP212" s="594">
        <f t="shared" si="208"/>
        <v>5</v>
      </c>
    </row>
    <row r="213" spans="1:68" ht="17.399999999999999" customHeight="1" x14ac:dyDescent="0.55000000000000004">
      <c r="A213" s="7222"/>
      <c r="B213" s="7208"/>
      <c r="C213" s="202" t="s">
        <v>231</v>
      </c>
      <c r="D213" s="300">
        <f t="shared" ref="D213:O213" si="221">D246+D294</f>
        <v>487</v>
      </c>
      <c r="E213" s="301">
        <f t="shared" si="221"/>
        <v>361</v>
      </c>
      <c r="F213" s="301">
        <f t="shared" si="221"/>
        <v>402</v>
      </c>
      <c r="G213" s="301">
        <f t="shared" si="221"/>
        <v>366</v>
      </c>
      <c r="H213" s="301">
        <f t="shared" si="221"/>
        <v>385</v>
      </c>
      <c r="I213" s="301">
        <f t="shared" si="221"/>
        <v>369</v>
      </c>
      <c r="J213" s="301">
        <f t="shared" si="221"/>
        <v>379</v>
      </c>
      <c r="K213" s="301">
        <f t="shared" si="221"/>
        <v>400</v>
      </c>
      <c r="L213" s="301">
        <f t="shared" si="221"/>
        <v>382</v>
      </c>
      <c r="M213" s="301">
        <f t="shared" si="221"/>
        <v>359</v>
      </c>
      <c r="N213" s="301">
        <f t="shared" si="221"/>
        <v>446</v>
      </c>
      <c r="O213" s="301">
        <f t="shared" si="221"/>
        <v>369</v>
      </c>
      <c r="P213" s="301">
        <f t="shared" si="185"/>
        <v>4705</v>
      </c>
      <c r="Q213" s="302">
        <f t="shared" si="200"/>
        <v>392.08333333333331</v>
      </c>
      <c r="R213" s="374"/>
      <c r="S213" s="300">
        <v>413</v>
      </c>
      <c r="T213" s="301">
        <v>400</v>
      </c>
      <c r="U213" s="301">
        <v>396</v>
      </c>
      <c r="V213" s="301">
        <v>438</v>
      </c>
      <c r="W213" s="301">
        <v>359</v>
      </c>
      <c r="X213" s="301">
        <v>362</v>
      </c>
      <c r="Y213" s="301">
        <v>317</v>
      </c>
      <c r="Z213" s="301">
        <v>419</v>
      </c>
      <c r="AA213" s="301">
        <v>278</v>
      </c>
      <c r="AB213" s="301">
        <v>307</v>
      </c>
      <c r="AC213" s="301">
        <v>396</v>
      </c>
      <c r="AD213" s="301">
        <v>294</v>
      </c>
      <c r="AE213" s="301">
        <f t="shared" si="183"/>
        <v>4379</v>
      </c>
      <c r="AF213" s="302">
        <f t="shared" si="184"/>
        <v>364.91666666666669</v>
      </c>
      <c r="AG213" s="374"/>
      <c r="AH213" s="300">
        <v>461</v>
      </c>
      <c r="AI213" s="301">
        <v>421</v>
      </c>
      <c r="AJ213" s="301">
        <v>405</v>
      </c>
      <c r="AK213" s="301">
        <v>433</v>
      </c>
      <c r="AL213" s="301">
        <v>521</v>
      </c>
      <c r="AM213" s="301">
        <v>402</v>
      </c>
      <c r="AN213" s="301">
        <v>523</v>
      </c>
      <c r="AO213" s="301">
        <v>460</v>
      </c>
      <c r="AP213" s="301">
        <v>482</v>
      </c>
      <c r="AQ213" s="301">
        <v>472</v>
      </c>
      <c r="AR213" s="301">
        <v>745</v>
      </c>
      <c r="AS213" s="301">
        <v>430</v>
      </c>
      <c r="AT213" s="301">
        <f t="shared" si="186"/>
        <v>5755</v>
      </c>
      <c r="AU213" s="302">
        <f t="shared" si="214"/>
        <v>479.58333333333331</v>
      </c>
      <c r="AV213" s="374"/>
      <c r="AW213" s="2021">
        <v>376</v>
      </c>
      <c r="AX213" s="301">
        <v>663</v>
      </c>
      <c r="AY213" s="301">
        <v>472</v>
      </c>
      <c r="AZ213" s="301">
        <v>591</v>
      </c>
      <c r="BA213" s="301">
        <v>1083</v>
      </c>
      <c r="BB213" s="301">
        <v>585</v>
      </c>
      <c r="BC213" s="301">
        <v>802</v>
      </c>
      <c r="BD213" s="301">
        <v>524</v>
      </c>
      <c r="BE213" s="301">
        <v>562</v>
      </c>
      <c r="BF213" s="301">
        <v>373</v>
      </c>
      <c r="BG213" s="301">
        <v>419</v>
      </c>
      <c r="BH213" s="301">
        <v>403</v>
      </c>
      <c r="BI213" s="301">
        <f t="shared" si="202"/>
        <v>6853</v>
      </c>
      <c r="BJ213" s="302">
        <f t="shared" si="203"/>
        <v>571.03574702108165</v>
      </c>
      <c r="BL213" s="317">
        <f>ROW()</f>
        <v>213</v>
      </c>
      <c r="BM213" s="1432">
        <f t="shared" si="204"/>
        <v>-27</v>
      </c>
      <c r="BN213" s="317">
        <f t="shared" si="211"/>
        <v>91.452413687748333</v>
      </c>
      <c r="BO213" s="317">
        <f t="shared" si="207"/>
        <v>1098</v>
      </c>
      <c r="BP213" s="594">
        <f t="shared" si="208"/>
        <v>-16</v>
      </c>
    </row>
    <row r="214" spans="1:68" ht="17.399999999999999" customHeight="1" x14ac:dyDescent="0.55000000000000004">
      <c r="A214" s="7222"/>
      <c r="B214" s="7208"/>
      <c r="C214" s="202" t="s">
        <v>232</v>
      </c>
      <c r="D214" s="300">
        <f t="shared" ref="D214:O214" si="222">D247+D295</f>
        <v>318</v>
      </c>
      <c r="E214" s="301">
        <f t="shared" si="222"/>
        <v>220</v>
      </c>
      <c r="F214" s="301">
        <f t="shared" si="222"/>
        <v>246</v>
      </c>
      <c r="G214" s="301">
        <f t="shared" si="222"/>
        <v>270</v>
      </c>
      <c r="H214" s="301">
        <f t="shared" si="222"/>
        <v>223</v>
      </c>
      <c r="I214" s="301">
        <f t="shared" si="222"/>
        <v>215</v>
      </c>
      <c r="J214" s="301">
        <f t="shared" si="222"/>
        <v>172</v>
      </c>
      <c r="K214" s="301">
        <f t="shared" si="222"/>
        <v>286</v>
      </c>
      <c r="L214" s="301">
        <f t="shared" si="222"/>
        <v>225</v>
      </c>
      <c r="M214" s="301">
        <f t="shared" si="222"/>
        <v>249</v>
      </c>
      <c r="N214" s="301">
        <f t="shared" si="222"/>
        <v>262</v>
      </c>
      <c r="O214" s="301">
        <f t="shared" si="222"/>
        <v>241</v>
      </c>
      <c r="P214" s="301">
        <f t="shared" si="185"/>
        <v>2927</v>
      </c>
      <c r="Q214" s="302">
        <f t="shared" si="200"/>
        <v>243.91666666666666</v>
      </c>
      <c r="R214" s="374"/>
      <c r="S214" s="300">
        <v>298</v>
      </c>
      <c r="T214" s="301">
        <v>327</v>
      </c>
      <c r="U214" s="301">
        <v>321</v>
      </c>
      <c r="V214" s="301">
        <v>308</v>
      </c>
      <c r="W214" s="301">
        <v>304</v>
      </c>
      <c r="X214" s="301">
        <v>277</v>
      </c>
      <c r="Y214" s="301">
        <v>215</v>
      </c>
      <c r="Z214" s="301">
        <v>427</v>
      </c>
      <c r="AA214" s="301">
        <v>257</v>
      </c>
      <c r="AB214" s="301">
        <v>318</v>
      </c>
      <c r="AC214" s="301">
        <v>288</v>
      </c>
      <c r="AD214" s="301">
        <v>174</v>
      </c>
      <c r="AE214" s="301">
        <f t="shared" si="183"/>
        <v>3514</v>
      </c>
      <c r="AF214" s="302">
        <f t="shared" si="184"/>
        <v>292.83333333333331</v>
      </c>
      <c r="AG214" s="374"/>
      <c r="AH214" s="300">
        <v>404</v>
      </c>
      <c r="AI214" s="301">
        <v>299</v>
      </c>
      <c r="AJ214" s="301">
        <v>340</v>
      </c>
      <c r="AK214" s="301">
        <v>346</v>
      </c>
      <c r="AL214" s="301">
        <v>350</v>
      </c>
      <c r="AM214" s="301">
        <v>237</v>
      </c>
      <c r="AN214" s="301">
        <v>379</v>
      </c>
      <c r="AO214" s="301">
        <v>268</v>
      </c>
      <c r="AP214" s="301">
        <v>340</v>
      </c>
      <c r="AQ214" s="301">
        <v>343</v>
      </c>
      <c r="AR214" s="301">
        <v>478</v>
      </c>
      <c r="AS214" s="301">
        <v>296</v>
      </c>
      <c r="AT214" s="301">
        <f t="shared" si="186"/>
        <v>4080</v>
      </c>
      <c r="AU214" s="302">
        <f t="shared" si="214"/>
        <v>340</v>
      </c>
      <c r="AV214" s="374"/>
      <c r="AW214" s="2021">
        <v>219</v>
      </c>
      <c r="AX214" s="301">
        <v>496</v>
      </c>
      <c r="AY214" s="301">
        <v>366</v>
      </c>
      <c r="AZ214" s="301">
        <v>433</v>
      </c>
      <c r="BA214" s="301">
        <v>682</v>
      </c>
      <c r="BB214" s="301">
        <v>414</v>
      </c>
      <c r="BC214" s="301">
        <v>560</v>
      </c>
      <c r="BD214" s="301">
        <v>394</v>
      </c>
      <c r="BE214" s="301">
        <v>419</v>
      </c>
      <c r="BF214" s="301">
        <v>275</v>
      </c>
      <c r="BG214" s="301">
        <v>296</v>
      </c>
      <c r="BH214" s="301">
        <v>289</v>
      </c>
      <c r="BI214" s="301">
        <f t="shared" si="202"/>
        <v>4843</v>
      </c>
      <c r="BJ214" s="302">
        <f t="shared" si="203"/>
        <v>403.5497041913174</v>
      </c>
      <c r="BL214" s="317">
        <f>ROW()</f>
        <v>214</v>
      </c>
      <c r="BM214" s="1432">
        <f t="shared" si="204"/>
        <v>-7</v>
      </c>
      <c r="BN214" s="317">
        <f t="shared" si="211"/>
        <v>63.549704191317403</v>
      </c>
      <c r="BO214" s="317">
        <f t="shared" si="207"/>
        <v>763</v>
      </c>
      <c r="BP214" s="594">
        <f t="shared" si="208"/>
        <v>-7</v>
      </c>
    </row>
    <row r="215" spans="1:68" ht="17.399999999999999" customHeight="1" x14ac:dyDescent="0.55000000000000004">
      <c r="A215" s="7222"/>
      <c r="B215" s="7208"/>
      <c r="C215" s="203" t="s">
        <v>233</v>
      </c>
      <c r="D215" s="303">
        <f t="shared" ref="D215:O215" si="223">D248+D296</f>
        <v>639</v>
      </c>
      <c r="E215" s="304">
        <f t="shared" si="223"/>
        <v>493</v>
      </c>
      <c r="F215" s="304">
        <f t="shared" si="223"/>
        <v>464</v>
      </c>
      <c r="G215" s="304">
        <f t="shared" si="223"/>
        <v>467</v>
      </c>
      <c r="H215" s="304">
        <f t="shared" si="223"/>
        <v>549</v>
      </c>
      <c r="I215" s="304">
        <f t="shared" si="223"/>
        <v>503</v>
      </c>
      <c r="J215" s="304">
        <f t="shared" si="223"/>
        <v>434</v>
      </c>
      <c r="K215" s="304">
        <f t="shared" si="223"/>
        <v>534</v>
      </c>
      <c r="L215" s="304">
        <f t="shared" si="223"/>
        <v>378</v>
      </c>
      <c r="M215" s="304">
        <f t="shared" si="223"/>
        <v>415</v>
      </c>
      <c r="N215" s="304">
        <f t="shared" si="223"/>
        <v>496</v>
      </c>
      <c r="O215" s="304">
        <f t="shared" si="223"/>
        <v>434</v>
      </c>
      <c r="P215" s="304">
        <f t="shared" si="185"/>
        <v>5806</v>
      </c>
      <c r="Q215" s="305">
        <f t="shared" si="200"/>
        <v>483.83333333333331</v>
      </c>
      <c r="R215" s="374"/>
      <c r="S215" s="303">
        <v>457</v>
      </c>
      <c r="T215" s="304">
        <v>611</v>
      </c>
      <c r="U215" s="304">
        <v>556</v>
      </c>
      <c r="V215" s="304">
        <v>535</v>
      </c>
      <c r="W215" s="304">
        <v>464</v>
      </c>
      <c r="X215" s="304">
        <v>526</v>
      </c>
      <c r="Y215" s="304">
        <v>376</v>
      </c>
      <c r="Z215" s="304">
        <v>569</v>
      </c>
      <c r="AA215" s="304">
        <v>341</v>
      </c>
      <c r="AB215" s="304">
        <v>433</v>
      </c>
      <c r="AC215" s="304">
        <v>436</v>
      </c>
      <c r="AD215" s="304">
        <v>341</v>
      </c>
      <c r="AE215" s="304">
        <f t="shared" si="183"/>
        <v>5645</v>
      </c>
      <c r="AF215" s="305">
        <f t="shared" si="184"/>
        <v>470.41666666666669</v>
      </c>
      <c r="AG215" s="374"/>
      <c r="AH215" s="303">
        <v>562</v>
      </c>
      <c r="AI215" s="304">
        <v>469</v>
      </c>
      <c r="AJ215" s="304">
        <v>540</v>
      </c>
      <c r="AK215" s="304">
        <v>598</v>
      </c>
      <c r="AL215" s="304">
        <v>590</v>
      </c>
      <c r="AM215" s="304">
        <v>515</v>
      </c>
      <c r="AN215" s="304">
        <v>604</v>
      </c>
      <c r="AO215" s="304">
        <v>507</v>
      </c>
      <c r="AP215" s="304">
        <v>446</v>
      </c>
      <c r="AQ215" s="304">
        <v>606</v>
      </c>
      <c r="AR215" s="304">
        <v>909</v>
      </c>
      <c r="AS215" s="304">
        <v>470</v>
      </c>
      <c r="AT215" s="304">
        <f t="shared" si="186"/>
        <v>6816</v>
      </c>
      <c r="AU215" s="305">
        <f t="shared" si="214"/>
        <v>568</v>
      </c>
      <c r="AV215" s="374"/>
      <c r="AW215" s="2022">
        <v>300</v>
      </c>
      <c r="AX215" s="304">
        <v>687</v>
      </c>
      <c r="AY215" s="304">
        <v>555</v>
      </c>
      <c r="AZ215" s="304">
        <v>781</v>
      </c>
      <c r="BA215" s="304">
        <v>1033</v>
      </c>
      <c r="BB215" s="304">
        <v>676</v>
      </c>
      <c r="BC215" s="304">
        <v>950</v>
      </c>
      <c r="BD215" s="304">
        <v>631</v>
      </c>
      <c r="BE215" s="304">
        <v>560</v>
      </c>
      <c r="BF215" s="304">
        <v>469</v>
      </c>
      <c r="BG215" s="304">
        <v>403</v>
      </c>
      <c r="BH215" s="304">
        <v>330</v>
      </c>
      <c r="BI215" s="304">
        <f t="shared" si="202"/>
        <v>7375</v>
      </c>
      <c r="BJ215" s="305">
        <f t="shared" si="203"/>
        <v>614.53212232313979</v>
      </c>
      <c r="BL215" s="317">
        <f>ROW()</f>
        <v>215</v>
      </c>
      <c r="BM215" s="1432">
        <f t="shared" si="204"/>
        <v>-140</v>
      </c>
      <c r="BN215" s="317">
        <f t="shared" si="211"/>
        <v>46.532122323139788</v>
      </c>
      <c r="BO215" s="317">
        <f t="shared" si="207"/>
        <v>559</v>
      </c>
      <c r="BP215" s="594">
        <f t="shared" si="208"/>
        <v>-73</v>
      </c>
    </row>
    <row r="216" spans="1:68" ht="17.399999999999999" customHeight="1" x14ac:dyDescent="0.55000000000000004">
      <c r="A216" s="7222"/>
      <c r="B216" s="7208"/>
      <c r="C216" s="203" t="s">
        <v>234</v>
      </c>
      <c r="D216" s="303">
        <f t="shared" ref="D216:O216" si="224">D249+D297</f>
        <v>355</v>
      </c>
      <c r="E216" s="304">
        <f t="shared" si="224"/>
        <v>319</v>
      </c>
      <c r="F216" s="304">
        <f t="shared" si="224"/>
        <v>311</v>
      </c>
      <c r="G216" s="304">
        <f t="shared" si="224"/>
        <v>280</v>
      </c>
      <c r="H216" s="304">
        <f t="shared" si="224"/>
        <v>255</v>
      </c>
      <c r="I216" s="304">
        <f t="shared" si="224"/>
        <v>362</v>
      </c>
      <c r="J216" s="304">
        <f t="shared" si="224"/>
        <v>269</v>
      </c>
      <c r="K216" s="304">
        <f t="shared" si="224"/>
        <v>378</v>
      </c>
      <c r="L216" s="304">
        <f t="shared" si="224"/>
        <v>251</v>
      </c>
      <c r="M216" s="304">
        <f t="shared" si="224"/>
        <v>276</v>
      </c>
      <c r="N216" s="304">
        <f t="shared" si="224"/>
        <v>292</v>
      </c>
      <c r="O216" s="304">
        <f t="shared" si="224"/>
        <v>299</v>
      </c>
      <c r="P216" s="304">
        <f t="shared" si="185"/>
        <v>3647</v>
      </c>
      <c r="Q216" s="305">
        <f t="shared" si="200"/>
        <v>303.91666666666669</v>
      </c>
      <c r="R216" s="374"/>
      <c r="S216" s="303">
        <v>331</v>
      </c>
      <c r="T216" s="304">
        <v>438</v>
      </c>
      <c r="U216" s="304">
        <v>320</v>
      </c>
      <c r="V216" s="304">
        <v>349</v>
      </c>
      <c r="W216" s="304">
        <v>330</v>
      </c>
      <c r="X216" s="304">
        <v>325</v>
      </c>
      <c r="Y216" s="304">
        <v>264</v>
      </c>
      <c r="Z216" s="304">
        <v>419</v>
      </c>
      <c r="AA216" s="304">
        <v>255</v>
      </c>
      <c r="AB216" s="304">
        <v>280</v>
      </c>
      <c r="AC216" s="304">
        <v>255</v>
      </c>
      <c r="AD216" s="304">
        <v>261</v>
      </c>
      <c r="AE216" s="304">
        <f t="shared" si="183"/>
        <v>3827</v>
      </c>
      <c r="AF216" s="305">
        <f t="shared" si="184"/>
        <v>318.91666666666669</v>
      </c>
      <c r="AG216" s="374"/>
      <c r="AH216" s="303">
        <v>454</v>
      </c>
      <c r="AI216" s="304">
        <v>330</v>
      </c>
      <c r="AJ216" s="304">
        <v>425</v>
      </c>
      <c r="AK216" s="304">
        <v>407</v>
      </c>
      <c r="AL216" s="304">
        <v>399</v>
      </c>
      <c r="AM216" s="304">
        <v>362</v>
      </c>
      <c r="AN216" s="304">
        <v>510</v>
      </c>
      <c r="AO216" s="304">
        <v>299</v>
      </c>
      <c r="AP216" s="304">
        <v>391</v>
      </c>
      <c r="AQ216" s="304">
        <v>347</v>
      </c>
      <c r="AR216" s="304">
        <v>616</v>
      </c>
      <c r="AS216" s="304">
        <v>285</v>
      </c>
      <c r="AT216" s="304">
        <f t="shared" si="186"/>
        <v>4825</v>
      </c>
      <c r="AU216" s="305">
        <f t="shared" si="214"/>
        <v>402.08333333333331</v>
      </c>
      <c r="AV216" s="374"/>
      <c r="AW216" s="2022">
        <v>287</v>
      </c>
      <c r="AX216" s="304">
        <v>531</v>
      </c>
      <c r="AY216" s="304">
        <v>386</v>
      </c>
      <c r="AZ216" s="304">
        <v>511</v>
      </c>
      <c r="BA216" s="304">
        <v>785</v>
      </c>
      <c r="BB216" s="304">
        <v>433</v>
      </c>
      <c r="BC216" s="304">
        <v>621</v>
      </c>
      <c r="BD216" s="304">
        <v>401</v>
      </c>
      <c r="BE216" s="304">
        <v>455</v>
      </c>
      <c r="BF216" s="304">
        <v>294</v>
      </c>
      <c r="BG216" s="304">
        <v>294</v>
      </c>
      <c r="BH216" s="304">
        <v>281</v>
      </c>
      <c r="BI216" s="304">
        <f t="shared" si="202"/>
        <v>5279</v>
      </c>
      <c r="BJ216" s="305">
        <f t="shared" si="203"/>
        <v>439.88000999916676</v>
      </c>
      <c r="BL216" s="317">
        <f>ROW()</f>
        <v>216</v>
      </c>
      <c r="BM216" s="1432">
        <f t="shared" si="204"/>
        <v>-4</v>
      </c>
      <c r="BN216" s="317">
        <f t="shared" si="211"/>
        <v>37.796676665833445</v>
      </c>
      <c r="BO216" s="317">
        <f t="shared" si="207"/>
        <v>454</v>
      </c>
      <c r="BP216" s="594">
        <f t="shared" si="208"/>
        <v>-13</v>
      </c>
    </row>
    <row r="217" spans="1:68" ht="17.399999999999999" customHeight="1" x14ac:dyDescent="0.55000000000000004">
      <c r="A217" s="7222"/>
      <c r="B217" s="7208"/>
      <c r="C217" s="202" t="s">
        <v>235</v>
      </c>
      <c r="D217" s="300">
        <f t="shared" ref="D217:O217" si="225">D250+D298</f>
        <v>414</v>
      </c>
      <c r="E217" s="301">
        <f t="shared" si="225"/>
        <v>288</v>
      </c>
      <c r="F217" s="301">
        <f t="shared" si="225"/>
        <v>301</v>
      </c>
      <c r="G217" s="301">
        <f t="shared" si="225"/>
        <v>262</v>
      </c>
      <c r="H217" s="301">
        <f t="shared" si="225"/>
        <v>337</v>
      </c>
      <c r="I217" s="301">
        <f t="shared" si="225"/>
        <v>296</v>
      </c>
      <c r="J217" s="301">
        <f t="shared" si="225"/>
        <v>312</v>
      </c>
      <c r="K217" s="301">
        <f t="shared" si="225"/>
        <v>391</v>
      </c>
      <c r="L217" s="301">
        <f t="shared" si="225"/>
        <v>248</v>
      </c>
      <c r="M217" s="301">
        <f t="shared" si="225"/>
        <v>302</v>
      </c>
      <c r="N217" s="301">
        <f t="shared" si="225"/>
        <v>371</v>
      </c>
      <c r="O217" s="301">
        <f t="shared" si="225"/>
        <v>253</v>
      </c>
      <c r="P217" s="301">
        <f t="shared" si="185"/>
        <v>3775</v>
      </c>
      <c r="Q217" s="302">
        <f t="shared" si="200"/>
        <v>314.58333333333331</v>
      </c>
      <c r="R217" s="374"/>
      <c r="S217" s="300">
        <v>356</v>
      </c>
      <c r="T217" s="301">
        <v>425</v>
      </c>
      <c r="U217" s="301">
        <v>294</v>
      </c>
      <c r="V217" s="301">
        <v>339</v>
      </c>
      <c r="W217" s="301">
        <v>281</v>
      </c>
      <c r="X217" s="301">
        <v>272</v>
      </c>
      <c r="Y217" s="301">
        <v>225</v>
      </c>
      <c r="Z217" s="301">
        <v>393</v>
      </c>
      <c r="AA217" s="301">
        <v>206</v>
      </c>
      <c r="AB217" s="301">
        <v>244</v>
      </c>
      <c r="AC217" s="301">
        <v>201</v>
      </c>
      <c r="AD217" s="301">
        <v>168</v>
      </c>
      <c r="AE217" s="301">
        <f t="shared" si="183"/>
        <v>3404</v>
      </c>
      <c r="AF217" s="302">
        <f t="shared" si="184"/>
        <v>283.66666666666669</v>
      </c>
      <c r="AG217" s="374"/>
      <c r="AH217" s="300">
        <v>391</v>
      </c>
      <c r="AI217" s="301">
        <v>218</v>
      </c>
      <c r="AJ217" s="301">
        <v>369</v>
      </c>
      <c r="AK217" s="301">
        <v>368</v>
      </c>
      <c r="AL217" s="301">
        <v>331</v>
      </c>
      <c r="AM217" s="301">
        <v>329</v>
      </c>
      <c r="AN217" s="301">
        <v>351</v>
      </c>
      <c r="AO217" s="301">
        <v>292</v>
      </c>
      <c r="AP217" s="301">
        <v>284</v>
      </c>
      <c r="AQ217" s="301">
        <v>264</v>
      </c>
      <c r="AR217" s="301">
        <v>506</v>
      </c>
      <c r="AS217" s="301">
        <v>232</v>
      </c>
      <c r="AT217" s="301">
        <f t="shared" si="186"/>
        <v>3935</v>
      </c>
      <c r="AU217" s="302">
        <f t="shared" si="214"/>
        <v>327.91666666666669</v>
      </c>
      <c r="AV217" s="374"/>
      <c r="AW217" s="2021">
        <v>226</v>
      </c>
      <c r="AX217" s="301">
        <v>513</v>
      </c>
      <c r="AY217" s="301">
        <v>378</v>
      </c>
      <c r="AZ217" s="301">
        <v>392</v>
      </c>
      <c r="BA217" s="301">
        <v>646</v>
      </c>
      <c r="BB217" s="301">
        <v>308</v>
      </c>
      <c r="BC217" s="301">
        <v>527</v>
      </c>
      <c r="BD217" s="301">
        <v>342</v>
      </c>
      <c r="BE217" s="301">
        <v>350</v>
      </c>
      <c r="BF217" s="301">
        <v>246</v>
      </c>
      <c r="BG217" s="301">
        <v>241</v>
      </c>
      <c r="BH217" s="301">
        <v>221</v>
      </c>
      <c r="BI217" s="301">
        <f t="shared" si="202"/>
        <v>4390</v>
      </c>
      <c r="BJ217" s="302">
        <f t="shared" si="203"/>
        <v>365.80284976251983</v>
      </c>
      <c r="BL217" s="317">
        <f>ROW()</f>
        <v>217</v>
      </c>
      <c r="BM217" s="1432">
        <f t="shared" si="204"/>
        <v>-11</v>
      </c>
      <c r="BN217" s="317">
        <f t="shared" si="211"/>
        <v>37.886183095853141</v>
      </c>
      <c r="BO217" s="317">
        <f t="shared" si="207"/>
        <v>455</v>
      </c>
      <c r="BP217" s="594">
        <f t="shared" si="208"/>
        <v>-20</v>
      </c>
    </row>
    <row r="218" spans="1:68" ht="18" customHeight="1" thickBot="1" x14ac:dyDescent="0.6">
      <c r="A218" s="7222"/>
      <c r="B218" s="7209"/>
      <c r="C218" s="204" t="s">
        <v>236</v>
      </c>
      <c r="D218" s="306">
        <f t="shared" ref="D218:O218" si="226">D251+D299</f>
        <v>314</v>
      </c>
      <c r="E218" s="307">
        <f t="shared" si="226"/>
        <v>240</v>
      </c>
      <c r="F218" s="307">
        <f t="shared" si="226"/>
        <v>218</v>
      </c>
      <c r="G218" s="307">
        <f t="shared" si="226"/>
        <v>222</v>
      </c>
      <c r="H218" s="307">
        <f t="shared" si="226"/>
        <v>203</v>
      </c>
      <c r="I218" s="307">
        <f t="shared" si="226"/>
        <v>208</v>
      </c>
      <c r="J218" s="307">
        <f t="shared" si="226"/>
        <v>186</v>
      </c>
      <c r="K218" s="307">
        <f t="shared" si="226"/>
        <v>196</v>
      </c>
      <c r="L218" s="307">
        <f t="shared" si="226"/>
        <v>171</v>
      </c>
      <c r="M218" s="307">
        <f t="shared" si="226"/>
        <v>173</v>
      </c>
      <c r="N218" s="307">
        <f t="shared" si="226"/>
        <v>162</v>
      </c>
      <c r="O218" s="307">
        <f t="shared" si="226"/>
        <v>185</v>
      </c>
      <c r="P218" s="307">
        <f t="shared" si="185"/>
        <v>2478</v>
      </c>
      <c r="Q218" s="308">
        <f t="shared" si="200"/>
        <v>206.5</v>
      </c>
      <c r="R218" s="374"/>
      <c r="S218" s="306">
        <v>184</v>
      </c>
      <c r="T218" s="307">
        <v>156</v>
      </c>
      <c r="U218" s="307">
        <v>201</v>
      </c>
      <c r="V218" s="307">
        <v>222</v>
      </c>
      <c r="W218" s="307">
        <v>180</v>
      </c>
      <c r="X218" s="307">
        <v>200</v>
      </c>
      <c r="Y218" s="307">
        <v>205</v>
      </c>
      <c r="Z218" s="307">
        <v>222</v>
      </c>
      <c r="AA218" s="307">
        <v>205</v>
      </c>
      <c r="AB218" s="307">
        <v>227</v>
      </c>
      <c r="AC218" s="307">
        <v>211</v>
      </c>
      <c r="AD218" s="307">
        <v>201</v>
      </c>
      <c r="AE218" s="307">
        <f t="shared" si="183"/>
        <v>2414</v>
      </c>
      <c r="AF218" s="308">
        <f t="shared" si="184"/>
        <v>201.16666666666666</v>
      </c>
      <c r="AG218" s="374"/>
      <c r="AH218" s="306">
        <v>238</v>
      </c>
      <c r="AI218" s="307">
        <v>225</v>
      </c>
      <c r="AJ218" s="307">
        <v>295</v>
      </c>
      <c r="AK218" s="307">
        <v>276</v>
      </c>
      <c r="AL218" s="307">
        <v>295</v>
      </c>
      <c r="AM218" s="307">
        <v>257</v>
      </c>
      <c r="AN218" s="307">
        <v>300</v>
      </c>
      <c r="AO218" s="307">
        <v>232</v>
      </c>
      <c r="AP218" s="307">
        <v>306</v>
      </c>
      <c r="AQ218" s="307">
        <v>266</v>
      </c>
      <c r="AR218" s="307">
        <v>468</v>
      </c>
      <c r="AS218" s="307">
        <v>231</v>
      </c>
      <c r="AT218" s="307">
        <f t="shared" si="186"/>
        <v>3389</v>
      </c>
      <c r="AU218" s="308">
        <f t="shared" si="214"/>
        <v>282.41666666666669</v>
      </c>
      <c r="AV218" s="374"/>
      <c r="AW218" s="2023">
        <v>198</v>
      </c>
      <c r="AX218" s="307">
        <v>360</v>
      </c>
      <c r="AY218" s="307">
        <v>345</v>
      </c>
      <c r="AZ218" s="307">
        <v>298</v>
      </c>
      <c r="BA218" s="307">
        <v>565</v>
      </c>
      <c r="BB218" s="307">
        <v>370</v>
      </c>
      <c r="BC218" s="307">
        <v>454</v>
      </c>
      <c r="BD218" s="307">
        <v>333</v>
      </c>
      <c r="BE218" s="307">
        <v>276</v>
      </c>
      <c r="BF218" s="307">
        <v>249</v>
      </c>
      <c r="BG218" s="307">
        <v>244</v>
      </c>
      <c r="BH218" s="307">
        <v>231</v>
      </c>
      <c r="BI218" s="307">
        <f t="shared" si="202"/>
        <v>3923</v>
      </c>
      <c r="BJ218" s="308">
        <f t="shared" si="203"/>
        <v>326.88942588117658</v>
      </c>
      <c r="BL218" s="317">
        <f>ROW()</f>
        <v>218</v>
      </c>
      <c r="BM218" s="1432">
        <f t="shared" si="204"/>
        <v>0</v>
      </c>
      <c r="BN218" s="317">
        <f t="shared" si="211"/>
        <v>44.472759214509892</v>
      </c>
      <c r="BO218" s="317">
        <f t="shared" si="207"/>
        <v>534</v>
      </c>
      <c r="BP218" s="594">
        <f t="shared" si="208"/>
        <v>-13</v>
      </c>
    </row>
    <row r="219" spans="1:68" x14ac:dyDescent="0.55000000000000004">
      <c r="A219" s="7222"/>
      <c r="B219" s="7213" t="s">
        <v>432</v>
      </c>
      <c r="C219" s="199" t="s">
        <v>419</v>
      </c>
      <c r="D219" s="291">
        <f>D224+D225</f>
        <v>579</v>
      </c>
      <c r="E219" s="292">
        <f t="shared" ref="E219:O219" si="227">E224+E225</f>
        <v>649</v>
      </c>
      <c r="F219" s="292">
        <f t="shared" si="227"/>
        <v>677</v>
      </c>
      <c r="G219" s="292">
        <f t="shared" si="227"/>
        <v>851</v>
      </c>
      <c r="H219" s="292">
        <f t="shared" si="227"/>
        <v>1076</v>
      </c>
      <c r="I219" s="292">
        <f t="shared" si="227"/>
        <v>927</v>
      </c>
      <c r="J219" s="292">
        <f t="shared" si="227"/>
        <v>564</v>
      </c>
      <c r="K219" s="292">
        <f t="shared" si="227"/>
        <v>604</v>
      </c>
      <c r="L219" s="292">
        <f t="shared" si="227"/>
        <v>586</v>
      </c>
      <c r="M219" s="292">
        <f t="shared" si="227"/>
        <v>705</v>
      </c>
      <c r="N219" s="292">
        <f t="shared" si="227"/>
        <v>520</v>
      </c>
      <c r="O219" s="292">
        <f t="shared" si="227"/>
        <v>512</v>
      </c>
      <c r="P219" s="292">
        <f t="shared" si="185"/>
        <v>8250</v>
      </c>
      <c r="Q219" s="293">
        <f t="shared" si="200"/>
        <v>687.5</v>
      </c>
      <c r="R219" s="374"/>
      <c r="S219" s="291">
        <f>S224+S225</f>
        <v>473</v>
      </c>
      <c r="T219" s="292">
        <f t="shared" ref="T219:AD219" si="228">T224+T225</f>
        <v>644</v>
      </c>
      <c r="U219" s="292">
        <f t="shared" si="228"/>
        <v>650</v>
      </c>
      <c r="V219" s="292">
        <f t="shared" si="228"/>
        <v>471</v>
      </c>
      <c r="W219" s="292">
        <f t="shared" si="228"/>
        <v>602</v>
      </c>
      <c r="X219" s="292">
        <f t="shared" si="228"/>
        <v>595</v>
      </c>
      <c r="Y219" s="292">
        <f t="shared" si="228"/>
        <v>489</v>
      </c>
      <c r="Z219" s="292">
        <f t="shared" si="228"/>
        <v>794</v>
      </c>
      <c r="AA219" s="292">
        <f t="shared" si="228"/>
        <v>731</v>
      </c>
      <c r="AB219" s="292">
        <f t="shared" si="228"/>
        <v>583</v>
      </c>
      <c r="AC219" s="292">
        <f t="shared" si="228"/>
        <v>654</v>
      </c>
      <c r="AD219" s="292">
        <f t="shared" si="228"/>
        <v>410</v>
      </c>
      <c r="AE219" s="292">
        <f t="shared" si="183"/>
        <v>7096</v>
      </c>
      <c r="AF219" s="293">
        <f t="shared" si="184"/>
        <v>591.33333333333337</v>
      </c>
      <c r="AG219" s="374"/>
      <c r="AH219" s="291">
        <v>682</v>
      </c>
      <c r="AI219" s="292">
        <v>478</v>
      </c>
      <c r="AJ219" s="292">
        <v>563</v>
      </c>
      <c r="AK219" s="292">
        <v>471</v>
      </c>
      <c r="AL219" s="292">
        <v>677</v>
      </c>
      <c r="AM219" s="292">
        <v>612</v>
      </c>
      <c r="AN219" s="292">
        <v>768</v>
      </c>
      <c r="AO219" s="292">
        <v>724</v>
      </c>
      <c r="AP219" s="292">
        <v>717</v>
      </c>
      <c r="AQ219" s="292">
        <v>796</v>
      </c>
      <c r="AR219" s="292">
        <v>1243</v>
      </c>
      <c r="AS219" s="292">
        <v>543</v>
      </c>
      <c r="AT219" s="292">
        <f t="shared" si="186"/>
        <v>8274</v>
      </c>
      <c r="AU219" s="293">
        <f t="shared" si="214"/>
        <v>689.5</v>
      </c>
      <c r="AV219" s="374"/>
      <c r="AW219" s="2015">
        <v>581</v>
      </c>
      <c r="AX219" s="292">
        <v>765</v>
      </c>
      <c r="AY219" s="292">
        <v>627</v>
      </c>
      <c r="AZ219" s="292">
        <v>647</v>
      </c>
      <c r="BA219" s="292">
        <v>1370</v>
      </c>
      <c r="BB219" s="292">
        <v>801</v>
      </c>
      <c r="BC219" s="292">
        <v>802</v>
      </c>
      <c r="BD219" s="292">
        <v>650</v>
      </c>
      <c r="BE219" s="292">
        <v>677</v>
      </c>
      <c r="BF219" s="292">
        <v>590</v>
      </c>
      <c r="BG219" s="292">
        <v>641</v>
      </c>
      <c r="BH219" s="292">
        <v>732</v>
      </c>
      <c r="BI219" s="292">
        <f t="shared" si="202"/>
        <v>8883</v>
      </c>
      <c r="BJ219" s="293">
        <f t="shared" si="203"/>
        <v>740.18831764019671</v>
      </c>
      <c r="BL219" s="317">
        <f>ROW()</f>
        <v>219</v>
      </c>
      <c r="BM219" s="1432">
        <f t="shared" si="204"/>
        <v>189</v>
      </c>
      <c r="BN219" s="317">
        <f t="shared" si="211"/>
        <v>50.688317640196715</v>
      </c>
      <c r="BO219" s="317">
        <f t="shared" si="207"/>
        <v>609</v>
      </c>
      <c r="BP219" s="594">
        <f t="shared" si="208"/>
        <v>91</v>
      </c>
    </row>
    <row r="220" spans="1:68" x14ac:dyDescent="0.55000000000000004">
      <c r="A220" s="7222"/>
      <c r="B220" s="7214"/>
      <c r="C220" s="200" t="s">
        <v>420</v>
      </c>
      <c r="D220" s="294">
        <f>D226</f>
        <v>577</v>
      </c>
      <c r="E220" s="295">
        <f t="shared" ref="E220:O220" si="229">E226</f>
        <v>678</v>
      </c>
      <c r="F220" s="295">
        <f t="shared" si="229"/>
        <v>732</v>
      </c>
      <c r="G220" s="295">
        <f t="shared" si="229"/>
        <v>912</v>
      </c>
      <c r="H220" s="295">
        <f t="shared" si="229"/>
        <v>916</v>
      </c>
      <c r="I220" s="295">
        <f t="shared" si="229"/>
        <v>674</v>
      </c>
      <c r="J220" s="295">
        <f t="shared" si="229"/>
        <v>484</v>
      </c>
      <c r="K220" s="295">
        <f t="shared" si="229"/>
        <v>622</v>
      </c>
      <c r="L220" s="295">
        <f t="shared" si="229"/>
        <v>399</v>
      </c>
      <c r="M220" s="295">
        <f t="shared" si="229"/>
        <v>545</v>
      </c>
      <c r="N220" s="295">
        <f t="shared" si="229"/>
        <v>489</v>
      </c>
      <c r="O220" s="295">
        <f t="shared" si="229"/>
        <v>404</v>
      </c>
      <c r="P220" s="295">
        <f t="shared" si="185"/>
        <v>7432</v>
      </c>
      <c r="Q220" s="296">
        <f t="shared" si="200"/>
        <v>619.33333333333337</v>
      </c>
      <c r="R220" s="374"/>
      <c r="S220" s="294">
        <f>S226</f>
        <v>430</v>
      </c>
      <c r="T220" s="295">
        <f t="shared" ref="T220:AD220" si="230">T226</f>
        <v>487</v>
      </c>
      <c r="U220" s="295">
        <f t="shared" si="230"/>
        <v>378</v>
      </c>
      <c r="V220" s="295">
        <f t="shared" si="230"/>
        <v>275</v>
      </c>
      <c r="W220" s="295">
        <f t="shared" si="230"/>
        <v>386</v>
      </c>
      <c r="X220" s="295">
        <f t="shared" si="230"/>
        <v>299</v>
      </c>
      <c r="Y220" s="295">
        <f t="shared" si="230"/>
        <v>306</v>
      </c>
      <c r="Z220" s="295">
        <f t="shared" si="230"/>
        <v>370</v>
      </c>
      <c r="AA220" s="295">
        <f t="shared" si="230"/>
        <v>346</v>
      </c>
      <c r="AB220" s="295">
        <f t="shared" si="230"/>
        <v>410</v>
      </c>
      <c r="AC220" s="295">
        <f t="shared" si="230"/>
        <v>379</v>
      </c>
      <c r="AD220" s="295">
        <f t="shared" si="230"/>
        <v>247</v>
      </c>
      <c r="AE220" s="295">
        <f t="shared" si="183"/>
        <v>4313</v>
      </c>
      <c r="AF220" s="296">
        <f t="shared" si="184"/>
        <v>359.41666666666669</v>
      </c>
      <c r="AG220" s="374"/>
      <c r="AH220" s="294">
        <v>342</v>
      </c>
      <c r="AI220" s="295">
        <v>301</v>
      </c>
      <c r="AJ220" s="295">
        <v>446</v>
      </c>
      <c r="AK220" s="295">
        <v>426</v>
      </c>
      <c r="AL220" s="295">
        <v>406</v>
      </c>
      <c r="AM220" s="295">
        <v>482</v>
      </c>
      <c r="AN220" s="295">
        <v>478</v>
      </c>
      <c r="AO220" s="295">
        <v>673</v>
      </c>
      <c r="AP220" s="295">
        <v>709</v>
      </c>
      <c r="AQ220" s="295">
        <v>709</v>
      </c>
      <c r="AR220" s="295">
        <v>892</v>
      </c>
      <c r="AS220" s="295">
        <v>587</v>
      </c>
      <c r="AT220" s="295">
        <f t="shared" si="186"/>
        <v>6451</v>
      </c>
      <c r="AU220" s="296">
        <f t="shared" si="214"/>
        <v>537.58333333333337</v>
      </c>
      <c r="AV220" s="374"/>
      <c r="AW220" s="2016">
        <v>532</v>
      </c>
      <c r="AX220" s="295">
        <v>602</v>
      </c>
      <c r="AY220" s="295">
        <v>489</v>
      </c>
      <c r="AZ220" s="295">
        <v>457</v>
      </c>
      <c r="BA220" s="295">
        <v>1037</v>
      </c>
      <c r="BB220" s="295">
        <v>653</v>
      </c>
      <c r="BC220" s="295">
        <v>617</v>
      </c>
      <c r="BD220" s="295">
        <v>607</v>
      </c>
      <c r="BE220" s="295">
        <v>607</v>
      </c>
      <c r="BF220" s="295">
        <v>556</v>
      </c>
      <c r="BG220" s="295">
        <v>521</v>
      </c>
      <c r="BH220" s="295">
        <v>574</v>
      </c>
      <c r="BI220" s="295">
        <f t="shared" si="202"/>
        <v>7252</v>
      </c>
      <c r="BJ220" s="296">
        <f t="shared" si="203"/>
        <v>604.28297641863185</v>
      </c>
      <c r="BL220" s="317">
        <f>ROW()</f>
        <v>220</v>
      </c>
      <c r="BM220" s="1432">
        <f t="shared" si="204"/>
        <v>-13</v>
      </c>
      <c r="BN220" s="317">
        <f t="shared" si="211"/>
        <v>66.699643085298476</v>
      </c>
      <c r="BO220" s="317">
        <f t="shared" si="207"/>
        <v>801</v>
      </c>
      <c r="BP220" s="594">
        <f t="shared" si="208"/>
        <v>53</v>
      </c>
    </row>
    <row r="221" spans="1:68" x14ac:dyDescent="0.55000000000000004">
      <c r="A221" s="7222"/>
      <c r="B221" s="7214"/>
      <c r="C221" s="200" t="s">
        <v>421</v>
      </c>
      <c r="D221" s="294">
        <f>D227</f>
        <v>563</v>
      </c>
      <c r="E221" s="295">
        <f t="shared" ref="E221:O221" si="231">E227</f>
        <v>627</v>
      </c>
      <c r="F221" s="295">
        <f t="shared" si="231"/>
        <v>668</v>
      </c>
      <c r="G221" s="295">
        <f t="shared" si="231"/>
        <v>808</v>
      </c>
      <c r="H221" s="295">
        <f t="shared" si="231"/>
        <v>698</v>
      </c>
      <c r="I221" s="295">
        <f t="shared" si="231"/>
        <v>613</v>
      </c>
      <c r="J221" s="295">
        <f t="shared" si="231"/>
        <v>450</v>
      </c>
      <c r="K221" s="295">
        <f t="shared" si="231"/>
        <v>542</v>
      </c>
      <c r="L221" s="295">
        <f t="shared" si="231"/>
        <v>434</v>
      </c>
      <c r="M221" s="295">
        <f t="shared" si="231"/>
        <v>482</v>
      </c>
      <c r="N221" s="295">
        <f t="shared" si="231"/>
        <v>411</v>
      </c>
      <c r="O221" s="295">
        <f t="shared" si="231"/>
        <v>316</v>
      </c>
      <c r="P221" s="295">
        <f t="shared" si="185"/>
        <v>6612</v>
      </c>
      <c r="Q221" s="296">
        <f t="shared" si="200"/>
        <v>551</v>
      </c>
      <c r="R221" s="374"/>
      <c r="S221" s="294">
        <f>S227</f>
        <v>312</v>
      </c>
      <c r="T221" s="295">
        <f t="shared" ref="T221:AD221" si="232">T227</f>
        <v>371</v>
      </c>
      <c r="U221" s="295">
        <f t="shared" si="232"/>
        <v>371</v>
      </c>
      <c r="V221" s="295">
        <f t="shared" si="232"/>
        <v>327</v>
      </c>
      <c r="W221" s="295">
        <f t="shared" si="232"/>
        <v>414</v>
      </c>
      <c r="X221" s="295">
        <f t="shared" si="232"/>
        <v>373</v>
      </c>
      <c r="Y221" s="295">
        <f t="shared" si="232"/>
        <v>367</v>
      </c>
      <c r="Z221" s="295">
        <f t="shared" si="232"/>
        <v>412</v>
      </c>
      <c r="AA221" s="295">
        <f t="shared" si="232"/>
        <v>322</v>
      </c>
      <c r="AB221" s="295">
        <f t="shared" si="232"/>
        <v>364</v>
      </c>
      <c r="AC221" s="295">
        <f t="shared" si="232"/>
        <v>407</v>
      </c>
      <c r="AD221" s="295">
        <f t="shared" si="232"/>
        <v>261</v>
      </c>
      <c r="AE221" s="295">
        <f t="shared" si="183"/>
        <v>4301</v>
      </c>
      <c r="AF221" s="296">
        <f t="shared" si="184"/>
        <v>358.41666666666669</v>
      </c>
      <c r="AG221" s="374"/>
      <c r="AH221" s="294">
        <v>301</v>
      </c>
      <c r="AI221" s="295">
        <v>301</v>
      </c>
      <c r="AJ221" s="295">
        <v>402</v>
      </c>
      <c r="AK221" s="295">
        <v>362</v>
      </c>
      <c r="AL221" s="295">
        <v>530</v>
      </c>
      <c r="AM221" s="295">
        <v>492</v>
      </c>
      <c r="AN221" s="295">
        <v>547</v>
      </c>
      <c r="AO221" s="295">
        <v>561</v>
      </c>
      <c r="AP221" s="295">
        <v>495</v>
      </c>
      <c r="AQ221" s="295">
        <v>583</v>
      </c>
      <c r="AR221" s="295">
        <v>899</v>
      </c>
      <c r="AS221" s="295">
        <v>554</v>
      </c>
      <c r="AT221" s="295">
        <f t="shared" si="186"/>
        <v>6027</v>
      </c>
      <c r="AU221" s="296">
        <f t="shared" si="214"/>
        <v>502.25</v>
      </c>
      <c r="AV221" s="374"/>
      <c r="AW221" s="2016">
        <v>483</v>
      </c>
      <c r="AX221" s="295">
        <v>698</v>
      </c>
      <c r="AY221" s="295">
        <v>681</v>
      </c>
      <c r="AZ221" s="295">
        <v>572</v>
      </c>
      <c r="BA221" s="295">
        <v>1071</v>
      </c>
      <c r="BB221" s="295">
        <v>840</v>
      </c>
      <c r="BC221" s="295">
        <v>753</v>
      </c>
      <c r="BD221" s="295">
        <v>568</v>
      </c>
      <c r="BE221" s="295">
        <v>645</v>
      </c>
      <c r="BF221" s="295">
        <v>585</v>
      </c>
      <c r="BG221" s="295">
        <v>495</v>
      </c>
      <c r="BH221" s="295">
        <v>506</v>
      </c>
      <c r="BI221" s="295">
        <f t="shared" si="202"/>
        <v>7897</v>
      </c>
      <c r="BJ221" s="296">
        <f t="shared" si="203"/>
        <v>658.02849762519793</v>
      </c>
      <c r="BL221" s="317">
        <f>ROW()</f>
        <v>221</v>
      </c>
      <c r="BM221" s="1432">
        <f t="shared" si="204"/>
        <v>-48</v>
      </c>
      <c r="BN221" s="317">
        <f t="shared" si="211"/>
        <v>155.77849762519793</v>
      </c>
      <c r="BO221" s="317">
        <f t="shared" si="207"/>
        <v>1870</v>
      </c>
      <c r="BP221" s="594">
        <f t="shared" si="208"/>
        <v>11</v>
      </c>
    </row>
    <row r="222" spans="1:68" x14ac:dyDescent="0.55000000000000004">
      <c r="A222" s="7222"/>
      <c r="B222" s="7214"/>
      <c r="C222" s="200" t="s">
        <v>422</v>
      </c>
      <c r="D222" s="294">
        <f>D228+D229</f>
        <v>834</v>
      </c>
      <c r="E222" s="295">
        <f t="shared" ref="E222:O222" si="233">E228+E229</f>
        <v>806</v>
      </c>
      <c r="F222" s="295">
        <f t="shared" si="233"/>
        <v>872</v>
      </c>
      <c r="G222" s="295">
        <f t="shared" si="233"/>
        <v>901</v>
      </c>
      <c r="H222" s="295">
        <f t="shared" si="233"/>
        <v>973</v>
      </c>
      <c r="I222" s="295">
        <f t="shared" si="233"/>
        <v>961</v>
      </c>
      <c r="J222" s="295">
        <f t="shared" si="233"/>
        <v>773</v>
      </c>
      <c r="K222" s="295">
        <f t="shared" si="233"/>
        <v>916</v>
      </c>
      <c r="L222" s="295">
        <f t="shared" si="233"/>
        <v>740</v>
      </c>
      <c r="M222" s="295">
        <f t="shared" si="233"/>
        <v>713</v>
      </c>
      <c r="N222" s="295">
        <f t="shared" si="233"/>
        <v>595</v>
      </c>
      <c r="O222" s="295">
        <f t="shared" si="233"/>
        <v>393</v>
      </c>
      <c r="P222" s="295">
        <f t="shared" si="185"/>
        <v>9477</v>
      </c>
      <c r="Q222" s="296">
        <f t="shared" si="200"/>
        <v>789.75</v>
      </c>
      <c r="R222" s="374"/>
      <c r="S222" s="294">
        <f>S228+S229</f>
        <v>579</v>
      </c>
      <c r="T222" s="295">
        <f t="shared" ref="T222:AD222" si="234">T228+T229</f>
        <v>669</v>
      </c>
      <c r="U222" s="295">
        <f t="shared" si="234"/>
        <v>652</v>
      </c>
      <c r="V222" s="295">
        <f t="shared" si="234"/>
        <v>640</v>
      </c>
      <c r="W222" s="295">
        <f t="shared" si="234"/>
        <v>816</v>
      </c>
      <c r="X222" s="295">
        <f t="shared" si="234"/>
        <v>697</v>
      </c>
      <c r="Y222" s="295">
        <f t="shared" si="234"/>
        <v>609</v>
      </c>
      <c r="Z222" s="295">
        <f t="shared" si="234"/>
        <v>830</v>
      </c>
      <c r="AA222" s="295">
        <f t="shared" si="234"/>
        <v>706</v>
      </c>
      <c r="AB222" s="295">
        <f t="shared" si="234"/>
        <v>803</v>
      </c>
      <c r="AC222" s="295">
        <f t="shared" si="234"/>
        <v>716</v>
      </c>
      <c r="AD222" s="295">
        <f t="shared" si="234"/>
        <v>516</v>
      </c>
      <c r="AE222" s="295">
        <f t="shared" si="183"/>
        <v>8233</v>
      </c>
      <c r="AF222" s="296">
        <f t="shared" si="184"/>
        <v>686.08333333333337</v>
      </c>
      <c r="AG222" s="374"/>
      <c r="AH222" s="294">
        <v>928</v>
      </c>
      <c r="AI222" s="295">
        <v>855</v>
      </c>
      <c r="AJ222" s="295">
        <v>945</v>
      </c>
      <c r="AK222" s="295">
        <v>892</v>
      </c>
      <c r="AL222" s="295">
        <v>1026</v>
      </c>
      <c r="AM222" s="295">
        <v>847</v>
      </c>
      <c r="AN222" s="295">
        <v>877</v>
      </c>
      <c r="AO222" s="295">
        <v>848</v>
      </c>
      <c r="AP222" s="295">
        <v>862</v>
      </c>
      <c r="AQ222" s="295">
        <v>1017</v>
      </c>
      <c r="AR222" s="295">
        <v>1832</v>
      </c>
      <c r="AS222" s="295">
        <v>1123</v>
      </c>
      <c r="AT222" s="295">
        <f t="shared" si="186"/>
        <v>12052</v>
      </c>
      <c r="AU222" s="296">
        <f t="shared" si="214"/>
        <v>1004.3333333333334</v>
      </c>
      <c r="AV222" s="374"/>
      <c r="AW222" s="2016">
        <v>1050</v>
      </c>
      <c r="AX222" s="295">
        <v>1279</v>
      </c>
      <c r="AY222" s="295">
        <v>1169</v>
      </c>
      <c r="AZ222" s="295">
        <v>1393</v>
      </c>
      <c r="BA222" s="295">
        <v>2849</v>
      </c>
      <c r="BB222" s="295">
        <v>2691</v>
      </c>
      <c r="BC222" s="295">
        <v>2132</v>
      </c>
      <c r="BD222" s="295">
        <v>1419</v>
      </c>
      <c r="BE222" s="295">
        <v>1271</v>
      </c>
      <c r="BF222" s="295">
        <v>1358</v>
      </c>
      <c r="BG222" s="295">
        <v>1292</v>
      </c>
      <c r="BH222" s="295">
        <v>1168</v>
      </c>
      <c r="BI222" s="295">
        <f t="shared" si="202"/>
        <v>19071</v>
      </c>
      <c r="BJ222" s="296">
        <f t="shared" si="203"/>
        <v>1589.1175735355387</v>
      </c>
      <c r="BL222" s="317">
        <f>ROW()</f>
        <v>222</v>
      </c>
      <c r="BM222" s="1432">
        <f t="shared" si="204"/>
        <v>45</v>
      </c>
      <c r="BN222" s="317">
        <f t="shared" si="211"/>
        <v>584.7842402022053</v>
      </c>
      <c r="BO222" s="317">
        <f t="shared" si="207"/>
        <v>7019</v>
      </c>
      <c r="BP222" s="594">
        <f t="shared" si="208"/>
        <v>-124</v>
      </c>
    </row>
    <row r="223" spans="1:68" x14ac:dyDescent="0.55000000000000004">
      <c r="A223" s="7222"/>
      <c r="B223" s="7215"/>
      <c r="C223" s="201" t="s">
        <v>423</v>
      </c>
      <c r="D223" s="297">
        <f>D230+D231</f>
        <v>760</v>
      </c>
      <c r="E223" s="298">
        <f t="shared" ref="E223:O223" si="235">E230+E231</f>
        <v>751</v>
      </c>
      <c r="F223" s="298">
        <f t="shared" si="235"/>
        <v>696</v>
      </c>
      <c r="G223" s="298">
        <f t="shared" si="235"/>
        <v>866</v>
      </c>
      <c r="H223" s="298">
        <f t="shared" si="235"/>
        <v>865</v>
      </c>
      <c r="I223" s="298">
        <f t="shared" si="235"/>
        <v>836</v>
      </c>
      <c r="J223" s="298">
        <f t="shared" si="235"/>
        <v>600</v>
      </c>
      <c r="K223" s="298">
        <f t="shared" si="235"/>
        <v>722</v>
      </c>
      <c r="L223" s="298">
        <f t="shared" si="235"/>
        <v>635</v>
      </c>
      <c r="M223" s="298">
        <f t="shared" si="235"/>
        <v>632</v>
      </c>
      <c r="N223" s="298">
        <f t="shared" si="235"/>
        <v>655</v>
      </c>
      <c r="O223" s="298">
        <f t="shared" si="235"/>
        <v>594</v>
      </c>
      <c r="P223" s="298">
        <f t="shared" si="185"/>
        <v>8612</v>
      </c>
      <c r="Q223" s="299">
        <f t="shared" si="200"/>
        <v>717.66666666666663</v>
      </c>
      <c r="R223" s="374"/>
      <c r="S223" s="297">
        <f>S230+S231</f>
        <v>608</v>
      </c>
      <c r="T223" s="298">
        <f t="shared" ref="T223:AD223" si="236">T230+T231</f>
        <v>730</v>
      </c>
      <c r="U223" s="298">
        <f t="shared" si="236"/>
        <v>691</v>
      </c>
      <c r="V223" s="298">
        <f t="shared" si="236"/>
        <v>642</v>
      </c>
      <c r="W223" s="298">
        <f t="shared" si="236"/>
        <v>780</v>
      </c>
      <c r="X223" s="298">
        <f t="shared" si="236"/>
        <v>605</v>
      </c>
      <c r="Y223" s="298">
        <f t="shared" si="236"/>
        <v>548</v>
      </c>
      <c r="Z223" s="298">
        <f t="shared" si="236"/>
        <v>804</v>
      </c>
      <c r="AA223" s="298">
        <f t="shared" si="236"/>
        <v>638</v>
      </c>
      <c r="AB223" s="298">
        <f t="shared" si="236"/>
        <v>727</v>
      </c>
      <c r="AC223" s="298">
        <f t="shared" si="236"/>
        <v>681</v>
      </c>
      <c r="AD223" s="298">
        <f t="shared" si="236"/>
        <v>502</v>
      </c>
      <c r="AE223" s="298">
        <f t="shared" si="183"/>
        <v>7956</v>
      </c>
      <c r="AF223" s="299">
        <f t="shared" si="184"/>
        <v>663</v>
      </c>
      <c r="AG223" s="374"/>
      <c r="AH223" s="297">
        <v>751</v>
      </c>
      <c r="AI223" s="298">
        <v>610</v>
      </c>
      <c r="AJ223" s="298">
        <v>651</v>
      </c>
      <c r="AK223" s="298">
        <v>679</v>
      </c>
      <c r="AL223" s="298">
        <v>714</v>
      </c>
      <c r="AM223" s="298">
        <v>671</v>
      </c>
      <c r="AN223" s="298">
        <v>739</v>
      </c>
      <c r="AO223" s="298">
        <v>590</v>
      </c>
      <c r="AP223" s="298">
        <v>640</v>
      </c>
      <c r="AQ223" s="298">
        <v>793</v>
      </c>
      <c r="AR223" s="298">
        <v>1692</v>
      </c>
      <c r="AS223" s="298">
        <v>857</v>
      </c>
      <c r="AT223" s="298">
        <f t="shared" si="186"/>
        <v>9387</v>
      </c>
      <c r="AU223" s="299">
        <f t="shared" si="214"/>
        <v>782.25</v>
      </c>
      <c r="AV223" s="374"/>
      <c r="AW223" s="2017">
        <v>819</v>
      </c>
      <c r="AX223" s="298">
        <v>1076</v>
      </c>
      <c r="AY223" s="298">
        <v>918</v>
      </c>
      <c r="AZ223" s="298">
        <v>947</v>
      </c>
      <c r="BA223" s="298">
        <v>1425</v>
      </c>
      <c r="BB223" s="298">
        <v>1091</v>
      </c>
      <c r="BC223" s="298">
        <v>1108</v>
      </c>
      <c r="BD223" s="298">
        <v>723</v>
      </c>
      <c r="BE223" s="298">
        <v>843</v>
      </c>
      <c r="BF223" s="298">
        <v>719</v>
      </c>
      <c r="BG223" s="298">
        <v>765</v>
      </c>
      <c r="BH223" s="298">
        <v>714</v>
      </c>
      <c r="BI223" s="298">
        <f t="shared" si="202"/>
        <v>11148</v>
      </c>
      <c r="BJ223" s="299">
        <f t="shared" si="203"/>
        <v>928.92258978418465</v>
      </c>
      <c r="BL223" s="317">
        <f>ROW()</f>
        <v>223</v>
      </c>
      <c r="BM223" s="1432">
        <f t="shared" si="204"/>
        <v>-143</v>
      </c>
      <c r="BN223" s="317">
        <f t="shared" si="211"/>
        <v>146.67258978418465</v>
      </c>
      <c r="BO223" s="317">
        <f t="shared" si="207"/>
        <v>1761</v>
      </c>
      <c r="BP223" s="594">
        <f t="shared" si="208"/>
        <v>-51</v>
      </c>
    </row>
    <row r="224" spans="1:68" x14ac:dyDescent="0.55000000000000004">
      <c r="A224" s="7222"/>
      <c r="B224" s="7207" t="s">
        <v>433</v>
      </c>
      <c r="C224" s="203" t="s">
        <v>242</v>
      </c>
      <c r="D224" s="303">
        <f t="shared" ref="D224:O224" si="237">D272+D320</f>
        <v>446</v>
      </c>
      <c r="E224" s="304">
        <f t="shared" si="237"/>
        <v>514</v>
      </c>
      <c r="F224" s="304">
        <f t="shared" si="237"/>
        <v>528</v>
      </c>
      <c r="G224" s="304">
        <f t="shared" si="237"/>
        <v>710</v>
      </c>
      <c r="H224" s="304">
        <f t="shared" si="237"/>
        <v>908</v>
      </c>
      <c r="I224" s="304">
        <f t="shared" si="237"/>
        <v>780</v>
      </c>
      <c r="J224" s="304">
        <f t="shared" si="237"/>
        <v>481</v>
      </c>
      <c r="K224" s="304">
        <f t="shared" si="237"/>
        <v>464</v>
      </c>
      <c r="L224" s="304">
        <f t="shared" si="237"/>
        <v>503</v>
      </c>
      <c r="M224" s="304">
        <f t="shared" si="237"/>
        <v>598</v>
      </c>
      <c r="N224" s="304">
        <f t="shared" si="237"/>
        <v>421</v>
      </c>
      <c r="O224" s="304">
        <f t="shared" si="237"/>
        <v>451</v>
      </c>
      <c r="P224" s="304">
        <f t="shared" si="185"/>
        <v>6804</v>
      </c>
      <c r="Q224" s="305">
        <f t="shared" si="200"/>
        <v>567</v>
      </c>
      <c r="R224" s="374"/>
      <c r="S224" s="303">
        <v>408</v>
      </c>
      <c r="T224" s="304">
        <v>564</v>
      </c>
      <c r="U224" s="304">
        <v>486</v>
      </c>
      <c r="V224" s="304">
        <v>368</v>
      </c>
      <c r="W224" s="304">
        <v>463</v>
      </c>
      <c r="X224" s="304">
        <v>458</v>
      </c>
      <c r="Y224" s="304">
        <v>391</v>
      </c>
      <c r="Z224" s="304">
        <v>521</v>
      </c>
      <c r="AA224" s="304">
        <v>501</v>
      </c>
      <c r="AB224" s="304">
        <v>427</v>
      </c>
      <c r="AC224" s="304">
        <v>502</v>
      </c>
      <c r="AD224" s="304">
        <v>276</v>
      </c>
      <c r="AE224" s="304">
        <f t="shared" si="183"/>
        <v>5365</v>
      </c>
      <c r="AF224" s="305">
        <f t="shared" si="184"/>
        <v>447.08333333333331</v>
      </c>
      <c r="AG224" s="374"/>
      <c r="AH224" s="303">
        <v>535</v>
      </c>
      <c r="AI224" s="304">
        <v>330</v>
      </c>
      <c r="AJ224" s="304">
        <v>375</v>
      </c>
      <c r="AK224" s="304">
        <v>334</v>
      </c>
      <c r="AL224" s="304">
        <v>473</v>
      </c>
      <c r="AM224" s="304">
        <v>444</v>
      </c>
      <c r="AN224" s="304">
        <v>530</v>
      </c>
      <c r="AO224" s="304">
        <v>562</v>
      </c>
      <c r="AP224" s="304">
        <v>511</v>
      </c>
      <c r="AQ224" s="304">
        <v>620</v>
      </c>
      <c r="AR224" s="304">
        <v>853</v>
      </c>
      <c r="AS224" s="304">
        <v>413</v>
      </c>
      <c r="AT224" s="304">
        <f t="shared" si="186"/>
        <v>5980</v>
      </c>
      <c r="AU224" s="305">
        <f t="shared" si="214"/>
        <v>498.33333333333331</v>
      </c>
      <c r="AV224" s="374"/>
      <c r="AW224" s="2022">
        <v>393</v>
      </c>
      <c r="AX224" s="304">
        <v>569</v>
      </c>
      <c r="AY224" s="304">
        <v>452</v>
      </c>
      <c r="AZ224" s="304">
        <v>465</v>
      </c>
      <c r="BA224" s="304">
        <v>984</v>
      </c>
      <c r="BB224" s="304">
        <v>592</v>
      </c>
      <c r="BC224" s="304">
        <v>802</v>
      </c>
      <c r="BD224" s="304">
        <v>650</v>
      </c>
      <c r="BE224" s="304">
        <v>677</v>
      </c>
      <c r="BF224" s="304">
        <v>590</v>
      </c>
      <c r="BG224" s="304">
        <v>641</v>
      </c>
      <c r="BH224" s="304">
        <v>732</v>
      </c>
      <c r="BI224" s="304">
        <f t="shared" si="202"/>
        <v>7547</v>
      </c>
      <c r="BJ224" s="305">
        <f t="shared" si="203"/>
        <v>628.86426131155736</v>
      </c>
      <c r="BL224" s="317">
        <f>ROW()</f>
        <v>224</v>
      </c>
      <c r="BM224" s="1432">
        <f t="shared" si="204"/>
        <v>319</v>
      </c>
      <c r="BN224" s="317">
        <f t="shared" si="211"/>
        <v>130.53092797822404</v>
      </c>
      <c r="BO224" s="317">
        <f t="shared" si="207"/>
        <v>1567</v>
      </c>
      <c r="BP224" s="594">
        <f t="shared" si="208"/>
        <v>91</v>
      </c>
    </row>
    <row r="225" spans="1:71" x14ac:dyDescent="0.55000000000000004">
      <c r="A225" s="7222"/>
      <c r="B225" s="7208"/>
      <c r="C225" s="203" t="s">
        <v>243</v>
      </c>
      <c r="D225" s="303">
        <f t="shared" ref="D225:O225" si="238">D273+D321</f>
        <v>133</v>
      </c>
      <c r="E225" s="304">
        <f t="shared" si="238"/>
        <v>135</v>
      </c>
      <c r="F225" s="304">
        <f t="shared" si="238"/>
        <v>149</v>
      </c>
      <c r="G225" s="304">
        <f t="shared" si="238"/>
        <v>141</v>
      </c>
      <c r="H225" s="304">
        <f t="shared" si="238"/>
        <v>168</v>
      </c>
      <c r="I225" s="304">
        <f t="shared" si="238"/>
        <v>147</v>
      </c>
      <c r="J225" s="304">
        <f t="shared" si="238"/>
        <v>83</v>
      </c>
      <c r="K225" s="304">
        <f t="shared" si="238"/>
        <v>140</v>
      </c>
      <c r="L225" s="304">
        <f t="shared" si="238"/>
        <v>83</v>
      </c>
      <c r="M225" s="304">
        <f t="shared" si="238"/>
        <v>107</v>
      </c>
      <c r="N225" s="304">
        <f t="shared" si="238"/>
        <v>99</v>
      </c>
      <c r="O225" s="304">
        <f t="shared" si="238"/>
        <v>61</v>
      </c>
      <c r="P225" s="304">
        <f t="shared" si="185"/>
        <v>1446</v>
      </c>
      <c r="Q225" s="305">
        <f t="shared" si="200"/>
        <v>120.5</v>
      </c>
      <c r="R225" s="374"/>
      <c r="S225" s="303">
        <v>65</v>
      </c>
      <c r="T225" s="304">
        <v>80</v>
      </c>
      <c r="U225" s="304">
        <v>164</v>
      </c>
      <c r="V225" s="304">
        <v>103</v>
      </c>
      <c r="W225" s="304">
        <v>139</v>
      </c>
      <c r="X225" s="304">
        <v>137</v>
      </c>
      <c r="Y225" s="304">
        <v>98</v>
      </c>
      <c r="Z225" s="304">
        <v>273</v>
      </c>
      <c r="AA225" s="304">
        <v>230</v>
      </c>
      <c r="AB225" s="304">
        <v>156</v>
      </c>
      <c r="AC225" s="304">
        <v>152</v>
      </c>
      <c r="AD225" s="304">
        <v>134</v>
      </c>
      <c r="AE225" s="304">
        <f t="shared" si="183"/>
        <v>1731</v>
      </c>
      <c r="AF225" s="305">
        <f t="shared" si="184"/>
        <v>144.25</v>
      </c>
      <c r="AG225" s="374"/>
      <c r="AH225" s="303">
        <v>147</v>
      </c>
      <c r="AI225" s="304">
        <v>148</v>
      </c>
      <c r="AJ225" s="304">
        <v>188</v>
      </c>
      <c r="AK225" s="304">
        <v>137</v>
      </c>
      <c r="AL225" s="304">
        <v>204</v>
      </c>
      <c r="AM225" s="304">
        <v>168</v>
      </c>
      <c r="AN225" s="304">
        <v>238</v>
      </c>
      <c r="AO225" s="304">
        <v>162</v>
      </c>
      <c r="AP225" s="304">
        <v>206</v>
      </c>
      <c r="AQ225" s="304">
        <v>176</v>
      </c>
      <c r="AR225" s="304">
        <v>390</v>
      </c>
      <c r="AS225" s="304">
        <v>130</v>
      </c>
      <c r="AT225" s="304">
        <f t="shared" si="186"/>
        <v>2294</v>
      </c>
      <c r="AU225" s="305">
        <f t="shared" si="214"/>
        <v>191.16666666666666</v>
      </c>
      <c r="AV225" s="374"/>
      <c r="AW225" s="2022">
        <v>188</v>
      </c>
      <c r="AX225" s="304">
        <v>196</v>
      </c>
      <c r="AY225" s="304">
        <v>175</v>
      </c>
      <c r="AZ225" s="304">
        <v>182</v>
      </c>
      <c r="BA225" s="304">
        <v>386</v>
      </c>
      <c r="BB225" s="304">
        <v>209</v>
      </c>
      <c r="BC225" s="2363"/>
      <c r="BD225" s="2363"/>
      <c r="BE225" s="2363"/>
      <c r="BF225" s="2363"/>
      <c r="BG225" s="2363"/>
      <c r="BH225" s="2363"/>
      <c r="BI225" s="304">
        <f t="shared" si="202"/>
        <v>1336</v>
      </c>
      <c r="BJ225" s="305">
        <f t="shared" si="203"/>
        <v>111.32405632863929</v>
      </c>
      <c r="BL225" s="317">
        <f>ROW()</f>
        <v>225</v>
      </c>
      <c r="BM225" s="1432">
        <f t="shared" si="204"/>
        <v>-130</v>
      </c>
      <c r="BN225" s="317">
        <f t="shared" si="211"/>
        <v>-79.84261033802737</v>
      </c>
      <c r="BO225" s="317">
        <f t="shared" si="207"/>
        <v>-958</v>
      </c>
      <c r="BP225" s="594">
        <f t="shared" si="208"/>
        <v>0</v>
      </c>
    </row>
    <row r="226" spans="1:71" s="190" customFormat="1" x14ac:dyDescent="0.55000000000000004">
      <c r="A226" s="7222"/>
      <c r="B226" s="7208"/>
      <c r="C226" s="211" t="s">
        <v>244</v>
      </c>
      <c r="D226" s="309">
        <f t="shared" ref="D226:O226" si="239">D274+D322</f>
        <v>577</v>
      </c>
      <c r="E226" s="310">
        <f t="shared" si="239"/>
        <v>678</v>
      </c>
      <c r="F226" s="310">
        <f t="shared" si="239"/>
        <v>732</v>
      </c>
      <c r="G226" s="310">
        <f t="shared" si="239"/>
        <v>912</v>
      </c>
      <c r="H226" s="310">
        <f t="shared" si="239"/>
        <v>916</v>
      </c>
      <c r="I226" s="310">
        <f t="shared" si="239"/>
        <v>674</v>
      </c>
      <c r="J226" s="310">
        <f t="shared" si="239"/>
        <v>484</v>
      </c>
      <c r="K226" s="310">
        <f t="shared" si="239"/>
        <v>622</v>
      </c>
      <c r="L226" s="310">
        <f t="shared" si="239"/>
        <v>399</v>
      </c>
      <c r="M226" s="310">
        <f t="shared" si="239"/>
        <v>545</v>
      </c>
      <c r="N226" s="310">
        <f t="shared" si="239"/>
        <v>489</v>
      </c>
      <c r="O226" s="310">
        <f t="shared" si="239"/>
        <v>404</v>
      </c>
      <c r="P226" s="310">
        <f t="shared" si="185"/>
        <v>7432</v>
      </c>
      <c r="Q226" s="311">
        <f t="shared" si="200"/>
        <v>619.33333333333337</v>
      </c>
      <c r="R226" s="374"/>
      <c r="S226" s="309">
        <v>430</v>
      </c>
      <c r="T226" s="310">
        <v>487</v>
      </c>
      <c r="U226" s="310">
        <v>378</v>
      </c>
      <c r="V226" s="310">
        <v>275</v>
      </c>
      <c r="W226" s="310">
        <v>386</v>
      </c>
      <c r="X226" s="310">
        <v>299</v>
      </c>
      <c r="Y226" s="310">
        <v>306</v>
      </c>
      <c r="Z226" s="310">
        <v>370</v>
      </c>
      <c r="AA226" s="310">
        <v>346</v>
      </c>
      <c r="AB226" s="310">
        <v>410</v>
      </c>
      <c r="AC226" s="310">
        <v>379</v>
      </c>
      <c r="AD226" s="310">
        <v>247</v>
      </c>
      <c r="AE226" s="310">
        <f t="shared" si="183"/>
        <v>4313</v>
      </c>
      <c r="AF226" s="311">
        <f t="shared" si="184"/>
        <v>359.41666666666669</v>
      </c>
      <c r="AG226" s="374"/>
      <c r="AH226" s="309">
        <v>342</v>
      </c>
      <c r="AI226" s="310">
        <v>301</v>
      </c>
      <c r="AJ226" s="310">
        <v>446</v>
      </c>
      <c r="AK226" s="310">
        <v>426</v>
      </c>
      <c r="AL226" s="310">
        <v>406</v>
      </c>
      <c r="AM226" s="310">
        <v>482</v>
      </c>
      <c r="AN226" s="310">
        <v>478</v>
      </c>
      <c r="AO226" s="310">
        <v>673</v>
      </c>
      <c r="AP226" s="310">
        <v>709</v>
      </c>
      <c r="AQ226" s="310">
        <v>709</v>
      </c>
      <c r="AR226" s="310">
        <v>892</v>
      </c>
      <c r="AS226" s="310">
        <v>587</v>
      </c>
      <c r="AT226" s="310">
        <f t="shared" si="186"/>
        <v>6451</v>
      </c>
      <c r="AU226" s="311">
        <f t="shared" si="214"/>
        <v>537.58333333333337</v>
      </c>
      <c r="AV226" s="374"/>
      <c r="AW226" s="2021">
        <v>532</v>
      </c>
      <c r="AX226" s="310">
        <v>602</v>
      </c>
      <c r="AY226" s="310">
        <v>489</v>
      </c>
      <c r="AZ226" s="310">
        <v>457</v>
      </c>
      <c r="BA226" s="310">
        <v>1037</v>
      </c>
      <c r="BB226" s="310">
        <v>653</v>
      </c>
      <c r="BC226" s="310">
        <v>617</v>
      </c>
      <c r="BD226" s="310">
        <v>607</v>
      </c>
      <c r="BE226" s="310">
        <v>607</v>
      </c>
      <c r="BF226" s="310">
        <v>556</v>
      </c>
      <c r="BG226" s="310">
        <v>521</v>
      </c>
      <c r="BH226" s="310">
        <v>574</v>
      </c>
      <c r="BI226" s="310">
        <f t="shared" si="202"/>
        <v>7252</v>
      </c>
      <c r="BJ226" s="311">
        <f t="shared" si="203"/>
        <v>604.28297641863185</v>
      </c>
      <c r="BL226" s="317">
        <f>ROW()</f>
        <v>226</v>
      </c>
      <c r="BM226" s="1432">
        <f t="shared" si="204"/>
        <v>-13</v>
      </c>
      <c r="BN226" s="317">
        <f t="shared" si="211"/>
        <v>66.699643085298476</v>
      </c>
      <c r="BO226" s="317">
        <f t="shared" si="207"/>
        <v>801</v>
      </c>
      <c r="BP226" s="594">
        <f t="shared" si="208"/>
        <v>53</v>
      </c>
      <c r="BR226"/>
      <c r="BS226"/>
    </row>
    <row r="227" spans="1:71" s="190" customFormat="1" x14ac:dyDescent="0.55000000000000004">
      <c r="A227" s="7222"/>
      <c r="B227" s="7208"/>
      <c r="C227" s="203" t="s">
        <v>245</v>
      </c>
      <c r="D227" s="303">
        <f t="shared" ref="D227:O227" si="240">D275+D323</f>
        <v>563</v>
      </c>
      <c r="E227" s="304">
        <f t="shared" si="240"/>
        <v>627</v>
      </c>
      <c r="F227" s="304">
        <f t="shared" si="240"/>
        <v>668</v>
      </c>
      <c r="G227" s="304">
        <f t="shared" si="240"/>
        <v>808</v>
      </c>
      <c r="H227" s="304">
        <f t="shared" si="240"/>
        <v>698</v>
      </c>
      <c r="I227" s="304">
        <f t="shared" si="240"/>
        <v>613</v>
      </c>
      <c r="J227" s="304">
        <f t="shared" si="240"/>
        <v>450</v>
      </c>
      <c r="K227" s="304">
        <f t="shared" si="240"/>
        <v>542</v>
      </c>
      <c r="L227" s="304">
        <f t="shared" si="240"/>
        <v>434</v>
      </c>
      <c r="M227" s="304">
        <f t="shared" si="240"/>
        <v>482</v>
      </c>
      <c r="N227" s="304">
        <f t="shared" si="240"/>
        <v>411</v>
      </c>
      <c r="O227" s="304">
        <f t="shared" si="240"/>
        <v>316</v>
      </c>
      <c r="P227" s="304">
        <f t="shared" si="185"/>
        <v>6612</v>
      </c>
      <c r="Q227" s="305">
        <f t="shared" si="200"/>
        <v>551</v>
      </c>
      <c r="R227" s="374"/>
      <c r="S227" s="303">
        <v>312</v>
      </c>
      <c r="T227" s="304">
        <v>371</v>
      </c>
      <c r="U227" s="304">
        <v>371</v>
      </c>
      <c r="V227" s="304">
        <v>327</v>
      </c>
      <c r="W227" s="304">
        <v>414</v>
      </c>
      <c r="X227" s="304">
        <v>373</v>
      </c>
      <c r="Y227" s="304">
        <v>367</v>
      </c>
      <c r="Z227" s="304">
        <v>412</v>
      </c>
      <c r="AA227" s="304">
        <v>322</v>
      </c>
      <c r="AB227" s="304">
        <v>364</v>
      </c>
      <c r="AC227" s="304">
        <v>407</v>
      </c>
      <c r="AD227" s="304">
        <v>261</v>
      </c>
      <c r="AE227" s="304">
        <f t="shared" si="183"/>
        <v>4301</v>
      </c>
      <c r="AF227" s="305">
        <f t="shared" si="184"/>
        <v>358.41666666666669</v>
      </c>
      <c r="AG227" s="374"/>
      <c r="AH227" s="303">
        <v>301</v>
      </c>
      <c r="AI227" s="304">
        <v>301</v>
      </c>
      <c r="AJ227" s="304">
        <v>402</v>
      </c>
      <c r="AK227" s="304">
        <v>362</v>
      </c>
      <c r="AL227" s="304">
        <v>530</v>
      </c>
      <c r="AM227" s="304">
        <v>492</v>
      </c>
      <c r="AN227" s="304">
        <v>547</v>
      </c>
      <c r="AO227" s="304">
        <v>561</v>
      </c>
      <c r="AP227" s="304">
        <v>495</v>
      </c>
      <c r="AQ227" s="304">
        <v>583</v>
      </c>
      <c r="AR227" s="304">
        <v>899</v>
      </c>
      <c r="AS227" s="304">
        <v>554</v>
      </c>
      <c r="AT227" s="304">
        <f t="shared" si="186"/>
        <v>6027</v>
      </c>
      <c r="AU227" s="305">
        <f t="shared" si="214"/>
        <v>502.25</v>
      </c>
      <c r="AV227" s="374"/>
      <c r="AW227" s="2022">
        <v>483</v>
      </c>
      <c r="AX227" s="304">
        <v>698</v>
      </c>
      <c r="AY227" s="304">
        <v>681</v>
      </c>
      <c r="AZ227" s="304">
        <v>572</v>
      </c>
      <c r="BA227" s="304">
        <v>1071</v>
      </c>
      <c r="BB227" s="304">
        <v>840</v>
      </c>
      <c r="BC227" s="304">
        <v>753</v>
      </c>
      <c r="BD227" s="304">
        <v>568</v>
      </c>
      <c r="BE227" s="304">
        <v>645</v>
      </c>
      <c r="BF227" s="304">
        <v>585</v>
      </c>
      <c r="BG227" s="304">
        <v>495</v>
      </c>
      <c r="BH227" s="304">
        <v>506</v>
      </c>
      <c r="BI227" s="304">
        <f t="shared" si="202"/>
        <v>7897</v>
      </c>
      <c r="BJ227" s="305">
        <f t="shared" si="203"/>
        <v>658.02849762519793</v>
      </c>
      <c r="BL227" s="317">
        <f>ROW()</f>
        <v>227</v>
      </c>
      <c r="BM227" s="1432">
        <f t="shared" si="204"/>
        <v>-48</v>
      </c>
      <c r="BN227" s="317">
        <f t="shared" si="211"/>
        <v>155.77849762519793</v>
      </c>
      <c r="BO227" s="317">
        <f t="shared" si="207"/>
        <v>1870</v>
      </c>
      <c r="BP227" s="594">
        <f t="shared" si="208"/>
        <v>11</v>
      </c>
      <c r="BR227"/>
      <c r="BS227"/>
    </row>
    <row r="228" spans="1:71" s="190" customFormat="1" x14ac:dyDescent="0.55000000000000004">
      <c r="A228" s="7222"/>
      <c r="B228" s="7208"/>
      <c r="C228" s="211" t="s">
        <v>246</v>
      </c>
      <c r="D228" s="309">
        <f t="shared" ref="D228:O228" si="241">D276+D324</f>
        <v>386</v>
      </c>
      <c r="E228" s="310">
        <f t="shared" si="241"/>
        <v>355</v>
      </c>
      <c r="F228" s="310">
        <f t="shared" si="241"/>
        <v>420</v>
      </c>
      <c r="G228" s="310">
        <f t="shared" si="241"/>
        <v>428</v>
      </c>
      <c r="H228" s="310">
        <f t="shared" si="241"/>
        <v>473</v>
      </c>
      <c r="I228" s="310">
        <f t="shared" si="241"/>
        <v>541</v>
      </c>
      <c r="J228" s="310">
        <f t="shared" si="241"/>
        <v>477</v>
      </c>
      <c r="K228" s="310">
        <f t="shared" si="241"/>
        <v>529</v>
      </c>
      <c r="L228" s="310">
        <f t="shared" si="241"/>
        <v>466</v>
      </c>
      <c r="M228" s="310">
        <f t="shared" si="241"/>
        <v>444</v>
      </c>
      <c r="N228" s="310">
        <f t="shared" si="241"/>
        <v>383</v>
      </c>
      <c r="O228" s="310">
        <f t="shared" si="241"/>
        <v>287</v>
      </c>
      <c r="P228" s="310">
        <f t="shared" si="185"/>
        <v>5189</v>
      </c>
      <c r="Q228" s="311">
        <f t="shared" si="200"/>
        <v>432.41666666666669</v>
      </c>
      <c r="R228" s="374"/>
      <c r="S228" s="309">
        <v>392</v>
      </c>
      <c r="T228" s="310">
        <v>446</v>
      </c>
      <c r="U228" s="310">
        <v>445</v>
      </c>
      <c r="V228" s="310">
        <v>407</v>
      </c>
      <c r="W228" s="310">
        <v>496</v>
      </c>
      <c r="X228" s="310">
        <v>395</v>
      </c>
      <c r="Y228" s="310">
        <v>387</v>
      </c>
      <c r="Z228" s="310">
        <v>543</v>
      </c>
      <c r="AA228" s="310">
        <v>467</v>
      </c>
      <c r="AB228" s="310">
        <v>461</v>
      </c>
      <c r="AC228" s="310">
        <v>417</v>
      </c>
      <c r="AD228" s="310">
        <v>318</v>
      </c>
      <c r="AE228" s="310">
        <f t="shared" si="183"/>
        <v>5174</v>
      </c>
      <c r="AF228" s="311">
        <f t="shared" si="184"/>
        <v>431.16666666666669</v>
      </c>
      <c r="AG228" s="374"/>
      <c r="AH228" s="309">
        <v>636</v>
      </c>
      <c r="AI228" s="310">
        <v>547</v>
      </c>
      <c r="AJ228" s="310">
        <v>649</v>
      </c>
      <c r="AK228" s="310">
        <v>602</v>
      </c>
      <c r="AL228" s="310">
        <v>734</v>
      </c>
      <c r="AM228" s="310">
        <v>583</v>
      </c>
      <c r="AN228" s="310">
        <v>600</v>
      </c>
      <c r="AO228" s="310">
        <v>500</v>
      </c>
      <c r="AP228" s="310">
        <v>554</v>
      </c>
      <c r="AQ228" s="310">
        <v>693</v>
      </c>
      <c r="AR228" s="310">
        <v>1241</v>
      </c>
      <c r="AS228" s="310">
        <v>831</v>
      </c>
      <c r="AT228" s="310">
        <f t="shared" si="186"/>
        <v>8170</v>
      </c>
      <c r="AU228" s="311">
        <f t="shared" si="214"/>
        <v>680.83333333333337</v>
      </c>
      <c r="AV228" s="374"/>
      <c r="AW228" s="2021">
        <v>734</v>
      </c>
      <c r="AX228" s="310">
        <v>893</v>
      </c>
      <c r="AY228" s="310">
        <v>804</v>
      </c>
      <c r="AZ228" s="310">
        <v>1040</v>
      </c>
      <c r="BA228" s="310">
        <v>2071</v>
      </c>
      <c r="BB228" s="310">
        <v>2101</v>
      </c>
      <c r="BC228" s="310">
        <v>1635</v>
      </c>
      <c r="BD228" s="310">
        <v>1111</v>
      </c>
      <c r="BE228" s="310">
        <v>915</v>
      </c>
      <c r="BF228" s="310">
        <v>970</v>
      </c>
      <c r="BG228" s="310">
        <v>858</v>
      </c>
      <c r="BH228" s="310">
        <v>768</v>
      </c>
      <c r="BI228" s="310">
        <f t="shared" si="202"/>
        <v>13900</v>
      </c>
      <c r="BJ228" s="311">
        <f t="shared" si="203"/>
        <v>1158.2368135988668</v>
      </c>
      <c r="BL228" s="317">
        <f>ROW()</f>
        <v>228</v>
      </c>
      <c r="BM228" s="1432">
        <f t="shared" si="204"/>
        <v>-63</v>
      </c>
      <c r="BN228" s="317">
        <f t="shared" si="211"/>
        <v>477.4034802655334</v>
      </c>
      <c r="BO228" s="317">
        <f t="shared" si="207"/>
        <v>5730</v>
      </c>
      <c r="BP228" s="594">
        <f t="shared" si="208"/>
        <v>-90</v>
      </c>
      <c r="BR228"/>
      <c r="BS228"/>
    </row>
    <row r="229" spans="1:71" x14ac:dyDescent="0.55000000000000004">
      <c r="A229" s="7222"/>
      <c r="B229" s="7208"/>
      <c r="C229" s="202" t="s">
        <v>247</v>
      </c>
      <c r="D229" s="300">
        <f t="shared" ref="D229:O229" si="242">D277+D325</f>
        <v>448</v>
      </c>
      <c r="E229" s="301">
        <f t="shared" si="242"/>
        <v>451</v>
      </c>
      <c r="F229" s="301">
        <f t="shared" si="242"/>
        <v>452</v>
      </c>
      <c r="G229" s="301">
        <f t="shared" si="242"/>
        <v>473</v>
      </c>
      <c r="H229" s="301">
        <f t="shared" si="242"/>
        <v>500</v>
      </c>
      <c r="I229" s="301">
        <f t="shared" si="242"/>
        <v>420</v>
      </c>
      <c r="J229" s="301">
        <f t="shared" si="242"/>
        <v>296</v>
      </c>
      <c r="K229" s="301">
        <f t="shared" si="242"/>
        <v>387</v>
      </c>
      <c r="L229" s="301">
        <f t="shared" si="242"/>
        <v>274</v>
      </c>
      <c r="M229" s="301">
        <f t="shared" si="242"/>
        <v>269</v>
      </c>
      <c r="N229" s="301">
        <f t="shared" si="242"/>
        <v>212</v>
      </c>
      <c r="O229" s="301">
        <f t="shared" si="242"/>
        <v>106</v>
      </c>
      <c r="P229" s="301">
        <f t="shared" si="185"/>
        <v>4288</v>
      </c>
      <c r="Q229" s="302">
        <f t="shared" si="200"/>
        <v>357.33333333333331</v>
      </c>
      <c r="R229" s="374"/>
      <c r="S229" s="300">
        <v>187</v>
      </c>
      <c r="T229" s="301">
        <v>223</v>
      </c>
      <c r="U229" s="301">
        <v>207</v>
      </c>
      <c r="V229" s="301">
        <v>233</v>
      </c>
      <c r="W229" s="301">
        <v>320</v>
      </c>
      <c r="X229" s="301">
        <v>302</v>
      </c>
      <c r="Y229" s="301">
        <v>222</v>
      </c>
      <c r="Z229" s="301">
        <v>287</v>
      </c>
      <c r="AA229" s="301">
        <v>239</v>
      </c>
      <c r="AB229" s="301">
        <v>342</v>
      </c>
      <c r="AC229" s="301">
        <v>299</v>
      </c>
      <c r="AD229" s="301">
        <v>198</v>
      </c>
      <c r="AE229" s="301">
        <f t="shared" si="183"/>
        <v>3059</v>
      </c>
      <c r="AF229" s="302">
        <f t="shared" si="184"/>
        <v>254.91666666666666</v>
      </c>
      <c r="AG229" s="374"/>
      <c r="AH229" s="300">
        <v>292</v>
      </c>
      <c r="AI229" s="301">
        <v>308</v>
      </c>
      <c r="AJ229" s="301">
        <v>296</v>
      </c>
      <c r="AK229" s="301">
        <v>290</v>
      </c>
      <c r="AL229" s="301">
        <v>292</v>
      </c>
      <c r="AM229" s="301">
        <v>264</v>
      </c>
      <c r="AN229" s="301">
        <v>277</v>
      </c>
      <c r="AO229" s="301">
        <v>348</v>
      </c>
      <c r="AP229" s="301">
        <v>308</v>
      </c>
      <c r="AQ229" s="301">
        <v>324</v>
      </c>
      <c r="AR229" s="301">
        <v>591</v>
      </c>
      <c r="AS229" s="301">
        <v>292</v>
      </c>
      <c r="AT229" s="301">
        <f t="shared" si="186"/>
        <v>3882</v>
      </c>
      <c r="AU229" s="302">
        <f t="shared" si="214"/>
        <v>323.5</v>
      </c>
      <c r="AV229" s="374"/>
      <c r="AW229" s="2021">
        <v>316</v>
      </c>
      <c r="AX229" s="301">
        <v>386</v>
      </c>
      <c r="AY229" s="301">
        <v>365</v>
      </c>
      <c r="AZ229" s="301">
        <v>353</v>
      </c>
      <c r="BA229" s="301">
        <v>778</v>
      </c>
      <c r="BB229" s="301">
        <v>590</v>
      </c>
      <c r="BC229" s="301">
        <v>497</v>
      </c>
      <c r="BD229" s="301">
        <v>308</v>
      </c>
      <c r="BE229" s="301">
        <v>356</v>
      </c>
      <c r="BF229" s="301">
        <v>388</v>
      </c>
      <c r="BG229" s="301">
        <v>434</v>
      </c>
      <c r="BH229" s="301">
        <v>400</v>
      </c>
      <c r="BI229" s="301">
        <f t="shared" si="202"/>
        <v>5171</v>
      </c>
      <c r="BJ229" s="302">
        <f t="shared" si="203"/>
        <v>430.88075993667195</v>
      </c>
      <c r="BL229" s="317">
        <f>ROW()</f>
        <v>229</v>
      </c>
      <c r="BM229" s="1432">
        <f t="shared" si="204"/>
        <v>108</v>
      </c>
      <c r="BN229" s="317">
        <f t="shared" si="211"/>
        <v>107.38075993667195</v>
      </c>
      <c r="BO229" s="317">
        <f t="shared" si="207"/>
        <v>1289</v>
      </c>
      <c r="BP229" s="594">
        <f t="shared" si="208"/>
        <v>-34</v>
      </c>
    </row>
    <row r="230" spans="1:71" x14ac:dyDescent="0.55000000000000004">
      <c r="A230" s="7222"/>
      <c r="B230" s="7208"/>
      <c r="C230" s="203" t="s">
        <v>248</v>
      </c>
      <c r="D230" s="303">
        <f t="shared" ref="D230:O230" si="243">D278+D326</f>
        <v>435</v>
      </c>
      <c r="E230" s="304">
        <f t="shared" si="243"/>
        <v>417</v>
      </c>
      <c r="F230" s="304">
        <f t="shared" si="243"/>
        <v>369</v>
      </c>
      <c r="G230" s="304">
        <f t="shared" si="243"/>
        <v>539</v>
      </c>
      <c r="H230" s="304">
        <f t="shared" si="243"/>
        <v>486</v>
      </c>
      <c r="I230" s="304">
        <f t="shared" si="243"/>
        <v>427</v>
      </c>
      <c r="J230" s="304">
        <f t="shared" si="243"/>
        <v>298</v>
      </c>
      <c r="K230" s="304">
        <f t="shared" si="243"/>
        <v>440</v>
      </c>
      <c r="L230" s="304">
        <f t="shared" si="243"/>
        <v>327</v>
      </c>
      <c r="M230" s="304">
        <f t="shared" si="243"/>
        <v>329</v>
      </c>
      <c r="N230" s="304">
        <f t="shared" si="243"/>
        <v>341</v>
      </c>
      <c r="O230" s="304">
        <f t="shared" si="243"/>
        <v>403</v>
      </c>
      <c r="P230" s="304">
        <f t="shared" si="185"/>
        <v>4811</v>
      </c>
      <c r="Q230" s="305">
        <f t="shared" si="200"/>
        <v>400.91666666666669</v>
      </c>
      <c r="R230" s="374"/>
      <c r="S230" s="303">
        <v>337</v>
      </c>
      <c r="T230" s="304">
        <v>517</v>
      </c>
      <c r="U230" s="304">
        <v>455</v>
      </c>
      <c r="V230" s="304">
        <v>419</v>
      </c>
      <c r="W230" s="304">
        <v>521</v>
      </c>
      <c r="X230" s="304">
        <v>438</v>
      </c>
      <c r="Y230" s="304">
        <v>339</v>
      </c>
      <c r="Z230" s="304">
        <v>568</v>
      </c>
      <c r="AA230" s="304">
        <v>450</v>
      </c>
      <c r="AB230" s="304">
        <v>494</v>
      </c>
      <c r="AC230" s="304">
        <v>450</v>
      </c>
      <c r="AD230" s="304">
        <v>323</v>
      </c>
      <c r="AE230" s="304">
        <f t="shared" si="183"/>
        <v>5311</v>
      </c>
      <c r="AF230" s="305">
        <f t="shared" si="184"/>
        <v>442.58333333333331</v>
      </c>
      <c r="AG230" s="374"/>
      <c r="AH230" s="303">
        <v>472</v>
      </c>
      <c r="AI230" s="304">
        <v>377</v>
      </c>
      <c r="AJ230" s="304">
        <v>380</v>
      </c>
      <c r="AK230" s="304">
        <v>417</v>
      </c>
      <c r="AL230" s="304">
        <v>494</v>
      </c>
      <c r="AM230" s="304">
        <v>436</v>
      </c>
      <c r="AN230" s="304">
        <v>481</v>
      </c>
      <c r="AO230" s="304">
        <v>335</v>
      </c>
      <c r="AP230" s="304">
        <v>379</v>
      </c>
      <c r="AQ230" s="304">
        <v>445</v>
      </c>
      <c r="AR230" s="304">
        <v>1031</v>
      </c>
      <c r="AS230" s="304">
        <v>498</v>
      </c>
      <c r="AT230" s="304">
        <f t="shared" si="186"/>
        <v>5745</v>
      </c>
      <c r="AU230" s="305">
        <f t="shared" si="214"/>
        <v>478.75</v>
      </c>
      <c r="AV230" s="374"/>
      <c r="AW230" s="2022">
        <v>475</v>
      </c>
      <c r="AX230" s="304">
        <v>607</v>
      </c>
      <c r="AY230" s="304">
        <v>555</v>
      </c>
      <c r="AZ230" s="304">
        <v>535</v>
      </c>
      <c r="BA230" s="304">
        <v>955</v>
      </c>
      <c r="BB230" s="304">
        <v>702</v>
      </c>
      <c r="BC230" s="304">
        <v>708</v>
      </c>
      <c r="BD230" s="304">
        <v>384</v>
      </c>
      <c r="BE230" s="304">
        <v>481</v>
      </c>
      <c r="BF230" s="304">
        <v>427</v>
      </c>
      <c r="BG230" s="304">
        <v>477</v>
      </c>
      <c r="BH230" s="304">
        <v>431</v>
      </c>
      <c r="BI230" s="304">
        <f t="shared" si="202"/>
        <v>6737</v>
      </c>
      <c r="BJ230" s="305">
        <f t="shared" si="203"/>
        <v>561.36988584284643</v>
      </c>
      <c r="BL230" s="317">
        <f>ROW()</f>
        <v>230</v>
      </c>
      <c r="BM230" s="1432">
        <f t="shared" si="204"/>
        <v>-67</v>
      </c>
      <c r="BN230" s="317">
        <f t="shared" si="211"/>
        <v>82.619885842846429</v>
      </c>
      <c r="BO230" s="317">
        <f t="shared" si="207"/>
        <v>992</v>
      </c>
      <c r="BP230" s="594">
        <f t="shared" si="208"/>
        <v>-46</v>
      </c>
    </row>
    <row r="231" spans="1:71" ht="18" thickBot="1" x14ac:dyDescent="0.6">
      <c r="A231" s="7222"/>
      <c r="B231" s="7209"/>
      <c r="C231" s="212" t="s">
        <v>249</v>
      </c>
      <c r="D231" s="312">
        <f t="shared" ref="D231:O231" si="244">D279+D327</f>
        <v>325</v>
      </c>
      <c r="E231" s="313">
        <f t="shared" si="244"/>
        <v>334</v>
      </c>
      <c r="F231" s="313">
        <f t="shared" si="244"/>
        <v>327</v>
      </c>
      <c r="G231" s="313">
        <f t="shared" si="244"/>
        <v>327</v>
      </c>
      <c r="H231" s="313">
        <f t="shared" si="244"/>
        <v>379</v>
      </c>
      <c r="I231" s="313">
        <f t="shared" si="244"/>
        <v>409</v>
      </c>
      <c r="J231" s="313">
        <f t="shared" si="244"/>
        <v>302</v>
      </c>
      <c r="K231" s="313">
        <f t="shared" si="244"/>
        <v>282</v>
      </c>
      <c r="L231" s="313">
        <f t="shared" si="244"/>
        <v>308</v>
      </c>
      <c r="M231" s="313">
        <f t="shared" si="244"/>
        <v>303</v>
      </c>
      <c r="N231" s="313">
        <f t="shared" si="244"/>
        <v>314</v>
      </c>
      <c r="O231" s="313">
        <f t="shared" si="244"/>
        <v>191</v>
      </c>
      <c r="P231" s="313">
        <f t="shared" si="185"/>
        <v>3801</v>
      </c>
      <c r="Q231" s="314">
        <f t="shared" si="200"/>
        <v>316.75</v>
      </c>
      <c r="R231" s="374"/>
      <c r="S231" s="312">
        <v>271</v>
      </c>
      <c r="T231" s="313">
        <v>213</v>
      </c>
      <c r="U231" s="313">
        <v>236</v>
      </c>
      <c r="V231" s="313">
        <v>223</v>
      </c>
      <c r="W231" s="313">
        <v>259</v>
      </c>
      <c r="X231" s="313">
        <v>167</v>
      </c>
      <c r="Y231" s="313">
        <v>209</v>
      </c>
      <c r="Z231" s="313">
        <v>236</v>
      </c>
      <c r="AA231" s="313">
        <v>188</v>
      </c>
      <c r="AB231" s="313">
        <v>233</v>
      </c>
      <c r="AC231" s="313">
        <v>231</v>
      </c>
      <c r="AD231" s="313">
        <v>179</v>
      </c>
      <c r="AE231" s="313">
        <f t="shared" si="183"/>
        <v>2645</v>
      </c>
      <c r="AF231" s="314">
        <f t="shared" si="184"/>
        <v>220.41666666666666</v>
      </c>
      <c r="AG231" s="374"/>
      <c r="AH231" s="312">
        <v>279</v>
      </c>
      <c r="AI231" s="313">
        <v>233</v>
      </c>
      <c r="AJ231" s="313">
        <v>271</v>
      </c>
      <c r="AK231" s="313">
        <v>262</v>
      </c>
      <c r="AL231" s="313">
        <v>220</v>
      </c>
      <c r="AM231" s="313">
        <v>235</v>
      </c>
      <c r="AN231" s="313">
        <v>258</v>
      </c>
      <c r="AO231" s="313">
        <v>255</v>
      </c>
      <c r="AP231" s="313">
        <v>261</v>
      </c>
      <c r="AQ231" s="313">
        <v>348</v>
      </c>
      <c r="AR231" s="313">
        <v>661</v>
      </c>
      <c r="AS231" s="313">
        <v>359</v>
      </c>
      <c r="AT231" s="313">
        <f t="shared" si="186"/>
        <v>3642</v>
      </c>
      <c r="AU231" s="314">
        <f t="shared" si="214"/>
        <v>303.5</v>
      </c>
      <c r="AV231" s="374"/>
      <c r="AW231" s="2024">
        <v>344</v>
      </c>
      <c r="AX231" s="313">
        <v>469</v>
      </c>
      <c r="AY231" s="313">
        <v>363</v>
      </c>
      <c r="AZ231" s="313">
        <v>412</v>
      </c>
      <c r="BA231" s="313">
        <v>470</v>
      </c>
      <c r="BB231" s="313">
        <v>389</v>
      </c>
      <c r="BC231" s="313">
        <v>400</v>
      </c>
      <c r="BD231" s="313">
        <v>339</v>
      </c>
      <c r="BE231" s="313">
        <v>362</v>
      </c>
      <c r="BF231" s="313">
        <v>292</v>
      </c>
      <c r="BG231" s="313">
        <v>288</v>
      </c>
      <c r="BH231" s="313">
        <v>283</v>
      </c>
      <c r="BI231" s="313">
        <f t="shared" si="202"/>
        <v>4411</v>
      </c>
      <c r="BJ231" s="314">
        <f t="shared" si="203"/>
        <v>367.55270394133822</v>
      </c>
      <c r="BL231" s="317">
        <f>ROW()</f>
        <v>231</v>
      </c>
      <c r="BM231" s="1432">
        <f t="shared" si="204"/>
        <v>-76</v>
      </c>
      <c r="BN231" s="317">
        <f t="shared" si="211"/>
        <v>64.052703941338223</v>
      </c>
      <c r="BO231" s="317">
        <f t="shared" si="207"/>
        <v>769</v>
      </c>
      <c r="BP231" s="594">
        <f t="shared" si="208"/>
        <v>-5</v>
      </c>
    </row>
    <row r="232" spans="1:71" ht="17.399999999999999" customHeight="1" x14ac:dyDescent="0.55000000000000004">
      <c r="A232" s="7222"/>
      <c r="B232" s="7210" t="s">
        <v>446</v>
      </c>
      <c r="C232" s="197" t="s">
        <v>424</v>
      </c>
      <c r="D232" s="276">
        <v>1367</v>
      </c>
      <c r="E232" s="277">
        <v>1173</v>
      </c>
      <c r="F232" s="277">
        <v>1191</v>
      </c>
      <c r="G232" s="277">
        <v>1184</v>
      </c>
      <c r="H232" s="277">
        <v>1249</v>
      </c>
      <c r="I232" s="277">
        <v>1264</v>
      </c>
      <c r="J232" s="277">
        <v>1186</v>
      </c>
      <c r="K232" s="277">
        <v>1354</v>
      </c>
      <c r="L232" s="277">
        <v>1112</v>
      </c>
      <c r="M232" s="277">
        <v>1130</v>
      </c>
      <c r="N232" s="277">
        <v>1216</v>
      </c>
      <c r="O232" s="277">
        <v>1058</v>
      </c>
      <c r="P232" s="277">
        <f>SUM(D232:O232)</f>
        <v>14484</v>
      </c>
      <c r="Q232" s="278">
        <f t="shared" si="139"/>
        <v>1207</v>
      </c>
      <c r="R232" s="374"/>
      <c r="S232" s="276">
        <v>1355</v>
      </c>
      <c r="T232" s="277">
        <v>1589</v>
      </c>
      <c r="U232" s="277">
        <v>1501</v>
      </c>
      <c r="V232" s="277">
        <v>1524</v>
      </c>
      <c r="W232" s="277">
        <v>1335</v>
      </c>
      <c r="X232" s="277">
        <v>1385</v>
      </c>
      <c r="Y232" s="277">
        <v>1121</v>
      </c>
      <c r="Z232" s="277">
        <v>1660</v>
      </c>
      <c r="AA232" s="277">
        <v>1022</v>
      </c>
      <c r="AB232" s="277">
        <v>1259</v>
      </c>
      <c r="AC232" s="277">
        <v>1137</v>
      </c>
      <c r="AD232" s="277">
        <v>971</v>
      </c>
      <c r="AE232" s="277">
        <f t="shared" ref="AE232:AE327" si="245">SUM(S232:AD232)</f>
        <v>15859</v>
      </c>
      <c r="AF232" s="278">
        <f t="shared" si="141"/>
        <v>1321.5833333333333</v>
      </c>
      <c r="AG232" s="374"/>
      <c r="AH232" s="276">
        <v>1708</v>
      </c>
      <c r="AI232" s="277">
        <v>1305</v>
      </c>
      <c r="AJ232" s="277">
        <v>1616</v>
      </c>
      <c r="AK232" s="277">
        <v>1650</v>
      </c>
      <c r="AL232" s="277">
        <v>1582</v>
      </c>
      <c r="AM232" s="277">
        <v>1407</v>
      </c>
      <c r="AN232" s="277">
        <v>1808</v>
      </c>
      <c r="AO232" s="277">
        <v>1410</v>
      </c>
      <c r="AP232" s="277">
        <v>1540</v>
      </c>
      <c r="AQ232" s="277">
        <v>1483</v>
      </c>
      <c r="AR232" s="277">
        <v>1409</v>
      </c>
      <c r="AS232" s="277">
        <v>1312</v>
      </c>
      <c r="AT232" s="277">
        <f>SUM(AH232:AS232)</f>
        <v>18230</v>
      </c>
      <c r="AU232" s="278">
        <f t="shared" si="214"/>
        <v>1519.1666666666667</v>
      </c>
      <c r="AV232" s="374"/>
      <c r="AW232" s="2012">
        <v>1166</v>
      </c>
      <c r="AX232" s="277">
        <v>2200</v>
      </c>
      <c r="AY232" s="277">
        <v>1692</v>
      </c>
      <c r="AZ232" s="277">
        <v>2007</v>
      </c>
      <c r="BA232" s="277">
        <v>3633.9999999999995</v>
      </c>
      <c r="BB232" s="277">
        <v>1880.9999999999998</v>
      </c>
      <c r="BC232" s="277">
        <v>2673</v>
      </c>
      <c r="BD232" s="277">
        <v>1663</v>
      </c>
      <c r="BE232" s="277">
        <v>1839</v>
      </c>
      <c r="BF232" s="277">
        <v>1232</v>
      </c>
      <c r="BG232" s="277">
        <v>1248</v>
      </c>
      <c r="BH232" s="277">
        <v>1202</v>
      </c>
      <c r="BI232" s="277">
        <f t="shared" si="202"/>
        <v>22437</v>
      </c>
      <c r="BJ232" s="278">
        <f t="shared" si="203"/>
        <v>1869.5942004832932</v>
      </c>
      <c r="BL232" s="317">
        <f>ROW()</f>
        <v>232</v>
      </c>
      <c r="BM232" s="1432">
        <f t="shared" si="204"/>
        <v>-110</v>
      </c>
      <c r="BN232" s="317">
        <f t="shared" si="211"/>
        <v>350.42753381662646</v>
      </c>
      <c r="BO232" s="317">
        <f t="shared" si="207"/>
        <v>4207</v>
      </c>
      <c r="BP232" s="594">
        <f t="shared" si="208"/>
        <v>-46</v>
      </c>
    </row>
    <row r="233" spans="1:71" ht="17.399999999999999" customHeight="1" x14ac:dyDescent="0.55000000000000004">
      <c r="A233" s="7222"/>
      <c r="B233" s="7211"/>
      <c r="C233" s="198" t="s">
        <v>1112</v>
      </c>
      <c r="D233" s="279">
        <v>414</v>
      </c>
      <c r="E233" s="280">
        <v>420</v>
      </c>
      <c r="F233" s="280">
        <v>615</v>
      </c>
      <c r="G233" s="280">
        <v>559</v>
      </c>
      <c r="H233" s="280">
        <v>501</v>
      </c>
      <c r="I233" s="280">
        <v>518</v>
      </c>
      <c r="J233" s="280">
        <v>480</v>
      </c>
      <c r="K233" s="280">
        <v>415</v>
      </c>
      <c r="L233" s="280">
        <v>479</v>
      </c>
      <c r="M233" s="280">
        <v>646</v>
      </c>
      <c r="N233" s="280">
        <v>537</v>
      </c>
      <c r="O233" s="280">
        <v>526</v>
      </c>
      <c r="P233" s="280">
        <f>SUM(D233:O233)</f>
        <v>6110</v>
      </c>
      <c r="Q233" s="281">
        <f t="shared" ref="Q233" si="246">P233/12</f>
        <v>509.16666666666669</v>
      </c>
      <c r="R233" s="374"/>
      <c r="S233" s="279">
        <v>504</v>
      </c>
      <c r="T233" s="280">
        <v>648</v>
      </c>
      <c r="U233" s="280">
        <v>734</v>
      </c>
      <c r="V233" s="280">
        <v>726</v>
      </c>
      <c r="W233" s="280">
        <v>831</v>
      </c>
      <c r="X233" s="280">
        <v>801</v>
      </c>
      <c r="Y233" s="280">
        <v>715</v>
      </c>
      <c r="Z233" s="280">
        <v>688</v>
      </c>
      <c r="AA233" s="280">
        <v>679</v>
      </c>
      <c r="AB233" s="280">
        <v>643</v>
      </c>
      <c r="AC233" s="280">
        <v>747</v>
      </c>
      <c r="AD233" s="280">
        <v>703</v>
      </c>
      <c r="AE233" s="280">
        <f t="shared" ref="AE233" si="247">SUM(S233:AD233)</f>
        <v>8419</v>
      </c>
      <c r="AF233" s="281">
        <f t="shared" ref="AF233" si="248">AE233/12</f>
        <v>701.58333333333337</v>
      </c>
      <c r="AG233" s="374"/>
      <c r="AH233" s="279">
        <v>774</v>
      </c>
      <c r="AI233" s="280">
        <v>624</v>
      </c>
      <c r="AJ233" s="280">
        <v>731</v>
      </c>
      <c r="AK233" s="280">
        <v>672</v>
      </c>
      <c r="AL233" s="280">
        <v>727</v>
      </c>
      <c r="AM233" s="280">
        <v>947.00000000000011</v>
      </c>
      <c r="AN233" s="280">
        <v>851</v>
      </c>
      <c r="AO233" s="280">
        <v>711</v>
      </c>
      <c r="AP233" s="280">
        <v>893.00000000000011</v>
      </c>
      <c r="AQ233" s="280">
        <v>807</v>
      </c>
      <c r="AR233" s="280">
        <v>582</v>
      </c>
      <c r="AS233" s="280">
        <v>553</v>
      </c>
      <c r="AT233" s="280">
        <f>SUM(AH233:AS233)</f>
        <v>8872</v>
      </c>
      <c r="AU233" s="281">
        <f t="shared" ref="AU233" si="249">AT233/12</f>
        <v>739.33333333333337</v>
      </c>
      <c r="AV233" s="374"/>
      <c r="AW233" s="2013">
        <v>551</v>
      </c>
      <c r="AX233" s="280">
        <v>529</v>
      </c>
      <c r="AY233" s="280">
        <v>772</v>
      </c>
      <c r="AZ233" s="280">
        <v>791</v>
      </c>
      <c r="BA233" s="280">
        <v>948.00000000000011</v>
      </c>
      <c r="BB233" s="280">
        <v>807</v>
      </c>
      <c r="BC233" s="280">
        <v>1069</v>
      </c>
      <c r="BD233" s="280">
        <v>828</v>
      </c>
      <c r="BE233" s="280">
        <v>887</v>
      </c>
      <c r="BF233" s="280">
        <v>578</v>
      </c>
      <c r="BG233" s="280">
        <v>487</v>
      </c>
      <c r="BH233" s="280">
        <v>381</v>
      </c>
      <c r="BI233" s="280">
        <f t="shared" si="202"/>
        <v>8628</v>
      </c>
      <c r="BJ233" s="281">
        <f t="shared" ref="BJ233" si="250">BI233/$A$2</f>
        <v>718.94008832597285</v>
      </c>
      <c r="BL233" s="317">
        <f>ROW()</f>
        <v>233</v>
      </c>
      <c r="BM233" s="1432">
        <f t="shared" si="204"/>
        <v>-172</v>
      </c>
      <c r="BN233" s="317">
        <f t="shared" ref="BN233" si="251">BJ233-AU233</f>
        <v>-20.39324500736052</v>
      </c>
      <c r="BO233" s="317">
        <f t="shared" si="207"/>
        <v>-244</v>
      </c>
      <c r="BP233" s="594">
        <f t="shared" si="208"/>
        <v>-106</v>
      </c>
    </row>
    <row r="234" spans="1:71" ht="17.399999999999999" customHeight="1" x14ac:dyDescent="0.55000000000000004">
      <c r="A234" s="7222"/>
      <c r="B234" s="7212"/>
      <c r="C234" s="198" t="s">
        <v>426</v>
      </c>
      <c r="D234" s="279">
        <v>1201</v>
      </c>
      <c r="E234" s="280">
        <v>1416</v>
      </c>
      <c r="F234" s="280">
        <v>1354</v>
      </c>
      <c r="G234" s="280">
        <v>1698</v>
      </c>
      <c r="H234" s="280">
        <v>1778</v>
      </c>
      <c r="I234" s="280">
        <v>1669</v>
      </c>
      <c r="J234" s="280">
        <v>1258</v>
      </c>
      <c r="K234" s="280">
        <v>1501</v>
      </c>
      <c r="L234" s="280">
        <v>1259</v>
      </c>
      <c r="M234" s="280">
        <v>1445</v>
      </c>
      <c r="N234" s="280">
        <v>1228</v>
      </c>
      <c r="O234" s="280">
        <v>1043</v>
      </c>
      <c r="P234" s="280">
        <f>SUM(D234:O234)</f>
        <v>16850</v>
      </c>
      <c r="Q234" s="281">
        <f t="shared" si="139"/>
        <v>1404.1666666666667</v>
      </c>
      <c r="R234" s="374"/>
      <c r="S234" s="279">
        <v>1082</v>
      </c>
      <c r="T234" s="280">
        <v>1358</v>
      </c>
      <c r="U234" s="280">
        <v>1363</v>
      </c>
      <c r="V234" s="280">
        <v>1102</v>
      </c>
      <c r="W234" s="280">
        <v>1391</v>
      </c>
      <c r="X234" s="280">
        <v>1155</v>
      </c>
      <c r="Y234" s="280">
        <v>1044</v>
      </c>
      <c r="Z234" s="280">
        <v>1501</v>
      </c>
      <c r="AA234" s="280">
        <v>1300</v>
      </c>
      <c r="AB234" s="280">
        <v>1194</v>
      </c>
      <c r="AC234" s="280">
        <v>1110</v>
      </c>
      <c r="AD234" s="280">
        <v>881</v>
      </c>
      <c r="AE234" s="280">
        <f t="shared" si="245"/>
        <v>14481</v>
      </c>
      <c r="AF234" s="281">
        <f t="shared" si="141"/>
        <v>1206.75</v>
      </c>
      <c r="AG234" s="374"/>
      <c r="AH234" s="279">
        <v>1360</v>
      </c>
      <c r="AI234" s="280">
        <v>1164</v>
      </c>
      <c r="AJ234" s="280">
        <v>1422</v>
      </c>
      <c r="AK234" s="280">
        <v>1301</v>
      </c>
      <c r="AL234" s="280">
        <v>1571</v>
      </c>
      <c r="AM234" s="280">
        <v>1486</v>
      </c>
      <c r="AN234" s="280">
        <v>1617</v>
      </c>
      <c r="AO234" s="280">
        <v>1621</v>
      </c>
      <c r="AP234" s="280">
        <v>1633</v>
      </c>
      <c r="AQ234" s="280">
        <v>1811</v>
      </c>
      <c r="AR234" s="280">
        <v>1822</v>
      </c>
      <c r="AS234" s="280">
        <v>1722</v>
      </c>
      <c r="AT234" s="280">
        <f>SUM(AH234:AS234)</f>
        <v>18530</v>
      </c>
      <c r="AU234" s="281">
        <f t="shared" si="214"/>
        <v>1544.1666666666667</v>
      </c>
      <c r="AV234" s="374"/>
      <c r="AW234" s="2013">
        <v>1637</v>
      </c>
      <c r="AX234" s="280">
        <v>2086</v>
      </c>
      <c r="AY234" s="280">
        <v>1810</v>
      </c>
      <c r="AZ234" s="280">
        <v>1896</v>
      </c>
      <c r="BA234" s="280">
        <v>3639</v>
      </c>
      <c r="BB234" s="280">
        <v>2896</v>
      </c>
      <c r="BC234" s="280">
        <v>2548</v>
      </c>
      <c r="BD234" s="280">
        <v>1876</v>
      </c>
      <c r="BE234" s="280">
        <v>1939</v>
      </c>
      <c r="BF234" s="280">
        <v>1819.0000000000002</v>
      </c>
      <c r="BG234" s="280">
        <v>1781</v>
      </c>
      <c r="BH234" s="280">
        <v>1777</v>
      </c>
      <c r="BI234" s="280">
        <f t="shared" si="202"/>
        <v>25704</v>
      </c>
      <c r="BJ234" s="281">
        <f t="shared" si="203"/>
        <v>2141.8215148737604</v>
      </c>
      <c r="BL234" s="317">
        <f>ROW()</f>
        <v>234</v>
      </c>
      <c r="BM234" s="1432">
        <f t="shared" si="204"/>
        <v>55</v>
      </c>
      <c r="BN234" s="317">
        <f t="shared" si="211"/>
        <v>597.65484820709366</v>
      </c>
      <c r="BO234" s="317">
        <f t="shared" si="207"/>
        <v>7174</v>
      </c>
      <c r="BP234" s="594">
        <f t="shared" si="208"/>
        <v>-4</v>
      </c>
    </row>
    <row r="235" spans="1:71" ht="17.399999999999999" customHeight="1" x14ac:dyDescent="0.55000000000000004">
      <c r="A235" s="7222"/>
      <c r="B235" s="7212"/>
      <c r="C235" s="198" t="s">
        <v>954</v>
      </c>
      <c r="D235" s="279">
        <v>477</v>
      </c>
      <c r="E235" s="280">
        <v>435</v>
      </c>
      <c r="F235" s="280">
        <v>632</v>
      </c>
      <c r="G235" s="280">
        <v>503</v>
      </c>
      <c r="H235" s="280">
        <v>479</v>
      </c>
      <c r="I235" s="280">
        <v>403</v>
      </c>
      <c r="J235" s="280">
        <v>394</v>
      </c>
      <c r="K235" s="280">
        <v>538</v>
      </c>
      <c r="L235" s="280">
        <v>641</v>
      </c>
      <c r="M235" s="280">
        <v>724</v>
      </c>
      <c r="N235" s="280">
        <v>472</v>
      </c>
      <c r="O235" s="280">
        <v>251</v>
      </c>
      <c r="P235" s="280">
        <f>SUM(D235:O235)</f>
        <v>5949</v>
      </c>
      <c r="Q235" s="281">
        <f t="shared" si="139"/>
        <v>495.75</v>
      </c>
      <c r="R235" s="374"/>
      <c r="S235" s="279">
        <v>13</v>
      </c>
      <c r="T235" s="280">
        <v>17</v>
      </c>
      <c r="U235" s="280">
        <v>8</v>
      </c>
      <c r="V235" s="280">
        <v>5</v>
      </c>
      <c r="W235" s="280">
        <v>13</v>
      </c>
      <c r="X235" s="280">
        <v>70</v>
      </c>
      <c r="Y235" s="280">
        <v>84</v>
      </c>
      <c r="Z235" s="280">
        <v>68</v>
      </c>
      <c r="AA235" s="280">
        <v>61</v>
      </c>
      <c r="AB235" s="280">
        <v>122</v>
      </c>
      <c r="AC235" s="280">
        <v>126</v>
      </c>
      <c r="AD235" s="280">
        <v>11</v>
      </c>
      <c r="AE235" s="280">
        <f t="shared" si="245"/>
        <v>598</v>
      </c>
      <c r="AF235" s="281">
        <f t="shared" si="141"/>
        <v>49.833333333333336</v>
      </c>
      <c r="AG235" s="374"/>
      <c r="AH235" s="279">
        <v>11</v>
      </c>
      <c r="AI235" s="280">
        <v>10</v>
      </c>
      <c r="AJ235" s="280">
        <v>25</v>
      </c>
      <c r="AK235" s="280">
        <v>80</v>
      </c>
      <c r="AL235" s="280">
        <v>131</v>
      </c>
      <c r="AM235" s="280">
        <v>98</v>
      </c>
      <c r="AN235" s="280">
        <v>49</v>
      </c>
      <c r="AO235" s="280">
        <v>52</v>
      </c>
      <c r="AP235" s="280">
        <v>31</v>
      </c>
      <c r="AQ235" s="280">
        <v>25</v>
      </c>
      <c r="AR235" s="280">
        <v>34</v>
      </c>
      <c r="AS235" s="280">
        <v>48</v>
      </c>
      <c r="AT235" s="280">
        <f>SUM(AH235:AS235)</f>
        <v>594</v>
      </c>
      <c r="AU235" s="281">
        <f t="shared" si="214"/>
        <v>49.5</v>
      </c>
      <c r="AV235" s="374"/>
      <c r="AW235" s="2013">
        <v>27</v>
      </c>
      <c r="AX235" s="280">
        <v>19</v>
      </c>
      <c r="AY235" s="280">
        <v>81</v>
      </c>
      <c r="AZ235" s="280">
        <v>124</v>
      </c>
      <c r="BA235" s="280">
        <v>311</v>
      </c>
      <c r="BB235" s="280">
        <v>197</v>
      </c>
      <c r="BC235" s="280">
        <v>293</v>
      </c>
      <c r="BD235" s="280">
        <v>112</v>
      </c>
      <c r="BE235" s="280">
        <v>151</v>
      </c>
      <c r="BF235" s="280">
        <v>112.00000000000001</v>
      </c>
      <c r="BG235" s="280">
        <v>145</v>
      </c>
      <c r="BH235" s="280">
        <v>130</v>
      </c>
      <c r="BI235" s="280">
        <f t="shared" si="202"/>
        <v>1702</v>
      </c>
      <c r="BJ235" s="281">
        <f t="shared" si="203"/>
        <v>141.82151487376052</v>
      </c>
      <c r="BL235" s="317">
        <f>ROW()</f>
        <v>235</v>
      </c>
      <c r="BM235" s="1432">
        <f t="shared" si="204"/>
        <v>82</v>
      </c>
      <c r="BN235" s="317">
        <f t="shared" si="211"/>
        <v>92.32151487376052</v>
      </c>
      <c r="BO235" s="317">
        <f t="shared" si="207"/>
        <v>1108</v>
      </c>
      <c r="BP235" s="594">
        <f t="shared" si="208"/>
        <v>-15</v>
      </c>
    </row>
    <row r="236" spans="1:71" ht="17.399999999999999" customHeight="1" x14ac:dyDescent="0.55000000000000004">
      <c r="A236" s="7222"/>
      <c r="B236" s="2214"/>
      <c r="C236" s="2231" t="s">
        <v>22</v>
      </c>
      <c r="D236" s="279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1"/>
      <c r="R236" s="280"/>
      <c r="S236" s="279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1"/>
      <c r="AG236" s="280"/>
      <c r="AH236" s="279"/>
      <c r="AI236" s="280">
        <v>1</v>
      </c>
      <c r="AJ236" s="280">
        <v>2</v>
      </c>
      <c r="AK236" s="280">
        <v>2</v>
      </c>
      <c r="AL236" s="280"/>
      <c r="AM236" s="280"/>
      <c r="AN236" s="280"/>
      <c r="AO236" s="280">
        <v>2</v>
      </c>
      <c r="AP236" s="280">
        <v>50</v>
      </c>
      <c r="AQ236" s="280">
        <v>4</v>
      </c>
      <c r="AR236" s="280">
        <v>2</v>
      </c>
      <c r="AS236" s="280"/>
      <c r="AT236" s="280">
        <f>SUM(AH236:AS236)</f>
        <v>63</v>
      </c>
      <c r="AU236" s="281">
        <f>AVERAGE(AH236:AS236)</f>
        <v>9</v>
      </c>
      <c r="AV236" s="280"/>
      <c r="AW236" s="2230">
        <v>7</v>
      </c>
      <c r="AX236" s="280">
        <v>6</v>
      </c>
      <c r="AY236" s="280">
        <v>19</v>
      </c>
      <c r="AZ236" s="280">
        <v>12</v>
      </c>
      <c r="BA236" s="280">
        <v>0</v>
      </c>
      <c r="BB236" s="280">
        <v>0</v>
      </c>
      <c r="BC236" s="280">
        <v>82</v>
      </c>
      <c r="BD236" s="280">
        <v>13</v>
      </c>
      <c r="BE236" s="280">
        <v>9</v>
      </c>
      <c r="BF236" s="280">
        <v>6</v>
      </c>
      <c r="BG236" s="280">
        <v>12</v>
      </c>
      <c r="BH236" s="280">
        <v>12</v>
      </c>
      <c r="BI236" s="280"/>
      <c r="BJ236" s="281"/>
      <c r="BL236" s="317">
        <f>ROW()</f>
        <v>236</v>
      </c>
      <c r="BM236" s="1432"/>
      <c r="BN236" s="317"/>
      <c r="BO236" s="317"/>
      <c r="BP236" s="594">
        <f t="shared" si="208"/>
        <v>0</v>
      </c>
    </row>
    <row r="237" spans="1:71" ht="17.399999999999999" customHeight="1" x14ac:dyDescent="0.55000000000000004">
      <c r="A237" s="7222"/>
      <c r="B237" s="7213" t="s">
        <v>430</v>
      </c>
      <c r="C237" s="199" t="s">
        <v>419</v>
      </c>
      <c r="D237" s="291">
        <f>D242+D243</f>
        <v>208</v>
      </c>
      <c r="E237" s="292">
        <f t="shared" ref="E237:O237" si="252">E242+E243</f>
        <v>200</v>
      </c>
      <c r="F237" s="292">
        <f t="shared" si="252"/>
        <v>178</v>
      </c>
      <c r="G237" s="292">
        <f t="shared" si="252"/>
        <v>179</v>
      </c>
      <c r="H237" s="292">
        <f t="shared" si="252"/>
        <v>203</v>
      </c>
      <c r="I237" s="292">
        <f t="shared" si="252"/>
        <v>204</v>
      </c>
      <c r="J237" s="292">
        <f t="shared" si="252"/>
        <v>191</v>
      </c>
      <c r="K237" s="292">
        <f t="shared" si="252"/>
        <v>209</v>
      </c>
      <c r="L237" s="292">
        <f t="shared" si="252"/>
        <v>160</v>
      </c>
      <c r="M237" s="292">
        <f t="shared" si="252"/>
        <v>152</v>
      </c>
      <c r="N237" s="292">
        <f t="shared" si="252"/>
        <v>167</v>
      </c>
      <c r="O237" s="292">
        <f t="shared" si="252"/>
        <v>141</v>
      </c>
      <c r="P237" s="292">
        <f t="shared" ref="P237:P279" si="253">SUM(D237:O237)</f>
        <v>2192</v>
      </c>
      <c r="Q237" s="293">
        <f t="shared" si="139"/>
        <v>182.66666666666666</v>
      </c>
      <c r="R237" s="374"/>
      <c r="S237" s="291">
        <v>185</v>
      </c>
      <c r="T237" s="292">
        <v>223</v>
      </c>
      <c r="U237" s="292">
        <v>216</v>
      </c>
      <c r="V237" s="292">
        <v>229</v>
      </c>
      <c r="W237" s="292">
        <v>194</v>
      </c>
      <c r="X237" s="292">
        <v>202</v>
      </c>
      <c r="Y237" s="292">
        <v>169</v>
      </c>
      <c r="Z237" s="292">
        <v>235</v>
      </c>
      <c r="AA237" s="292">
        <v>134</v>
      </c>
      <c r="AB237" s="292">
        <v>172</v>
      </c>
      <c r="AC237" s="292">
        <v>146</v>
      </c>
      <c r="AD237" s="292">
        <v>109</v>
      </c>
      <c r="AE237" s="292">
        <f t="shared" ref="AE237:AE279" si="254">SUM(S237:AD237)</f>
        <v>2214</v>
      </c>
      <c r="AF237" s="293">
        <f t="shared" si="141"/>
        <v>184.5</v>
      </c>
      <c r="AG237" s="374"/>
      <c r="AH237" s="291">
        <v>212</v>
      </c>
      <c r="AI237" s="292">
        <v>165</v>
      </c>
      <c r="AJ237" s="292">
        <v>230</v>
      </c>
      <c r="AK237" s="292">
        <v>253</v>
      </c>
      <c r="AL237" s="292">
        <v>242</v>
      </c>
      <c r="AM237" s="292">
        <v>236</v>
      </c>
      <c r="AN237" s="292">
        <v>288</v>
      </c>
      <c r="AO237" s="292">
        <v>251</v>
      </c>
      <c r="AP237" s="292">
        <v>245</v>
      </c>
      <c r="AQ237" s="292">
        <v>216</v>
      </c>
      <c r="AR237" s="292">
        <v>521</v>
      </c>
      <c r="AS237" s="292">
        <v>214</v>
      </c>
      <c r="AT237" s="292">
        <f t="shared" ref="AT237:AT279" si="255">SUM(AH237:AS237)</f>
        <v>3073</v>
      </c>
      <c r="AU237" s="293">
        <f t="shared" si="214"/>
        <v>256.08333333333331</v>
      </c>
      <c r="AV237" s="374"/>
      <c r="AW237" s="2015">
        <v>193</v>
      </c>
      <c r="AX237" s="292">
        <v>358</v>
      </c>
      <c r="AY237" s="292">
        <v>269</v>
      </c>
      <c r="AZ237" s="292">
        <v>321</v>
      </c>
      <c r="BA237" s="292">
        <v>651</v>
      </c>
      <c r="BB237" s="292">
        <v>309</v>
      </c>
      <c r="BC237" s="292">
        <v>447</v>
      </c>
      <c r="BD237" s="292">
        <v>260</v>
      </c>
      <c r="BE237" s="292">
        <v>278</v>
      </c>
      <c r="BF237" s="292">
        <v>181</v>
      </c>
      <c r="BG237" s="292">
        <v>208</v>
      </c>
      <c r="BH237" s="292">
        <v>217</v>
      </c>
      <c r="BI237" s="292">
        <f t="shared" ref="BI237:BI283" si="256">SUM(AW237:BH237)</f>
        <v>3692</v>
      </c>
      <c r="BJ237" s="293">
        <f t="shared" si="203"/>
        <v>307.64102991417383</v>
      </c>
      <c r="BL237" s="317">
        <f>ROW()</f>
        <v>237</v>
      </c>
      <c r="BM237" s="1432">
        <f t="shared" ref="BM237:BO284" si="257">HLOOKUP($A$2,$AW$2:$BH$511,ROW()-1,0)-HLOOKUP($A$2,$AH$2:$AS$511,ROW()-1,0)</f>
        <v>3</v>
      </c>
      <c r="BN237" s="317">
        <f t="shared" si="211"/>
        <v>51.557696580840513</v>
      </c>
      <c r="BO237" s="317">
        <f t="shared" ref="BO237:BO282" si="258">BI237-SUM(AH237:AS237)</f>
        <v>619</v>
      </c>
      <c r="BP237" s="594">
        <f t="shared" si="208"/>
        <v>9</v>
      </c>
    </row>
    <row r="238" spans="1:71" ht="17.399999999999999" customHeight="1" x14ac:dyDescent="0.55000000000000004">
      <c r="A238" s="7222"/>
      <c r="B238" s="7214"/>
      <c r="C238" s="200" t="s">
        <v>420</v>
      </c>
      <c r="D238" s="294">
        <f>D244+D245</f>
        <v>258</v>
      </c>
      <c r="E238" s="295">
        <f t="shared" ref="E238:O238" si="259">E244+E245</f>
        <v>198</v>
      </c>
      <c r="F238" s="295">
        <f t="shared" si="259"/>
        <v>219</v>
      </c>
      <c r="G238" s="295">
        <f t="shared" si="259"/>
        <v>234</v>
      </c>
      <c r="H238" s="295">
        <f t="shared" si="259"/>
        <v>218</v>
      </c>
      <c r="I238" s="295">
        <f t="shared" si="259"/>
        <v>223</v>
      </c>
      <c r="J238" s="295">
        <f t="shared" si="259"/>
        <v>219</v>
      </c>
      <c r="K238" s="295">
        <f t="shared" si="259"/>
        <v>223</v>
      </c>
      <c r="L238" s="295">
        <f t="shared" si="259"/>
        <v>223</v>
      </c>
      <c r="M238" s="295">
        <f t="shared" si="259"/>
        <v>207</v>
      </c>
      <c r="N238" s="295">
        <f t="shared" si="259"/>
        <v>177</v>
      </c>
      <c r="O238" s="295">
        <f t="shared" si="259"/>
        <v>165</v>
      </c>
      <c r="P238" s="295">
        <f t="shared" si="253"/>
        <v>2564</v>
      </c>
      <c r="Q238" s="296">
        <f t="shared" si="139"/>
        <v>213.66666666666666</v>
      </c>
      <c r="R238" s="374"/>
      <c r="S238" s="294">
        <v>255</v>
      </c>
      <c r="T238" s="295">
        <v>308</v>
      </c>
      <c r="U238" s="295">
        <v>311</v>
      </c>
      <c r="V238" s="295">
        <v>300</v>
      </c>
      <c r="W238" s="295">
        <v>263</v>
      </c>
      <c r="X238" s="295">
        <v>275</v>
      </c>
      <c r="Y238" s="295">
        <v>219</v>
      </c>
      <c r="Z238" s="295">
        <v>308</v>
      </c>
      <c r="AA238" s="295">
        <v>189</v>
      </c>
      <c r="AB238" s="295">
        <v>252</v>
      </c>
      <c r="AC238" s="295">
        <v>192</v>
      </c>
      <c r="AD238" s="295">
        <v>183</v>
      </c>
      <c r="AE238" s="295">
        <f t="shared" si="254"/>
        <v>3055</v>
      </c>
      <c r="AF238" s="296">
        <f t="shared" si="141"/>
        <v>254.58333333333334</v>
      </c>
      <c r="AG238" s="374"/>
      <c r="AH238" s="294">
        <v>314</v>
      </c>
      <c r="AI238" s="295">
        <v>244</v>
      </c>
      <c r="AJ238" s="295">
        <v>272</v>
      </c>
      <c r="AK238" s="295">
        <v>299</v>
      </c>
      <c r="AL238" s="295">
        <v>282</v>
      </c>
      <c r="AM238" s="295">
        <v>238</v>
      </c>
      <c r="AN238" s="295">
        <v>337</v>
      </c>
      <c r="AO238" s="295">
        <v>237</v>
      </c>
      <c r="AP238" s="295">
        <v>260</v>
      </c>
      <c r="AQ238" s="295">
        <v>249</v>
      </c>
      <c r="AR238" s="295">
        <v>578</v>
      </c>
      <c r="AS238" s="295">
        <v>253</v>
      </c>
      <c r="AT238" s="295">
        <f t="shared" si="255"/>
        <v>3563</v>
      </c>
      <c r="AU238" s="296">
        <f t="shared" si="214"/>
        <v>296.91666666666669</v>
      </c>
      <c r="AV238" s="374"/>
      <c r="AW238" s="2016">
        <v>242</v>
      </c>
      <c r="AX238" s="295">
        <v>413</v>
      </c>
      <c r="AY238" s="295">
        <v>300</v>
      </c>
      <c r="AZ238" s="295">
        <v>315</v>
      </c>
      <c r="BA238" s="295">
        <v>719</v>
      </c>
      <c r="BB238" s="295">
        <v>325</v>
      </c>
      <c r="BC238" s="295">
        <v>431</v>
      </c>
      <c r="BD238" s="295">
        <v>270</v>
      </c>
      <c r="BE238" s="295">
        <v>349</v>
      </c>
      <c r="BF238" s="295">
        <v>233</v>
      </c>
      <c r="BG238" s="295">
        <v>226</v>
      </c>
      <c r="BH238" s="295">
        <v>244</v>
      </c>
      <c r="BI238" s="295">
        <f t="shared" si="256"/>
        <v>4067</v>
      </c>
      <c r="BJ238" s="296">
        <f t="shared" si="203"/>
        <v>338.88842596450297</v>
      </c>
      <c r="BL238" s="317">
        <f>ROW()</f>
        <v>238</v>
      </c>
      <c r="BM238" s="1432">
        <f t="shared" si="257"/>
        <v>-9</v>
      </c>
      <c r="BN238" s="317">
        <f t="shared" si="211"/>
        <v>41.971759297836286</v>
      </c>
      <c r="BO238" s="317">
        <f t="shared" si="258"/>
        <v>504</v>
      </c>
      <c r="BP238" s="594">
        <f t="shared" si="208"/>
        <v>18</v>
      </c>
    </row>
    <row r="239" spans="1:71" ht="17.399999999999999" customHeight="1" x14ac:dyDescent="0.55000000000000004">
      <c r="A239" s="7222"/>
      <c r="B239" s="7214"/>
      <c r="C239" s="200" t="s">
        <v>421</v>
      </c>
      <c r="D239" s="294">
        <f>D246+D247</f>
        <v>263</v>
      </c>
      <c r="E239" s="295">
        <f t="shared" ref="E239:O239" si="260">E246+E247</f>
        <v>249</v>
      </c>
      <c r="F239" s="295">
        <f t="shared" si="260"/>
        <v>266</v>
      </c>
      <c r="G239" s="295">
        <f t="shared" si="260"/>
        <v>284</v>
      </c>
      <c r="H239" s="295">
        <f t="shared" si="260"/>
        <v>261</v>
      </c>
      <c r="I239" s="295">
        <f t="shared" si="260"/>
        <v>270</v>
      </c>
      <c r="J239" s="295">
        <f t="shared" si="260"/>
        <v>230</v>
      </c>
      <c r="K239" s="295">
        <f t="shared" si="260"/>
        <v>289</v>
      </c>
      <c r="L239" s="295">
        <f t="shared" si="260"/>
        <v>257</v>
      </c>
      <c r="M239" s="295">
        <f t="shared" si="260"/>
        <v>256</v>
      </c>
      <c r="N239" s="295">
        <f t="shared" si="260"/>
        <v>291</v>
      </c>
      <c r="O239" s="295">
        <f t="shared" si="260"/>
        <v>248</v>
      </c>
      <c r="P239" s="295">
        <f t="shared" si="253"/>
        <v>3164</v>
      </c>
      <c r="Q239" s="296">
        <f t="shared" si="139"/>
        <v>263.66666666666669</v>
      </c>
      <c r="R239" s="374"/>
      <c r="S239" s="294">
        <v>311</v>
      </c>
      <c r="T239" s="295">
        <v>327</v>
      </c>
      <c r="U239" s="295">
        <v>329</v>
      </c>
      <c r="V239" s="295">
        <v>330</v>
      </c>
      <c r="W239" s="295">
        <v>281</v>
      </c>
      <c r="X239" s="295">
        <v>274</v>
      </c>
      <c r="Y239" s="295">
        <v>243</v>
      </c>
      <c r="Z239" s="295">
        <v>387</v>
      </c>
      <c r="AA239" s="295">
        <v>226</v>
      </c>
      <c r="AB239" s="295">
        <v>281</v>
      </c>
      <c r="AC239" s="295">
        <v>282</v>
      </c>
      <c r="AD239" s="295">
        <v>225</v>
      </c>
      <c r="AE239" s="295">
        <f t="shared" si="254"/>
        <v>3496</v>
      </c>
      <c r="AF239" s="296">
        <f t="shared" si="141"/>
        <v>291.33333333333331</v>
      </c>
      <c r="AG239" s="374"/>
      <c r="AH239" s="294">
        <v>396</v>
      </c>
      <c r="AI239" s="295">
        <v>315</v>
      </c>
      <c r="AJ239" s="295">
        <v>354</v>
      </c>
      <c r="AK239" s="295">
        <v>358</v>
      </c>
      <c r="AL239" s="295">
        <v>388</v>
      </c>
      <c r="AM239" s="295">
        <v>297</v>
      </c>
      <c r="AN239" s="295">
        <v>404</v>
      </c>
      <c r="AO239" s="295">
        <v>335</v>
      </c>
      <c r="AP239" s="295">
        <v>388</v>
      </c>
      <c r="AQ239" s="295">
        <v>365</v>
      </c>
      <c r="AR239" s="295">
        <v>763</v>
      </c>
      <c r="AS239" s="295">
        <v>332</v>
      </c>
      <c r="AT239" s="295">
        <f t="shared" si="255"/>
        <v>4695</v>
      </c>
      <c r="AU239" s="296">
        <f t="shared" si="214"/>
        <v>391.25</v>
      </c>
      <c r="AV239" s="374"/>
      <c r="AW239" s="2016">
        <v>284</v>
      </c>
      <c r="AX239" s="295">
        <v>524</v>
      </c>
      <c r="AY239" s="295">
        <v>392</v>
      </c>
      <c r="AZ239" s="295">
        <v>475</v>
      </c>
      <c r="BA239" s="295">
        <v>833</v>
      </c>
      <c r="BB239" s="295">
        <v>462</v>
      </c>
      <c r="BC239" s="295">
        <v>632</v>
      </c>
      <c r="BD239" s="295">
        <v>424</v>
      </c>
      <c r="BE239" s="295">
        <v>448</v>
      </c>
      <c r="BF239" s="295">
        <v>290</v>
      </c>
      <c r="BG239" s="295">
        <v>304</v>
      </c>
      <c r="BH239" s="295">
        <v>308</v>
      </c>
      <c r="BI239" s="295">
        <f t="shared" si="256"/>
        <v>5376</v>
      </c>
      <c r="BJ239" s="296">
        <f t="shared" si="203"/>
        <v>447.96266977751856</v>
      </c>
      <c r="BL239" s="317">
        <f>ROW()</f>
        <v>239</v>
      </c>
      <c r="BM239" s="1432">
        <f t="shared" si="257"/>
        <v>-24</v>
      </c>
      <c r="BN239" s="317">
        <f t="shared" si="211"/>
        <v>56.712669777518556</v>
      </c>
      <c r="BO239" s="317">
        <f t="shared" si="258"/>
        <v>681</v>
      </c>
      <c r="BP239" s="594">
        <f t="shared" si="208"/>
        <v>4</v>
      </c>
    </row>
    <row r="240" spans="1:71" ht="17.399999999999999" customHeight="1" x14ac:dyDescent="0.55000000000000004">
      <c r="A240" s="7222"/>
      <c r="B240" s="7214"/>
      <c r="C240" s="200" t="s">
        <v>422</v>
      </c>
      <c r="D240" s="294">
        <f>D248+D249</f>
        <v>362</v>
      </c>
      <c r="E240" s="295">
        <f t="shared" ref="E240:O240" si="261">E248+E249</f>
        <v>305</v>
      </c>
      <c r="F240" s="295">
        <f t="shared" si="261"/>
        <v>317</v>
      </c>
      <c r="G240" s="295">
        <f t="shared" si="261"/>
        <v>284</v>
      </c>
      <c r="H240" s="295">
        <f t="shared" si="261"/>
        <v>325</v>
      </c>
      <c r="I240" s="295">
        <f t="shared" si="261"/>
        <v>354</v>
      </c>
      <c r="J240" s="295">
        <f t="shared" si="261"/>
        <v>324</v>
      </c>
      <c r="K240" s="295">
        <f t="shared" si="261"/>
        <v>394</v>
      </c>
      <c r="L240" s="295">
        <f t="shared" si="261"/>
        <v>289</v>
      </c>
      <c r="M240" s="295">
        <f t="shared" si="261"/>
        <v>296</v>
      </c>
      <c r="N240" s="295">
        <f t="shared" si="261"/>
        <v>363</v>
      </c>
      <c r="O240" s="295">
        <f t="shared" si="261"/>
        <v>313</v>
      </c>
      <c r="P240" s="295">
        <f t="shared" si="253"/>
        <v>3926</v>
      </c>
      <c r="Q240" s="296">
        <f t="shared" si="139"/>
        <v>327.16666666666669</v>
      </c>
      <c r="R240" s="374"/>
      <c r="S240" s="294">
        <v>348</v>
      </c>
      <c r="T240" s="295">
        <v>468</v>
      </c>
      <c r="U240" s="295">
        <v>398</v>
      </c>
      <c r="V240" s="295">
        <v>408</v>
      </c>
      <c r="W240" s="295">
        <v>367</v>
      </c>
      <c r="X240" s="295">
        <v>400</v>
      </c>
      <c r="Y240" s="295">
        <v>297</v>
      </c>
      <c r="Z240" s="295">
        <v>443</v>
      </c>
      <c r="AA240" s="295">
        <v>279</v>
      </c>
      <c r="AB240" s="295">
        <v>334</v>
      </c>
      <c r="AC240" s="295">
        <v>317</v>
      </c>
      <c r="AD240" s="295">
        <v>275</v>
      </c>
      <c r="AE240" s="295">
        <f t="shared" si="254"/>
        <v>4334</v>
      </c>
      <c r="AF240" s="296">
        <f t="shared" si="141"/>
        <v>361.16666666666669</v>
      </c>
      <c r="AG240" s="374"/>
      <c r="AH240" s="294">
        <v>476</v>
      </c>
      <c r="AI240" s="295">
        <v>374</v>
      </c>
      <c r="AJ240" s="295">
        <v>437</v>
      </c>
      <c r="AK240" s="295">
        <v>457</v>
      </c>
      <c r="AL240" s="295">
        <v>408</v>
      </c>
      <c r="AM240" s="295">
        <v>386</v>
      </c>
      <c r="AN240" s="295">
        <v>481</v>
      </c>
      <c r="AO240" s="295">
        <v>346</v>
      </c>
      <c r="AP240" s="295">
        <v>367</v>
      </c>
      <c r="AQ240" s="295">
        <v>408</v>
      </c>
      <c r="AR240" s="295">
        <v>848</v>
      </c>
      <c r="AS240" s="295">
        <v>318</v>
      </c>
      <c r="AT240" s="295">
        <f t="shared" si="255"/>
        <v>5306</v>
      </c>
      <c r="AU240" s="296">
        <f t="shared" si="214"/>
        <v>442.16666666666669</v>
      </c>
      <c r="AV240" s="374"/>
      <c r="AW240" s="2016">
        <v>267</v>
      </c>
      <c r="AX240" s="295">
        <v>530</v>
      </c>
      <c r="AY240" s="295">
        <v>414</v>
      </c>
      <c r="AZ240" s="295">
        <v>576</v>
      </c>
      <c r="BA240" s="295">
        <v>834</v>
      </c>
      <c r="BB240" s="295">
        <v>479</v>
      </c>
      <c r="BC240" s="295">
        <v>695</v>
      </c>
      <c r="BD240" s="295">
        <v>424</v>
      </c>
      <c r="BE240" s="295">
        <v>461</v>
      </c>
      <c r="BF240" s="295">
        <v>326</v>
      </c>
      <c r="BG240" s="295">
        <v>309</v>
      </c>
      <c r="BH240" s="295">
        <v>246</v>
      </c>
      <c r="BI240" s="295">
        <f t="shared" si="256"/>
        <v>5561</v>
      </c>
      <c r="BJ240" s="296">
        <f t="shared" si="203"/>
        <v>463.37805182901428</v>
      </c>
      <c r="BL240" s="317">
        <f>ROW()</f>
        <v>240</v>
      </c>
      <c r="BM240" s="1432">
        <f t="shared" si="257"/>
        <v>-72</v>
      </c>
      <c r="BN240" s="317">
        <f t="shared" si="211"/>
        <v>21.211385162347597</v>
      </c>
      <c r="BO240" s="317">
        <f t="shared" si="258"/>
        <v>255</v>
      </c>
      <c r="BP240" s="594">
        <f t="shared" si="208"/>
        <v>-63</v>
      </c>
    </row>
    <row r="241" spans="1:68" ht="17.399999999999999" customHeight="1" x14ac:dyDescent="0.55000000000000004">
      <c r="A241" s="7222"/>
      <c r="B241" s="7215"/>
      <c r="C241" s="201" t="s">
        <v>423</v>
      </c>
      <c r="D241" s="297">
        <f>D250+D251</f>
        <v>276</v>
      </c>
      <c r="E241" s="298">
        <f t="shared" ref="E241:O241" si="262">E250+E251</f>
        <v>221</v>
      </c>
      <c r="F241" s="298">
        <f t="shared" si="262"/>
        <v>211</v>
      </c>
      <c r="G241" s="298">
        <f t="shared" si="262"/>
        <v>203</v>
      </c>
      <c r="H241" s="298">
        <f t="shared" si="262"/>
        <v>242</v>
      </c>
      <c r="I241" s="298">
        <f t="shared" si="262"/>
        <v>213</v>
      </c>
      <c r="J241" s="298">
        <f t="shared" si="262"/>
        <v>222</v>
      </c>
      <c r="K241" s="298">
        <f t="shared" si="262"/>
        <v>239</v>
      </c>
      <c r="L241" s="298">
        <f t="shared" si="262"/>
        <v>183</v>
      </c>
      <c r="M241" s="298">
        <f t="shared" si="262"/>
        <v>219</v>
      </c>
      <c r="N241" s="298">
        <f t="shared" si="262"/>
        <v>218</v>
      </c>
      <c r="O241" s="298">
        <f t="shared" si="262"/>
        <v>191</v>
      </c>
      <c r="P241" s="298">
        <f t="shared" si="253"/>
        <v>2638</v>
      </c>
      <c r="Q241" s="299">
        <f t="shared" si="139"/>
        <v>219.83333333333334</v>
      </c>
      <c r="R241" s="374"/>
      <c r="S241" s="297">
        <v>256</v>
      </c>
      <c r="T241" s="298">
        <v>263</v>
      </c>
      <c r="U241" s="298">
        <v>247</v>
      </c>
      <c r="V241" s="298">
        <v>257</v>
      </c>
      <c r="W241" s="298">
        <v>230</v>
      </c>
      <c r="X241" s="298">
        <v>234</v>
      </c>
      <c r="Y241" s="298">
        <v>193</v>
      </c>
      <c r="Z241" s="298">
        <v>287</v>
      </c>
      <c r="AA241" s="298">
        <v>194</v>
      </c>
      <c r="AB241" s="298">
        <v>220</v>
      </c>
      <c r="AC241" s="298">
        <v>200</v>
      </c>
      <c r="AD241" s="298">
        <v>179</v>
      </c>
      <c r="AE241" s="298">
        <f t="shared" si="254"/>
        <v>2760</v>
      </c>
      <c r="AF241" s="299">
        <f t="shared" si="141"/>
        <v>230</v>
      </c>
      <c r="AG241" s="374"/>
      <c r="AH241" s="297">
        <v>310</v>
      </c>
      <c r="AI241" s="298">
        <v>207</v>
      </c>
      <c r="AJ241" s="298">
        <v>323</v>
      </c>
      <c r="AK241" s="298">
        <v>283</v>
      </c>
      <c r="AL241" s="298">
        <v>262</v>
      </c>
      <c r="AM241" s="298">
        <v>250</v>
      </c>
      <c r="AN241" s="298">
        <v>298</v>
      </c>
      <c r="AO241" s="298">
        <v>241</v>
      </c>
      <c r="AP241" s="298">
        <v>280</v>
      </c>
      <c r="AQ241" s="298">
        <v>245</v>
      </c>
      <c r="AR241" s="298">
        <v>546</v>
      </c>
      <c r="AS241" s="298">
        <v>195</v>
      </c>
      <c r="AT241" s="298">
        <f t="shared" si="255"/>
        <v>3440</v>
      </c>
      <c r="AU241" s="299">
        <f t="shared" si="214"/>
        <v>286.66666666666669</v>
      </c>
      <c r="AV241" s="374"/>
      <c r="AW241" s="2017">
        <v>180</v>
      </c>
      <c r="AX241" s="298">
        <v>375</v>
      </c>
      <c r="AY241" s="298">
        <v>317</v>
      </c>
      <c r="AZ241" s="298">
        <v>320</v>
      </c>
      <c r="BA241" s="298">
        <v>597</v>
      </c>
      <c r="BB241" s="298">
        <v>306</v>
      </c>
      <c r="BC241" s="298">
        <v>468</v>
      </c>
      <c r="BD241" s="298">
        <v>285</v>
      </c>
      <c r="BE241" s="298">
        <v>303</v>
      </c>
      <c r="BF241" s="298">
        <v>202</v>
      </c>
      <c r="BG241" s="298">
        <v>201</v>
      </c>
      <c r="BH241" s="298">
        <v>187</v>
      </c>
      <c r="BI241" s="298">
        <f t="shared" si="256"/>
        <v>3741</v>
      </c>
      <c r="BJ241" s="299">
        <f t="shared" si="203"/>
        <v>311.72402299808351</v>
      </c>
      <c r="BL241" s="317">
        <f>ROW()</f>
        <v>241</v>
      </c>
      <c r="BM241" s="1432">
        <f t="shared" si="257"/>
        <v>-8</v>
      </c>
      <c r="BN241" s="317">
        <f t="shared" si="211"/>
        <v>25.057356331416827</v>
      </c>
      <c r="BO241" s="317">
        <f t="shared" si="258"/>
        <v>301</v>
      </c>
      <c r="BP241" s="594">
        <f t="shared" si="208"/>
        <v>-14</v>
      </c>
    </row>
    <row r="242" spans="1:68" ht="17.399999999999999" customHeight="1" x14ac:dyDescent="0.55000000000000004">
      <c r="A242" s="7222"/>
      <c r="B242" s="7207" t="s">
        <v>431</v>
      </c>
      <c r="C242" s="202" t="s">
        <v>227</v>
      </c>
      <c r="D242" s="300">
        <v>96</v>
      </c>
      <c r="E242" s="301">
        <v>93</v>
      </c>
      <c r="F242" s="301">
        <v>76</v>
      </c>
      <c r="G242" s="301">
        <v>91</v>
      </c>
      <c r="H242" s="301">
        <v>82</v>
      </c>
      <c r="I242" s="301">
        <v>100</v>
      </c>
      <c r="J242" s="301">
        <v>95</v>
      </c>
      <c r="K242" s="301">
        <v>96</v>
      </c>
      <c r="L242" s="301">
        <v>90</v>
      </c>
      <c r="M242" s="301">
        <v>70</v>
      </c>
      <c r="N242" s="301">
        <v>66</v>
      </c>
      <c r="O242" s="301">
        <v>71</v>
      </c>
      <c r="P242" s="301">
        <f t="shared" si="253"/>
        <v>1026</v>
      </c>
      <c r="Q242" s="302">
        <f t="shared" si="139"/>
        <v>85.5</v>
      </c>
      <c r="R242" s="374"/>
      <c r="S242" s="300">
        <v>84</v>
      </c>
      <c r="T242" s="301">
        <v>97</v>
      </c>
      <c r="U242" s="301">
        <v>117</v>
      </c>
      <c r="V242" s="301">
        <v>118</v>
      </c>
      <c r="W242" s="301">
        <v>96</v>
      </c>
      <c r="X242" s="301">
        <v>107</v>
      </c>
      <c r="Y242" s="301">
        <v>90</v>
      </c>
      <c r="Z242" s="301">
        <v>119</v>
      </c>
      <c r="AA242" s="301">
        <v>66</v>
      </c>
      <c r="AB242" s="301">
        <v>93</v>
      </c>
      <c r="AC242" s="301">
        <v>94</v>
      </c>
      <c r="AD242" s="301">
        <v>75</v>
      </c>
      <c r="AE242" s="301">
        <f t="shared" si="254"/>
        <v>1156</v>
      </c>
      <c r="AF242" s="302">
        <f t="shared" si="141"/>
        <v>96.333333333333329</v>
      </c>
      <c r="AG242" s="374"/>
      <c r="AH242" s="300">
        <v>110</v>
      </c>
      <c r="AI242" s="301">
        <v>91</v>
      </c>
      <c r="AJ242" s="301">
        <v>127.00000000000001</v>
      </c>
      <c r="AK242" s="301">
        <v>140</v>
      </c>
      <c r="AL242" s="301">
        <v>119</v>
      </c>
      <c r="AM242" s="301">
        <v>124</v>
      </c>
      <c r="AN242" s="301">
        <v>124</v>
      </c>
      <c r="AO242" s="301">
        <v>116.00000000000001</v>
      </c>
      <c r="AP242" s="301">
        <v>98.999999999999986</v>
      </c>
      <c r="AQ242" s="301">
        <v>98</v>
      </c>
      <c r="AR242" s="301">
        <v>209</v>
      </c>
      <c r="AS242" s="301">
        <v>104</v>
      </c>
      <c r="AT242" s="301">
        <f t="shared" si="255"/>
        <v>1461</v>
      </c>
      <c r="AU242" s="302">
        <f t="shared" si="214"/>
        <v>121.75</v>
      </c>
      <c r="AV242" s="374"/>
      <c r="AW242" s="2021">
        <v>103</v>
      </c>
      <c r="AX242" s="301">
        <v>159</v>
      </c>
      <c r="AY242" s="301">
        <v>129</v>
      </c>
      <c r="AZ242" s="301">
        <v>157</v>
      </c>
      <c r="BA242" s="301">
        <v>333</v>
      </c>
      <c r="BB242" s="301">
        <v>164</v>
      </c>
      <c r="BC242" s="301">
        <v>241</v>
      </c>
      <c r="BD242" s="301">
        <v>124</v>
      </c>
      <c r="BE242" s="301">
        <v>138</v>
      </c>
      <c r="BF242" s="301">
        <v>96</v>
      </c>
      <c r="BG242" s="301">
        <v>95</v>
      </c>
      <c r="BH242" s="301">
        <v>100</v>
      </c>
      <c r="BI242" s="301">
        <f t="shared" si="256"/>
        <v>1839</v>
      </c>
      <c r="BJ242" s="302">
        <f t="shared" si="203"/>
        <v>153.23723023081411</v>
      </c>
      <c r="BL242" s="317">
        <f>ROW()</f>
        <v>242</v>
      </c>
      <c r="BM242" s="1432">
        <f t="shared" si="257"/>
        <v>-4</v>
      </c>
      <c r="BN242" s="317">
        <f t="shared" si="211"/>
        <v>31.487230230814106</v>
      </c>
      <c r="BO242" s="317">
        <f t="shared" si="258"/>
        <v>378</v>
      </c>
      <c r="BP242" s="594">
        <f t="shared" si="208"/>
        <v>5</v>
      </c>
    </row>
    <row r="243" spans="1:68" ht="17.399999999999999" customHeight="1" x14ac:dyDescent="0.55000000000000004">
      <c r="A243" s="7222"/>
      <c r="B243" s="7208"/>
      <c r="C243" s="202" t="s">
        <v>228</v>
      </c>
      <c r="D243" s="300">
        <v>112</v>
      </c>
      <c r="E243" s="301">
        <v>107</v>
      </c>
      <c r="F243" s="301">
        <v>102</v>
      </c>
      <c r="G243" s="301">
        <v>88</v>
      </c>
      <c r="H243" s="301">
        <v>121</v>
      </c>
      <c r="I243" s="301">
        <v>104</v>
      </c>
      <c r="J243" s="301">
        <v>96</v>
      </c>
      <c r="K243" s="301">
        <v>113</v>
      </c>
      <c r="L243" s="301">
        <v>70</v>
      </c>
      <c r="M243" s="301">
        <v>82</v>
      </c>
      <c r="N243" s="301">
        <v>101</v>
      </c>
      <c r="O243" s="301">
        <v>70</v>
      </c>
      <c r="P243" s="301">
        <f t="shared" si="253"/>
        <v>1166</v>
      </c>
      <c r="Q243" s="302">
        <f t="shared" si="139"/>
        <v>97.166666666666671</v>
      </c>
      <c r="R243" s="374"/>
      <c r="S243" s="300">
        <v>101</v>
      </c>
      <c r="T243" s="301">
        <v>126</v>
      </c>
      <c r="U243" s="301">
        <v>99</v>
      </c>
      <c r="V243" s="301">
        <v>111</v>
      </c>
      <c r="W243" s="301">
        <v>98</v>
      </c>
      <c r="X243" s="301">
        <v>95</v>
      </c>
      <c r="Y243" s="301">
        <v>79</v>
      </c>
      <c r="Z243" s="301">
        <v>116</v>
      </c>
      <c r="AA243" s="301">
        <v>68</v>
      </c>
      <c r="AB243" s="301">
        <v>79</v>
      </c>
      <c r="AC243" s="301">
        <v>52</v>
      </c>
      <c r="AD243" s="301">
        <v>34</v>
      </c>
      <c r="AE243" s="301">
        <f t="shared" si="254"/>
        <v>1058</v>
      </c>
      <c r="AF243" s="302">
        <f t="shared" si="141"/>
        <v>88.166666666666671</v>
      </c>
      <c r="AG243" s="374"/>
      <c r="AH243" s="300">
        <v>102</v>
      </c>
      <c r="AI243" s="301">
        <v>74</v>
      </c>
      <c r="AJ243" s="301">
        <v>103</v>
      </c>
      <c r="AK243" s="301">
        <v>112.99999999999999</v>
      </c>
      <c r="AL243" s="301">
        <v>123</v>
      </c>
      <c r="AM243" s="301">
        <v>112.00000000000001</v>
      </c>
      <c r="AN243" s="301">
        <v>164</v>
      </c>
      <c r="AO243" s="301">
        <v>135</v>
      </c>
      <c r="AP243" s="301">
        <v>146</v>
      </c>
      <c r="AQ243" s="301">
        <v>118</v>
      </c>
      <c r="AR243" s="301">
        <v>312</v>
      </c>
      <c r="AS243" s="301">
        <v>110</v>
      </c>
      <c r="AT243" s="301">
        <f t="shared" si="255"/>
        <v>1612</v>
      </c>
      <c r="AU243" s="302">
        <f t="shared" si="214"/>
        <v>134.33333333333334</v>
      </c>
      <c r="AV243" s="374"/>
      <c r="AW243" s="2021">
        <v>90</v>
      </c>
      <c r="AX243" s="301">
        <v>199</v>
      </c>
      <c r="AY243" s="301">
        <v>140</v>
      </c>
      <c r="AZ243" s="301">
        <v>164</v>
      </c>
      <c r="BA243" s="301">
        <v>318</v>
      </c>
      <c r="BB243" s="301">
        <v>145</v>
      </c>
      <c r="BC243" s="301">
        <v>206</v>
      </c>
      <c r="BD243" s="301">
        <v>136</v>
      </c>
      <c r="BE243" s="301">
        <v>140</v>
      </c>
      <c r="BF243" s="301">
        <v>85</v>
      </c>
      <c r="BG243" s="301">
        <v>113</v>
      </c>
      <c r="BH243" s="301">
        <v>117</v>
      </c>
      <c r="BI243" s="301">
        <f t="shared" si="256"/>
        <v>1853</v>
      </c>
      <c r="BJ243" s="302">
        <f t="shared" si="203"/>
        <v>154.40379968335972</v>
      </c>
      <c r="BL243" s="317">
        <f>ROW()</f>
        <v>243</v>
      </c>
      <c r="BM243" s="1432">
        <f t="shared" si="257"/>
        <v>7</v>
      </c>
      <c r="BN243" s="317">
        <f t="shared" si="211"/>
        <v>20.070466350026379</v>
      </c>
      <c r="BO243" s="317">
        <f t="shared" si="258"/>
        <v>241</v>
      </c>
      <c r="BP243" s="594">
        <f t="shared" si="208"/>
        <v>4</v>
      </c>
    </row>
    <row r="244" spans="1:68" ht="17.399999999999999" customHeight="1" x14ac:dyDescent="0.55000000000000004">
      <c r="A244" s="7222"/>
      <c r="B244" s="7208"/>
      <c r="C244" s="203" t="s">
        <v>229</v>
      </c>
      <c r="D244" s="303">
        <v>108</v>
      </c>
      <c r="E244" s="304">
        <v>79</v>
      </c>
      <c r="F244" s="304">
        <v>114</v>
      </c>
      <c r="G244" s="304">
        <v>131</v>
      </c>
      <c r="H244" s="304">
        <v>95</v>
      </c>
      <c r="I244" s="304">
        <v>100</v>
      </c>
      <c r="J244" s="304">
        <v>100</v>
      </c>
      <c r="K244" s="304">
        <v>85</v>
      </c>
      <c r="L244" s="304">
        <v>110</v>
      </c>
      <c r="M244" s="304">
        <v>100</v>
      </c>
      <c r="N244" s="304">
        <v>87</v>
      </c>
      <c r="O244" s="304">
        <v>65</v>
      </c>
      <c r="P244" s="304">
        <f t="shared" si="253"/>
        <v>1174</v>
      </c>
      <c r="Q244" s="305">
        <f t="shared" si="139"/>
        <v>97.833333333333329</v>
      </c>
      <c r="R244" s="374"/>
      <c r="S244" s="303">
        <v>116</v>
      </c>
      <c r="T244" s="304">
        <v>129</v>
      </c>
      <c r="U244" s="304">
        <v>161</v>
      </c>
      <c r="V244" s="304">
        <v>140</v>
      </c>
      <c r="W244" s="304">
        <v>126</v>
      </c>
      <c r="X244" s="304">
        <v>115</v>
      </c>
      <c r="Y244" s="304">
        <v>89</v>
      </c>
      <c r="Z244" s="304">
        <v>129</v>
      </c>
      <c r="AA244" s="304">
        <v>81</v>
      </c>
      <c r="AB244" s="304">
        <v>107</v>
      </c>
      <c r="AC244" s="304">
        <v>89</v>
      </c>
      <c r="AD244" s="304">
        <v>90</v>
      </c>
      <c r="AE244" s="304">
        <f t="shared" si="254"/>
        <v>1372</v>
      </c>
      <c r="AF244" s="305">
        <f t="shared" si="141"/>
        <v>114.33333333333333</v>
      </c>
      <c r="AG244" s="374"/>
      <c r="AH244" s="303">
        <v>149</v>
      </c>
      <c r="AI244" s="304">
        <v>111</v>
      </c>
      <c r="AJ244" s="304">
        <v>123</v>
      </c>
      <c r="AK244" s="304">
        <v>143</v>
      </c>
      <c r="AL244" s="304">
        <v>119</v>
      </c>
      <c r="AM244" s="304">
        <v>108</v>
      </c>
      <c r="AN244" s="304">
        <v>152</v>
      </c>
      <c r="AO244" s="304">
        <v>104</v>
      </c>
      <c r="AP244" s="304">
        <v>112</v>
      </c>
      <c r="AQ244" s="304">
        <v>102</v>
      </c>
      <c r="AR244" s="304">
        <v>258</v>
      </c>
      <c r="AS244" s="304">
        <v>106.99999999999999</v>
      </c>
      <c r="AT244" s="304">
        <f t="shared" si="255"/>
        <v>1588</v>
      </c>
      <c r="AU244" s="305">
        <f t="shared" si="214"/>
        <v>132.33333333333334</v>
      </c>
      <c r="AV244" s="374"/>
      <c r="AW244" s="2022">
        <v>120</v>
      </c>
      <c r="AX244" s="304">
        <v>186</v>
      </c>
      <c r="AY244" s="304">
        <v>124</v>
      </c>
      <c r="AZ244" s="304">
        <v>150</v>
      </c>
      <c r="BA244" s="304">
        <v>323</v>
      </c>
      <c r="BB244" s="304">
        <v>132</v>
      </c>
      <c r="BC244" s="304">
        <v>174</v>
      </c>
      <c r="BD244" s="304">
        <v>107</v>
      </c>
      <c r="BE244" s="304">
        <v>138</v>
      </c>
      <c r="BF244" s="304">
        <v>91</v>
      </c>
      <c r="BG244" s="304">
        <v>84</v>
      </c>
      <c r="BH244" s="304">
        <v>95</v>
      </c>
      <c r="BI244" s="304">
        <f t="shared" si="256"/>
        <v>1724</v>
      </c>
      <c r="BJ244" s="305">
        <f t="shared" si="203"/>
        <v>143.65469544204649</v>
      </c>
      <c r="BL244" s="317">
        <f>ROW()</f>
        <v>244</v>
      </c>
      <c r="BM244" s="1432">
        <f t="shared" si="257"/>
        <v>-11.999999999999986</v>
      </c>
      <c r="BN244" s="317">
        <f t="shared" si="211"/>
        <v>11.321362108713146</v>
      </c>
      <c r="BO244" s="317">
        <f t="shared" si="258"/>
        <v>136</v>
      </c>
      <c r="BP244" s="594">
        <f t="shared" si="208"/>
        <v>11</v>
      </c>
    </row>
    <row r="245" spans="1:68" ht="17.399999999999999" customHeight="1" x14ac:dyDescent="0.55000000000000004">
      <c r="A245" s="7222"/>
      <c r="B245" s="7208"/>
      <c r="C245" s="203" t="s">
        <v>230</v>
      </c>
      <c r="D245" s="303">
        <v>150</v>
      </c>
      <c r="E245" s="304">
        <v>119</v>
      </c>
      <c r="F245" s="304">
        <v>105</v>
      </c>
      <c r="G245" s="304">
        <v>103</v>
      </c>
      <c r="H245" s="304">
        <v>123</v>
      </c>
      <c r="I245" s="304">
        <v>123</v>
      </c>
      <c r="J245" s="304">
        <v>119</v>
      </c>
      <c r="K245" s="304">
        <v>138</v>
      </c>
      <c r="L245" s="304">
        <v>113</v>
      </c>
      <c r="M245" s="304">
        <v>107</v>
      </c>
      <c r="N245" s="304">
        <v>90</v>
      </c>
      <c r="O245" s="304">
        <v>100</v>
      </c>
      <c r="P245" s="304">
        <f t="shared" si="253"/>
        <v>1390</v>
      </c>
      <c r="Q245" s="305">
        <f t="shared" si="139"/>
        <v>115.83333333333333</v>
      </c>
      <c r="R245" s="374"/>
      <c r="S245" s="303">
        <v>139</v>
      </c>
      <c r="T245" s="304">
        <v>179</v>
      </c>
      <c r="U245" s="304">
        <v>150</v>
      </c>
      <c r="V245" s="304">
        <v>160</v>
      </c>
      <c r="W245" s="304">
        <v>137</v>
      </c>
      <c r="X245" s="304">
        <v>160</v>
      </c>
      <c r="Y245" s="304">
        <v>130</v>
      </c>
      <c r="Z245" s="304">
        <v>179</v>
      </c>
      <c r="AA245" s="304">
        <v>108</v>
      </c>
      <c r="AB245" s="304">
        <v>145</v>
      </c>
      <c r="AC245" s="304">
        <v>103</v>
      </c>
      <c r="AD245" s="304">
        <v>93</v>
      </c>
      <c r="AE245" s="304">
        <f t="shared" si="254"/>
        <v>1683</v>
      </c>
      <c r="AF245" s="305">
        <f t="shared" si="141"/>
        <v>140.25</v>
      </c>
      <c r="AG245" s="374"/>
      <c r="AH245" s="303">
        <v>165</v>
      </c>
      <c r="AI245" s="304">
        <v>133</v>
      </c>
      <c r="AJ245" s="304">
        <v>149</v>
      </c>
      <c r="AK245" s="304">
        <v>156</v>
      </c>
      <c r="AL245" s="304">
        <v>163</v>
      </c>
      <c r="AM245" s="304">
        <v>130</v>
      </c>
      <c r="AN245" s="304">
        <v>185</v>
      </c>
      <c r="AO245" s="304">
        <v>133</v>
      </c>
      <c r="AP245" s="304">
        <v>148</v>
      </c>
      <c r="AQ245" s="304">
        <v>147</v>
      </c>
      <c r="AR245" s="304">
        <v>320</v>
      </c>
      <c r="AS245" s="304">
        <v>146</v>
      </c>
      <c r="AT245" s="304">
        <f t="shared" si="255"/>
        <v>1975</v>
      </c>
      <c r="AU245" s="305">
        <f t="shared" si="214"/>
        <v>164.58333333333334</v>
      </c>
      <c r="AV245" s="374"/>
      <c r="AW245" s="2022">
        <v>122</v>
      </c>
      <c r="AX245" s="304">
        <v>227</v>
      </c>
      <c r="AY245" s="304">
        <v>176</v>
      </c>
      <c r="AZ245" s="304">
        <v>165</v>
      </c>
      <c r="BA245" s="304">
        <v>396</v>
      </c>
      <c r="BB245" s="304">
        <v>193</v>
      </c>
      <c r="BC245" s="304">
        <v>257</v>
      </c>
      <c r="BD245" s="304">
        <v>163</v>
      </c>
      <c r="BE245" s="304">
        <v>211</v>
      </c>
      <c r="BF245" s="304">
        <v>142</v>
      </c>
      <c r="BG245" s="304">
        <v>142</v>
      </c>
      <c r="BH245" s="304">
        <v>149</v>
      </c>
      <c r="BI245" s="304">
        <f t="shared" si="256"/>
        <v>2343</v>
      </c>
      <c r="BJ245" s="305">
        <f t="shared" si="203"/>
        <v>195.23373052245648</v>
      </c>
      <c r="BL245" s="317">
        <f>ROW()</f>
        <v>245</v>
      </c>
      <c r="BM245" s="1432">
        <f t="shared" si="257"/>
        <v>3</v>
      </c>
      <c r="BN245" s="317">
        <f t="shared" si="211"/>
        <v>30.65039718912314</v>
      </c>
      <c r="BO245" s="317">
        <f t="shared" si="258"/>
        <v>368</v>
      </c>
      <c r="BP245" s="594">
        <f t="shared" si="208"/>
        <v>7</v>
      </c>
    </row>
    <row r="246" spans="1:68" ht="17.399999999999999" customHeight="1" x14ac:dyDescent="0.55000000000000004">
      <c r="A246" s="7222"/>
      <c r="B246" s="7208"/>
      <c r="C246" s="202" t="s">
        <v>231</v>
      </c>
      <c r="D246" s="300">
        <v>170</v>
      </c>
      <c r="E246" s="301">
        <v>163</v>
      </c>
      <c r="F246" s="301">
        <v>176</v>
      </c>
      <c r="G246" s="301">
        <v>168</v>
      </c>
      <c r="H246" s="301">
        <v>163</v>
      </c>
      <c r="I246" s="301">
        <v>174</v>
      </c>
      <c r="J246" s="301">
        <v>154</v>
      </c>
      <c r="K246" s="301">
        <v>165</v>
      </c>
      <c r="L246" s="301">
        <v>166</v>
      </c>
      <c r="M246" s="301">
        <v>148</v>
      </c>
      <c r="N246" s="301">
        <v>180</v>
      </c>
      <c r="O246" s="301">
        <v>149</v>
      </c>
      <c r="P246" s="301">
        <f t="shared" si="253"/>
        <v>1976</v>
      </c>
      <c r="Q246" s="302">
        <f t="shared" si="139"/>
        <v>164.66666666666666</v>
      </c>
      <c r="R246" s="374"/>
      <c r="S246" s="300">
        <v>180</v>
      </c>
      <c r="T246" s="301">
        <v>186</v>
      </c>
      <c r="U246" s="301">
        <v>181</v>
      </c>
      <c r="V246" s="301">
        <v>189</v>
      </c>
      <c r="W246" s="301">
        <v>152</v>
      </c>
      <c r="X246" s="301">
        <v>153</v>
      </c>
      <c r="Y246" s="301">
        <v>142</v>
      </c>
      <c r="Z246" s="301">
        <v>188</v>
      </c>
      <c r="AA246" s="301">
        <v>123</v>
      </c>
      <c r="AB246" s="301">
        <v>141</v>
      </c>
      <c r="AC246" s="301">
        <v>152</v>
      </c>
      <c r="AD246" s="301">
        <v>139</v>
      </c>
      <c r="AE246" s="301">
        <f t="shared" si="254"/>
        <v>1926</v>
      </c>
      <c r="AF246" s="302">
        <f t="shared" si="141"/>
        <v>160.5</v>
      </c>
      <c r="AG246" s="374"/>
      <c r="AH246" s="300">
        <v>215.00000000000003</v>
      </c>
      <c r="AI246" s="301">
        <v>179</v>
      </c>
      <c r="AJ246" s="301">
        <v>195</v>
      </c>
      <c r="AK246" s="301">
        <v>200</v>
      </c>
      <c r="AL246" s="301">
        <v>233.99999999999997</v>
      </c>
      <c r="AM246" s="301">
        <v>185</v>
      </c>
      <c r="AN246" s="301">
        <v>233.99999999999997</v>
      </c>
      <c r="AO246" s="301">
        <v>208</v>
      </c>
      <c r="AP246" s="301">
        <v>224</v>
      </c>
      <c r="AQ246" s="301">
        <v>214</v>
      </c>
      <c r="AR246" s="301">
        <v>446</v>
      </c>
      <c r="AS246" s="301">
        <v>206</v>
      </c>
      <c r="AT246" s="301">
        <f t="shared" si="255"/>
        <v>2740</v>
      </c>
      <c r="AU246" s="302">
        <f t="shared" si="214"/>
        <v>228.33333333333334</v>
      </c>
      <c r="AV246" s="374"/>
      <c r="AW246" s="2021">
        <v>178</v>
      </c>
      <c r="AX246" s="301">
        <v>304</v>
      </c>
      <c r="AY246" s="301">
        <v>221</v>
      </c>
      <c r="AZ246" s="301">
        <v>272</v>
      </c>
      <c r="BA246" s="301">
        <v>511.00000000000006</v>
      </c>
      <c r="BB246" s="301">
        <v>269</v>
      </c>
      <c r="BC246" s="301">
        <v>370</v>
      </c>
      <c r="BD246" s="301">
        <v>238</v>
      </c>
      <c r="BE246" s="301">
        <v>257</v>
      </c>
      <c r="BF246" s="301">
        <v>159</v>
      </c>
      <c r="BG246" s="301">
        <v>170</v>
      </c>
      <c r="BH246" s="301">
        <v>172</v>
      </c>
      <c r="BI246" s="301">
        <f t="shared" si="256"/>
        <v>3121</v>
      </c>
      <c r="BJ246" s="302">
        <f t="shared" si="203"/>
        <v>260.061661528206</v>
      </c>
      <c r="BL246" s="317">
        <f>ROW()</f>
        <v>246</v>
      </c>
      <c r="BM246" s="1432">
        <f t="shared" si="257"/>
        <v>-34</v>
      </c>
      <c r="BN246" s="317">
        <f t="shared" si="211"/>
        <v>31.72832819487266</v>
      </c>
      <c r="BO246" s="317">
        <f t="shared" si="258"/>
        <v>381</v>
      </c>
      <c r="BP246" s="594">
        <f t="shared" si="208"/>
        <v>2</v>
      </c>
    </row>
    <row r="247" spans="1:68" ht="17.399999999999999" customHeight="1" x14ac:dyDescent="0.55000000000000004">
      <c r="A247" s="7222"/>
      <c r="B247" s="7208"/>
      <c r="C247" s="202" t="s">
        <v>232</v>
      </c>
      <c r="D247" s="300">
        <v>93</v>
      </c>
      <c r="E247" s="301">
        <v>86</v>
      </c>
      <c r="F247" s="301">
        <v>90</v>
      </c>
      <c r="G247" s="301">
        <v>116</v>
      </c>
      <c r="H247" s="301">
        <v>98</v>
      </c>
      <c r="I247" s="301">
        <v>96</v>
      </c>
      <c r="J247" s="301">
        <v>76</v>
      </c>
      <c r="K247" s="301">
        <v>124</v>
      </c>
      <c r="L247" s="301">
        <v>91</v>
      </c>
      <c r="M247" s="301">
        <v>108</v>
      </c>
      <c r="N247" s="301">
        <v>111</v>
      </c>
      <c r="O247" s="301">
        <v>99</v>
      </c>
      <c r="P247" s="301">
        <f t="shared" si="253"/>
        <v>1188</v>
      </c>
      <c r="Q247" s="302">
        <f t="shared" si="139"/>
        <v>99</v>
      </c>
      <c r="R247" s="374"/>
      <c r="S247" s="300">
        <v>131</v>
      </c>
      <c r="T247" s="301">
        <v>141</v>
      </c>
      <c r="U247" s="301">
        <v>148</v>
      </c>
      <c r="V247" s="301">
        <v>141</v>
      </c>
      <c r="W247" s="301">
        <v>129</v>
      </c>
      <c r="X247" s="301">
        <v>121</v>
      </c>
      <c r="Y247" s="301">
        <v>101</v>
      </c>
      <c r="Z247" s="301">
        <v>199</v>
      </c>
      <c r="AA247" s="301">
        <v>103</v>
      </c>
      <c r="AB247" s="301">
        <v>140</v>
      </c>
      <c r="AC247" s="301">
        <v>130</v>
      </c>
      <c r="AD247" s="301">
        <v>86</v>
      </c>
      <c r="AE247" s="301">
        <f t="shared" si="254"/>
        <v>1570</v>
      </c>
      <c r="AF247" s="302">
        <f t="shared" si="141"/>
        <v>130.83333333333334</v>
      </c>
      <c r="AG247" s="374"/>
      <c r="AH247" s="300">
        <v>181</v>
      </c>
      <c r="AI247" s="301">
        <v>136</v>
      </c>
      <c r="AJ247" s="301">
        <v>159</v>
      </c>
      <c r="AK247" s="301">
        <v>158</v>
      </c>
      <c r="AL247" s="301">
        <v>154</v>
      </c>
      <c r="AM247" s="301">
        <v>112.00000000000001</v>
      </c>
      <c r="AN247" s="301">
        <v>170</v>
      </c>
      <c r="AO247" s="301">
        <v>126.99999999999999</v>
      </c>
      <c r="AP247" s="301">
        <v>164</v>
      </c>
      <c r="AQ247" s="301">
        <v>151</v>
      </c>
      <c r="AR247" s="301">
        <v>317</v>
      </c>
      <c r="AS247" s="301">
        <v>125.99999999999999</v>
      </c>
      <c r="AT247" s="301">
        <f t="shared" si="255"/>
        <v>1955</v>
      </c>
      <c r="AU247" s="302">
        <f t="shared" si="214"/>
        <v>162.91666666666666</v>
      </c>
      <c r="AV247" s="374"/>
      <c r="AW247" s="2021">
        <v>106</v>
      </c>
      <c r="AX247" s="301">
        <v>220</v>
      </c>
      <c r="AY247" s="301">
        <v>171</v>
      </c>
      <c r="AZ247" s="301">
        <v>203</v>
      </c>
      <c r="BA247" s="301">
        <v>322</v>
      </c>
      <c r="BB247" s="301">
        <v>193</v>
      </c>
      <c r="BC247" s="301">
        <v>262</v>
      </c>
      <c r="BD247" s="301">
        <v>186</v>
      </c>
      <c r="BE247" s="301">
        <v>191</v>
      </c>
      <c r="BF247" s="301">
        <v>131</v>
      </c>
      <c r="BG247" s="301">
        <v>134</v>
      </c>
      <c r="BH247" s="301">
        <v>136</v>
      </c>
      <c r="BI247" s="301">
        <f t="shared" si="256"/>
        <v>2255</v>
      </c>
      <c r="BJ247" s="302">
        <f t="shared" si="203"/>
        <v>187.90100824931255</v>
      </c>
      <c r="BL247" s="317">
        <f>ROW()</f>
        <v>247</v>
      </c>
      <c r="BM247" s="1432">
        <f t="shared" si="257"/>
        <v>10.000000000000014</v>
      </c>
      <c r="BN247" s="317">
        <f t="shared" si="211"/>
        <v>24.984341582645897</v>
      </c>
      <c r="BO247" s="317">
        <f t="shared" si="258"/>
        <v>300</v>
      </c>
      <c r="BP247" s="594">
        <f t="shared" si="208"/>
        <v>2</v>
      </c>
    </row>
    <row r="248" spans="1:68" ht="17.399999999999999" customHeight="1" x14ac:dyDescent="0.55000000000000004">
      <c r="A248" s="7222"/>
      <c r="B248" s="7208"/>
      <c r="C248" s="203" t="s">
        <v>233</v>
      </c>
      <c r="D248" s="303">
        <v>213</v>
      </c>
      <c r="E248" s="304">
        <v>186</v>
      </c>
      <c r="F248" s="304">
        <v>178</v>
      </c>
      <c r="G248" s="304">
        <v>150</v>
      </c>
      <c r="H248" s="304">
        <v>202</v>
      </c>
      <c r="I248" s="304">
        <v>204</v>
      </c>
      <c r="J248" s="304">
        <v>193</v>
      </c>
      <c r="K248" s="304">
        <v>231</v>
      </c>
      <c r="L248" s="304">
        <v>173</v>
      </c>
      <c r="M248" s="304">
        <v>185</v>
      </c>
      <c r="N248" s="304">
        <v>224</v>
      </c>
      <c r="O248" s="304">
        <v>186</v>
      </c>
      <c r="P248" s="304">
        <f t="shared" si="253"/>
        <v>2325</v>
      </c>
      <c r="Q248" s="305">
        <f t="shared" si="139"/>
        <v>193.75</v>
      </c>
      <c r="R248" s="374"/>
      <c r="S248" s="303">
        <v>193</v>
      </c>
      <c r="T248" s="304">
        <v>268</v>
      </c>
      <c r="U248" s="304">
        <v>245</v>
      </c>
      <c r="V248" s="304">
        <v>243</v>
      </c>
      <c r="W248" s="304">
        <v>206</v>
      </c>
      <c r="X248" s="304">
        <v>244</v>
      </c>
      <c r="Y248" s="304">
        <v>167</v>
      </c>
      <c r="Z248" s="304">
        <v>245</v>
      </c>
      <c r="AA248" s="304">
        <v>153</v>
      </c>
      <c r="AB248" s="304">
        <v>194</v>
      </c>
      <c r="AC248" s="304">
        <v>196</v>
      </c>
      <c r="AD248" s="304">
        <v>146</v>
      </c>
      <c r="AE248" s="304">
        <f t="shared" si="254"/>
        <v>2500</v>
      </c>
      <c r="AF248" s="305">
        <f t="shared" si="141"/>
        <v>208.33333333333334</v>
      </c>
      <c r="AG248" s="374"/>
      <c r="AH248" s="303">
        <v>267</v>
      </c>
      <c r="AI248" s="304">
        <v>211</v>
      </c>
      <c r="AJ248" s="304">
        <v>229.00000000000003</v>
      </c>
      <c r="AK248" s="304">
        <v>262</v>
      </c>
      <c r="AL248" s="304">
        <v>243</v>
      </c>
      <c r="AM248" s="304">
        <v>221</v>
      </c>
      <c r="AN248" s="304">
        <v>247.00000000000003</v>
      </c>
      <c r="AO248" s="304">
        <v>210</v>
      </c>
      <c r="AP248" s="304">
        <v>181</v>
      </c>
      <c r="AQ248" s="304">
        <v>247.00000000000003</v>
      </c>
      <c r="AR248" s="304">
        <v>490</v>
      </c>
      <c r="AS248" s="304">
        <v>191</v>
      </c>
      <c r="AT248" s="304">
        <f t="shared" si="255"/>
        <v>2999</v>
      </c>
      <c r="AU248" s="305">
        <f t="shared" si="214"/>
        <v>249.91666666666666</v>
      </c>
      <c r="AV248" s="374"/>
      <c r="AW248" s="2022">
        <v>126</v>
      </c>
      <c r="AX248" s="304">
        <v>290</v>
      </c>
      <c r="AY248" s="304">
        <v>232</v>
      </c>
      <c r="AZ248" s="304">
        <v>333</v>
      </c>
      <c r="BA248" s="304">
        <v>457.00000000000006</v>
      </c>
      <c r="BB248" s="304">
        <v>280</v>
      </c>
      <c r="BC248" s="304">
        <v>411</v>
      </c>
      <c r="BD248" s="304">
        <v>258</v>
      </c>
      <c r="BE248" s="304">
        <v>244</v>
      </c>
      <c r="BF248" s="304">
        <v>189</v>
      </c>
      <c r="BG248" s="304">
        <v>164</v>
      </c>
      <c r="BH248" s="304">
        <v>124</v>
      </c>
      <c r="BI248" s="304">
        <f t="shared" si="256"/>
        <v>3108</v>
      </c>
      <c r="BJ248" s="305">
        <f t="shared" si="203"/>
        <v>258.9784184651279</v>
      </c>
      <c r="BL248" s="317">
        <f>ROW()</f>
        <v>248</v>
      </c>
      <c r="BM248" s="1432">
        <f t="shared" si="257"/>
        <v>-67</v>
      </c>
      <c r="BN248" s="317">
        <f t="shared" si="211"/>
        <v>9.0617517984612448</v>
      </c>
      <c r="BO248" s="317">
        <f t="shared" si="258"/>
        <v>109</v>
      </c>
      <c r="BP248" s="594">
        <f t="shared" si="208"/>
        <v>-40</v>
      </c>
    </row>
    <row r="249" spans="1:68" ht="17.399999999999999" customHeight="1" x14ac:dyDescent="0.55000000000000004">
      <c r="A249" s="7222"/>
      <c r="B249" s="7208"/>
      <c r="C249" s="203" t="s">
        <v>234</v>
      </c>
      <c r="D249" s="303">
        <v>149</v>
      </c>
      <c r="E249" s="304">
        <v>119</v>
      </c>
      <c r="F249" s="304">
        <v>139</v>
      </c>
      <c r="G249" s="304">
        <v>134</v>
      </c>
      <c r="H249" s="304">
        <v>123</v>
      </c>
      <c r="I249" s="304">
        <v>150</v>
      </c>
      <c r="J249" s="304">
        <v>131</v>
      </c>
      <c r="K249" s="304">
        <v>163</v>
      </c>
      <c r="L249" s="304">
        <v>116</v>
      </c>
      <c r="M249" s="304">
        <v>111</v>
      </c>
      <c r="N249" s="304">
        <v>139</v>
      </c>
      <c r="O249" s="304">
        <v>127</v>
      </c>
      <c r="P249" s="304">
        <f t="shared" si="253"/>
        <v>1601</v>
      </c>
      <c r="Q249" s="305">
        <f t="shared" si="139"/>
        <v>133.41666666666666</v>
      </c>
      <c r="R249" s="374"/>
      <c r="S249" s="303">
        <v>155</v>
      </c>
      <c r="T249" s="304">
        <v>200</v>
      </c>
      <c r="U249" s="304">
        <v>153</v>
      </c>
      <c r="V249" s="304">
        <v>165</v>
      </c>
      <c r="W249" s="304">
        <v>161</v>
      </c>
      <c r="X249" s="304">
        <v>156</v>
      </c>
      <c r="Y249" s="304">
        <v>130</v>
      </c>
      <c r="Z249" s="304">
        <v>198</v>
      </c>
      <c r="AA249" s="304">
        <v>126</v>
      </c>
      <c r="AB249" s="304">
        <v>140</v>
      </c>
      <c r="AC249" s="304">
        <v>121</v>
      </c>
      <c r="AD249" s="304">
        <v>129</v>
      </c>
      <c r="AE249" s="304">
        <f t="shared" si="254"/>
        <v>1834</v>
      </c>
      <c r="AF249" s="305">
        <f t="shared" si="141"/>
        <v>152.83333333333334</v>
      </c>
      <c r="AG249" s="374"/>
      <c r="AH249" s="303">
        <v>209</v>
      </c>
      <c r="AI249" s="304">
        <v>163</v>
      </c>
      <c r="AJ249" s="304">
        <v>208</v>
      </c>
      <c r="AK249" s="304">
        <v>195</v>
      </c>
      <c r="AL249" s="304">
        <v>165</v>
      </c>
      <c r="AM249" s="304">
        <v>165</v>
      </c>
      <c r="AN249" s="304">
        <v>233.99999999999997</v>
      </c>
      <c r="AO249" s="304">
        <v>136</v>
      </c>
      <c r="AP249" s="304">
        <v>186</v>
      </c>
      <c r="AQ249" s="304">
        <v>161</v>
      </c>
      <c r="AR249" s="304">
        <v>358</v>
      </c>
      <c r="AS249" s="304">
        <v>127.00000000000001</v>
      </c>
      <c r="AT249" s="304">
        <f t="shared" si="255"/>
        <v>2307</v>
      </c>
      <c r="AU249" s="305">
        <f t="shared" si="214"/>
        <v>192.25</v>
      </c>
      <c r="AV249" s="374"/>
      <c r="AW249" s="2022">
        <v>141</v>
      </c>
      <c r="AX249" s="304">
        <v>240</v>
      </c>
      <c r="AY249" s="304">
        <v>182</v>
      </c>
      <c r="AZ249" s="304">
        <v>243</v>
      </c>
      <c r="BA249" s="304">
        <v>377</v>
      </c>
      <c r="BB249" s="304">
        <v>199</v>
      </c>
      <c r="BC249" s="304">
        <v>284</v>
      </c>
      <c r="BD249" s="304">
        <v>166</v>
      </c>
      <c r="BE249" s="304">
        <v>217</v>
      </c>
      <c r="BF249" s="304">
        <v>137</v>
      </c>
      <c r="BG249" s="304">
        <v>145</v>
      </c>
      <c r="BH249" s="304">
        <v>122</v>
      </c>
      <c r="BI249" s="304">
        <f t="shared" si="256"/>
        <v>2453</v>
      </c>
      <c r="BJ249" s="305">
        <f t="shared" si="203"/>
        <v>204.39963336388635</v>
      </c>
      <c r="BL249" s="317">
        <f>ROW()</f>
        <v>249</v>
      </c>
      <c r="BM249" s="1432">
        <f t="shared" si="257"/>
        <v>-5.0000000000000142</v>
      </c>
      <c r="BN249" s="317">
        <f t="shared" si="211"/>
        <v>12.149633363886352</v>
      </c>
      <c r="BO249" s="317">
        <f t="shared" si="258"/>
        <v>146</v>
      </c>
      <c r="BP249" s="594">
        <f t="shared" si="208"/>
        <v>-23</v>
      </c>
    </row>
    <row r="250" spans="1:68" ht="17.399999999999999" customHeight="1" x14ac:dyDescent="0.55000000000000004">
      <c r="A250" s="7222"/>
      <c r="B250" s="7208"/>
      <c r="C250" s="202" t="s">
        <v>235</v>
      </c>
      <c r="D250" s="300">
        <v>167</v>
      </c>
      <c r="E250" s="301">
        <v>117</v>
      </c>
      <c r="F250" s="301">
        <v>130</v>
      </c>
      <c r="G250" s="301">
        <v>112</v>
      </c>
      <c r="H250" s="301">
        <v>163</v>
      </c>
      <c r="I250" s="301">
        <v>125</v>
      </c>
      <c r="J250" s="301">
        <v>141</v>
      </c>
      <c r="K250" s="301">
        <v>156</v>
      </c>
      <c r="L250" s="301">
        <v>106</v>
      </c>
      <c r="M250" s="301">
        <v>135</v>
      </c>
      <c r="N250" s="301">
        <v>146</v>
      </c>
      <c r="O250" s="301">
        <v>109</v>
      </c>
      <c r="P250" s="301">
        <f t="shared" si="253"/>
        <v>1607</v>
      </c>
      <c r="Q250" s="302">
        <f t="shared" si="139"/>
        <v>133.91666666666666</v>
      </c>
      <c r="R250" s="374"/>
      <c r="S250" s="300">
        <v>164</v>
      </c>
      <c r="T250" s="301">
        <v>190</v>
      </c>
      <c r="U250" s="301">
        <v>143</v>
      </c>
      <c r="V250" s="301">
        <v>167</v>
      </c>
      <c r="W250" s="301">
        <v>141</v>
      </c>
      <c r="X250" s="301">
        <v>141</v>
      </c>
      <c r="Y250" s="301">
        <v>111</v>
      </c>
      <c r="Z250" s="301">
        <v>180</v>
      </c>
      <c r="AA250" s="301">
        <v>94</v>
      </c>
      <c r="AB250" s="301">
        <v>119</v>
      </c>
      <c r="AC250" s="301">
        <v>97</v>
      </c>
      <c r="AD250" s="301">
        <v>86</v>
      </c>
      <c r="AE250" s="301">
        <f t="shared" si="254"/>
        <v>1633</v>
      </c>
      <c r="AF250" s="302">
        <f t="shared" si="141"/>
        <v>136.08333333333334</v>
      </c>
      <c r="AG250" s="374"/>
      <c r="AH250" s="300">
        <v>191</v>
      </c>
      <c r="AI250" s="301">
        <v>110</v>
      </c>
      <c r="AJ250" s="301">
        <v>184</v>
      </c>
      <c r="AK250" s="301">
        <v>171</v>
      </c>
      <c r="AL250" s="301">
        <v>132</v>
      </c>
      <c r="AM250" s="301">
        <v>142</v>
      </c>
      <c r="AN250" s="301">
        <v>163</v>
      </c>
      <c r="AO250" s="301">
        <v>129</v>
      </c>
      <c r="AP250" s="301">
        <v>137</v>
      </c>
      <c r="AQ250" s="301">
        <v>123</v>
      </c>
      <c r="AR250" s="301">
        <v>284</v>
      </c>
      <c r="AS250" s="301">
        <v>99</v>
      </c>
      <c r="AT250" s="301">
        <f t="shared" si="255"/>
        <v>1865</v>
      </c>
      <c r="AU250" s="302">
        <f t="shared" si="214"/>
        <v>155.41666666666666</v>
      </c>
      <c r="AV250" s="374"/>
      <c r="AW250" s="2021">
        <v>98</v>
      </c>
      <c r="AX250" s="301">
        <v>228</v>
      </c>
      <c r="AY250" s="301">
        <v>164</v>
      </c>
      <c r="AZ250" s="301">
        <v>183</v>
      </c>
      <c r="BA250" s="301">
        <v>333</v>
      </c>
      <c r="BB250" s="301">
        <v>144</v>
      </c>
      <c r="BC250" s="301">
        <v>258</v>
      </c>
      <c r="BD250" s="301">
        <v>141</v>
      </c>
      <c r="BE250" s="301">
        <v>173</v>
      </c>
      <c r="BF250" s="301">
        <v>98</v>
      </c>
      <c r="BG250" s="301">
        <v>98</v>
      </c>
      <c r="BH250" s="301">
        <v>88</v>
      </c>
      <c r="BI250" s="301">
        <f t="shared" si="256"/>
        <v>2006</v>
      </c>
      <c r="BJ250" s="302">
        <f t="shared" si="203"/>
        <v>167.15273727189401</v>
      </c>
      <c r="BL250" s="317">
        <f>ROW()</f>
        <v>250</v>
      </c>
      <c r="BM250" s="1432">
        <f t="shared" si="257"/>
        <v>-11</v>
      </c>
      <c r="BN250" s="317">
        <f t="shared" si="211"/>
        <v>11.736070605227354</v>
      </c>
      <c r="BO250" s="317">
        <f t="shared" si="258"/>
        <v>141</v>
      </c>
      <c r="BP250" s="594">
        <f t="shared" si="208"/>
        <v>-10</v>
      </c>
    </row>
    <row r="251" spans="1:68" ht="18" customHeight="1" thickBot="1" x14ac:dyDescent="0.6">
      <c r="A251" s="7222"/>
      <c r="B251" s="7209"/>
      <c r="C251" s="204" t="s">
        <v>236</v>
      </c>
      <c r="D251" s="306">
        <v>109</v>
      </c>
      <c r="E251" s="307">
        <v>104</v>
      </c>
      <c r="F251" s="307">
        <v>81</v>
      </c>
      <c r="G251" s="307">
        <v>91</v>
      </c>
      <c r="H251" s="307">
        <v>79</v>
      </c>
      <c r="I251" s="307">
        <v>88</v>
      </c>
      <c r="J251" s="307">
        <v>81</v>
      </c>
      <c r="K251" s="307">
        <v>83</v>
      </c>
      <c r="L251" s="307">
        <v>77</v>
      </c>
      <c r="M251" s="307">
        <v>84</v>
      </c>
      <c r="N251" s="307">
        <v>72</v>
      </c>
      <c r="O251" s="307">
        <v>82</v>
      </c>
      <c r="P251" s="307">
        <f t="shared" si="253"/>
        <v>1031</v>
      </c>
      <c r="Q251" s="308">
        <f t="shared" si="139"/>
        <v>85.916666666666671</v>
      </c>
      <c r="R251" s="374"/>
      <c r="S251" s="306">
        <v>92</v>
      </c>
      <c r="T251" s="307">
        <v>73</v>
      </c>
      <c r="U251" s="307">
        <v>104</v>
      </c>
      <c r="V251" s="307">
        <v>90</v>
      </c>
      <c r="W251" s="307">
        <v>89</v>
      </c>
      <c r="X251" s="307">
        <v>93</v>
      </c>
      <c r="Y251" s="307">
        <v>82</v>
      </c>
      <c r="Z251" s="307">
        <v>107</v>
      </c>
      <c r="AA251" s="307">
        <v>100</v>
      </c>
      <c r="AB251" s="307">
        <v>101</v>
      </c>
      <c r="AC251" s="307">
        <v>103</v>
      </c>
      <c r="AD251" s="307">
        <v>93</v>
      </c>
      <c r="AE251" s="307">
        <f t="shared" si="254"/>
        <v>1127</v>
      </c>
      <c r="AF251" s="308">
        <f t="shared" si="141"/>
        <v>93.916666666666671</v>
      </c>
      <c r="AG251" s="374"/>
      <c r="AH251" s="306">
        <v>119</v>
      </c>
      <c r="AI251" s="307">
        <v>97</v>
      </c>
      <c r="AJ251" s="307">
        <v>139</v>
      </c>
      <c r="AK251" s="307">
        <v>112</v>
      </c>
      <c r="AL251" s="307">
        <v>130</v>
      </c>
      <c r="AM251" s="307">
        <v>108</v>
      </c>
      <c r="AN251" s="307">
        <v>135</v>
      </c>
      <c r="AO251" s="307">
        <v>112</v>
      </c>
      <c r="AP251" s="307">
        <v>143</v>
      </c>
      <c r="AQ251" s="307">
        <v>121.99999999999999</v>
      </c>
      <c r="AR251" s="307">
        <v>262</v>
      </c>
      <c r="AS251" s="307">
        <v>96</v>
      </c>
      <c r="AT251" s="307">
        <f t="shared" si="255"/>
        <v>1575</v>
      </c>
      <c r="AU251" s="308">
        <f t="shared" si="214"/>
        <v>131.25</v>
      </c>
      <c r="AV251" s="374"/>
      <c r="AW251" s="2023">
        <v>82</v>
      </c>
      <c r="AX251" s="307">
        <v>147</v>
      </c>
      <c r="AY251" s="307">
        <v>153</v>
      </c>
      <c r="AZ251" s="307">
        <v>137</v>
      </c>
      <c r="BA251" s="307">
        <v>264</v>
      </c>
      <c r="BB251" s="307">
        <v>162</v>
      </c>
      <c r="BC251" s="307">
        <v>210</v>
      </c>
      <c r="BD251" s="307">
        <v>144</v>
      </c>
      <c r="BE251" s="307">
        <v>130</v>
      </c>
      <c r="BF251" s="307">
        <v>104</v>
      </c>
      <c r="BG251" s="307">
        <v>103</v>
      </c>
      <c r="BH251" s="307">
        <v>99</v>
      </c>
      <c r="BI251" s="307">
        <f t="shared" si="256"/>
        <v>1735</v>
      </c>
      <c r="BJ251" s="308">
        <f t="shared" si="203"/>
        <v>144.5712857261895</v>
      </c>
      <c r="BL251" s="317">
        <f>ROW()</f>
        <v>251</v>
      </c>
      <c r="BM251" s="1432">
        <f t="shared" si="257"/>
        <v>3</v>
      </c>
      <c r="BN251" s="317">
        <f t="shared" si="211"/>
        <v>13.321285726189501</v>
      </c>
      <c r="BO251" s="317">
        <f t="shared" si="258"/>
        <v>160</v>
      </c>
      <c r="BP251" s="594">
        <f t="shared" si="208"/>
        <v>-4</v>
      </c>
    </row>
    <row r="252" spans="1:68" ht="17.399999999999999" customHeight="1" x14ac:dyDescent="0.55000000000000004">
      <c r="A252" s="7222"/>
      <c r="B252" s="7213" t="s">
        <v>1119</v>
      </c>
      <c r="C252" s="199" t="s">
        <v>419</v>
      </c>
      <c r="D252" s="291">
        <f>D257+D258</f>
        <v>110</v>
      </c>
      <c r="E252" s="292">
        <f t="shared" ref="E252:O252" si="263">E257+E258</f>
        <v>103</v>
      </c>
      <c r="F252" s="292">
        <f t="shared" si="263"/>
        <v>123</v>
      </c>
      <c r="G252" s="292">
        <f t="shared" si="263"/>
        <v>134</v>
      </c>
      <c r="H252" s="292">
        <f t="shared" si="263"/>
        <v>117</v>
      </c>
      <c r="I252" s="292">
        <f t="shared" si="263"/>
        <v>163</v>
      </c>
      <c r="J252" s="292">
        <f t="shared" si="263"/>
        <v>142</v>
      </c>
      <c r="K252" s="292">
        <f t="shared" si="263"/>
        <v>104</v>
      </c>
      <c r="L252" s="292">
        <f t="shared" si="263"/>
        <v>123</v>
      </c>
      <c r="M252" s="292">
        <f t="shared" si="263"/>
        <v>169</v>
      </c>
      <c r="N252" s="292">
        <f t="shared" si="263"/>
        <v>103</v>
      </c>
      <c r="O252" s="292">
        <f t="shared" si="263"/>
        <v>109</v>
      </c>
      <c r="P252" s="292">
        <f t="shared" si="253"/>
        <v>1500</v>
      </c>
      <c r="Q252" s="293">
        <f t="shared" si="139"/>
        <v>125</v>
      </c>
      <c r="R252" s="374"/>
      <c r="S252" s="291">
        <v>80</v>
      </c>
      <c r="T252" s="292">
        <v>111</v>
      </c>
      <c r="U252" s="292">
        <v>141</v>
      </c>
      <c r="V252" s="292">
        <v>162</v>
      </c>
      <c r="W252" s="292">
        <v>165</v>
      </c>
      <c r="X252" s="292">
        <v>153</v>
      </c>
      <c r="Y252" s="292">
        <v>144</v>
      </c>
      <c r="Z252" s="292">
        <v>123</v>
      </c>
      <c r="AA252" s="292">
        <v>119</v>
      </c>
      <c r="AB252" s="292">
        <v>121</v>
      </c>
      <c r="AC252" s="292">
        <v>143</v>
      </c>
      <c r="AD252" s="292">
        <v>125</v>
      </c>
      <c r="AE252" s="292">
        <f t="shared" si="254"/>
        <v>1587</v>
      </c>
      <c r="AF252" s="293">
        <f t="shared" si="141"/>
        <v>132.25</v>
      </c>
      <c r="AG252" s="374"/>
      <c r="AH252" s="291">
        <v>127</v>
      </c>
      <c r="AI252" s="292">
        <v>125</v>
      </c>
      <c r="AJ252" s="292">
        <v>140</v>
      </c>
      <c r="AK252" s="292">
        <v>136</v>
      </c>
      <c r="AL252" s="292">
        <v>124</v>
      </c>
      <c r="AM252" s="292">
        <v>145</v>
      </c>
      <c r="AN252" s="292">
        <v>123</v>
      </c>
      <c r="AO252" s="292">
        <v>180</v>
      </c>
      <c r="AP252" s="292">
        <v>128</v>
      </c>
      <c r="AQ252" s="292">
        <v>131</v>
      </c>
      <c r="AR252" s="292">
        <v>205</v>
      </c>
      <c r="AS252" s="292">
        <v>127</v>
      </c>
      <c r="AT252" s="292">
        <f t="shared" si="255"/>
        <v>1691</v>
      </c>
      <c r="AU252" s="293">
        <f t="shared" si="214"/>
        <v>140.91666666666666</v>
      </c>
      <c r="AV252" s="374"/>
      <c r="AW252" s="2015">
        <v>87</v>
      </c>
      <c r="AX252" s="292">
        <v>97</v>
      </c>
      <c r="AY252" s="292">
        <v>131</v>
      </c>
      <c r="AZ252" s="292">
        <v>148</v>
      </c>
      <c r="BA252" s="292">
        <v>236</v>
      </c>
      <c r="BB252" s="292">
        <v>164</v>
      </c>
      <c r="BC252" s="292">
        <v>186</v>
      </c>
      <c r="BD252" s="292">
        <v>206</v>
      </c>
      <c r="BE252" s="292">
        <v>179</v>
      </c>
      <c r="BF252" s="292">
        <v>178</v>
      </c>
      <c r="BG252" s="292">
        <v>116</v>
      </c>
      <c r="BH252" s="292">
        <v>82</v>
      </c>
      <c r="BI252" s="292">
        <f t="shared" si="256"/>
        <v>1810</v>
      </c>
      <c r="BJ252" s="293">
        <f t="shared" si="203"/>
        <v>150.82076493625533</v>
      </c>
      <c r="BL252" s="317">
        <f>ROW()</f>
        <v>252</v>
      </c>
      <c r="BM252" s="1432">
        <f t="shared" si="257"/>
        <v>-45</v>
      </c>
      <c r="BN252" s="317">
        <f t="shared" si="211"/>
        <v>9.9040982695886726</v>
      </c>
      <c r="BO252" s="317">
        <f t="shared" si="258"/>
        <v>119</v>
      </c>
      <c r="BP252" s="594">
        <f t="shared" si="208"/>
        <v>-34</v>
      </c>
    </row>
    <row r="253" spans="1:68" ht="17.399999999999999" customHeight="1" x14ac:dyDescent="0.55000000000000004">
      <c r="A253" s="7222"/>
      <c r="B253" s="7214"/>
      <c r="C253" s="200" t="s">
        <v>420</v>
      </c>
      <c r="D253" s="294">
        <f>D259+D260</f>
        <v>62</v>
      </c>
      <c r="E253" s="295">
        <f t="shared" ref="E253:O253" si="264">E259+E260</f>
        <v>93</v>
      </c>
      <c r="F253" s="295">
        <f t="shared" si="264"/>
        <v>126</v>
      </c>
      <c r="G253" s="295">
        <f t="shared" si="264"/>
        <v>113</v>
      </c>
      <c r="H253" s="295">
        <f t="shared" si="264"/>
        <v>140</v>
      </c>
      <c r="I253" s="295">
        <f t="shared" si="264"/>
        <v>98</v>
      </c>
      <c r="J253" s="295">
        <f t="shared" si="264"/>
        <v>92</v>
      </c>
      <c r="K253" s="295">
        <f t="shared" si="264"/>
        <v>94</v>
      </c>
      <c r="L253" s="295">
        <f t="shared" si="264"/>
        <v>118</v>
      </c>
      <c r="M253" s="295">
        <f t="shared" si="264"/>
        <v>197</v>
      </c>
      <c r="N253" s="295">
        <f t="shared" si="264"/>
        <v>167</v>
      </c>
      <c r="O253" s="295">
        <f t="shared" si="264"/>
        <v>131</v>
      </c>
      <c r="P253" s="295">
        <f t="shared" si="253"/>
        <v>1431</v>
      </c>
      <c r="Q253" s="296">
        <f t="shared" si="139"/>
        <v>119.25</v>
      </c>
      <c r="R253" s="374"/>
      <c r="S253" s="294">
        <v>115</v>
      </c>
      <c r="T253" s="295">
        <v>149</v>
      </c>
      <c r="U253" s="295">
        <v>160</v>
      </c>
      <c r="V253" s="295">
        <v>115</v>
      </c>
      <c r="W253" s="295">
        <v>178</v>
      </c>
      <c r="X253" s="295">
        <v>113</v>
      </c>
      <c r="Y253" s="295">
        <v>110</v>
      </c>
      <c r="Z253" s="295">
        <v>137</v>
      </c>
      <c r="AA253" s="295">
        <v>141</v>
      </c>
      <c r="AB253" s="295">
        <v>133</v>
      </c>
      <c r="AC253" s="295">
        <v>135</v>
      </c>
      <c r="AD253" s="295">
        <v>117</v>
      </c>
      <c r="AE253" s="295">
        <f t="shared" si="254"/>
        <v>1603</v>
      </c>
      <c r="AF253" s="296">
        <f t="shared" si="141"/>
        <v>133.58333333333334</v>
      </c>
      <c r="AG253" s="374"/>
      <c r="AH253" s="294">
        <v>252</v>
      </c>
      <c r="AI253" s="295">
        <v>104</v>
      </c>
      <c r="AJ253" s="295">
        <v>127</v>
      </c>
      <c r="AK253" s="295">
        <v>109</v>
      </c>
      <c r="AL253" s="295">
        <v>88</v>
      </c>
      <c r="AM253" s="295">
        <v>120</v>
      </c>
      <c r="AN253" s="295">
        <v>104</v>
      </c>
      <c r="AO253" s="295">
        <v>82</v>
      </c>
      <c r="AP253" s="295">
        <v>146</v>
      </c>
      <c r="AQ253" s="295">
        <v>128</v>
      </c>
      <c r="AR253" s="295">
        <v>172</v>
      </c>
      <c r="AS253" s="295">
        <v>86</v>
      </c>
      <c r="AT253" s="295">
        <f t="shared" si="255"/>
        <v>1518</v>
      </c>
      <c r="AU253" s="296">
        <f t="shared" si="214"/>
        <v>126.5</v>
      </c>
      <c r="AV253" s="374"/>
      <c r="AW253" s="2016">
        <v>67</v>
      </c>
      <c r="AX253" s="295">
        <v>88</v>
      </c>
      <c r="AY253" s="295">
        <v>90</v>
      </c>
      <c r="AZ253" s="295">
        <v>90</v>
      </c>
      <c r="BA253" s="295">
        <v>188</v>
      </c>
      <c r="BB253" s="295">
        <v>65</v>
      </c>
      <c r="BC253" s="295">
        <v>101</v>
      </c>
      <c r="BD253" s="295">
        <v>71</v>
      </c>
      <c r="BE253" s="295">
        <v>103</v>
      </c>
      <c r="BF253" s="295">
        <v>96</v>
      </c>
      <c r="BG253" s="295">
        <v>85</v>
      </c>
      <c r="BH253" s="295">
        <v>55</v>
      </c>
      <c r="BI253" s="295">
        <f t="shared" si="256"/>
        <v>1099</v>
      </c>
      <c r="BJ253" s="296">
        <f t="shared" si="203"/>
        <v>91.575702024831273</v>
      </c>
      <c r="BL253" s="317">
        <f>ROW()</f>
        <v>253</v>
      </c>
      <c r="BM253" s="1432">
        <f t="shared" si="257"/>
        <v>-31</v>
      </c>
      <c r="BN253" s="317">
        <f t="shared" si="211"/>
        <v>-34.924297975168727</v>
      </c>
      <c r="BO253" s="317">
        <f t="shared" si="258"/>
        <v>-419</v>
      </c>
      <c r="BP253" s="594">
        <f t="shared" si="208"/>
        <v>-30</v>
      </c>
    </row>
    <row r="254" spans="1:68" ht="17.399999999999999" customHeight="1" x14ac:dyDescent="0.55000000000000004">
      <c r="A254" s="7222"/>
      <c r="B254" s="7214"/>
      <c r="C254" s="200" t="s">
        <v>421</v>
      </c>
      <c r="D254" s="294">
        <f>D261+D262</f>
        <v>40</v>
      </c>
      <c r="E254" s="295">
        <f t="shared" ref="E254:O254" si="265">E261+E262</f>
        <v>47</v>
      </c>
      <c r="F254" s="295">
        <f t="shared" si="265"/>
        <v>70</v>
      </c>
      <c r="G254" s="295">
        <f t="shared" si="265"/>
        <v>80</v>
      </c>
      <c r="H254" s="295">
        <f t="shared" si="265"/>
        <v>69</v>
      </c>
      <c r="I254" s="295">
        <f t="shared" si="265"/>
        <v>64</v>
      </c>
      <c r="J254" s="295">
        <f t="shared" si="265"/>
        <v>54</v>
      </c>
      <c r="K254" s="295">
        <f t="shared" si="265"/>
        <v>47</v>
      </c>
      <c r="L254" s="295">
        <f t="shared" si="265"/>
        <v>63</v>
      </c>
      <c r="M254" s="295">
        <f t="shared" si="265"/>
        <v>97</v>
      </c>
      <c r="N254" s="295">
        <f t="shared" si="265"/>
        <v>72</v>
      </c>
      <c r="O254" s="295">
        <f t="shared" si="265"/>
        <v>63</v>
      </c>
      <c r="P254" s="295">
        <f t="shared" si="253"/>
        <v>766</v>
      </c>
      <c r="Q254" s="296">
        <f t="shared" si="139"/>
        <v>63.833333333333336</v>
      </c>
      <c r="R254" s="374"/>
      <c r="S254" s="294">
        <v>64</v>
      </c>
      <c r="T254" s="295">
        <v>100</v>
      </c>
      <c r="U254" s="295">
        <v>105</v>
      </c>
      <c r="V254" s="295">
        <v>132</v>
      </c>
      <c r="W254" s="295">
        <v>117</v>
      </c>
      <c r="X254" s="295">
        <v>122</v>
      </c>
      <c r="Y254" s="295">
        <v>114</v>
      </c>
      <c r="Z254" s="295">
        <v>116</v>
      </c>
      <c r="AA254" s="295">
        <v>89</v>
      </c>
      <c r="AB254" s="295">
        <v>103</v>
      </c>
      <c r="AC254" s="295">
        <v>140</v>
      </c>
      <c r="AD254" s="295">
        <v>153</v>
      </c>
      <c r="AE254" s="295">
        <f t="shared" si="254"/>
        <v>1355</v>
      </c>
      <c r="AF254" s="296">
        <f t="shared" si="141"/>
        <v>112.91666666666667</v>
      </c>
      <c r="AG254" s="374"/>
      <c r="AH254" s="294">
        <v>109</v>
      </c>
      <c r="AI254" s="295">
        <v>95</v>
      </c>
      <c r="AJ254" s="295">
        <v>103</v>
      </c>
      <c r="AK254" s="295">
        <v>103</v>
      </c>
      <c r="AL254" s="295">
        <v>110</v>
      </c>
      <c r="AM254" s="295">
        <v>117</v>
      </c>
      <c r="AN254" s="295">
        <v>141</v>
      </c>
      <c r="AO254" s="295">
        <v>134</v>
      </c>
      <c r="AP254" s="295">
        <v>111</v>
      </c>
      <c r="AQ254" s="295">
        <v>203</v>
      </c>
      <c r="AR254" s="295">
        <v>153</v>
      </c>
      <c r="AS254" s="295">
        <v>80</v>
      </c>
      <c r="AT254" s="295">
        <f t="shared" si="255"/>
        <v>1459</v>
      </c>
      <c r="AU254" s="296">
        <f t="shared" si="214"/>
        <v>121.58333333333333</v>
      </c>
      <c r="AV254" s="374"/>
      <c r="AW254" s="2016">
        <v>167</v>
      </c>
      <c r="AX254" s="295">
        <v>94</v>
      </c>
      <c r="AY254" s="295">
        <v>116</v>
      </c>
      <c r="AZ254" s="295">
        <v>110</v>
      </c>
      <c r="BA254" s="295">
        <v>140</v>
      </c>
      <c r="BB254" s="295">
        <v>104</v>
      </c>
      <c r="BC254" s="295">
        <v>130</v>
      </c>
      <c r="BD254" s="295">
        <v>126</v>
      </c>
      <c r="BE254" s="295">
        <v>120</v>
      </c>
      <c r="BF254" s="295">
        <v>56</v>
      </c>
      <c r="BG254" s="295">
        <v>95</v>
      </c>
      <c r="BH254" s="295">
        <v>67</v>
      </c>
      <c r="BI254" s="295">
        <f t="shared" si="256"/>
        <v>1325</v>
      </c>
      <c r="BJ254" s="296">
        <f t="shared" si="203"/>
        <v>110.4074660444963</v>
      </c>
      <c r="BL254" s="317">
        <f>ROW()</f>
        <v>254</v>
      </c>
      <c r="BM254" s="1432">
        <f t="shared" si="257"/>
        <v>-13</v>
      </c>
      <c r="BN254" s="317">
        <f t="shared" si="211"/>
        <v>-11.175867288837026</v>
      </c>
      <c r="BO254" s="317">
        <f t="shared" si="258"/>
        <v>-134</v>
      </c>
      <c r="BP254" s="594">
        <f t="shared" si="208"/>
        <v>-28</v>
      </c>
    </row>
    <row r="255" spans="1:68" ht="17.399999999999999" customHeight="1" x14ac:dyDescent="0.55000000000000004">
      <c r="A255" s="7222"/>
      <c r="B255" s="7214"/>
      <c r="C255" s="200" t="s">
        <v>422</v>
      </c>
      <c r="D255" s="294">
        <f>D263+D264</f>
        <v>85</v>
      </c>
      <c r="E255" s="295">
        <f t="shared" ref="E255:O255" si="266">E263+E264</f>
        <v>79</v>
      </c>
      <c r="F255" s="295">
        <f t="shared" si="266"/>
        <v>136</v>
      </c>
      <c r="G255" s="295">
        <f t="shared" si="266"/>
        <v>122</v>
      </c>
      <c r="H255" s="295">
        <f t="shared" si="266"/>
        <v>87</v>
      </c>
      <c r="I255" s="295">
        <f t="shared" si="266"/>
        <v>87</v>
      </c>
      <c r="J255" s="295">
        <f t="shared" si="266"/>
        <v>87</v>
      </c>
      <c r="K255" s="295">
        <f t="shared" si="266"/>
        <v>70</v>
      </c>
      <c r="L255" s="295">
        <f t="shared" si="266"/>
        <v>86</v>
      </c>
      <c r="M255" s="295">
        <f t="shared" si="266"/>
        <v>99</v>
      </c>
      <c r="N255" s="295">
        <f t="shared" si="266"/>
        <v>102</v>
      </c>
      <c r="O255" s="295">
        <f t="shared" si="266"/>
        <v>80</v>
      </c>
      <c r="P255" s="295">
        <f t="shared" si="253"/>
        <v>1120</v>
      </c>
      <c r="Q255" s="296">
        <f t="shared" si="139"/>
        <v>93.333333333333329</v>
      </c>
      <c r="R255" s="374"/>
      <c r="S255" s="294">
        <v>104</v>
      </c>
      <c r="T255" s="295">
        <v>124</v>
      </c>
      <c r="U255" s="295">
        <v>152</v>
      </c>
      <c r="V255" s="295">
        <v>155</v>
      </c>
      <c r="W255" s="295">
        <v>182</v>
      </c>
      <c r="X255" s="295">
        <v>176</v>
      </c>
      <c r="Y255" s="295">
        <v>160</v>
      </c>
      <c r="Z255" s="295">
        <v>159</v>
      </c>
      <c r="AA255" s="295">
        <v>198</v>
      </c>
      <c r="AB255" s="295">
        <v>138</v>
      </c>
      <c r="AC255" s="295">
        <v>155</v>
      </c>
      <c r="AD255" s="295">
        <v>155</v>
      </c>
      <c r="AE255" s="295">
        <f t="shared" si="254"/>
        <v>1858</v>
      </c>
      <c r="AF255" s="296">
        <f t="shared" si="141"/>
        <v>154.83333333333334</v>
      </c>
      <c r="AG255" s="374"/>
      <c r="AH255" s="294">
        <v>143</v>
      </c>
      <c r="AI255" s="295">
        <v>130</v>
      </c>
      <c r="AJ255" s="295">
        <v>175</v>
      </c>
      <c r="AK255" s="295">
        <v>178</v>
      </c>
      <c r="AL255" s="295">
        <v>199</v>
      </c>
      <c r="AM255" s="295">
        <v>193</v>
      </c>
      <c r="AN255" s="295">
        <v>183</v>
      </c>
      <c r="AO255" s="295">
        <v>138</v>
      </c>
      <c r="AP255" s="295">
        <v>156</v>
      </c>
      <c r="AQ255" s="295">
        <v>169</v>
      </c>
      <c r="AR255" s="295">
        <v>209</v>
      </c>
      <c r="AS255" s="295">
        <v>105</v>
      </c>
      <c r="AT255" s="295">
        <f t="shared" si="255"/>
        <v>1978</v>
      </c>
      <c r="AU255" s="296">
        <f t="shared" si="214"/>
        <v>164.83333333333334</v>
      </c>
      <c r="AV255" s="374"/>
      <c r="AW255" s="2016">
        <v>125</v>
      </c>
      <c r="AX255" s="295">
        <v>102</v>
      </c>
      <c r="AY255" s="295">
        <v>163</v>
      </c>
      <c r="AZ255" s="295">
        <v>303</v>
      </c>
      <c r="BA255" s="295">
        <v>255</v>
      </c>
      <c r="BB255" s="295">
        <v>179</v>
      </c>
      <c r="BC255" s="295">
        <v>417</v>
      </c>
      <c r="BD255" s="295">
        <v>228</v>
      </c>
      <c r="BE255" s="295">
        <v>235</v>
      </c>
      <c r="BF255" s="295">
        <v>111</v>
      </c>
      <c r="BG255" s="295">
        <v>72</v>
      </c>
      <c r="BH255" s="295">
        <v>74</v>
      </c>
      <c r="BI255" s="295">
        <f t="shared" si="256"/>
        <v>2264</v>
      </c>
      <c r="BJ255" s="296">
        <f t="shared" si="203"/>
        <v>188.65094575452048</v>
      </c>
      <c r="BL255" s="317">
        <f>ROW()</f>
        <v>255</v>
      </c>
      <c r="BM255" s="1432">
        <f t="shared" si="257"/>
        <v>-31</v>
      </c>
      <c r="BN255" s="317">
        <f t="shared" si="211"/>
        <v>23.817612421187135</v>
      </c>
      <c r="BO255" s="317">
        <f t="shared" si="258"/>
        <v>286</v>
      </c>
      <c r="BP255" s="594">
        <f t="shared" si="208"/>
        <v>2</v>
      </c>
    </row>
    <row r="256" spans="1:68" ht="17.399999999999999" customHeight="1" x14ac:dyDescent="0.55000000000000004">
      <c r="A256" s="7222"/>
      <c r="B256" s="7215"/>
      <c r="C256" s="201" t="s">
        <v>423</v>
      </c>
      <c r="D256" s="297">
        <f>D265+D266</f>
        <v>117</v>
      </c>
      <c r="E256" s="298">
        <f t="shared" ref="E256:O256" si="267">E265+E266</f>
        <v>98</v>
      </c>
      <c r="F256" s="298">
        <f t="shared" si="267"/>
        <v>160</v>
      </c>
      <c r="G256" s="298">
        <f t="shared" si="267"/>
        <v>110</v>
      </c>
      <c r="H256" s="298">
        <f t="shared" si="267"/>
        <v>88</v>
      </c>
      <c r="I256" s="298">
        <f t="shared" si="267"/>
        <v>106</v>
      </c>
      <c r="J256" s="298">
        <f t="shared" si="267"/>
        <v>105</v>
      </c>
      <c r="K256" s="298">
        <f t="shared" si="267"/>
        <v>100</v>
      </c>
      <c r="L256" s="298">
        <f t="shared" si="267"/>
        <v>89</v>
      </c>
      <c r="M256" s="298">
        <f t="shared" si="267"/>
        <v>84</v>
      </c>
      <c r="N256" s="298">
        <f t="shared" si="267"/>
        <v>93</v>
      </c>
      <c r="O256" s="298">
        <f t="shared" si="267"/>
        <v>143</v>
      </c>
      <c r="P256" s="298">
        <f t="shared" si="253"/>
        <v>1293</v>
      </c>
      <c r="Q256" s="299">
        <f t="shared" si="139"/>
        <v>107.75</v>
      </c>
      <c r="R256" s="374"/>
      <c r="S256" s="297">
        <v>141</v>
      </c>
      <c r="T256" s="298">
        <v>164</v>
      </c>
      <c r="U256" s="298">
        <v>176</v>
      </c>
      <c r="V256" s="298">
        <v>162</v>
      </c>
      <c r="W256" s="298">
        <v>189</v>
      </c>
      <c r="X256" s="298">
        <v>237</v>
      </c>
      <c r="Y256" s="298">
        <v>187</v>
      </c>
      <c r="Z256" s="298">
        <v>153</v>
      </c>
      <c r="AA256" s="298">
        <v>132</v>
      </c>
      <c r="AB256" s="298">
        <v>148</v>
      </c>
      <c r="AC256" s="298">
        <v>174</v>
      </c>
      <c r="AD256" s="298">
        <v>153</v>
      </c>
      <c r="AE256" s="298">
        <f t="shared" si="254"/>
        <v>2016</v>
      </c>
      <c r="AF256" s="299">
        <f t="shared" si="141"/>
        <v>168</v>
      </c>
      <c r="AG256" s="374"/>
      <c r="AH256" s="297">
        <v>143</v>
      </c>
      <c r="AI256" s="298">
        <v>170</v>
      </c>
      <c r="AJ256" s="298">
        <v>186</v>
      </c>
      <c r="AK256" s="298">
        <v>146</v>
      </c>
      <c r="AL256" s="298">
        <v>206</v>
      </c>
      <c r="AM256" s="298">
        <v>372</v>
      </c>
      <c r="AN256" s="298">
        <v>300</v>
      </c>
      <c r="AO256" s="298">
        <v>177</v>
      </c>
      <c r="AP256" s="298">
        <v>352</v>
      </c>
      <c r="AQ256" s="298">
        <v>176</v>
      </c>
      <c r="AR256" s="298">
        <v>431</v>
      </c>
      <c r="AS256" s="298">
        <v>155</v>
      </c>
      <c r="AT256" s="298">
        <f t="shared" si="255"/>
        <v>2814</v>
      </c>
      <c r="AU256" s="299">
        <f t="shared" si="214"/>
        <v>234.5</v>
      </c>
      <c r="AV256" s="374"/>
      <c r="AW256" s="2017">
        <v>105</v>
      </c>
      <c r="AX256" s="298">
        <v>148</v>
      </c>
      <c r="AY256" s="298">
        <v>272</v>
      </c>
      <c r="AZ256" s="298">
        <v>140</v>
      </c>
      <c r="BA256" s="298">
        <v>129</v>
      </c>
      <c r="BB256" s="298">
        <v>295</v>
      </c>
      <c r="BC256" s="298">
        <v>235</v>
      </c>
      <c r="BD256" s="298">
        <v>197</v>
      </c>
      <c r="BE256" s="298">
        <v>250</v>
      </c>
      <c r="BF256" s="298">
        <v>137</v>
      </c>
      <c r="BG256" s="298">
        <v>119</v>
      </c>
      <c r="BH256" s="298">
        <v>103</v>
      </c>
      <c r="BI256" s="298">
        <f t="shared" si="256"/>
        <v>2130</v>
      </c>
      <c r="BJ256" s="299">
        <f t="shared" si="203"/>
        <v>177.48520956586952</v>
      </c>
      <c r="BL256" s="317">
        <f>ROW()</f>
        <v>256</v>
      </c>
      <c r="BM256" s="1432">
        <f t="shared" si="257"/>
        <v>-52</v>
      </c>
      <c r="BN256" s="317">
        <f t="shared" si="211"/>
        <v>-57.014790434130475</v>
      </c>
      <c r="BO256" s="317">
        <f t="shared" si="258"/>
        <v>-684</v>
      </c>
      <c r="BP256" s="594">
        <f t="shared" si="208"/>
        <v>-16</v>
      </c>
    </row>
    <row r="257" spans="1:68" ht="17.399999999999999" customHeight="1" x14ac:dyDescent="0.55000000000000004">
      <c r="A257" s="7222"/>
      <c r="B257" s="7207" t="s">
        <v>1120</v>
      </c>
      <c r="C257" s="202" t="s">
        <v>227</v>
      </c>
      <c r="D257" s="300">
        <v>48</v>
      </c>
      <c r="E257" s="301">
        <v>54</v>
      </c>
      <c r="F257" s="301">
        <v>46</v>
      </c>
      <c r="G257" s="301">
        <v>51</v>
      </c>
      <c r="H257" s="301">
        <v>40</v>
      </c>
      <c r="I257" s="301">
        <v>48</v>
      </c>
      <c r="J257" s="301">
        <v>66</v>
      </c>
      <c r="K257" s="301">
        <v>40</v>
      </c>
      <c r="L257" s="301">
        <v>59</v>
      </c>
      <c r="M257" s="301">
        <v>76</v>
      </c>
      <c r="N257" s="301">
        <v>47</v>
      </c>
      <c r="O257" s="301">
        <v>55</v>
      </c>
      <c r="P257" s="301">
        <f t="shared" si="253"/>
        <v>630</v>
      </c>
      <c r="Q257" s="302">
        <f t="shared" si="139"/>
        <v>52.5</v>
      </c>
      <c r="R257" s="374"/>
      <c r="S257" s="300">
        <v>31</v>
      </c>
      <c r="T257" s="301">
        <v>41</v>
      </c>
      <c r="U257" s="301">
        <v>61</v>
      </c>
      <c r="V257" s="301">
        <v>82</v>
      </c>
      <c r="W257" s="301">
        <v>58</v>
      </c>
      <c r="X257" s="301">
        <v>52</v>
      </c>
      <c r="Y257" s="301">
        <v>61</v>
      </c>
      <c r="Z257" s="301">
        <v>45</v>
      </c>
      <c r="AA257" s="301">
        <v>32</v>
      </c>
      <c r="AB257" s="301">
        <v>47</v>
      </c>
      <c r="AC257" s="301">
        <v>59</v>
      </c>
      <c r="AD257" s="301">
        <v>55</v>
      </c>
      <c r="AE257" s="301">
        <f t="shared" si="254"/>
        <v>624</v>
      </c>
      <c r="AF257" s="302">
        <f t="shared" si="141"/>
        <v>52</v>
      </c>
      <c r="AG257" s="374"/>
      <c r="AH257" s="300">
        <v>47</v>
      </c>
      <c r="AI257" s="301">
        <v>39</v>
      </c>
      <c r="AJ257" s="301">
        <v>61</v>
      </c>
      <c r="AK257" s="301">
        <v>54.000000000000007</v>
      </c>
      <c r="AL257" s="301">
        <v>33</v>
      </c>
      <c r="AM257" s="301">
        <v>42</v>
      </c>
      <c r="AN257" s="301">
        <v>33</v>
      </c>
      <c r="AO257" s="301">
        <v>97</v>
      </c>
      <c r="AP257" s="301">
        <v>41</v>
      </c>
      <c r="AQ257" s="301">
        <v>49</v>
      </c>
      <c r="AR257" s="301">
        <v>64</v>
      </c>
      <c r="AS257" s="301">
        <v>67</v>
      </c>
      <c r="AT257" s="301">
        <f t="shared" si="255"/>
        <v>627</v>
      </c>
      <c r="AU257" s="302">
        <f t="shared" si="214"/>
        <v>52.25</v>
      </c>
      <c r="AV257" s="374"/>
      <c r="AW257" s="2021">
        <v>22</v>
      </c>
      <c r="AX257" s="301">
        <v>26</v>
      </c>
      <c r="AY257" s="301">
        <v>45</v>
      </c>
      <c r="AZ257" s="301">
        <v>38</v>
      </c>
      <c r="BA257" s="301">
        <v>55.000000000000007</v>
      </c>
      <c r="BB257" s="301">
        <v>54</v>
      </c>
      <c r="BC257" s="301">
        <v>73</v>
      </c>
      <c r="BD257" s="301">
        <v>52</v>
      </c>
      <c r="BE257" s="301">
        <v>39</v>
      </c>
      <c r="BF257" s="301">
        <v>43</v>
      </c>
      <c r="BG257" s="301">
        <v>35</v>
      </c>
      <c r="BH257" s="301">
        <v>19</v>
      </c>
      <c r="BI257" s="301">
        <f t="shared" si="256"/>
        <v>501</v>
      </c>
      <c r="BJ257" s="302">
        <f t="shared" si="203"/>
        <v>41.746521123239731</v>
      </c>
      <c r="BL257" s="317">
        <f>ROW()</f>
        <v>257</v>
      </c>
      <c r="BM257" s="1432">
        <f t="shared" si="257"/>
        <v>-48</v>
      </c>
      <c r="BN257" s="317">
        <f t="shared" si="211"/>
        <v>-10.503478876760269</v>
      </c>
      <c r="BO257" s="317">
        <f t="shared" si="258"/>
        <v>-126</v>
      </c>
      <c r="BP257" s="594">
        <f t="shared" si="208"/>
        <v>-16</v>
      </c>
    </row>
    <row r="258" spans="1:68" ht="17.399999999999999" customHeight="1" x14ac:dyDescent="0.55000000000000004">
      <c r="A258" s="7222"/>
      <c r="B258" s="7208"/>
      <c r="C258" s="202" t="s">
        <v>228</v>
      </c>
      <c r="D258" s="300">
        <v>62</v>
      </c>
      <c r="E258" s="301">
        <v>49</v>
      </c>
      <c r="F258" s="301">
        <v>77</v>
      </c>
      <c r="G258" s="301">
        <v>83</v>
      </c>
      <c r="H258" s="301">
        <v>77</v>
      </c>
      <c r="I258" s="301">
        <v>115</v>
      </c>
      <c r="J258" s="301">
        <v>76</v>
      </c>
      <c r="K258" s="301">
        <v>64</v>
      </c>
      <c r="L258" s="301">
        <v>64</v>
      </c>
      <c r="M258" s="301">
        <v>93</v>
      </c>
      <c r="N258" s="301">
        <v>56</v>
      </c>
      <c r="O258" s="301">
        <v>54</v>
      </c>
      <c r="P258" s="301">
        <f t="shared" si="253"/>
        <v>870</v>
      </c>
      <c r="Q258" s="302">
        <f t="shared" si="139"/>
        <v>72.5</v>
      </c>
      <c r="R258" s="374"/>
      <c r="S258" s="300">
        <v>49</v>
      </c>
      <c r="T258" s="301">
        <v>70</v>
      </c>
      <c r="U258" s="301">
        <v>80</v>
      </c>
      <c r="V258" s="301">
        <v>80</v>
      </c>
      <c r="W258" s="301">
        <v>107</v>
      </c>
      <c r="X258" s="301">
        <v>101</v>
      </c>
      <c r="Y258" s="301">
        <v>83</v>
      </c>
      <c r="Z258" s="301">
        <v>78</v>
      </c>
      <c r="AA258" s="301">
        <v>87</v>
      </c>
      <c r="AB258" s="301">
        <v>74</v>
      </c>
      <c r="AC258" s="301">
        <v>84</v>
      </c>
      <c r="AD258" s="301">
        <v>70</v>
      </c>
      <c r="AE258" s="301">
        <f t="shared" si="254"/>
        <v>963</v>
      </c>
      <c r="AF258" s="302">
        <f t="shared" si="141"/>
        <v>80.25</v>
      </c>
      <c r="AG258" s="374"/>
      <c r="AH258" s="300">
        <v>80</v>
      </c>
      <c r="AI258" s="301">
        <v>86</v>
      </c>
      <c r="AJ258" s="301">
        <v>79</v>
      </c>
      <c r="AK258" s="301">
        <v>82</v>
      </c>
      <c r="AL258" s="301">
        <v>91</v>
      </c>
      <c r="AM258" s="301">
        <v>103</v>
      </c>
      <c r="AN258" s="301">
        <v>90</v>
      </c>
      <c r="AO258" s="301">
        <v>83</v>
      </c>
      <c r="AP258" s="301">
        <v>87</v>
      </c>
      <c r="AQ258" s="301">
        <v>82</v>
      </c>
      <c r="AR258" s="301">
        <v>141</v>
      </c>
      <c r="AS258" s="301">
        <v>59.999999999999993</v>
      </c>
      <c r="AT258" s="301">
        <f t="shared" si="255"/>
        <v>1064</v>
      </c>
      <c r="AU258" s="302">
        <f t="shared" si="214"/>
        <v>88.666666666666671</v>
      </c>
      <c r="AV258" s="374"/>
      <c r="AW258" s="2021">
        <v>65</v>
      </c>
      <c r="AX258" s="301">
        <v>71</v>
      </c>
      <c r="AY258" s="301">
        <v>86</v>
      </c>
      <c r="AZ258" s="301">
        <v>110</v>
      </c>
      <c r="BA258" s="301">
        <v>181</v>
      </c>
      <c r="BB258" s="301">
        <v>110.00000000000001</v>
      </c>
      <c r="BC258" s="301">
        <v>113</v>
      </c>
      <c r="BD258" s="301">
        <v>154</v>
      </c>
      <c r="BE258" s="301">
        <v>140</v>
      </c>
      <c r="BF258" s="301">
        <v>135</v>
      </c>
      <c r="BG258" s="301">
        <v>81</v>
      </c>
      <c r="BH258" s="301">
        <v>63</v>
      </c>
      <c r="BI258" s="301">
        <f t="shared" si="256"/>
        <v>1309</v>
      </c>
      <c r="BJ258" s="302">
        <f t="shared" si="203"/>
        <v>109.07424381301558</v>
      </c>
      <c r="BL258" s="317">
        <f>ROW()</f>
        <v>258</v>
      </c>
      <c r="BM258" s="1432">
        <f t="shared" si="257"/>
        <v>3.0000000000000071</v>
      </c>
      <c r="BN258" s="317">
        <f t="shared" si="211"/>
        <v>20.407577146348913</v>
      </c>
      <c r="BO258" s="317">
        <f t="shared" si="258"/>
        <v>245</v>
      </c>
      <c r="BP258" s="594">
        <f t="shared" si="208"/>
        <v>-18</v>
      </c>
    </row>
    <row r="259" spans="1:68" ht="17.399999999999999" customHeight="1" x14ac:dyDescent="0.55000000000000004">
      <c r="A259" s="7222"/>
      <c r="B259" s="7208"/>
      <c r="C259" s="203" t="s">
        <v>229</v>
      </c>
      <c r="D259" s="303">
        <v>18</v>
      </c>
      <c r="E259" s="304">
        <v>23</v>
      </c>
      <c r="F259" s="304">
        <v>34</v>
      </c>
      <c r="G259" s="304">
        <v>36</v>
      </c>
      <c r="H259" s="304">
        <v>47</v>
      </c>
      <c r="I259" s="304">
        <v>35</v>
      </c>
      <c r="J259" s="304">
        <v>31</v>
      </c>
      <c r="K259" s="304">
        <v>31</v>
      </c>
      <c r="L259" s="304">
        <v>50</v>
      </c>
      <c r="M259" s="304">
        <v>76</v>
      </c>
      <c r="N259" s="304">
        <v>87</v>
      </c>
      <c r="O259" s="304">
        <v>59</v>
      </c>
      <c r="P259" s="304">
        <f t="shared" si="253"/>
        <v>527</v>
      </c>
      <c r="Q259" s="305">
        <f t="shared" si="139"/>
        <v>43.916666666666664</v>
      </c>
      <c r="R259" s="374"/>
      <c r="S259" s="303">
        <v>50</v>
      </c>
      <c r="T259" s="304">
        <v>62</v>
      </c>
      <c r="U259" s="304">
        <v>80</v>
      </c>
      <c r="V259" s="304">
        <v>55</v>
      </c>
      <c r="W259" s="304">
        <v>79</v>
      </c>
      <c r="X259" s="304">
        <v>47</v>
      </c>
      <c r="Y259" s="304">
        <v>44</v>
      </c>
      <c r="Z259" s="304">
        <v>70</v>
      </c>
      <c r="AA259" s="304">
        <v>72</v>
      </c>
      <c r="AB259" s="304">
        <v>71</v>
      </c>
      <c r="AC259" s="304">
        <v>65</v>
      </c>
      <c r="AD259" s="304">
        <v>45</v>
      </c>
      <c r="AE259" s="304">
        <f t="shared" si="254"/>
        <v>740</v>
      </c>
      <c r="AF259" s="305">
        <f t="shared" si="141"/>
        <v>61.666666666666664</v>
      </c>
      <c r="AG259" s="374"/>
      <c r="AH259" s="303">
        <v>35</v>
      </c>
      <c r="AI259" s="304">
        <v>46</v>
      </c>
      <c r="AJ259" s="304">
        <v>59.999999999999993</v>
      </c>
      <c r="AK259" s="304">
        <v>59</v>
      </c>
      <c r="AL259" s="304">
        <v>43</v>
      </c>
      <c r="AM259" s="304">
        <v>54</v>
      </c>
      <c r="AN259" s="304">
        <v>55.000000000000007</v>
      </c>
      <c r="AO259" s="304">
        <v>44</v>
      </c>
      <c r="AP259" s="304">
        <v>76</v>
      </c>
      <c r="AQ259" s="304">
        <v>66</v>
      </c>
      <c r="AR259" s="304">
        <v>69</v>
      </c>
      <c r="AS259" s="304">
        <v>59.999999999999993</v>
      </c>
      <c r="AT259" s="304">
        <f t="shared" si="255"/>
        <v>667</v>
      </c>
      <c r="AU259" s="305">
        <f t="shared" si="214"/>
        <v>55.583333333333336</v>
      </c>
      <c r="AV259" s="374"/>
      <c r="AW259" s="2022">
        <v>34</v>
      </c>
      <c r="AX259" s="304">
        <v>59</v>
      </c>
      <c r="AY259" s="304">
        <v>58</v>
      </c>
      <c r="AZ259" s="304">
        <v>49</v>
      </c>
      <c r="BA259" s="304">
        <v>139</v>
      </c>
      <c r="BB259" s="304">
        <v>37</v>
      </c>
      <c r="BC259" s="304">
        <v>54</v>
      </c>
      <c r="BD259" s="304">
        <v>33</v>
      </c>
      <c r="BE259" s="304">
        <v>61</v>
      </c>
      <c r="BF259" s="304">
        <v>44</v>
      </c>
      <c r="BG259" s="304">
        <v>39</v>
      </c>
      <c r="BH259" s="304">
        <v>21</v>
      </c>
      <c r="BI259" s="304">
        <f t="shared" si="256"/>
        <v>628</v>
      </c>
      <c r="BJ259" s="305">
        <f t="shared" si="203"/>
        <v>52.328972585617869</v>
      </c>
      <c r="BL259" s="317">
        <f>ROW()</f>
        <v>259</v>
      </c>
      <c r="BM259" s="1432">
        <f t="shared" si="257"/>
        <v>-38.999999999999993</v>
      </c>
      <c r="BN259" s="317">
        <f t="shared" si="211"/>
        <v>-3.2543607477154666</v>
      </c>
      <c r="BO259" s="317">
        <f t="shared" si="258"/>
        <v>-39</v>
      </c>
      <c r="BP259" s="594">
        <f t="shared" si="208"/>
        <v>-18</v>
      </c>
    </row>
    <row r="260" spans="1:68" ht="17.399999999999999" customHeight="1" x14ac:dyDescent="0.55000000000000004">
      <c r="A260" s="7222"/>
      <c r="B260" s="7208"/>
      <c r="C260" s="203" t="s">
        <v>230</v>
      </c>
      <c r="D260" s="303">
        <v>44</v>
      </c>
      <c r="E260" s="304">
        <v>70</v>
      </c>
      <c r="F260" s="304">
        <v>92</v>
      </c>
      <c r="G260" s="304">
        <v>77</v>
      </c>
      <c r="H260" s="304">
        <v>93</v>
      </c>
      <c r="I260" s="304">
        <v>63</v>
      </c>
      <c r="J260" s="304">
        <v>61</v>
      </c>
      <c r="K260" s="304">
        <v>63</v>
      </c>
      <c r="L260" s="304">
        <v>68</v>
      </c>
      <c r="M260" s="304">
        <v>121</v>
      </c>
      <c r="N260" s="304">
        <v>80</v>
      </c>
      <c r="O260" s="304">
        <v>72</v>
      </c>
      <c r="P260" s="304">
        <f t="shared" si="253"/>
        <v>904</v>
      </c>
      <c r="Q260" s="305">
        <f t="shared" si="139"/>
        <v>75.333333333333329</v>
      </c>
      <c r="R260" s="374"/>
      <c r="S260" s="303">
        <v>65</v>
      </c>
      <c r="T260" s="304">
        <v>87</v>
      </c>
      <c r="U260" s="304">
        <v>80</v>
      </c>
      <c r="V260" s="304">
        <v>60</v>
      </c>
      <c r="W260" s="304">
        <v>99</v>
      </c>
      <c r="X260" s="304">
        <v>66</v>
      </c>
      <c r="Y260" s="304">
        <v>66</v>
      </c>
      <c r="Z260" s="304">
        <v>67</v>
      </c>
      <c r="AA260" s="304">
        <v>69</v>
      </c>
      <c r="AB260" s="304">
        <v>62</v>
      </c>
      <c r="AC260" s="304">
        <v>70</v>
      </c>
      <c r="AD260" s="304">
        <v>72</v>
      </c>
      <c r="AE260" s="304">
        <f t="shared" si="254"/>
        <v>863</v>
      </c>
      <c r="AF260" s="305">
        <f t="shared" si="141"/>
        <v>71.916666666666671</v>
      </c>
      <c r="AG260" s="374"/>
      <c r="AH260" s="303">
        <v>217</v>
      </c>
      <c r="AI260" s="304">
        <v>58</v>
      </c>
      <c r="AJ260" s="304">
        <v>67</v>
      </c>
      <c r="AK260" s="304">
        <v>50</v>
      </c>
      <c r="AL260" s="304">
        <v>45</v>
      </c>
      <c r="AM260" s="304">
        <v>66</v>
      </c>
      <c r="AN260" s="304">
        <v>49</v>
      </c>
      <c r="AO260" s="304">
        <v>38</v>
      </c>
      <c r="AP260" s="304">
        <v>70</v>
      </c>
      <c r="AQ260" s="304">
        <v>62</v>
      </c>
      <c r="AR260" s="304">
        <v>103</v>
      </c>
      <c r="AS260" s="304">
        <v>26</v>
      </c>
      <c r="AT260" s="304">
        <f t="shared" si="255"/>
        <v>851</v>
      </c>
      <c r="AU260" s="305">
        <f t="shared" si="214"/>
        <v>70.916666666666671</v>
      </c>
      <c r="AV260" s="374"/>
      <c r="AW260" s="2022">
        <v>33</v>
      </c>
      <c r="AX260" s="304">
        <v>29</v>
      </c>
      <c r="AY260" s="304">
        <v>32</v>
      </c>
      <c r="AZ260" s="304">
        <v>41</v>
      </c>
      <c r="BA260" s="304">
        <v>49</v>
      </c>
      <c r="BB260" s="304">
        <v>28.000000000000004</v>
      </c>
      <c r="BC260" s="304">
        <v>47</v>
      </c>
      <c r="BD260" s="304">
        <v>38</v>
      </c>
      <c r="BE260" s="304">
        <v>42</v>
      </c>
      <c r="BF260" s="304">
        <v>52</v>
      </c>
      <c r="BG260" s="304">
        <v>46</v>
      </c>
      <c r="BH260" s="304">
        <v>34</v>
      </c>
      <c r="BI260" s="304">
        <f t="shared" si="256"/>
        <v>471</v>
      </c>
      <c r="BJ260" s="305">
        <f t="shared" si="203"/>
        <v>39.246729439213404</v>
      </c>
      <c r="BL260" s="317">
        <f>ROW()</f>
        <v>260</v>
      </c>
      <c r="BM260" s="1432">
        <f t="shared" si="257"/>
        <v>8</v>
      </c>
      <c r="BN260" s="317">
        <f t="shared" si="211"/>
        <v>-31.669937227453268</v>
      </c>
      <c r="BO260" s="317">
        <f t="shared" si="258"/>
        <v>-380</v>
      </c>
      <c r="BP260" s="594">
        <f t="shared" si="208"/>
        <v>-12</v>
      </c>
    </row>
    <row r="261" spans="1:68" ht="17.399999999999999" customHeight="1" x14ac:dyDescent="0.55000000000000004">
      <c r="A261" s="7222"/>
      <c r="B261" s="7208"/>
      <c r="C261" s="202" t="s">
        <v>231</v>
      </c>
      <c r="D261" s="300">
        <v>28</v>
      </c>
      <c r="E261" s="301">
        <v>33</v>
      </c>
      <c r="F261" s="301">
        <v>49</v>
      </c>
      <c r="G261" s="301">
        <v>47</v>
      </c>
      <c r="H261" s="301">
        <v>46</v>
      </c>
      <c r="I261" s="301">
        <v>39</v>
      </c>
      <c r="J261" s="301">
        <v>32</v>
      </c>
      <c r="K261" s="301">
        <v>21</v>
      </c>
      <c r="L261" s="301">
        <v>30</v>
      </c>
      <c r="M261" s="301">
        <v>39</v>
      </c>
      <c r="N261" s="301">
        <v>25</v>
      </c>
      <c r="O261" s="301">
        <v>40</v>
      </c>
      <c r="P261" s="301">
        <f t="shared" si="253"/>
        <v>429</v>
      </c>
      <c r="Q261" s="302">
        <f t="shared" si="139"/>
        <v>35.75</v>
      </c>
      <c r="R261" s="374"/>
      <c r="S261" s="300">
        <v>35</v>
      </c>
      <c r="T261" s="301">
        <v>51</v>
      </c>
      <c r="U261" s="301">
        <v>61</v>
      </c>
      <c r="V261" s="301">
        <v>90</v>
      </c>
      <c r="W261" s="301">
        <v>67</v>
      </c>
      <c r="X261" s="301">
        <v>70</v>
      </c>
      <c r="Y261" s="301">
        <v>81</v>
      </c>
      <c r="Z261" s="301">
        <v>67</v>
      </c>
      <c r="AA261" s="301">
        <v>51</v>
      </c>
      <c r="AB261" s="301">
        <v>59</v>
      </c>
      <c r="AC261" s="301">
        <v>90</v>
      </c>
      <c r="AD261" s="301">
        <v>102</v>
      </c>
      <c r="AE261" s="301">
        <f t="shared" si="254"/>
        <v>824</v>
      </c>
      <c r="AF261" s="302">
        <f t="shared" si="141"/>
        <v>68.666666666666671</v>
      </c>
      <c r="AG261" s="374"/>
      <c r="AH261" s="300">
        <v>68</v>
      </c>
      <c r="AI261" s="301">
        <v>59</v>
      </c>
      <c r="AJ261" s="301">
        <v>57.000000000000007</v>
      </c>
      <c r="AK261" s="301">
        <v>64</v>
      </c>
      <c r="AL261" s="301">
        <v>64</v>
      </c>
      <c r="AM261" s="301">
        <v>69</v>
      </c>
      <c r="AN261" s="301">
        <v>78</v>
      </c>
      <c r="AO261" s="301">
        <v>63.000000000000007</v>
      </c>
      <c r="AP261" s="301">
        <v>48</v>
      </c>
      <c r="AQ261" s="301">
        <v>149</v>
      </c>
      <c r="AR261" s="301">
        <v>91</v>
      </c>
      <c r="AS261" s="301">
        <v>41</v>
      </c>
      <c r="AT261" s="301">
        <f t="shared" si="255"/>
        <v>851</v>
      </c>
      <c r="AU261" s="302">
        <f t="shared" si="214"/>
        <v>70.916666666666671</v>
      </c>
      <c r="AV261" s="374"/>
      <c r="AW261" s="2021">
        <v>130</v>
      </c>
      <c r="AX261" s="301">
        <v>66</v>
      </c>
      <c r="AY261" s="301">
        <v>75</v>
      </c>
      <c r="AZ261" s="301">
        <v>73</v>
      </c>
      <c r="BA261" s="301">
        <v>103</v>
      </c>
      <c r="BB261" s="301">
        <v>51</v>
      </c>
      <c r="BC261" s="301">
        <v>75</v>
      </c>
      <c r="BD261" s="301">
        <v>90</v>
      </c>
      <c r="BE261" s="301">
        <v>72</v>
      </c>
      <c r="BF261" s="301">
        <v>27</v>
      </c>
      <c r="BG261" s="301">
        <v>51</v>
      </c>
      <c r="BH261" s="301">
        <v>39</v>
      </c>
      <c r="BI261" s="301">
        <f t="shared" si="256"/>
        <v>852</v>
      </c>
      <c r="BJ261" s="302">
        <f t="shared" si="203"/>
        <v>70.994083826347804</v>
      </c>
      <c r="BL261" s="317">
        <f>ROW()</f>
        <v>261</v>
      </c>
      <c r="BM261" s="1432">
        <f t="shared" si="257"/>
        <v>-2</v>
      </c>
      <c r="BN261" s="317">
        <f t="shared" si="211"/>
        <v>7.741715968113283E-2</v>
      </c>
      <c r="BO261" s="317">
        <f t="shared" si="258"/>
        <v>1</v>
      </c>
      <c r="BP261" s="594">
        <f t="shared" si="208"/>
        <v>-12</v>
      </c>
    </row>
    <row r="262" spans="1:68" ht="17.399999999999999" customHeight="1" x14ac:dyDescent="0.55000000000000004">
      <c r="A262" s="7222"/>
      <c r="B262" s="7208"/>
      <c r="C262" s="202" t="s">
        <v>232</v>
      </c>
      <c r="D262" s="300">
        <v>12</v>
      </c>
      <c r="E262" s="301">
        <v>14</v>
      </c>
      <c r="F262" s="301">
        <v>21</v>
      </c>
      <c r="G262" s="301">
        <v>33</v>
      </c>
      <c r="H262" s="301">
        <v>23</v>
      </c>
      <c r="I262" s="301">
        <v>25</v>
      </c>
      <c r="J262" s="301">
        <v>22</v>
      </c>
      <c r="K262" s="301">
        <v>26</v>
      </c>
      <c r="L262" s="301">
        <v>33</v>
      </c>
      <c r="M262" s="301">
        <v>58</v>
      </c>
      <c r="N262" s="301">
        <v>47</v>
      </c>
      <c r="O262" s="301">
        <v>23</v>
      </c>
      <c r="P262" s="301">
        <f t="shared" si="253"/>
        <v>337</v>
      </c>
      <c r="Q262" s="302">
        <f t="shared" si="139"/>
        <v>28.083333333333332</v>
      </c>
      <c r="R262" s="374"/>
      <c r="S262" s="300">
        <v>29</v>
      </c>
      <c r="T262" s="301">
        <v>49</v>
      </c>
      <c r="U262" s="301">
        <v>44</v>
      </c>
      <c r="V262" s="301">
        <v>42</v>
      </c>
      <c r="W262" s="301">
        <v>50</v>
      </c>
      <c r="X262" s="301">
        <v>52</v>
      </c>
      <c r="Y262" s="301">
        <v>33</v>
      </c>
      <c r="Z262" s="301">
        <v>49</v>
      </c>
      <c r="AA262" s="301">
        <v>38</v>
      </c>
      <c r="AB262" s="301">
        <v>44</v>
      </c>
      <c r="AC262" s="301">
        <v>50</v>
      </c>
      <c r="AD262" s="301">
        <v>51</v>
      </c>
      <c r="AE262" s="301">
        <f t="shared" si="254"/>
        <v>531</v>
      </c>
      <c r="AF262" s="302">
        <f t="shared" si="141"/>
        <v>44.25</v>
      </c>
      <c r="AG262" s="374"/>
      <c r="AH262" s="300">
        <v>41</v>
      </c>
      <c r="AI262" s="301">
        <v>36</v>
      </c>
      <c r="AJ262" s="301">
        <v>46</v>
      </c>
      <c r="AK262" s="301">
        <v>39</v>
      </c>
      <c r="AL262" s="301">
        <v>46</v>
      </c>
      <c r="AM262" s="301">
        <v>48</v>
      </c>
      <c r="AN262" s="301">
        <v>63.000000000000007</v>
      </c>
      <c r="AO262" s="301">
        <v>71</v>
      </c>
      <c r="AP262" s="301">
        <v>63.000000000000007</v>
      </c>
      <c r="AQ262" s="301">
        <v>54</v>
      </c>
      <c r="AR262" s="301">
        <v>62</v>
      </c>
      <c r="AS262" s="301">
        <v>39</v>
      </c>
      <c r="AT262" s="301">
        <f t="shared" si="255"/>
        <v>608</v>
      </c>
      <c r="AU262" s="302">
        <f t="shared" si="214"/>
        <v>50.666666666666664</v>
      </c>
      <c r="AV262" s="374"/>
      <c r="AW262" s="2021">
        <v>37</v>
      </c>
      <c r="AX262" s="301">
        <v>28</v>
      </c>
      <c r="AY262" s="301">
        <v>41</v>
      </c>
      <c r="AZ262" s="301">
        <v>37</v>
      </c>
      <c r="BA262" s="301">
        <v>37</v>
      </c>
      <c r="BB262" s="301">
        <v>53</v>
      </c>
      <c r="BC262" s="301">
        <v>55.000000000000007</v>
      </c>
      <c r="BD262" s="301">
        <v>36</v>
      </c>
      <c r="BE262" s="301">
        <v>48</v>
      </c>
      <c r="BF262" s="301">
        <v>28.999999999999996</v>
      </c>
      <c r="BG262" s="301">
        <v>44</v>
      </c>
      <c r="BH262" s="301">
        <v>28</v>
      </c>
      <c r="BI262" s="301">
        <f t="shared" si="256"/>
        <v>473</v>
      </c>
      <c r="BJ262" s="302">
        <f t="shared" si="203"/>
        <v>39.413382218148492</v>
      </c>
      <c r="BL262" s="317">
        <f>ROW()</f>
        <v>262</v>
      </c>
      <c r="BM262" s="1432">
        <f t="shared" si="257"/>
        <v>-11</v>
      </c>
      <c r="BN262" s="317">
        <f t="shared" si="211"/>
        <v>-11.253284448518173</v>
      </c>
      <c r="BO262" s="317">
        <f t="shared" si="258"/>
        <v>-135</v>
      </c>
      <c r="BP262" s="594">
        <f t="shared" si="208"/>
        <v>-16</v>
      </c>
    </row>
    <row r="263" spans="1:68" ht="17.399999999999999" customHeight="1" x14ac:dyDescent="0.55000000000000004">
      <c r="A263" s="7222"/>
      <c r="B263" s="7208"/>
      <c r="C263" s="203" t="s">
        <v>233</v>
      </c>
      <c r="D263" s="303">
        <v>57</v>
      </c>
      <c r="E263" s="304">
        <v>51</v>
      </c>
      <c r="F263" s="304">
        <v>59</v>
      </c>
      <c r="G263" s="304">
        <v>50</v>
      </c>
      <c r="H263" s="304">
        <v>39</v>
      </c>
      <c r="I263" s="304">
        <v>36</v>
      </c>
      <c r="J263" s="304">
        <v>38</v>
      </c>
      <c r="K263" s="304">
        <v>46</v>
      </c>
      <c r="L263" s="304">
        <v>35</v>
      </c>
      <c r="M263" s="304">
        <v>41</v>
      </c>
      <c r="N263" s="304">
        <v>40</v>
      </c>
      <c r="O263" s="304">
        <v>41</v>
      </c>
      <c r="P263" s="304">
        <f t="shared" si="253"/>
        <v>533</v>
      </c>
      <c r="Q263" s="305">
        <f t="shared" si="139"/>
        <v>44.416666666666664</v>
      </c>
      <c r="R263" s="374"/>
      <c r="S263" s="303">
        <v>53</v>
      </c>
      <c r="T263" s="304">
        <v>71</v>
      </c>
      <c r="U263" s="304">
        <v>85</v>
      </c>
      <c r="V263" s="304">
        <v>81</v>
      </c>
      <c r="W263" s="304">
        <v>76</v>
      </c>
      <c r="X263" s="304">
        <v>82</v>
      </c>
      <c r="Y263" s="304">
        <v>80</v>
      </c>
      <c r="Z263" s="304">
        <v>77</v>
      </c>
      <c r="AA263" s="304">
        <v>109</v>
      </c>
      <c r="AB263" s="304">
        <v>70</v>
      </c>
      <c r="AC263" s="304">
        <v>80</v>
      </c>
      <c r="AD263" s="304">
        <v>84</v>
      </c>
      <c r="AE263" s="304">
        <f t="shared" si="254"/>
        <v>948</v>
      </c>
      <c r="AF263" s="305">
        <f t="shared" si="141"/>
        <v>79</v>
      </c>
      <c r="AG263" s="374"/>
      <c r="AH263" s="303">
        <v>83</v>
      </c>
      <c r="AI263" s="304">
        <v>77</v>
      </c>
      <c r="AJ263" s="304">
        <v>114.00000000000001</v>
      </c>
      <c r="AK263" s="304">
        <v>104</v>
      </c>
      <c r="AL263" s="304">
        <v>108</v>
      </c>
      <c r="AM263" s="304">
        <v>120</v>
      </c>
      <c r="AN263" s="304">
        <v>102</v>
      </c>
      <c r="AO263" s="304">
        <v>84</v>
      </c>
      <c r="AP263" s="304">
        <v>86</v>
      </c>
      <c r="AQ263" s="304">
        <v>79</v>
      </c>
      <c r="AR263" s="304">
        <v>122</v>
      </c>
      <c r="AS263" s="304">
        <v>50</v>
      </c>
      <c r="AT263" s="304">
        <f t="shared" si="255"/>
        <v>1129</v>
      </c>
      <c r="AU263" s="305">
        <f t="shared" si="214"/>
        <v>94.083333333333329</v>
      </c>
      <c r="AV263" s="374"/>
      <c r="AW263" s="2022">
        <v>56.999999999999993</v>
      </c>
      <c r="AX263" s="304">
        <v>67</v>
      </c>
      <c r="AY263" s="304">
        <v>109</v>
      </c>
      <c r="AZ263" s="304">
        <v>100</v>
      </c>
      <c r="BA263" s="304">
        <v>191</v>
      </c>
      <c r="BB263" s="304">
        <v>112.00000000000001</v>
      </c>
      <c r="BC263" s="304">
        <v>177</v>
      </c>
      <c r="BD263" s="304">
        <v>140</v>
      </c>
      <c r="BE263" s="304">
        <v>95</v>
      </c>
      <c r="BF263" s="304">
        <v>60</v>
      </c>
      <c r="BG263" s="304">
        <v>32</v>
      </c>
      <c r="BH263" s="304">
        <v>36</v>
      </c>
      <c r="BI263" s="304">
        <f t="shared" si="256"/>
        <v>1176</v>
      </c>
      <c r="BJ263" s="305">
        <f t="shared" si="203"/>
        <v>97.991834013832189</v>
      </c>
      <c r="BL263" s="317">
        <f>ROW()</f>
        <v>263</v>
      </c>
      <c r="BM263" s="1432">
        <f t="shared" si="257"/>
        <v>-14</v>
      </c>
      <c r="BN263" s="317">
        <f t="shared" si="211"/>
        <v>3.9085006804988609</v>
      </c>
      <c r="BO263" s="317">
        <f t="shared" si="258"/>
        <v>47</v>
      </c>
      <c r="BP263" s="594">
        <f t="shared" si="208"/>
        <v>4</v>
      </c>
    </row>
    <row r="264" spans="1:68" ht="17.399999999999999" customHeight="1" x14ac:dyDescent="0.55000000000000004">
      <c r="A264" s="7222"/>
      <c r="B264" s="7208"/>
      <c r="C264" s="203" t="s">
        <v>234</v>
      </c>
      <c r="D264" s="303">
        <v>28</v>
      </c>
      <c r="E264" s="304">
        <v>28</v>
      </c>
      <c r="F264" s="304">
        <v>77</v>
      </c>
      <c r="G264" s="304">
        <v>72</v>
      </c>
      <c r="H264" s="304">
        <v>48</v>
      </c>
      <c r="I264" s="304">
        <v>51</v>
      </c>
      <c r="J264" s="304">
        <v>49</v>
      </c>
      <c r="K264" s="304">
        <v>24</v>
      </c>
      <c r="L264" s="304">
        <v>51</v>
      </c>
      <c r="M264" s="304">
        <v>58</v>
      </c>
      <c r="N264" s="304">
        <v>62</v>
      </c>
      <c r="O264" s="304">
        <v>39</v>
      </c>
      <c r="P264" s="304">
        <f t="shared" si="253"/>
        <v>587</v>
      </c>
      <c r="Q264" s="305">
        <f t="shared" si="139"/>
        <v>48.916666666666664</v>
      </c>
      <c r="R264" s="374"/>
      <c r="S264" s="303">
        <v>51</v>
      </c>
      <c r="T264" s="304">
        <v>53</v>
      </c>
      <c r="U264" s="304">
        <v>67</v>
      </c>
      <c r="V264" s="304">
        <v>74</v>
      </c>
      <c r="W264" s="304">
        <v>106</v>
      </c>
      <c r="X264" s="304">
        <v>94</v>
      </c>
      <c r="Y264" s="304">
        <v>80</v>
      </c>
      <c r="Z264" s="304">
        <v>82</v>
      </c>
      <c r="AA264" s="304">
        <v>89</v>
      </c>
      <c r="AB264" s="304">
        <v>68</v>
      </c>
      <c r="AC264" s="304">
        <v>75</v>
      </c>
      <c r="AD264" s="304">
        <v>71</v>
      </c>
      <c r="AE264" s="304">
        <f t="shared" si="254"/>
        <v>910</v>
      </c>
      <c r="AF264" s="305">
        <f t="shared" si="141"/>
        <v>75.833333333333329</v>
      </c>
      <c r="AG264" s="374"/>
      <c r="AH264" s="303">
        <v>59.999999999999993</v>
      </c>
      <c r="AI264" s="304">
        <v>53</v>
      </c>
      <c r="AJ264" s="304">
        <v>61</v>
      </c>
      <c r="AK264" s="304">
        <v>74</v>
      </c>
      <c r="AL264" s="304">
        <v>91</v>
      </c>
      <c r="AM264" s="304">
        <v>73</v>
      </c>
      <c r="AN264" s="304">
        <v>81</v>
      </c>
      <c r="AO264" s="304">
        <v>54</v>
      </c>
      <c r="AP264" s="304">
        <v>70</v>
      </c>
      <c r="AQ264" s="304">
        <v>90</v>
      </c>
      <c r="AR264" s="304">
        <v>87</v>
      </c>
      <c r="AS264" s="304">
        <v>55</v>
      </c>
      <c r="AT264" s="304">
        <f t="shared" si="255"/>
        <v>849</v>
      </c>
      <c r="AU264" s="305">
        <f t="shared" si="214"/>
        <v>70.75</v>
      </c>
      <c r="AV264" s="374"/>
      <c r="AW264" s="2022">
        <v>68</v>
      </c>
      <c r="AX264" s="304">
        <v>35</v>
      </c>
      <c r="AY264" s="304">
        <v>54.000000000000007</v>
      </c>
      <c r="AZ264" s="304">
        <v>203</v>
      </c>
      <c r="BA264" s="304">
        <v>64</v>
      </c>
      <c r="BB264" s="304">
        <v>67</v>
      </c>
      <c r="BC264" s="304">
        <v>240</v>
      </c>
      <c r="BD264" s="304">
        <v>88</v>
      </c>
      <c r="BE264" s="304">
        <v>140</v>
      </c>
      <c r="BF264" s="304">
        <v>51</v>
      </c>
      <c r="BG264" s="304">
        <v>40</v>
      </c>
      <c r="BH264" s="304">
        <v>38</v>
      </c>
      <c r="BI264" s="304">
        <f t="shared" si="256"/>
        <v>1088</v>
      </c>
      <c r="BJ264" s="305">
        <f t="shared" si="203"/>
        <v>90.659111740688274</v>
      </c>
      <c r="BL264" s="317">
        <f>ROW()</f>
        <v>264</v>
      </c>
      <c r="BM264" s="1432">
        <f t="shared" si="257"/>
        <v>-17</v>
      </c>
      <c r="BN264" s="317">
        <f t="shared" si="211"/>
        <v>19.909111740688274</v>
      </c>
      <c r="BO264" s="317">
        <f t="shared" si="258"/>
        <v>239</v>
      </c>
      <c r="BP264" s="594">
        <f t="shared" si="208"/>
        <v>-2</v>
      </c>
    </row>
    <row r="265" spans="1:68" ht="17.399999999999999" customHeight="1" x14ac:dyDescent="0.55000000000000004">
      <c r="A265" s="7222"/>
      <c r="B265" s="7208"/>
      <c r="C265" s="202" t="s">
        <v>235</v>
      </c>
      <c r="D265" s="300">
        <v>53</v>
      </c>
      <c r="E265" s="301">
        <v>57</v>
      </c>
      <c r="F265" s="301">
        <v>62</v>
      </c>
      <c r="G265" s="301">
        <v>49</v>
      </c>
      <c r="H265" s="301">
        <v>59</v>
      </c>
      <c r="I265" s="301">
        <v>59</v>
      </c>
      <c r="J265" s="301">
        <v>62</v>
      </c>
      <c r="K265" s="301">
        <v>62</v>
      </c>
      <c r="L265" s="301">
        <v>53</v>
      </c>
      <c r="M265" s="301">
        <v>43</v>
      </c>
      <c r="N265" s="301">
        <v>56</v>
      </c>
      <c r="O265" s="301">
        <v>55</v>
      </c>
      <c r="P265" s="301">
        <f t="shared" si="253"/>
        <v>670</v>
      </c>
      <c r="Q265" s="302">
        <f t="shared" si="139"/>
        <v>55.833333333333336</v>
      </c>
      <c r="R265" s="374"/>
      <c r="S265" s="300">
        <v>47</v>
      </c>
      <c r="T265" s="301">
        <v>60</v>
      </c>
      <c r="U265" s="301">
        <v>80</v>
      </c>
      <c r="V265" s="301">
        <v>59</v>
      </c>
      <c r="W265" s="301">
        <v>88</v>
      </c>
      <c r="X265" s="301">
        <v>77</v>
      </c>
      <c r="Y265" s="301">
        <v>68</v>
      </c>
      <c r="Z265" s="301">
        <v>64</v>
      </c>
      <c r="AA265" s="301">
        <v>50</v>
      </c>
      <c r="AB265" s="301">
        <v>54</v>
      </c>
      <c r="AC265" s="301">
        <v>76</v>
      </c>
      <c r="AD265" s="301">
        <v>58</v>
      </c>
      <c r="AE265" s="301">
        <f t="shared" si="254"/>
        <v>781</v>
      </c>
      <c r="AF265" s="302">
        <f t="shared" si="141"/>
        <v>65.083333333333329</v>
      </c>
      <c r="AG265" s="374"/>
      <c r="AH265" s="300">
        <v>61</v>
      </c>
      <c r="AI265" s="301">
        <v>53</v>
      </c>
      <c r="AJ265" s="301">
        <v>68</v>
      </c>
      <c r="AK265" s="301">
        <v>46</v>
      </c>
      <c r="AL265" s="301">
        <v>70</v>
      </c>
      <c r="AM265" s="301">
        <v>80</v>
      </c>
      <c r="AN265" s="301">
        <v>70</v>
      </c>
      <c r="AO265" s="301">
        <v>55.000000000000007</v>
      </c>
      <c r="AP265" s="301">
        <v>65</v>
      </c>
      <c r="AQ265" s="301">
        <v>58.000000000000007</v>
      </c>
      <c r="AR265" s="301">
        <v>176</v>
      </c>
      <c r="AS265" s="301">
        <v>59.999999999999993</v>
      </c>
      <c r="AT265" s="301">
        <f t="shared" si="255"/>
        <v>862</v>
      </c>
      <c r="AU265" s="302">
        <f t="shared" si="214"/>
        <v>71.833333333333329</v>
      </c>
      <c r="AV265" s="374"/>
      <c r="AW265" s="2021">
        <v>53</v>
      </c>
      <c r="AX265" s="301">
        <v>69</v>
      </c>
      <c r="AY265" s="301">
        <v>62</v>
      </c>
      <c r="AZ265" s="301">
        <v>59</v>
      </c>
      <c r="BA265" s="301">
        <v>45</v>
      </c>
      <c r="BB265" s="301">
        <v>63</v>
      </c>
      <c r="BC265" s="301">
        <v>49</v>
      </c>
      <c r="BD265" s="301">
        <v>59</v>
      </c>
      <c r="BE265" s="301">
        <v>53</v>
      </c>
      <c r="BF265" s="301">
        <v>46</v>
      </c>
      <c r="BG265" s="301">
        <v>45</v>
      </c>
      <c r="BH265" s="301">
        <v>55</v>
      </c>
      <c r="BI265" s="301">
        <f t="shared" si="256"/>
        <v>658</v>
      </c>
      <c r="BJ265" s="302">
        <f t="shared" si="203"/>
        <v>54.828764269644196</v>
      </c>
      <c r="BL265" s="317">
        <f>ROW()</f>
        <v>265</v>
      </c>
      <c r="BM265" s="1432">
        <f t="shared" si="257"/>
        <v>-4.9999999999999929</v>
      </c>
      <c r="BN265" s="317">
        <f t="shared" si="211"/>
        <v>-17.004569063689132</v>
      </c>
      <c r="BO265" s="317">
        <f t="shared" si="258"/>
        <v>-204</v>
      </c>
      <c r="BP265" s="594">
        <f t="shared" si="208"/>
        <v>10</v>
      </c>
    </row>
    <row r="266" spans="1:68" ht="18" customHeight="1" thickBot="1" x14ac:dyDescent="0.6">
      <c r="A266" s="7222"/>
      <c r="B266" s="7209"/>
      <c r="C266" s="204" t="s">
        <v>236</v>
      </c>
      <c r="D266" s="306">
        <v>64</v>
      </c>
      <c r="E266" s="307">
        <v>41</v>
      </c>
      <c r="F266" s="307">
        <v>98</v>
      </c>
      <c r="G266" s="307">
        <v>61</v>
      </c>
      <c r="H266" s="307">
        <v>29</v>
      </c>
      <c r="I266" s="307">
        <v>47</v>
      </c>
      <c r="J266" s="307">
        <v>43</v>
      </c>
      <c r="K266" s="307">
        <v>38</v>
      </c>
      <c r="L266" s="307">
        <v>36</v>
      </c>
      <c r="M266" s="307">
        <v>41</v>
      </c>
      <c r="N266" s="307">
        <v>37</v>
      </c>
      <c r="O266" s="307">
        <v>88</v>
      </c>
      <c r="P266" s="307">
        <f t="shared" si="253"/>
        <v>623</v>
      </c>
      <c r="Q266" s="308">
        <f t="shared" si="139"/>
        <v>51.916666666666664</v>
      </c>
      <c r="R266" s="374"/>
      <c r="S266" s="306">
        <v>94</v>
      </c>
      <c r="T266" s="307">
        <v>104</v>
      </c>
      <c r="U266" s="307">
        <v>96</v>
      </c>
      <c r="V266" s="307">
        <v>103</v>
      </c>
      <c r="W266" s="307">
        <v>101</v>
      </c>
      <c r="X266" s="307">
        <v>160</v>
      </c>
      <c r="Y266" s="307">
        <v>119</v>
      </c>
      <c r="Z266" s="307">
        <v>89</v>
      </c>
      <c r="AA266" s="307">
        <v>82</v>
      </c>
      <c r="AB266" s="307">
        <v>94</v>
      </c>
      <c r="AC266" s="307">
        <v>98</v>
      </c>
      <c r="AD266" s="307">
        <v>95</v>
      </c>
      <c r="AE266" s="307">
        <f t="shared" si="254"/>
        <v>1235</v>
      </c>
      <c r="AF266" s="308">
        <f t="shared" si="141"/>
        <v>102.91666666666667</v>
      </c>
      <c r="AG266" s="374"/>
      <c r="AH266" s="306">
        <v>82</v>
      </c>
      <c r="AI266" s="307">
        <v>117</v>
      </c>
      <c r="AJ266" s="307">
        <v>118</v>
      </c>
      <c r="AK266" s="307">
        <v>100</v>
      </c>
      <c r="AL266" s="307">
        <v>136</v>
      </c>
      <c r="AM266" s="307">
        <v>292</v>
      </c>
      <c r="AN266" s="307">
        <v>230</v>
      </c>
      <c r="AO266" s="307">
        <v>121.99999999999999</v>
      </c>
      <c r="AP266" s="307">
        <v>287</v>
      </c>
      <c r="AQ266" s="307">
        <v>118</v>
      </c>
      <c r="AR266" s="307">
        <v>255</v>
      </c>
      <c r="AS266" s="307">
        <v>95</v>
      </c>
      <c r="AT266" s="307">
        <f t="shared" si="255"/>
        <v>1952</v>
      </c>
      <c r="AU266" s="308">
        <f t="shared" si="214"/>
        <v>162.66666666666666</v>
      </c>
      <c r="AV266" s="374"/>
      <c r="AW266" s="2023">
        <v>52</v>
      </c>
      <c r="AX266" s="307">
        <v>79</v>
      </c>
      <c r="AY266" s="307">
        <v>210</v>
      </c>
      <c r="AZ266" s="307">
        <v>81</v>
      </c>
      <c r="BA266" s="307">
        <v>84</v>
      </c>
      <c r="BB266" s="307">
        <v>231.99999999999997</v>
      </c>
      <c r="BC266" s="307">
        <v>186</v>
      </c>
      <c r="BD266" s="307">
        <v>138</v>
      </c>
      <c r="BE266" s="307">
        <v>197</v>
      </c>
      <c r="BF266" s="307">
        <v>91</v>
      </c>
      <c r="BG266" s="307">
        <v>74</v>
      </c>
      <c r="BH266" s="307">
        <v>48</v>
      </c>
      <c r="BI266" s="307">
        <f t="shared" si="256"/>
        <v>1472</v>
      </c>
      <c r="BJ266" s="308">
        <f t="shared" si="203"/>
        <v>122.65644529622531</v>
      </c>
      <c r="BL266" s="317">
        <f>ROW()</f>
        <v>266</v>
      </c>
      <c r="BM266" s="1432">
        <f t="shared" si="257"/>
        <v>-47</v>
      </c>
      <c r="BN266" s="317">
        <f t="shared" si="211"/>
        <v>-40.010221370441343</v>
      </c>
      <c r="BO266" s="317">
        <f t="shared" si="258"/>
        <v>-480</v>
      </c>
      <c r="BP266" s="594">
        <f t="shared" si="208"/>
        <v>-26</v>
      </c>
    </row>
    <row r="267" spans="1:68" x14ac:dyDescent="0.55000000000000004">
      <c r="A267" s="7222"/>
      <c r="B267" s="7213" t="s">
        <v>432</v>
      </c>
      <c r="C267" s="199" t="s">
        <v>419</v>
      </c>
      <c r="D267" s="291">
        <f>D272+D273</f>
        <v>172</v>
      </c>
      <c r="E267" s="292">
        <f t="shared" ref="E267:O267" si="268">E272+E273</f>
        <v>240</v>
      </c>
      <c r="F267" s="292">
        <f t="shared" si="268"/>
        <v>217</v>
      </c>
      <c r="G267" s="292">
        <f t="shared" si="268"/>
        <v>305</v>
      </c>
      <c r="H267" s="292">
        <f t="shared" si="268"/>
        <v>419</v>
      </c>
      <c r="I267" s="292">
        <f t="shared" si="268"/>
        <v>389</v>
      </c>
      <c r="J267" s="292">
        <f t="shared" si="268"/>
        <v>257</v>
      </c>
      <c r="K267" s="292">
        <f t="shared" si="268"/>
        <v>260</v>
      </c>
      <c r="L267" s="292">
        <f t="shared" si="268"/>
        <v>306</v>
      </c>
      <c r="M267" s="292">
        <f t="shared" si="268"/>
        <v>361</v>
      </c>
      <c r="N267" s="292">
        <f t="shared" si="268"/>
        <v>272</v>
      </c>
      <c r="O267" s="292">
        <f t="shared" si="268"/>
        <v>268</v>
      </c>
      <c r="P267" s="292">
        <f t="shared" si="253"/>
        <v>3466</v>
      </c>
      <c r="Q267" s="293">
        <f t="shared" si="139"/>
        <v>288.83333333333331</v>
      </c>
      <c r="R267" s="374"/>
      <c r="S267" s="291">
        <v>235</v>
      </c>
      <c r="T267" s="292">
        <v>323</v>
      </c>
      <c r="U267" s="292">
        <v>415</v>
      </c>
      <c r="V267" s="292">
        <v>240</v>
      </c>
      <c r="W267" s="292">
        <v>283</v>
      </c>
      <c r="X267" s="292">
        <v>279</v>
      </c>
      <c r="Y267" s="292">
        <v>209</v>
      </c>
      <c r="Z267" s="292">
        <v>413</v>
      </c>
      <c r="AA267" s="292">
        <v>471</v>
      </c>
      <c r="AB267" s="292">
        <v>225</v>
      </c>
      <c r="AC267" s="292">
        <v>240</v>
      </c>
      <c r="AD267" s="292">
        <v>191</v>
      </c>
      <c r="AE267" s="292">
        <f t="shared" si="254"/>
        <v>3524</v>
      </c>
      <c r="AF267" s="293">
        <f t="shared" si="141"/>
        <v>293.66666666666669</v>
      </c>
      <c r="AG267" s="374"/>
      <c r="AH267" s="291">
        <v>303</v>
      </c>
      <c r="AI267" s="292">
        <v>222</v>
      </c>
      <c r="AJ267" s="292">
        <v>304</v>
      </c>
      <c r="AK267" s="292">
        <v>234</v>
      </c>
      <c r="AL267" s="292">
        <v>335</v>
      </c>
      <c r="AM267" s="292">
        <v>307</v>
      </c>
      <c r="AN267" s="292">
        <v>373</v>
      </c>
      <c r="AO267" s="292">
        <v>376</v>
      </c>
      <c r="AP267" s="292">
        <v>377</v>
      </c>
      <c r="AQ267" s="292">
        <v>370</v>
      </c>
      <c r="AR267" s="292">
        <v>658</v>
      </c>
      <c r="AS267" s="292">
        <v>258</v>
      </c>
      <c r="AT267" s="292">
        <f t="shared" si="255"/>
        <v>4117</v>
      </c>
      <c r="AU267" s="293">
        <f t="shared" si="214"/>
        <v>343.08333333333331</v>
      </c>
      <c r="AV267" s="374"/>
      <c r="AW267" s="2015">
        <v>276</v>
      </c>
      <c r="AX267" s="292">
        <v>363</v>
      </c>
      <c r="AY267" s="292">
        <v>290</v>
      </c>
      <c r="AZ267" s="292">
        <v>307</v>
      </c>
      <c r="BA267" s="292">
        <v>634</v>
      </c>
      <c r="BB267" s="292">
        <v>386</v>
      </c>
      <c r="BC267" s="292">
        <v>380</v>
      </c>
      <c r="BD267" s="292">
        <v>305</v>
      </c>
      <c r="BE267" s="292">
        <v>316</v>
      </c>
      <c r="BF267" s="292">
        <v>282</v>
      </c>
      <c r="BG267" s="292">
        <v>313</v>
      </c>
      <c r="BH267" s="292">
        <v>353</v>
      </c>
      <c r="BI267" s="292">
        <f t="shared" si="256"/>
        <v>4205</v>
      </c>
      <c r="BJ267" s="293">
        <f t="shared" si="203"/>
        <v>350.3874677110241</v>
      </c>
      <c r="BL267" s="317">
        <f>ROW()</f>
        <v>267</v>
      </c>
      <c r="BM267" s="1432">
        <f t="shared" si="257"/>
        <v>95</v>
      </c>
      <c r="BN267" s="317">
        <f t="shared" si="211"/>
        <v>7.3041343776907866</v>
      </c>
      <c r="BO267" s="317">
        <f t="shared" si="258"/>
        <v>88</v>
      </c>
      <c r="BP267" s="594">
        <f t="shared" si="208"/>
        <v>40</v>
      </c>
    </row>
    <row r="268" spans="1:68" x14ac:dyDescent="0.55000000000000004">
      <c r="A268" s="7222"/>
      <c r="B268" s="7214"/>
      <c r="C268" s="200" t="s">
        <v>420</v>
      </c>
      <c r="D268" s="294">
        <f>D274</f>
        <v>197</v>
      </c>
      <c r="E268" s="295">
        <f t="shared" ref="E268:O268" si="269">E274</f>
        <v>247</v>
      </c>
      <c r="F268" s="295">
        <f t="shared" si="269"/>
        <v>268</v>
      </c>
      <c r="G268" s="295">
        <f t="shared" si="269"/>
        <v>352</v>
      </c>
      <c r="H268" s="295">
        <f t="shared" si="269"/>
        <v>374</v>
      </c>
      <c r="I268" s="295">
        <f t="shared" si="269"/>
        <v>307</v>
      </c>
      <c r="J268" s="295">
        <f t="shared" si="269"/>
        <v>226</v>
      </c>
      <c r="K268" s="295">
        <f t="shared" si="269"/>
        <v>292</v>
      </c>
      <c r="L268" s="295">
        <f t="shared" si="269"/>
        <v>191</v>
      </c>
      <c r="M268" s="295">
        <f t="shared" si="269"/>
        <v>263</v>
      </c>
      <c r="N268" s="295">
        <f t="shared" si="269"/>
        <v>235</v>
      </c>
      <c r="O268" s="295">
        <f t="shared" si="269"/>
        <v>187</v>
      </c>
      <c r="P268" s="295">
        <f t="shared" si="253"/>
        <v>3139</v>
      </c>
      <c r="Q268" s="296">
        <f t="shared" si="139"/>
        <v>261.58333333333331</v>
      </c>
      <c r="R268" s="374"/>
      <c r="S268" s="294">
        <v>203</v>
      </c>
      <c r="T268" s="295">
        <v>230</v>
      </c>
      <c r="U268" s="295">
        <v>176</v>
      </c>
      <c r="V268" s="295">
        <v>134</v>
      </c>
      <c r="W268" s="295">
        <v>182</v>
      </c>
      <c r="X268" s="295">
        <v>142</v>
      </c>
      <c r="Y268" s="295">
        <v>143</v>
      </c>
      <c r="Z268" s="295">
        <v>175</v>
      </c>
      <c r="AA268" s="295">
        <v>151</v>
      </c>
      <c r="AB268" s="295">
        <v>157</v>
      </c>
      <c r="AC268" s="295">
        <v>148</v>
      </c>
      <c r="AD268" s="295">
        <v>113</v>
      </c>
      <c r="AE268" s="295">
        <f t="shared" si="254"/>
        <v>1954</v>
      </c>
      <c r="AF268" s="296">
        <f t="shared" si="141"/>
        <v>162.83333333333334</v>
      </c>
      <c r="AG268" s="374"/>
      <c r="AH268" s="294">
        <v>158</v>
      </c>
      <c r="AI268" s="295">
        <v>145</v>
      </c>
      <c r="AJ268" s="295">
        <v>211</v>
      </c>
      <c r="AK268" s="295">
        <v>201</v>
      </c>
      <c r="AL268" s="295">
        <v>195</v>
      </c>
      <c r="AM268" s="295">
        <v>233</v>
      </c>
      <c r="AN268" s="295">
        <v>225.00000000000003</v>
      </c>
      <c r="AO268" s="295">
        <v>312</v>
      </c>
      <c r="AP268" s="295">
        <v>331</v>
      </c>
      <c r="AQ268" s="295">
        <v>327</v>
      </c>
      <c r="AR268" s="295">
        <v>594</v>
      </c>
      <c r="AS268" s="295">
        <v>278</v>
      </c>
      <c r="AT268" s="295">
        <f t="shared" si="255"/>
        <v>3210</v>
      </c>
      <c r="AU268" s="296">
        <f t="shared" si="214"/>
        <v>267.5</v>
      </c>
      <c r="AV268" s="374"/>
      <c r="AW268" s="2016">
        <v>249.00000000000003</v>
      </c>
      <c r="AX268" s="295">
        <v>287</v>
      </c>
      <c r="AY268" s="295">
        <v>230</v>
      </c>
      <c r="AZ268" s="295">
        <v>220</v>
      </c>
      <c r="BA268" s="295">
        <v>492</v>
      </c>
      <c r="BB268" s="295">
        <v>314</v>
      </c>
      <c r="BC268" s="295">
        <v>294</v>
      </c>
      <c r="BD268" s="295">
        <v>287</v>
      </c>
      <c r="BE268" s="295">
        <v>287</v>
      </c>
      <c r="BF268" s="295">
        <v>268</v>
      </c>
      <c r="BG268" s="295">
        <v>249</v>
      </c>
      <c r="BH268" s="295">
        <v>274</v>
      </c>
      <c r="BI268" s="295">
        <f t="shared" si="256"/>
        <v>3451</v>
      </c>
      <c r="BJ268" s="296">
        <f t="shared" si="203"/>
        <v>287.55937005249564</v>
      </c>
      <c r="BL268" s="317">
        <f>ROW()</f>
        <v>268</v>
      </c>
      <c r="BM268" s="1432">
        <f t="shared" si="257"/>
        <v>-4</v>
      </c>
      <c r="BN268" s="317">
        <f t="shared" si="211"/>
        <v>20.059370052495638</v>
      </c>
      <c r="BO268" s="317">
        <f t="shared" si="258"/>
        <v>241</v>
      </c>
      <c r="BP268" s="594">
        <f t="shared" si="208"/>
        <v>25</v>
      </c>
    </row>
    <row r="269" spans="1:68" x14ac:dyDescent="0.55000000000000004">
      <c r="A269" s="7222"/>
      <c r="B269" s="7214"/>
      <c r="C269" s="200" t="s">
        <v>421</v>
      </c>
      <c r="D269" s="294">
        <f>D275</f>
        <v>209</v>
      </c>
      <c r="E269" s="295">
        <f t="shared" ref="E269:O269" si="270">E275</f>
        <v>254</v>
      </c>
      <c r="F269" s="295">
        <f t="shared" si="270"/>
        <v>252</v>
      </c>
      <c r="G269" s="295">
        <f t="shared" si="270"/>
        <v>321</v>
      </c>
      <c r="H269" s="295">
        <f t="shared" si="270"/>
        <v>283</v>
      </c>
      <c r="I269" s="295">
        <f t="shared" si="270"/>
        <v>282</v>
      </c>
      <c r="J269" s="295">
        <f t="shared" si="270"/>
        <v>208</v>
      </c>
      <c r="K269" s="295">
        <f t="shared" si="270"/>
        <v>255</v>
      </c>
      <c r="L269" s="295">
        <f t="shared" si="270"/>
        <v>207</v>
      </c>
      <c r="M269" s="295">
        <f t="shared" si="270"/>
        <v>228</v>
      </c>
      <c r="N269" s="295">
        <f t="shared" si="270"/>
        <v>194</v>
      </c>
      <c r="O269" s="295">
        <f t="shared" si="270"/>
        <v>144</v>
      </c>
      <c r="P269" s="295">
        <f t="shared" si="253"/>
        <v>2837</v>
      </c>
      <c r="Q269" s="296">
        <f t="shared" si="139"/>
        <v>236.41666666666666</v>
      </c>
      <c r="R269" s="374"/>
      <c r="S269" s="294">
        <v>146</v>
      </c>
      <c r="T269" s="295">
        <v>177</v>
      </c>
      <c r="U269" s="295">
        <v>179</v>
      </c>
      <c r="V269" s="295">
        <v>153</v>
      </c>
      <c r="W269" s="295">
        <v>197</v>
      </c>
      <c r="X269" s="295">
        <v>174</v>
      </c>
      <c r="Y269" s="295">
        <v>167</v>
      </c>
      <c r="Z269" s="295">
        <v>191</v>
      </c>
      <c r="AA269" s="295">
        <v>142</v>
      </c>
      <c r="AB269" s="295">
        <v>168</v>
      </c>
      <c r="AC269" s="295">
        <v>164</v>
      </c>
      <c r="AD269" s="295">
        <v>116</v>
      </c>
      <c r="AE269" s="295">
        <f t="shared" si="254"/>
        <v>1974</v>
      </c>
      <c r="AF269" s="296">
        <f t="shared" si="141"/>
        <v>164.5</v>
      </c>
      <c r="AG269" s="374"/>
      <c r="AH269" s="294">
        <v>140</v>
      </c>
      <c r="AI269" s="295">
        <v>146</v>
      </c>
      <c r="AJ269" s="295">
        <v>192</v>
      </c>
      <c r="AK269" s="295">
        <v>174</v>
      </c>
      <c r="AL269" s="295">
        <v>246</v>
      </c>
      <c r="AM269" s="295">
        <v>234</v>
      </c>
      <c r="AN269" s="295">
        <v>260</v>
      </c>
      <c r="AO269" s="295">
        <v>274</v>
      </c>
      <c r="AP269" s="295">
        <v>234.00000000000003</v>
      </c>
      <c r="AQ269" s="295">
        <v>285</v>
      </c>
      <c r="AR269" s="295">
        <v>573</v>
      </c>
      <c r="AS269" s="295">
        <v>265</v>
      </c>
      <c r="AT269" s="295">
        <f t="shared" si="255"/>
        <v>3023</v>
      </c>
      <c r="AU269" s="296">
        <f t="shared" si="214"/>
        <v>251.91666666666666</v>
      </c>
      <c r="AV269" s="374"/>
      <c r="AW269" s="2016">
        <v>233</v>
      </c>
      <c r="AX269" s="295">
        <v>331</v>
      </c>
      <c r="AY269" s="295">
        <v>325</v>
      </c>
      <c r="AZ269" s="295">
        <v>273</v>
      </c>
      <c r="BA269" s="295">
        <v>499</v>
      </c>
      <c r="BB269" s="295">
        <v>404</v>
      </c>
      <c r="BC269" s="295">
        <v>349</v>
      </c>
      <c r="BD269" s="295">
        <v>276</v>
      </c>
      <c r="BE269" s="295">
        <v>310</v>
      </c>
      <c r="BF269" s="295">
        <v>283</v>
      </c>
      <c r="BG269" s="295">
        <v>236</v>
      </c>
      <c r="BH269" s="295">
        <v>246</v>
      </c>
      <c r="BI269" s="295">
        <f t="shared" si="256"/>
        <v>3765</v>
      </c>
      <c r="BJ269" s="296">
        <f t="shared" ref="BJ269:BJ327" si="271">BI269/$A$2</f>
        <v>313.72385634530457</v>
      </c>
      <c r="BL269" s="317">
        <f>ROW()</f>
        <v>269</v>
      </c>
      <c r="BM269" s="1432">
        <f t="shared" si="257"/>
        <v>-19</v>
      </c>
      <c r="BN269" s="317">
        <f t="shared" si="211"/>
        <v>61.807189678637911</v>
      </c>
      <c r="BO269" s="317">
        <f t="shared" si="258"/>
        <v>742</v>
      </c>
      <c r="BP269" s="594">
        <f t="shared" ref="BP269:BP332" si="272">HLOOKUP($A$2,$AW$2:$BH$520,ROW()-1,0)-HLOOKUP($A$2-1,$AW$2:$BH$520,ROW()-1,1)</f>
        <v>10</v>
      </c>
    </row>
    <row r="270" spans="1:68" x14ac:dyDescent="0.55000000000000004">
      <c r="A270" s="7222"/>
      <c r="B270" s="7214"/>
      <c r="C270" s="200" t="s">
        <v>422</v>
      </c>
      <c r="D270" s="294">
        <f>D276+D277</f>
        <v>308</v>
      </c>
      <c r="E270" s="295">
        <f t="shared" ref="E270:O270" si="273">E276+E277</f>
        <v>356</v>
      </c>
      <c r="F270" s="295">
        <f t="shared" si="273"/>
        <v>336</v>
      </c>
      <c r="G270" s="295">
        <f t="shared" si="273"/>
        <v>334</v>
      </c>
      <c r="H270" s="295">
        <f t="shared" si="273"/>
        <v>331</v>
      </c>
      <c r="I270" s="295">
        <f t="shared" si="273"/>
        <v>322</v>
      </c>
      <c r="J270" s="295">
        <f t="shared" si="273"/>
        <v>284</v>
      </c>
      <c r="K270" s="295">
        <f t="shared" si="273"/>
        <v>345</v>
      </c>
      <c r="L270" s="295">
        <f t="shared" si="273"/>
        <v>281</v>
      </c>
      <c r="M270" s="295">
        <f t="shared" si="273"/>
        <v>294</v>
      </c>
      <c r="N270" s="295">
        <f t="shared" si="273"/>
        <v>230</v>
      </c>
      <c r="O270" s="295">
        <f t="shared" si="273"/>
        <v>164</v>
      </c>
      <c r="P270" s="295">
        <f t="shared" si="253"/>
        <v>3585</v>
      </c>
      <c r="Q270" s="296">
        <f t="shared" si="139"/>
        <v>298.75</v>
      </c>
      <c r="R270" s="374"/>
      <c r="S270" s="294">
        <v>230</v>
      </c>
      <c r="T270" s="295">
        <v>281</v>
      </c>
      <c r="U270" s="295">
        <v>264</v>
      </c>
      <c r="V270" s="295">
        <v>268</v>
      </c>
      <c r="W270" s="295">
        <v>360</v>
      </c>
      <c r="X270" s="295">
        <v>273</v>
      </c>
      <c r="Y270" s="295">
        <v>270</v>
      </c>
      <c r="Z270" s="295">
        <v>345</v>
      </c>
      <c r="AA270" s="295">
        <v>269</v>
      </c>
      <c r="AB270" s="295">
        <v>324</v>
      </c>
      <c r="AC270" s="295">
        <v>270</v>
      </c>
      <c r="AD270" s="295">
        <v>227</v>
      </c>
      <c r="AE270" s="295">
        <f t="shared" si="254"/>
        <v>3381</v>
      </c>
      <c r="AF270" s="296">
        <f t="shared" si="141"/>
        <v>281.75</v>
      </c>
      <c r="AG270" s="374"/>
      <c r="AH270" s="294">
        <v>389</v>
      </c>
      <c r="AI270" s="295">
        <v>349</v>
      </c>
      <c r="AJ270" s="295">
        <v>403</v>
      </c>
      <c r="AK270" s="295">
        <v>367</v>
      </c>
      <c r="AL270" s="295">
        <v>436</v>
      </c>
      <c r="AM270" s="295">
        <v>379</v>
      </c>
      <c r="AN270" s="295">
        <v>404</v>
      </c>
      <c r="AO270" s="295">
        <v>376</v>
      </c>
      <c r="AP270" s="295">
        <v>386</v>
      </c>
      <c r="AQ270" s="295">
        <v>450</v>
      </c>
      <c r="AR270" s="295">
        <v>1116</v>
      </c>
      <c r="AS270" s="295">
        <v>513</v>
      </c>
      <c r="AT270" s="295">
        <f t="shared" si="255"/>
        <v>5568</v>
      </c>
      <c r="AU270" s="296">
        <f t="shared" si="214"/>
        <v>464</v>
      </c>
      <c r="AV270" s="374"/>
      <c r="AW270" s="2016">
        <v>490</v>
      </c>
      <c r="AX270" s="295">
        <v>598</v>
      </c>
      <c r="AY270" s="295">
        <v>532</v>
      </c>
      <c r="AZ270" s="295">
        <v>641</v>
      </c>
      <c r="BA270" s="295">
        <v>1324</v>
      </c>
      <c r="BB270" s="295">
        <v>1265</v>
      </c>
      <c r="BC270" s="295">
        <v>999</v>
      </c>
      <c r="BD270" s="295">
        <v>667</v>
      </c>
      <c r="BE270" s="295">
        <v>606</v>
      </c>
      <c r="BF270" s="295">
        <v>638</v>
      </c>
      <c r="BG270" s="295">
        <v>616</v>
      </c>
      <c r="BH270" s="295">
        <v>561</v>
      </c>
      <c r="BI270" s="295">
        <f t="shared" si="256"/>
        <v>8937</v>
      </c>
      <c r="BJ270" s="296">
        <f t="shared" si="271"/>
        <v>744.68794267144403</v>
      </c>
      <c r="BL270" s="317">
        <f>ROW()</f>
        <v>270</v>
      </c>
      <c r="BM270" s="1432">
        <f t="shared" si="257"/>
        <v>48</v>
      </c>
      <c r="BN270" s="317">
        <f t="shared" si="211"/>
        <v>280.68794267144403</v>
      </c>
      <c r="BO270" s="317">
        <f t="shared" si="258"/>
        <v>3369</v>
      </c>
      <c r="BP270" s="594">
        <f t="shared" si="272"/>
        <v>-55</v>
      </c>
    </row>
    <row r="271" spans="1:68" x14ac:dyDescent="0.55000000000000004">
      <c r="A271" s="7222"/>
      <c r="B271" s="7215"/>
      <c r="C271" s="201" t="s">
        <v>423</v>
      </c>
      <c r="D271" s="297">
        <f>D278+D279</f>
        <v>315</v>
      </c>
      <c r="E271" s="298">
        <f t="shared" ref="E271:O271" si="274">E278+E279</f>
        <v>319</v>
      </c>
      <c r="F271" s="298">
        <f t="shared" si="274"/>
        <v>281</v>
      </c>
      <c r="G271" s="298">
        <f t="shared" si="274"/>
        <v>386</v>
      </c>
      <c r="H271" s="298">
        <f t="shared" si="274"/>
        <v>371</v>
      </c>
      <c r="I271" s="298">
        <f t="shared" si="274"/>
        <v>369</v>
      </c>
      <c r="J271" s="298">
        <f t="shared" si="274"/>
        <v>283</v>
      </c>
      <c r="K271" s="298">
        <f t="shared" si="274"/>
        <v>349</v>
      </c>
      <c r="L271" s="298">
        <f t="shared" si="274"/>
        <v>274</v>
      </c>
      <c r="M271" s="298">
        <f t="shared" si="274"/>
        <v>299</v>
      </c>
      <c r="N271" s="298">
        <f t="shared" si="274"/>
        <v>297</v>
      </c>
      <c r="O271" s="298">
        <f t="shared" si="274"/>
        <v>280</v>
      </c>
      <c r="P271" s="298">
        <f t="shared" si="253"/>
        <v>3823</v>
      </c>
      <c r="Q271" s="299">
        <f t="shared" si="139"/>
        <v>318.58333333333331</v>
      </c>
      <c r="R271" s="374"/>
      <c r="S271" s="297">
        <v>268</v>
      </c>
      <c r="T271" s="298">
        <v>347</v>
      </c>
      <c r="U271" s="298">
        <v>329</v>
      </c>
      <c r="V271" s="298">
        <v>307</v>
      </c>
      <c r="W271" s="298">
        <v>368</v>
      </c>
      <c r="X271" s="298">
        <v>287</v>
      </c>
      <c r="Y271" s="298">
        <v>255</v>
      </c>
      <c r="Z271" s="298">
        <v>377</v>
      </c>
      <c r="AA271" s="298">
        <v>267</v>
      </c>
      <c r="AB271" s="298">
        <v>320</v>
      </c>
      <c r="AC271" s="298">
        <v>288</v>
      </c>
      <c r="AD271" s="298">
        <v>234</v>
      </c>
      <c r="AE271" s="298">
        <f t="shared" si="254"/>
        <v>3647</v>
      </c>
      <c r="AF271" s="299">
        <f t="shared" si="141"/>
        <v>303.91666666666669</v>
      </c>
      <c r="AG271" s="374"/>
      <c r="AH271" s="297">
        <v>370</v>
      </c>
      <c r="AI271" s="298">
        <v>302</v>
      </c>
      <c r="AJ271" s="298">
        <v>312</v>
      </c>
      <c r="AK271" s="298">
        <v>325</v>
      </c>
      <c r="AL271" s="298">
        <v>359</v>
      </c>
      <c r="AM271" s="298">
        <v>333</v>
      </c>
      <c r="AN271" s="298">
        <v>355</v>
      </c>
      <c r="AO271" s="298">
        <v>283</v>
      </c>
      <c r="AP271" s="298">
        <v>305</v>
      </c>
      <c r="AQ271" s="298">
        <v>379</v>
      </c>
      <c r="AR271" s="298">
        <v>978</v>
      </c>
      <c r="AS271" s="298">
        <v>408</v>
      </c>
      <c r="AT271" s="298">
        <f t="shared" si="255"/>
        <v>4709</v>
      </c>
      <c r="AU271" s="299">
        <f t="shared" si="214"/>
        <v>392.41666666666669</v>
      </c>
      <c r="AV271" s="374"/>
      <c r="AW271" s="2017">
        <v>389</v>
      </c>
      <c r="AX271" s="298">
        <v>507</v>
      </c>
      <c r="AY271" s="298">
        <v>433</v>
      </c>
      <c r="AZ271" s="298">
        <v>455</v>
      </c>
      <c r="BA271" s="298">
        <v>690</v>
      </c>
      <c r="BB271" s="298">
        <v>527</v>
      </c>
      <c r="BC271" s="298">
        <v>526</v>
      </c>
      <c r="BD271" s="298">
        <v>341</v>
      </c>
      <c r="BE271" s="298">
        <v>420</v>
      </c>
      <c r="BF271" s="298">
        <v>348</v>
      </c>
      <c r="BG271" s="298">
        <v>367</v>
      </c>
      <c r="BH271" s="298">
        <v>343</v>
      </c>
      <c r="BI271" s="298">
        <f t="shared" si="256"/>
        <v>5346</v>
      </c>
      <c r="BJ271" s="299">
        <f t="shared" si="271"/>
        <v>445.46287809349224</v>
      </c>
      <c r="BL271" s="317">
        <f>ROW()</f>
        <v>271</v>
      </c>
      <c r="BM271" s="1432">
        <f t="shared" si="257"/>
        <v>-65</v>
      </c>
      <c r="BN271" s="317">
        <f t="shared" ref="BN271:BN335" si="275">BJ271-AU271</f>
        <v>53.04621142682555</v>
      </c>
      <c r="BO271" s="317">
        <f t="shared" si="258"/>
        <v>637</v>
      </c>
      <c r="BP271" s="594">
        <f t="shared" si="272"/>
        <v>-24</v>
      </c>
    </row>
    <row r="272" spans="1:68" x14ac:dyDescent="0.55000000000000004">
      <c r="A272" s="7222"/>
      <c r="B272" s="7207" t="s">
        <v>433</v>
      </c>
      <c r="C272" s="203" t="s">
        <v>242</v>
      </c>
      <c r="D272" s="303">
        <v>117</v>
      </c>
      <c r="E272" s="304">
        <v>177</v>
      </c>
      <c r="F272" s="304">
        <v>152</v>
      </c>
      <c r="G272" s="304">
        <v>240</v>
      </c>
      <c r="H272" s="304">
        <v>347</v>
      </c>
      <c r="I272" s="304">
        <v>322</v>
      </c>
      <c r="J272" s="304">
        <v>226</v>
      </c>
      <c r="K272" s="304">
        <v>202</v>
      </c>
      <c r="L272" s="304">
        <v>269</v>
      </c>
      <c r="M272" s="304">
        <v>308</v>
      </c>
      <c r="N272" s="304">
        <v>229</v>
      </c>
      <c r="O272" s="304">
        <v>239</v>
      </c>
      <c r="P272" s="304">
        <f t="shared" si="253"/>
        <v>2828</v>
      </c>
      <c r="Q272" s="305">
        <f t="shared" si="139"/>
        <v>235.66666666666666</v>
      </c>
      <c r="R272" s="374"/>
      <c r="S272" s="303">
        <v>207</v>
      </c>
      <c r="T272" s="304">
        <v>286</v>
      </c>
      <c r="U272" s="304">
        <v>298</v>
      </c>
      <c r="V272" s="304">
        <v>169</v>
      </c>
      <c r="W272" s="304">
        <v>190</v>
      </c>
      <c r="X272" s="304">
        <v>181</v>
      </c>
      <c r="Y272" s="304">
        <v>144</v>
      </c>
      <c r="Z272" s="304">
        <v>197</v>
      </c>
      <c r="AA272" s="304">
        <v>280</v>
      </c>
      <c r="AB272" s="304">
        <v>147</v>
      </c>
      <c r="AC272" s="304">
        <v>174</v>
      </c>
      <c r="AD272" s="304">
        <v>100</v>
      </c>
      <c r="AE272" s="304">
        <f t="shared" si="254"/>
        <v>2373</v>
      </c>
      <c r="AF272" s="305">
        <f t="shared" si="141"/>
        <v>197.75</v>
      </c>
      <c r="AG272" s="374"/>
      <c r="AH272" s="303">
        <v>219</v>
      </c>
      <c r="AI272" s="304">
        <v>124</v>
      </c>
      <c r="AJ272" s="304">
        <v>184</v>
      </c>
      <c r="AK272" s="304">
        <v>163</v>
      </c>
      <c r="AL272" s="304">
        <v>226</v>
      </c>
      <c r="AM272" s="304">
        <v>211</v>
      </c>
      <c r="AN272" s="304">
        <v>250</v>
      </c>
      <c r="AO272" s="304">
        <v>301</v>
      </c>
      <c r="AP272" s="304">
        <v>273</v>
      </c>
      <c r="AQ272" s="304">
        <v>291</v>
      </c>
      <c r="AR272" s="304">
        <v>495</v>
      </c>
      <c r="AS272" s="304">
        <v>197</v>
      </c>
      <c r="AT272" s="304">
        <f t="shared" si="255"/>
        <v>2934</v>
      </c>
      <c r="AU272" s="305">
        <f t="shared" ref="AU272:AU327" si="276">AT272/12</f>
        <v>244.5</v>
      </c>
      <c r="AV272" s="374"/>
      <c r="AW272" s="2022">
        <v>187</v>
      </c>
      <c r="AX272" s="304">
        <v>270</v>
      </c>
      <c r="AY272" s="304">
        <v>207</v>
      </c>
      <c r="AZ272" s="304">
        <v>222</v>
      </c>
      <c r="BA272" s="304">
        <v>459</v>
      </c>
      <c r="BB272" s="304">
        <v>289</v>
      </c>
      <c r="BC272" s="304">
        <v>380</v>
      </c>
      <c r="BD272" s="304">
        <v>305</v>
      </c>
      <c r="BE272" s="304">
        <v>316</v>
      </c>
      <c r="BF272" s="304">
        <v>282</v>
      </c>
      <c r="BG272" s="304">
        <v>313</v>
      </c>
      <c r="BH272" s="304">
        <v>353</v>
      </c>
      <c r="BI272" s="304">
        <f t="shared" si="256"/>
        <v>3583</v>
      </c>
      <c r="BJ272" s="305">
        <f t="shared" si="271"/>
        <v>298.5584534622115</v>
      </c>
      <c r="BL272" s="317">
        <f>ROW()</f>
        <v>272</v>
      </c>
      <c r="BM272" s="1432">
        <f t="shared" si="257"/>
        <v>156</v>
      </c>
      <c r="BN272" s="317">
        <f t="shared" si="275"/>
        <v>54.058453462211503</v>
      </c>
      <c r="BO272" s="317">
        <f t="shared" si="258"/>
        <v>649</v>
      </c>
      <c r="BP272" s="594">
        <f t="shared" si="272"/>
        <v>40</v>
      </c>
    </row>
    <row r="273" spans="1:71" x14ac:dyDescent="0.55000000000000004">
      <c r="A273" s="7222"/>
      <c r="B273" s="7208"/>
      <c r="C273" s="203" t="s">
        <v>243</v>
      </c>
      <c r="D273" s="303">
        <v>55</v>
      </c>
      <c r="E273" s="304">
        <v>63</v>
      </c>
      <c r="F273" s="304">
        <v>65</v>
      </c>
      <c r="G273" s="304">
        <v>65</v>
      </c>
      <c r="H273" s="304">
        <v>72</v>
      </c>
      <c r="I273" s="304">
        <v>67</v>
      </c>
      <c r="J273" s="304">
        <v>31</v>
      </c>
      <c r="K273" s="304">
        <v>58</v>
      </c>
      <c r="L273" s="304">
        <v>37</v>
      </c>
      <c r="M273" s="304">
        <v>53</v>
      </c>
      <c r="N273" s="304">
        <v>43</v>
      </c>
      <c r="O273" s="304">
        <v>29</v>
      </c>
      <c r="P273" s="304">
        <f t="shared" si="253"/>
        <v>638</v>
      </c>
      <c r="Q273" s="305">
        <f t="shared" si="139"/>
        <v>53.166666666666664</v>
      </c>
      <c r="R273" s="374"/>
      <c r="S273" s="303">
        <v>28</v>
      </c>
      <c r="T273" s="304">
        <v>37</v>
      </c>
      <c r="U273" s="304">
        <v>117</v>
      </c>
      <c r="V273" s="304">
        <v>71</v>
      </c>
      <c r="W273" s="304">
        <v>93</v>
      </c>
      <c r="X273" s="304">
        <v>98</v>
      </c>
      <c r="Y273" s="304">
        <v>65</v>
      </c>
      <c r="Z273" s="304">
        <v>216</v>
      </c>
      <c r="AA273" s="304">
        <v>191</v>
      </c>
      <c r="AB273" s="304">
        <v>78</v>
      </c>
      <c r="AC273" s="304">
        <v>66</v>
      </c>
      <c r="AD273" s="304">
        <v>91</v>
      </c>
      <c r="AE273" s="304">
        <f t="shared" si="254"/>
        <v>1151</v>
      </c>
      <c r="AF273" s="305">
        <f t="shared" si="141"/>
        <v>95.916666666666671</v>
      </c>
      <c r="AG273" s="374"/>
      <c r="AH273" s="303">
        <v>84</v>
      </c>
      <c r="AI273" s="304">
        <v>98</v>
      </c>
      <c r="AJ273" s="304">
        <v>119.99999999999999</v>
      </c>
      <c r="AK273" s="304">
        <v>71</v>
      </c>
      <c r="AL273" s="304">
        <v>109</v>
      </c>
      <c r="AM273" s="304">
        <v>96</v>
      </c>
      <c r="AN273" s="304">
        <v>123</v>
      </c>
      <c r="AO273" s="304">
        <v>75</v>
      </c>
      <c r="AP273" s="304">
        <v>103.99999999999999</v>
      </c>
      <c r="AQ273" s="304">
        <v>79</v>
      </c>
      <c r="AR273" s="304">
        <v>163</v>
      </c>
      <c r="AS273" s="304">
        <v>61</v>
      </c>
      <c r="AT273" s="304">
        <f t="shared" si="255"/>
        <v>1183</v>
      </c>
      <c r="AU273" s="305">
        <f t="shared" si="276"/>
        <v>98.583333333333329</v>
      </c>
      <c r="AV273" s="374"/>
      <c r="AW273" s="2022">
        <v>89</v>
      </c>
      <c r="AX273" s="304">
        <v>93</v>
      </c>
      <c r="AY273" s="304">
        <v>83</v>
      </c>
      <c r="AZ273" s="304">
        <v>85</v>
      </c>
      <c r="BA273" s="304">
        <v>175</v>
      </c>
      <c r="BB273" s="304">
        <v>97</v>
      </c>
      <c r="BC273" s="2363"/>
      <c r="BD273" s="2363"/>
      <c r="BE273" s="2363"/>
      <c r="BF273" s="2363"/>
      <c r="BG273" s="2363"/>
      <c r="BH273" s="2363"/>
      <c r="BI273" s="304">
        <f t="shared" si="256"/>
        <v>622</v>
      </c>
      <c r="BJ273" s="305">
        <f t="shared" si="271"/>
        <v>51.829014248812598</v>
      </c>
      <c r="BL273" s="317">
        <f>ROW()</f>
        <v>273</v>
      </c>
      <c r="BM273" s="1432">
        <f t="shared" si="257"/>
        <v>-61</v>
      </c>
      <c r="BN273" s="317">
        <f t="shared" si="275"/>
        <v>-46.754319084520731</v>
      </c>
      <c r="BO273" s="317">
        <f t="shared" si="258"/>
        <v>-561</v>
      </c>
      <c r="BP273" s="594">
        <f t="shared" si="272"/>
        <v>0</v>
      </c>
    </row>
    <row r="274" spans="1:71" s="190" customFormat="1" x14ac:dyDescent="0.55000000000000004">
      <c r="A274" s="7222"/>
      <c r="B274" s="7208"/>
      <c r="C274" s="211" t="s">
        <v>244</v>
      </c>
      <c r="D274" s="309">
        <v>197</v>
      </c>
      <c r="E274" s="310">
        <v>247</v>
      </c>
      <c r="F274" s="310">
        <v>268</v>
      </c>
      <c r="G274" s="310">
        <v>352</v>
      </c>
      <c r="H274" s="310">
        <v>374</v>
      </c>
      <c r="I274" s="310">
        <v>307</v>
      </c>
      <c r="J274" s="310">
        <v>226</v>
      </c>
      <c r="K274" s="310">
        <v>292</v>
      </c>
      <c r="L274" s="310">
        <v>191</v>
      </c>
      <c r="M274" s="310">
        <v>263</v>
      </c>
      <c r="N274" s="310">
        <v>235</v>
      </c>
      <c r="O274" s="310">
        <v>187</v>
      </c>
      <c r="P274" s="310">
        <f t="shared" si="253"/>
        <v>3139</v>
      </c>
      <c r="Q274" s="311">
        <f t="shared" si="139"/>
        <v>261.58333333333331</v>
      </c>
      <c r="R274" s="374"/>
      <c r="S274" s="309">
        <v>203</v>
      </c>
      <c r="T274" s="310">
        <v>230</v>
      </c>
      <c r="U274" s="310">
        <v>176</v>
      </c>
      <c r="V274" s="310">
        <v>134</v>
      </c>
      <c r="W274" s="310">
        <v>182</v>
      </c>
      <c r="X274" s="310">
        <v>142</v>
      </c>
      <c r="Y274" s="310">
        <v>143</v>
      </c>
      <c r="Z274" s="310">
        <v>175</v>
      </c>
      <c r="AA274" s="310">
        <v>151</v>
      </c>
      <c r="AB274" s="310">
        <v>157</v>
      </c>
      <c r="AC274" s="310">
        <v>148</v>
      </c>
      <c r="AD274" s="310">
        <v>113</v>
      </c>
      <c r="AE274" s="310">
        <f t="shared" si="254"/>
        <v>1954</v>
      </c>
      <c r="AF274" s="311">
        <f t="shared" si="141"/>
        <v>162.83333333333334</v>
      </c>
      <c r="AG274" s="374"/>
      <c r="AH274" s="309">
        <v>158</v>
      </c>
      <c r="AI274" s="310">
        <v>145</v>
      </c>
      <c r="AJ274" s="310">
        <v>211</v>
      </c>
      <c r="AK274" s="310">
        <v>201</v>
      </c>
      <c r="AL274" s="310">
        <v>195</v>
      </c>
      <c r="AM274" s="310">
        <v>233</v>
      </c>
      <c r="AN274" s="310">
        <v>225.00000000000003</v>
      </c>
      <c r="AO274" s="310">
        <v>312</v>
      </c>
      <c r="AP274" s="310">
        <v>331</v>
      </c>
      <c r="AQ274" s="310">
        <v>327</v>
      </c>
      <c r="AR274" s="310">
        <v>594</v>
      </c>
      <c r="AS274" s="310">
        <v>278</v>
      </c>
      <c r="AT274" s="310">
        <f t="shared" si="255"/>
        <v>3210</v>
      </c>
      <c r="AU274" s="311">
        <f t="shared" si="276"/>
        <v>267.5</v>
      </c>
      <c r="AV274" s="374"/>
      <c r="AW274" s="2021">
        <v>249.00000000000003</v>
      </c>
      <c r="AX274" s="310">
        <v>287</v>
      </c>
      <c r="AY274" s="310">
        <v>230</v>
      </c>
      <c r="AZ274" s="310">
        <v>220</v>
      </c>
      <c r="BA274" s="310">
        <v>492</v>
      </c>
      <c r="BB274" s="310">
        <v>314</v>
      </c>
      <c r="BC274" s="310">
        <v>294</v>
      </c>
      <c r="BD274" s="310">
        <v>287</v>
      </c>
      <c r="BE274" s="310">
        <v>287</v>
      </c>
      <c r="BF274" s="310">
        <v>268</v>
      </c>
      <c r="BG274" s="310">
        <v>249</v>
      </c>
      <c r="BH274" s="310">
        <v>274</v>
      </c>
      <c r="BI274" s="310">
        <f t="shared" si="256"/>
        <v>3451</v>
      </c>
      <c r="BJ274" s="311">
        <f t="shared" si="271"/>
        <v>287.55937005249564</v>
      </c>
      <c r="BL274" s="317">
        <f>ROW()</f>
        <v>274</v>
      </c>
      <c r="BM274" s="1432">
        <f t="shared" si="257"/>
        <v>-4</v>
      </c>
      <c r="BN274" s="317">
        <f t="shared" si="275"/>
        <v>20.059370052495638</v>
      </c>
      <c r="BO274" s="317">
        <f t="shared" si="258"/>
        <v>241</v>
      </c>
      <c r="BP274" s="594">
        <f t="shared" si="272"/>
        <v>25</v>
      </c>
      <c r="BR274"/>
      <c r="BS274"/>
    </row>
    <row r="275" spans="1:71" s="190" customFormat="1" x14ac:dyDescent="0.55000000000000004">
      <c r="A275" s="7222"/>
      <c r="B275" s="7208"/>
      <c r="C275" s="203" t="s">
        <v>245</v>
      </c>
      <c r="D275" s="303">
        <v>209</v>
      </c>
      <c r="E275" s="304">
        <v>254</v>
      </c>
      <c r="F275" s="304">
        <v>252</v>
      </c>
      <c r="G275" s="304">
        <v>321</v>
      </c>
      <c r="H275" s="304">
        <v>283</v>
      </c>
      <c r="I275" s="304">
        <v>282</v>
      </c>
      <c r="J275" s="304">
        <v>208</v>
      </c>
      <c r="K275" s="304">
        <v>255</v>
      </c>
      <c r="L275" s="304">
        <v>207</v>
      </c>
      <c r="M275" s="304">
        <v>228</v>
      </c>
      <c r="N275" s="304">
        <v>194</v>
      </c>
      <c r="O275" s="304">
        <v>144</v>
      </c>
      <c r="P275" s="304">
        <f t="shared" si="253"/>
        <v>2837</v>
      </c>
      <c r="Q275" s="305">
        <f t="shared" si="139"/>
        <v>236.41666666666666</v>
      </c>
      <c r="R275" s="374"/>
      <c r="S275" s="303">
        <v>146</v>
      </c>
      <c r="T275" s="304">
        <v>177</v>
      </c>
      <c r="U275" s="304">
        <v>179</v>
      </c>
      <c r="V275" s="304">
        <v>153</v>
      </c>
      <c r="W275" s="304">
        <v>197</v>
      </c>
      <c r="X275" s="304">
        <v>174</v>
      </c>
      <c r="Y275" s="304">
        <v>167</v>
      </c>
      <c r="Z275" s="304">
        <v>191</v>
      </c>
      <c r="AA275" s="304">
        <v>142</v>
      </c>
      <c r="AB275" s="304">
        <v>168</v>
      </c>
      <c r="AC275" s="304">
        <v>164</v>
      </c>
      <c r="AD275" s="304">
        <v>116</v>
      </c>
      <c r="AE275" s="304">
        <f t="shared" si="254"/>
        <v>1974</v>
      </c>
      <c r="AF275" s="305">
        <f t="shared" si="141"/>
        <v>164.5</v>
      </c>
      <c r="AG275" s="374"/>
      <c r="AH275" s="303">
        <v>140</v>
      </c>
      <c r="AI275" s="304">
        <v>146</v>
      </c>
      <c r="AJ275" s="304">
        <v>192</v>
      </c>
      <c r="AK275" s="304">
        <v>174</v>
      </c>
      <c r="AL275" s="304">
        <v>246</v>
      </c>
      <c r="AM275" s="304">
        <v>234</v>
      </c>
      <c r="AN275" s="304">
        <v>260</v>
      </c>
      <c r="AO275" s="304">
        <v>274</v>
      </c>
      <c r="AP275" s="304">
        <v>234.00000000000003</v>
      </c>
      <c r="AQ275" s="304">
        <v>285</v>
      </c>
      <c r="AR275" s="304">
        <v>573</v>
      </c>
      <c r="AS275" s="304">
        <v>265</v>
      </c>
      <c r="AT275" s="304">
        <f t="shared" si="255"/>
        <v>3023</v>
      </c>
      <c r="AU275" s="305">
        <f t="shared" si="276"/>
        <v>251.91666666666666</v>
      </c>
      <c r="AV275" s="374"/>
      <c r="AW275" s="2022">
        <v>233</v>
      </c>
      <c r="AX275" s="304">
        <v>331</v>
      </c>
      <c r="AY275" s="304">
        <v>325</v>
      </c>
      <c r="AZ275" s="304">
        <v>273</v>
      </c>
      <c r="BA275" s="304">
        <v>499</v>
      </c>
      <c r="BB275" s="304">
        <v>404</v>
      </c>
      <c r="BC275" s="304">
        <v>349</v>
      </c>
      <c r="BD275" s="304">
        <v>276</v>
      </c>
      <c r="BE275" s="304">
        <v>310</v>
      </c>
      <c r="BF275" s="304">
        <v>283</v>
      </c>
      <c r="BG275" s="304">
        <v>236</v>
      </c>
      <c r="BH275" s="304">
        <v>246</v>
      </c>
      <c r="BI275" s="304">
        <f t="shared" si="256"/>
        <v>3765</v>
      </c>
      <c r="BJ275" s="305">
        <f t="shared" si="271"/>
        <v>313.72385634530457</v>
      </c>
      <c r="BL275" s="317">
        <f>ROW()</f>
        <v>275</v>
      </c>
      <c r="BM275" s="1432">
        <f t="shared" si="257"/>
        <v>-19</v>
      </c>
      <c r="BN275" s="317">
        <f t="shared" si="275"/>
        <v>61.807189678637911</v>
      </c>
      <c r="BO275" s="317">
        <f t="shared" si="258"/>
        <v>742</v>
      </c>
      <c r="BP275" s="594">
        <f t="shared" si="272"/>
        <v>10</v>
      </c>
      <c r="BR275"/>
      <c r="BS275"/>
    </row>
    <row r="276" spans="1:71" s="190" customFormat="1" x14ac:dyDescent="0.55000000000000004">
      <c r="A276" s="7222"/>
      <c r="B276" s="7208"/>
      <c r="C276" s="211" t="s">
        <v>246</v>
      </c>
      <c r="D276" s="309">
        <v>131</v>
      </c>
      <c r="E276" s="310">
        <v>168</v>
      </c>
      <c r="F276" s="310">
        <v>178</v>
      </c>
      <c r="G276" s="310">
        <v>178</v>
      </c>
      <c r="H276" s="310">
        <v>178</v>
      </c>
      <c r="I276" s="310">
        <v>206</v>
      </c>
      <c r="J276" s="310">
        <v>172</v>
      </c>
      <c r="K276" s="310">
        <v>204</v>
      </c>
      <c r="L276" s="310">
        <v>183</v>
      </c>
      <c r="M276" s="310">
        <v>184</v>
      </c>
      <c r="N276" s="310">
        <v>152</v>
      </c>
      <c r="O276" s="310">
        <v>115</v>
      </c>
      <c r="P276" s="310">
        <f t="shared" si="253"/>
        <v>2049</v>
      </c>
      <c r="Q276" s="311">
        <f t="shared" si="139"/>
        <v>170.75</v>
      </c>
      <c r="R276" s="374"/>
      <c r="S276" s="309">
        <v>156</v>
      </c>
      <c r="T276" s="310">
        <v>186</v>
      </c>
      <c r="U276" s="310">
        <v>179</v>
      </c>
      <c r="V276" s="310">
        <v>166</v>
      </c>
      <c r="W276" s="310">
        <v>202</v>
      </c>
      <c r="X276" s="310">
        <v>158</v>
      </c>
      <c r="Y276" s="310">
        <v>159</v>
      </c>
      <c r="Z276" s="310">
        <v>223</v>
      </c>
      <c r="AA276" s="310">
        <v>173</v>
      </c>
      <c r="AB276" s="310">
        <v>193</v>
      </c>
      <c r="AC276" s="310">
        <v>169</v>
      </c>
      <c r="AD276" s="310">
        <v>140</v>
      </c>
      <c r="AE276" s="310">
        <f t="shared" si="254"/>
        <v>2104</v>
      </c>
      <c r="AF276" s="311">
        <f t="shared" si="141"/>
        <v>175.33333333333334</v>
      </c>
      <c r="AG276" s="374"/>
      <c r="AH276" s="309">
        <v>267</v>
      </c>
      <c r="AI276" s="310">
        <v>227</v>
      </c>
      <c r="AJ276" s="310">
        <v>273</v>
      </c>
      <c r="AK276" s="310">
        <v>249</v>
      </c>
      <c r="AL276" s="310">
        <v>312</v>
      </c>
      <c r="AM276" s="310">
        <v>269</v>
      </c>
      <c r="AN276" s="310">
        <v>271</v>
      </c>
      <c r="AO276" s="310">
        <v>224</v>
      </c>
      <c r="AP276" s="310">
        <v>252.00000000000003</v>
      </c>
      <c r="AQ276" s="310">
        <v>317</v>
      </c>
      <c r="AR276" s="310">
        <v>760</v>
      </c>
      <c r="AS276" s="310">
        <v>378</v>
      </c>
      <c r="AT276" s="310">
        <f t="shared" si="255"/>
        <v>3799</v>
      </c>
      <c r="AU276" s="311">
        <f t="shared" si="276"/>
        <v>316.58333333333331</v>
      </c>
      <c r="AV276" s="374"/>
      <c r="AW276" s="2021">
        <v>344</v>
      </c>
      <c r="AX276" s="310">
        <v>414</v>
      </c>
      <c r="AY276" s="310">
        <v>369</v>
      </c>
      <c r="AZ276" s="310">
        <v>477</v>
      </c>
      <c r="BA276" s="310">
        <v>961.99999999999989</v>
      </c>
      <c r="BB276" s="310">
        <v>984</v>
      </c>
      <c r="BC276" s="310">
        <v>764</v>
      </c>
      <c r="BD276" s="310">
        <v>520</v>
      </c>
      <c r="BE276" s="310">
        <v>433</v>
      </c>
      <c r="BF276" s="310">
        <v>458</v>
      </c>
      <c r="BG276" s="310">
        <v>407</v>
      </c>
      <c r="BH276" s="310">
        <v>369</v>
      </c>
      <c r="BI276" s="310">
        <f t="shared" si="256"/>
        <v>6501</v>
      </c>
      <c r="BJ276" s="311">
        <f t="shared" si="271"/>
        <v>541.70485792850593</v>
      </c>
      <c r="BL276" s="317">
        <f>ROW()</f>
        <v>276</v>
      </c>
      <c r="BM276" s="1432">
        <f t="shared" si="257"/>
        <v>-9</v>
      </c>
      <c r="BN276" s="317">
        <f t="shared" si="275"/>
        <v>225.12152459517262</v>
      </c>
      <c r="BO276" s="317">
        <f t="shared" si="258"/>
        <v>2702</v>
      </c>
      <c r="BP276" s="594">
        <f t="shared" si="272"/>
        <v>-38</v>
      </c>
      <c r="BR276"/>
      <c r="BS276"/>
    </row>
    <row r="277" spans="1:71" x14ac:dyDescent="0.55000000000000004">
      <c r="A277" s="7222"/>
      <c r="B277" s="7208"/>
      <c r="C277" s="202" t="s">
        <v>247</v>
      </c>
      <c r="D277" s="300">
        <v>177</v>
      </c>
      <c r="E277" s="301">
        <v>188</v>
      </c>
      <c r="F277" s="301">
        <v>158</v>
      </c>
      <c r="G277" s="301">
        <v>156</v>
      </c>
      <c r="H277" s="301">
        <v>153</v>
      </c>
      <c r="I277" s="301">
        <v>116</v>
      </c>
      <c r="J277" s="301">
        <v>112</v>
      </c>
      <c r="K277" s="301">
        <v>141</v>
      </c>
      <c r="L277" s="301">
        <v>98</v>
      </c>
      <c r="M277" s="301">
        <v>110</v>
      </c>
      <c r="N277" s="301">
        <v>78</v>
      </c>
      <c r="O277" s="301">
        <v>49</v>
      </c>
      <c r="P277" s="301">
        <f t="shared" si="253"/>
        <v>1536</v>
      </c>
      <c r="Q277" s="302">
        <f t="shared" si="139"/>
        <v>128</v>
      </c>
      <c r="R277" s="374"/>
      <c r="S277" s="300">
        <v>74</v>
      </c>
      <c r="T277" s="301">
        <v>95</v>
      </c>
      <c r="U277" s="301">
        <v>85</v>
      </c>
      <c r="V277" s="301">
        <v>102</v>
      </c>
      <c r="W277" s="301">
        <v>158</v>
      </c>
      <c r="X277" s="301">
        <v>115</v>
      </c>
      <c r="Y277" s="301">
        <v>111</v>
      </c>
      <c r="Z277" s="301">
        <v>122</v>
      </c>
      <c r="AA277" s="301">
        <v>96</v>
      </c>
      <c r="AB277" s="301">
        <v>131</v>
      </c>
      <c r="AC277" s="301">
        <v>101</v>
      </c>
      <c r="AD277" s="301">
        <v>87</v>
      </c>
      <c r="AE277" s="301">
        <f t="shared" si="254"/>
        <v>1277</v>
      </c>
      <c r="AF277" s="302">
        <f t="shared" si="141"/>
        <v>106.41666666666667</v>
      </c>
      <c r="AG277" s="374"/>
      <c r="AH277" s="300">
        <v>122</v>
      </c>
      <c r="AI277" s="301">
        <v>122</v>
      </c>
      <c r="AJ277" s="301">
        <v>130</v>
      </c>
      <c r="AK277" s="301">
        <v>118</v>
      </c>
      <c r="AL277" s="301">
        <v>124</v>
      </c>
      <c r="AM277" s="301">
        <v>110.00000000000001</v>
      </c>
      <c r="AN277" s="301">
        <v>133</v>
      </c>
      <c r="AO277" s="301">
        <v>152</v>
      </c>
      <c r="AP277" s="301">
        <v>134</v>
      </c>
      <c r="AQ277" s="301">
        <v>133</v>
      </c>
      <c r="AR277" s="301">
        <v>356</v>
      </c>
      <c r="AS277" s="301">
        <v>135</v>
      </c>
      <c r="AT277" s="301">
        <f t="shared" si="255"/>
        <v>1769</v>
      </c>
      <c r="AU277" s="302">
        <f t="shared" si="276"/>
        <v>147.41666666666666</v>
      </c>
      <c r="AV277" s="374"/>
      <c r="AW277" s="2021">
        <v>146</v>
      </c>
      <c r="AX277" s="301">
        <v>184</v>
      </c>
      <c r="AY277" s="301">
        <v>163</v>
      </c>
      <c r="AZ277" s="301">
        <v>164</v>
      </c>
      <c r="BA277" s="301">
        <v>362</v>
      </c>
      <c r="BB277" s="301">
        <v>281</v>
      </c>
      <c r="BC277" s="301">
        <v>235</v>
      </c>
      <c r="BD277" s="301">
        <v>147</v>
      </c>
      <c r="BE277" s="301">
        <v>173</v>
      </c>
      <c r="BF277" s="301">
        <v>180</v>
      </c>
      <c r="BG277" s="301">
        <v>209</v>
      </c>
      <c r="BH277" s="301">
        <v>192</v>
      </c>
      <c r="BI277" s="301">
        <f t="shared" si="256"/>
        <v>2436</v>
      </c>
      <c r="BJ277" s="302">
        <f t="shared" si="271"/>
        <v>202.9830847429381</v>
      </c>
      <c r="BL277" s="317">
        <f>ROW()</f>
        <v>277</v>
      </c>
      <c r="BM277" s="1432">
        <f t="shared" si="257"/>
        <v>57</v>
      </c>
      <c r="BN277" s="317">
        <f t="shared" si="275"/>
        <v>55.566418076271447</v>
      </c>
      <c r="BO277" s="317">
        <f t="shared" si="258"/>
        <v>667</v>
      </c>
      <c r="BP277" s="594">
        <f t="shared" si="272"/>
        <v>-17</v>
      </c>
    </row>
    <row r="278" spans="1:71" x14ac:dyDescent="0.55000000000000004">
      <c r="A278" s="7222"/>
      <c r="B278" s="7208"/>
      <c r="C278" s="203" t="s">
        <v>248</v>
      </c>
      <c r="D278" s="303">
        <v>182</v>
      </c>
      <c r="E278" s="304">
        <v>180</v>
      </c>
      <c r="F278" s="304">
        <v>171</v>
      </c>
      <c r="G278" s="304">
        <v>234</v>
      </c>
      <c r="H278" s="304">
        <v>213</v>
      </c>
      <c r="I278" s="304">
        <v>194</v>
      </c>
      <c r="J278" s="304">
        <v>143</v>
      </c>
      <c r="K278" s="304">
        <v>213</v>
      </c>
      <c r="L278" s="304">
        <v>155</v>
      </c>
      <c r="M278" s="304">
        <v>160</v>
      </c>
      <c r="N278" s="304">
        <v>163</v>
      </c>
      <c r="O278" s="304">
        <v>193</v>
      </c>
      <c r="P278" s="304">
        <f t="shared" si="253"/>
        <v>2201</v>
      </c>
      <c r="Q278" s="305">
        <f t="shared" si="139"/>
        <v>183.41666666666666</v>
      </c>
      <c r="R278" s="374"/>
      <c r="S278" s="303">
        <v>163</v>
      </c>
      <c r="T278" s="304">
        <v>248</v>
      </c>
      <c r="U278" s="304">
        <v>216</v>
      </c>
      <c r="V278" s="304">
        <v>202</v>
      </c>
      <c r="W278" s="304">
        <v>248</v>
      </c>
      <c r="X278" s="304">
        <v>210</v>
      </c>
      <c r="Y278" s="304">
        <v>159</v>
      </c>
      <c r="Z278" s="304">
        <v>268</v>
      </c>
      <c r="AA278" s="304">
        <v>198</v>
      </c>
      <c r="AB278" s="304">
        <v>224</v>
      </c>
      <c r="AC278" s="304">
        <v>206</v>
      </c>
      <c r="AD278" s="304">
        <v>152</v>
      </c>
      <c r="AE278" s="304">
        <f t="shared" si="254"/>
        <v>2494</v>
      </c>
      <c r="AF278" s="305">
        <f t="shared" si="141"/>
        <v>207.83333333333334</v>
      </c>
      <c r="AG278" s="374"/>
      <c r="AH278" s="303">
        <v>224</v>
      </c>
      <c r="AI278" s="304">
        <v>184</v>
      </c>
      <c r="AJ278" s="304">
        <v>182</v>
      </c>
      <c r="AK278" s="304">
        <v>200</v>
      </c>
      <c r="AL278" s="304">
        <v>248.99999999999997</v>
      </c>
      <c r="AM278" s="304">
        <v>219</v>
      </c>
      <c r="AN278" s="304">
        <v>228</v>
      </c>
      <c r="AO278" s="304">
        <v>162</v>
      </c>
      <c r="AP278" s="304">
        <v>183</v>
      </c>
      <c r="AQ278" s="304">
        <v>216.99999999999997</v>
      </c>
      <c r="AR278" s="304">
        <v>570</v>
      </c>
      <c r="AS278" s="304">
        <v>237</v>
      </c>
      <c r="AT278" s="304">
        <f t="shared" si="255"/>
        <v>2855</v>
      </c>
      <c r="AU278" s="305">
        <f t="shared" si="276"/>
        <v>237.91666666666666</v>
      </c>
      <c r="AV278" s="374"/>
      <c r="AW278" s="2022">
        <v>229</v>
      </c>
      <c r="AX278" s="304">
        <v>292</v>
      </c>
      <c r="AY278" s="304">
        <v>265</v>
      </c>
      <c r="AZ278" s="304">
        <v>259</v>
      </c>
      <c r="BA278" s="304">
        <v>470.99999999999994</v>
      </c>
      <c r="BB278" s="304">
        <v>346</v>
      </c>
      <c r="BC278" s="304">
        <v>336</v>
      </c>
      <c r="BD278" s="304">
        <v>184</v>
      </c>
      <c r="BE278" s="304">
        <v>246</v>
      </c>
      <c r="BF278" s="304">
        <v>210</v>
      </c>
      <c r="BG278" s="304">
        <v>233</v>
      </c>
      <c r="BH278" s="304">
        <v>211</v>
      </c>
      <c r="BI278" s="304">
        <f t="shared" si="256"/>
        <v>3282</v>
      </c>
      <c r="BJ278" s="305">
        <f t="shared" si="271"/>
        <v>273.47721023248062</v>
      </c>
      <c r="BL278" s="317">
        <f>ROW()</f>
        <v>278</v>
      </c>
      <c r="BM278" s="1432">
        <f t="shared" si="257"/>
        <v>-26</v>
      </c>
      <c r="BN278" s="317">
        <f t="shared" si="275"/>
        <v>35.560543565813958</v>
      </c>
      <c r="BO278" s="317">
        <f t="shared" si="258"/>
        <v>427</v>
      </c>
      <c r="BP278" s="594">
        <f t="shared" si="272"/>
        <v>-22</v>
      </c>
    </row>
    <row r="279" spans="1:71" ht="18" thickBot="1" x14ac:dyDescent="0.6">
      <c r="A279" s="7222"/>
      <c r="B279" s="7209"/>
      <c r="C279" s="212" t="s">
        <v>249</v>
      </c>
      <c r="D279" s="312">
        <v>133</v>
      </c>
      <c r="E279" s="313">
        <v>139</v>
      </c>
      <c r="F279" s="313">
        <v>110</v>
      </c>
      <c r="G279" s="313">
        <v>152</v>
      </c>
      <c r="H279" s="313">
        <v>158</v>
      </c>
      <c r="I279" s="313">
        <v>175</v>
      </c>
      <c r="J279" s="313">
        <v>140</v>
      </c>
      <c r="K279" s="313">
        <v>136</v>
      </c>
      <c r="L279" s="313">
        <v>119</v>
      </c>
      <c r="M279" s="313">
        <v>139</v>
      </c>
      <c r="N279" s="313">
        <v>134</v>
      </c>
      <c r="O279" s="313">
        <v>87</v>
      </c>
      <c r="P279" s="313">
        <f t="shared" si="253"/>
        <v>1622</v>
      </c>
      <c r="Q279" s="314">
        <f t="shared" si="139"/>
        <v>135.16666666666666</v>
      </c>
      <c r="R279" s="374"/>
      <c r="S279" s="312">
        <v>105</v>
      </c>
      <c r="T279" s="313">
        <v>99</v>
      </c>
      <c r="U279" s="313">
        <v>113</v>
      </c>
      <c r="V279" s="313">
        <v>105</v>
      </c>
      <c r="W279" s="313">
        <v>120</v>
      </c>
      <c r="X279" s="313">
        <v>77</v>
      </c>
      <c r="Y279" s="313">
        <v>96</v>
      </c>
      <c r="Z279" s="313">
        <v>109</v>
      </c>
      <c r="AA279" s="313">
        <v>69</v>
      </c>
      <c r="AB279" s="313">
        <v>96</v>
      </c>
      <c r="AC279" s="313">
        <v>82</v>
      </c>
      <c r="AD279" s="313">
        <v>82</v>
      </c>
      <c r="AE279" s="313">
        <f t="shared" si="254"/>
        <v>1153</v>
      </c>
      <c r="AF279" s="314">
        <f t="shared" si="141"/>
        <v>96.083333333333329</v>
      </c>
      <c r="AG279" s="374"/>
      <c r="AH279" s="312">
        <v>146</v>
      </c>
      <c r="AI279" s="313">
        <v>118</v>
      </c>
      <c r="AJ279" s="313">
        <v>130</v>
      </c>
      <c r="AK279" s="313">
        <v>125</v>
      </c>
      <c r="AL279" s="313">
        <v>110.00000000000001</v>
      </c>
      <c r="AM279" s="313">
        <v>113.99999999999999</v>
      </c>
      <c r="AN279" s="313">
        <v>126.99999999999999</v>
      </c>
      <c r="AO279" s="313">
        <v>121.00000000000001</v>
      </c>
      <c r="AP279" s="313">
        <v>121.99999999999999</v>
      </c>
      <c r="AQ279" s="313">
        <v>162</v>
      </c>
      <c r="AR279" s="313">
        <v>408</v>
      </c>
      <c r="AS279" s="313">
        <v>171</v>
      </c>
      <c r="AT279" s="313">
        <f t="shared" si="255"/>
        <v>1854</v>
      </c>
      <c r="AU279" s="314">
        <f t="shared" si="276"/>
        <v>154.5</v>
      </c>
      <c r="AV279" s="374"/>
      <c r="AW279" s="2024">
        <v>160</v>
      </c>
      <c r="AX279" s="313">
        <v>215</v>
      </c>
      <c r="AY279" s="313">
        <v>168</v>
      </c>
      <c r="AZ279" s="313">
        <v>196</v>
      </c>
      <c r="BA279" s="313">
        <v>219</v>
      </c>
      <c r="BB279" s="313">
        <v>181</v>
      </c>
      <c r="BC279" s="313">
        <v>190</v>
      </c>
      <c r="BD279" s="313">
        <v>157</v>
      </c>
      <c r="BE279" s="313">
        <v>174</v>
      </c>
      <c r="BF279" s="313">
        <v>138</v>
      </c>
      <c r="BG279" s="313">
        <v>134</v>
      </c>
      <c r="BH279" s="313">
        <v>132</v>
      </c>
      <c r="BI279" s="313">
        <f t="shared" si="256"/>
        <v>2064</v>
      </c>
      <c r="BJ279" s="314">
        <f t="shared" si="271"/>
        <v>171.98566786101159</v>
      </c>
      <c r="BL279" s="317">
        <f>ROW()</f>
        <v>279</v>
      </c>
      <c r="BM279" s="1432">
        <f t="shared" si="257"/>
        <v>-39</v>
      </c>
      <c r="BN279" s="317">
        <f t="shared" si="275"/>
        <v>17.485667861011592</v>
      </c>
      <c r="BO279" s="317">
        <f t="shared" si="258"/>
        <v>210</v>
      </c>
      <c r="BP279" s="594">
        <f t="shared" si="272"/>
        <v>-2</v>
      </c>
    </row>
    <row r="280" spans="1:71" ht="17.399999999999999" customHeight="1" x14ac:dyDescent="0.55000000000000004">
      <c r="A280" s="7222"/>
      <c r="B280" s="7210" t="s">
        <v>648</v>
      </c>
      <c r="C280" s="197" t="s">
        <v>424</v>
      </c>
      <c r="D280" s="276">
        <v>2371</v>
      </c>
      <c r="E280" s="277">
        <v>1609</v>
      </c>
      <c r="F280" s="277">
        <v>1605</v>
      </c>
      <c r="G280" s="277">
        <v>1555</v>
      </c>
      <c r="H280" s="277">
        <v>1565</v>
      </c>
      <c r="I280" s="277">
        <v>1616</v>
      </c>
      <c r="J280" s="277">
        <v>1437</v>
      </c>
      <c r="K280" s="277">
        <v>1755</v>
      </c>
      <c r="L280" s="277">
        <v>1393</v>
      </c>
      <c r="M280" s="277">
        <v>1376</v>
      </c>
      <c r="N280" s="277">
        <v>1607</v>
      </c>
      <c r="O280" s="277">
        <v>1498</v>
      </c>
      <c r="P280" s="277">
        <f t="shared" ref="P280:P327" si="277">SUM(D280:O280)</f>
        <v>19387</v>
      </c>
      <c r="Q280" s="278">
        <f t="shared" si="139"/>
        <v>1615.5833333333333</v>
      </c>
      <c r="R280" s="374"/>
      <c r="S280" s="276">
        <v>1623</v>
      </c>
      <c r="T280" s="277">
        <v>1857</v>
      </c>
      <c r="U280" s="277">
        <v>1623</v>
      </c>
      <c r="V280" s="277">
        <v>1769</v>
      </c>
      <c r="W280" s="277">
        <v>1525</v>
      </c>
      <c r="X280" s="277">
        <v>1475</v>
      </c>
      <c r="Y280" s="277">
        <v>1263</v>
      </c>
      <c r="Z280" s="277">
        <v>1902</v>
      </c>
      <c r="AA280" s="277">
        <v>1155</v>
      </c>
      <c r="AB280" s="277">
        <v>1402</v>
      </c>
      <c r="AC280" s="277">
        <v>1334</v>
      </c>
      <c r="AD280" s="277">
        <v>1087</v>
      </c>
      <c r="AE280" s="277">
        <f>SUM(S280:AD280)</f>
        <v>18015</v>
      </c>
      <c r="AF280" s="278">
        <f t="shared" si="141"/>
        <v>1501.25</v>
      </c>
      <c r="AG280" s="374"/>
      <c r="AH280" s="276">
        <v>1894</v>
      </c>
      <c r="AI280" s="277">
        <v>1476</v>
      </c>
      <c r="AJ280" s="277">
        <v>1752</v>
      </c>
      <c r="AK280" s="277">
        <v>1902</v>
      </c>
      <c r="AL280" s="277">
        <v>2023</v>
      </c>
      <c r="AM280" s="277">
        <v>1707.9999999999998</v>
      </c>
      <c r="AN280" s="277">
        <v>2191</v>
      </c>
      <c r="AO280" s="277">
        <v>1676</v>
      </c>
      <c r="AP280" s="277">
        <v>1732</v>
      </c>
      <c r="AQ280" s="277">
        <v>1780</v>
      </c>
      <c r="AR280" s="277">
        <v>1845</v>
      </c>
      <c r="AS280" s="277">
        <v>1608</v>
      </c>
      <c r="AT280" s="277">
        <f t="shared" ref="AT280:AT327" si="278">SUM(AH280:AS280)</f>
        <v>21587</v>
      </c>
      <c r="AU280" s="278">
        <f t="shared" si="276"/>
        <v>1798.9166666666667</v>
      </c>
      <c r="AV280" s="374"/>
      <c r="AW280" s="2012">
        <v>1327</v>
      </c>
      <c r="AX280" s="277">
        <v>2719</v>
      </c>
      <c r="AY280" s="277">
        <v>2053</v>
      </c>
      <c r="AZ280" s="277">
        <v>2414</v>
      </c>
      <c r="BA280" s="277">
        <v>3928.9999999999995</v>
      </c>
      <c r="BB280" s="277">
        <v>2208</v>
      </c>
      <c r="BC280" s="277">
        <v>3049</v>
      </c>
      <c r="BD280" s="277">
        <v>2187</v>
      </c>
      <c r="BE280" s="277">
        <v>2132</v>
      </c>
      <c r="BF280" s="277">
        <v>1533</v>
      </c>
      <c r="BG280" s="277">
        <v>1579</v>
      </c>
      <c r="BH280" s="277">
        <v>1483</v>
      </c>
      <c r="BI280" s="277">
        <f t="shared" si="256"/>
        <v>26613</v>
      </c>
      <c r="BJ280" s="278">
        <f t="shared" si="271"/>
        <v>2217.5652028997583</v>
      </c>
      <c r="BL280" s="317">
        <f>ROW()</f>
        <v>280</v>
      </c>
      <c r="BM280" s="1432">
        <f t="shared" si="257"/>
        <v>-125</v>
      </c>
      <c r="BN280" s="317">
        <f t="shared" si="275"/>
        <v>418.64853623309159</v>
      </c>
      <c r="BO280" s="317">
        <f t="shared" si="258"/>
        <v>5026</v>
      </c>
      <c r="BP280" s="594">
        <f t="shared" si="272"/>
        <v>-96</v>
      </c>
    </row>
    <row r="281" spans="1:71" ht="17.399999999999999" customHeight="1" x14ac:dyDescent="0.55000000000000004">
      <c r="A281" s="7222"/>
      <c r="B281" s="7211"/>
      <c r="C281" s="198" t="s">
        <v>1112</v>
      </c>
      <c r="D281" s="279">
        <v>522</v>
      </c>
      <c r="E281" s="280">
        <v>471</v>
      </c>
      <c r="F281" s="280">
        <v>585</v>
      </c>
      <c r="G281" s="280">
        <v>616</v>
      </c>
      <c r="H281" s="280">
        <v>580</v>
      </c>
      <c r="I281" s="280">
        <v>536</v>
      </c>
      <c r="J281" s="280">
        <v>508</v>
      </c>
      <c r="K281" s="280">
        <v>456</v>
      </c>
      <c r="L281" s="280">
        <v>794</v>
      </c>
      <c r="M281" s="280">
        <v>1715</v>
      </c>
      <c r="N281" s="280">
        <v>862</v>
      </c>
      <c r="O281" s="280">
        <v>794</v>
      </c>
      <c r="P281" s="280">
        <f t="shared" ref="P281" si="279">SUM(D281:O281)</f>
        <v>8439</v>
      </c>
      <c r="Q281" s="281">
        <f t="shared" ref="Q281" si="280">P281/12</f>
        <v>703.25</v>
      </c>
      <c r="R281" s="374"/>
      <c r="S281" s="279">
        <v>282</v>
      </c>
      <c r="T281" s="280">
        <v>335</v>
      </c>
      <c r="U281" s="280">
        <v>376</v>
      </c>
      <c r="V281" s="280">
        <v>408</v>
      </c>
      <c r="W281" s="280">
        <v>464</v>
      </c>
      <c r="X281" s="280">
        <v>393</v>
      </c>
      <c r="Y281" s="280">
        <v>300</v>
      </c>
      <c r="Z281" s="280">
        <v>285</v>
      </c>
      <c r="AA281" s="280">
        <v>301</v>
      </c>
      <c r="AB281" s="280">
        <v>288</v>
      </c>
      <c r="AC281" s="280">
        <v>287</v>
      </c>
      <c r="AD281" s="280">
        <v>253</v>
      </c>
      <c r="AE281" s="280">
        <f>SUM(S281:AD281)</f>
        <v>3972</v>
      </c>
      <c r="AF281" s="281">
        <f t="shared" ref="AF281" si="281">AE281/12</f>
        <v>331</v>
      </c>
      <c r="AG281" s="374"/>
      <c r="AH281" s="279">
        <v>244</v>
      </c>
      <c r="AI281" s="280">
        <v>248</v>
      </c>
      <c r="AJ281" s="280">
        <v>272</v>
      </c>
      <c r="AK281" s="280">
        <v>230</v>
      </c>
      <c r="AL281" s="280">
        <v>292</v>
      </c>
      <c r="AM281" s="280">
        <v>453</v>
      </c>
      <c r="AN281" s="280">
        <v>422</v>
      </c>
      <c r="AO281" s="280">
        <v>754</v>
      </c>
      <c r="AP281" s="280">
        <v>489</v>
      </c>
      <c r="AQ281" s="280">
        <v>460</v>
      </c>
      <c r="AR281" s="280">
        <v>383</v>
      </c>
      <c r="AS281" s="280">
        <v>265</v>
      </c>
      <c r="AT281" s="280">
        <f t="shared" ref="AT281" si="282">SUM(AH281:AS281)</f>
        <v>4512</v>
      </c>
      <c r="AU281" s="281">
        <f t="shared" ref="AU281" si="283">AT281/12</f>
        <v>376</v>
      </c>
      <c r="AV281" s="374"/>
      <c r="AW281" s="2013">
        <v>276</v>
      </c>
      <c r="AX281" s="280">
        <v>282</v>
      </c>
      <c r="AY281" s="280">
        <v>347</v>
      </c>
      <c r="AZ281" s="280">
        <v>403</v>
      </c>
      <c r="BA281" s="280">
        <v>527</v>
      </c>
      <c r="BB281" s="280">
        <v>356</v>
      </c>
      <c r="BC281" s="280">
        <v>645</v>
      </c>
      <c r="BD281" s="280">
        <v>348</v>
      </c>
      <c r="BE281" s="280">
        <v>373</v>
      </c>
      <c r="BF281" s="280">
        <v>191</v>
      </c>
      <c r="BG281" s="280">
        <v>161</v>
      </c>
      <c r="BH281" s="280">
        <v>128</v>
      </c>
      <c r="BI281" s="280">
        <f t="shared" si="256"/>
        <v>4037</v>
      </c>
      <c r="BJ281" s="281">
        <f t="shared" ref="BJ281" si="284">BI281/$A$2</f>
        <v>336.38863428047665</v>
      </c>
      <c r="BL281" s="317">
        <f>ROW()</f>
        <v>281</v>
      </c>
      <c r="BM281" s="1432">
        <f t="shared" si="257"/>
        <v>-137</v>
      </c>
      <c r="BN281" s="317">
        <f t="shared" ref="BN281" si="285">BJ281-AU281</f>
        <v>-39.611365719523349</v>
      </c>
      <c r="BO281" s="317">
        <f t="shared" si="258"/>
        <v>-475</v>
      </c>
      <c r="BP281" s="594">
        <f t="shared" si="272"/>
        <v>-33</v>
      </c>
    </row>
    <row r="282" spans="1:71" ht="17.399999999999999" customHeight="1" x14ac:dyDescent="0.55000000000000004">
      <c r="A282" s="7222"/>
      <c r="B282" s="7212"/>
      <c r="C282" s="198" t="s">
        <v>426</v>
      </c>
      <c r="D282" s="279">
        <v>2112</v>
      </c>
      <c r="E282" s="280">
        <v>2095</v>
      </c>
      <c r="F282" s="280">
        <v>2291</v>
      </c>
      <c r="G282" s="280">
        <v>2640</v>
      </c>
      <c r="H282" s="280">
        <v>2750</v>
      </c>
      <c r="I282" s="280">
        <v>2342</v>
      </c>
      <c r="J282" s="280">
        <v>1613</v>
      </c>
      <c r="K282" s="280">
        <v>1905</v>
      </c>
      <c r="L282" s="280">
        <v>1535</v>
      </c>
      <c r="M282" s="280">
        <v>1632</v>
      </c>
      <c r="N282" s="280">
        <v>1442</v>
      </c>
      <c r="O282" s="280">
        <v>1176</v>
      </c>
      <c r="P282" s="280">
        <f t="shared" si="277"/>
        <v>23533</v>
      </c>
      <c r="Q282" s="281">
        <f t="shared" si="139"/>
        <v>1961.0833333333333</v>
      </c>
      <c r="R282" s="374"/>
      <c r="S282" s="279">
        <v>1320</v>
      </c>
      <c r="T282" s="280">
        <v>1543</v>
      </c>
      <c r="U282" s="280">
        <v>1379</v>
      </c>
      <c r="V282" s="280">
        <v>1253</v>
      </c>
      <c r="W282" s="280">
        <v>1609</v>
      </c>
      <c r="X282" s="280">
        <v>1414</v>
      </c>
      <c r="Y282" s="280">
        <v>1275</v>
      </c>
      <c r="Z282" s="280">
        <v>1709</v>
      </c>
      <c r="AA282" s="280">
        <v>1443</v>
      </c>
      <c r="AB282" s="280">
        <v>1693</v>
      </c>
      <c r="AC282" s="280">
        <v>1727</v>
      </c>
      <c r="AD282" s="280">
        <v>1055</v>
      </c>
      <c r="AE282" s="280">
        <f>SUM(S282:AD282)</f>
        <v>17420</v>
      </c>
      <c r="AF282" s="281">
        <f t="shared" si="141"/>
        <v>1451.6666666666667</v>
      </c>
      <c r="AG282" s="374"/>
      <c r="AH282" s="279">
        <v>1644</v>
      </c>
      <c r="AI282" s="280">
        <v>1381</v>
      </c>
      <c r="AJ282" s="280">
        <v>1585</v>
      </c>
      <c r="AK282" s="280">
        <v>1529</v>
      </c>
      <c r="AL282" s="280">
        <v>1782</v>
      </c>
      <c r="AM282" s="280">
        <v>1618</v>
      </c>
      <c r="AN282" s="280">
        <v>1792</v>
      </c>
      <c r="AO282" s="280">
        <v>1775.0000000000002</v>
      </c>
      <c r="AP282" s="280">
        <v>1790</v>
      </c>
      <c r="AQ282" s="280">
        <v>2087</v>
      </c>
      <c r="AR282" s="280">
        <v>2097</v>
      </c>
      <c r="AS282" s="280">
        <v>1942</v>
      </c>
      <c r="AT282" s="280">
        <f t="shared" si="278"/>
        <v>21022</v>
      </c>
      <c r="AU282" s="281">
        <f t="shared" si="276"/>
        <v>1751.8333333333333</v>
      </c>
      <c r="AV282" s="374"/>
      <c r="AW282" s="2013">
        <v>1828</v>
      </c>
      <c r="AX282" s="280">
        <v>2334</v>
      </c>
      <c r="AY282" s="280">
        <v>2074</v>
      </c>
      <c r="AZ282" s="280">
        <v>2120</v>
      </c>
      <c r="BA282" s="280">
        <v>4113</v>
      </c>
      <c r="BB282" s="280">
        <v>3180</v>
      </c>
      <c r="BC282" s="280">
        <v>2864</v>
      </c>
      <c r="BD282" s="280">
        <v>2091</v>
      </c>
      <c r="BE282" s="280">
        <v>2104</v>
      </c>
      <c r="BF282" s="280">
        <v>1989</v>
      </c>
      <c r="BG282" s="280">
        <v>1933</v>
      </c>
      <c r="BH282" s="280">
        <v>1917</v>
      </c>
      <c r="BI282" s="280">
        <f t="shared" si="256"/>
        <v>28547</v>
      </c>
      <c r="BJ282" s="281">
        <f t="shared" si="271"/>
        <v>2378.7184401299892</v>
      </c>
      <c r="BL282" s="317">
        <f>ROW()</f>
        <v>282</v>
      </c>
      <c r="BM282" s="1432">
        <f t="shared" si="257"/>
        <v>-25</v>
      </c>
      <c r="BN282" s="317">
        <f t="shared" si="275"/>
        <v>626.88510679665592</v>
      </c>
      <c r="BO282" s="317">
        <f t="shared" si="258"/>
        <v>7525</v>
      </c>
      <c r="BP282" s="594">
        <f t="shared" si="272"/>
        <v>-16</v>
      </c>
    </row>
    <row r="283" spans="1:71" ht="17.399999999999999" customHeight="1" x14ac:dyDescent="0.55000000000000004">
      <c r="A283" s="7222"/>
      <c r="B283" s="7212"/>
      <c r="C283" s="198" t="s">
        <v>954</v>
      </c>
      <c r="D283" s="279">
        <v>371</v>
      </c>
      <c r="E283" s="280">
        <v>321</v>
      </c>
      <c r="F283" s="280">
        <v>369</v>
      </c>
      <c r="G283" s="280">
        <v>249</v>
      </c>
      <c r="H283" s="280">
        <v>285</v>
      </c>
      <c r="I283" s="280">
        <v>256</v>
      </c>
      <c r="J283" s="280">
        <v>238</v>
      </c>
      <c r="K283" s="280">
        <v>549</v>
      </c>
      <c r="L283" s="280">
        <v>580</v>
      </c>
      <c r="M283" s="280">
        <v>850</v>
      </c>
      <c r="N283" s="280">
        <v>510</v>
      </c>
      <c r="O283" s="280">
        <v>202</v>
      </c>
      <c r="P283" s="280">
        <f t="shared" si="277"/>
        <v>4780</v>
      </c>
      <c r="Q283" s="281">
        <f t="shared" si="139"/>
        <v>398.33333333333331</v>
      </c>
      <c r="R283" s="374"/>
      <c r="S283" s="279">
        <v>13</v>
      </c>
      <c r="T283" s="280">
        <v>18</v>
      </c>
      <c r="U283" s="280">
        <v>10</v>
      </c>
      <c r="V283" s="280">
        <v>5</v>
      </c>
      <c r="W283" s="280">
        <v>12</v>
      </c>
      <c r="X283" s="280">
        <v>67</v>
      </c>
      <c r="Y283" s="280">
        <v>58</v>
      </c>
      <c r="Z283" s="280">
        <v>60</v>
      </c>
      <c r="AA283" s="280">
        <v>53</v>
      </c>
      <c r="AB283" s="280">
        <v>125</v>
      </c>
      <c r="AC283" s="280">
        <v>123</v>
      </c>
      <c r="AD283" s="280">
        <v>10</v>
      </c>
      <c r="AE283" s="280">
        <f>SUM(S283:AD283)</f>
        <v>554</v>
      </c>
      <c r="AF283" s="281">
        <f t="shared" si="141"/>
        <v>46.166666666666664</v>
      </c>
      <c r="AG283" s="374"/>
      <c r="AH283" s="279">
        <v>25</v>
      </c>
      <c r="AI283" s="280">
        <v>43</v>
      </c>
      <c r="AJ283" s="280">
        <v>121</v>
      </c>
      <c r="AK283" s="280">
        <v>81</v>
      </c>
      <c r="AL283" s="280">
        <v>131</v>
      </c>
      <c r="AM283" s="280">
        <v>100</v>
      </c>
      <c r="AN283" s="280">
        <v>55.000000000000007</v>
      </c>
      <c r="AO283" s="280">
        <v>56</v>
      </c>
      <c r="AP283" s="280">
        <v>32</v>
      </c>
      <c r="AQ283" s="280">
        <v>28</v>
      </c>
      <c r="AR283" s="280">
        <v>35</v>
      </c>
      <c r="AS283" s="280">
        <v>41</v>
      </c>
      <c r="AT283" s="280">
        <f t="shared" si="278"/>
        <v>748</v>
      </c>
      <c r="AU283" s="281">
        <f t="shared" si="276"/>
        <v>62.333333333333336</v>
      </c>
      <c r="AV283" s="374"/>
      <c r="AW283" s="2013">
        <v>20</v>
      </c>
      <c r="AX283" s="280">
        <v>15</v>
      </c>
      <c r="AY283" s="280">
        <v>43</v>
      </c>
      <c r="AZ283" s="280">
        <v>62</v>
      </c>
      <c r="BA283" s="280">
        <v>213</v>
      </c>
      <c r="BB283" s="280">
        <v>119</v>
      </c>
      <c r="BC283" s="280">
        <v>223</v>
      </c>
      <c r="BD283" s="280">
        <v>88</v>
      </c>
      <c r="BE283" s="280">
        <v>126</v>
      </c>
      <c r="BF283" s="280">
        <v>78</v>
      </c>
      <c r="BG283" s="280">
        <v>125</v>
      </c>
      <c r="BH283" s="280">
        <v>112</v>
      </c>
      <c r="BI283" s="280">
        <f t="shared" si="256"/>
        <v>1224</v>
      </c>
      <c r="BJ283" s="281">
        <f t="shared" si="271"/>
        <v>101.99150070827432</v>
      </c>
      <c r="BL283" s="317">
        <f>ROW()</f>
        <v>283</v>
      </c>
      <c r="BM283" s="1432">
        <f t="shared" si="257"/>
        <v>71</v>
      </c>
      <c r="BN283" s="317">
        <f t="shared" si="275"/>
        <v>39.65816737494098</v>
      </c>
      <c r="BO283" s="1432">
        <f t="shared" si="257"/>
        <v>71</v>
      </c>
      <c r="BP283" s="594">
        <f t="shared" si="272"/>
        <v>-13</v>
      </c>
    </row>
    <row r="284" spans="1:71" ht="17.399999999999999" customHeight="1" x14ac:dyDescent="0.55000000000000004">
      <c r="A284" s="7222"/>
      <c r="B284" s="2214"/>
      <c r="C284" s="2231" t="s">
        <v>22</v>
      </c>
      <c r="D284" s="279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1"/>
      <c r="R284" s="280"/>
      <c r="S284" s="279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1"/>
      <c r="AG284" s="280"/>
      <c r="AH284" s="279"/>
      <c r="AI284" s="280"/>
      <c r="AJ284" s="280">
        <v>1</v>
      </c>
      <c r="AK284" s="280"/>
      <c r="AL284" s="280"/>
      <c r="AM284" s="280"/>
      <c r="AN284" s="280"/>
      <c r="AO284" s="280">
        <v>1</v>
      </c>
      <c r="AP284" s="280">
        <v>10</v>
      </c>
      <c r="AQ284" s="280">
        <v>2</v>
      </c>
      <c r="AR284" s="280">
        <v>2</v>
      </c>
      <c r="AS284" s="280"/>
      <c r="AT284" s="280">
        <f>SUM(AH284:AS284)</f>
        <v>16</v>
      </c>
      <c r="AU284" s="281">
        <f>AVERAGE(AH284:AS284)</f>
        <v>3.2</v>
      </c>
      <c r="AV284" s="280"/>
      <c r="AW284" s="2230">
        <v>8</v>
      </c>
      <c r="AX284" s="280">
        <v>7</v>
      </c>
      <c r="AY284" s="280">
        <v>17</v>
      </c>
      <c r="AZ284" s="280">
        <v>4</v>
      </c>
      <c r="BA284" s="280">
        <f>8818-SUM(BA280:BA283)</f>
        <v>36</v>
      </c>
      <c r="BB284" s="280">
        <v>0</v>
      </c>
      <c r="BC284" s="280">
        <v>86</v>
      </c>
      <c r="BD284" s="280">
        <v>11</v>
      </c>
      <c r="BE284" s="280">
        <v>7</v>
      </c>
      <c r="BF284" s="280">
        <v>7</v>
      </c>
      <c r="BG284" s="280">
        <v>3</v>
      </c>
      <c r="BH284" s="280">
        <v>4</v>
      </c>
      <c r="BI284" s="280"/>
      <c r="BJ284" s="281"/>
      <c r="BL284" s="317">
        <f>ROW()</f>
        <v>284</v>
      </c>
      <c r="BM284" s="1432">
        <f t="shared" si="257"/>
        <v>4</v>
      </c>
      <c r="BN284" s="317">
        <f t="shared" ref="BN284" si="286">BJ284-AU284</f>
        <v>-3.2</v>
      </c>
      <c r="BO284" s="1432">
        <f t="shared" si="257"/>
        <v>4</v>
      </c>
      <c r="BP284" s="594">
        <f t="shared" si="272"/>
        <v>1</v>
      </c>
    </row>
    <row r="285" spans="1:71" ht="17.399999999999999" customHeight="1" x14ac:dyDescent="0.55000000000000004">
      <c r="A285" s="7222"/>
      <c r="B285" s="7213" t="s">
        <v>430</v>
      </c>
      <c r="C285" s="199" t="s">
        <v>419</v>
      </c>
      <c r="D285" s="291">
        <f>D290+D291</f>
        <v>339</v>
      </c>
      <c r="E285" s="292">
        <f t="shared" ref="E285:O285" si="287">E290+E291</f>
        <v>228</v>
      </c>
      <c r="F285" s="292">
        <f t="shared" si="287"/>
        <v>225</v>
      </c>
      <c r="G285" s="292">
        <f t="shared" si="287"/>
        <v>217</v>
      </c>
      <c r="H285" s="292">
        <f t="shared" si="287"/>
        <v>214</v>
      </c>
      <c r="I285" s="292">
        <f t="shared" si="287"/>
        <v>266</v>
      </c>
      <c r="J285" s="292">
        <f t="shared" si="287"/>
        <v>242</v>
      </c>
      <c r="K285" s="292">
        <f t="shared" si="287"/>
        <v>269</v>
      </c>
      <c r="L285" s="292">
        <f t="shared" si="287"/>
        <v>236</v>
      </c>
      <c r="M285" s="292">
        <f t="shared" si="287"/>
        <v>178</v>
      </c>
      <c r="N285" s="292">
        <f t="shared" si="287"/>
        <v>222</v>
      </c>
      <c r="O285" s="292">
        <f t="shared" si="287"/>
        <v>220</v>
      </c>
      <c r="P285" s="292">
        <f t="shared" si="277"/>
        <v>2856</v>
      </c>
      <c r="Q285" s="293">
        <f t="shared" si="139"/>
        <v>238</v>
      </c>
      <c r="R285" s="374"/>
      <c r="S285" s="291">
        <v>239</v>
      </c>
      <c r="T285" s="292">
        <v>259</v>
      </c>
      <c r="U285" s="292">
        <v>240</v>
      </c>
      <c r="V285" s="292">
        <v>283</v>
      </c>
      <c r="W285" s="292">
        <v>213</v>
      </c>
      <c r="X285" s="292">
        <v>184</v>
      </c>
      <c r="Y285" s="292">
        <v>185</v>
      </c>
      <c r="Z285" s="292">
        <v>261</v>
      </c>
      <c r="AA285" s="292">
        <v>137</v>
      </c>
      <c r="AB285" s="292">
        <v>169</v>
      </c>
      <c r="AC285" s="292">
        <v>138</v>
      </c>
      <c r="AD285" s="292">
        <v>144</v>
      </c>
      <c r="AE285" s="292">
        <f t="shared" si="245"/>
        <v>2452</v>
      </c>
      <c r="AF285" s="293">
        <f t="shared" si="141"/>
        <v>204.33333333333334</v>
      </c>
      <c r="AG285" s="374"/>
      <c r="AH285" s="291">
        <v>236</v>
      </c>
      <c r="AI285" s="292">
        <v>187</v>
      </c>
      <c r="AJ285" s="292">
        <v>221</v>
      </c>
      <c r="AK285" s="292">
        <v>266</v>
      </c>
      <c r="AL285" s="292">
        <v>266</v>
      </c>
      <c r="AM285" s="292">
        <v>252</v>
      </c>
      <c r="AN285" s="292">
        <v>351</v>
      </c>
      <c r="AO285" s="292">
        <v>272</v>
      </c>
      <c r="AP285" s="292">
        <v>280</v>
      </c>
      <c r="AQ285" s="292">
        <v>248</v>
      </c>
      <c r="AR285" s="292">
        <v>268</v>
      </c>
      <c r="AS285" s="292">
        <v>249</v>
      </c>
      <c r="AT285" s="292">
        <f t="shared" si="278"/>
        <v>3096</v>
      </c>
      <c r="AU285" s="293">
        <f t="shared" si="276"/>
        <v>258</v>
      </c>
      <c r="AV285" s="374"/>
      <c r="AW285" s="2015">
        <v>195</v>
      </c>
      <c r="AX285" s="292">
        <v>392</v>
      </c>
      <c r="AY285" s="292">
        <v>293</v>
      </c>
      <c r="AZ285" s="292">
        <v>368</v>
      </c>
      <c r="BA285" s="292">
        <v>685</v>
      </c>
      <c r="BB285" s="292">
        <v>333</v>
      </c>
      <c r="BC285" s="292">
        <v>467.00000000000006</v>
      </c>
      <c r="BD285" s="292">
        <v>300</v>
      </c>
      <c r="BE285" s="292">
        <v>296</v>
      </c>
      <c r="BF285" s="292">
        <v>197</v>
      </c>
      <c r="BG285" s="292">
        <v>260</v>
      </c>
      <c r="BH285" s="292">
        <v>207</v>
      </c>
      <c r="BI285" s="292">
        <f t="shared" ref="BI285:BI327" si="288">SUM(AW285:BH285)</f>
        <v>3993</v>
      </c>
      <c r="BJ285" s="293">
        <f t="shared" si="271"/>
        <v>332.72227314390472</v>
      </c>
      <c r="BL285" s="317">
        <f>ROW()</f>
        <v>285</v>
      </c>
      <c r="BM285" s="1432">
        <f t="shared" ref="BM285:BM327" si="289">HLOOKUP($A$2,$AW$2:$BH$511,ROW()-1,0)-HLOOKUP($A$2,$AH$2:$AS$511,ROW()-1,0)</f>
        <v>-42</v>
      </c>
      <c r="BN285" s="317">
        <f t="shared" si="275"/>
        <v>74.722273143904715</v>
      </c>
      <c r="BO285" s="317">
        <f t="shared" ref="BO285:BO327" si="290">BI285-SUM(AH285:AS285)</f>
        <v>897</v>
      </c>
      <c r="BP285" s="594">
        <f t="shared" si="272"/>
        <v>-53</v>
      </c>
    </row>
    <row r="286" spans="1:71" ht="17.399999999999999" customHeight="1" x14ac:dyDescent="0.55000000000000004">
      <c r="A286" s="7222"/>
      <c r="B286" s="7214"/>
      <c r="C286" s="200" t="s">
        <v>420</v>
      </c>
      <c r="D286" s="294">
        <f>D292+D293</f>
        <v>406</v>
      </c>
      <c r="E286" s="295">
        <f t="shared" ref="E286:O286" si="291">E292+E293</f>
        <v>235</v>
      </c>
      <c r="F286" s="295">
        <f t="shared" si="291"/>
        <v>232</v>
      </c>
      <c r="G286" s="295">
        <f t="shared" si="291"/>
        <v>242</v>
      </c>
      <c r="H286" s="295">
        <f t="shared" si="291"/>
        <v>227</v>
      </c>
      <c r="I286" s="295">
        <f t="shared" si="291"/>
        <v>234</v>
      </c>
      <c r="J286" s="295">
        <f t="shared" si="291"/>
        <v>219</v>
      </c>
      <c r="K286" s="295">
        <f t="shared" si="291"/>
        <v>223</v>
      </c>
      <c r="L286" s="295">
        <f t="shared" si="291"/>
        <v>231</v>
      </c>
      <c r="M286" s="295">
        <f t="shared" si="291"/>
        <v>195</v>
      </c>
      <c r="N286" s="295">
        <f t="shared" si="291"/>
        <v>228</v>
      </c>
      <c r="O286" s="295">
        <f t="shared" si="291"/>
        <v>249</v>
      </c>
      <c r="P286" s="295">
        <f t="shared" si="277"/>
        <v>2921</v>
      </c>
      <c r="Q286" s="296">
        <f t="shared" si="139"/>
        <v>243.41666666666666</v>
      </c>
      <c r="R286" s="374"/>
      <c r="S286" s="294">
        <v>260</v>
      </c>
      <c r="T286" s="295">
        <v>299</v>
      </c>
      <c r="U286" s="295">
        <v>269</v>
      </c>
      <c r="V286" s="295">
        <v>290</v>
      </c>
      <c r="W286" s="295">
        <v>272</v>
      </c>
      <c r="X286" s="295">
        <v>237</v>
      </c>
      <c r="Y286" s="295">
        <v>209</v>
      </c>
      <c r="Z286" s="295">
        <v>309</v>
      </c>
      <c r="AA286" s="295">
        <v>175</v>
      </c>
      <c r="AB286" s="295">
        <v>259</v>
      </c>
      <c r="AC286" s="295">
        <v>208</v>
      </c>
      <c r="AD286" s="295">
        <v>183</v>
      </c>
      <c r="AE286" s="295">
        <f t="shared" si="245"/>
        <v>2970</v>
      </c>
      <c r="AF286" s="296">
        <f t="shared" si="141"/>
        <v>247.5</v>
      </c>
      <c r="AG286" s="374"/>
      <c r="AH286" s="294">
        <v>330</v>
      </c>
      <c r="AI286" s="295">
        <v>223</v>
      </c>
      <c r="AJ286" s="295">
        <v>271</v>
      </c>
      <c r="AK286" s="295">
        <v>306</v>
      </c>
      <c r="AL286" s="295">
        <v>329</v>
      </c>
      <c r="AM286" s="295">
        <v>287</v>
      </c>
      <c r="AN286" s="295">
        <v>356</v>
      </c>
      <c r="AO286" s="295">
        <v>268</v>
      </c>
      <c r="AP286" s="295">
        <v>238</v>
      </c>
      <c r="AQ286" s="295">
        <v>252</v>
      </c>
      <c r="AR286" s="295">
        <v>307</v>
      </c>
      <c r="AS286" s="295">
        <v>260</v>
      </c>
      <c r="AT286" s="295">
        <f t="shared" si="278"/>
        <v>3427</v>
      </c>
      <c r="AU286" s="296">
        <f t="shared" si="276"/>
        <v>285.58333333333331</v>
      </c>
      <c r="AV286" s="374"/>
      <c r="AW286" s="2016">
        <v>257</v>
      </c>
      <c r="AX286" s="295">
        <v>507</v>
      </c>
      <c r="AY286" s="295">
        <v>381</v>
      </c>
      <c r="AZ286" s="295">
        <v>412</v>
      </c>
      <c r="BA286" s="295">
        <v>714</v>
      </c>
      <c r="BB286" s="295">
        <v>336</v>
      </c>
      <c r="BC286" s="295">
        <v>463</v>
      </c>
      <c r="BD286" s="295">
        <v>395</v>
      </c>
      <c r="BE286" s="295">
        <v>426</v>
      </c>
      <c r="BF286" s="295">
        <v>257</v>
      </c>
      <c r="BG286" s="295">
        <v>236</v>
      </c>
      <c r="BH286" s="295">
        <v>262</v>
      </c>
      <c r="BI286" s="295">
        <f t="shared" si="288"/>
        <v>4646</v>
      </c>
      <c r="BJ286" s="296">
        <f t="shared" si="271"/>
        <v>387.13440546621115</v>
      </c>
      <c r="BL286" s="317">
        <f>ROW()</f>
        <v>286</v>
      </c>
      <c r="BM286" s="1432">
        <f t="shared" si="289"/>
        <v>2</v>
      </c>
      <c r="BN286" s="317">
        <f t="shared" si="275"/>
        <v>101.55107213287783</v>
      </c>
      <c r="BO286" s="317">
        <f t="shared" si="290"/>
        <v>1219</v>
      </c>
      <c r="BP286" s="594">
        <f t="shared" si="272"/>
        <v>26</v>
      </c>
    </row>
    <row r="287" spans="1:71" ht="17.399999999999999" customHeight="1" x14ac:dyDescent="0.55000000000000004">
      <c r="A287" s="7222"/>
      <c r="B287" s="7214"/>
      <c r="C287" s="200" t="s">
        <v>421</v>
      </c>
      <c r="D287" s="294">
        <f>D294+D295</f>
        <v>542</v>
      </c>
      <c r="E287" s="295">
        <f t="shared" ref="E287:O287" si="292">E294+E295</f>
        <v>332</v>
      </c>
      <c r="F287" s="295">
        <f t="shared" si="292"/>
        <v>382</v>
      </c>
      <c r="G287" s="295">
        <f t="shared" si="292"/>
        <v>352</v>
      </c>
      <c r="H287" s="295">
        <f t="shared" si="292"/>
        <v>347</v>
      </c>
      <c r="I287" s="295">
        <f t="shared" si="292"/>
        <v>314</v>
      </c>
      <c r="J287" s="295">
        <f t="shared" si="292"/>
        <v>321</v>
      </c>
      <c r="K287" s="295">
        <f t="shared" si="292"/>
        <v>397</v>
      </c>
      <c r="L287" s="295">
        <f t="shared" si="292"/>
        <v>350</v>
      </c>
      <c r="M287" s="295">
        <f t="shared" si="292"/>
        <v>352</v>
      </c>
      <c r="N287" s="295">
        <f t="shared" si="292"/>
        <v>417</v>
      </c>
      <c r="O287" s="295">
        <f t="shared" si="292"/>
        <v>362</v>
      </c>
      <c r="P287" s="295">
        <f t="shared" si="277"/>
        <v>4468</v>
      </c>
      <c r="Q287" s="296">
        <f t="shared" si="139"/>
        <v>372.33333333333331</v>
      </c>
      <c r="R287" s="374"/>
      <c r="S287" s="294">
        <v>400</v>
      </c>
      <c r="T287" s="295">
        <v>400</v>
      </c>
      <c r="U287" s="295">
        <v>388</v>
      </c>
      <c r="V287" s="295">
        <v>416</v>
      </c>
      <c r="W287" s="295">
        <v>382</v>
      </c>
      <c r="X287" s="295">
        <v>365</v>
      </c>
      <c r="Y287" s="295">
        <v>289</v>
      </c>
      <c r="Z287" s="295">
        <v>459</v>
      </c>
      <c r="AA287" s="295">
        <v>309</v>
      </c>
      <c r="AB287" s="295">
        <v>344</v>
      </c>
      <c r="AC287" s="295">
        <v>402</v>
      </c>
      <c r="AD287" s="295">
        <v>243</v>
      </c>
      <c r="AE287" s="295">
        <f t="shared" si="245"/>
        <v>4397</v>
      </c>
      <c r="AF287" s="296">
        <f t="shared" si="141"/>
        <v>366.41666666666669</v>
      </c>
      <c r="AG287" s="374"/>
      <c r="AH287" s="294">
        <v>469</v>
      </c>
      <c r="AI287" s="295">
        <v>405</v>
      </c>
      <c r="AJ287" s="295">
        <v>391</v>
      </c>
      <c r="AK287" s="295">
        <v>421</v>
      </c>
      <c r="AL287" s="295">
        <v>483</v>
      </c>
      <c r="AM287" s="295">
        <v>342</v>
      </c>
      <c r="AN287" s="295">
        <v>498</v>
      </c>
      <c r="AO287" s="295">
        <v>393</v>
      </c>
      <c r="AP287" s="295">
        <v>434</v>
      </c>
      <c r="AQ287" s="295">
        <v>450</v>
      </c>
      <c r="AR287" s="295">
        <v>431</v>
      </c>
      <c r="AS287" s="295">
        <v>394</v>
      </c>
      <c r="AT287" s="295">
        <f t="shared" si="278"/>
        <v>5111</v>
      </c>
      <c r="AU287" s="296">
        <f t="shared" si="276"/>
        <v>425.91666666666669</v>
      </c>
      <c r="AV287" s="374"/>
      <c r="AW287" s="2016">
        <v>311</v>
      </c>
      <c r="AX287" s="295">
        <v>635</v>
      </c>
      <c r="AY287" s="295">
        <v>446</v>
      </c>
      <c r="AZ287" s="295">
        <v>549</v>
      </c>
      <c r="BA287" s="295">
        <v>932</v>
      </c>
      <c r="BB287" s="295">
        <v>537</v>
      </c>
      <c r="BC287" s="295">
        <v>730</v>
      </c>
      <c r="BD287" s="295">
        <v>494</v>
      </c>
      <c r="BE287" s="295">
        <v>533</v>
      </c>
      <c r="BF287" s="295">
        <v>358</v>
      </c>
      <c r="BG287" s="295">
        <v>411</v>
      </c>
      <c r="BH287" s="295">
        <v>384</v>
      </c>
      <c r="BI287" s="295">
        <f t="shared" si="288"/>
        <v>6320</v>
      </c>
      <c r="BJ287" s="296">
        <f t="shared" si="271"/>
        <v>526.62278143488049</v>
      </c>
      <c r="BL287" s="317">
        <f>ROW()</f>
        <v>287</v>
      </c>
      <c r="BM287" s="1432">
        <f t="shared" si="289"/>
        <v>-10</v>
      </c>
      <c r="BN287" s="317">
        <f t="shared" si="275"/>
        <v>100.70611476821381</v>
      </c>
      <c r="BO287" s="317">
        <f t="shared" si="290"/>
        <v>1209</v>
      </c>
      <c r="BP287" s="594">
        <f t="shared" si="272"/>
        <v>-27</v>
      </c>
    </row>
    <row r="288" spans="1:71" ht="17.399999999999999" customHeight="1" x14ac:dyDescent="0.55000000000000004">
      <c r="A288" s="7222"/>
      <c r="B288" s="7214"/>
      <c r="C288" s="200" t="s">
        <v>422</v>
      </c>
      <c r="D288" s="294">
        <f>D296+D297</f>
        <v>632</v>
      </c>
      <c r="E288" s="295">
        <f t="shared" ref="E288:O288" si="293">E296+E297</f>
        <v>507</v>
      </c>
      <c r="F288" s="295">
        <f t="shared" si="293"/>
        <v>458</v>
      </c>
      <c r="G288" s="295">
        <f t="shared" si="293"/>
        <v>463</v>
      </c>
      <c r="H288" s="295">
        <f t="shared" si="293"/>
        <v>479</v>
      </c>
      <c r="I288" s="295">
        <f t="shared" si="293"/>
        <v>511</v>
      </c>
      <c r="J288" s="295">
        <f t="shared" si="293"/>
        <v>379</v>
      </c>
      <c r="K288" s="295">
        <f t="shared" si="293"/>
        <v>518</v>
      </c>
      <c r="L288" s="295">
        <f t="shared" si="293"/>
        <v>340</v>
      </c>
      <c r="M288" s="295">
        <f t="shared" si="293"/>
        <v>395</v>
      </c>
      <c r="N288" s="295">
        <f t="shared" si="293"/>
        <v>425</v>
      </c>
      <c r="O288" s="295">
        <f t="shared" si="293"/>
        <v>420</v>
      </c>
      <c r="P288" s="295">
        <f t="shared" si="277"/>
        <v>5527</v>
      </c>
      <c r="Q288" s="296">
        <f t="shared" si="139"/>
        <v>460.58333333333331</v>
      </c>
      <c r="R288" s="374"/>
      <c r="S288" s="294">
        <v>440</v>
      </c>
      <c r="T288" s="295">
        <v>581</v>
      </c>
      <c r="U288" s="295">
        <v>478</v>
      </c>
      <c r="V288" s="295">
        <v>476</v>
      </c>
      <c r="W288" s="295">
        <v>427</v>
      </c>
      <c r="X288" s="295">
        <v>451</v>
      </c>
      <c r="Y288" s="295">
        <v>343</v>
      </c>
      <c r="Z288" s="295">
        <v>545</v>
      </c>
      <c r="AA288" s="295">
        <v>317</v>
      </c>
      <c r="AB288" s="295">
        <v>379</v>
      </c>
      <c r="AC288" s="295">
        <v>374</v>
      </c>
      <c r="AD288" s="295">
        <v>327</v>
      </c>
      <c r="AE288" s="295">
        <f t="shared" si="245"/>
        <v>5138</v>
      </c>
      <c r="AF288" s="296">
        <f t="shared" si="141"/>
        <v>428.16666666666669</v>
      </c>
      <c r="AG288" s="374"/>
      <c r="AH288" s="294">
        <v>540</v>
      </c>
      <c r="AI288" s="295">
        <v>425</v>
      </c>
      <c r="AJ288" s="295">
        <v>528</v>
      </c>
      <c r="AK288" s="295">
        <v>548</v>
      </c>
      <c r="AL288" s="295">
        <v>581</v>
      </c>
      <c r="AM288" s="295">
        <v>491</v>
      </c>
      <c r="AN288" s="295">
        <v>633</v>
      </c>
      <c r="AO288" s="295">
        <v>460</v>
      </c>
      <c r="AP288" s="295">
        <v>470</v>
      </c>
      <c r="AQ288" s="295">
        <v>545</v>
      </c>
      <c r="AR288" s="295">
        <v>495</v>
      </c>
      <c r="AS288" s="295">
        <v>437</v>
      </c>
      <c r="AT288" s="295">
        <f t="shared" si="278"/>
        <v>6153</v>
      </c>
      <c r="AU288" s="296">
        <f t="shared" si="276"/>
        <v>512.75</v>
      </c>
      <c r="AV288" s="374"/>
      <c r="AW288" s="2016">
        <v>320</v>
      </c>
      <c r="AX288" s="295">
        <v>688</v>
      </c>
      <c r="AY288" s="295">
        <v>527</v>
      </c>
      <c r="AZ288" s="295">
        <v>716</v>
      </c>
      <c r="BA288" s="295">
        <v>984</v>
      </c>
      <c r="BB288" s="295">
        <v>630</v>
      </c>
      <c r="BC288" s="295">
        <v>876</v>
      </c>
      <c r="BD288" s="295">
        <v>608</v>
      </c>
      <c r="BE288" s="295">
        <v>554</v>
      </c>
      <c r="BF288" s="295">
        <v>429</v>
      </c>
      <c r="BG288" s="295">
        <v>388</v>
      </c>
      <c r="BH288" s="295">
        <v>365</v>
      </c>
      <c r="BI288" s="295">
        <f t="shared" si="288"/>
        <v>7085</v>
      </c>
      <c r="BJ288" s="296">
        <f t="shared" si="271"/>
        <v>590.36746937755186</v>
      </c>
      <c r="BL288" s="317">
        <f>ROW()</f>
        <v>288</v>
      </c>
      <c r="BM288" s="1432">
        <f t="shared" si="289"/>
        <v>-72</v>
      </c>
      <c r="BN288" s="317">
        <f t="shared" si="275"/>
        <v>77.617469377551856</v>
      </c>
      <c r="BO288" s="317">
        <f t="shared" si="290"/>
        <v>932</v>
      </c>
      <c r="BP288" s="594">
        <f t="shared" si="272"/>
        <v>-23</v>
      </c>
    </row>
    <row r="289" spans="1:68" ht="17.399999999999999" customHeight="1" x14ac:dyDescent="0.55000000000000004">
      <c r="A289" s="7222"/>
      <c r="B289" s="7215"/>
      <c r="C289" s="201" t="s">
        <v>423</v>
      </c>
      <c r="D289" s="297">
        <f>D298+D299</f>
        <v>452</v>
      </c>
      <c r="E289" s="298">
        <f t="shared" ref="E289:O289" si="294">E298+E299</f>
        <v>307</v>
      </c>
      <c r="F289" s="298">
        <f t="shared" si="294"/>
        <v>308</v>
      </c>
      <c r="G289" s="298">
        <f t="shared" si="294"/>
        <v>281</v>
      </c>
      <c r="H289" s="298">
        <f t="shared" si="294"/>
        <v>298</v>
      </c>
      <c r="I289" s="298">
        <f t="shared" si="294"/>
        <v>291</v>
      </c>
      <c r="J289" s="298">
        <f t="shared" si="294"/>
        <v>276</v>
      </c>
      <c r="K289" s="298">
        <f t="shared" si="294"/>
        <v>348</v>
      </c>
      <c r="L289" s="298">
        <f t="shared" si="294"/>
        <v>236</v>
      </c>
      <c r="M289" s="298">
        <f t="shared" si="294"/>
        <v>256</v>
      </c>
      <c r="N289" s="298">
        <f t="shared" si="294"/>
        <v>315</v>
      </c>
      <c r="O289" s="298">
        <f t="shared" si="294"/>
        <v>247</v>
      </c>
      <c r="P289" s="298">
        <f t="shared" si="277"/>
        <v>3615</v>
      </c>
      <c r="Q289" s="299">
        <f t="shared" si="139"/>
        <v>301.25</v>
      </c>
      <c r="R289" s="374"/>
      <c r="S289" s="297">
        <v>284</v>
      </c>
      <c r="T289" s="298">
        <v>318</v>
      </c>
      <c r="U289" s="298">
        <v>248</v>
      </c>
      <c r="V289" s="298">
        <v>304</v>
      </c>
      <c r="W289" s="298">
        <v>231</v>
      </c>
      <c r="X289" s="298">
        <v>238</v>
      </c>
      <c r="Y289" s="298">
        <v>237</v>
      </c>
      <c r="Z289" s="298">
        <v>328</v>
      </c>
      <c r="AA289" s="298">
        <v>217</v>
      </c>
      <c r="AB289" s="298">
        <v>251</v>
      </c>
      <c r="AC289" s="298">
        <v>212</v>
      </c>
      <c r="AD289" s="298">
        <v>190</v>
      </c>
      <c r="AE289" s="298">
        <f t="shared" si="245"/>
        <v>3058</v>
      </c>
      <c r="AF289" s="299">
        <f t="shared" si="141"/>
        <v>254.83333333333334</v>
      </c>
      <c r="AG289" s="374"/>
      <c r="AH289" s="297">
        <v>319</v>
      </c>
      <c r="AI289" s="298">
        <v>236</v>
      </c>
      <c r="AJ289" s="298">
        <v>341</v>
      </c>
      <c r="AK289" s="298">
        <v>361</v>
      </c>
      <c r="AL289" s="298">
        <v>364</v>
      </c>
      <c r="AM289" s="298">
        <v>336</v>
      </c>
      <c r="AN289" s="298">
        <v>353</v>
      </c>
      <c r="AO289" s="298">
        <v>283</v>
      </c>
      <c r="AP289" s="298">
        <v>310</v>
      </c>
      <c r="AQ289" s="298">
        <v>285</v>
      </c>
      <c r="AR289" s="298">
        <v>344</v>
      </c>
      <c r="AS289" s="298">
        <v>268</v>
      </c>
      <c r="AT289" s="298">
        <f t="shared" si="278"/>
        <v>3800</v>
      </c>
      <c r="AU289" s="299">
        <f t="shared" si="276"/>
        <v>316.66666666666669</v>
      </c>
      <c r="AV289" s="374"/>
      <c r="AW289" s="2017">
        <v>244</v>
      </c>
      <c r="AX289" s="298">
        <v>497</v>
      </c>
      <c r="AY289" s="298">
        <v>406</v>
      </c>
      <c r="AZ289" s="298">
        <v>369</v>
      </c>
      <c r="BA289" s="298">
        <v>614</v>
      </c>
      <c r="BB289" s="298">
        <v>372</v>
      </c>
      <c r="BC289" s="298">
        <v>513</v>
      </c>
      <c r="BD289" s="298">
        <v>390</v>
      </c>
      <c r="BE289" s="298">
        <v>323</v>
      </c>
      <c r="BF289" s="298">
        <v>292</v>
      </c>
      <c r="BG289" s="298">
        <v>284</v>
      </c>
      <c r="BH289" s="298">
        <v>265</v>
      </c>
      <c r="BI289" s="298">
        <f t="shared" si="288"/>
        <v>4569</v>
      </c>
      <c r="BJ289" s="299">
        <f t="shared" si="271"/>
        <v>380.71827347721023</v>
      </c>
      <c r="BL289" s="317">
        <f>ROW()</f>
        <v>289</v>
      </c>
      <c r="BM289" s="1432">
        <f t="shared" si="289"/>
        <v>-3</v>
      </c>
      <c r="BN289" s="317">
        <f t="shared" si="275"/>
        <v>64.051606810543547</v>
      </c>
      <c r="BO289" s="317">
        <f t="shared" si="290"/>
        <v>769</v>
      </c>
      <c r="BP289" s="594">
        <f t="shared" si="272"/>
        <v>-19</v>
      </c>
    </row>
    <row r="290" spans="1:68" ht="17.399999999999999" customHeight="1" x14ac:dyDescent="0.55000000000000004">
      <c r="A290" s="7222"/>
      <c r="B290" s="7207" t="s">
        <v>431</v>
      </c>
      <c r="C290" s="202" t="s">
        <v>227</v>
      </c>
      <c r="D290" s="300">
        <v>173</v>
      </c>
      <c r="E290" s="301">
        <v>111</v>
      </c>
      <c r="F290" s="301">
        <v>117</v>
      </c>
      <c r="G290" s="301">
        <v>98</v>
      </c>
      <c r="H290" s="301">
        <v>93</v>
      </c>
      <c r="I290" s="301">
        <v>129</v>
      </c>
      <c r="J290" s="301">
        <v>134</v>
      </c>
      <c r="K290" s="301">
        <v>126</v>
      </c>
      <c r="L290" s="301">
        <v>126</v>
      </c>
      <c r="M290" s="301">
        <v>85</v>
      </c>
      <c r="N290" s="301">
        <v>93</v>
      </c>
      <c r="O290" s="301">
        <v>95</v>
      </c>
      <c r="P290" s="301">
        <f t="shared" si="277"/>
        <v>1380</v>
      </c>
      <c r="Q290" s="302">
        <f t="shared" si="139"/>
        <v>115</v>
      </c>
      <c r="R290" s="374"/>
      <c r="S290" s="300">
        <v>105</v>
      </c>
      <c r="T290" s="301">
        <v>121</v>
      </c>
      <c r="U290" s="301">
        <v>128</v>
      </c>
      <c r="V290" s="301">
        <v>153</v>
      </c>
      <c r="W290" s="301">
        <v>113</v>
      </c>
      <c r="X290" s="301">
        <v>87</v>
      </c>
      <c r="Y290" s="301">
        <v>96</v>
      </c>
      <c r="Z290" s="301">
        <v>130</v>
      </c>
      <c r="AA290" s="301">
        <v>66</v>
      </c>
      <c r="AB290" s="301">
        <v>95</v>
      </c>
      <c r="AC290" s="301">
        <v>83</v>
      </c>
      <c r="AD290" s="301">
        <v>75</v>
      </c>
      <c r="AE290" s="301">
        <f t="shared" si="245"/>
        <v>1252</v>
      </c>
      <c r="AF290" s="302">
        <f t="shared" si="141"/>
        <v>104.33333333333333</v>
      </c>
      <c r="AG290" s="374"/>
      <c r="AH290" s="300">
        <v>107</v>
      </c>
      <c r="AI290" s="301">
        <v>99</v>
      </c>
      <c r="AJ290" s="301">
        <v>113</v>
      </c>
      <c r="AK290" s="301">
        <v>127</v>
      </c>
      <c r="AL290" s="301">
        <v>121</v>
      </c>
      <c r="AM290" s="301">
        <v>115.99999999999999</v>
      </c>
      <c r="AN290" s="301">
        <v>126.99999999999999</v>
      </c>
      <c r="AO290" s="301">
        <v>103</v>
      </c>
      <c r="AP290" s="301">
        <v>90</v>
      </c>
      <c r="AQ290" s="301">
        <v>87</v>
      </c>
      <c r="AR290" s="301">
        <v>99</v>
      </c>
      <c r="AS290" s="301">
        <v>114.00000000000001</v>
      </c>
      <c r="AT290" s="301">
        <f t="shared" si="278"/>
        <v>1303</v>
      </c>
      <c r="AU290" s="302">
        <f t="shared" si="276"/>
        <v>108.58333333333333</v>
      </c>
      <c r="AV290" s="374"/>
      <c r="AW290" s="2021">
        <v>90</v>
      </c>
      <c r="AX290" s="301">
        <v>174</v>
      </c>
      <c r="AY290" s="301">
        <v>137</v>
      </c>
      <c r="AZ290" s="301">
        <v>180</v>
      </c>
      <c r="BA290" s="301">
        <v>335</v>
      </c>
      <c r="BB290" s="301">
        <v>169</v>
      </c>
      <c r="BC290" s="301">
        <v>225.00000000000003</v>
      </c>
      <c r="BD290" s="301">
        <v>128</v>
      </c>
      <c r="BE290" s="301">
        <v>147</v>
      </c>
      <c r="BF290" s="301">
        <v>82</v>
      </c>
      <c r="BG290" s="301">
        <v>118</v>
      </c>
      <c r="BH290" s="301">
        <v>94</v>
      </c>
      <c r="BI290" s="301">
        <f t="shared" si="288"/>
        <v>1879</v>
      </c>
      <c r="BJ290" s="302">
        <f t="shared" si="271"/>
        <v>156.57028580951589</v>
      </c>
      <c r="BL290" s="317">
        <f>ROW()</f>
        <v>290</v>
      </c>
      <c r="BM290" s="1432">
        <f t="shared" si="289"/>
        <v>-20.000000000000014</v>
      </c>
      <c r="BN290" s="317">
        <f t="shared" si="275"/>
        <v>47.986952476182566</v>
      </c>
      <c r="BO290" s="317">
        <f t="shared" si="290"/>
        <v>576</v>
      </c>
      <c r="BP290" s="594">
        <f t="shared" si="272"/>
        <v>-24</v>
      </c>
    </row>
    <row r="291" spans="1:68" ht="17.399999999999999" customHeight="1" x14ac:dyDescent="0.55000000000000004">
      <c r="A291" s="7222"/>
      <c r="B291" s="7208"/>
      <c r="C291" s="202" t="s">
        <v>228</v>
      </c>
      <c r="D291" s="300">
        <v>166</v>
      </c>
      <c r="E291" s="301">
        <v>117</v>
      </c>
      <c r="F291" s="301">
        <v>108</v>
      </c>
      <c r="G291" s="301">
        <v>119</v>
      </c>
      <c r="H291" s="301">
        <v>121</v>
      </c>
      <c r="I291" s="301">
        <v>137</v>
      </c>
      <c r="J291" s="301">
        <v>108</v>
      </c>
      <c r="K291" s="301">
        <v>143</v>
      </c>
      <c r="L291" s="301">
        <v>110</v>
      </c>
      <c r="M291" s="301">
        <v>93</v>
      </c>
      <c r="N291" s="301">
        <v>129</v>
      </c>
      <c r="O291" s="301">
        <v>125</v>
      </c>
      <c r="P291" s="301">
        <f t="shared" si="277"/>
        <v>1476</v>
      </c>
      <c r="Q291" s="302">
        <f t="shared" si="139"/>
        <v>123</v>
      </c>
      <c r="R291" s="374"/>
      <c r="S291" s="300">
        <v>134</v>
      </c>
      <c r="T291" s="301">
        <v>138</v>
      </c>
      <c r="U291" s="301">
        <v>112</v>
      </c>
      <c r="V291" s="301">
        <v>130</v>
      </c>
      <c r="W291" s="301">
        <v>100</v>
      </c>
      <c r="X291" s="301">
        <v>97</v>
      </c>
      <c r="Y291" s="301">
        <v>89</v>
      </c>
      <c r="Z291" s="301">
        <v>131</v>
      </c>
      <c r="AA291" s="301">
        <v>71</v>
      </c>
      <c r="AB291" s="301">
        <v>74</v>
      </c>
      <c r="AC291" s="301">
        <v>55</v>
      </c>
      <c r="AD291" s="301">
        <v>69</v>
      </c>
      <c r="AE291" s="301">
        <f t="shared" si="245"/>
        <v>1200</v>
      </c>
      <c r="AF291" s="302">
        <f t="shared" si="141"/>
        <v>100</v>
      </c>
      <c r="AG291" s="374"/>
      <c r="AH291" s="300">
        <v>129</v>
      </c>
      <c r="AI291" s="301">
        <v>88</v>
      </c>
      <c r="AJ291" s="301">
        <v>108</v>
      </c>
      <c r="AK291" s="301">
        <v>139</v>
      </c>
      <c r="AL291" s="301">
        <v>145</v>
      </c>
      <c r="AM291" s="301">
        <v>136</v>
      </c>
      <c r="AN291" s="301">
        <v>224</v>
      </c>
      <c r="AO291" s="301">
        <v>169</v>
      </c>
      <c r="AP291" s="301">
        <v>190</v>
      </c>
      <c r="AQ291" s="301">
        <v>161</v>
      </c>
      <c r="AR291" s="301">
        <v>169</v>
      </c>
      <c r="AS291" s="301">
        <v>135</v>
      </c>
      <c r="AT291" s="301">
        <f t="shared" si="278"/>
        <v>1793</v>
      </c>
      <c r="AU291" s="302">
        <f t="shared" si="276"/>
        <v>149.41666666666666</v>
      </c>
      <c r="AV291" s="374"/>
      <c r="AW291" s="2021">
        <v>105</v>
      </c>
      <c r="AX291" s="301">
        <v>218</v>
      </c>
      <c r="AY291" s="301">
        <v>156</v>
      </c>
      <c r="AZ291" s="301">
        <v>188</v>
      </c>
      <c r="BA291" s="301">
        <v>350</v>
      </c>
      <c r="BB291" s="301">
        <v>164</v>
      </c>
      <c r="BC291" s="301">
        <v>242.00000000000003</v>
      </c>
      <c r="BD291" s="301">
        <v>172</v>
      </c>
      <c r="BE291" s="301">
        <v>149</v>
      </c>
      <c r="BF291" s="301">
        <v>114.99999999999999</v>
      </c>
      <c r="BG291" s="301">
        <v>142</v>
      </c>
      <c r="BH291" s="301">
        <v>113</v>
      </c>
      <c r="BI291" s="301">
        <f t="shared" si="288"/>
        <v>2114</v>
      </c>
      <c r="BJ291" s="302">
        <f t="shared" si="271"/>
        <v>176.15198733438882</v>
      </c>
      <c r="BL291" s="317">
        <f>ROW()</f>
        <v>291</v>
      </c>
      <c r="BM291" s="1432">
        <f t="shared" si="289"/>
        <v>-22</v>
      </c>
      <c r="BN291" s="317">
        <f t="shared" si="275"/>
        <v>26.735320667722164</v>
      </c>
      <c r="BO291" s="317">
        <f t="shared" si="290"/>
        <v>321</v>
      </c>
      <c r="BP291" s="594">
        <f t="shared" si="272"/>
        <v>-29</v>
      </c>
    </row>
    <row r="292" spans="1:68" ht="17.399999999999999" customHeight="1" x14ac:dyDescent="0.55000000000000004">
      <c r="A292" s="7222"/>
      <c r="B292" s="7208"/>
      <c r="C292" s="203" t="s">
        <v>229</v>
      </c>
      <c r="D292" s="303">
        <v>132</v>
      </c>
      <c r="E292" s="304">
        <v>85</v>
      </c>
      <c r="F292" s="304">
        <v>92</v>
      </c>
      <c r="G292" s="304">
        <v>93</v>
      </c>
      <c r="H292" s="304">
        <v>96</v>
      </c>
      <c r="I292" s="304">
        <v>90</v>
      </c>
      <c r="J292" s="304">
        <v>78</v>
      </c>
      <c r="K292" s="304">
        <v>88</v>
      </c>
      <c r="L292" s="304">
        <v>95</v>
      </c>
      <c r="M292" s="304">
        <v>84</v>
      </c>
      <c r="N292" s="304">
        <v>79</v>
      </c>
      <c r="O292" s="304">
        <v>65</v>
      </c>
      <c r="P292" s="304">
        <f t="shared" si="277"/>
        <v>1077</v>
      </c>
      <c r="Q292" s="305">
        <f t="shared" si="139"/>
        <v>89.75</v>
      </c>
      <c r="R292" s="374"/>
      <c r="S292" s="303">
        <v>115</v>
      </c>
      <c r="T292" s="304">
        <v>109</v>
      </c>
      <c r="U292" s="304">
        <v>133</v>
      </c>
      <c r="V292" s="304">
        <v>143</v>
      </c>
      <c r="W292" s="304">
        <v>128</v>
      </c>
      <c r="X292" s="304">
        <v>88</v>
      </c>
      <c r="Y292" s="304">
        <v>94</v>
      </c>
      <c r="Z292" s="304">
        <v>129</v>
      </c>
      <c r="AA292" s="304">
        <v>79</v>
      </c>
      <c r="AB292" s="304">
        <v>115</v>
      </c>
      <c r="AC292" s="304">
        <v>97</v>
      </c>
      <c r="AD292" s="304">
        <v>81</v>
      </c>
      <c r="AE292" s="304">
        <f t="shared" si="245"/>
        <v>1311</v>
      </c>
      <c r="AF292" s="305">
        <f t="shared" si="141"/>
        <v>109.25</v>
      </c>
      <c r="AG292" s="374"/>
      <c r="AH292" s="303">
        <v>147</v>
      </c>
      <c r="AI292" s="304">
        <v>100</v>
      </c>
      <c r="AJ292" s="304">
        <v>113</v>
      </c>
      <c r="AK292" s="304">
        <v>137</v>
      </c>
      <c r="AL292" s="304">
        <v>139</v>
      </c>
      <c r="AM292" s="304">
        <v>124</v>
      </c>
      <c r="AN292" s="304">
        <v>151</v>
      </c>
      <c r="AO292" s="304">
        <v>108</v>
      </c>
      <c r="AP292" s="304">
        <v>87</v>
      </c>
      <c r="AQ292" s="304">
        <v>105</v>
      </c>
      <c r="AR292" s="304">
        <v>135</v>
      </c>
      <c r="AS292" s="304">
        <v>103</v>
      </c>
      <c r="AT292" s="304">
        <f t="shared" si="278"/>
        <v>1449</v>
      </c>
      <c r="AU292" s="305">
        <f t="shared" si="276"/>
        <v>120.75</v>
      </c>
      <c r="AV292" s="374"/>
      <c r="AW292" s="2022">
        <v>113.99999999999999</v>
      </c>
      <c r="AX292" s="304">
        <v>217</v>
      </c>
      <c r="AY292" s="304">
        <v>160</v>
      </c>
      <c r="AZ292" s="304">
        <v>178</v>
      </c>
      <c r="BA292" s="304">
        <v>313</v>
      </c>
      <c r="BB292" s="304">
        <v>139</v>
      </c>
      <c r="BC292" s="304">
        <v>198</v>
      </c>
      <c r="BD292" s="304">
        <v>166</v>
      </c>
      <c r="BE292" s="304">
        <v>182</v>
      </c>
      <c r="BF292" s="304">
        <v>98</v>
      </c>
      <c r="BG292" s="304">
        <v>86</v>
      </c>
      <c r="BH292" s="304">
        <v>106</v>
      </c>
      <c r="BI292" s="304">
        <f t="shared" si="288"/>
        <v>1957</v>
      </c>
      <c r="BJ292" s="305">
        <f t="shared" si="271"/>
        <v>163.06974418798436</v>
      </c>
      <c r="BL292" s="317">
        <f>ROW()</f>
        <v>292</v>
      </c>
      <c r="BM292" s="1432">
        <f t="shared" si="289"/>
        <v>3</v>
      </c>
      <c r="BN292" s="317">
        <f t="shared" si="275"/>
        <v>42.319744187984355</v>
      </c>
      <c r="BO292" s="317">
        <f t="shared" si="290"/>
        <v>508</v>
      </c>
      <c r="BP292" s="594">
        <f t="shared" si="272"/>
        <v>20</v>
      </c>
    </row>
    <row r="293" spans="1:68" ht="17.399999999999999" customHeight="1" x14ac:dyDescent="0.55000000000000004">
      <c r="A293" s="7222"/>
      <c r="B293" s="7208"/>
      <c r="C293" s="203" t="s">
        <v>230</v>
      </c>
      <c r="D293" s="303">
        <v>274</v>
      </c>
      <c r="E293" s="304">
        <v>150</v>
      </c>
      <c r="F293" s="304">
        <v>140</v>
      </c>
      <c r="G293" s="304">
        <v>149</v>
      </c>
      <c r="H293" s="304">
        <v>131</v>
      </c>
      <c r="I293" s="304">
        <v>144</v>
      </c>
      <c r="J293" s="304">
        <v>141</v>
      </c>
      <c r="K293" s="304">
        <v>135</v>
      </c>
      <c r="L293" s="304">
        <v>136</v>
      </c>
      <c r="M293" s="304">
        <v>111</v>
      </c>
      <c r="N293" s="304">
        <v>149</v>
      </c>
      <c r="O293" s="304">
        <v>184</v>
      </c>
      <c r="P293" s="304">
        <f t="shared" si="277"/>
        <v>1844</v>
      </c>
      <c r="Q293" s="305">
        <f t="shared" ref="Q293:Q327" si="295">P293/12</f>
        <v>153.66666666666666</v>
      </c>
      <c r="R293" s="374"/>
      <c r="S293" s="303">
        <v>145</v>
      </c>
      <c r="T293" s="304">
        <v>190</v>
      </c>
      <c r="U293" s="304">
        <v>136</v>
      </c>
      <c r="V293" s="304">
        <v>147</v>
      </c>
      <c r="W293" s="304">
        <v>144</v>
      </c>
      <c r="X293" s="304">
        <v>149</v>
      </c>
      <c r="Y293" s="304">
        <v>115</v>
      </c>
      <c r="Z293" s="304">
        <v>180</v>
      </c>
      <c r="AA293" s="304">
        <v>96</v>
      </c>
      <c r="AB293" s="304">
        <v>144</v>
      </c>
      <c r="AC293" s="304">
        <v>111</v>
      </c>
      <c r="AD293" s="304">
        <v>102</v>
      </c>
      <c r="AE293" s="304">
        <f t="shared" si="245"/>
        <v>1659</v>
      </c>
      <c r="AF293" s="305">
        <f t="shared" ref="AF293:AF327" si="296">AE293/12</f>
        <v>138.25</v>
      </c>
      <c r="AG293" s="374"/>
      <c r="AH293" s="303">
        <v>183</v>
      </c>
      <c r="AI293" s="304">
        <v>123</v>
      </c>
      <c r="AJ293" s="304">
        <v>158</v>
      </c>
      <c r="AK293" s="304">
        <v>169</v>
      </c>
      <c r="AL293" s="304">
        <v>190</v>
      </c>
      <c r="AM293" s="304">
        <v>163</v>
      </c>
      <c r="AN293" s="304">
        <v>205</v>
      </c>
      <c r="AO293" s="304">
        <v>160</v>
      </c>
      <c r="AP293" s="304">
        <v>151</v>
      </c>
      <c r="AQ293" s="304">
        <v>147</v>
      </c>
      <c r="AR293" s="304">
        <v>172</v>
      </c>
      <c r="AS293" s="304">
        <v>157</v>
      </c>
      <c r="AT293" s="304">
        <f t="shared" si="278"/>
        <v>1978</v>
      </c>
      <c r="AU293" s="305">
        <f t="shared" si="276"/>
        <v>164.83333333333334</v>
      </c>
      <c r="AV293" s="374"/>
      <c r="AW293" s="2022">
        <v>143</v>
      </c>
      <c r="AX293" s="304">
        <v>290</v>
      </c>
      <c r="AY293" s="304">
        <v>221</v>
      </c>
      <c r="AZ293" s="304">
        <v>234</v>
      </c>
      <c r="BA293" s="304">
        <v>401</v>
      </c>
      <c r="BB293" s="304">
        <v>197</v>
      </c>
      <c r="BC293" s="304">
        <v>265</v>
      </c>
      <c r="BD293" s="304">
        <v>229</v>
      </c>
      <c r="BE293" s="304">
        <v>244</v>
      </c>
      <c r="BF293" s="304">
        <v>159</v>
      </c>
      <c r="BG293" s="304">
        <v>150</v>
      </c>
      <c r="BH293" s="304">
        <v>156</v>
      </c>
      <c r="BI293" s="304">
        <f t="shared" si="288"/>
        <v>2689</v>
      </c>
      <c r="BJ293" s="305">
        <f t="shared" si="271"/>
        <v>224.06466127822682</v>
      </c>
      <c r="BL293" s="317">
        <f>ROW()</f>
        <v>293</v>
      </c>
      <c r="BM293" s="1432">
        <f t="shared" si="289"/>
        <v>-1</v>
      </c>
      <c r="BN293" s="317">
        <f t="shared" si="275"/>
        <v>59.231327944893479</v>
      </c>
      <c r="BO293" s="317">
        <f t="shared" si="290"/>
        <v>711</v>
      </c>
      <c r="BP293" s="594">
        <f t="shared" si="272"/>
        <v>6</v>
      </c>
    </row>
    <row r="294" spans="1:68" ht="17.399999999999999" customHeight="1" x14ac:dyDescent="0.55000000000000004">
      <c r="A294" s="7222"/>
      <c r="B294" s="7208"/>
      <c r="C294" s="202" t="s">
        <v>231</v>
      </c>
      <c r="D294" s="300">
        <v>317</v>
      </c>
      <c r="E294" s="301">
        <v>198</v>
      </c>
      <c r="F294" s="301">
        <v>226</v>
      </c>
      <c r="G294" s="301">
        <v>198</v>
      </c>
      <c r="H294" s="301">
        <v>222</v>
      </c>
      <c r="I294" s="301">
        <v>195</v>
      </c>
      <c r="J294" s="301">
        <v>225</v>
      </c>
      <c r="K294" s="301">
        <v>235</v>
      </c>
      <c r="L294" s="301">
        <v>216</v>
      </c>
      <c r="M294" s="301">
        <v>211</v>
      </c>
      <c r="N294" s="301">
        <v>266</v>
      </c>
      <c r="O294" s="301">
        <v>220</v>
      </c>
      <c r="P294" s="301">
        <f t="shared" si="277"/>
        <v>2729</v>
      </c>
      <c r="Q294" s="302">
        <f t="shared" si="295"/>
        <v>227.41666666666666</v>
      </c>
      <c r="R294" s="374"/>
      <c r="S294" s="300">
        <v>233</v>
      </c>
      <c r="T294" s="301">
        <v>214</v>
      </c>
      <c r="U294" s="301">
        <v>215</v>
      </c>
      <c r="V294" s="301">
        <v>249</v>
      </c>
      <c r="W294" s="301">
        <v>207</v>
      </c>
      <c r="X294" s="301">
        <v>209</v>
      </c>
      <c r="Y294" s="301">
        <v>175</v>
      </c>
      <c r="Z294" s="301">
        <v>231</v>
      </c>
      <c r="AA294" s="301">
        <v>155</v>
      </c>
      <c r="AB294" s="301">
        <v>166</v>
      </c>
      <c r="AC294" s="301">
        <v>244</v>
      </c>
      <c r="AD294" s="301">
        <v>155</v>
      </c>
      <c r="AE294" s="301">
        <f t="shared" si="245"/>
        <v>2453</v>
      </c>
      <c r="AF294" s="302">
        <f t="shared" si="296"/>
        <v>204.41666666666666</v>
      </c>
      <c r="AG294" s="374"/>
      <c r="AH294" s="300">
        <v>246</v>
      </c>
      <c r="AI294" s="301">
        <v>242</v>
      </c>
      <c r="AJ294" s="301">
        <v>210</v>
      </c>
      <c r="AK294" s="301">
        <v>233</v>
      </c>
      <c r="AL294" s="301">
        <v>287</v>
      </c>
      <c r="AM294" s="301">
        <v>217</v>
      </c>
      <c r="AN294" s="301">
        <v>289</v>
      </c>
      <c r="AO294" s="301">
        <v>252.00000000000003</v>
      </c>
      <c r="AP294" s="301">
        <v>258</v>
      </c>
      <c r="AQ294" s="301">
        <v>258</v>
      </c>
      <c r="AR294" s="301">
        <v>244</v>
      </c>
      <c r="AS294" s="301">
        <v>224</v>
      </c>
      <c r="AT294" s="301">
        <f t="shared" si="278"/>
        <v>2960</v>
      </c>
      <c r="AU294" s="302">
        <f t="shared" si="276"/>
        <v>246.66666666666666</v>
      </c>
      <c r="AV294" s="374"/>
      <c r="AW294" s="2021">
        <v>198</v>
      </c>
      <c r="AX294" s="301">
        <v>359</v>
      </c>
      <c r="AY294" s="301">
        <v>251</v>
      </c>
      <c r="AZ294" s="301">
        <v>319</v>
      </c>
      <c r="BA294" s="301">
        <v>572</v>
      </c>
      <c r="BB294" s="301">
        <v>316</v>
      </c>
      <c r="BC294" s="301">
        <v>432</v>
      </c>
      <c r="BD294" s="301">
        <v>286</v>
      </c>
      <c r="BE294" s="301">
        <v>305</v>
      </c>
      <c r="BF294" s="301">
        <v>214</v>
      </c>
      <c r="BG294" s="301">
        <v>249</v>
      </c>
      <c r="BH294" s="301">
        <v>231</v>
      </c>
      <c r="BI294" s="301">
        <f t="shared" si="288"/>
        <v>3732</v>
      </c>
      <c r="BJ294" s="302">
        <f t="shared" si="271"/>
        <v>310.97408549287559</v>
      </c>
      <c r="BL294" s="317">
        <f>ROW()</f>
        <v>294</v>
      </c>
      <c r="BM294" s="1432">
        <f t="shared" si="289"/>
        <v>7</v>
      </c>
      <c r="BN294" s="317">
        <f t="shared" si="275"/>
        <v>64.307418826208931</v>
      </c>
      <c r="BO294" s="317">
        <f t="shared" si="290"/>
        <v>772</v>
      </c>
      <c r="BP294" s="594">
        <f t="shared" si="272"/>
        <v>-18</v>
      </c>
    </row>
    <row r="295" spans="1:68" ht="17.399999999999999" customHeight="1" x14ac:dyDescent="0.55000000000000004">
      <c r="A295" s="7222"/>
      <c r="B295" s="7208"/>
      <c r="C295" s="202" t="s">
        <v>232</v>
      </c>
      <c r="D295" s="300">
        <v>225</v>
      </c>
      <c r="E295" s="301">
        <v>134</v>
      </c>
      <c r="F295" s="301">
        <v>156</v>
      </c>
      <c r="G295" s="301">
        <v>154</v>
      </c>
      <c r="H295" s="301">
        <v>125</v>
      </c>
      <c r="I295" s="301">
        <v>119</v>
      </c>
      <c r="J295" s="301">
        <v>96</v>
      </c>
      <c r="K295" s="301">
        <v>162</v>
      </c>
      <c r="L295" s="301">
        <v>134</v>
      </c>
      <c r="M295" s="301">
        <v>141</v>
      </c>
      <c r="N295" s="301">
        <v>151</v>
      </c>
      <c r="O295" s="301">
        <v>142</v>
      </c>
      <c r="P295" s="301">
        <f t="shared" si="277"/>
        <v>1739</v>
      </c>
      <c r="Q295" s="302">
        <f t="shared" si="295"/>
        <v>144.91666666666666</v>
      </c>
      <c r="R295" s="374"/>
      <c r="S295" s="300">
        <v>167</v>
      </c>
      <c r="T295" s="301">
        <v>186</v>
      </c>
      <c r="U295" s="301">
        <v>173</v>
      </c>
      <c r="V295" s="301">
        <v>167</v>
      </c>
      <c r="W295" s="301">
        <v>175</v>
      </c>
      <c r="X295" s="301">
        <v>156</v>
      </c>
      <c r="Y295" s="301">
        <v>114</v>
      </c>
      <c r="Z295" s="301">
        <v>228</v>
      </c>
      <c r="AA295" s="301">
        <v>154</v>
      </c>
      <c r="AB295" s="301">
        <v>178</v>
      </c>
      <c r="AC295" s="301">
        <v>158</v>
      </c>
      <c r="AD295" s="301">
        <v>88</v>
      </c>
      <c r="AE295" s="301">
        <f t="shared" si="245"/>
        <v>1944</v>
      </c>
      <c r="AF295" s="302">
        <f t="shared" si="296"/>
        <v>162</v>
      </c>
      <c r="AG295" s="374"/>
      <c r="AH295" s="300">
        <v>223</v>
      </c>
      <c r="AI295" s="301">
        <v>163</v>
      </c>
      <c r="AJ295" s="301">
        <v>181</v>
      </c>
      <c r="AK295" s="301">
        <v>188</v>
      </c>
      <c r="AL295" s="301">
        <v>196</v>
      </c>
      <c r="AM295" s="301">
        <v>125</v>
      </c>
      <c r="AN295" s="301">
        <v>209</v>
      </c>
      <c r="AO295" s="301">
        <v>141</v>
      </c>
      <c r="AP295" s="301">
        <v>176</v>
      </c>
      <c r="AQ295" s="301">
        <v>192</v>
      </c>
      <c r="AR295" s="301">
        <v>187</v>
      </c>
      <c r="AS295" s="301">
        <v>170</v>
      </c>
      <c r="AT295" s="301">
        <f t="shared" si="278"/>
        <v>2151</v>
      </c>
      <c r="AU295" s="302">
        <f t="shared" si="276"/>
        <v>179.25</v>
      </c>
      <c r="AV295" s="374"/>
      <c r="AW295" s="2021">
        <v>112.99999999999999</v>
      </c>
      <c r="AX295" s="301">
        <v>276</v>
      </c>
      <c r="AY295" s="301">
        <v>195</v>
      </c>
      <c r="AZ295" s="301">
        <v>230</v>
      </c>
      <c r="BA295" s="301">
        <v>360</v>
      </c>
      <c r="BB295" s="301">
        <v>221</v>
      </c>
      <c r="BC295" s="301">
        <v>298</v>
      </c>
      <c r="BD295" s="301">
        <v>208</v>
      </c>
      <c r="BE295" s="301">
        <v>228</v>
      </c>
      <c r="BF295" s="301">
        <v>144</v>
      </c>
      <c r="BG295" s="301">
        <v>162</v>
      </c>
      <c r="BH295" s="301">
        <v>153</v>
      </c>
      <c r="BI295" s="301">
        <f t="shared" si="288"/>
        <v>2588</v>
      </c>
      <c r="BJ295" s="302">
        <f t="shared" si="271"/>
        <v>215.64869594200485</v>
      </c>
      <c r="BL295" s="317">
        <f>ROW()</f>
        <v>295</v>
      </c>
      <c r="BM295" s="1432">
        <f t="shared" si="289"/>
        <v>-17</v>
      </c>
      <c r="BN295" s="317">
        <f t="shared" si="275"/>
        <v>36.398695942004849</v>
      </c>
      <c r="BO295" s="317">
        <f t="shared" si="290"/>
        <v>437</v>
      </c>
      <c r="BP295" s="594">
        <f t="shared" si="272"/>
        <v>-9</v>
      </c>
    </row>
    <row r="296" spans="1:68" ht="17.399999999999999" customHeight="1" x14ac:dyDescent="0.55000000000000004">
      <c r="A296" s="7222"/>
      <c r="B296" s="7208"/>
      <c r="C296" s="203" t="s">
        <v>233</v>
      </c>
      <c r="D296" s="303">
        <v>426</v>
      </c>
      <c r="E296" s="304">
        <v>307</v>
      </c>
      <c r="F296" s="304">
        <v>286</v>
      </c>
      <c r="G296" s="304">
        <v>317</v>
      </c>
      <c r="H296" s="304">
        <v>347</v>
      </c>
      <c r="I296" s="304">
        <v>299</v>
      </c>
      <c r="J296" s="304">
        <v>241</v>
      </c>
      <c r="K296" s="304">
        <v>303</v>
      </c>
      <c r="L296" s="304">
        <v>205</v>
      </c>
      <c r="M296" s="304">
        <v>230</v>
      </c>
      <c r="N296" s="304">
        <v>272</v>
      </c>
      <c r="O296" s="304">
        <v>248</v>
      </c>
      <c r="P296" s="304">
        <f t="shared" si="277"/>
        <v>3481</v>
      </c>
      <c r="Q296" s="305">
        <f t="shared" si="295"/>
        <v>290.08333333333331</v>
      </c>
      <c r="R296" s="374"/>
      <c r="S296" s="303">
        <v>264</v>
      </c>
      <c r="T296" s="304">
        <v>343</v>
      </c>
      <c r="U296" s="304">
        <v>311</v>
      </c>
      <c r="V296" s="304">
        <v>292</v>
      </c>
      <c r="W296" s="304">
        <v>258</v>
      </c>
      <c r="X296" s="304">
        <v>282</v>
      </c>
      <c r="Y296" s="304">
        <v>209</v>
      </c>
      <c r="Z296" s="304">
        <v>324</v>
      </c>
      <c r="AA296" s="304">
        <v>188</v>
      </c>
      <c r="AB296" s="304">
        <v>239</v>
      </c>
      <c r="AC296" s="304">
        <v>240</v>
      </c>
      <c r="AD296" s="304">
        <v>195</v>
      </c>
      <c r="AE296" s="304">
        <f t="shared" si="245"/>
        <v>3145</v>
      </c>
      <c r="AF296" s="305">
        <f t="shared" si="296"/>
        <v>262.08333333333331</v>
      </c>
      <c r="AG296" s="374"/>
      <c r="AH296" s="303">
        <v>295</v>
      </c>
      <c r="AI296" s="304">
        <v>258</v>
      </c>
      <c r="AJ296" s="304">
        <v>311</v>
      </c>
      <c r="AK296" s="304">
        <v>336</v>
      </c>
      <c r="AL296" s="304">
        <v>347</v>
      </c>
      <c r="AM296" s="304">
        <v>294</v>
      </c>
      <c r="AN296" s="304">
        <v>357</v>
      </c>
      <c r="AO296" s="304">
        <v>297</v>
      </c>
      <c r="AP296" s="304">
        <v>265</v>
      </c>
      <c r="AQ296" s="304">
        <v>359</v>
      </c>
      <c r="AR296" s="304">
        <v>302</v>
      </c>
      <c r="AS296" s="304">
        <v>279</v>
      </c>
      <c r="AT296" s="304">
        <f t="shared" si="278"/>
        <v>3700</v>
      </c>
      <c r="AU296" s="305">
        <f t="shared" si="276"/>
        <v>308.33333333333331</v>
      </c>
      <c r="AV296" s="374"/>
      <c r="AW296" s="2022">
        <v>174</v>
      </c>
      <c r="AX296" s="304">
        <v>397</v>
      </c>
      <c r="AY296" s="304">
        <v>323</v>
      </c>
      <c r="AZ296" s="304">
        <v>448</v>
      </c>
      <c r="BA296" s="304">
        <v>576</v>
      </c>
      <c r="BB296" s="304">
        <v>396</v>
      </c>
      <c r="BC296" s="304">
        <v>539</v>
      </c>
      <c r="BD296" s="304">
        <v>373</v>
      </c>
      <c r="BE296" s="304">
        <v>316</v>
      </c>
      <c r="BF296" s="304">
        <v>280</v>
      </c>
      <c r="BG296" s="304">
        <v>239</v>
      </c>
      <c r="BH296" s="304">
        <v>206</v>
      </c>
      <c r="BI296" s="304">
        <f t="shared" si="288"/>
        <v>4267</v>
      </c>
      <c r="BJ296" s="305">
        <f t="shared" si="271"/>
        <v>355.55370385801183</v>
      </c>
      <c r="BL296" s="317">
        <f>ROW()</f>
        <v>296</v>
      </c>
      <c r="BM296" s="1432">
        <f t="shared" si="289"/>
        <v>-73</v>
      </c>
      <c r="BN296" s="317">
        <f t="shared" si="275"/>
        <v>47.220370524678515</v>
      </c>
      <c r="BO296" s="317">
        <f t="shared" si="290"/>
        <v>567</v>
      </c>
      <c r="BP296" s="594">
        <f t="shared" si="272"/>
        <v>-33</v>
      </c>
    </row>
    <row r="297" spans="1:68" ht="17.399999999999999" customHeight="1" x14ac:dyDescent="0.55000000000000004">
      <c r="A297" s="7222"/>
      <c r="B297" s="7208"/>
      <c r="C297" s="203" t="s">
        <v>234</v>
      </c>
      <c r="D297" s="303">
        <v>206</v>
      </c>
      <c r="E297" s="304">
        <v>200</v>
      </c>
      <c r="F297" s="304">
        <v>172</v>
      </c>
      <c r="G297" s="304">
        <v>146</v>
      </c>
      <c r="H297" s="304">
        <v>132</v>
      </c>
      <c r="I297" s="304">
        <v>212</v>
      </c>
      <c r="J297" s="304">
        <v>138</v>
      </c>
      <c r="K297" s="304">
        <v>215</v>
      </c>
      <c r="L297" s="304">
        <v>135</v>
      </c>
      <c r="M297" s="304">
        <v>165</v>
      </c>
      <c r="N297" s="304">
        <v>153</v>
      </c>
      <c r="O297" s="304">
        <v>172</v>
      </c>
      <c r="P297" s="304">
        <f t="shared" si="277"/>
        <v>2046</v>
      </c>
      <c r="Q297" s="305">
        <f t="shared" si="295"/>
        <v>170.5</v>
      </c>
      <c r="R297" s="374"/>
      <c r="S297" s="303">
        <v>176</v>
      </c>
      <c r="T297" s="304">
        <v>238</v>
      </c>
      <c r="U297" s="304">
        <v>167</v>
      </c>
      <c r="V297" s="304">
        <v>184</v>
      </c>
      <c r="W297" s="304">
        <v>169</v>
      </c>
      <c r="X297" s="304">
        <v>169</v>
      </c>
      <c r="Y297" s="304">
        <v>134</v>
      </c>
      <c r="Z297" s="304">
        <v>221</v>
      </c>
      <c r="AA297" s="304">
        <v>129</v>
      </c>
      <c r="AB297" s="304">
        <v>140</v>
      </c>
      <c r="AC297" s="304">
        <v>134</v>
      </c>
      <c r="AD297" s="304">
        <v>132</v>
      </c>
      <c r="AE297" s="304">
        <f t="shared" si="245"/>
        <v>1993</v>
      </c>
      <c r="AF297" s="305">
        <f t="shared" si="296"/>
        <v>166.08333333333334</v>
      </c>
      <c r="AG297" s="374"/>
      <c r="AH297" s="303">
        <v>245</v>
      </c>
      <c r="AI297" s="304">
        <v>167</v>
      </c>
      <c r="AJ297" s="304">
        <v>217</v>
      </c>
      <c r="AK297" s="304">
        <v>212</v>
      </c>
      <c r="AL297" s="304">
        <v>234</v>
      </c>
      <c r="AM297" s="304">
        <v>197</v>
      </c>
      <c r="AN297" s="304">
        <v>276</v>
      </c>
      <c r="AO297" s="304">
        <v>163</v>
      </c>
      <c r="AP297" s="304">
        <v>205</v>
      </c>
      <c r="AQ297" s="304">
        <v>186</v>
      </c>
      <c r="AR297" s="304">
        <v>193</v>
      </c>
      <c r="AS297" s="304">
        <v>158</v>
      </c>
      <c r="AT297" s="304">
        <f t="shared" si="278"/>
        <v>2453</v>
      </c>
      <c r="AU297" s="305">
        <f t="shared" si="276"/>
        <v>204.41666666666666</v>
      </c>
      <c r="AV297" s="374"/>
      <c r="AW297" s="2022">
        <v>146</v>
      </c>
      <c r="AX297" s="304">
        <v>291</v>
      </c>
      <c r="AY297" s="304">
        <v>204</v>
      </c>
      <c r="AZ297" s="304">
        <v>268</v>
      </c>
      <c r="BA297" s="304">
        <v>408</v>
      </c>
      <c r="BB297" s="304">
        <v>234</v>
      </c>
      <c r="BC297" s="304">
        <v>337</v>
      </c>
      <c r="BD297" s="304">
        <v>235</v>
      </c>
      <c r="BE297" s="304">
        <v>238</v>
      </c>
      <c r="BF297" s="304">
        <v>149</v>
      </c>
      <c r="BG297" s="304">
        <v>149</v>
      </c>
      <c r="BH297" s="304">
        <v>159</v>
      </c>
      <c r="BI297" s="304">
        <f t="shared" si="288"/>
        <v>2818</v>
      </c>
      <c r="BJ297" s="305">
        <f t="shared" si="271"/>
        <v>234.81376551954006</v>
      </c>
      <c r="BL297" s="317">
        <f>ROW()</f>
        <v>297</v>
      </c>
      <c r="BM297" s="1432">
        <f t="shared" si="289"/>
        <v>1</v>
      </c>
      <c r="BN297" s="317">
        <f t="shared" si="275"/>
        <v>30.397098852873398</v>
      </c>
      <c r="BO297" s="317">
        <f t="shared" si="290"/>
        <v>365</v>
      </c>
      <c r="BP297" s="594">
        <f t="shared" si="272"/>
        <v>10</v>
      </c>
    </row>
    <row r="298" spans="1:68" ht="17.399999999999999" customHeight="1" x14ac:dyDescent="0.55000000000000004">
      <c r="A298" s="7222"/>
      <c r="B298" s="7208"/>
      <c r="C298" s="202" t="s">
        <v>235</v>
      </c>
      <c r="D298" s="300">
        <v>247</v>
      </c>
      <c r="E298" s="301">
        <v>171</v>
      </c>
      <c r="F298" s="301">
        <v>171</v>
      </c>
      <c r="G298" s="301">
        <v>150</v>
      </c>
      <c r="H298" s="301">
        <v>174</v>
      </c>
      <c r="I298" s="301">
        <v>171</v>
      </c>
      <c r="J298" s="301">
        <v>171</v>
      </c>
      <c r="K298" s="301">
        <v>235</v>
      </c>
      <c r="L298" s="301">
        <v>142</v>
      </c>
      <c r="M298" s="301">
        <v>167</v>
      </c>
      <c r="N298" s="301">
        <v>225</v>
      </c>
      <c r="O298" s="301">
        <v>144</v>
      </c>
      <c r="P298" s="301">
        <f t="shared" si="277"/>
        <v>2168</v>
      </c>
      <c r="Q298" s="302">
        <f t="shared" si="295"/>
        <v>180.66666666666666</v>
      </c>
      <c r="R298" s="374"/>
      <c r="S298" s="300">
        <v>192</v>
      </c>
      <c r="T298" s="301">
        <v>235</v>
      </c>
      <c r="U298" s="301">
        <v>151</v>
      </c>
      <c r="V298" s="301">
        <v>172</v>
      </c>
      <c r="W298" s="301">
        <v>140</v>
      </c>
      <c r="X298" s="301">
        <v>131</v>
      </c>
      <c r="Y298" s="301">
        <v>114</v>
      </c>
      <c r="Z298" s="301">
        <v>213</v>
      </c>
      <c r="AA298" s="301">
        <v>112</v>
      </c>
      <c r="AB298" s="301">
        <v>125</v>
      </c>
      <c r="AC298" s="301">
        <v>104</v>
      </c>
      <c r="AD298" s="301">
        <v>82</v>
      </c>
      <c r="AE298" s="301">
        <f t="shared" si="245"/>
        <v>1771</v>
      </c>
      <c r="AF298" s="302">
        <f t="shared" si="296"/>
        <v>147.58333333333334</v>
      </c>
      <c r="AG298" s="374"/>
      <c r="AH298" s="300">
        <v>200</v>
      </c>
      <c r="AI298" s="301">
        <v>108</v>
      </c>
      <c r="AJ298" s="301">
        <v>185</v>
      </c>
      <c r="AK298" s="301">
        <v>197</v>
      </c>
      <c r="AL298" s="301">
        <v>199</v>
      </c>
      <c r="AM298" s="301">
        <v>187</v>
      </c>
      <c r="AN298" s="301">
        <v>188</v>
      </c>
      <c r="AO298" s="301">
        <v>163</v>
      </c>
      <c r="AP298" s="301">
        <v>147</v>
      </c>
      <c r="AQ298" s="301">
        <v>141</v>
      </c>
      <c r="AR298" s="301">
        <v>183</v>
      </c>
      <c r="AS298" s="301">
        <v>133</v>
      </c>
      <c r="AT298" s="301">
        <f t="shared" si="278"/>
        <v>2031</v>
      </c>
      <c r="AU298" s="302">
        <f t="shared" si="276"/>
        <v>169.25</v>
      </c>
      <c r="AV298" s="374"/>
      <c r="AW298" s="2021">
        <v>128</v>
      </c>
      <c r="AX298" s="301">
        <v>284</v>
      </c>
      <c r="AY298" s="301">
        <v>213.99999999999997</v>
      </c>
      <c r="AZ298" s="301">
        <v>208</v>
      </c>
      <c r="BA298" s="301">
        <v>313</v>
      </c>
      <c r="BB298" s="301">
        <v>164</v>
      </c>
      <c r="BC298" s="301">
        <v>269</v>
      </c>
      <c r="BD298" s="301">
        <v>201</v>
      </c>
      <c r="BE298" s="301">
        <v>177</v>
      </c>
      <c r="BF298" s="301">
        <v>147</v>
      </c>
      <c r="BG298" s="301">
        <v>143</v>
      </c>
      <c r="BH298" s="301">
        <v>133</v>
      </c>
      <c r="BI298" s="301">
        <f t="shared" si="288"/>
        <v>2381</v>
      </c>
      <c r="BJ298" s="302">
        <f t="shared" si="271"/>
        <v>198.40013332222316</v>
      </c>
      <c r="BL298" s="317">
        <f>ROW()</f>
        <v>298</v>
      </c>
      <c r="BM298" s="1432">
        <f t="shared" si="289"/>
        <v>0</v>
      </c>
      <c r="BN298" s="317">
        <f t="shared" si="275"/>
        <v>29.150133322223155</v>
      </c>
      <c r="BO298" s="317">
        <f t="shared" si="290"/>
        <v>350</v>
      </c>
      <c r="BP298" s="594">
        <f t="shared" si="272"/>
        <v>-10</v>
      </c>
    </row>
    <row r="299" spans="1:68" ht="18" customHeight="1" thickBot="1" x14ac:dyDescent="0.6">
      <c r="A299" s="7222"/>
      <c r="B299" s="7209"/>
      <c r="C299" s="204" t="s">
        <v>236</v>
      </c>
      <c r="D299" s="306">
        <v>205</v>
      </c>
      <c r="E299" s="307">
        <v>136</v>
      </c>
      <c r="F299" s="307">
        <v>137</v>
      </c>
      <c r="G299" s="307">
        <v>131</v>
      </c>
      <c r="H299" s="307">
        <v>124</v>
      </c>
      <c r="I299" s="307">
        <v>120</v>
      </c>
      <c r="J299" s="307">
        <v>105</v>
      </c>
      <c r="K299" s="307">
        <v>113</v>
      </c>
      <c r="L299" s="307">
        <v>94</v>
      </c>
      <c r="M299" s="307">
        <v>89</v>
      </c>
      <c r="N299" s="307">
        <v>90</v>
      </c>
      <c r="O299" s="307">
        <v>103</v>
      </c>
      <c r="P299" s="307">
        <f t="shared" si="277"/>
        <v>1447</v>
      </c>
      <c r="Q299" s="308">
        <f t="shared" si="295"/>
        <v>120.58333333333333</v>
      </c>
      <c r="R299" s="374"/>
      <c r="S299" s="306">
        <v>92</v>
      </c>
      <c r="T299" s="307">
        <v>83</v>
      </c>
      <c r="U299" s="307">
        <v>97</v>
      </c>
      <c r="V299" s="307">
        <v>132</v>
      </c>
      <c r="W299" s="307">
        <v>91</v>
      </c>
      <c r="X299" s="307">
        <v>107</v>
      </c>
      <c r="Y299" s="307">
        <v>123</v>
      </c>
      <c r="Z299" s="307">
        <v>115</v>
      </c>
      <c r="AA299" s="307">
        <v>105</v>
      </c>
      <c r="AB299" s="307">
        <v>126</v>
      </c>
      <c r="AC299" s="307">
        <v>108</v>
      </c>
      <c r="AD299" s="307">
        <v>108</v>
      </c>
      <c r="AE299" s="307">
        <f t="shared" si="245"/>
        <v>1287</v>
      </c>
      <c r="AF299" s="308">
        <f t="shared" si="296"/>
        <v>107.25</v>
      </c>
      <c r="AG299" s="374"/>
      <c r="AH299" s="306">
        <v>119</v>
      </c>
      <c r="AI299" s="307">
        <v>128</v>
      </c>
      <c r="AJ299" s="307">
        <v>156</v>
      </c>
      <c r="AK299" s="307">
        <v>164</v>
      </c>
      <c r="AL299" s="307">
        <v>165</v>
      </c>
      <c r="AM299" s="307">
        <v>149</v>
      </c>
      <c r="AN299" s="307">
        <v>165</v>
      </c>
      <c r="AO299" s="307">
        <v>120</v>
      </c>
      <c r="AP299" s="307">
        <v>163</v>
      </c>
      <c r="AQ299" s="307">
        <v>144</v>
      </c>
      <c r="AR299" s="307">
        <v>161</v>
      </c>
      <c r="AS299" s="307">
        <v>135</v>
      </c>
      <c r="AT299" s="307">
        <f t="shared" si="278"/>
        <v>1769</v>
      </c>
      <c r="AU299" s="308">
        <f t="shared" si="276"/>
        <v>147.41666666666666</v>
      </c>
      <c r="AV299" s="374"/>
      <c r="AW299" s="2023">
        <v>115.99999999999999</v>
      </c>
      <c r="AX299" s="307">
        <v>213</v>
      </c>
      <c r="AY299" s="307">
        <v>192</v>
      </c>
      <c r="AZ299" s="307">
        <v>161</v>
      </c>
      <c r="BA299" s="307">
        <v>301</v>
      </c>
      <c r="BB299" s="307">
        <v>208</v>
      </c>
      <c r="BC299" s="307">
        <v>243.99999999999997</v>
      </c>
      <c r="BD299" s="307">
        <v>189</v>
      </c>
      <c r="BE299" s="307">
        <v>146</v>
      </c>
      <c r="BF299" s="307">
        <v>145</v>
      </c>
      <c r="BG299" s="307">
        <v>141</v>
      </c>
      <c r="BH299" s="307">
        <v>132</v>
      </c>
      <c r="BI299" s="307">
        <f t="shared" si="288"/>
        <v>2188</v>
      </c>
      <c r="BJ299" s="308">
        <f t="shared" si="271"/>
        <v>182.31814015498711</v>
      </c>
      <c r="BL299" s="317">
        <f>ROW()</f>
        <v>299</v>
      </c>
      <c r="BM299" s="1432">
        <f t="shared" si="289"/>
        <v>-3</v>
      </c>
      <c r="BN299" s="317">
        <f t="shared" si="275"/>
        <v>34.901473488320448</v>
      </c>
      <c r="BO299" s="317">
        <f t="shared" si="290"/>
        <v>419</v>
      </c>
      <c r="BP299" s="594">
        <f t="shared" si="272"/>
        <v>-9</v>
      </c>
    </row>
    <row r="300" spans="1:68" ht="17.399999999999999" customHeight="1" x14ac:dyDescent="0.55000000000000004">
      <c r="A300" s="7222"/>
      <c r="B300" s="7213" t="s">
        <v>1119</v>
      </c>
      <c r="C300" s="199" t="s">
        <v>419</v>
      </c>
      <c r="D300" s="291">
        <f>D305+D306</f>
        <v>106</v>
      </c>
      <c r="E300" s="292">
        <f t="shared" ref="E300:O300" si="297">E305+E306</f>
        <v>136</v>
      </c>
      <c r="F300" s="292">
        <f t="shared" si="297"/>
        <v>100</v>
      </c>
      <c r="G300" s="292">
        <f t="shared" si="297"/>
        <v>116</v>
      </c>
      <c r="H300" s="292">
        <f t="shared" si="297"/>
        <v>68</v>
      </c>
      <c r="I300" s="292">
        <f t="shared" si="297"/>
        <v>139</v>
      </c>
      <c r="J300" s="292">
        <f t="shared" si="297"/>
        <v>130</v>
      </c>
      <c r="K300" s="292">
        <f t="shared" si="297"/>
        <v>101</v>
      </c>
      <c r="L300" s="292">
        <f t="shared" si="297"/>
        <v>251</v>
      </c>
      <c r="M300" s="292">
        <f t="shared" si="297"/>
        <v>645</v>
      </c>
      <c r="N300" s="292">
        <f t="shared" si="297"/>
        <v>157</v>
      </c>
      <c r="O300" s="292">
        <f t="shared" si="297"/>
        <v>131</v>
      </c>
      <c r="P300" s="292">
        <f t="shared" si="277"/>
        <v>2080</v>
      </c>
      <c r="Q300" s="293">
        <f t="shared" si="295"/>
        <v>173.33333333333334</v>
      </c>
      <c r="R300" s="374"/>
      <c r="S300" s="291">
        <v>37</v>
      </c>
      <c r="T300" s="292">
        <v>40</v>
      </c>
      <c r="U300" s="292">
        <v>74</v>
      </c>
      <c r="V300" s="292">
        <v>93</v>
      </c>
      <c r="W300" s="292">
        <v>83</v>
      </c>
      <c r="X300" s="292">
        <v>50</v>
      </c>
      <c r="Y300" s="292">
        <v>57</v>
      </c>
      <c r="Z300" s="292">
        <v>50</v>
      </c>
      <c r="AA300" s="292">
        <v>56</v>
      </c>
      <c r="AB300" s="292">
        <v>38</v>
      </c>
      <c r="AC300" s="292">
        <v>55</v>
      </c>
      <c r="AD300" s="292">
        <v>32</v>
      </c>
      <c r="AE300" s="292">
        <f t="shared" si="245"/>
        <v>665</v>
      </c>
      <c r="AF300" s="293">
        <f t="shared" si="296"/>
        <v>55.416666666666664</v>
      </c>
      <c r="AG300" s="374"/>
      <c r="AH300" s="291">
        <v>50</v>
      </c>
      <c r="AI300" s="292">
        <v>48</v>
      </c>
      <c r="AJ300" s="292">
        <v>42</v>
      </c>
      <c r="AK300" s="292">
        <v>51</v>
      </c>
      <c r="AL300" s="292">
        <v>59</v>
      </c>
      <c r="AM300" s="292">
        <v>54</v>
      </c>
      <c r="AN300" s="292">
        <v>59</v>
      </c>
      <c r="AO300" s="292">
        <v>168</v>
      </c>
      <c r="AP300" s="292">
        <v>67</v>
      </c>
      <c r="AQ300" s="292">
        <v>70</v>
      </c>
      <c r="AR300" s="292">
        <v>81</v>
      </c>
      <c r="AS300" s="292">
        <v>57</v>
      </c>
      <c r="AT300" s="292">
        <f t="shared" si="278"/>
        <v>806</v>
      </c>
      <c r="AU300" s="293">
        <f t="shared" si="276"/>
        <v>67.166666666666671</v>
      </c>
      <c r="AV300" s="374"/>
      <c r="AW300" s="2015">
        <v>44</v>
      </c>
      <c r="AX300" s="292">
        <v>66</v>
      </c>
      <c r="AY300" s="292">
        <v>49</v>
      </c>
      <c r="AZ300" s="292">
        <v>55</v>
      </c>
      <c r="BA300" s="292">
        <v>96</v>
      </c>
      <c r="BB300" s="292">
        <v>55</v>
      </c>
      <c r="BC300" s="292">
        <v>77</v>
      </c>
      <c r="BD300" s="292">
        <v>47</v>
      </c>
      <c r="BE300" s="292">
        <v>50</v>
      </c>
      <c r="BF300" s="292">
        <v>62</v>
      </c>
      <c r="BG300" s="292">
        <v>45</v>
      </c>
      <c r="BH300" s="292">
        <v>39</v>
      </c>
      <c r="BI300" s="292">
        <f t="shared" si="288"/>
        <v>685</v>
      </c>
      <c r="BJ300" s="293">
        <f t="shared" si="271"/>
        <v>57.078576785267899</v>
      </c>
      <c r="BL300" s="317">
        <f>ROW()</f>
        <v>300</v>
      </c>
      <c r="BM300" s="1432">
        <f t="shared" si="289"/>
        <v>-18</v>
      </c>
      <c r="BN300" s="317">
        <f t="shared" si="275"/>
        <v>-10.088089881398773</v>
      </c>
      <c r="BO300" s="317">
        <f t="shared" si="290"/>
        <v>-121</v>
      </c>
      <c r="BP300" s="594">
        <f t="shared" si="272"/>
        <v>-6</v>
      </c>
    </row>
    <row r="301" spans="1:68" ht="17.399999999999999" customHeight="1" x14ac:dyDescent="0.55000000000000004">
      <c r="A301" s="7222"/>
      <c r="B301" s="7214"/>
      <c r="C301" s="200" t="s">
        <v>420</v>
      </c>
      <c r="D301" s="294">
        <f>D307+D308</f>
        <v>39</v>
      </c>
      <c r="E301" s="295">
        <f t="shared" ref="E301:O301" si="298">E307+E308</f>
        <v>51</v>
      </c>
      <c r="F301" s="295">
        <f t="shared" si="298"/>
        <v>64</v>
      </c>
      <c r="G301" s="295">
        <f t="shared" si="298"/>
        <v>99</v>
      </c>
      <c r="H301" s="295">
        <f t="shared" si="298"/>
        <v>227</v>
      </c>
      <c r="I301" s="295">
        <f t="shared" si="298"/>
        <v>61</v>
      </c>
      <c r="J301" s="295">
        <f t="shared" si="298"/>
        <v>53</v>
      </c>
      <c r="K301" s="295">
        <f t="shared" si="298"/>
        <v>53</v>
      </c>
      <c r="L301" s="295">
        <f t="shared" si="298"/>
        <v>169</v>
      </c>
      <c r="M301" s="295">
        <f t="shared" si="298"/>
        <v>454</v>
      </c>
      <c r="N301" s="295">
        <f t="shared" si="298"/>
        <v>256</v>
      </c>
      <c r="O301" s="295">
        <f t="shared" si="298"/>
        <v>144</v>
      </c>
      <c r="P301" s="295">
        <f t="shared" si="277"/>
        <v>1670</v>
      </c>
      <c r="Q301" s="296">
        <f t="shared" si="295"/>
        <v>139.16666666666666</v>
      </c>
      <c r="R301" s="374"/>
      <c r="S301" s="294">
        <v>61</v>
      </c>
      <c r="T301" s="295">
        <v>58</v>
      </c>
      <c r="U301" s="295">
        <v>72</v>
      </c>
      <c r="V301" s="295">
        <v>85</v>
      </c>
      <c r="W301" s="295">
        <v>105</v>
      </c>
      <c r="X301" s="295">
        <v>48</v>
      </c>
      <c r="Y301" s="295">
        <v>31</v>
      </c>
      <c r="Z301" s="295">
        <v>48</v>
      </c>
      <c r="AA301" s="295">
        <v>41</v>
      </c>
      <c r="AB301" s="295">
        <v>50</v>
      </c>
      <c r="AC301" s="295">
        <v>42</v>
      </c>
      <c r="AD301" s="295">
        <v>38</v>
      </c>
      <c r="AE301" s="295">
        <f t="shared" si="245"/>
        <v>679</v>
      </c>
      <c r="AF301" s="296">
        <f t="shared" si="296"/>
        <v>56.583333333333336</v>
      </c>
      <c r="AG301" s="374"/>
      <c r="AH301" s="294">
        <v>23</v>
      </c>
      <c r="AI301" s="295">
        <v>29</v>
      </c>
      <c r="AJ301" s="295">
        <v>26</v>
      </c>
      <c r="AK301" s="295">
        <v>23</v>
      </c>
      <c r="AL301" s="295">
        <v>28</v>
      </c>
      <c r="AM301" s="295">
        <v>40</v>
      </c>
      <c r="AN301" s="295">
        <v>45</v>
      </c>
      <c r="AO301" s="295">
        <v>91</v>
      </c>
      <c r="AP301" s="295">
        <v>71</v>
      </c>
      <c r="AQ301" s="295">
        <v>61</v>
      </c>
      <c r="AR301" s="295">
        <v>53</v>
      </c>
      <c r="AS301" s="295">
        <v>38</v>
      </c>
      <c r="AT301" s="295">
        <f t="shared" si="278"/>
        <v>528</v>
      </c>
      <c r="AU301" s="296">
        <f t="shared" si="276"/>
        <v>44</v>
      </c>
      <c r="AV301" s="374"/>
      <c r="AW301" s="2016">
        <v>20</v>
      </c>
      <c r="AX301" s="295">
        <v>42</v>
      </c>
      <c r="AY301" s="295">
        <v>34</v>
      </c>
      <c r="AZ301" s="295">
        <v>32</v>
      </c>
      <c r="BA301" s="295">
        <v>55</v>
      </c>
      <c r="BB301" s="295">
        <v>18</v>
      </c>
      <c r="BC301" s="295">
        <v>23</v>
      </c>
      <c r="BD301" s="295">
        <v>17</v>
      </c>
      <c r="BE301" s="295">
        <v>22</v>
      </c>
      <c r="BF301" s="295">
        <v>15</v>
      </c>
      <c r="BG301" s="295">
        <v>17</v>
      </c>
      <c r="BH301" s="295">
        <v>9</v>
      </c>
      <c r="BI301" s="295">
        <f t="shared" si="288"/>
        <v>304</v>
      </c>
      <c r="BJ301" s="296">
        <f t="shared" si="271"/>
        <v>25.331222398133491</v>
      </c>
      <c r="BL301" s="317">
        <f>ROW()</f>
        <v>301</v>
      </c>
      <c r="BM301" s="1432">
        <f t="shared" si="289"/>
        <v>-29</v>
      </c>
      <c r="BN301" s="317">
        <f t="shared" si="275"/>
        <v>-18.668777601866509</v>
      </c>
      <c r="BO301" s="317">
        <f t="shared" si="290"/>
        <v>-224</v>
      </c>
      <c r="BP301" s="594">
        <f t="shared" si="272"/>
        <v>-8</v>
      </c>
    </row>
    <row r="302" spans="1:68" ht="17.399999999999999" customHeight="1" x14ac:dyDescent="0.55000000000000004">
      <c r="A302" s="7222"/>
      <c r="B302" s="7214"/>
      <c r="C302" s="200" t="s">
        <v>421</v>
      </c>
      <c r="D302" s="294">
        <f>D309+D310</f>
        <v>74</v>
      </c>
      <c r="E302" s="295">
        <f t="shared" ref="E302:O302" si="299">E309+E310</f>
        <v>67</v>
      </c>
      <c r="F302" s="295">
        <f t="shared" si="299"/>
        <v>107</v>
      </c>
      <c r="G302" s="295">
        <f t="shared" si="299"/>
        <v>125</v>
      </c>
      <c r="H302" s="295">
        <f t="shared" si="299"/>
        <v>94</v>
      </c>
      <c r="I302" s="295">
        <f t="shared" si="299"/>
        <v>130</v>
      </c>
      <c r="J302" s="295">
        <f t="shared" si="299"/>
        <v>94</v>
      </c>
      <c r="K302" s="295">
        <f t="shared" si="299"/>
        <v>88</v>
      </c>
      <c r="L302" s="295">
        <f t="shared" si="299"/>
        <v>186</v>
      </c>
      <c r="M302" s="295">
        <f t="shared" si="299"/>
        <v>401</v>
      </c>
      <c r="N302" s="295">
        <f t="shared" si="299"/>
        <v>228</v>
      </c>
      <c r="O302" s="295">
        <f t="shared" si="299"/>
        <v>201</v>
      </c>
      <c r="P302" s="295">
        <f t="shared" si="277"/>
        <v>1795</v>
      </c>
      <c r="Q302" s="296">
        <f t="shared" si="295"/>
        <v>149.58333333333334</v>
      </c>
      <c r="R302" s="374"/>
      <c r="S302" s="294">
        <v>29</v>
      </c>
      <c r="T302" s="295">
        <v>56</v>
      </c>
      <c r="U302" s="295">
        <v>29</v>
      </c>
      <c r="V302" s="295">
        <v>49</v>
      </c>
      <c r="W302" s="295">
        <v>42</v>
      </c>
      <c r="X302" s="295">
        <v>43</v>
      </c>
      <c r="Y302" s="295">
        <v>31</v>
      </c>
      <c r="Z302" s="295">
        <v>24</v>
      </c>
      <c r="AA302" s="295">
        <v>30</v>
      </c>
      <c r="AB302" s="295">
        <v>37</v>
      </c>
      <c r="AC302" s="295">
        <v>40</v>
      </c>
      <c r="AD302" s="295">
        <v>56</v>
      </c>
      <c r="AE302" s="295">
        <f t="shared" si="245"/>
        <v>466</v>
      </c>
      <c r="AF302" s="296">
        <f t="shared" si="296"/>
        <v>38.833333333333336</v>
      </c>
      <c r="AG302" s="374"/>
      <c r="AH302" s="294">
        <v>32</v>
      </c>
      <c r="AI302" s="295">
        <v>20</v>
      </c>
      <c r="AJ302" s="295">
        <v>34</v>
      </c>
      <c r="AK302" s="295">
        <v>21</v>
      </c>
      <c r="AL302" s="295">
        <v>40</v>
      </c>
      <c r="AM302" s="295">
        <v>29</v>
      </c>
      <c r="AN302" s="295">
        <v>59</v>
      </c>
      <c r="AO302" s="295">
        <v>95</v>
      </c>
      <c r="AP302" s="295">
        <v>38</v>
      </c>
      <c r="AQ302" s="295">
        <v>85</v>
      </c>
      <c r="AR302" s="295">
        <v>44</v>
      </c>
      <c r="AS302" s="295">
        <v>40</v>
      </c>
      <c r="AT302" s="295">
        <f t="shared" si="278"/>
        <v>537</v>
      </c>
      <c r="AU302" s="296">
        <f t="shared" si="276"/>
        <v>44.75</v>
      </c>
      <c r="AV302" s="374"/>
      <c r="AW302" s="2016">
        <v>76</v>
      </c>
      <c r="AX302" s="295">
        <v>53</v>
      </c>
      <c r="AY302" s="295">
        <v>37</v>
      </c>
      <c r="AZ302" s="295">
        <v>36</v>
      </c>
      <c r="BA302" s="295">
        <v>66</v>
      </c>
      <c r="BB302" s="295">
        <v>35</v>
      </c>
      <c r="BC302" s="295">
        <v>40</v>
      </c>
      <c r="BD302" s="295">
        <v>36</v>
      </c>
      <c r="BE302" s="295">
        <v>37</v>
      </c>
      <c r="BF302" s="295">
        <v>17</v>
      </c>
      <c r="BG302" s="295">
        <v>15</v>
      </c>
      <c r="BH302" s="295">
        <v>11</v>
      </c>
      <c r="BI302" s="295">
        <f t="shared" si="288"/>
        <v>459</v>
      </c>
      <c r="BJ302" s="296">
        <f t="shared" si="271"/>
        <v>38.246812765602868</v>
      </c>
      <c r="BL302" s="317">
        <f>ROW()</f>
        <v>302</v>
      </c>
      <c r="BM302" s="1432">
        <f t="shared" si="289"/>
        <v>-29</v>
      </c>
      <c r="BN302" s="317">
        <f t="shared" si="275"/>
        <v>-6.5031872343971315</v>
      </c>
      <c r="BO302" s="317">
        <f t="shared" si="290"/>
        <v>-78</v>
      </c>
      <c r="BP302" s="594">
        <f t="shared" si="272"/>
        <v>-4</v>
      </c>
    </row>
    <row r="303" spans="1:68" ht="17.399999999999999" customHeight="1" x14ac:dyDescent="0.55000000000000004">
      <c r="A303" s="7222"/>
      <c r="B303" s="7214"/>
      <c r="C303" s="200" t="s">
        <v>422</v>
      </c>
      <c r="D303" s="294">
        <f>D311+D312</f>
        <v>153</v>
      </c>
      <c r="E303" s="295">
        <f t="shared" ref="E303:O303" si="300">E311+E312</f>
        <v>121</v>
      </c>
      <c r="F303" s="295">
        <f t="shared" si="300"/>
        <v>181</v>
      </c>
      <c r="G303" s="295">
        <f t="shared" si="300"/>
        <v>193</v>
      </c>
      <c r="H303" s="295">
        <f t="shared" si="300"/>
        <v>116</v>
      </c>
      <c r="I303" s="295">
        <f t="shared" si="300"/>
        <v>75</v>
      </c>
      <c r="J303" s="295">
        <f t="shared" si="300"/>
        <v>101</v>
      </c>
      <c r="K303" s="295">
        <f t="shared" si="300"/>
        <v>75</v>
      </c>
      <c r="L303" s="295">
        <f t="shared" si="300"/>
        <v>79</v>
      </c>
      <c r="M303" s="295">
        <f t="shared" si="300"/>
        <v>126</v>
      </c>
      <c r="N303" s="295">
        <f t="shared" si="300"/>
        <v>99</v>
      </c>
      <c r="O303" s="295">
        <f t="shared" si="300"/>
        <v>60</v>
      </c>
      <c r="P303" s="295">
        <f t="shared" si="277"/>
        <v>1379</v>
      </c>
      <c r="Q303" s="296">
        <f t="shared" si="295"/>
        <v>114.91666666666667</v>
      </c>
      <c r="R303" s="374"/>
      <c r="S303" s="294">
        <v>68</v>
      </c>
      <c r="T303" s="295">
        <v>87</v>
      </c>
      <c r="U303" s="295">
        <v>110</v>
      </c>
      <c r="V303" s="295">
        <v>91</v>
      </c>
      <c r="W303" s="295">
        <v>135</v>
      </c>
      <c r="X303" s="295">
        <v>104</v>
      </c>
      <c r="Y303" s="295">
        <v>69</v>
      </c>
      <c r="Z303" s="295">
        <v>76</v>
      </c>
      <c r="AA303" s="295">
        <v>92</v>
      </c>
      <c r="AB303" s="295">
        <v>75</v>
      </c>
      <c r="AC303" s="295">
        <v>86</v>
      </c>
      <c r="AD303" s="295">
        <v>66</v>
      </c>
      <c r="AE303" s="295">
        <f t="shared" si="245"/>
        <v>1059</v>
      </c>
      <c r="AF303" s="296">
        <f t="shared" si="296"/>
        <v>88.25</v>
      </c>
      <c r="AG303" s="374"/>
      <c r="AH303" s="294">
        <v>77</v>
      </c>
      <c r="AI303" s="295">
        <v>57</v>
      </c>
      <c r="AJ303" s="295">
        <v>95</v>
      </c>
      <c r="AK303" s="295">
        <v>78</v>
      </c>
      <c r="AL303" s="295">
        <v>82</v>
      </c>
      <c r="AM303" s="295">
        <v>112</v>
      </c>
      <c r="AN303" s="295">
        <v>102</v>
      </c>
      <c r="AO303" s="295">
        <v>208</v>
      </c>
      <c r="AP303" s="295">
        <v>110</v>
      </c>
      <c r="AQ303" s="295">
        <v>135</v>
      </c>
      <c r="AR303" s="295">
        <v>97</v>
      </c>
      <c r="AS303" s="295">
        <v>61</v>
      </c>
      <c r="AT303" s="295">
        <f t="shared" si="278"/>
        <v>1214</v>
      </c>
      <c r="AU303" s="296">
        <f t="shared" si="276"/>
        <v>101.16666666666667</v>
      </c>
      <c r="AV303" s="374"/>
      <c r="AW303" s="2016">
        <v>84</v>
      </c>
      <c r="AX303" s="295">
        <v>48</v>
      </c>
      <c r="AY303" s="295">
        <v>100</v>
      </c>
      <c r="AZ303" s="295">
        <v>213</v>
      </c>
      <c r="BA303" s="295">
        <v>229</v>
      </c>
      <c r="BB303" s="295">
        <v>99</v>
      </c>
      <c r="BC303" s="295">
        <v>362</v>
      </c>
      <c r="BD303" s="295">
        <v>154</v>
      </c>
      <c r="BE303" s="295">
        <v>158</v>
      </c>
      <c r="BF303" s="295">
        <v>35</v>
      </c>
      <c r="BG303" s="295">
        <v>39</v>
      </c>
      <c r="BH303" s="295">
        <v>31</v>
      </c>
      <c r="BI303" s="295">
        <f t="shared" si="288"/>
        <v>1552</v>
      </c>
      <c r="BJ303" s="296">
        <f t="shared" si="271"/>
        <v>129.32255645362886</v>
      </c>
      <c r="BL303" s="317">
        <f>ROW()</f>
        <v>303</v>
      </c>
      <c r="BM303" s="1432">
        <f t="shared" si="289"/>
        <v>-30</v>
      </c>
      <c r="BN303" s="317">
        <f t="shared" si="275"/>
        <v>28.155889786962192</v>
      </c>
      <c r="BO303" s="317">
        <f t="shared" si="290"/>
        <v>338</v>
      </c>
      <c r="BP303" s="594">
        <f t="shared" si="272"/>
        <v>-8</v>
      </c>
    </row>
    <row r="304" spans="1:68" ht="17.399999999999999" customHeight="1" x14ac:dyDescent="0.55000000000000004">
      <c r="A304" s="7222"/>
      <c r="B304" s="7215"/>
      <c r="C304" s="201" t="s">
        <v>423</v>
      </c>
      <c r="D304" s="297">
        <f>D313+D314</f>
        <v>150</v>
      </c>
      <c r="E304" s="298">
        <f t="shared" ref="E304:O304" si="301">E313+E314</f>
        <v>96</v>
      </c>
      <c r="F304" s="298">
        <f t="shared" si="301"/>
        <v>133</v>
      </c>
      <c r="G304" s="298">
        <f t="shared" si="301"/>
        <v>83</v>
      </c>
      <c r="H304" s="298">
        <f t="shared" si="301"/>
        <v>75</v>
      </c>
      <c r="I304" s="298">
        <f t="shared" si="301"/>
        <v>131</v>
      </c>
      <c r="J304" s="298">
        <f t="shared" si="301"/>
        <v>130</v>
      </c>
      <c r="K304" s="298">
        <f t="shared" si="301"/>
        <v>139</v>
      </c>
      <c r="L304" s="298">
        <f t="shared" si="301"/>
        <v>109</v>
      </c>
      <c r="M304" s="298">
        <f t="shared" si="301"/>
        <v>89</v>
      </c>
      <c r="N304" s="298">
        <f t="shared" si="301"/>
        <v>122</v>
      </c>
      <c r="O304" s="298">
        <f t="shared" si="301"/>
        <v>258</v>
      </c>
      <c r="P304" s="298">
        <f t="shared" si="277"/>
        <v>1515</v>
      </c>
      <c r="Q304" s="299">
        <f t="shared" si="295"/>
        <v>126.25</v>
      </c>
      <c r="R304" s="374"/>
      <c r="S304" s="297">
        <v>87</v>
      </c>
      <c r="T304" s="298">
        <v>94</v>
      </c>
      <c r="U304" s="298">
        <v>91</v>
      </c>
      <c r="V304" s="298">
        <v>90</v>
      </c>
      <c r="W304" s="298">
        <v>99</v>
      </c>
      <c r="X304" s="298">
        <v>148</v>
      </c>
      <c r="Y304" s="298">
        <v>112</v>
      </c>
      <c r="Z304" s="298">
        <v>87</v>
      </c>
      <c r="AA304" s="298">
        <v>82</v>
      </c>
      <c r="AB304" s="298">
        <v>88</v>
      </c>
      <c r="AC304" s="298">
        <v>64</v>
      </c>
      <c r="AD304" s="298">
        <v>61</v>
      </c>
      <c r="AE304" s="298">
        <f t="shared" si="245"/>
        <v>1103</v>
      </c>
      <c r="AF304" s="299">
        <f t="shared" si="296"/>
        <v>91.916666666666671</v>
      </c>
      <c r="AG304" s="374"/>
      <c r="AH304" s="297">
        <v>62</v>
      </c>
      <c r="AI304" s="298">
        <v>94</v>
      </c>
      <c r="AJ304" s="298">
        <v>75</v>
      </c>
      <c r="AK304" s="298">
        <v>57</v>
      </c>
      <c r="AL304" s="298">
        <v>83</v>
      </c>
      <c r="AM304" s="298">
        <v>218</v>
      </c>
      <c r="AN304" s="298">
        <v>157</v>
      </c>
      <c r="AO304" s="298">
        <v>192</v>
      </c>
      <c r="AP304" s="298">
        <v>203</v>
      </c>
      <c r="AQ304" s="298">
        <v>109</v>
      </c>
      <c r="AR304" s="298">
        <v>108</v>
      </c>
      <c r="AS304" s="298">
        <v>69</v>
      </c>
      <c r="AT304" s="298">
        <f t="shared" si="278"/>
        <v>1427</v>
      </c>
      <c r="AU304" s="299">
        <f t="shared" si="276"/>
        <v>118.91666666666667</v>
      </c>
      <c r="AV304" s="374"/>
      <c r="AW304" s="2017">
        <v>52</v>
      </c>
      <c r="AX304" s="298">
        <v>73</v>
      </c>
      <c r="AY304" s="298">
        <v>127</v>
      </c>
      <c r="AZ304" s="298">
        <v>67</v>
      </c>
      <c r="BA304" s="298">
        <v>81</v>
      </c>
      <c r="BB304" s="298">
        <v>149</v>
      </c>
      <c r="BC304" s="298">
        <v>143</v>
      </c>
      <c r="BD304" s="298">
        <v>94</v>
      </c>
      <c r="BE304" s="298">
        <v>106</v>
      </c>
      <c r="BF304" s="298">
        <v>62</v>
      </c>
      <c r="BG304" s="298">
        <v>45</v>
      </c>
      <c r="BH304" s="298">
        <v>38</v>
      </c>
      <c r="BI304" s="298">
        <f t="shared" si="288"/>
        <v>1037</v>
      </c>
      <c r="BJ304" s="299">
        <f t="shared" si="271"/>
        <v>86.409465877843516</v>
      </c>
      <c r="BL304" s="317">
        <f>ROW()</f>
        <v>304</v>
      </c>
      <c r="BM304" s="1432">
        <f t="shared" si="289"/>
        <v>-31</v>
      </c>
      <c r="BN304" s="317">
        <f t="shared" si="275"/>
        <v>-32.507200788823155</v>
      </c>
      <c r="BO304" s="317">
        <f t="shared" si="290"/>
        <v>-390</v>
      </c>
      <c r="BP304" s="594">
        <f t="shared" si="272"/>
        <v>-7</v>
      </c>
    </row>
    <row r="305" spans="1:68" ht="17.399999999999999" customHeight="1" x14ac:dyDescent="0.55000000000000004">
      <c r="A305" s="7222"/>
      <c r="B305" s="7207" t="s">
        <v>1120</v>
      </c>
      <c r="C305" s="202" t="s">
        <v>227</v>
      </c>
      <c r="D305" s="300">
        <v>60</v>
      </c>
      <c r="E305" s="301">
        <v>111</v>
      </c>
      <c r="F305" s="301">
        <v>14</v>
      </c>
      <c r="G305" s="301">
        <v>43</v>
      </c>
      <c r="H305" s="301">
        <v>34</v>
      </c>
      <c r="I305" s="301">
        <v>55</v>
      </c>
      <c r="J305" s="301">
        <v>77</v>
      </c>
      <c r="K305" s="301">
        <v>55</v>
      </c>
      <c r="L305" s="301">
        <v>141</v>
      </c>
      <c r="M305" s="301">
        <v>272</v>
      </c>
      <c r="N305" s="301">
        <v>84</v>
      </c>
      <c r="O305" s="301">
        <v>70</v>
      </c>
      <c r="P305" s="301">
        <f t="shared" si="277"/>
        <v>1016</v>
      </c>
      <c r="Q305" s="302">
        <f t="shared" si="295"/>
        <v>84.666666666666671</v>
      </c>
      <c r="R305" s="374"/>
      <c r="S305" s="300">
        <v>6</v>
      </c>
      <c r="T305" s="301">
        <v>7</v>
      </c>
      <c r="U305" s="301">
        <v>21</v>
      </c>
      <c r="V305" s="301">
        <v>53</v>
      </c>
      <c r="W305" s="301">
        <v>21</v>
      </c>
      <c r="X305" s="301">
        <v>5</v>
      </c>
      <c r="Y305" s="301">
        <v>13</v>
      </c>
      <c r="Z305" s="301">
        <v>4</v>
      </c>
      <c r="AA305" s="301">
        <v>11</v>
      </c>
      <c r="AB305" s="301">
        <v>5</v>
      </c>
      <c r="AC305" s="301">
        <v>24</v>
      </c>
      <c r="AD305" s="301">
        <v>6</v>
      </c>
      <c r="AE305" s="301">
        <f t="shared" si="245"/>
        <v>176</v>
      </c>
      <c r="AF305" s="302">
        <f t="shared" si="296"/>
        <v>14.666666666666666</v>
      </c>
      <c r="AG305" s="374"/>
      <c r="AH305" s="300">
        <v>3</v>
      </c>
      <c r="AI305" s="301">
        <v>8</v>
      </c>
      <c r="AJ305" s="301">
        <v>7</v>
      </c>
      <c r="AK305" s="301">
        <v>13</v>
      </c>
      <c r="AL305" s="301">
        <v>11</v>
      </c>
      <c r="AM305" s="301">
        <v>16</v>
      </c>
      <c r="AN305" s="301">
        <v>17</v>
      </c>
      <c r="AO305" s="301">
        <v>75</v>
      </c>
      <c r="AP305" s="301">
        <v>24</v>
      </c>
      <c r="AQ305" s="301">
        <v>29.000000000000004</v>
      </c>
      <c r="AR305" s="301">
        <v>21</v>
      </c>
      <c r="AS305" s="301">
        <v>22</v>
      </c>
      <c r="AT305" s="301">
        <f t="shared" si="278"/>
        <v>246</v>
      </c>
      <c r="AU305" s="302">
        <f t="shared" si="276"/>
        <v>20.5</v>
      </c>
      <c r="AV305" s="374"/>
      <c r="AW305" s="2021">
        <v>6</v>
      </c>
      <c r="AX305" s="301">
        <v>20</v>
      </c>
      <c r="AY305" s="301">
        <v>11</v>
      </c>
      <c r="AZ305" s="301">
        <v>6</v>
      </c>
      <c r="BA305" s="301">
        <v>24</v>
      </c>
      <c r="BB305" s="301">
        <v>12</v>
      </c>
      <c r="BC305" s="301">
        <v>15</v>
      </c>
      <c r="BD305" s="301">
        <v>9</v>
      </c>
      <c r="BE305" s="301">
        <v>8</v>
      </c>
      <c r="BF305" s="301">
        <v>11</v>
      </c>
      <c r="BG305" s="301">
        <v>12</v>
      </c>
      <c r="BH305" s="301">
        <v>6</v>
      </c>
      <c r="BI305" s="301">
        <f t="shared" si="288"/>
        <v>140</v>
      </c>
      <c r="BJ305" s="302">
        <f t="shared" si="271"/>
        <v>11.665694525456212</v>
      </c>
      <c r="BL305" s="317">
        <f>ROW()</f>
        <v>305</v>
      </c>
      <c r="BM305" s="1432">
        <f t="shared" si="289"/>
        <v>-16</v>
      </c>
      <c r="BN305" s="317">
        <f t="shared" si="275"/>
        <v>-8.8343054745437879</v>
      </c>
      <c r="BO305" s="317">
        <f t="shared" si="290"/>
        <v>-106</v>
      </c>
      <c r="BP305" s="594">
        <f t="shared" si="272"/>
        <v>-6</v>
      </c>
    </row>
    <row r="306" spans="1:68" ht="17.399999999999999" customHeight="1" x14ac:dyDescent="0.55000000000000004">
      <c r="A306" s="7222"/>
      <c r="B306" s="7208"/>
      <c r="C306" s="202" t="s">
        <v>228</v>
      </c>
      <c r="D306" s="300">
        <v>46</v>
      </c>
      <c r="E306" s="301">
        <v>25</v>
      </c>
      <c r="F306" s="301">
        <v>86</v>
      </c>
      <c r="G306" s="301">
        <v>73</v>
      </c>
      <c r="H306" s="301">
        <v>34</v>
      </c>
      <c r="I306" s="301">
        <v>84</v>
      </c>
      <c r="J306" s="301">
        <v>53</v>
      </c>
      <c r="K306" s="301">
        <v>46</v>
      </c>
      <c r="L306" s="301">
        <v>110</v>
      </c>
      <c r="M306" s="301">
        <v>373</v>
      </c>
      <c r="N306" s="301">
        <v>73</v>
      </c>
      <c r="O306" s="301">
        <v>61</v>
      </c>
      <c r="P306" s="301">
        <f t="shared" si="277"/>
        <v>1064</v>
      </c>
      <c r="Q306" s="302">
        <f t="shared" si="295"/>
        <v>88.666666666666671</v>
      </c>
      <c r="R306" s="374"/>
      <c r="S306" s="300">
        <v>31</v>
      </c>
      <c r="T306" s="301">
        <v>33</v>
      </c>
      <c r="U306" s="301">
        <v>53</v>
      </c>
      <c r="V306" s="301">
        <v>40</v>
      </c>
      <c r="W306" s="301">
        <v>62</v>
      </c>
      <c r="X306" s="301">
        <v>45</v>
      </c>
      <c r="Y306" s="301">
        <v>44</v>
      </c>
      <c r="Z306" s="301">
        <v>46</v>
      </c>
      <c r="AA306" s="301">
        <v>45</v>
      </c>
      <c r="AB306" s="301">
        <v>33</v>
      </c>
      <c r="AC306" s="301">
        <v>31</v>
      </c>
      <c r="AD306" s="301">
        <v>26</v>
      </c>
      <c r="AE306" s="301">
        <f t="shared" si="245"/>
        <v>489</v>
      </c>
      <c r="AF306" s="302">
        <f t="shared" si="296"/>
        <v>40.75</v>
      </c>
      <c r="AG306" s="374"/>
      <c r="AH306" s="300">
        <v>47</v>
      </c>
      <c r="AI306" s="301">
        <v>40</v>
      </c>
      <c r="AJ306" s="301">
        <v>35</v>
      </c>
      <c r="AK306" s="301">
        <v>38</v>
      </c>
      <c r="AL306" s="301">
        <v>48</v>
      </c>
      <c r="AM306" s="301">
        <v>38</v>
      </c>
      <c r="AN306" s="301">
        <v>42</v>
      </c>
      <c r="AO306" s="301">
        <v>93</v>
      </c>
      <c r="AP306" s="301">
        <v>43</v>
      </c>
      <c r="AQ306" s="301">
        <v>41</v>
      </c>
      <c r="AR306" s="301">
        <v>60</v>
      </c>
      <c r="AS306" s="301">
        <v>35</v>
      </c>
      <c r="AT306" s="301">
        <f t="shared" si="278"/>
        <v>560</v>
      </c>
      <c r="AU306" s="302">
        <f t="shared" si="276"/>
        <v>46.666666666666664</v>
      </c>
      <c r="AV306" s="374"/>
      <c r="AW306" s="2021">
        <v>38</v>
      </c>
      <c r="AX306" s="301">
        <v>46</v>
      </c>
      <c r="AY306" s="301">
        <v>38</v>
      </c>
      <c r="AZ306" s="301">
        <v>49</v>
      </c>
      <c r="BA306" s="301">
        <v>72</v>
      </c>
      <c r="BB306" s="301">
        <v>43</v>
      </c>
      <c r="BC306" s="301">
        <v>62</v>
      </c>
      <c r="BD306" s="301">
        <v>38</v>
      </c>
      <c r="BE306" s="301">
        <v>42</v>
      </c>
      <c r="BF306" s="301">
        <v>51</v>
      </c>
      <c r="BG306" s="301">
        <v>33</v>
      </c>
      <c r="BH306" s="301">
        <v>33</v>
      </c>
      <c r="BI306" s="301">
        <f t="shared" si="288"/>
        <v>545</v>
      </c>
      <c r="BJ306" s="302">
        <f t="shared" si="271"/>
        <v>45.412882259811681</v>
      </c>
      <c r="BL306" s="317">
        <f>ROW()</f>
        <v>306</v>
      </c>
      <c r="BM306" s="1432">
        <f t="shared" si="289"/>
        <v>-2</v>
      </c>
      <c r="BN306" s="317">
        <f t="shared" si="275"/>
        <v>-1.253784406854983</v>
      </c>
      <c r="BO306" s="317">
        <f t="shared" si="290"/>
        <v>-15</v>
      </c>
      <c r="BP306" s="594">
        <f t="shared" si="272"/>
        <v>0</v>
      </c>
    </row>
    <row r="307" spans="1:68" ht="17.399999999999999" customHeight="1" x14ac:dyDescent="0.55000000000000004">
      <c r="A307" s="7222"/>
      <c r="B307" s="7208"/>
      <c r="C307" s="203" t="s">
        <v>229</v>
      </c>
      <c r="D307" s="303">
        <v>10</v>
      </c>
      <c r="E307" s="304">
        <v>17</v>
      </c>
      <c r="F307" s="304">
        <v>13</v>
      </c>
      <c r="G307" s="304">
        <v>25</v>
      </c>
      <c r="H307" s="304">
        <v>17</v>
      </c>
      <c r="I307" s="304">
        <v>18</v>
      </c>
      <c r="J307" s="304">
        <v>10</v>
      </c>
      <c r="K307" s="304">
        <v>32</v>
      </c>
      <c r="L307" s="304">
        <v>41</v>
      </c>
      <c r="M307" s="304">
        <v>89</v>
      </c>
      <c r="N307" s="304">
        <v>137</v>
      </c>
      <c r="O307" s="304">
        <v>19</v>
      </c>
      <c r="P307" s="304">
        <f t="shared" si="277"/>
        <v>428</v>
      </c>
      <c r="Q307" s="305">
        <f t="shared" si="295"/>
        <v>35.666666666666664</v>
      </c>
      <c r="R307" s="374"/>
      <c r="S307" s="303">
        <v>15</v>
      </c>
      <c r="T307" s="304">
        <v>22</v>
      </c>
      <c r="U307" s="304">
        <v>41</v>
      </c>
      <c r="V307" s="304">
        <v>63</v>
      </c>
      <c r="W307" s="304">
        <v>82</v>
      </c>
      <c r="X307" s="304">
        <v>36</v>
      </c>
      <c r="Y307" s="304">
        <v>16</v>
      </c>
      <c r="Z307" s="304">
        <v>25</v>
      </c>
      <c r="AA307" s="304">
        <v>24</v>
      </c>
      <c r="AB307" s="304">
        <v>24</v>
      </c>
      <c r="AC307" s="304">
        <v>21</v>
      </c>
      <c r="AD307" s="304">
        <v>18</v>
      </c>
      <c r="AE307" s="304">
        <f t="shared" si="245"/>
        <v>387</v>
      </c>
      <c r="AF307" s="305">
        <f t="shared" si="296"/>
        <v>32.25</v>
      </c>
      <c r="AG307" s="374"/>
      <c r="AH307" s="303">
        <v>13</v>
      </c>
      <c r="AI307" s="304">
        <v>18</v>
      </c>
      <c r="AJ307" s="304">
        <v>13</v>
      </c>
      <c r="AK307" s="304">
        <v>12</v>
      </c>
      <c r="AL307" s="304">
        <v>13</v>
      </c>
      <c r="AM307" s="304">
        <v>31</v>
      </c>
      <c r="AN307" s="304">
        <v>30</v>
      </c>
      <c r="AO307" s="304">
        <v>46</v>
      </c>
      <c r="AP307" s="304">
        <v>32</v>
      </c>
      <c r="AQ307" s="304">
        <v>24</v>
      </c>
      <c r="AR307" s="304">
        <v>18</v>
      </c>
      <c r="AS307" s="304">
        <v>28</v>
      </c>
      <c r="AT307" s="304">
        <f t="shared" si="278"/>
        <v>278</v>
      </c>
      <c r="AU307" s="305">
        <f t="shared" si="276"/>
        <v>23.166666666666668</v>
      </c>
      <c r="AV307" s="374"/>
      <c r="AW307" s="2022">
        <v>8</v>
      </c>
      <c r="AX307" s="304">
        <v>26</v>
      </c>
      <c r="AY307" s="304">
        <v>24</v>
      </c>
      <c r="AZ307" s="304">
        <v>20</v>
      </c>
      <c r="BA307" s="304">
        <v>42</v>
      </c>
      <c r="BB307" s="304">
        <v>6</v>
      </c>
      <c r="BC307" s="304">
        <v>12</v>
      </c>
      <c r="BD307" s="304">
        <v>6</v>
      </c>
      <c r="BE307" s="304">
        <v>7</v>
      </c>
      <c r="BF307" s="304">
        <v>7.0000000000000009</v>
      </c>
      <c r="BG307" s="304">
        <v>6</v>
      </c>
      <c r="BH307" s="304">
        <v>3</v>
      </c>
      <c r="BI307" s="304">
        <f t="shared" si="288"/>
        <v>167</v>
      </c>
      <c r="BJ307" s="305">
        <f t="shared" si="271"/>
        <v>13.915507041079911</v>
      </c>
      <c r="BL307" s="317">
        <f>ROW()</f>
        <v>307</v>
      </c>
      <c r="BM307" s="1432">
        <f t="shared" si="289"/>
        <v>-25</v>
      </c>
      <c r="BN307" s="317">
        <f t="shared" si="275"/>
        <v>-9.251159625586757</v>
      </c>
      <c r="BO307" s="317">
        <f t="shared" si="290"/>
        <v>-111</v>
      </c>
      <c r="BP307" s="594">
        <f t="shared" si="272"/>
        <v>-3</v>
      </c>
    </row>
    <row r="308" spans="1:68" ht="17.399999999999999" customHeight="1" x14ac:dyDescent="0.55000000000000004">
      <c r="A308" s="7222"/>
      <c r="B308" s="7208"/>
      <c r="C308" s="203" t="s">
        <v>230</v>
      </c>
      <c r="D308" s="303">
        <v>29</v>
      </c>
      <c r="E308" s="304">
        <v>34</v>
      </c>
      <c r="F308" s="304">
        <v>51</v>
      </c>
      <c r="G308" s="304">
        <v>74</v>
      </c>
      <c r="H308" s="304">
        <v>210</v>
      </c>
      <c r="I308" s="304">
        <v>43</v>
      </c>
      <c r="J308" s="304">
        <v>43</v>
      </c>
      <c r="K308" s="304">
        <v>21</v>
      </c>
      <c r="L308" s="304">
        <v>128</v>
      </c>
      <c r="M308" s="304">
        <v>365</v>
      </c>
      <c r="N308" s="304">
        <v>119</v>
      </c>
      <c r="O308" s="304">
        <v>125</v>
      </c>
      <c r="P308" s="304">
        <f t="shared" si="277"/>
        <v>1242</v>
      </c>
      <c r="Q308" s="305">
        <f t="shared" si="295"/>
        <v>103.5</v>
      </c>
      <c r="R308" s="374"/>
      <c r="S308" s="303">
        <v>46</v>
      </c>
      <c r="T308" s="304">
        <v>36</v>
      </c>
      <c r="U308" s="304">
        <v>31</v>
      </c>
      <c r="V308" s="304">
        <v>22</v>
      </c>
      <c r="W308" s="304">
        <v>23</v>
      </c>
      <c r="X308" s="304">
        <v>12</v>
      </c>
      <c r="Y308" s="304">
        <v>15</v>
      </c>
      <c r="Z308" s="304">
        <v>23</v>
      </c>
      <c r="AA308" s="304">
        <v>17</v>
      </c>
      <c r="AB308" s="304">
        <v>26</v>
      </c>
      <c r="AC308" s="304">
        <v>21</v>
      </c>
      <c r="AD308" s="304">
        <v>20</v>
      </c>
      <c r="AE308" s="304">
        <f t="shared" si="245"/>
        <v>292</v>
      </c>
      <c r="AF308" s="305">
        <f t="shared" si="296"/>
        <v>24.333333333333332</v>
      </c>
      <c r="AG308" s="374"/>
      <c r="AH308" s="303">
        <v>10</v>
      </c>
      <c r="AI308" s="304">
        <v>11</v>
      </c>
      <c r="AJ308" s="304">
        <v>13</v>
      </c>
      <c r="AK308" s="304">
        <v>11</v>
      </c>
      <c r="AL308" s="304">
        <v>15</v>
      </c>
      <c r="AM308" s="304">
        <v>9</v>
      </c>
      <c r="AN308" s="304">
        <v>15</v>
      </c>
      <c r="AO308" s="304">
        <v>45</v>
      </c>
      <c r="AP308" s="304">
        <v>39</v>
      </c>
      <c r="AQ308" s="304">
        <v>37</v>
      </c>
      <c r="AR308" s="304">
        <v>35</v>
      </c>
      <c r="AS308" s="304">
        <v>10</v>
      </c>
      <c r="AT308" s="304">
        <f t="shared" si="278"/>
        <v>250</v>
      </c>
      <c r="AU308" s="305">
        <f t="shared" si="276"/>
        <v>20.833333333333332</v>
      </c>
      <c r="AV308" s="374"/>
      <c r="AW308" s="2022">
        <v>12</v>
      </c>
      <c r="AX308" s="304">
        <v>16</v>
      </c>
      <c r="AY308" s="304">
        <v>10</v>
      </c>
      <c r="AZ308" s="304">
        <v>12</v>
      </c>
      <c r="BA308" s="304">
        <v>13</v>
      </c>
      <c r="BB308" s="304">
        <v>12</v>
      </c>
      <c r="BC308" s="304">
        <v>11</v>
      </c>
      <c r="BD308" s="304">
        <v>11</v>
      </c>
      <c r="BE308" s="304">
        <v>15</v>
      </c>
      <c r="BF308" s="304">
        <v>8</v>
      </c>
      <c r="BG308" s="304">
        <v>11</v>
      </c>
      <c r="BH308" s="304">
        <v>6</v>
      </c>
      <c r="BI308" s="304">
        <f t="shared" si="288"/>
        <v>137</v>
      </c>
      <c r="BJ308" s="305">
        <f t="shared" si="271"/>
        <v>11.41571535705358</v>
      </c>
      <c r="BL308" s="317">
        <f>ROW()</f>
        <v>308</v>
      </c>
      <c r="BM308" s="1432">
        <f t="shared" si="289"/>
        <v>-4</v>
      </c>
      <c r="BN308" s="317">
        <f t="shared" si="275"/>
        <v>-9.4176179762797521</v>
      </c>
      <c r="BO308" s="317">
        <f t="shared" si="290"/>
        <v>-113</v>
      </c>
      <c r="BP308" s="594">
        <f t="shared" si="272"/>
        <v>-5</v>
      </c>
    </row>
    <row r="309" spans="1:68" ht="17.399999999999999" customHeight="1" x14ac:dyDescent="0.55000000000000004">
      <c r="A309" s="7222"/>
      <c r="B309" s="7208"/>
      <c r="C309" s="202" t="s">
        <v>231</v>
      </c>
      <c r="D309" s="300">
        <v>53</v>
      </c>
      <c r="E309" s="301">
        <v>39</v>
      </c>
      <c r="F309" s="301">
        <v>84</v>
      </c>
      <c r="G309" s="301">
        <v>67</v>
      </c>
      <c r="H309" s="301">
        <v>47</v>
      </c>
      <c r="I309" s="301">
        <v>65</v>
      </c>
      <c r="J309" s="301">
        <v>55</v>
      </c>
      <c r="K309" s="301">
        <v>48</v>
      </c>
      <c r="L309" s="301">
        <v>62</v>
      </c>
      <c r="M309" s="301">
        <v>239</v>
      </c>
      <c r="N309" s="301">
        <v>89</v>
      </c>
      <c r="O309" s="301">
        <v>123</v>
      </c>
      <c r="P309" s="301">
        <f t="shared" si="277"/>
        <v>971</v>
      </c>
      <c r="Q309" s="302">
        <f t="shared" si="295"/>
        <v>80.916666666666671</v>
      </c>
      <c r="R309" s="374"/>
      <c r="S309" s="300">
        <v>17</v>
      </c>
      <c r="T309" s="301">
        <v>38</v>
      </c>
      <c r="U309" s="301">
        <v>14</v>
      </c>
      <c r="V309" s="301">
        <v>32</v>
      </c>
      <c r="W309" s="301">
        <v>23</v>
      </c>
      <c r="X309" s="301">
        <v>25</v>
      </c>
      <c r="Y309" s="301">
        <v>21</v>
      </c>
      <c r="Z309" s="301">
        <v>17</v>
      </c>
      <c r="AA309" s="301">
        <v>20</v>
      </c>
      <c r="AB309" s="301">
        <v>31</v>
      </c>
      <c r="AC309" s="301">
        <v>29</v>
      </c>
      <c r="AD309" s="301">
        <v>55</v>
      </c>
      <c r="AE309" s="301">
        <f t="shared" si="245"/>
        <v>322</v>
      </c>
      <c r="AF309" s="302">
        <f t="shared" si="296"/>
        <v>26.833333333333332</v>
      </c>
      <c r="AG309" s="374"/>
      <c r="AH309" s="300">
        <v>15</v>
      </c>
      <c r="AI309" s="301">
        <v>10</v>
      </c>
      <c r="AJ309" s="301">
        <v>14</v>
      </c>
      <c r="AK309" s="301">
        <v>9</v>
      </c>
      <c r="AL309" s="301">
        <v>22</v>
      </c>
      <c r="AM309" s="301">
        <v>9</v>
      </c>
      <c r="AN309" s="301">
        <v>29.000000000000004</v>
      </c>
      <c r="AO309" s="301">
        <v>39</v>
      </c>
      <c r="AP309" s="301">
        <v>21</v>
      </c>
      <c r="AQ309" s="301">
        <v>54</v>
      </c>
      <c r="AR309" s="301">
        <v>18</v>
      </c>
      <c r="AS309" s="301">
        <v>22</v>
      </c>
      <c r="AT309" s="301">
        <f t="shared" si="278"/>
        <v>262</v>
      </c>
      <c r="AU309" s="302">
        <f t="shared" si="276"/>
        <v>21.833333333333332</v>
      </c>
      <c r="AV309" s="374"/>
      <c r="AW309" s="2021">
        <v>56.999999999999993</v>
      </c>
      <c r="AX309" s="301">
        <v>35</v>
      </c>
      <c r="AY309" s="301">
        <v>25</v>
      </c>
      <c r="AZ309" s="301">
        <v>28</v>
      </c>
      <c r="BA309" s="301">
        <v>45</v>
      </c>
      <c r="BB309" s="301">
        <v>19</v>
      </c>
      <c r="BC309" s="301">
        <v>14</v>
      </c>
      <c r="BD309" s="301">
        <v>23</v>
      </c>
      <c r="BE309" s="301">
        <v>17</v>
      </c>
      <c r="BF309" s="301">
        <v>8</v>
      </c>
      <c r="BG309" s="301">
        <v>5</v>
      </c>
      <c r="BH309" s="301">
        <v>6</v>
      </c>
      <c r="BI309" s="301">
        <f t="shared" si="288"/>
        <v>282</v>
      </c>
      <c r="BJ309" s="302">
        <f t="shared" si="271"/>
        <v>23.498041829847512</v>
      </c>
      <c r="BL309" s="317">
        <f>ROW()</f>
        <v>309</v>
      </c>
      <c r="BM309" s="1432">
        <f t="shared" si="289"/>
        <v>-16</v>
      </c>
      <c r="BN309" s="317">
        <f t="shared" si="275"/>
        <v>1.6647084965141801</v>
      </c>
      <c r="BO309" s="317">
        <f t="shared" si="290"/>
        <v>20</v>
      </c>
      <c r="BP309" s="594">
        <f t="shared" si="272"/>
        <v>1</v>
      </c>
    </row>
    <row r="310" spans="1:68" ht="17.399999999999999" customHeight="1" x14ac:dyDescent="0.55000000000000004">
      <c r="A310" s="7222"/>
      <c r="B310" s="7208"/>
      <c r="C310" s="202" t="s">
        <v>232</v>
      </c>
      <c r="D310" s="300">
        <v>21</v>
      </c>
      <c r="E310" s="301">
        <v>28</v>
      </c>
      <c r="F310" s="301">
        <v>23</v>
      </c>
      <c r="G310" s="301">
        <v>58</v>
      </c>
      <c r="H310" s="301">
        <v>47</v>
      </c>
      <c r="I310" s="301">
        <v>65</v>
      </c>
      <c r="J310" s="301">
        <v>39</v>
      </c>
      <c r="K310" s="301">
        <v>40</v>
      </c>
      <c r="L310" s="301">
        <v>124</v>
      </c>
      <c r="M310" s="301">
        <v>162</v>
      </c>
      <c r="N310" s="301">
        <v>139</v>
      </c>
      <c r="O310" s="301">
        <v>78</v>
      </c>
      <c r="P310" s="301">
        <f t="shared" si="277"/>
        <v>824</v>
      </c>
      <c r="Q310" s="302">
        <f t="shared" si="295"/>
        <v>68.666666666666671</v>
      </c>
      <c r="R310" s="374"/>
      <c r="S310" s="300">
        <v>12</v>
      </c>
      <c r="T310" s="301">
        <v>18</v>
      </c>
      <c r="U310" s="301">
        <v>15</v>
      </c>
      <c r="V310" s="301">
        <v>17</v>
      </c>
      <c r="W310" s="301">
        <v>19</v>
      </c>
      <c r="X310" s="301">
        <v>18</v>
      </c>
      <c r="Y310" s="301">
        <v>10</v>
      </c>
      <c r="Z310" s="301">
        <v>7</v>
      </c>
      <c r="AA310" s="301">
        <v>10</v>
      </c>
      <c r="AB310" s="301">
        <v>6</v>
      </c>
      <c r="AC310" s="301">
        <v>11</v>
      </c>
      <c r="AD310" s="301">
        <v>1</v>
      </c>
      <c r="AE310" s="301">
        <f t="shared" si="245"/>
        <v>144</v>
      </c>
      <c r="AF310" s="302">
        <f t="shared" si="296"/>
        <v>12</v>
      </c>
      <c r="AG310" s="374"/>
      <c r="AH310" s="300">
        <v>17</v>
      </c>
      <c r="AI310" s="301">
        <v>10</v>
      </c>
      <c r="AJ310" s="301">
        <v>20</v>
      </c>
      <c r="AK310" s="301">
        <v>12</v>
      </c>
      <c r="AL310" s="301">
        <v>18</v>
      </c>
      <c r="AM310" s="301">
        <v>20</v>
      </c>
      <c r="AN310" s="301">
        <v>30</v>
      </c>
      <c r="AO310" s="301">
        <v>56</v>
      </c>
      <c r="AP310" s="301">
        <v>17</v>
      </c>
      <c r="AQ310" s="301">
        <v>31</v>
      </c>
      <c r="AR310" s="301">
        <v>26</v>
      </c>
      <c r="AS310" s="301">
        <v>18</v>
      </c>
      <c r="AT310" s="301">
        <f t="shared" si="278"/>
        <v>275</v>
      </c>
      <c r="AU310" s="302">
        <f t="shared" si="276"/>
        <v>22.916666666666668</v>
      </c>
      <c r="AV310" s="374"/>
      <c r="AW310" s="2021">
        <v>19</v>
      </c>
      <c r="AX310" s="301">
        <v>18</v>
      </c>
      <c r="AY310" s="301">
        <v>12</v>
      </c>
      <c r="AZ310" s="301">
        <v>8</v>
      </c>
      <c r="BA310" s="301">
        <v>21</v>
      </c>
      <c r="BB310" s="301">
        <v>16</v>
      </c>
      <c r="BC310" s="301">
        <v>26</v>
      </c>
      <c r="BD310" s="301">
        <v>13</v>
      </c>
      <c r="BE310" s="301">
        <v>20</v>
      </c>
      <c r="BF310" s="301">
        <v>9</v>
      </c>
      <c r="BG310" s="301">
        <v>10</v>
      </c>
      <c r="BH310" s="301">
        <v>5</v>
      </c>
      <c r="BI310" s="301">
        <f t="shared" si="288"/>
        <v>177</v>
      </c>
      <c r="BJ310" s="302">
        <f t="shared" si="271"/>
        <v>14.748770935755354</v>
      </c>
      <c r="BL310" s="317">
        <f>ROW()</f>
        <v>310</v>
      </c>
      <c r="BM310" s="1432">
        <f t="shared" si="289"/>
        <v>-13</v>
      </c>
      <c r="BN310" s="317">
        <f t="shared" si="275"/>
        <v>-8.1678957309113134</v>
      </c>
      <c r="BO310" s="317">
        <f t="shared" si="290"/>
        <v>-98</v>
      </c>
      <c r="BP310" s="594">
        <f t="shared" si="272"/>
        <v>-5</v>
      </c>
    </row>
    <row r="311" spans="1:68" ht="17.399999999999999" customHeight="1" x14ac:dyDescent="0.55000000000000004">
      <c r="A311" s="7222"/>
      <c r="B311" s="7208"/>
      <c r="C311" s="203" t="s">
        <v>233</v>
      </c>
      <c r="D311" s="303">
        <v>80</v>
      </c>
      <c r="E311" s="304">
        <v>69</v>
      </c>
      <c r="F311" s="304">
        <v>72</v>
      </c>
      <c r="G311" s="304">
        <v>50</v>
      </c>
      <c r="H311" s="304">
        <v>38</v>
      </c>
      <c r="I311" s="304">
        <v>27</v>
      </c>
      <c r="J311" s="304">
        <v>31</v>
      </c>
      <c r="K311" s="304">
        <v>52</v>
      </c>
      <c r="L311" s="304">
        <v>37</v>
      </c>
      <c r="M311" s="304">
        <v>81</v>
      </c>
      <c r="N311" s="304">
        <v>47</v>
      </c>
      <c r="O311" s="304">
        <v>29</v>
      </c>
      <c r="P311" s="304">
        <f t="shared" si="277"/>
        <v>613</v>
      </c>
      <c r="Q311" s="305">
        <f t="shared" si="295"/>
        <v>51.083333333333336</v>
      </c>
      <c r="R311" s="374"/>
      <c r="S311" s="303">
        <v>31</v>
      </c>
      <c r="T311" s="304">
        <v>45</v>
      </c>
      <c r="U311" s="304">
        <v>69</v>
      </c>
      <c r="V311" s="304">
        <v>56</v>
      </c>
      <c r="W311" s="304">
        <v>61</v>
      </c>
      <c r="X311" s="304">
        <v>40</v>
      </c>
      <c r="Y311" s="304">
        <v>38</v>
      </c>
      <c r="Z311" s="304">
        <v>42</v>
      </c>
      <c r="AA311" s="304">
        <v>55</v>
      </c>
      <c r="AB311" s="304">
        <v>46</v>
      </c>
      <c r="AC311" s="304">
        <v>43</v>
      </c>
      <c r="AD311" s="304">
        <v>34</v>
      </c>
      <c r="AE311" s="304">
        <f t="shared" si="245"/>
        <v>560</v>
      </c>
      <c r="AF311" s="305">
        <f t="shared" si="296"/>
        <v>46.666666666666664</v>
      </c>
      <c r="AG311" s="374"/>
      <c r="AH311" s="303">
        <v>46</v>
      </c>
      <c r="AI311" s="304">
        <v>31</v>
      </c>
      <c r="AJ311" s="304">
        <v>56</v>
      </c>
      <c r="AK311" s="304">
        <v>43</v>
      </c>
      <c r="AL311" s="304">
        <v>56</v>
      </c>
      <c r="AM311" s="304">
        <v>56.999999999999993</v>
      </c>
      <c r="AN311" s="304">
        <v>63.000000000000007</v>
      </c>
      <c r="AO311" s="304">
        <v>130</v>
      </c>
      <c r="AP311" s="304">
        <v>77</v>
      </c>
      <c r="AQ311" s="304">
        <v>69</v>
      </c>
      <c r="AR311" s="304">
        <v>66</v>
      </c>
      <c r="AS311" s="304">
        <v>34</v>
      </c>
      <c r="AT311" s="304">
        <f t="shared" si="278"/>
        <v>728</v>
      </c>
      <c r="AU311" s="305">
        <f t="shared" si="276"/>
        <v>60.666666666666664</v>
      </c>
      <c r="AV311" s="374"/>
      <c r="AW311" s="2022">
        <v>28.999999999999996</v>
      </c>
      <c r="AX311" s="304">
        <v>31</v>
      </c>
      <c r="AY311" s="304">
        <v>73</v>
      </c>
      <c r="AZ311" s="304">
        <v>39</v>
      </c>
      <c r="BA311" s="304">
        <v>171</v>
      </c>
      <c r="BB311" s="304">
        <v>56.999999999999993</v>
      </c>
      <c r="BC311" s="304">
        <v>135</v>
      </c>
      <c r="BD311" s="304">
        <v>85</v>
      </c>
      <c r="BE311" s="304">
        <v>41</v>
      </c>
      <c r="BF311" s="304">
        <v>14.000000000000002</v>
      </c>
      <c r="BG311" s="304">
        <v>14</v>
      </c>
      <c r="BH311" s="304">
        <v>14</v>
      </c>
      <c r="BI311" s="304">
        <f t="shared" si="288"/>
        <v>703</v>
      </c>
      <c r="BJ311" s="305">
        <f t="shared" si="271"/>
        <v>58.578451795683698</v>
      </c>
      <c r="BL311" s="317">
        <f>ROW()</f>
        <v>311</v>
      </c>
      <c r="BM311" s="1432">
        <f t="shared" si="289"/>
        <v>-20</v>
      </c>
      <c r="BN311" s="317">
        <f t="shared" si="275"/>
        <v>-2.0882148709829664</v>
      </c>
      <c r="BO311" s="317">
        <f t="shared" si="290"/>
        <v>-25</v>
      </c>
      <c r="BP311" s="594">
        <f t="shared" si="272"/>
        <v>0</v>
      </c>
    </row>
    <row r="312" spans="1:68" ht="17.399999999999999" customHeight="1" x14ac:dyDescent="0.55000000000000004">
      <c r="A312" s="7222"/>
      <c r="B312" s="7208"/>
      <c r="C312" s="203" t="s">
        <v>234</v>
      </c>
      <c r="D312" s="303">
        <v>73</v>
      </c>
      <c r="E312" s="304">
        <v>52</v>
      </c>
      <c r="F312" s="304">
        <v>109</v>
      </c>
      <c r="G312" s="304">
        <v>143</v>
      </c>
      <c r="H312" s="304">
        <v>78</v>
      </c>
      <c r="I312" s="304">
        <v>48</v>
      </c>
      <c r="J312" s="304">
        <v>70</v>
      </c>
      <c r="K312" s="304">
        <v>23</v>
      </c>
      <c r="L312" s="304">
        <v>42</v>
      </c>
      <c r="M312" s="304">
        <v>45</v>
      </c>
      <c r="N312" s="304">
        <v>52</v>
      </c>
      <c r="O312" s="304">
        <v>31</v>
      </c>
      <c r="P312" s="304">
        <f t="shared" si="277"/>
        <v>766</v>
      </c>
      <c r="Q312" s="305">
        <f t="shared" si="295"/>
        <v>63.833333333333336</v>
      </c>
      <c r="R312" s="374"/>
      <c r="S312" s="303">
        <v>37</v>
      </c>
      <c r="T312" s="304">
        <v>42</v>
      </c>
      <c r="U312" s="304">
        <v>41</v>
      </c>
      <c r="V312" s="304">
        <v>35</v>
      </c>
      <c r="W312" s="304">
        <v>74</v>
      </c>
      <c r="X312" s="304">
        <v>64</v>
      </c>
      <c r="Y312" s="304">
        <v>31</v>
      </c>
      <c r="Z312" s="304">
        <v>34</v>
      </c>
      <c r="AA312" s="304">
        <v>37</v>
      </c>
      <c r="AB312" s="304">
        <v>29</v>
      </c>
      <c r="AC312" s="304">
        <v>43</v>
      </c>
      <c r="AD312" s="304">
        <v>32</v>
      </c>
      <c r="AE312" s="304">
        <f t="shared" si="245"/>
        <v>499</v>
      </c>
      <c r="AF312" s="305">
        <f t="shared" si="296"/>
        <v>41.583333333333336</v>
      </c>
      <c r="AG312" s="374"/>
      <c r="AH312" s="303">
        <v>31</v>
      </c>
      <c r="AI312" s="304">
        <v>26</v>
      </c>
      <c r="AJ312" s="304">
        <v>39</v>
      </c>
      <c r="AK312" s="304">
        <v>35</v>
      </c>
      <c r="AL312" s="304">
        <v>26</v>
      </c>
      <c r="AM312" s="304">
        <v>55.000000000000007</v>
      </c>
      <c r="AN312" s="304">
        <v>39</v>
      </c>
      <c r="AO312" s="304">
        <v>78</v>
      </c>
      <c r="AP312" s="304">
        <v>33</v>
      </c>
      <c r="AQ312" s="304">
        <v>66</v>
      </c>
      <c r="AR312" s="304">
        <v>31</v>
      </c>
      <c r="AS312" s="304">
        <v>27.000000000000004</v>
      </c>
      <c r="AT312" s="304">
        <f t="shared" si="278"/>
        <v>486</v>
      </c>
      <c r="AU312" s="305">
        <f t="shared" si="276"/>
        <v>40.5</v>
      </c>
      <c r="AV312" s="374"/>
      <c r="AW312" s="2022">
        <v>55.000000000000007</v>
      </c>
      <c r="AX312" s="304">
        <v>17</v>
      </c>
      <c r="AY312" s="304">
        <v>27.000000000000004</v>
      </c>
      <c r="AZ312" s="304">
        <v>174</v>
      </c>
      <c r="BA312" s="304">
        <v>58.000000000000007</v>
      </c>
      <c r="BB312" s="304">
        <v>42</v>
      </c>
      <c r="BC312" s="304">
        <v>226.99999999999997</v>
      </c>
      <c r="BD312" s="304">
        <v>69</v>
      </c>
      <c r="BE312" s="304">
        <v>117</v>
      </c>
      <c r="BF312" s="304">
        <v>21</v>
      </c>
      <c r="BG312" s="304">
        <v>25</v>
      </c>
      <c r="BH312" s="304">
        <v>17</v>
      </c>
      <c r="BI312" s="304">
        <f t="shared" si="288"/>
        <v>849</v>
      </c>
      <c r="BJ312" s="305">
        <f t="shared" si="271"/>
        <v>70.744104657945172</v>
      </c>
      <c r="BL312" s="317">
        <f>ROW()</f>
        <v>312</v>
      </c>
      <c r="BM312" s="1432">
        <f t="shared" si="289"/>
        <v>-10.000000000000004</v>
      </c>
      <c r="BN312" s="317">
        <f t="shared" si="275"/>
        <v>30.244104657945172</v>
      </c>
      <c r="BO312" s="317">
        <f t="shared" si="290"/>
        <v>363</v>
      </c>
      <c r="BP312" s="594">
        <f t="shared" si="272"/>
        <v>-8</v>
      </c>
    </row>
    <row r="313" spans="1:68" ht="17.399999999999999" customHeight="1" x14ac:dyDescent="0.55000000000000004">
      <c r="A313" s="7222"/>
      <c r="B313" s="7208"/>
      <c r="C313" s="202" t="s">
        <v>235</v>
      </c>
      <c r="D313" s="300">
        <v>27</v>
      </c>
      <c r="E313" s="301">
        <v>39</v>
      </c>
      <c r="F313" s="301">
        <v>32</v>
      </c>
      <c r="G313" s="301">
        <v>30</v>
      </c>
      <c r="H313" s="301">
        <v>47</v>
      </c>
      <c r="I313" s="301">
        <v>31</v>
      </c>
      <c r="J313" s="301">
        <v>28</v>
      </c>
      <c r="K313" s="301">
        <v>81</v>
      </c>
      <c r="L313" s="301">
        <v>33</v>
      </c>
      <c r="M313" s="301">
        <v>36</v>
      </c>
      <c r="N313" s="301">
        <v>55</v>
      </c>
      <c r="O313" s="301">
        <v>122</v>
      </c>
      <c r="P313" s="301">
        <f t="shared" si="277"/>
        <v>561</v>
      </c>
      <c r="Q313" s="302">
        <f t="shared" si="295"/>
        <v>46.75</v>
      </c>
      <c r="R313" s="374"/>
      <c r="S313" s="300">
        <v>26</v>
      </c>
      <c r="T313" s="301">
        <v>28</v>
      </c>
      <c r="U313" s="301">
        <v>36</v>
      </c>
      <c r="V313" s="301">
        <v>23</v>
      </c>
      <c r="W313" s="301">
        <v>28</v>
      </c>
      <c r="X313" s="301">
        <v>44</v>
      </c>
      <c r="Y313" s="301">
        <v>25</v>
      </c>
      <c r="Z313" s="301">
        <v>37</v>
      </c>
      <c r="AA313" s="301">
        <v>32</v>
      </c>
      <c r="AB313" s="301">
        <v>27</v>
      </c>
      <c r="AC313" s="301">
        <v>28</v>
      </c>
      <c r="AD313" s="301">
        <v>19</v>
      </c>
      <c r="AE313" s="301">
        <f t="shared" si="245"/>
        <v>353</v>
      </c>
      <c r="AF313" s="302">
        <f t="shared" si="296"/>
        <v>29.416666666666668</v>
      </c>
      <c r="AG313" s="374"/>
      <c r="AH313" s="300">
        <v>22</v>
      </c>
      <c r="AI313" s="301">
        <v>16</v>
      </c>
      <c r="AJ313" s="301">
        <v>18</v>
      </c>
      <c r="AK313" s="301">
        <v>24</v>
      </c>
      <c r="AL313" s="301">
        <v>29</v>
      </c>
      <c r="AM313" s="301">
        <v>21</v>
      </c>
      <c r="AN313" s="301">
        <v>18</v>
      </c>
      <c r="AO313" s="301">
        <v>82</v>
      </c>
      <c r="AP313" s="301">
        <v>43</v>
      </c>
      <c r="AQ313" s="301">
        <v>30</v>
      </c>
      <c r="AR313" s="301">
        <v>33</v>
      </c>
      <c r="AS313" s="301">
        <v>20</v>
      </c>
      <c r="AT313" s="301">
        <f t="shared" si="278"/>
        <v>356</v>
      </c>
      <c r="AU313" s="302">
        <f t="shared" si="276"/>
        <v>29.666666666666668</v>
      </c>
      <c r="AV313" s="374"/>
      <c r="AW313" s="2021">
        <v>18</v>
      </c>
      <c r="AX313" s="301">
        <v>20</v>
      </c>
      <c r="AY313" s="301">
        <v>21</v>
      </c>
      <c r="AZ313" s="301">
        <v>26</v>
      </c>
      <c r="BA313" s="301">
        <v>18</v>
      </c>
      <c r="BB313" s="301">
        <v>31</v>
      </c>
      <c r="BC313" s="301">
        <v>17</v>
      </c>
      <c r="BD313" s="301">
        <v>13</v>
      </c>
      <c r="BE313" s="301">
        <v>19</v>
      </c>
      <c r="BF313" s="301">
        <v>14.000000000000002</v>
      </c>
      <c r="BG313" s="301">
        <v>12</v>
      </c>
      <c r="BH313" s="301">
        <v>13</v>
      </c>
      <c r="BI313" s="301">
        <f t="shared" si="288"/>
        <v>222</v>
      </c>
      <c r="BJ313" s="302">
        <f t="shared" si="271"/>
        <v>18.498458461794851</v>
      </c>
      <c r="BL313" s="317">
        <f>ROW()</f>
        <v>313</v>
      </c>
      <c r="BM313" s="1432">
        <f t="shared" si="289"/>
        <v>-7</v>
      </c>
      <c r="BN313" s="317">
        <f t="shared" si="275"/>
        <v>-11.168208204871817</v>
      </c>
      <c r="BO313" s="317">
        <f t="shared" si="290"/>
        <v>-134</v>
      </c>
      <c r="BP313" s="594">
        <f t="shared" si="272"/>
        <v>1</v>
      </c>
    </row>
    <row r="314" spans="1:68" ht="18" customHeight="1" thickBot="1" x14ac:dyDescent="0.6">
      <c r="A314" s="7222"/>
      <c r="B314" s="7209"/>
      <c r="C314" s="204" t="s">
        <v>236</v>
      </c>
      <c r="D314" s="306">
        <v>123</v>
      </c>
      <c r="E314" s="307">
        <v>57</v>
      </c>
      <c r="F314" s="307">
        <v>101</v>
      </c>
      <c r="G314" s="307">
        <v>53</v>
      </c>
      <c r="H314" s="307">
        <v>28</v>
      </c>
      <c r="I314" s="307">
        <v>100</v>
      </c>
      <c r="J314" s="307">
        <v>102</v>
      </c>
      <c r="K314" s="307">
        <v>58</v>
      </c>
      <c r="L314" s="307">
        <v>76</v>
      </c>
      <c r="M314" s="307">
        <v>53</v>
      </c>
      <c r="N314" s="307">
        <v>67</v>
      </c>
      <c r="O314" s="307">
        <v>136</v>
      </c>
      <c r="P314" s="307">
        <f t="shared" si="277"/>
        <v>954</v>
      </c>
      <c r="Q314" s="308">
        <f t="shared" si="295"/>
        <v>79.5</v>
      </c>
      <c r="R314" s="374"/>
      <c r="S314" s="306">
        <v>61</v>
      </c>
      <c r="T314" s="307">
        <v>66</v>
      </c>
      <c r="U314" s="307">
        <v>55</v>
      </c>
      <c r="V314" s="307">
        <v>67</v>
      </c>
      <c r="W314" s="307">
        <v>71</v>
      </c>
      <c r="X314" s="307">
        <v>104</v>
      </c>
      <c r="Y314" s="307">
        <v>87</v>
      </c>
      <c r="Z314" s="307">
        <v>50</v>
      </c>
      <c r="AA314" s="307">
        <v>50</v>
      </c>
      <c r="AB314" s="307">
        <v>61</v>
      </c>
      <c r="AC314" s="307">
        <v>36</v>
      </c>
      <c r="AD314" s="307">
        <v>42</v>
      </c>
      <c r="AE314" s="307">
        <f t="shared" si="245"/>
        <v>750</v>
      </c>
      <c r="AF314" s="308">
        <f t="shared" si="296"/>
        <v>62.5</v>
      </c>
      <c r="AG314" s="374"/>
      <c r="AH314" s="306">
        <v>40</v>
      </c>
      <c r="AI314" s="307">
        <v>78</v>
      </c>
      <c r="AJ314" s="307">
        <v>57</v>
      </c>
      <c r="AK314" s="307">
        <v>33</v>
      </c>
      <c r="AL314" s="307">
        <v>54</v>
      </c>
      <c r="AM314" s="307">
        <v>197</v>
      </c>
      <c r="AN314" s="307">
        <v>139</v>
      </c>
      <c r="AO314" s="307">
        <v>110.00000000000001</v>
      </c>
      <c r="AP314" s="307">
        <v>160</v>
      </c>
      <c r="AQ314" s="307">
        <v>79</v>
      </c>
      <c r="AR314" s="307">
        <v>75</v>
      </c>
      <c r="AS314" s="307">
        <v>49</v>
      </c>
      <c r="AT314" s="307">
        <f t="shared" si="278"/>
        <v>1071</v>
      </c>
      <c r="AU314" s="308">
        <f t="shared" si="276"/>
        <v>89.25</v>
      </c>
      <c r="AV314" s="374"/>
      <c r="AW314" s="2023">
        <v>34</v>
      </c>
      <c r="AX314" s="307">
        <v>53</v>
      </c>
      <c r="AY314" s="307">
        <v>106</v>
      </c>
      <c r="AZ314" s="307">
        <v>41</v>
      </c>
      <c r="BA314" s="307">
        <v>63.000000000000007</v>
      </c>
      <c r="BB314" s="307">
        <v>118</v>
      </c>
      <c r="BC314" s="307">
        <v>126.00000000000001</v>
      </c>
      <c r="BD314" s="307">
        <v>81</v>
      </c>
      <c r="BE314" s="307">
        <v>87</v>
      </c>
      <c r="BF314" s="307">
        <v>48</v>
      </c>
      <c r="BG314" s="307">
        <v>33</v>
      </c>
      <c r="BH314" s="307">
        <v>25</v>
      </c>
      <c r="BI314" s="307">
        <f t="shared" si="288"/>
        <v>815</v>
      </c>
      <c r="BJ314" s="308">
        <f t="shared" si="271"/>
        <v>67.911007416048662</v>
      </c>
      <c r="BL314" s="317">
        <f>ROW()</f>
        <v>314</v>
      </c>
      <c r="BM314" s="1432">
        <f t="shared" si="289"/>
        <v>-24</v>
      </c>
      <c r="BN314" s="317">
        <f t="shared" si="275"/>
        <v>-21.338992583951338</v>
      </c>
      <c r="BO314" s="317">
        <f t="shared" si="290"/>
        <v>-256</v>
      </c>
      <c r="BP314" s="594">
        <f t="shared" si="272"/>
        <v>-8</v>
      </c>
    </row>
    <row r="315" spans="1:68" x14ac:dyDescent="0.55000000000000004">
      <c r="A315" s="7222"/>
      <c r="B315" s="7213" t="s">
        <v>432</v>
      </c>
      <c r="C315" s="199" t="s">
        <v>419</v>
      </c>
      <c r="D315" s="291">
        <f>D320+D321</f>
        <v>407</v>
      </c>
      <c r="E315" s="292">
        <f t="shared" ref="E315:O315" si="302">E320+E321</f>
        <v>409</v>
      </c>
      <c r="F315" s="292">
        <f t="shared" si="302"/>
        <v>460</v>
      </c>
      <c r="G315" s="292">
        <f t="shared" si="302"/>
        <v>546</v>
      </c>
      <c r="H315" s="292">
        <f t="shared" si="302"/>
        <v>657</v>
      </c>
      <c r="I315" s="292">
        <f t="shared" si="302"/>
        <v>538</v>
      </c>
      <c r="J315" s="292">
        <f t="shared" si="302"/>
        <v>307</v>
      </c>
      <c r="K315" s="292">
        <f t="shared" si="302"/>
        <v>344</v>
      </c>
      <c r="L315" s="292">
        <f t="shared" si="302"/>
        <v>280</v>
      </c>
      <c r="M315" s="292">
        <f t="shared" si="302"/>
        <v>344</v>
      </c>
      <c r="N315" s="292">
        <f t="shared" si="302"/>
        <v>248</v>
      </c>
      <c r="O315" s="292">
        <f t="shared" si="302"/>
        <v>244</v>
      </c>
      <c r="P315" s="292">
        <f t="shared" si="277"/>
        <v>4784</v>
      </c>
      <c r="Q315" s="293">
        <f t="shared" si="295"/>
        <v>398.66666666666669</v>
      </c>
      <c r="R315" s="374"/>
      <c r="S315" s="291">
        <v>238</v>
      </c>
      <c r="T315" s="292">
        <v>321</v>
      </c>
      <c r="U315" s="292">
        <v>235</v>
      </c>
      <c r="V315" s="292">
        <v>231</v>
      </c>
      <c r="W315" s="292">
        <v>319</v>
      </c>
      <c r="X315" s="292">
        <v>316</v>
      </c>
      <c r="Y315" s="292">
        <v>280</v>
      </c>
      <c r="Z315" s="292">
        <v>381</v>
      </c>
      <c r="AA315" s="292">
        <v>260</v>
      </c>
      <c r="AB315" s="292">
        <v>358</v>
      </c>
      <c r="AC315" s="292">
        <v>414</v>
      </c>
      <c r="AD315" s="292">
        <v>219</v>
      </c>
      <c r="AE315" s="292">
        <f t="shared" si="245"/>
        <v>3572</v>
      </c>
      <c r="AF315" s="293">
        <f t="shared" si="296"/>
        <v>297.66666666666669</v>
      </c>
      <c r="AG315" s="374"/>
      <c r="AH315" s="291">
        <v>379</v>
      </c>
      <c r="AI315" s="292">
        <v>256</v>
      </c>
      <c r="AJ315" s="292">
        <v>259</v>
      </c>
      <c r="AK315" s="292">
        <v>237</v>
      </c>
      <c r="AL315" s="292">
        <v>342</v>
      </c>
      <c r="AM315" s="292">
        <v>305</v>
      </c>
      <c r="AN315" s="292">
        <v>395</v>
      </c>
      <c r="AO315" s="292">
        <v>348</v>
      </c>
      <c r="AP315" s="292">
        <v>340</v>
      </c>
      <c r="AQ315" s="292">
        <v>426</v>
      </c>
      <c r="AR315" s="292">
        <v>363</v>
      </c>
      <c r="AS315" s="292">
        <v>285</v>
      </c>
      <c r="AT315" s="292">
        <f t="shared" si="278"/>
        <v>3935</v>
      </c>
      <c r="AU315" s="293">
        <f t="shared" si="276"/>
        <v>327.91666666666669</v>
      </c>
      <c r="AV315" s="374"/>
      <c r="AW315" s="2015">
        <v>305</v>
      </c>
      <c r="AX315" s="292">
        <v>402</v>
      </c>
      <c r="AY315" s="292">
        <v>337</v>
      </c>
      <c r="AZ315" s="292">
        <v>340</v>
      </c>
      <c r="BA315" s="292">
        <v>736</v>
      </c>
      <c r="BB315" s="292">
        <v>415</v>
      </c>
      <c r="BC315" s="292">
        <v>422</v>
      </c>
      <c r="BD315" s="292">
        <v>345</v>
      </c>
      <c r="BE315" s="292">
        <v>361</v>
      </c>
      <c r="BF315" s="292">
        <v>308</v>
      </c>
      <c r="BG315" s="292">
        <v>328</v>
      </c>
      <c r="BH315" s="292">
        <v>379</v>
      </c>
      <c r="BI315" s="292">
        <f t="shared" si="288"/>
        <v>4678</v>
      </c>
      <c r="BJ315" s="293">
        <f t="shared" si="271"/>
        <v>389.80084992917261</v>
      </c>
      <c r="BL315" s="317">
        <f>ROW()</f>
        <v>315</v>
      </c>
      <c r="BM315" s="1432">
        <f t="shared" si="289"/>
        <v>94</v>
      </c>
      <c r="BN315" s="317">
        <f t="shared" si="275"/>
        <v>61.884183262505928</v>
      </c>
      <c r="BO315" s="317">
        <f t="shared" si="290"/>
        <v>743</v>
      </c>
      <c r="BP315" s="594">
        <f t="shared" si="272"/>
        <v>51</v>
      </c>
    </row>
    <row r="316" spans="1:68" x14ac:dyDescent="0.55000000000000004">
      <c r="A316" s="7222"/>
      <c r="B316" s="7214"/>
      <c r="C316" s="200" t="s">
        <v>420</v>
      </c>
      <c r="D316" s="294">
        <f>D322</f>
        <v>380</v>
      </c>
      <c r="E316" s="295">
        <f t="shared" ref="E316:O316" si="303">E322</f>
        <v>431</v>
      </c>
      <c r="F316" s="295">
        <f t="shared" si="303"/>
        <v>464</v>
      </c>
      <c r="G316" s="295">
        <f t="shared" si="303"/>
        <v>560</v>
      </c>
      <c r="H316" s="295">
        <f t="shared" si="303"/>
        <v>542</v>
      </c>
      <c r="I316" s="295">
        <f t="shared" si="303"/>
        <v>367</v>
      </c>
      <c r="J316" s="295">
        <f t="shared" si="303"/>
        <v>258</v>
      </c>
      <c r="K316" s="295">
        <f t="shared" si="303"/>
        <v>330</v>
      </c>
      <c r="L316" s="295">
        <f t="shared" si="303"/>
        <v>208</v>
      </c>
      <c r="M316" s="295">
        <f t="shared" si="303"/>
        <v>282</v>
      </c>
      <c r="N316" s="295">
        <f t="shared" si="303"/>
        <v>254</v>
      </c>
      <c r="O316" s="295">
        <f t="shared" si="303"/>
        <v>217</v>
      </c>
      <c r="P316" s="295">
        <f t="shared" si="277"/>
        <v>4293</v>
      </c>
      <c r="Q316" s="296">
        <f t="shared" si="295"/>
        <v>357.75</v>
      </c>
      <c r="R316" s="374"/>
      <c r="S316" s="294">
        <v>227</v>
      </c>
      <c r="T316" s="295">
        <v>257</v>
      </c>
      <c r="U316" s="295">
        <v>202</v>
      </c>
      <c r="V316" s="295">
        <v>141</v>
      </c>
      <c r="W316" s="295">
        <v>204</v>
      </c>
      <c r="X316" s="295">
        <v>157</v>
      </c>
      <c r="Y316" s="295">
        <v>163</v>
      </c>
      <c r="Z316" s="295">
        <v>195</v>
      </c>
      <c r="AA316" s="295">
        <v>195</v>
      </c>
      <c r="AB316" s="295">
        <v>253</v>
      </c>
      <c r="AC316" s="295">
        <v>231</v>
      </c>
      <c r="AD316" s="295">
        <v>134</v>
      </c>
      <c r="AE316" s="295">
        <f t="shared" si="245"/>
        <v>2359</v>
      </c>
      <c r="AF316" s="296">
        <f t="shared" si="296"/>
        <v>196.58333333333334</v>
      </c>
      <c r="AG316" s="374"/>
      <c r="AH316" s="294">
        <v>184</v>
      </c>
      <c r="AI316" s="295">
        <v>156</v>
      </c>
      <c r="AJ316" s="295">
        <v>235</v>
      </c>
      <c r="AK316" s="295">
        <v>225</v>
      </c>
      <c r="AL316" s="295">
        <v>211</v>
      </c>
      <c r="AM316" s="295">
        <v>249.00000000000003</v>
      </c>
      <c r="AN316" s="295">
        <v>253</v>
      </c>
      <c r="AO316" s="295">
        <v>361</v>
      </c>
      <c r="AP316" s="295">
        <v>378</v>
      </c>
      <c r="AQ316" s="295">
        <v>382</v>
      </c>
      <c r="AR316" s="295">
        <v>312</v>
      </c>
      <c r="AS316" s="295">
        <v>309</v>
      </c>
      <c r="AT316" s="295">
        <f t="shared" si="278"/>
        <v>3255</v>
      </c>
      <c r="AU316" s="296">
        <f t="shared" si="276"/>
        <v>271.25</v>
      </c>
      <c r="AV316" s="374"/>
      <c r="AW316" s="2016">
        <v>283</v>
      </c>
      <c r="AX316" s="295">
        <v>315</v>
      </c>
      <c r="AY316" s="295">
        <v>259</v>
      </c>
      <c r="AZ316" s="295">
        <v>237</v>
      </c>
      <c r="BA316" s="295">
        <v>545</v>
      </c>
      <c r="BB316" s="295">
        <v>339</v>
      </c>
      <c r="BC316" s="295">
        <v>323</v>
      </c>
      <c r="BD316" s="295">
        <v>320</v>
      </c>
      <c r="BE316" s="295">
        <v>320</v>
      </c>
      <c r="BF316" s="295">
        <v>288</v>
      </c>
      <c r="BG316" s="295">
        <v>272</v>
      </c>
      <c r="BH316" s="295">
        <v>300</v>
      </c>
      <c r="BI316" s="295">
        <f t="shared" si="288"/>
        <v>3801</v>
      </c>
      <c r="BJ316" s="296">
        <f t="shared" si="271"/>
        <v>316.72360636613615</v>
      </c>
      <c r="BL316" s="317">
        <f>ROW()</f>
        <v>316</v>
      </c>
      <c r="BM316" s="1432">
        <f t="shared" si="289"/>
        <v>-9</v>
      </c>
      <c r="BN316" s="317">
        <f t="shared" si="275"/>
        <v>45.473606366136153</v>
      </c>
      <c r="BO316" s="317">
        <f t="shared" si="290"/>
        <v>546</v>
      </c>
      <c r="BP316" s="594">
        <f t="shared" si="272"/>
        <v>28</v>
      </c>
    </row>
    <row r="317" spans="1:68" x14ac:dyDescent="0.55000000000000004">
      <c r="A317" s="7222"/>
      <c r="B317" s="7214"/>
      <c r="C317" s="200" t="s">
        <v>421</v>
      </c>
      <c r="D317" s="294">
        <f>D323</f>
        <v>354</v>
      </c>
      <c r="E317" s="295">
        <f t="shared" ref="E317:O317" si="304">E323</f>
        <v>373</v>
      </c>
      <c r="F317" s="295">
        <f t="shared" si="304"/>
        <v>416</v>
      </c>
      <c r="G317" s="295">
        <f t="shared" si="304"/>
        <v>487</v>
      </c>
      <c r="H317" s="295">
        <f t="shared" si="304"/>
        <v>415</v>
      </c>
      <c r="I317" s="295">
        <f t="shared" si="304"/>
        <v>331</v>
      </c>
      <c r="J317" s="295">
        <f t="shared" si="304"/>
        <v>242</v>
      </c>
      <c r="K317" s="295">
        <f t="shared" si="304"/>
        <v>287</v>
      </c>
      <c r="L317" s="295">
        <f t="shared" si="304"/>
        <v>227</v>
      </c>
      <c r="M317" s="295">
        <f t="shared" si="304"/>
        <v>254</v>
      </c>
      <c r="N317" s="295">
        <f t="shared" si="304"/>
        <v>217</v>
      </c>
      <c r="O317" s="295">
        <f t="shared" si="304"/>
        <v>172</v>
      </c>
      <c r="P317" s="295">
        <f t="shared" si="277"/>
        <v>3775</v>
      </c>
      <c r="Q317" s="296">
        <f t="shared" si="295"/>
        <v>314.58333333333331</v>
      </c>
      <c r="R317" s="374"/>
      <c r="S317" s="294">
        <v>166</v>
      </c>
      <c r="T317" s="295">
        <v>194</v>
      </c>
      <c r="U317" s="295">
        <v>192</v>
      </c>
      <c r="V317" s="295">
        <v>174</v>
      </c>
      <c r="W317" s="295">
        <v>217</v>
      </c>
      <c r="X317" s="295">
        <v>199</v>
      </c>
      <c r="Y317" s="295">
        <v>200</v>
      </c>
      <c r="Z317" s="295">
        <v>221</v>
      </c>
      <c r="AA317" s="295">
        <v>180</v>
      </c>
      <c r="AB317" s="295">
        <v>196</v>
      </c>
      <c r="AC317" s="295">
        <v>243</v>
      </c>
      <c r="AD317" s="295">
        <v>145</v>
      </c>
      <c r="AE317" s="295">
        <f t="shared" si="245"/>
        <v>2327</v>
      </c>
      <c r="AF317" s="296">
        <f t="shared" si="296"/>
        <v>193.91666666666666</v>
      </c>
      <c r="AG317" s="374"/>
      <c r="AH317" s="294">
        <v>161</v>
      </c>
      <c r="AI317" s="295">
        <v>155</v>
      </c>
      <c r="AJ317" s="295">
        <v>210</v>
      </c>
      <c r="AK317" s="295">
        <v>188</v>
      </c>
      <c r="AL317" s="295">
        <v>284</v>
      </c>
      <c r="AM317" s="295">
        <v>258</v>
      </c>
      <c r="AN317" s="295">
        <v>287</v>
      </c>
      <c r="AO317" s="295">
        <v>287</v>
      </c>
      <c r="AP317" s="295">
        <v>261</v>
      </c>
      <c r="AQ317" s="295">
        <v>298</v>
      </c>
      <c r="AR317" s="295">
        <v>298</v>
      </c>
      <c r="AS317" s="295">
        <v>289</v>
      </c>
      <c r="AT317" s="295">
        <f t="shared" si="278"/>
        <v>2976</v>
      </c>
      <c r="AU317" s="296">
        <f t="shared" si="276"/>
        <v>248</v>
      </c>
      <c r="AV317" s="374"/>
      <c r="AW317" s="2016">
        <v>250</v>
      </c>
      <c r="AX317" s="295">
        <v>367</v>
      </c>
      <c r="AY317" s="295">
        <v>356</v>
      </c>
      <c r="AZ317" s="295">
        <v>299</v>
      </c>
      <c r="BA317" s="295">
        <v>572</v>
      </c>
      <c r="BB317" s="295">
        <v>436.00000000000006</v>
      </c>
      <c r="BC317" s="295">
        <v>404</v>
      </c>
      <c r="BD317" s="295">
        <v>292</v>
      </c>
      <c r="BE317" s="295">
        <v>335</v>
      </c>
      <c r="BF317" s="295">
        <v>302</v>
      </c>
      <c r="BG317" s="295">
        <v>259</v>
      </c>
      <c r="BH317" s="295">
        <v>260</v>
      </c>
      <c r="BI317" s="295">
        <f t="shared" si="288"/>
        <v>4132</v>
      </c>
      <c r="BJ317" s="296">
        <f t="shared" si="271"/>
        <v>344.30464127989336</v>
      </c>
      <c r="BL317" s="317">
        <f>ROW()</f>
        <v>317</v>
      </c>
      <c r="BM317" s="1432">
        <f t="shared" si="289"/>
        <v>-29</v>
      </c>
      <c r="BN317" s="317">
        <f t="shared" si="275"/>
        <v>96.30464127989336</v>
      </c>
      <c r="BO317" s="317">
        <f t="shared" si="290"/>
        <v>1156</v>
      </c>
      <c r="BP317" s="594">
        <f t="shared" si="272"/>
        <v>1</v>
      </c>
    </row>
    <row r="318" spans="1:68" x14ac:dyDescent="0.55000000000000004">
      <c r="A318" s="7222"/>
      <c r="B318" s="7214"/>
      <c r="C318" s="200" t="s">
        <v>422</v>
      </c>
      <c r="D318" s="294">
        <f>D324+D325</f>
        <v>526</v>
      </c>
      <c r="E318" s="295">
        <f t="shared" ref="E318:O318" si="305">E324+E325</f>
        <v>450</v>
      </c>
      <c r="F318" s="295">
        <f t="shared" si="305"/>
        <v>536</v>
      </c>
      <c r="G318" s="295">
        <f t="shared" si="305"/>
        <v>567</v>
      </c>
      <c r="H318" s="295">
        <f t="shared" si="305"/>
        <v>642</v>
      </c>
      <c r="I318" s="295">
        <f t="shared" si="305"/>
        <v>639</v>
      </c>
      <c r="J318" s="295">
        <f t="shared" si="305"/>
        <v>489</v>
      </c>
      <c r="K318" s="295">
        <f t="shared" si="305"/>
        <v>571</v>
      </c>
      <c r="L318" s="295">
        <f t="shared" si="305"/>
        <v>459</v>
      </c>
      <c r="M318" s="295">
        <f t="shared" si="305"/>
        <v>419</v>
      </c>
      <c r="N318" s="295">
        <f t="shared" si="305"/>
        <v>365</v>
      </c>
      <c r="O318" s="295">
        <f t="shared" si="305"/>
        <v>229</v>
      </c>
      <c r="P318" s="295">
        <f t="shared" si="277"/>
        <v>5892</v>
      </c>
      <c r="Q318" s="296">
        <f t="shared" si="295"/>
        <v>491</v>
      </c>
      <c r="R318" s="374"/>
      <c r="S318" s="294">
        <v>349</v>
      </c>
      <c r="T318" s="295">
        <v>388</v>
      </c>
      <c r="U318" s="295">
        <v>388</v>
      </c>
      <c r="V318" s="295">
        <v>372</v>
      </c>
      <c r="W318" s="295">
        <v>456</v>
      </c>
      <c r="X318" s="295">
        <v>424</v>
      </c>
      <c r="Y318" s="295">
        <v>339</v>
      </c>
      <c r="Z318" s="295">
        <v>485</v>
      </c>
      <c r="AA318" s="295">
        <v>437</v>
      </c>
      <c r="AB318" s="295">
        <v>479</v>
      </c>
      <c r="AC318" s="295">
        <v>446</v>
      </c>
      <c r="AD318" s="295">
        <v>289</v>
      </c>
      <c r="AE318" s="295">
        <f t="shared" si="245"/>
        <v>4852</v>
      </c>
      <c r="AF318" s="296">
        <f t="shared" si="296"/>
        <v>404.33333333333331</v>
      </c>
      <c r="AG318" s="374"/>
      <c r="AH318" s="294">
        <v>539</v>
      </c>
      <c r="AI318" s="295">
        <v>506</v>
      </c>
      <c r="AJ318" s="295">
        <v>542</v>
      </c>
      <c r="AK318" s="295">
        <v>525</v>
      </c>
      <c r="AL318" s="295">
        <v>590</v>
      </c>
      <c r="AM318" s="295">
        <v>468</v>
      </c>
      <c r="AN318" s="295">
        <v>473</v>
      </c>
      <c r="AO318" s="295">
        <v>472</v>
      </c>
      <c r="AP318" s="295">
        <v>476</v>
      </c>
      <c r="AQ318" s="295">
        <v>567</v>
      </c>
      <c r="AR318" s="295">
        <v>608</v>
      </c>
      <c r="AS318" s="295">
        <v>610</v>
      </c>
      <c r="AT318" s="295">
        <f t="shared" si="278"/>
        <v>6376</v>
      </c>
      <c r="AU318" s="296">
        <f t="shared" si="276"/>
        <v>531.33333333333337</v>
      </c>
      <c r="AV318" s="374"/>
      <c r="AW318" s="2016">
        <v>560</v>
      </c>
      <c r="AX318" s="295">
        <v>681</v>
      </c>
      <c r="AY318" s="295">
        <v>637</v>
      </c>
      <c r="AZ318" s="295">
        <v>752</v>
      </c>
      <c r="BA318" s="295">
        <v>1525</v>
      </c>
      <c r="BB318" s="295">
        <v>1426</v>
      </c>
      <c r="BC318" s="295">
        <v>1133</v>
      </c>
      <c r="BD318" s="295">
        <v>752</v>
      </c>
      <c r="BE318" s="295">
        <v>665</v>
      </c>
      <c r="BF318" s="295">
        <v>720</v>
      </c>
      <c r="BG318" s="295">
        <v>676</v>
      </c>
      <c r="BH318" s="295">
        <v>607</v>
      </c>
      <c r="BI318" s="295">
        <f t="shared" si="288"/>
        <v>10134</v>
      </c>
      <c r="BJ318" s="296">
        <f t="shared" si="271"/>
        <v>844.42963086409475</v>
      </c>
      <c r="BL318" s="317">
        <f>ROW()</f>
        <v>318</v>
      </c>
      <c r="BM318" s="1432">
        <f t="shared" si="289"/>
        <v>-3</v>
      </c>
      <c r="BN318" s="317">
        <f t="shared" si="275"/>
        <v>313.09629753076138</v>
      </c>
      <c r="BO318" s="317">
        <f t="shared" si="290"/>
        <v>3758</v>
      </c>
      <c r="BP318" s="594">
        <f t="shared" si="272"/>
        <v>-69</v>
      </c>
    </row>
    <row r="319" spans="1:68" x14ac:dyDescent="0.55000000000000004">
      <c r="A319" s="7222"/>
      <c r="B319" s="7215"/>
      <c r="C319" s="201" t="s">
        <v>423</v>
      </c>
      <c r="D319" s="297">
        <f>D326+D327</f>
        <v>445</v>
      </c>
      <c r="E319" s="298">
        <f t="shared" ref="E319:O319" si="306">E326+E327</f>
        <v>432</v>
      </c>
      <c r="F319" s="298">
        <f t="shared" si="306"/>
        <v>415</v>
      </c>
      <c r="G319" s="298">
        <f t="shared" si="306"/>
        <v>480</v>
      </c>
      <c r="H319" s="298">
        <f t="shared" si="306"/>
        <v>494</v>
      </c>
      <c r="I319" s="298">
        <f t="shared" si="306"/>
        <v>467</v>
      </c>
      <c r="J319" s="298">
        <f t="shared" si="306"/>
        <v>317</v>
      </c>
      <c r="K319" s="298">
        <f t="shared" si="306"/>
        <v>373</v>
      </c>
      <c r="L319" s="298">
        <f t="shared" si="306"/>
        <v>361</v>
      </c>
      <c r="M319" s="298">
        <f t="shared" si="306"/>
        <v>333</v>
      </c>
      <c r="N319" s="298">
        <f t="shared" si="306"/>
        <v>358</v>
      </c>
      <c r="O319" s="298">
        <f t="shared" si="306"/>
        <v>314</v>
      </c>
      <c r="P319" s="298">
        <f t="shared" si="277"/>
        <v>4789</v>
      </c>
      <c r="Q319" s="299">
        <f t="shared" si="295"/>
        <v>399.08333333333331</v>
      </c>
      <c r="R319" s="374"/>
      <c r="S319" s="297">
        <v>340</v>
      </c>
      <c r="T319" s="298">
        <v>383</v>
      </c>
      <c r="U319" s="298">
        <v>362</v>
      </c>
      <c r="V319" s="298">
        <v>335</v>
      </c>
      <c r="W319" s="298">
        <v>412</v>
      </c>
      <c r="X319" s="298">
        <v>318</v>
      </c>
      <c r="Y319" s="298">
        <v>293</v>
      </c>
      <c r="Z319" s="298">
        <v>427</v>
      </c>
      <c r="AA319" s="298">
        <v>371</v>
      </c>
      <c r="AB319" s="298">
        <v>407</v>
      </c>
      <c r="AC319" s="298">
        <v>393</v>
      </c>
      <c r="AD319" s="298">
        <v>268</v>
      </c>
      <c r="AE319" s="298">
        <f t="shared" si="245"/>
        <v>4309</v>
      </c>
      <c r="AF319" s="299">
        <f t="shared" si="296"/>
        <v>359.08333333333331</v>
      </c>
      <c r="AG319" s="374"/>
      <c r="AH319" s="297">
        <v>381</v>
      </c>
      <c r="AI319" s="298">
        <v>308</v>
      </c>
      <c r="AJ319" s="298">
        <v>339</v>
      </c>
      <c r="AK319" s="298">
        <v>354</v>
      </c>
      <c r="AL319" s="298">
        <v>355</v>
      </c>
      <c r="AM319" s="298">
        <v>338</v>
      </c>
      <c r="AN319" s="298">
        <v>384</v>
      </c>
      <c r="AO319" s="298">
        <v>307</v>
      </c>
      <c r="AP319" s="298">
        <v>335</v>
      </c>
      <c r="AQ319" s="298">
        <v>414</v>
      </c>
      <c r="AR319" s="298">
        <v>516</v>
      </c>
      <c r="AS319" s="298">
        <v>449</v>
      </c>
      <c r="AT319" s="298">
        <f t="shared" si="278"/>
        <v>4480</v>
      </c>
      <c r="AU319" s="299">
        <f t="shared" si="276"/>
        <v>373.33333333333331</v>
      </c>
      <c r="AV319" s="374"/>
      <c r="AW319" s="2017">
        <v>430</v>
      </c>
      <c r="AX319" s="298">
        <v>569</v>
      </c>
      <c r="AY319" s="298">
        <v>485</v>
      </c>
      <c r="AZ319" s="298">
        <v>492</v>
      </c>
      <c r="BA319" s="298">
        <v>735</v>
      </c>
      <c r="BB319" s="298">
        <v>564</v>
      </c>
      <c r="BC319" s="298">
        <v>582</v>
      </c>
      <c r="BD319" s="298">
        <v>382</v>
      </c>
      <c r="BE319" s="298">
        <v>423</v>
      </c>
      <c r="BF319" s="298">
        <v>371</v>
      </c>
      <c r="BG319" s="298">
        <v>398</v>
      </c>
      <c r="BH319" s="298">
        <v>371</v>
      </c>
      <c r="BI319" s="298">
        <f t="shared" si="288"/>
        <v>5802</v>
      </c>
      <c r="BJ319" s="299">
        <f t="shared" si="271"/>
        <v>483.45971169069247</v>
      </c>
      <c r="BL319" s="317">
        <f>ROW()</f>
        <v>319</v>
      </c>
      <c r="BM319" s="1432">
        <f t="shared" si="289"/>
        <v>-78</v>
      </c>
      <c r="BN319" s="317">
        <f t="shared" si="275"/>
        <v>110.12637835735916</v>
      </c>
      <c r="BO319" s="317">
        <f t="shared" si="290"/>
        <v>1322</v>
      </c>
      <c r="BP319" s="594">
        <f t="shared" si="272"/>
        <v>-27</v>
      </c>
    </row>
    <row r="320" spans="1:68" x14ac:dyDescent="0.55000000000000004">
      <c r="A320" s="7222"/>
      <c r="B320" s="7207" t="s">
        <v>433</v>
      </c>
      <c r="C320" s="203" t="s">
        <v>242</v>
      </c>
      <c r="D320" s="303">
        <v>329</v>
      </c>
      <c r="E320" s="304">
        <v>337</v>
      </c>
      <c r="F320" s="304">
        <v>376</v>
      </c>
      <c r="G320" s="304">
        <v>470</v>
      </c>
      <c r="H320" s="304">
        <v>561</v>
      </c>
      <c r="I320" s="304">
        <v>458</v>
      </c>
      <c r="J320" s="304">
        <v>255</v>
      </c>
      <c r="K320" s="304">
        <v>262</v>
      </c>
      <c r="L320" s="304">
        <v>234</v>
      </c>
      <c r="M320" s="304">
        <v>290</v>
      </c>
      <c r="N320" s="304">
        <v>192</v>
      </c>
      <c r="O320" s="304">
        <v>212</v>
      </c>
      <c r="P320" s="304">
        <f t="shared" si="277"/>
        <v>3976</v>
      </c>
      <c r="Q320" s="305">
        <f t="shared" si="295"/>
        <v>331.33333333333331</v>
      </c>
      <c r="R320" s="374"/>
      <c r="S320" s="303">
        <v>201</v>
      </c>
      <c r="T320" s="304">
        <v>278</v>
      </c>
      <c r="U320" s="304">
        <v>188</v>
      </c>
      <c r="V320" s="304">
        <v>199</v>
      </c>
      <c r="W320" s="304">
        <v>273</v>
      </c>
      <c r="X320" s="304">
        <v>277</v>
      </c>
      <c r="Y320" s="304">
        <v>247</v>
      </c>
      <c r="Z320" s="304">
        <v>324</v>
      </c>
      <c r="AA320" s="304">
        <v>221</v>
      </c>
      <c r="AB320" s="304">
        <v>280</v>
      </c>
      <c r="AC320" s="304">
        <v>328</v>
      </c>
      <c r="AD320" s="304">
        <v>176</v>
      </c>
      <c r="AE320" s="304">
        <f t="shared" si="245"/>
        <v>2992</v>
      </c>
      <c r="AF320" s="305">
        <f t="shared" si="296"/>
        <v>249.33333333333334</v>
      </c>
      <c r="AG320" s="374"/>
      <c r="AH320" s="303">
        <v>316</v>
      </c>
      <c r="AI320" s="304">
        <v>206</v>
      </c>
      <c r="AJ320" s="304">
        <v>191</v>
      </c>
      <c r="AK320" s="304">
        <v>171</v>
      </c>
      <c r="AL320" s="304">
        <v>247</v>
      </c>
      <c r="AM320" s="304">
        <v>233</v>
      </c>
      <c r="AN320" s="304">
        <v>280</v>
      </c>
      <c r="AO320" s="304">
        <v>261</v>
      </c>
      <c r="AP320" s="304">
        <v>238</v>
      </c>
      <c r="AQ320" s="304">
        <v>329</v>
      </c>
      <c r="AR320" s="304">
        <v>276</v>
      </c>
      <c r="AS320" s="304">
        <v>216.00000000000003</v>
      </c>
      <c r="AT320" s="304">
        <f t="shared" si="278"/>
        <v>2964</v>
      </c>
      <c r="AU320" s="305">
        <f t="shared" si="276"/>
        <v>247</v>
      </c>
      <c r="AV320" s="374"/>
      <c r="AW320" s="2022">
        <v>206</v>
      </c>
      <c r="AX320" s="304">
        <v>299</v>
      </c>
      <c r="AY320" s="304">
        <v>245</v>
      </c>
      <c r="AZ320" s="304">
        <v>243</v>
      </c>
      <c r="BA320" s="304">
        <v>525</v>
      </c>
      <c r="BB320" s="304">
        <v>303</v>
      </c>
      <c r="BC320" s="304">
        <v>422</v>
      </c>
      <c r="BD320" s="304">
        <v>345</v>
      </c>
      <c r="BE320" s="304">
        <v>361</v>
      </c>
      <c r="BF320" s="304">
        <v>308</v>
      </c>
      <c r="BG320" s="304">
        <v>328</v>
      </c>
      <c r="BH320" s="304">
        <v>379</v>
      </c>
      <c r="BI320" s="304">
        <f t="shared" si="288"/>
        <v>3964</v>
      </c>
      <c r="BJ320" s="305">
        <f t="shared" si="271"/>
        <v>330.30580784934591</v>
      </c>
      <c r="BL320" s="317">
        <f>ROW()</f>
        <v>320</v>
      </c>
      <c r="BM320" s="1432">
        <f t="shared" si="289"/>
        <v>162.99999999999997</v>
      </c>
      <c r="BN320" s="317">
        <f t="shared" si="275"/>
        <v>83.305807849345911</v>
      </c>
      <c r="BO320" s="317">
        <f t="shared" si="290"/>
        <v>1000</v>
      </c>
      <c r="BP320" s="594">
        <f t="shared" si="272"/>
        <v>51</v>
      </c>
    </row>
    <row r="321" spans="1:71" x14ac:dyDescent="0.55000000000000004">
      <c r="A321" s="7222"/>
      <c r="B321" s="7208"/>
      <c r="C321" s="203" t="s">
        <v>243</v>
      </c>
      <c r="D321" s="303">
        <v>78</v>
      </c>
      <c r="E321" s="304">
        <v>72</v>
      </c>
      <c r="F321" s="304">
        <v>84</v>
      </c>
      <c r="G321" s="304">
        <v>76</v>
      </c>
      <c r="H321" s="304">
        <v>96</v>
      </c>
      <c r="I321" s="304">
        <v>80</v>
      </c>
      <c r="J321" s="304">
        <v>52</v>
      </c>
      <c r="K321" s="304">
        <v>82</v>
      </c>
      <c r="L321" s="304">
        <v>46</v>
      </c>
      <c r="M321" s="304">
        <v>54</v>
      </c>
      <c r="N321" s="304">
        <v>56</v>
      </c>
      <c r="O321" s="304">
        <v>32</v>
      </c>
      <c r="P321" s="304">
        <f t="shared" si="277"/>
        <v>808</v>
      </c>
      <c r="Q321" s="305">
        <f t="shared" si="295"/>
        <v>67.333333333333329</v>
      </c>
      <c r="R321" s="374"/>
      <c r="S321" s="303">
        <v>37</v>
      </c>
      <c r="T321" s="304">
        <v>43</v>
      </c>
      <c r="U321" s="304">
        <v>47</v>
      </c>
      <c r="V321" s="304">
        <v>32</v>
      </c>
      <c r="W321" s="304">
        <v>46</v>
      </c>
      <c r="X321" s="304">
        <v>39</v>
      </c>
      <c r="Y321" s="304">
        <v>33</v>
      </c>
      <c r="Z321" s="304">
        <v>57</v>
      </c>
      <c r="AA321" s="304">
        <v>39</v>
      </c>
      <c r="AB321" s="304">
        <v>78</v>
      </c>
      <c r="AC321" s="304">
        <v>86</v>
      </c>
      <c r="AD321" s="304">
        <v>43</v>
      </c>
      <c r="AE321" s="304">
        <f t="shared" si="245"/>
        <v>580</v>
      </c>
      <c r="AF321" s="305">
        <f t="shared" si="296"/>
        <v>48.333333333333336</v>
      </c>
      <c r="AG321" s="374"/>
      <c r="AH321" s="303">
        <v>63</v>
      </c>
      <c r="AI321" s="304">
        <v>50</v>
      </c>
      <c r="AJ321" s="304">
        <v>68</v>
      </c>
      <c r="AK321" s="304">
        <v>66</v>
      </c>
      <c r="AL321" s="304">
        <v>95</v>
      </c>
      <c r="AM321" s="304">
        <v>72</v>
      </c>
      <c r="AN321" s="304">
        <v>115</v>
      </c>
      <c r="AO321" s="304">
        <v>87</v>
      </c>
      <c r="AP321" s="304">
        <v>102</v>
      </c>
      <c r="AQ321" s="304">
        <v>97</v>
      </c>
      <c r="AR321" s="304">
        <v>87</v>
      </c>
      <c r="AS321" s="304">
        <v>69</v>
      </c>
      <c r="AT321" s="304">
        <f t="shared" si="278"/>
        <v>971</v>
      </c>
      <c r="AU321" s="305">
        <f t="shared" si="276"/>
        <v>80.916666666666671</v>
      </c>
      <c r="AV321" s="374"/>
      <c r="AW321" s="2022">
        <v>99</v>
      </c>
      <c r="AX321" s="304">
        <v>103</v>
      </c>
      <c r="AY321" s="304">
        <v>92</v>
      </c>
      <c r="AZ321" s="304">
        <v>97</v>
      </c>
      <c r="BA321" s="304">
        <v>211</v>
      </c>
      <c r="BB321" s="304">
        <v>112.00000000000001</v>
      </c>
      <c r="BC321" s="2363"/>
      <c r="BD321" s="2363"/>
      <c r="BE321" s="2363"/>
      <c r="BF321" s="2363"/>
      <c r="BG321" s="2363"/>
      <c r="BH321" s="2363"/>
      <c r="BI321" s="304">
        <f t="shared" si="288"/>
        <v>714</v>
      </c>
      <c r="BJ321" s="305">
        <f t="shared" si="271"/>
        <v>59.495042079826682</v>
      </c>
      <c r="BL321" s="317">
        <f>ROW()</f>
        <v>321</v>
      </c>
      <c r="BM321" s="1432">
        <f t="shared" si="289"/>
        <v>-69</v>
      </c>
      <c r="BN321" s="317">
        <f t="shared" si="275"/>
        <v>-21.421624586839989</v>
      </c>
      <c r="BO321" s="317">
        <f t="shared" si="290"/>
        <v>-257</v>
      </c>
      <c r="BP321" s="594">
        <f t="shared" si="272"/>
        <v>0</v>
      </c>
    </row>
    <row r="322" spans="1:71" s="190" customFormat="1" x14ac:dyDescent="0.55000000000000004">
      <c r="A322" s="7222"/>
      <c r="B322" s="7208"/>
      <c r="C322" s="211" t="s">
        <v>244</v>
      </c>
      <c r="D322" s="309">
        <v>380</v>
      </c>
      <c r="E322" s="310">
        <v>431</v>
      </c>
      <c r="F322" s="310">
        <v>464</v>
      </c>
      <c r="G322" s="310">
        <v>560</v>
      </c>
      <c r="H322" s="310">
        <v>542</v>
      </c>
      <c r="I322" s="310">
        <v>367</v>
      </c>
      <c r="J322" s="310">
        <v>258</v>
      </c>
      <c r="K322" s="310">
        <v>330</v>
      </c>
      <c r="L322" s="310">
        <v>208</v>
      </c>
      <c r="M322" s="310">
        <v>282</v>
      </c>
      <c r="N322" s="310">
        <v>254</v>
      </c>
      <c r="O322" s="310">
        <v>217</v>
      </c>
      <c r="P322" s="310">
        <f t="shared" si="277"/>
        <v>4293</v>
      </c>
      <c r="Q322" s="311">
        <f t="shared" si="295"/>
        <v>357.75</v>
      </c>
      <c r="R322" s="374"/>
      <c r="S322" s="309">
        <v>227</v>
      </c>
      <c r="T322" s="310">
        <v>257</v>
      </c>
      <c r="U322" s="310">
        <v>202</v>
      </c>
      <c r="V322" s="310">
        <v>141</v>
      </c>
      <c r="W322" s="310">
        <v>204</v>
      </c>
      <c r="X322" s="310">
        <v>157</v>
      </c>
      <c r="Y322" s="310">
        <v>163</v>
      </c>
      <c r="Z322" s="310">
        <v>195</v>
      </c>
      <c r="AA322" s="310">
        <v>195</v>
      </c>
      <c r="AB322" s="310">
        <v>253</v>
      </c>
      <c r="AC322" s="310">
        <v>231</v>
      </c>
      <c r="AD322" s="310">
        <v>134</v>
      </c>
      <c r="AE322" s="310">
        <f t="shared" si="245"/>
        <v>2359</v>
      </c>
      <c r="AF322" s="311">
        <f t="shared" si="296"/>
        <v>196.58333333333334</v>
      </c>
      <c r="AG322" s="374"/>
      <c r="AH322" s="309">
        <v>184</v>
      </c>
      <c r="AI322" s="310">
        <v>156</v>
      </c>
      <c r="AJ322" s="310">
        <v>235</v>
      </c>
      <c r="AK322" s="310">
        <v>225</v>
      </c>
      <c r="AL322" s="310">
        <v>211</v>
      </c>
      <c r="AM322" s="310">
        <v>249.00000000000003</v>
      </c>
      <c r="AN322" s="310">
        <v>253</v>
      </c>
      <c r="AO322" s="310">
        <v>361</v>
      </c>
      <c r="AP322" s="310">
        <v>378</v>
      </c>
      <c r="AQ322" s="310">
        <v>382</v>
      </c>
      <c r="AR322" s="310">
        <v>312</v>
      </c>
      <c r="AS322" s="310">
        <v>309</v>
      </c>
      <c r="AT322" s="310">
        <f t="shared" si="278"/>
        <v>3255</v>
      </c>
      <c r="AU322" s="311">
        <f t="shared" si="276"/>
        <v>271.25</v>
      </c>
      <c r="AV322" s="374"/>
      <c r="AW322" s="2021">
        <v>283</v>
      </c>
      <c r="AX322" s="310">
        <v>315</v>
      </c>
      <c r="AY322" s="310">
        <v>259</v>
      </c>
      <c r="AZ322" s="310">
        <v>237</v>
      </c>
      <c r="BA322" s="310">
        <v>545</v>
      </c>
      <c r="BB322" s="310">
        <v>339</v>
      </c>
      <c r="BC322" s="310">
        <v>323</v>
      </c>
      <c r="BD322" s="310">
        <v>320</v>
      </c>
      <c r="BE322" s="310">
        <v>320</v>
      </c>
      <c r="BF322" s="310">
        <v>288</v>
      </c>
      <c r="BG322" s="310">
        <v>272</v>
      </c>
      <c r="BH322" s="310">
        <v>300</v>
      </c>
      <c r="BI322" s="310">
        <f t="shared" si="288"/>
        <v>3801</v>
      </c>
      <c r="BJ322" s="311">
        <f t="shared" si="271"/>
        <v>316.72360636613615</v>
      </c>
      <c r="BL322" s="317">
        <f>ROW()</f>
        <v>322</v>
      </c>
      <c r="BM322" s="1432">
        <f t="shared" si="289"/>
        <v>-9</v>
      </c>
      <c r="BN322" s="317">
        <f t="shared" si="275"/>
        <v>45.473606366136153</v>
      </c>
      <c r="BO322" s="317">
        <f t="shared" si="290"/>
        <v>546</v>
      </c>
      <c r="BP322" s="594">
        <f t="shared" si="272"/>
        <v>28</v>
      </c>
      <c r="BR322"/>
      <c r="BS322"/>
    </row>
    <row r="323" spans="1:71" s="190" customFormat="1" x14ac:dyDescent="0.55000000000000004">
      <c r="A323" s="7222"/>
      <c r="B323" s="7208"/>
      <c r="C323" s="203" t="s">
        <v>245</v>
      </c>
      <c r="D323" s="303">
        <v>354</v>
      </c>
      <c r="E323" s="304">
        <v>373</v>
      </c>
      <c r="F323" s="304">
        <v>416</v>
      </c>
      <c r="G323" s="304">
        <v>487</v>
      </c>
      <c r="H323" s="304">
        <v>415</v>
      </c>
      <c r="I323" s="304">
        <v>331</v>
      </c>
      <c r="J323" s="304">
        <v>242</v>
      </c>
      <c r="K323" s="304">
        <v>287</v>
      </c>
      <c r="L323" s="304">
        <v>227</v>
      </c>
      <c r="M323" s="304">
        <v>254</v>
      </c>
      <c r="N323" s="304">
        <v>217</v>
      </c>
      <c r="O323" s="304">
        <v>172</v>
      </c>
      <c r="P323" s="304">
        <f t="shared" si="277"/>
        <v>3775</v>
      </c>
      <c r="Q323" s="305">
        <f t="shared" si="295"/>
        <v>314.58333333333331</v>
      </c>
      <c r="R323" s="374"/>
      <c r="S323" s="303">
        <v>166</v>
      </c>
      <c r="T323" s="304">
        <v>194</v>
      </c>
      <c r="U323" s="304">
        <v>192</v>
      </c>
      <c r="V323" s="304">
        <v>174</v>
      </c>
      <c r="W323" s="304">
        <v>217</v>
      </c>
      <c r="X323" s="304">
        <v>199</v>
      </c>
      <c r="Y323" s="304">
        <v>200</v>
      </c>
      <c r="Z323" s="304">
        <v>221</v>
      </c>
      <c r="AA323" s="304">
        <v>180</v>
      </c>
      <c r="AB323" s="304">
        <v>196</v>
      </c>
      <c r="AC323" s="304">
        <v>243</v>
      </c>
      <c r="AD323" s="304">
        <v>145</v>
      </c>
      <c r="AE323" s="304">
        <f t="shared" si="245"/>
        <v>2327</v>
      </c>
      <c r="AF323" s="305">
        <f t="shared" si="296"/>
        <v>193.91666666666666</v>
      </c>
      <c r="AG323" s="374"/>
      <c r="AH323" s="303">
        <v>161</v>
      </c>
      <c r="AI323" s="304">
        <v>155</v>
      </c>
      <c r="AJ323" s="304">
        <v>210</v>
      </c>
      <c r="AK323" s="304">
        <v>188</v>
      </c>
      <c r="AL323" s="304">
        <v>284</v>
      </c>
      <c r="AM323" s="304">
        <v>258</v>
      </c>
      <c r="AN323" s="304">
        <v>287</v>
      </c>
      <c r="AO323" s="304">
        <v>287</v>
      </c>
      <c r="AP323" s="304">
        <v>261</v>
      </c>
      <c r="AQ323" s="304">
        <v>298</v>
      </c>
      <c r="AR323" s="304">
        <v>298</v>
      </c>
      <c r="AS323" s="304">
        <v>289</v>
      </c>
      <c r="AT323" s="304">
        <f t="shared" si="278"/>
        <v>2976</v>
      </c>
      <c r="AU323" s="305">
        <f t="shared" si="276"/>
        <v>248</v>
      </c>
      <c r="AV323" s="374"/>
      <c r="AW323" s="2022">
        <v>250</v>
      </c>
      <c r="AX323" s="304">
        <v>367</v>
      </c>
      <c r="AY323" s="304">
        <v>356</v>
      </c>
      <c r="AZ323" s="304">
        <v>299</v>
      </c>
      <c r="BA323" s="304">
        <v>572</v>
      </c>
      <c r="BB323" s="304">
        <v>436.00000000000006</v>
      </c>
      <c r="BC323" s="304">
        <v>404</v>
      </c>
      <c r="BD323" s="304">
        <v>292</v>
      </c>
      <c r="BE323" s="304">
        <v>335</v>
      </c>
      <c r="BF323" s="304">
        <v>302</v>
      </c>
      <c r="BG323" s="304">
        <v>259</v>
      </c>
      <c r="BH323" s="304">
        <v>260</v>
      </c>
      <c r="BI323" s="304">
        <f t="shared" si="288"/>
        <v>4132</v>
      </c>
      <c r="BJ323" s="305">
        <f t="shared" si="271"/>
        <v>344.30464127989336</v>
      </c>
      <c r="BL323" s="317">
        <f>ROW()</f>
        <v>323</v>
      </c>
      <c r="BM323" s="1432">
        <f t="shared" si="289"/>
        <v>-29</v>
      </c>
      <c r="BN323" s="317">
        <f t="shared" si="275"/>
        <v>96.30464127989336</v>
      </c>
      <c r="BO323" s="317">
        <f t="shared" si="290"/>
        <v>1156</v>
      </c>
      <c r="BP323" s="594">
        <f t="shared" si="272"/>
        <v>1</v>
      </c>
      <c r="BR323"/>
      <c r="BS323"/>
    </row>
    <row r="324" spans="1:71" s="190" customFormat="1" x14ac:dyDescent="0.55000000000000004">
      <c r="A324" s="7222"/>
      <c r="B324" s="7208"/>
      <c r="C324" s="211" t="s">
        <v>246</v>
      </c>
      <c r="D324" s="309">
        <v>255</v>
      </c>
      <c r="E324" s="310">
        <v>187</v>
      </c>
      <c r="F324" s="310">
        <v>242</v>
      </c>
      <c r="G324" s="310">
        <v>250</v>
      </c>
      <c r="H324" s="310">
        <v>295</v>
      </c>
      <c r="I324" s="310">
        <v>335</v>
      </c>
      <c r="J324" s="310">
        <v>305</v>
      </c>
      <c r="K324" s="310">
        <v>325</v>
      </c>
      <c r="L324" s="310">
        <v>283</v>
      </c>
      <c r="M324" s="310">
        <v>260</v>
      </c>
      <c r="N324" s="310">
        <v>231</v>
      </c>
      <c r="O324" s="310">
        <v>172</v>
      </c>
      <c r="P324" s="310">
        <f t="shared" si="277"/>
        <v>3140</v>
      </c>
      <c r="Q324" s="311">
        <f t="shared" si="295"/>
        <v>261.66666666666669</v>
      </c>
      <c r="R324" s="374"/>
      <c r="S324" s="309">
        <v>236</v>
      </c>
      <c r="T324" s="310">
        <v>260</v>
      </c>
      <c r="U324" s="310">
        <v>266</v>
      </c>
      <c r="V324" s="310">
        <v>241</v>
      </c>
      <c r="W324" s="310">
        <v>294</v>
      </c>
      <c r="X324" s="310">
        <v>237</v>
      </c>
      <c r="Y324" s="310">
        <v>228</v>
      </c>
      <c r="Z324" s="310">
        <v>320</v>
      </c>
      <c r="AA324" s="310">
        <v>294</v>
      </c>
      <c r="AB324" s="310">
        <v>268</v>
      </c>
      <c r="AC324" s="310">
        <v>248</v>
      </c>
      <c r="AD324" s="310">
        <v>178</v>
      </c>
      <c r="AE324" s="310">
        <f t="shared" si="245"/>
        <v>3070</v>
      </c>
      <c r="AF324" s="311">
        <f t="shared" si="296"/>
        <v>255.83333333333334</v>
      </c>
      <c r="AG324" s="374"/>
      <c r="AH324" s="309">
        <v>369</v>
      </c>
      <c r="AI324" s="310">
        <v>320</v>
      </c>
      <c r="AJ324" s="310">
        <v>376</v>
      </c>
      <c r="AK324" s="310">
        <v>353</v>
      </c>
      <c r="AL324" s="310">
        <v>422</v>
      </c>
      <c r="AM324" s="310">
        <v>314</v>
      </c>
      <c r="AN324" s="310">
        <v>329</v>
      </c>
      <c r="AO324" s="310">
        <v>276</v>
      </c>
      <c r="AP324" s="310">
        <v>302</v>
      </c>
      <c r="AQ324" s="310">
        <v>376</v>
      </c>
      <c r="AR324" s="310">
        <v>409</v>
      </c>
      <c r="AS324" s="310">
        <v>453</v>
      </c>
      <c r="AT324" s="310">
        <f t="shared" si="278"/>
        <v>4299</v>
      </c>
      <c r="AU324" s="311">
        <f t="shared" si="276"/>
        <v>358.25</v>
      </c>
      <c r="AV324" s="374"/>
      <c r="AW324" s="2021">
        <v>390</v>
      </c>
      <c r="AX324" s="310">
        <v>479</v>
      </c>
      <c r="AY324" s="310">
        <v>435</v>
      </c>
      <c r="AZ324" s="310">
        <v>563</v>
      </c>
      <c r="BA324" s="310">
        <v>1109</v>
      </c>
      <c r="BB324" s="310">
        <v>1117</v>
      </c>
      <c r="BC324" s="310">
        <v>871</v>
      </c>
      <c r="BD324" s="310">
        <v>591</v>
      </c>
      <c r="BE324" s="310">
        <v>482</v>
      </c>
      <c r="BF324" s="310">
        <v>512</v>
      </c>
      <c r="BG324" s="310">
        <v>451</v>
      </c>
      <c r="BH324" s="310">
        <v>399</v>
      </c>
      <c r="BI324" s="310">
        <f t="shared" si="288"/>
        <v>7399</v>
      </c>
      <c r="BJ324" s="311">
        <f t="shared" si="271"/>
        <v>616.53195567036084</v>
      </c>
      <c r="BL324" s="317">
        <f>ROW()</f>
        <v>324</v>
      </c>
      <c r="BM324" s="1432">
        <f t="shared" si="289"/>
        <v>-54</v>
      </c>
      <c r="BN324" s="317">
        <f t="shared" si="275"/>
        <v>258.28195567036084</v>
      </c>
      <c r="BO324" s="317">
        <f t="shared" si="290"/>
        <v>3100</v>
      </c>
      <c r="BP324" s="594">
        <f t="shared" si="272"/>
        <v>-52</v>
      </c>
      <c r="BR324"/>
      <c r="BS324"/>
    </row>
    <row r="325" spans="1:71" x14ac:dyDescent="0.55000000000000004">
      <c r="A325" s="7222"/>
      <c r="B325" s="7208"/>
      <c r="C325" s="202" t="s">
        <v>247</v>
      </c>
      <c r="D325" s="300">
        <v>271</v>
      </c>
      <c r="E325" s="301">
        <v>263</v>
      </c>
      <c r="F325" s="301">
        <v>294</v>
      </c>
      <c r="G325" s="301">
        <v>317</v>
      </c>
      <c r="H325" s="301">
        <v>347</v>
      </c>
      <c r="I325" s="301">
        <v>304</v>
      </c>
      <c r="J325" s="301">
        <v>184</v>
      </c>
      <c r="K325" s="301">
        <v>246</v>
      </c>
      <c r="L325" s="301">
        <v>176</v>
      </c>
      <c r="M325" s="301">
        <v>159</v>
      </c>
      <c r="N325" s="301">
        <v>134</v>
      </c>
      <c r="O325" s="301">
        <v>57</v>
      </c>
      <c r="P325" s="301">
        <f t="shared" si="277"/>
        <v>2752</v>
      </c>
      <c r="Q325" s="302">
        <f t="shared" si="295"/>
        <v>229.33333333333334</v>
      </c>
      <c r="R325" s="374"/>
      <c r="S325" s="300">
        <v>113</v>
      </c>
      <c r="T325" s="301">
        <v>128</v>
      </c>
      <c r="U325" s="301">
        <v>122</v>
      </c>
      <c r="V325" s="301">
        <v>131</v>
      </c>
      <c r="W325" s="301">
        <v>162</v>
      </c>
      <c r="X325" s="301">
        <v>187</v>
      </c>
      <c r="Y325" s="301">
        <v>111</v>
      </c>
      <c r="Z325" s="301">
        <v>165</v>
      </c>
      <c r="AA325" s="301">
        <v>143</v>
      </c>
      <c r="AB325" s="301">
        <v>211</v>
      </c>
      <c r="AC325" s="301">
        <v>198</v>
      </c>
      <c r="AD325" s="301">
        <v>111</v>
      </c>
      <c r="AE325" s="301">
        <f t="shared" si="245"/>
        <v>1782</v>
      </c>
      <c r="AF325" s="302">
        <f t="shared" si="296"/>
        <v>148.5</v>
      </c>
      <c r="AG325" s="374"/>
      <c r="AH325" s="300">
        <v>170</v>
      </c>
      <c r="AI325" s="301">
        <v>186</v>
      </c>
      <c r="AJ325" s="301">
        <v>166</v>
      </c>
      <c r="AK325" s="301">
        <v>172</v>
      </c>
      <c r="AL325" s="301">
        <v>168</v>
      </c>
      <c r="AM325" s="301">
        <v>154</v>
      </c>
      <c r="AN325" s="301">
        <v>144</v>
      </c>
      <c r="AO325" s="301">
        <v>196</v>
      </c>
      <c r="AP325" s="301">
        <v>174</v>
      </c>
      <c r="AQ325" s="301">
        <v>191</v>
      </c>
      <c r="AR325" s="301">
        <v>199</v>
      </c>
      <c r="AS325" s="301">
        <v>157</v>
      </c>
      <c r="AT325" s="301">
        <f t="shared" si="278"/>
        <v>2077</v>
      </c>
      <c r="AU325" s="302">
        <f t="shared" si="276"/>
        <v>173.08333333333334</v>
      </c>
      <c r="AV325" s="374"/>
      <c r="AW325" s="2021">
        <v>170</v>
      </c>
      <c r="AX325" s="301">
        <v>202</v>
      </c>
      <c r="AY325" s="301">
        <v>202</v>
      </c>
      <c r="AZ325" s="301">
        <v>189</v>
      </c>
      <c r="BA325" s="301">
        <v>416</v>
      </c>
      <c r="BB325" s="301">
        <v>309</v>
      </c>
      <c r="BC325" s="301">
        <v>262</v>
      </c>
      <c r="BD325" s="301">
        <v>161</v>
      </c>
      <c r="BE325" s="301">
        <v>183</v>
      </c>
      <c r="BF325" s="301">
        <v>208</v>
      </c>
      <c r="BG325" s="301">
        <v>225</v>
      </c>
      <c r="BH325" s="301">
        <v>208</v>
      </c>
      <c r="BI325" s="301">
        <f t="shared" si="288"/>
        <v>2735</v>
      </c>
      <c r="BJ325" s="302">
        <f t="shared" si="271"/>
        <v>227.89767519373387</v>
      </c>
      <c r="BL325" s="317">
        <f>ROW()</f>
        <v>325</v>
      </c>
      <c r="BM325" s="1432">
        <f t="shared" si="289"/>
        <v>51</v>
      </c>
      <c r="BN325" s="317">
        <f t="shared" si="275"/>
        <v>54.814341860400532</v>
      </c>
      <c r="BO325" s="317">
        <f t="shared" si="290"/>
        <v>658</v>
      </c>
      <c r="BP325" s="594">
        <f t="shared" si="272"/>
        <v>-17</v>
      </c>
    </row>
    <row r="326" spans="1:71" x14ac:dyDescent="0.55000000000000004">
      <c r="A326" s="7222"/>
      <c r="B326" s="7208"/>
      <c r="C326" s="203" t="s">
        <v>248</v>
      </c>
      <c r="D326" s="303">
        <v>253</v>
      </c>
      <c r="E326" s="304">
        <v>237</v>
      </c>
      <c r="F326" s="304">
        <v>198</v>
      </c>
      <c r="G326" s="304">
        <v>305</v>
      </c>
      <c r="H326" s="304">
        <v>273</v>
      </c>
      <c r="I326" s="304">
        <v>233</v>
      </c>
      <c r="J326" s="304">
        <v>155</v>
      </c>
      <c r="K326" s="304">
        <v>227</v>
      </c>
      <c r="L326" s="304">
        <v>172</v>
      </c>
      <c r="M326" s="304">
        <v>169</v>
      </c>
      <c r="N326" s="304">
        <v>178</v>
      </c>
      <c r="O326" s="304">
        <v>210</v>
      </c>
      <c r="P326" s="304">
        <f t="shared" si="277"/>
        <v>2610</v>
      </c>
      <c r="Q326" s="305">
        <f t="shared" si="295"/>
        <v>217.5</v>
      </c>
      <c r="R326" s="374"/>
      <c r="S326" s="303">
        <v>174</v>
      </c>
      <c r="T326" s="304">
        <v>269</v>
      </c>
      <c r="U326" s="304">
        <v>239</v>
      </c>
      <c r="V326" s="304">
        <v>217</v>
      </c>
      <c r="W326" s="304">
        <v>273</v>
      </c>
      <c r="X326" s="304">
        <v>228</v>
      </c>
      <c r="Y326" s="304">
        <v>180</v>
      </c>
      <c r="Z326" s="304">
        <v>300</v>
      </c>
      <c r="AA326" s="304">
        <v>252</v>
      </c>
      <c r="AB326" s="304">
        <v>270</v>
      </c>
      <c r="AC326" s="304">
        <v>244</v>
      </c>
      <c r="AD326" s="304">
        <v>171</v>
      </c>
      <c r="AE326" s="304">
        <f t="shared" si="245"/>
        <v>2817</v>
      </c>
      <c r="AF326" s="305">
        <f t="shared" si="296"/>
        <v>234.75</v>
      </c>
      <c r="AG326" s="374"/>
      <c r="AH326" s="303">
        <v>248</v>
      </c>
      <c r="AI326" s="304">
        <v>193</v>
      </c>
      <c r="AJ326" s="304">
        <v>198</v>
      </c>
      <c r="AK326" s="304">
        <v>217</v>
      </c>
      <c r="AL326" s="304">
        <v>245</v>
      </c>
      <c r="AM326" s="304">
        <v>217</v>
      </c>
      <c r="AN326" s="304">
        <v>253</v>
      </c>
      <c r="AO326" s="304">
        <v>173</v>
      </c>
      <c r="AP326" s="304">
        <v>196</v>
      </c>
      <c r="AQ326" s="304">
        <v>228</v>
      </c>
      <c r="AR326" s="304">
        <v>297</v>
      </c>
      <c r="AS326" s="304">
        <v>261</v>
      </c>
      <c r="AT326" s="304">
        <f t="shared" si="278"/>
        <v>2726</v>
      </c>
      <c r="AU326" s="305">
        <f t="shared" si="276"/>
        <v>227.16666666666666</v>
      </c>
      <c r="AV326" s="374"/>
      <c r="AW326" s="2022">
        <v>246</v>
      </c>
      <c r="AX326" s="304">
        <v>315</v>
      </c>
      <c r="AY326" s="304">
        <v>290</v>
      </c>
      <c r="AZ326" s="304">
        <v>276</v>
      </c>
      <c r="BA326" s="304">
        <v>484.00000000000006</v>
      </c>
      <c r="BB326" s="304">
        <v>356</v>
      </c>
      <c r="BC326" s="304">
        <v>372</v>
      </c>
      <c r="BD326" s="304">
        <v>200</v>
      </c>
      <c r="BE326" s="304">
        <v>235</v>
      </c>
      <c r="BF326" s="304">
        <v>217</v>
      </c>
      <c r="BG326" s="304">
        <v>244</v>
      </c>
      <c r="BH326" s="304">
        <v>220</v>
      </c>
      <c r="BI326" s="304">
        <f t="shared" si="288"/>
        <v>3455</v>
      </c>
      <c r="BJ326" s="305">
        <f t="shared" si="271"/>
        <v>287.89267561036581</v>
      </c>
      <c r="BL326" s="317">
        <f>ROW()</f>
        <v>326</v>
      </c>
      <c r="BM326" s="1432">
        <f t="shared" si="289"/>
        <v>-41</v>
      </c>
      <c r="BN326" s="317">
        <f t="shared" si="275"/>
        <v>60.726008943699156</v>
      </c>
      <c r="BO326" s="317">
        <f t="shared" si="290"/>
        <v>729</v>
      </c>
      <c r="BP326" s="594">
        <f t="shared" si="272"/>
        <v>-24</v>
      </c>
    </row>
    <row r="327" spans="1:71" ht="18" thickBot="1" x14ac:dyDescent="0.6">
      <c r="A327" s="7223"/>
      <c r="B327" s="7209"/>
      <c r="C327" s="212" t="s">
        <v>249</v>
      </c>
      <c r="D327" s="312">
        <v>192</v>
      </c>
      <c r="E327" s="313">
        <v>195</v>
      </c>
      <c r="F327" s="313">
        <v>217</v>
      </c>
      <c r="G327" s="313">
        <v>175</v>
      </c>
      <c r="H327" s="313">
        <v>221</v>
      </c>
      <c r="I327" s="313">
        <v>234</v>
      </c>
      <c r="J327" s="313">
        <v>162</v>
      </c>
      <c r="K327" s="313">
        <v>146</v>
      </c>
      <c r="L327" s="313">
        <v>189</v>
      </c>
      <c r="M327" s="313">
        <v>164</v>
      </c>
      <c r="N327" s="313">
        <v>180</v>
      </c>
      <c r="O327" s="313">
        <v>104</v>
      </c>
      <c r="P327" s="313">
        <f t="shared" si="277"/>
        <v>2179</v>
      </c>
      <c r="Q327" s="314">
        <f t="shared" si="295"/>
        <v>181.58333333333334</v>
      </c>
      <c r="R327" s="374"/>
      <c r="S327" s="312">
        <v>166</v>
      </c>
      <c r="T327" s="313">
        <v>114</v>
      </c>
      <c r="U327" s="313">
        <v>123</v>
      </c>
      <c r="V327" s="313">
        <v>118</v>
      </c>
      <c r="W327" s="313">
        <v>139</v>
      </c>
      <c r="X327" s="313">
        <v>90</v>
      </c>
      <c r="Y327" s="313">
        <v>113</v>
      </c>
      <c r="Z327" s="313">
        <v>127</v>
      </c>
      <c r="AA327" s="313">
        <v>119</v>
      </c>
      <c r="AB327" s="313">
        <v>137</v>
      </c>
      <c r="AC327" s="313">
        <v>149</v>
      </c>
      <c r="AD327" s="313">
        <v>97</v>
      </c>
      <c r="AE327" s="313">
        <f t="shared" si="245"/>
        <v>1492</v>
      </c>
      <c r="AF327" s="314">
        <f t="shared" si="296"/>
        <v>124.33333333333333</v>
      </c>
      <c r="AG327" s="374"/>
      <c r="AH327" s="312">
        <v>133</v>
      </c>
      <c r="AI327" s="313">
        <v>115</v>
      </c>
      <c r="AJ327" s="313">
        <v>141</v>
      </c>
      <c r="AK327" s="313">
        <v>137</v>
      </c>
      <c r="AL327" s="313">
        <v>110</v>
      </c>
      <c r="AM327" s="313">
        <v>121</v>
      </c>
      <c r="AN327" s="313">
        <v>131</v>
      </c>
      <c r="AO327" s="313">
        <v>134</v>
      </c>
      <c r="AP327" s="313">
        <v>139</v>
      </c>
      <c r="AQ327" s="313">
        <v>186</v>
      </c>
      <c r="AR327" s="313">
        <v>219</v>
      </c>
      <c r="AS327" s="313">
        <v>188</v>
      </c>
      <c r="AT327" s="313">
        <f t="shared" si="278"/>
        <v>1754</v>
      </c>
      <c r="AU327" s="314">
        <f t="shared" si="276"/>
        <v>146.16666666666666</v>
      </c>
      <c r="AV327" s="374"/>
      <c r="AW327" s="2024">
        <v>184</v>
      </c>
      <c r="AX327" s="313">
        <v>254</v>
      </c>
      <c r="AY327" s="313">
        <v>195</v>
      </c>
      <c r="AZ327" s="313">
        <v>216.00000000000003</v>
      </c>
      <c r="BA327" s="313">
        <v>251</v>
      </c>
      <c r="BB327" s="313">
        <v>208</v>
      </c>
      <c r="BC327" s="313">
        <v>210</v>
      </c>
      <c r="BD327" s="313">
        <v>182</v>
      </c>
      <c r="BE327" s="313">
        <v>188</v>
      </c>
      <c r="BF327" s="313">
        <v>154</v>
      </c>
      <c r="BG327" s="313">
        <v>154</v>
      </c>
      <c r="BH327" s="313">
        <v>151</v>
      </c>
      <c r="BI327" s="313">
        <f t="shared" si="288"/>
        <v>2347</v>
      </c>
      <c r="BJ327" s="314">
        <f t="shared" si="271"/>
        <v>195.56703608032666</v>
      </c>
      <c r="BL327" s="317">
        <f>ROW()</f>
        <v>327</v>
      </c>
      <c r="BM327" s="1432">
        <f t="shared" si="289"/>
        <v>-37</v>
      </c>
      <c r="BN327" s="317">
        <f t="shared" si="275"/>
        <v>49.400369413660002</v>
      </c>
      <c r="BO327" s="317">
        <f t="shared" si="290"/>
        <v>593</v>
      </c>
      <c r="BP327" s="594">
        <f t="shared" si="272"/>
        <v>-3</v>
      </c>
    </row>
    <row r="328" spans="1:71" s="1" customFormat="1" ht="6" customHeight="1" x14ac:dyDescent="0.55000000000000004">
      <c r="A328" s="186"/>
      <c r="B328" s="231"/>
      <c r="C328" s="218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84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84"/>
      <c r="AH328" s="175"/>
      <c r="AI328" s="175"/>
      <c r="AJ328" s="175"/>
      <c r="AK328" s="175"/>
      <c r="AL328" s="175"/>
      <c r="AM328" s="175"/>
      <c r="AN328" s="175"/>
      <c r="AO328" s="175"/>
      <c r="AP328" s="175"/>
      <c r="AQ328" s="1305"/>
      <c r="AR328" s="175"/>
      <c r="AS328" s="175"/>
      <c r="AT328" s="175"/>
      <c r="AU328" s="175"/>
      <c r="AV328" s="1584"/>
      <c r="AW328" s="2039"/>
      <c r="AX328" s="175"/>
      <c r="AY328" s="1305"/>
      <c r="AZ328" s="175"/>
      <c r="BA328" s="1305"/>
      <c r="BB328" s="1305"/>
      <c r="BC328" s="175"/>
      <c r="BD328" s="175"/>
      <c r="BE328" s="175"/>
      <c r="BF328" s="1305"/>
      <c r="BG328" s="175"/>
      <c r="BH328" s="175"/>
      <c r="BI328" s="175"/>
      <c r="BJ328" s="175"/>
      <c r="BL328" s="317">
        <f>ROW()</f>
        <v>328</v>
      </c>
      <c r="BM328" s="1432"/>
      <c r="BN328" s="317">
        <f t="shared" si="275"/>
        <v>0</v>
      </c>
      <c r="BO328"/>
      <c r="BP328" s="594">
        <f t="shared" si="272"/>
        <v>0</v>
      </c>
      <c r="BR328"/>
      <c r="BS328"/>
    </row>
    <row r="329" spans="1:71" x14ac:dyDescent="0.55000000000000004">
      <c r="A329" s="7224" t="s">
        <v>453</v>
      </c>
      <c r="B329" s="695" t="s">
        <v>618</v>
      </c>
      <c r="C329" s="698"/>
      <c r="D329" s="699">
        <v>0.94743890190826918</v>
      </c>
      <c r="E329" s="700">
        <v>0.95712861415752737</v>
      </c>
      <c r="F329" s="700">
        <v>0.94517958412098302</v>
      </c>
      <c r="G329" s="700">
        <v>0.95899970921779587</v>
      </c>
      <c r="H329" s="700">
        <v>0.9622802041973908</v>
      </c>
      <c r="I329" s="700">
        <v>0.96061395887633938</v>
      </c>
      <c r="J329" s="700">
        <v>0.9560925799863853</v>
      </c>
      <c r="K329" s="700">
        <v>0.9611476389719068</v>
      </c>
      <c r="L329" s="700">
        <v>0.94531784005468211</v>
      </c>
      <c r="M329" s="700">
        <v>0.94705354472031111</v>
      </c>
      <c r="N329" s="700">
        <v>0.93760262725779964</v>
      </c>
      <c r="O329" s="700">
        <v>0.93287827076222984</v>
      </c>
      <c r="P329" s="700">
        <v>0.95153742431853638</v>
      </c>
      <c r="Q329" s="701">
        <v>0.95153742431853638</v>
      </c>
      <c r="S329" s="699">
        <v>0.9498814764646123</v>
      </c>
      <c r="T329" s="700">
        <v>0.9424141749723145</v>
      </c>
      <c r="U329" s="700">
        <v>0.9198557958957293</v>
      </c>
      <c r="V329" s="700">
        <v>0.94129916567342076</v>
      </c>
      <c r="W329" s="700">
        <v>0.94368170355841974</v>
      </c>
      <c r="X329" s="700">
        <v>0.9281735561418939</v>
      </c>
      <c r="Y329" s="700">
        <v>0.92307692307692313</v>
      </c>
      <c r="Z329" s="700">
        <v>0.93743615934627167</v>
      </c>
      <c r="AA329" s="700">
        <v>0.90822991508817763</v>
      </c>
      <c r="AB329" s="700">
        <v>0.91511194029850751</v>
      </c>
      <c r="AC329" s="700">
        <v>0.92209041359410071</v>
      </c>
      <c r="AD329" s="700">
        <v>0.91695906432748542</v>
      </c>
      <c r="AE329" s="700">
        <v>0.92957889654120818</v>
      </c>
      <c r="AF329" s="701">
        <v>0.92957889654120818</v>
      </c>
      <c r="AH329" s="699">
        <v>0.9356345704645731</v>
      </c>
      <c r="AI329" s="700">
        <v>0.9187620889748549</v>
      </c>
      <c r="AJ329" s="700">
        <v>0.91952506596306072</v>
      </c>
      <c r="AK329" s="700">
        <v>0.93351351351351353</v>
      </c>
      <c r="AL329" s="790">
        <v>0.92157842157842162</v>
      </c>
      <c r="AM329" s="790">
        <v>0.89744897959183678</v>
      </c>
      <c r="AN329" s="790">
        <v>0.91815441687920241</v>
      </c>
      <c r="AO329" s="790">
        <v>0.91836195508586527</v>
      </c>
      <c r="AP329" s="790">
        <v>0.87466340269277831</v>
      </c>
      <c r="AQ329" s="790">
        <v>0.90758754863813229</v>
      </c>
      <c r="AR329" s="1419">
        <v>0.93345463997920453</v>
      </c>
      <c r="AS329" s="1419">
        <v>0.94022038567493105</v>
      </c>
      <c r="AT329" s="700">
        <v>0.92100675041351876</v>
      </c>
      <c r="AU329" s="701">
        <v>0.92100675041351876</v>
      </c>
      <c r="AW329" s="2040">
        <v>0.91861497484462851</v>
      </c>
      <c r="AX329" s="700">
        <v>0.95074812967581046</v>
      </c>
      <c r="AY329" s="700">
        <v>0.90571761960326724</v>
      </c>
      <c r="AZ329" s="700">
        <v>0.91093549765057669</v>
      </c>
      <c r="BA329" s="790">
        <v>0.93998782714546558</v>
      </c>
      <c r="BB329" s="790">
        <v>0.92025601107074906</v>
      </c>
      <c r="BC329" s="790">
        <v>0.91569193376879843</v>
      </c>
      <c r="BD329" s="790">
        <v>0.92721589640544766</v>
      </c>
      <c r="BE329" s="790">
        <v>0.91715116279069764</v>
      </c>
      <c r="BF329" s="790">
        <v>0.95295375568029939</v>
      </c>
      <c r="BG329" s="1419">
        <v>0.94755531275607774</v>
      </c>
      <c r="BH329" s="1419">
        <v>0.94957020057306585</v>
      </c>
      <c r="BI329" s="700">
        <f>HLOOKUP($A$2,$AW$2:$BH$511,ROW()-1,0)</f>
        <v>0.94957020057306585</v>
      </c>
      <c r="BJ329" s="700">
        <f t="shared" ref="BJ329:BJ335" si="307">AVERAGE(AX329:BI329)</f>
        <v>0.93227946230777681</v>
      </c>
      <c r="BL329" s="317">
        <f>ROW()</f>
        <v>329</v>
      </c>
      <c r="BM329" s="1432">
        <f>HLOOKUP($A$2,$AW$2:$BH$511,ROW()-1,0)-HLOOKUP($A$2,$AH$2:$AS$511,ROW()-1,0)</f>
        <v>9.3498148981348006E-3</v>
      </c>
      <c r="BN329" s="317">
        <f t="shared" si="275"/>
        <v>1.1272711894258047E-2</v>
      </c>
      <c r="BO329" s="783">
        <f t="shared" ref="BO329:BO351" si="308">BI329-AVERAGE(AH329:AS329)</f>
        <v>3.1328118153368001E-2</v>
      </c>
      <c r="BP329" s="594">
        <f t="shared" si="272"/>
        <v>2.014887816988109E-3</v>
      </c>
    </row>
    <row r="330" spans="1:71" ht="17.5" customHeight="1" x14ac:dyDescent="0.55000000000000004">
      <c r="A330" s="7225"/>
      <c r="B330" s="696"/>
      <c r="C330" s="702" t="s">
        <v>424</v>
      </c>
      <c r="D330" s="408">
        <v>0.96342355523043155</v>
      </c>
      <c r="E330" s="409">
        <v>0.96760443307757882</v>
      </c>
      <c r="F330" s="409">
        <v>0.95966386554621852</v>
      </c>
      <c r="G330" s="409">
        <v>0.97033898305084743</v>
      </c>
      <c r="H330" s="409">
        <v>0.96875</v>
      </c>
      <c r="I330" s="409">
        <v>0.96202531645569622</v>
      </c>
      <c r="J330" s="409">
        <v>0.97046413502109707</v>
      </c>
      <c r="K330" s="409">
        <v>0.96159527326440175</v>
      </c>
      <c r="L330" s="409">
        <v>0.97122302158273377</v>
      </c>
      <c r="M330" s="409">
        <v>0.96460176991150437</v>
      </c>
      <c r="N330" s="409">
        <v>0.96546052631578949</v>
      </c>
      <c r="O330" s="409">
        <v>0.96030245746691867</v>
      </c>
      <c r="P330" s="409">
        <v>0.96539338260689367</v>
      </c>
      <c r="Q330" s="410">
        <v>0.96539338260689367</v>
      </c>
      <c r="S330" s="408">
        <v>0.97121771217712172</v>
      </c>
      <c r="T330" s="409">
        <v>0.96161107614852104</v>
      </c>
      <c r="U330" s="409">
        <v>0.96402398401065958</v>
      </c>
      <c r="V330" s="409">
        <v>0.96916010498687666</v>
      </c>
      <c r="W330" s="409">
        <v>0.97003745318352064</v>
      </c>
      <c r="X330" s="409">
        <v>0.96606498194945845</v>
      </c>
      <c r="Y330" s="409">
        <v>0.9616413916146298</v>
      </c>
      <c r="Z330" s="409">
        <v>0.97891566265060237</v>
      </c>
      <c r="AA330" s="409">
        <v>0.9667318982387475</v>
      </c>
      <c r="AB330" s="409">
        <v>0.9785544082605242</v>
      </c>
      <c r="AC330" s="409">
        <v>0.97271126760563376</v>
      </c>
      <c r="AD330" s="409">
        <v>0.96910401647785793</v>
      </c>
      <c r="AE330" s="409">
        <v>0.9692268886366503</v>
      </c>
      <c r="AF330" s="410">
        <v>0.9692268886366503</v>
      </c>
      <c r="AH330" s="408">
        <v>0.97658079625292737</v>
      </c>
      <c r="AI330" s="409">
        <v>0.96398467432950197</v>
      </c>
      <c r="AJ330" s="409">
        <v>0.96838189708617484</v>
      </c>
      <c r="AK330" s="409">
        <v>0.96606060606060606</v>
      </c>
      <c r="AL330" s="791">
        <v>0.96902654867256632</v>
      </c>
      <c r="AM330" s="791">
        <v>0.95095948827292109</v>
      </c>
      <c r="AN330" s="791">
        <v>0.97787610619469023</v>
      </c>
      <c r="AO330" s="791">
        <v>0.96666666666666667</v>
      </c>
      <c r="AP330" s="791">
        <v>0.96818181818181814</v>
      </c>
      <c r="AQ330" s="791">
        <v>0.97098515519568152</v>
      </c>
      <c r="AR330" s="1420">
        <v>0.9765625</v>
      </c>
      <c r="AS330" s="1420">
        <v>0.96341463414634143</v>
      </c>
      <c r="AT330" s="409">
        <v>0.96632487857528337</v>
      </c>
      <c r="AU330" s="410">
        <v>0.96632487857528337</v>
      </c>
      <c r="AW330" s="2041">
        <v>0.95797598627787306</v>
      </c>
      <c r="AX330" s="409">
        <v>0.97727272727272729</v>
      </c>
      <c r="AY330" s="409">
        <v>0.96985815602836878</v>
      </c>
      <c r="AZ330" s="409">
        <v>0.97010463378176381</v>
      </c>
      <c r="BA330" s="791">
        <v>0.98348926802421599</v>
      </c>
      <c r="BB330" s="791">
        <v>0.97713981924508253</v>
      </c>
      <c r="BC330" s="791">
        <v>0.98279087167976054</v>
      </c>
      <c r="BD330" s="791">
        <v>0.98135898977751057</v>
      </c>
      <c r="BE330" s="791">
        <v>0.97988036976617732</v>
      </c>
      <c r="BF330" s="791">
        <v>0.97483766233766234</v>
      </c>
      <c r="BG330" s="791">
        <v>0.97355769230769229</v>
      </c>
      <c r="BH330" s="1420">
        <v>0.96589018302828622</v>
      </c>
      <c r="BI330" s="409">
        <f t="shared" ref="BI330:BI351" si="309">HLOOKUP($A$2,$AW$2:$BH$511,ROW()-1,0)</f>
        <v>0.96589018302828622</v>
      </c>
      <c r="BJ330" s="409">
        <f t="shared" si="307"/>
        <v>0.97517254635646111</v>
      </c>
      <c r="BL330" s="317">
        <f>ROW()</f>
        <v>330</v>
      </c>
      <c r="BM330" s="1432">
        <f t="shared" ref="BM330:BM354" si="310">HLOOKUP($A$2,$AW$2:$BH$511,ROW()-1,0)-HLOOKUP($A$2,$AH$2:$AS$511,ROW()-1,0)</f>
        <v>2.4755488819447891E-3</v>
      </c>
      <c r="BN330" s="317">
        <f t="shared" si="275"/>
        <v>8.8476677811777371E-3</v>
      </c>
      <c r="BO330" s="783">
        <f t="shared" si="308"/>
        <v>-2.3332245600383716E-3</v>
      </c>
      <c r="BP330" s="594">
        <f t="shared" si="272"/>
        <v>-7.6675092794060706E-3</v>
      </c>
    </row>
    <row r="331" spans="1:71" ht="17.5" customHeight="1" x14ac:dyDescent="0.55000000000000004">
      <c r="A331" s="7225"/>
      <c r="B331" s="696"/>
      <c r="C331" s="702" t="s">
        <v>1112</v>
      </c>
      <c r="D331" s="408">
        <v>0.84057971014492749</v>
      </c>
      <c r="E331" s="409">
        <v>0.86428571428571432</v>
      </c>
      <c r="F331" s="409">
        <v>0.82410423452768733</v>
      </c>
      <c r="G331" s="409">
        <v>0.86021505376344087</v>
      </c>
      <c r="H331" s="409">
        <v>0.84538152610441764</v>
      </c>
      <c r="I331" s="409">
        <v>0.86486486486486491</v>
      </c>
      <c r="J331" s="409">
        <v>0.83333333333333337</v>
      </c>
      <c r="K331" s="409">
        <v>0.83816425120772942</v>
      </c>
      <c r="L331" s="409">
        <v>0.81589958158995812</v>
      </c>
      <c r="M331" s="409">
        <v>0.85603715170278638</v>
      </c>
      <c r="N331" s="409">
        <v>0.7951582867783985</v>
      </c>
      <c r="O331" s="409">
        <v>0.80798479087452468</v>
      </c>
      <c r="P331" s="409">
        <v>0.83696542683925934</v>
      </c>
      <c r="Q331" s="410">
        <v>0.83696542683925934</v>
      </c>
      <c r="S331" s="408">
        <v>0.85288270377733599</v>
      </c>
      <c r="T331" s="409">
        <v>0.84104938271604934</v>
      </c>
      <c r="U331" s="409">
        <v>0.80926430517711168</v>
      </c>
      <c r="V331" s="409">
        <v>0.84275862068965512</v>
      </c>
      <c r="W331" s="409">
        <v>0.85060240963855427</v>
      </c>
      <c r="X331" s="409">
        <v>0.80649188514357051</v>
      </c>
      <c r="Y331" s="409">
        <v>0.81678321678321675</v>
      </c>
      <c r="Z331" s="409">
        <v>0.81077147016011641</v>
      </c>
      <c r="AA331" s="409">
        <v>0.81737849779086891</v>
      </c>
      <c r="AB331" s="409">
        <v>0.74882995319812795</v>
      </c>
      <c r="AC331" s="409">
        <v>0.77376171352074963</v>
      </c>
      <c r="AD331" s="409">
        <v>0.78917378917378922</v>
      </c>
      <c r="AE331" s="409">
        <v>0.81300523062291963</v>
      </c>
      <c r="AF331" s="410">
        <v>0.81300523062291963</v>
      </c>
      <c r="AH331" s="408">
        <v>0.77131782945736438</v>
      </c>
      <c r="AI331" s="409">
        <v>0.7271268057784912</v>
      </c>
      <c r="AJ331" s="409">
        <v>0.71506849315068488</v>
      </c>
      <c r="AK331" s="409">
        <v>0.75784753363228696</v>
      </c>
      <c r="AL331" s="791">
        <v>0.71250000000000002</v>
      </c>
      <c r="AM331" s="791">
        <v>0.68675995694294945</v>
      </c>
      <c r="AN331" s="791">
        <v>0.66507747318235999</v>
      </c>
      <c r="AO331" s="791">
        <v>0.71082621082621078</v>
      </c>
      <c r="AP331" s="791">
        <v>0.5323496027241772</v>
      </c>
      <c r="AQ331" s="791">
        <v>0.59571788413098237</v>
      </c>
      <c r="AR331" s="1420">
        <v>0.65748709122203097</v>
      </c>
      <c r="AS331" s="1420">
        <v>0.72262773722627738</v>
      </c>
      <c r="AT331" s="409">
        <v>0.72665916760404947</v>
      </c>
      <c r="AU331" s="410">
        <v>0.72665916760404947</v>
      </c>
      <c r="AW331" s="2041">
        <v>0.61748633879781423</v>
      </c>
      <c r="AX331" s="409">
        <v>0.66730401529636707</v>
      </c>
      <c r="AY331" s="409">
        <v>0.54973821989528793</v>
      </c>
      <c r="AZ331" s="409">
        <v>0.55327342747111685</v>
      </c>
      <c r="BA331" s="409">
        <v>0.55626326963906592</v>
      </c>
      <c r="BB331" s="791">
        <v>0.5192069392812888</v>
      </c>
      <c r="BC331" s="791">
        <v>0.5603367633302152</v>
      </c>
      <c r="BD331" s="791">
        <v>0.66545893719806759</v>
      </c>
      <c r="BE331" s="791">
        <v>0.62119503945885002</v>
      </c>
      <c r="BF331" s="791">
        <v>0.77508650519031153</v>
      </c>
      <c r="BG331" s="791">
        <v>0.74127310061601648</v>
      </c>
      <c r="BH331" s="1420">
        <v>0.7427821522309711</v>
      </c>
      <c r="BI331" s="409">
        <f t="shared" si="309"/>
        <v>0.7427821522309711</v>
      </c>
      <c r="BJ331" s="409">
        <f t="shared" si="307"/>
        <v>0.64122504348654419</v>
      </c>
      <c r="BL331" s="317">
        <f>ROW()</f>
        <v>331</v>
      </c>
      <c r="BM331" s="1432">
        <f t="shared" si="310"/>
        <v>2.0154415004693726E-2</v>
      </c>
      <c r="BN331" s="317">
        <f t="shared" si="275"/>
        <v>-8.5434124117505283E-2</v>
      </c>
      <c r="BO331" s="783">
        <f t="shared" si="308"/>
        <v>5.4889934041486566E-2</v>
      </c>
      <c r="BP331" s="594">
        <f t="shared" si="272"/>
        <v>1.5090516149546263E-3</v>
      </c>
    </row>
    <row r="332" spans="1:71" ht="17.5" customHeight="1" x14ac:dyDescent="0.55000000000000004">
      <c r="A332" s="7225"/>
      <c r="B332" s="696"/>
      <c r="C332" s="702" t="s">
        <v>426</v>
      </c>
      <c r="D332" s="408">
        <v>0.96586178184845961</v>
      </c>
      <c r="E332" s="409">
        <v>0.97598870056497178</v>
      </c>
      <c r="F332" s="409">
        <v>0.98744460856720828</v>
      </c>
      <c r="G332" s="409">
        <v>0.98351001177856301</v>
      </c>
      <c r="H332" s="409">
        <v>0.99043869516310457</v>
      </c>
      <c r="I332" s="409">
        <v>0.98921509886159376</v>
      </c>
      <c r="J332" s="409">
        <v>0.98887122416534179</v>
      </c>
      <c r="K332" s="409">
        <v>0.99400399733510991</v>
      </c>
      <c r="L332" s="409">
        <v>0.97378872120730742</v>
      </c>
      <c r="M332" s="409">
        <v>0.97508650519031137</v>
      </c>
      <c r="N332" s="409">
        <v>0.97394136807817588</v>
      </c>
      <c r="O332" s="409">
        <v>0.9683908045977011</v>
      </c>
      <c r="P332" s="409">
        <v>0.98148477835143311</v>
      </c>
      <c r="Q332" s="410">
        <v>0.98148477835143311</v>
      </c>
      <c r="S332" s="408">
        <v>0.96857670979667287</v>
      </c>
      <c r="T332" s="409">
        <v>0.96759941089837997</v>
      </c>
      <c r="U332" s="409">
        <v>0.93030080704328688</v>
      </c>
      <c r="V332" s="409">
        <v>0.96733212341197827</v>
      </c>
      <c r="W332" s="409">
        <v>0.97340043134435661</v>
      </c>
      <c r="X332" s="409">
        <v>0.96883116883116882</v>
      </c>
      <c r="Y332" s="409">
        <v>0.97701149425287359</v>
      </c>
      <c r="Z332" s="409">
        <v>0.95203197868087941</v>
      </c>
      <c r="AA332" s="409">
        <v>0.91153846153846152</v>
      </c>
      <c r="AB332" s="409">
        <v>0.97236180904522618</v>
      </c>
      <c r="AC332" s="409">
        <v>0.96666666666666667</v>
      </c>
      <c r="AD332" s="409">
        <v>0.9614074914869466</v>
      </c>
      <c r="AE332" s="409">
        <v>0.95877356536150815</v>
      </c>
      <c r="AF332" s="410">
        <v>0.95877356536150815</v>
      </c>
      <c r="AH332" s="408">
        <v>0.97720588235294115</v>
      </c>
      <c r="AI332" s="409">
        <v>0.96993127147766323</v>
      </c>
      <c r="AJ332" s="409">
        <v>0.96905766526019688</v>
      </c>
      <c r="AK332" s="409">
        <v>0.98078401229823209</v>
      </c>
      <c r="AL332" s="791">
        <v>0.96499045194143862</v>
      </c>
      <c r="AM332" s="791">
        <v>0.97240915208613732</v>
      </c>
      <c r="AN332" s="791">
        <v>0.9808286951144094</v>
      </c>
      <c r="AO332" s="791">
        <v>0.96421961752004937</v>
      </c>
      <c r="AP332" s="791">
        <v>0.96938150642988363</v>
      </c>
      <c r="AQ332" s="791">
        <v>0.99116510215350639</v>
      </c>
      <c r="AR332" s="1420">
        <v>0.9873765093304061</v>
      </c>
      <c r="AS332" s="1420">
        <v>0.99245063879210216</v>
      </c>
      <c r="AT332" s="409">
        <v>0.97218208092485547</v>
      </c>
      <c r="AU332" s="410">
        <v>0.97218208092485547</v>
      </c>
      <c r="AW332" s="2041">
        <v>0.99450213805742216</v>
      </c>
      <c r="AX332" s="409">
        <v>0.99376797698945352</v>
      </c>
      <c r="AY332" s="409">
        <v>0.99502762430939229</v>
      </c>
      <c r="AZ332" s="409">
        <v>0.995253164556962</v>
      </c>
      <c r="BA332" s="409">
        <v>0.99587798845836772</v>
      </c>
      <c r="BB332" s="791">
        <v>0.99896408839779005</v>
      </c>
      <c r="BC332" s="791">
        <v>0.99686028257456827</v>
      </c>
      <c r="BD332" s="791">
        <v>0.99413646055437088</v>
      </c>
      <c r="BE332" s="791">
        <v>0.99690562145435779</v>
      </c>
      <c r="BF332" s="791">
        <v>0.99780098955470009</v>
      </c>
      <c r="BG332" s="791">
        <v>0.99719258843346459</v>
      </c>
      <c r="BH332" s="1420">
        <v>0.99774901519414771</v>
      </c>
      <c r="BI332" s="409">
        <f t="shared" si="309"/>
        <v>0.99774901519414771</v>
      </c>
      <c r="BJ332" s="409">
        <f t="shared" si="307"/>
        <v>0.99644040130597666</v>
      </c>
      <c r="BL332" s="317">
        <f>ROW()</f>
        <v>332</v>
      </c>
      <c r="BM332" s="1432">
        <f t="shared" si="310"/>
        <v>5.298376402045557E-3</v>
      </c>
      <c r="BN332" s="317">
        <f t="shared" si="275"/>
        <v>2.425832038112119E-2</v>
      </c>
      <c r="BO332" s="783">
        <f t="shared" si="308"/>
        <v>2.1098973131067233E-2</v>
      </c>
      <c r="BP332" s="594">
        <f t="shared" si="272"/>
        <v>5.5642676068312635E-4</v>
      </c>
    </row>
    <row r="333" spans="1:71" ht="18" customHeight="1" thickBot="1" x14ac:dyDescent="0.6">
      <c r="A333" s="7225"/>
      <c r="B333" s="697"/>
      <c r="C333" s="703" t="s">
        <v>954</v>
      </c>
      <c r="D333" s="704">
        <v>1</v>
      </c>
      <c r="E333" s="705">
        <v>0</v>
      </c>
      <c r="F333" s="705">
        <v>0.9375</v>
      </c>
      <c r="G333" s="705">
        <v>1</v>
      </c>
      <c r="H333" s="705">
        <v>1</v>
      </c>
      <c r="I333" s="705">
        <v>1</v>
      </c>
      <c r="J333" s="705">
        <v>1</v>
      </c>
      <c r="K333" s="705">
        <v>0.97402597402597402</v>
      </c>
      <c r="L333" s="705">
        <v>0.90909090909090906</v>
      </c>
      <c r="M333" s="705">
        <v>0.93442622950819676</v>
      </c>
      <c r="N333" s="705">
        <v>0.90625</v>
      </c>
      <c r="O333" s="705">
        <v>0.88888888888888884</v>
      </c>
      <c r="P333" s="705">
        <v>0.93622448979591832</v>
      </c>
      <c r="Q333" s="706">
        <v>0.93622448979591832</v>
      </c>
      <c r="S333" s="704">
        <v>0.92307692307692313</v>
      </c>
      <c r="T333" s="705">
        <v>1</v>
      </c>
      <c r="U333" s="705">
        <v>1</v>
      </c>
      <c r="V333" s="705">
        <v>1</v>
      </c>
      <c r="W333" s="705">
        <v>1</v>
      </c>
      <c r="X333" s="705">
        <v>0.9</v>
      </c>
      <c r="Y333" s="705">
        <v>0.6428571428571429</v>
      </c>
      <c r="Z333" s="705">
        <v>0.88235294117647056</v>
      </c>
      <c r="AA333" s="705">
        <v>0.86885245901639341</v>
      </c>
      <c r="AB333" s="705">
        <v>0.57377049180327866</v>
      </c>
      <c r="AC333" s="705">
        <v>0.95238095238095233</v>
      </c>
      <c r="AD333" s="705">
        <v>0.90909090909090906</v>
      </c>
      <c r="AE333" s="705">
        <v>0.81103678929765888</v>
      </c>
      <c r="AF333" s="706">
        <v>0.81103678929765888</v>
      </c>
      <c r="AH333" s="704">
        <v>1</v>
      </c>
      <c r="AI333" s="705">
        <v>1</v>
      </c>
      <c r="AJ333" s="705">
        <v>0.92</v>
      </c>
      <c r="AK333" s="705">
        <v>0.96250000000000002</v>
      </c>
      <c r="AL333" s="792">
        <v>0.97709923664122134</v>
      </c>
      <c r="AM333" s="792">
        <v>0.98979591836734693</v>
      </c>
      <c r="AN333" s="792">
        <v>0.97959183673469385</v>
      </c>
      <c r="AO333" s="792">
        <v>0.98076923076923073</v>
      </c>
      <c r="AP333" s="792">
        <v>0.967741935483871</v>
      </c>
      <c r="AQ333" s="792">
        <v>1</v>
      </c>
      <c r="AR333" s="1421">
        <v>0.97058823529411764</v>
      </c>
      <c r="AS333" s="1421">
        <v>0.91666666666666663</v>
      </c>
      <c r="AT333" s="705">
        <v>0.9746478873239437</v>
      </c>
      <c r="AU333" s="706">
        <v>0.9746478873239437</v>
      </c>
      <c r="AW333" s="2042">
        <v>0.7407407407407407</v>
      </c>
      <c r="AX333" s="705">
        <v>1</v>
      </c>
      <c r="AY333" s="705">
        <v>1</v>
      </c>
      <c r="AZ333" s="705" t="s">
        <v>482</v>
      </c>
      <c r="BA333" s="705">
        <v>0.85209003215434087</v>
      </c>
      <c r="BB333" s="792">
        <v>0.86294416243654826</v>
      </c>
      <c r="BC333" s="792">
        <v>0.89419795221843001</v>
      </c>
      <c r="BD333" s="792">
        <v>0.9375</v>
      </c>
      <c r="BE333" s="792">
        <v>0.86754966887417218</v>
      </c>
      <c r="BF333" s="792">
        <v>0.90178571428571419</v>
      </c>
      <c r="BG333" s="792">
        <v>0.80689655172413788</v>
      </c>
      <c r="BH333" s="1421">
        <v>0.74615384615384617</v>
      </c>
      <c r="BI333" s="705">
        <f t="shared" si="309"/>
        <v>0.74615384615384617</v>
      </c>
      <c r="BJ333" s="705">
        <f t="shared" si="307"/>
        <v>0.87411561581827579</v>
      </c>
      <c r="BL333" s="317">
        <f>ROW()</f>
        <v>333</v>
      </c>
      <c r="BM333" s="1432">
        <f t="shared" si="310"/>
        <v>-0.17051282051282046</v>
      </c>
      <c r="BN333" s="317">
        <f t="shared" si="275"/>
        <v>-0.1005322715056679</v>
      </c>
      <c r="BO333" s="783">
        <f t="shared" si="308"/>
        <v>-0.22590890884258286</v>
      </c>
      <c r="BP333" s="594">
        <f t="shared" ref="BP333:BP354" si="311">HLOOKUP($A$2,$AW$2:$BH$520,ROW()-1,0)-HLOOKUP($A$2-1,$AW$2:$BH$520,ROW()-1,1)</f>
        <v>-6.0742705570291711E-2</v>
      </c>
    </row>
    <row r="334" spans="1:71" ht="17.05" customHeight="1" x14ac:dyDescent="0.55000000000000004">
      <c r="A334" s="7225"/>
      <c r="B334" s="707" t="s">
        <v>451</v>
      </c>
      <c r="C334" s="708"/>
      <c r="D334" s="423">
        <v>0.38734516237027117</v>
      </c>
      <c r="E334" s="424">
        <v>0.33732136922565636</v>
      </c>
      <c r="F334" s="424">
        <v>0.34751102709514808</v>
      </c>
      <c r="G334" s="424">
        <v>0.32538528642047104</v>
      </c>
      <c r="H334" s="424">
        <v>0.32302892796369825</v>
      </c>
      <c r="I334" s="424">
        <v>0.34752389226759339</v>
      </c>
      <c r="J334" s="424">
        <v>0.35908781484002722</v>
      </c>
      <c r="K334" s="424">
        <v>0.35026897788404066</v>
      </c>
      <c r="L334" s="424">
        <v>0.34347231715652771</v>
      </c>
      <c r="M334" s="424">
        <v>0.33293448997906072</v>
      </c>
      <c r="N334" s="424">
        <v>0.33070607553366171</v>
      </c>
      <c r="O334" s="424">
        <v>0.33940083428138035</v>
      </c>
      <c r="P334" s="424">
        <v>0.34317743172143933</v>
      </c>
      <c r="Q334" s="425">
        <v>0.34317743172143933</v>
      </c>
      <c r="S334" s="423">
        <v>0.38841855739925502</v>
      </c>
      <c r="T334" s="424">
        <v>0.42469545957918053</v>
      </c>
      <c r="U334" s="424">
        <v>0.40432612312811977</v>
      </c>
      <c r="V334" s="424">
        <v>0.43533969010727058</v>
      </c>
      <c r="W334" s="424">
        <v>0.39815074250490334</v>
      </c>
      <c r="X334" s="424">
        <v>0.39900322486074463</v>
      </c>
      <c r="Y334" s="424">
        <v>0.38832658569500672</v>
      </c>
      <c r="Z334" s="424">
        <v>0.40168539325842695</v>
      </c>
      <c r="AA334" s="424">
        <v>0.47746570868713262</v>
      </c>
      <c r="AB334" s="424">
        <v>0.49347014925373134</v>
      </c>
      <c r="AC334" s="424">
        <v>0.49278614940686116</v>
      </c>
      <c r="AD334" s="424">
        <v>0.45224171539961011</v>
      </c>
      <c r="AE334" s="424">
        <v>0.42827009580929631</v>
      </c>
      <c r="AF334" s="425">
        <v>0.42827009580929631</v>
      </c>
      <c r="AH334" s="423">
        <v>0.40487931481962108</v>
      </c>
      <c r="AI334" s="424">
        <v>0.35106382978723405</v>
      </c>
      <c r="AJ334" s="424">
        <v>0.33746701846965699</v>
      </c>
      <c r="AK334" s="424">
        <v>0.33594594594594596</v>
      </c>
      <c r="AL334" s="793">
        <v>0.3096903096903097</v>
      </c>
      <c r="AM334" s="793">
        <v>0.27500000000000002</v>
      </c>
      <c r="AN334" s="1017">
        <v>0.30558775794110826</v>
      </c>
      <c r="AO334" s="1017">
        <v>0.27567995775019805</v>
      </c>
      <c r="AP334" s="1017">
        <v>0.28657799274486095</v>
      </c>
      <c r="AQ334" s="1116">
        <v>0.27332361516034986</v>
      </c>
      <c r="AR334" s="1423">
        <v>0.27995840914998699</v>
      </c>
      <c r="AS334" s="1423">
        <v>0.25867768595041324</v>
      </c>
      <c r="AT334" s="424">
        <v>0.33567440311879465</v>
      </c>
      <c r="AU334" s="425">
        <v>0.33567440311879465</v>
      </c>
      <c r="AW334" s="2043">
        <v>0.2707410687924417</v>
      </c>
      <c r="AX334" s="424">
        <v>0.31836988001654942</v>
      </c>
      <c r="AY334" s="424">
        <v>0.26385707741639947</v>
      </c>
      <c r="AZ334" s="424">
        <v>0.28188616535105943</v>
      </c>
      <c r="BA334" s="424">
        <v>0.26808460909197146</v>
      </c>
      <c r="BB334" s="793">
        <v>0.31430548348036674</v>
      </c>
      <c r="BC334" s="1017">
        <v>0.45578947368421052</v>
      </c>
      <c r="BD334" s="1017">
        <v>0.50904219691895514</v>
      </c>
      <c r="BE334" s="1017">
        <v>0.51910299003322258</v>
      </c>
      <c r="BF334" s="1116">
        <v>0.51082598235765841</v>
      </c>
      <c r="BG334" s="1017">
        <v>0.51297459710461624</v>
      </c>
      <c r="BH334" s="1423">
        <v>0.53237822349570196</v>
      </c>
      <c r="BI334" s="424">
        <f t="shared" si="309"/>
        <v>0.53237822349570196</v>
      </c>
      <c r="BJ334" s="424">
        <f t="shared" si="307"/>
        <v>0.4182495752038678</v>
      </c>
      <c r="BL334" s="317">
        <f>ROW()</f>
        <v>334</v>
      </c>
      <c r="BM334" s="1432">
        <f t="shared" si="310"/>
        <v>0.27370053754528872</v>
      </c>
      <c r="BN334" s="317">
        <f t="shared" si="275"/>
        <v>8.2575172085073145E-2</v>
      </c>
      <c r="BO334" s="783">
        <f t="shared" si="308"/>
        <v>0.22455723704489489</v>
      </c>
      <c r="BP334" s="594">
        <f t="shared" si="311"/>
        <v>1.9403626391085727E-2</v>
      </c>
    </row>
    <row r="335" spans="1:71" ht="17.05" customHeight="1" x14ac:dyDescent="0.55000000000000004">
      <c r="A335" s="7225"/>
      <c r="B335" s="45"/>
      <c r="C335" s="709" t="s">
        <v>19</v>
      </c>
      <c r="D335" s="414">
        <v>0.62253108997805418</v>
      </c>
      <c r="E335" s="415">
        <v>0.61636828644501274</v>
      </c>
      <c r="F335" s="415">
        <v>0.59327731092436975</v>
      </c>
      <c r="G335" s="415">
        <v>0.6228813559322034</v>
      </c>
      <c r="H335" s="415">
        <v>0.64342948717948723</v>
      </c>
      <c r="I335" s="415">
        <v>0.63844936708860756</v>
      </c>
      <c r="J335" s="415">
        <v>0.62362869198312232</v>
      </c>
      <c r="K335" s="415">
        <v>0.62333825701624812</v>
      </c>
      <c r="L335" s="415">
        <v>0.6151079136690647</v>
      </c>
      <c r="M335" s="415">
        <v>0.64070796460176993</v>
      </c>
      <c r="N335" s="415">
        <v>0.62335526315789469</v>
      </c>
      <c r="O335" s="415">
        <v>0.64555765595463133</v>
      </c>
      <c r="P335" s="415">
        <v>0.62561304137597573</v>
      </c>
      <c r="Q335" s="416">
        <v>0.62561304137597573</v>
      </c>
      <c r="S335" s="414">
        <v>0.58745387453874542</v>
      </c>
      <c r="T335" s="415">
        <v>0.5544367526746381</v>
      </c>
      <c r="U335" s="415">
        <v>0.54363757495003329</v>
      </c>
      <c r="V335" s="415">
        <v>0.53149606299212604</v>
      </c>
      <c r="W335" s="415">
        <v>0.5378277153558052</v>
      </c>
      <c r="X335" s="415">
        <v>0.54296028880866432</v>
      </c>
      <c r="Y335" s="415">
        <v>0.57002676181980372</v>
      </c>
      <c r="Z335" s="415">
        <v>0.5367469879518072</v>
      </c>
      <c r="AA335" s="415">
        <v>0.68395303326810175</v>
      </c>
      <c r="AB335" s="415">
        <v>0.69102462271644161</v>
      </c>
      <c r="AC335" s="415">
        <v>0.69982394366197187</v>
      </c>
      <c r="AD335" s="415">
        <v>0.67662203913491248</v>
      </c>
      <c r="AE335" s="415">
        <v>0.58796821793416576</v>
      </c>
      <c r="AF335" s="416">
        <v>0.58796821793416576</v>
      </c>
      <c r="AH335" s="414">
        <v>0.62939110070257609</v>
      </c>
      <c r="AI335" s="415">
        <v>0.56321839080459768</v>
      </c>
      <c r="AJ335" s="415">
        <v>0.555486670799752</v>
      </c>
      <c r="AK335" s="415">
        <v>0.53818181818181821</v>
      </c>
      <c r="AL335" s="794">
        <v>0.54424778761061943</v>
      </c>
      <c r="AM335" s="794">
        <v>0.5074626865671642</v>
      </c>
      <c r="AN335" s="1018">
        <v>0.53484513274336287</v>
      </c>
      <c r="AO335" s="1018">
        <v>0.48085106382978721</v>
      </c>
      <c r="AP335" s="1113">
        <v>0.52532467532467531</v>
      </c>
      <c r="AQ335" s="1151">
        <v>0.50472334682860998</v>
      </c>
      <c r="AR335" s="1424">
        <v>0.51775568181818177</v>
      </c>
      <c r="AS335" s="1424">
        <v>0.47256097560975607</v>
      </c>
      <c r="AT335" s="415">
        <v>0.55633140911108792</v>
      </c>
      <c r="AU335" s="416">
        <v>0.55633140911108792</v>
      </c>
      <c r="AW335" s="2044">
        <v>0.45711835334476841</v>
      </c>
      <c r="AX335" s="415">
        <v>0.47545454545454546</v>
      </c>
      <c r="AY335" s="415">
        <v>0.40366430260047281</v>
      </c>
      <c r="AZ335" s="415">
        <v>0.42800199302441455</v>
      </c>
      <c r="BA335" s="415">
        <v>0.36873968079251512</v>
      </c>
      <c r="BB335" s="794">
        <v>0.46624136097820312</v>
      </c>
      <c r="BC335" s="1018">
        <v>0.65106701609883944</v>
      </c>
      <c r="BD335" s="1018">
        <v>0.64642212868310278</v>
      </c>
      <c r="BE335" s="1113">
        <v>0.6634040239260468</v>
      </c>
      <c r="BF335" s="2397">
        <v>0.64448051948051943</v>
      </c>
      <c r="BG335" s="1018">
        <v>0.64102564102564108</v>
      </c>
      <c r="BH335" s="1424">
        <v>0.62645590682196339</v>
      </c>
      <c r="BI335" s="415">
        <f t="shared" si="309"/>
        <v>0.62645590682196339</v>
      </c>
      <c r="BJ335" s="415">
        <f t="shared" si="307"/>
        <v>0.55345108547568567</v>
      </c>
      <c r="BL335" s="317">
        <f>ROW()</f>
        <v>335</v>
      </c>
      <c r="BM335" s="1432">
        <f t="shared" si="310"/>
        <v>0.15389493121220732</v>
      </c>
      <c r="BN335" s="317">
        <f t="shared" si="275"/>
        <v>-2.8803236354022488E-3</v>
      </c>
      <c r="BO335" s="783">
        <f t="shared" si="308"/>
        <v>9.5285129253555034E-2</v>
      </c>
      <c r="BP335" s="594">
        <f t="shared" si="311"/>
        <v>-1.4569734203677687E-2</v>
      </c>
    </row>
    <row r="336" spans="1:71" ht="17.05" customHeight="1" x14ac:dyDescent="0.55000000000000004">
      <c r="A336" s="7225"/>
      <c r="B336" s="45"/>
      <c r="C336" s="709" t="s">
        <v>1112</v>
      </c>
      <c r="D336" s="414">
        <v>0.40579710144927539</v>
      </c>
      <c r="E336" s="415">
        <v>0.36904761904761907</v>
      </c>
      <c r="F336" s="415">
        <v>0.39902280130293161</v>
      </c>
      <c r="G336" s="415">
        <v>0.41397849462365593</v>
      </c>
      <c r="H336" s="415">
        <v>0.38554216867469882</v>
      </c>
      <c r="I336" s="415">
        <v>0.41505791505791506</v>
      </c>
      <c r="J336" s="415">
        <v>0.39374999999999999</v>
      </c>
      <c r="K336" s="415">
        <v>0.33816425120772947</v>
      </c>
      <c r="L336" s="415">
        <v>0.29916317991631797</v>
      </c>
      <c r="M336" s="415">
        <v>0.32043343653250772</v>
      </c>
      <c r="N336" s="415">
        <v>0.27932960893854747</v>
      </c>
      <c r="O336" s="415">
        <v>0.2414448669201521</v>
      </c>
      <c r="P336" s="415">
        <v>0.35425200720956906</v>
      </c>
      <c r="Q336" s="416">
        <v>0.35425200720956906</v>
      </c>
      <c r="S336" s="414">
        <v>0.3359840954274354</v>
      </c>
      <c r="T336" s="415">
        <v>0.28703703703703703</v>
      </c>
      <c r="U336" s="415">
        <v>0.279291553133515</v>
      </c>
      <c r="V336" s="415">
        <v>0.24413793103448275</v>
      </c>
      <c r="W336" s="415">
        <v>0.2397590361445783</v>
      </c>
      <c r="X336" s="415">
        <v>0.24094881398252185</v>
      </c>
      <c r="Y336" s="415">
        <v>0.24195804195804196</v>
      </c>
      <c r="Z336" s="415">
        <v>0.22416302765647744</v>
      </c>
      <c r="AA336" s="415">
        <v>0.32842415316642121</v>
      </c>
      <c r="AB336" s="415">
        <v>0.27925117004680189</v>
      </c>
      <c r="AC336" s="415">
        <v>0.23828647925033467</v>
      </c>
      <c r="AD336" s="415">
        <v>0.25498575498575499</v>
      </c>
      <c r="AE336" s="415">
        <v>0.26331431288635282</v>
      </c>
      <c r="AF336" s="416">
        <v>0.26331431288635282</v>
      </c>
      <c r="AH336" s="414">
        <v>0.16149870801033592</v>
      </c>
      <c r="AI336" s="415">
        <v>0.20224719101123595</v>
      </c>
      <c r="AJ336" s="415">
        <v>0.17808219178082191</v>
      </c>
      <c r="AK336" s="415">
        <v>0.19880418535127056</v>
      </c>
      <c r="AL336" s="794">
        <v>0.17777777777777778</v>
      </c>
      <c r="AM336" s="794">
        <v>0.14531754574811626</v>
      </c>
      <c r="AN336" s="1018">
        <v>0.13706793802145412</v>
      </c>
      <c r="AO336" s="1018">
        <v>0.18945868945868946</v>
      </c>
      <c r="AP336" s="1113">
        <v>0.12712826333711691</v>
      </c>
      <c r="AQ336" s="1151">
        <v>0.16246851385390429</v>
      </c>
      <c r="AR336" s="1424">
        <v>0.16006884681583478</v>
      </c>
      <c r="AS336" s="1424">
        <v>0.14051094890510948</v>
      </c>
      <c r="AT336" s="415">
        <v>0.1772879332799264</v>
      </c>
      <c r="AU336" s="416">
        <v>0.1772879332799264</v>
      </c>
      <c r="AW336" s="2044">
        <v>0.18761384335154827</v>
      </c>
      <c r="AX336" s="415">
        <v>0.19311663479923519</v>
      </c>
      <c r="AY336" s="415">
        <v>0.14921465968586387</v>
      </c>
      <c r="AZ336" s="415">
        <v>0.14762516046213095</v>
      </c>
      <c r="BA336" s="415">
        <v>0.14755838641188959</v>
      </c>
      <c r="BB336" s="794">
        <v>0.10656753407682776</v>
      </c>
      <c r="BC336" s="1018">
        <v>0.13731060606060605</v>
      </c>
      <c r="BD336" s="1018">
        <v>0.19082125603864733</v>
      </c>
      <c r="BE336" s="1113">
        <v>0.1984216459977452</v>
      </c>
      <c r="BF336" s="2397">
        <v>0.26989619377162632</v>
      </c>
      <c r="BG336" s="1018">
        <v>0.23819301848049279</v>
      </c>
      <c r="BH336" s="1424">
        <v>0.34120734908136485</v>
      </c>
      <c r="BI336" s="415">
        <f t="shared" si="309"/>
        <v>0.34120734908136485</v>
      </c>
      <c r="BJ336" s="415">
        <f t="shared" ref="BJ336:BJ354" si="312">AVERAGE(AX336:BI336)</f>
        <v>0.20509498282898289</v>
      </c>
      <c r="BL336" s="317">
        <f>ROW()</f>
        <v>336</v>
      </c>
      <c r="BM336" s="1432">
        <f t="shared" si="310"/>
        <v>0.20069640017625537</v>
      </c>
      <c r="BN336" s="317">
        <f t="shared" ref="BN336:BN354" si="313">BJ336-AU336</f>
        <v>2.7807049549056495E-2</v>
      </c>
      <c r="BO336" s="783">
        <f t="shared" si="308"/>
        <v>0.17617144907539259</v>
      </c>
      <c r="BP336" s="594">
        <f t="shared" si="311"/>
        <v>0.10301433060087206</v>
      </c>
    </row>
    <row r="337" spans="1:68" ht="17.05" customHeight="1" x14ac:dyDescent="0.55000000000000004">
      <c r="A337" s="7225"/>
      <c r="B337" s="45"/>
      <c r="C337" s="709" t="s">
        <v>426</v>
      </c>
      <c r="D337" s="414">
        <v>0.11407160699417153</v>
      </c>
      <c r="E337" s="415">
        <v>9.6751412429378528E-2</v>
      </c>
      <c r="F337" s="415">
        <v>0.11225997045790251</v>
      </c>
      <c r="G337" s="415">
        <v>9.0106007067137811E-2</v>
      </c>
      <c r="H337" s="415">
        <v>8.0989876265466818E-2</v>
      </c>
      <c r="I337" s="415">
        <v>0.1060515278609946</v>
      </c>
      <c r="J337" s="415">
        <v>9.3004769475357713E-2</v>
      </c>
      <c r="K337" s="415">
        <v>0.10659560293137908</v>
      </c>
      <c r="L337" s="415">
        <v>0.10881652104845115</v>
      </c>
      <c r="M337" s="415">
        <v>0.10242214532871972</v>
      </c>
      <c r="N337" s="415">
        <v>6.7589576547231273E-2</v>
      </c>
      <c r="O337" s="415">
        <v>7.9501915708812265E-2</v>
      </c>
      <c r="P337" s="415">
        <v>9.6611477063675746E-2</v>
      </c>
      <c r="Q337" s="416">
        <v>9.6611477063675746E-2</v>
      </c>
      <c r="S337" s="414">
        <v>0.16543438077634012</v>
      </c>
      <c r="T337" s="415">
        <v>0.33799705449189987</v>
      </c>
      <c r="U337" s="415">
        <v>0.31768158473954511</v>
      </c>
      <c r="V337" s="415">
        <v>0.42740471869328495</v>
      </c>
      <c r="W337" s="415">
        <v>0.35873472322070454</v>
      </c>
      <c r="X337" s="415">
        <v>0.354978354978355</v>
      </c>
      <c r="Y337" s="415">
        <v>0.31130268199233718</v>
      </c>
      <c r="Z337" s="415">
        <v>0.33777481678880744</v>
      </c>
      <c r="AA337" s="415">
        <v>0.4</v>
      </c>
      <c r="AB337" s="415">
        <v>0.43551088777219432</v>
      </c>
      <c r="AC337" s="415">
        <v>0.49099099099099097</v>
      </c>
      <c r="AD337" s="415">
        <v>0.36435868331441545</v>
      </c>
      <c r="AE337" s="415">
        <v>0.35833160693322286</v>
      </c>
      <c r="AF337" s="416">
        <v>0.35833160693322286</v>
      </c>
      <c r="AH337" s="414">
        <v>0.26323529411764707</v>
      </c>
      <c r="AI337" s="415">
        <v>0.19415807560137457</v>
      </c>
      <c r="AJ337" s="415">
        <v>0.17510548523206751</v>
      </c>
      <c r="AK337" s="415">
        <v>0.16218293620292082</v>
      </c>
      <c r="AL337" s="794">
        <v>0.14958625079567156</v>
      </c>
      <c r="AM337" s="794">
        <v>0.14737550471063257</v>
      </c>
      <c r="AN337" s="1018">
        <v>0.13729128014842301</v>
      </c>
      <c r="AO337" s="1018">
        <v>0.1406539173349784</v>
      </c>
      <c r="AP337" s="1113">
        <v>0.15982853643600733</v>
      </c>
      <c r="AQ337" s="1151">
        <v>0.13473219215902815</v>
      </c>
      <c r="AR337" s="1424">
        <v>0.13721185510428102</v>
      </c>
      <c r="AS337" s="1424">
        <v>0.13414634146341464</v>
      </c>
      <c r="AT337" s="415">
        <v>0.18194059111005234</v>
      </c>
      <c r="AU337" s="416">
        <v>0.18194059111005234</v>
      </c>
      <c r="AW337" s="2044">
        <v>0.16737935247403787</v>
      </c>
      <c r="AX337" s="415">
        <v>0.18648130393096837</v>
      </c>
      <c r="AY337" s="415">
        <v>0.18784530386740331</v>
      </c>
      <c r="AZ337" s="415">
        <v>0.19092827004219409</v>
      </c>
      <c r="BA337" s="415">
        <v>0.21379499862599616</v>
      </c>
      <c r="BB337" s="794">
        <v>0.28763812154696133</v>
      </c>
      <c r="BC337" s="1018">
        <v>0.43092621664050235</v>
      </c>
      <c r="BD337" s="1018">
        <v>0.54104477611940294</v>
      </c>
      <c r="BE337" s="1113">
        <v>0.5440948942753997</v>
      </c>
      <c r="BF337" s="2397">
        <v>0.50412314458493668</v>
      </c>
      <c r="BG337" s="1018">
        <v>0.51712521055586758</v>
      </c>
      <c r="BH337" s="1424">
        <v>0.53460889138998313</v>
      </c>
      <c r="BI337" s="415">
        <f t="shared" si="309"/>
        <v>0.53460889138998313</v>
      </c>
      <c r="BJ337" s="415">
        <f t="shared" si="312"/>
        <v>0.38943500191413322</v>
      </c>
      <c r="BL337" s="317">
        <f>ROW()</f>
        <v>337</v>
      </c>
      <c r="BM337" s="1432">
        <f t="shared" si="310"/>
        <v>0.40046254992656849</v>
      </c>
      <c r="BN337" s="317">
        <f t="shared" si="313"/>
        <v>0.20749441080408088</v>
      </c>
      <c r="BO337" s="783">
        <f t="shared" si="308"/>
        <v>0.37331658561444592</v>
      </c>
      <c r="BP337" s="594">
        <f t="shared" si="311"/>
        <v>1.7483680834115556E-2</v>
      </c>
    </row>
    <row r="338" spans="1:68" ht="17.05" customHeight="1" x14ac:dyDescent="0.55000000000000004">
      <c r="A338" s="7225"/>
      <c r="B338" s="45"/>
      <c r="C338" s="709" t="s">
        <v>954</v>
      </c>
      <c r="D338" s="414">
        <v>0.2</v>
      </c>
      <c r="E338" s="415">
        <v>0</v>
      </c>
      <c r="F338" s="415">
        <v>0</v>
      </c>
      <c r="G338" s="415">
        <v>0</v>
      </c>
      <c r="H338" s="415">
        <v>0</v>
      </c>
      <c r="I338" s="415">
        <v>0.5</v>
      </c>
      <c r="J338" s="415">
        <v>0.66666666666666663</v>
      </c>
      <c r="K338" s="415">
        <v>0.36363636363636365</v>
      </c>
      <c r="L338" s="415">
        <v>0.53246753246753242</v>
      </c>
      <c r="M338" s="415">
        <v>0.27868852459016391</v>
      </c>
      <c r="N338" s="415">
        <v>0.25</v>
      </c>
      <c r="O338" s="415">
        <v>0.22222222222222221</v>
      </c>
      <c r="P338" s="415">
        <v>0.3392857142857143</v>
      </c>
      <c r="Q338" s="416">
        <v>0.3392857142857143</v>
      </c>
      <c r="S338" s="414">
        <v>0.23076923076923078</v>
      </c>
      <c r="T338" s="415">
        <v>0.47058823529411764</v>
      </c>
      <c r="U338" s="415">
        <v>0.5</v>
      </c>
      <c r="V338" s="415">
        <v>0.6</v>
      </c>
      <c r="W338" s="415">
        <v>0.38461538461538464</v>
      </c>
      <c r="X338" s="415">
        <v>8.5714285714285715E-2</v>
      </c>
      <c r="Y338" s="415">
        <v>0.16666666666666666</v>
      </c>
      <c r="Z338" s="415">
        <v>0.30882352941176472</v>
      </c>
      <c r="AA338" s="415">
        <v>0.32786885245901637</v>
      </c>
      <c r="AB338" s="415">
        <v>0.14754098360655737</v>
      </c>
      <c r="AC338" s="415">
        <v>0.15079365079365079</v>
      </c>
      <c r="AD338" s="415">
        <v>0.27272727272727271</v>
      </c>
      <c r="AE338" s="415">
        <v>0.20735785953177258</v>
      </c>
      <c r="AF338" s="416">
        <v>0.20735785953177258</v>
      </c>
      <c r="AH338" s="414">
        <v>0.18181818181818182</v>
      </c>
      <c r="AI338" s="415">
        <v>0.2</v>
      </c>
      <c r="AJ338" s="415">
        <v>0.16</v>
      </c>
      <c r="AK338" s="415">
        <v>0.13750000000000001</v>
      </c>
      <c r="AL338" s="794">
        <v>0.12213740458015267</v>
      </c>
      <c r="AM338" s="794">
        <v>0.10204081632653061</v>
      </c>
      <c r="AN338" s="1018">
        <v>0.2857142857142857</v>
      </c>
      <c r="AO338" s="1018">
        <v>9.6153846153846159E-2</v>
      </c>
      <c r="AP338" s="1113">
        <v>9.6774193548387094E-2</v>
      </c>
      <c r="AQ338" s="1151">
        <v>0.16</v>
      </c>
      <c r="AR338" s="1424">
        <v>0.11764705882352941</v>
      </c>
      <c r="AS338" s="1424">
        <v>0.22916666666666666</v>
      </c>
      <c r="AT338" s="415">
        <v>0.15058273378747752</v>
      </c>
      <c r="AU338" s="416">
        <v>0.15058273378747752</v>
      </c>
      <c r="AW338" s="2044">
        <v>0.22222222222222221</v>
      </c>
      <c r="AX338" s="415">
        <v>0.13636363636363635</v>
      </c>
      <c r="AY338" s="415">
        <v>0.1728395061728395</v>
      </c>
      <c r="AZ338" s="415">
        <v>0.16129032258064516</v>
      </c>
      <c r="BA338" s="415">
        <v>0.11897106109324759</v>
      </c>
      <c r="BB338" s="794">
        <v>0.1065989847715736</v>
      </c>
      <c r="BC338" s="1018">
        <v>0.16382252559726962</v>
      </c>
      <c r="BD338" s="1018">
        <v>0.2857142857142857</v>
      </c>
      <c r="BE338" s="1113">
        <v>0.32450331125827814</v>
      </c>
      <c r="BF338" s="2397">
        <v>0.39285714285714279</v>
      </c>
      <c r="BG338" s="1018">
        <v>0.28275862068965518</v>
      </c>
      <c r="BH338" s="1424">
        <v>0.19230769230769232</v>
      </c>
      <c r="BI338" s="415">
        <f t="shared" si="309"/>
        <v>0.19230769230769232</v>
      </c>
      <c r="BJ338" s="415">
        <f t="shared" si="312"/>
        <v>0.21086123180949656</v>
      </c>
      <c r="BL338" s="317">
        <f>ROW()</f>
        <v>338</v>
      </c>
      <c r="BM338" s="1432">
        <f t="shared" si="310"/>
        <v>-3.6858974358974339E-2</v>
      </c>
      <c r="BN338" s="317">
        <f t="shared" si="313"/>
        <v>6.0278498022019039E-2</v>
      </c>
      <c r="BO338" s="783">
        <f t="shared" si="308"/>
        <v>3.4894987838393954E-2</v>
      </c>
      <c r="BP338" s="594">
        <f t="shared" si="311"/>
        <v>-9.0450928381962864E-2</v>
      </c>
    </row>
    <row r="339" spans="1:68" ht="17.05" customHeight="1" x14ac:dyDescent="0.55000000000000004">
      <c r="A339" s="7225"/>
      <c r="B339" s="257" t="s">
        <v>452</v>
      </c>
      <c r="C339" s="258"/>
      <c r="D339" s="411">
        <v>0.56009373953799801</v>
      </c>
      <c r="E339" s="412">
        <v>0.619807244931871</v>
      </c>
      <c r="F339" s="412">
        <v>0.59766855702583488</v>
      </c>
      <c r="G339" s="412">
        <v>0.63361442279732483</v>
      </c>
      <c r="H339" s="412">
        <v>0.6392512762336926</v>
      </c>
      <c r="I339" s="412">
        <v>0.61309006660874599</v>
      </c>
      <c r="J339" s="412">
        <v>0.59700476514635803</v>
      </c>
      <c r="K339" s="412">
        <v>0.61087866108786615</v>
      </c>
      <c r="L339" s="412">
        <v>0.60184552289815452</v>
      </c>
      <c r="M339" s="412">
        <v>0.61411905474125039</v>
      </c>
      <c r="N339" s="412">
        <v>0.60689655172413792</v>
      </c>
      <c r="O339" s="412">
        <v>0.5934774364808495</v>
      </c>
      <c r="P339" s="412">
        <v>0.60835999259709705</v>
      </c>
      <c r="Q339" s="413">
        <v>0.60835999259709705</v>
      </c>
      <c r="S339" s="411">
        <v>0.56146291906535728</v>
      </c>
      <c r="T339" s="412">
        <v>0.51771871539313397</v>
      </c>
      <c r="U339" s="412">
        <v>0.51552967276760953</v>
      </c>
      <c r="V339" s="412">
        <v>0.50595947556615017</v>
      </c>
      <c r="W339" s="412">
        <v>0.54553096105351639</v>
      </c>
      <c r="X339" s="412">
        <v>0.52917033128114921</v>
      </c>
      <c r="Y339" s="412">
        <v>0.53475033738191635</v>
      </c>
      <c r="Z339" s="412">
        <v>0.53575076608784478</v>
      </c>
      <c r="AA339" s="412">
        <v>0.43076420640104507</v>
      </c>
      <c r="AB339" s="412">
        <v>0.42164179104477612</v>
      </c>
      <c r="AC339" s="412">
        <v>0.42930426418723949</v>
      </c>
      <c r="AD339" s="412">
        <v>0.46471734892787525</v>
      </c>
      <c r="AE339" s="412">
        <v>0.50130880073191186</v>
      </c>
      <c r="AF339" s="413">
        <v>0.50130880073191186</v>
      </c>
      <c r="AH339" s="411">
        <v>0.53075525564495196</v>
      </c>
      <c r="AI339" s="412">
        <v>0.56769825918762085</v>
      </c>
      <c r="AJ339" s="412">
        <v>0.58205804749340373</v>
      </c>
      <c r="AK339" s="412">
        <v>0.59756756756756757</v>
      </c>
      <c r="AL339" s="795">
        <v>0.61188811188811187</v>
      </c>
      <c r="AM339" s="795">
        <v>0.62244897959183676</v>
      </c>
      <c r="AN339" s="1019">
        <v>0.61256665893809414</v>
      </c>
      <c r="AO339" s="1019">
        <v>0.64272511222603645</v>
      </c>
      <c r="AP339" s="1019">
        <v>0.58960096735187428</v>
      </c>
      <c r="AQ339" s="1152">
        <v>0.63435374149659862</v>
      </c>
      <c r="AR339" s="1425">
        <v>0.65349623082921759</v>
      </c>
      <c r="AS339" s="1425">
        <v>0.68154269972451786</v>
      </c>
      <c r="AT339" s="412">
        <v>0.58540270356224877</v>
      </c>
      <c r="AU339" s="413">
        <v>0.58540270356224877</v>
      </c>
      <c r="AW339" s="2045">
        <v>0.64806613522291112</v>
      </c>
      <c r="AX339" s="412">
        <v>0.63198179561439805</v>
      </c>
      <c r="AY339" s="412">
        <v>0.63788364635822259</v>
      </c>
      <c r="AZ339" s="412">
        <v>0.62567511425010391</v>
      </c>
      <c r="BA339" s="412">
        <v>0.66880916208951735</v>
      </c>
      <c r="BB339" s="795">
        <v>0.60821729413787173</v>
      </c>
      <c r="BC339" s="1019">
        <v>0.46285714285714286</v>
      </c>
      <c r="BD339" s="1019">
        <v>0.51904842628694126</v>
      </c>
      <c r="BE339" s="1019">
        <v>0.39950166112956809</v>
      </c>
      <c r="BF339" s="2398">
        <v>0.44468256094294134</v>
      </c>
      <c r="BG339" s="1019">
        <v>0.43586244541484714</v>
      </c>
      <c r="BH339" s="1425">
        <v>0.41804683038263851</v>
      </c>
      <c r="BI339" s="412">
        <f t="shared" si="309"/>
        <v>0.41804683038263851</v>
      </c>
      <c r="BJ339" s="412">
        <f t="shared" si="312"/>
        <v>0.52255107582056926</v>
      </c>
      <c r="BL339" s="317">
        <f>ROW()</f>
        <v>339</v>
      </c>
      <c r="BM339" s="1432">
        <f t="shared" si="310"/>
        <v>-0.26349586934187935</v>
      </c>
      <c r="BN339" s="317">
        <f t="shared" si="313"/>
        <v>-6.2851627741679517E-2</v>
      </c>
      <c r="BO339" s="783">
        <f t="shared" si="308"/>
        <v>-0.19251163894568074</v>
      </c>
      <c r="BP339" s="594">
        <f t="shared" si="311"/>
        <v>-1.7815615032208632E-2</v>
      </c>
    </row>
    <row r="340" spans="1:68" ht="17.05" customHeight="1" x14ac:dyDescent="0.55000000000000004">
      <c r="A340" s="7225"/>
      <c r="B340" s="259"/>
      <c r="C340" s="264" t="s">
        <v>424</v>
      </c>
      <c r="D340" s="414">
        <v>0.34089246525237749</v>
      </c>
      <c r="E340" s="415">
        <v>0.35123614663256608</v>
      </c>
      <c r="F340" s="415">
        <v>0.36638655462184871</v>
      </c>
      <c r="G340" s="415">
        <v>0.34745762711864409</v>
      </c>
      <c r="H340" s="415">
        <v>0.32532051282051283</v>
      </c>
      <c r="I340" s="415">
        <v>0.32357594936708861</v>
      </c>
      <c r="J340" s="415">
        <v>0.3468354430379747</v>
      </c>
      <c r="K340" s="415">
        <v>0.33825701624815363</v>
      </c>
      <c r="L340" s="415">
        <v>0.35611510791366907</v>
      </c>
      <c r="M340" s="415">
        <v>0.32389380530973449</v>
      </c>
      <c r="N340" s="415">
        <v>0.34210526315789475</v>
      </c>
      <c r="O340" s="415">
        <v>0.31474480151228734</v>
      </c>
      <c r="P340" s="415">
        <v>0.33978034123091799</v>
      </c>
      <c r="Q340" s="416">
        <v>0.33978034123091799</v>
      </c>
      <c r="S340" s="414">
        <v>0.3837638376383764</v>
      </c>
      <c r="T340" s="415">
        <v>0.40717432347388294</v>
      </c>
      <c r="U340" s="415">
        <v>0.42038640906062624</v>
      </c>
      <c r="V340" s="415">
        <v>0.43766404199475067</v>
      </c>
      <c r="W340" s="415">
        <v>0.43220973782771538</v>
      </c>
      <c r="X340" s="415">
        <v>0.42310469314079424</v>
      </c>
      <c r="Y340" s="415">
        <v>0.39161462979482603</v>
      </c>
      <c r="Z340" s="415">
        <v>0.44216867469879517</v>
      </c>
      <c r="AA340" s="415">
        <v>0.2827788649706458</v>
      </c>
      <c r="AB340" s="415">
        <v>0.28752978554408259</v>
      </c>
      <c r="AC340" s="415">
        <v>0.272887323943662</v>
      </c>
      <c r="AD340" s="415">
        <v>0.2924819773429454</v>
      </c>
      <c r="AE340" s="415">
        <v>0.38125867070248454</v>
      </c>
      <c r="AF340" s="416">
        <v>0.38125867070248454</v>
      </c>
      <c r="AH340" s="414">
        <v>0.34718969555035128</v>
      </c>
      <c r="AI340" s="415">
        <v>0.40076628352490423</v>
      </c>
      <c r="AJ340" s="415">
        <v>0.41289522628642283</v>
      </c>
      <c r="AK340" s="415">
        <v>0.42787878787878786</v>
      </c>
      <c r="AL340" s="794">
        <v>0.4247787610619469</v>
      </c>
      <c r="AM340" s="794">
        <v>0.44349680170575695</v>
      </c>
      <c r="AN340" s="1018">
        <v>0.44303097345132741</v>
      </c>
      <c r="AO340" s="1018">
        <v>0.48581560283687941</v>
      </c>
      <c r="AP340" s="1113">
        <v>0.44285714285714284</v>
      </c>
      <c r="AQ340" s="1151">
        <v>0.46626180836707154</v>
      </c>
      <c r="AR340" s="1424">
        <v>0.45880681818181818</v>
      </c>
      <c r="AS340" s="1424">
        <v>0.49085365853658536</v>
      </c>
      <c r="AT340" s="415">
        <v>0.40950092600136173</v>
      </c>
      <c r="AU340" s="416">
        <v>0.40950092600136173</v>
      </c>
      <c r="AW340" s="2044">
        <v>0.50085763293310459</v>
      </c>
      <c r="AX340" s="415">
        <v>0.50181818181818183</v>
      </c>
      <c r="AY340" s="415">
        <v>0.56619385342789597</v>
      </c>
      <c r="AZ340" s="415">
        <v>0.54210264075734926</v>
      </c>
      <c r="BA340" s="415">
        <v>0.61474958723170059</v>
      </c>
      <c r="BB340" s="794">
        <v>0.5108984582668793</v>
      </c>
      <c r="BC340" s="1018">
        <v>0.33245975290153501</v>
      </c>
      <c r="BD340" s="1018">
        <v>0.52782162588792425</v>
      </c>
      <c r="BE340" s="1113">
        <v>0.31664853101196955</v>
      </c>
      <c r="BF340" s="2397">
        <v>0.33116354759967453</v>
      </c>
      <c r="BG340" s="1018">
        <v>0.33253205128205127</v>
      </c>
      <c r="BH340" s="1424">
        <v>0.33943427620632277</v>
      </c>
      <c r="BI340" s="415">
        <f t="shared" si="309"/>
        <v>0.33943427620632277</v>
      </c>
      <c r="BJ340" s="415">
        <f t="shared" si="312"/>
        <v>0.43793806521648376</v>
      </c>
      <c r="BL340" s="317">
        <f>ROW()</f>
        <v>340</v>
      </c>
      <c r="BM340" s="1432">
        <f t="shared" si="310"/>
        <v>-0.15141938233026259</v>
      </c>
      <c r="BN340" s="317">
        <f t="shared" si="313"/>
        <v>2.8437139215122031E-2</v>
      </c>
      <c r="BO340" s="783">
        <f t="shared" si="308"/>
        <v>-9.7618353813593517E-2</v>
      </c>
      <c r="BP340" s="594">
        <f t="shared" si="311"/>
        <v>6.902224924271505E-3</v>
      </c>
    </row>
    <row r="341" spans="1:68" ht="17.05" customHeight="1" x14ac:dyDescent="0.55000000000000004">
      <c r="A341" s="7225"/>
      <c r="B341" s="259"/>
      <c r="C341" s="264" t="s">
        <v>1112</v>
      </c>
      <c r="D341" s="414">
        <v>0.43478260869565216</v>
      </c>
      <c r="E341" s="415">
        <v>0.49523809523809526</v>
      </c>
      <c r="F341" s="415">
        <v>0.42508143322475572</v>
      </c>
      <c r="G341" s="415">
        <v>0.44623655913978494</v>
      </c>
      <c r="H341" s="415">
        <v>0.45983935742971888</v>
      </c>
      <c r="I341" s="415">
        <v>0.4498069498069498</v>
      </c>
      <c r="J341" s="415">
        <v>0.43958333333333333</v>
      </c>
      <c r="K341" s="415">
        <v>0.5</v>
      </c>
      <c r="L341" s="415">
        <v>0.51673640167364021</v>
      </c>
      <c r="M341" s="415">
        <v>0.5356037151702786</v>
      </c>
      <c r="N341" s="415">
        <v>0.51582867783985098</v>
      </c>
      <c r="O341" s="415">
        <v>0.56653992395437258</v>
      </c>
      <c r="P341" s="415">
        <v>0.48271341962969033</v>
      </c>
      <c r="Q341" s="416">
        <v>0.48271341962969033</v>
      </c>
      <c r="S341" s="414">
        <v>0.51689860834990065</v>
      </c>
      <c r="T341" s="415">
        <v>0.55401234567901236</v>
      </c>
      <c r="U341" s="415">
        <v>0.52997275204359673</v>
      </c>
      <c r="V341" s="415">
        <v>0.59862068965517246</v>
      </c>
      <c r="W341" s="415">
        <v>0.61084337349397588</v>
      </c>
      <c r="X341" s="415">
        <v>0.56554307116104874</v>
      </c>
      <c r="Y341" s="415">
        <v>0.57482517482517481</v>
      </c>
      <c r="Z341" s="415">
        <v>0.58660844250363897</v>
      </c>
      <c r="AA341" s="415">
        <v>0.4889543446244477</v>
      </c>
      <c r="AB341" s="415">
        <v>0.46957878315132606</v>
      </c>
      <c r="AC341" s="415">
        <v>0.53547523427041499</v>
      </c>
      <c r="AD341" s="415">
        <v>0.53418803418803418</v>
      </c>
      <c r="AE341" s="415">
        <v>0.54969091773656686</v>
      </c>
      <c r="AF341" s="416">
        <v>0.54969091773656686</v>
      </c>
      <c r="AH341" s="414">
        <v>0.60981912144702843</v>
      </c>
      <c r="AI341" s="415">
        <v>0.5248796147672552</v>
      </c>
      <c r="AJ341" s="415">
        <v>0.53698630136986303</v>
      </c>
      <c r="AK341" s="415">
        <v>0.55904334828101643</v>
      </c>
      <c r="AL341" s="794">
        <v>0.53472222222222221</v>
      </c>
      <c r="AM341" s="794">
        <v>0.54144241119483316</v>
      </c>
      <c r="AN341" s="1018">
        <v>0.52800953516090587</v>
      </c>
      <c r="AO341" s="1018">
        <v>0.5213675213675214</v>
      </c>
      <c r="AP341" s="1113">
        <v>0.40522133938706018</v>
      </c>
      <c r="AQ341" s="1151">
        <v>0.43324937027707811</v>
      </c>
      <c r="AR341" s="1424">
        <v>0.4974182444061962</v>
      </c>
      <c r="AS341" s="1424">
        <v>0.58211678832116787</v>
      </c>
      <c r="AT341" s="415">
        <v>0.55114883654703639</v>
      </c>
      <c r="AU341" s="416">
        <v>0.55114883654703639</v>
      </c>
      <c r="AW341" s="2044">
        <v>0.42987249544626593</v>
      </c>
      <c r="AX341" s="415">
        <v>0.47418738049713194</v>
      </c>
      <c r="AY341" s="415">
        <v>0.40052356020942409</v>
      </c>
      <c r="AZ341" s="415">
        <v>0.40564826700898587</v>
      </c>
      <c r="BA341" s="415">
        <v>0.40870488322717624</v>
      </c>
      <c r="BB341" s="794">
        <v>0.41263940520446096</v>
      </c>
      <c r="BC341" s="1018">
        <v>0.42992424242424243</v>
      </c>
      <c r="BD341" s="1018">
        <v>0.5</v>
      </c>
      <c r="BE341" s="1113">
        <v>0.42662116040955633</v>
      </c>
      <c r="BF341" s="2397">
        <v>0.5149911816578483</v>
      </c>
      <c r="BG341" s="1018">
        <v>0.5125523012552301</v>
      </c>
      <c r="BH341" s="1424">
        <v>0.40157480314960631</v>
      </c>
      <c r="BI341" s="415">
        <f t="shared" si="309"/>
        <v>0.40157480314960631</v>
      </c>
      <c r="BJ341" s="415">
        <f t="shared" si="312"/>
        <v>0.44074516568277239</v>
      </c>
      <c r="BL341" s="317">
        <f>ROW()</f>
        <v>341</v>
      </c>
      <c r="BM341" s="1432">
        <f t="shared" si="310"/>
        <v>-0.18054198517156156</v>
      </c>
      <c r="BN341" s="317">
        <f t="shared" si="313"/>
        <v>-0.110403670864264</v>
      </c>
      <c r="BO341" s="783">
        <f t="shared" si="308"/>
        <v>-0.121281515033906</v>
      </c>
      <c r="BP341" s="594">
        <f t="shared" si="311"/>
        <v>-0.1109774981056238</v>
      </c>
    </row>
    <row r="342" spans="1:68" ht="17.05" customHeight="1" x14ac:dyDescent="0.55000000000000004">
      <c r="A342" s="7225"/>
      <c r="B342" s="259"/>
      <c r="C342" s="264" t="s">
        <v>426</v>
      </c>
      <c r="D342" s="414">
        <v>0.8517901748542881</v>
      </c>
      <c r="E342" s="415">
        <v>0.87923728813559321</v>
      </c>
      <c r="F342" s="415">
        <v>0.8751846381093058</v>
      </c>
      <c r="G342" s="415">
        <v>0.89340400471142523</v>
      </c>
      <c r="H342" s="415">
        <v>0.90944881889763785</v>
      </c>
      <c r="I342" s="415">
        <v>0.88316357100059917</v>
      </c>
      <c r="J342" s="415">
        <v>0.89586645468998405</v>
      </c>
      <c r="K342" s="415">
        <v>0.88740839440373087</v>
      </c>
      <c r="L342" s="415">
        <v>0.86497220015885623</v>
      </c>
      <c r="M342" s="415">
        <v>0.87266435986159174</v>
      </c>
      <c r="N342" s="415">
        <v>0.90635179153094458</v>
      </c>
      <c r="O342" s="415">
        <v>0.88888888888888884</v>
      </c>
      <c r="P342" s="415">
        <v>0.88487330128775743</v>
      </c>
      <c r="Q342" s="416">
        <v>0.88487330128775743</v>
      </c>
      <c r="S342" s="414">
        <v>0.80314232902033267</v>
      </c>
      <c r="T342" s="415">
        <v>0.6296023564064801</v>
      </c>
      <c r="U342" s="415">
        <v>0.61261922230374177</v>
      </c>
      <c r="V342" s="415">
        <v>0.53992740471869327</v>
      </c>
      <c r="W342" s="415">
        <v>0.61466570812365207</v>
      </c>
      <c r="X342" s="415">
        <v>0.61385281385281387</v>
      </c>
      <c r="Y342" s="415">
        <v>0.66570881226053635</v>
      </c>
      <c r="Z342" s="415">
        <v>0.61425716189207191</v>
      </c>
      <c r="AA342" s="415">
        <v>0.5115384615384615</v>
      </c>
      <c r="AB342" s="415">
        <v>0.5368509212730318</v>
      </c>
      <c r="AC342" s="415">
        <v>0.4756756756756757</v>
      </c>
      <c r="AD342" s="415">
        <v>0.59704880817253125</v>
      </c>
      <c r="AE342" s="415">
        <v>0.60044195842828529</v>
      </c>
      <c r="AF342" s="416">
        <v>0.60044195842828529</v>
      </c>
      <c r="AH342" s="414">
        <v>0.71397058823529413</v>
      </c>
      <c r="AI342" s="415">
        <v>0.77577319587628868</v>
      </c>
      <c r="AJ342" s="415">
        <v>0.7939521800281294</v>
      </c>
      <c r="AK342" s="415">
        <v>0.8186010760953113</v>
      </c>
      <c r="AL342" s="794">
        <v>0.81540420114576706</v>
      </c>
      <c r="AM342" s="794">
        <v>0.82503364737550466</v>
      </c>
      <c r="AN342" s="1018">
        <v>0.84353741496598644</v>
      </c>
      <c r="AO342" s="1018">
        <v>0.82356570018507091</v>
      </c>
      <c r="AP342" s="1113">
        <v>0.80955296999387627</v>
      </c>
      <c r="AQ342" s="1151">
        <v>0.85643290999447819</v>
      </c>
      <c r="AR342" s="1424">
        <v>0.85016465422612508</v>
      </c>
      <c r="AS342" s="1424">
        <v>0.85830429732868763</v>
      </c>
      <c r="AT342" s="415">
        <v>0.79045581479271598</v>
      </c>
      <c r="AU342" s="416">
        <v>0.79045581479271598</v>
      </c>
      <c r="AW342" s="2044">
        <v>0.82712278558338426</v>
      </c>
      <c r="AX342" s="415">
        <v>0.80728667305848512</v>
      </c>
      <c r="AY342" s="415">
        <v>0.8071823204419889</v>
      </c>
      <c r="AZ342" s="415">
        <v>0.80432489451476796</v>
      </c>
      <c r="BA342" s="415">
        <v>0.78208298983237157</v>
      </c>
      <c r="BB342" s="794">
        <v>0.71132596685082872</v>
      </c>
      <c r="BC342" s="1018">
        <v>0.56593406593406592</v>
      </c>
      <c r="BD342" s="1018">
        <v>0.65432349949135304</v>
      </c>
      <c r="BE342" s="1113">
        <v>0.45281072717895821</v>
      </c>
      <c r="BF342" s="2397">
        <v>0.49367784496976358</v>
      </c>
      <c r="BG342" s="1018">
        <v>0.48006737787759685</v>
      </c>
      <c r="BH342" s="1424">
        <v>0.46314012380416431</v>
      </c>
      <c r="BI342" s="415">
        <f t="shared" si="309"/>
        <v>0.46314012380416431</v>
      </c>
      <c r="BJ342" s="415">
        <f t="shared" si="312"/>
        <v>0.62377471731320899</v>
      </c>
      <c r="BL342" s="317">
        <f>ROW()</f>
        <v>342</v>
      </c>
      <c r="BM342" s="1432">
        <f t="shared" si="310"/>
        <v>-0.39516417352452332</v>
      </c>
      <c r="BN342" s="317">
        <f t="shared" si="313"/>
        <v>-0.16668109747950699</v>
      </c>
      <c r="BO342" s="783">
        <f t="shared" si="308"/>
        <v>-0.35221761248337918</v>
      </c>
      <c r="BP342" s="594">
        <f t="shared" si="311"/>
        <v>-1.6927254073432541E-2</v>
      </c>
    </row>
    <row r="343" spans="1:68" ht="17.5" customHeight="1" thickBot="1" x14ac:dyDescent="0.6">
      <c r="A343" s="7226"/>
      <c r="B343" s="261"/>
      <c r="C343" s="265" t="s">
        <v>954</v>
      </c>
      <c r="D343" s="417">
        <v>0.8</v>
      </c>
      <c r="E343" s="418">
        <v>0</v>
      </c>
      <c r="F343" s="418">
        <v>0.9375</v>
      </c>
      <c r="G343" s="418">
        <v>1</v>
      </c>
      <c r="H343" s="418">
        <v>1</v>
      </c>
      <c r="I343" s="418">
        <v>0.5</v>
      </c>
      <c r="J343" s="418">
        <v>0.33333333333333331</v>
      </c>
      <c r="K343" s="418">
        <v>0.61038961038961037</v>
      </c>
      <c r="L343" s="418">
        <v>0.37662337662337664</v>
      </c>
      <c r="M343" s="418">
        <v>0.65573770491803274</v>
      </c>
      <c r="N343" s="418">
        <v>0.65625</v>
      </c>
      <c r="O343" s="418">
        <v>0.66666666666666663</v>
      </c>
      <c r="P343" s="418">
        <v>0.59693877551020413</v>
      </c>
      <c r="Q343" s="419">
        <v>0.59693877551020413</v>
      </c>
      <c r="S343" s="417">
        <v>0.69230769230769229</v>
      </c>
      <c r="T343" s="418">
        <v>0.52941176470588236</v>
      </c>
      <c r="U343" s="418">
        <v>0.5</v>
      </c>
      <c r="V343" s="418">
        <v>0.4</v>
      </c>
      <c r="W343" s="418">
        <v>0.61538461538461542</v>
      </c>
      <c r="X343" s="418">
        <v>0.81428571428571428</v>
      </c>
      <c r="Y343" s="418">
        <v>0.47619047619047616</v>
      </c>
      <c r="Z343" s="418">
        <v>0.57352941176470584</v>
      </c>
      <c r="AA343" s="418">
        <v>0.54098360655737709</v>
      </c>
      <c r="AB343" s="418">
        <v>0.42622950819672129</v>
      </c>
      <c r="AC343" s="418">
        <v>0.80158730158730163</v>
      </c>
      <c r="AD343" s="418">
        <v>0.63636363636363635</v>
      </c>
      <c r="AE343" s="418">
        <v>0.60367892976588633</v>
      </c>
      <c r="AF343" s="419">
        <v>0.60367892976588633</v>
      </c>
      <c r="AH343" s="417">
        <v>0.81818181818181823</v>
      </c>
      <c r="AI343" s="418">
        <v>0.8</v>
      </c>
      <c r="AJ343" s="418">
        <v>0.76</v>
      </c>
      <c r="AK343" s="418">
        <v>0.82499999999999996</v>
      </c>
      <c r="AL343" s="796">
        <v>0.85496183206106868</v>
      </c>
      <c r="AM343" s="796">
        <v>0.88775510204081631</v>
      </c>
      <c r="AN343" s="1020">
        <v>0.69387755102040816</v>
      </c>
      <c r="AO343" s="1020">
        <v>0.88461538461538458</v>
      </c>
      <c r="AP343" s="1020">
        <v>0.87096774193548387</v>
      </c>
      <c r="AQ343" s="1153">
        <v>0.84</v>
      </c>
      <c r="AR343" s="1426">
        <v>0.8529411764705882</v>
      </c>
      <c r="AS343" s="1426">
        <v>0.6875</v>
      </c>
      <c r="AT343" s="418">
        <v>0.82431645871395043</v>
      </c>
      <c r="AU343" s="419">
        <v>0.82431645871395043</v>
      </c>
      <c r="AW343" s="2046">
        <v>0.51851851851851849</v>
      </c>
      <c r="AX343" s="418">
        <v>0.72727272727272729</v>
      </c>
      <c r="AY343" s="418">
        <v>0.51851851851851849</v>
      </c>
      <c r="AZ343" s="418">
        <v>0.62903225806451613</v>
      </c>
      <c r="BA343" s="418">
        <v>0.73311897106109325</v>
      </c>
      <c r="BB343" s="796">
        <v>0.75634517766497467</v>
      </c>
      <c r="BC343" s="1020">
        <v>0.7303754266211604</v>
      </c>
      <c r="BD343" s="1020">
        <v>0.59756097560975607</v>
      </c>
      <c r="BE343" s="1020">
        <v>0.54304635761589404</v>
      </c>
      <c r="BF343" s="2399">
        <v>0.5089285714285714</v>
      </c>
      <c r="BG343" s="1020">
        <v>0.52413793103448281</v>
      </c>
      <c r="BH343" s="1426">
        <v>0.55384615384615388</v>
      </c>
      <c r="BI343" s="418">
        <f t="shared" si="309"/>
        <v>0.55384615384615388</v>
      </c>
      <c r="BJ343" s="418">
        <f t="shared" si="312"/>
        <v>0.61466910188200008</v>
      </c>
      <c r="BL343" s="317">
        <f>ROW()</f>
        <v>343</v>
      </c>
      <c r="BM343" s="1432">
        <f t="shared" si="310"/>
        <v>-0.13365384615384612</v>
      </c>
      <c r="BN343" s="317">
        <f t="shared" si="313"/>
        <v>-0.20964735683195035</v>
      </c>
      <c r="BO343" s="783">
        <f t="shared" si="308"/>
        <v>-0.26080389668097681</v>
      </c>
      <c r="BP343" s="594">
        <f t="shared" si="311"/>
        <v>2.970822281167107E-2</v>
      </c>
    </row>
    <row r="344" spans="1:68" ht="17.399999999999999" customHeight="1" x14ac:dyDescent="0.55000000000000004">
      <c r="A344" s="7221" t="s">
        <v>454</v>
      </c>
      <c r="B344" s="41" t="s">
        <v>455</v>
      </c>
      <c r="C344" s="206"/>
      <c r="D344" s="405">
        <v>0.87623762376237624</v>
      </c>
      <c r="E344" s="406">
        <v>0.90012229922543829</v>
      </c>
      <c r="F344" s="406">
        <v>0.89154704944178631</v>
      </c>
      <c r="G344" s="406">
        <v>0.9220411055988661</v>
      </c>
      <c r="H344" s="406">
        <v>0.92804551539491298</v>
      </c>
      <c r="I344" s="406">
        <v>0.93961352657004826</v>
      </c>
      <c r="J344" s="406">
        <v>0.9286016054076891</v>
      </c>
      <c r="K344" s="406">
        <v>0.92770655270655267</v>
      </c>
      <c r="L344" s="406">
        <v>0.91546762589928055</v>
      </c>
      <c r="M344" s="406">
        <v>0.92484177215189878</v>
      </c>
      <c r="N344" s="406">
        <v>0.90592188156236875</v>
      </c>
      <c r="O344" s="406">
        <v>0.90558576371725164</v>
      </c>
      <c r="P344" s="406">
        <v>0.91480410202471729</v>
      </c>
      <c r="Q344" s="407">
        <v>0.91480410202471729</v>
      </c>
      <c r="S344" s="405">
        <v>0.93770903010033446</v>
      </c>
      <c r="T344" s="406">
        <v>0.94747973211138525</v>
      </c>
      <c r="U344" s="406">
        <v>0.93776411832500961</v>
      </c>
      <c r="V344" s="406">
        <v>0.93764523625096829</v>
      </c>
      <c r="W344" s="406">
        <v>0.92573716781943938</v>
      </c>
      <c r="X344" s="406">
        <v>0.90602975724353951</v>
      </c>
      <c r="Y344" s="406">
        <v>0.9101225601452565</v>
      </c>
      <c r="Z344" s="406">
        <v>0.9440767703507611</v>
      </c>
      <c r="AA344" s="406">
        <v>0.91260744985673348</v>
      </c>
      <c r="AB344" s="406">
        <v>0.91737781225756398</v>
      </c>
      <c r="AC344" s="406">
        <v>0.93176972281449888</v>
      </c>
      <c r="AD344" s="406">
        <v>0.92270005443658143</v>
      </c>
      <c r="AE344" s="406">
        <v>0.92850909579109886</v>
      </c>
      <c r="AF344" s="407">
        <v>0.92850909579109886</v>
      </c>
      <c r="AH344" s="405">
        <v>0.92466915507295555</v>
      </c>
      <c r="AI344" s="406">
        <v>0.91547464239271781</v>
      </c>
      <c r="AJ344" s="406">
        <v>0.90902704601334738</v>
      </c>
      <c r="AK344" s="406">
        <v>0.90855148342059333</v>
      </c>
      <c r="AL344" s="797">
        <v>0.89609151572926593</v>
      </c>
      <c r="AM344" s="797">
        <v>0.85945945945945945</v>
      </c>
      <c r="AN344" s="1049">
        <v>0.89707568807339455</v>
      </c>
      <c r="AO344" s="1049">
        <v>0.79056047197640122</v>
      </c>
      <c r="AP344" s="1114">
        <v>0.85718626557277422</v>
      </c>
      <c r="AQ344" s="1114">
        <v>0.88836524300441821</v>
      </c>
      <c r="AR344" s="1427">
        <v>0.90410548396763557</v>
      </c>
      <c r="AS344" s="1427">
        <v>0.92005285761480016</v>
      </c>
      <c r="AT344" s="406">
        <v>0.9015404439758683</v>
      </c>
      <c r="AU344" s="407">
        <v>0.9015404439758683</v>
      </c>
      <c r="AW344" s="2047">
        <v>0.91246873883529833</v>
      </c>
      <c r="AX344" s="406">
        <v>0.94342762063227958</v>
      </c>
      <c r="AY344" s="406">
        <v>0.89565465980560321</v>
      </c>
      <c r="AZ344" s="406">
        <v>0.88815117466802862</v>
      </c>
      <c r="BA344" s="406">
        <v>0.90816885964912286</v>
      </c>
      <c r="BB344" s="797">
        <v>0.9151452282157676</v>
      </c>
      <c r="BC344" s="1049">
        <v>0.89231582657737041</v>
      </c>
      <c r="BD344" s="1049">
        <v>0.91305555555555551</v>
      </c>
      <c r="BE344" s="1114">
        <v>0.90224980605120242</v>
      </c>
      <c r="BF344" s="786">
        <v>0.93520661157024798</v>
      </c>
      <c r="BG344" s="1049">
        <v>0.9449915110356536</v>
      </c>
      <c r="BH344" s="1427">
        <v>0.93940455341506135</v>
      </c>
      <c r="BI344" s="406">
        <f t="shared" si="309"/>
        <v>0.93940455341506135</v>
      </c>
      <c r="BJ344" s="406">
        <f t="shared" si="312"/>
        <v>0.91809799671591275</v>
      </c>
      <c r="BL344" s="317">
        <f>ROW()</f>
        <v>344</v>
      </c>
      <c r="BM344" s="1432">
        <f t="shared" si="310"/>
        <v>1.9351695800261193E-2</v>
      </c>
      <c r="BN344" s="317">
        <f t="shared" si="313"/>
        <v>1.6557552740044446E-2</v>
      </c>
      <c r="BO344" s="783">
        <f t="shared" si="308"/>
        <v>5.0186277390247724E-2</v>
      </c>
      <c r="BP344" s="594">
        <f t="shared" si="311"/>
        <v>-5.5869576205922478E-3</v>
      </c>
    </row>
    <row r="345" spans="1:68" ht="17.399999999999999" customHeight="1" x14ac:dyDescent="0.55000000000000004">
      <c r="A345" s="7222"/>
      <c r="B345" s="42"/>
      <c r="C345" s="207" t="s">
        <v>19</v>
      </c>
      <c r="D345" s="408">
        <v>0.94552169898430283</v>
      </c>
      <c r="E345" s="409">
        <v>0.94237288135593222</v>
      </c>
      <c r="F345" s="409">
        <v>0.93440736478711162</v>
      </c>
      <c r="G345" s="409">
        <v>0.95314285714285718</v>
      </c>
      <c r="H345" s="409">
        <v>0.94455445544554451</v>
      </c>
      <c r="I345" s="409">
        <v>0.953307392996109</v>
      </c>
      <c r="J345" s="409">
        <v>0.93763213530655387</v>
      </c>
      <c r="K345" s="409">
        <v>0.95009074410163341</v>
      </c>
      <c r="L345" s="409">
        <v>0.93301997649823731</v>
      </c>
      <c r="M345" s="409">
        <v>0.94456521739130439</v>
      </c>
      <c r="N345" s="409">
        <v>0.93103448275862066</v>
      </c>
      <c r="O345" s="409">
        <v>0.93066980023501766</v>
      </c>
      <c r="P345" s="409">
        <v>0.94204804488865512</v>
      </c>
      <c r="Q345" s="410">
        <v>0.94204804488865512</v>
      </c>
      <c r="S345" s="408">
        <v>0.96014171833480955</v>
      </c>
      <c r="T345" s="409">
        <v>0.96666666666666667</v>
      </c>
      <c r="U345" s="409">
        <v>0.96331058020477811</v>
      </c>
      <c r="V345" s="409">
        <v>0.96181384248210022</v>
      </c>
      <c r="W345" s="409">
        <v>0.96645512239347231</v>
      </c>
      <c r="X345" s="409">
        <v>0.9715857011915674</v>
      </c>
      <c r="Y345" s="409">
        <v>0.95459459459459461</v>
      </c>
      <c r="Z345" s="409">
        <v>0.96785464709993008</v>
      </c>
      <c r="AA345" s="409">
        <v>0.94117647058823528</v>
      </c>
      <c r="AB345" s="409">
        <v>0.96343692870201092</v>
      </c>
      <c r="AC345" s="409">
        <v>0.95731056563500538</v>
      </c>
      <c r="AD345" s="409">
        <v>0.95880149812734083</v>
      </c>
      <c r="AE345" s="409">
        <v>0.96199143468950754</v>
      </c>
      <c r="AF345" s="410">
        <v>0.96199143468950754</v>
      </c>
      <c r="AH345" s="408">
        <v>0.9674515235457064</v>
      </c>
      <c r="AI345" s="409">
        <v>0.93930635838150289</v>
      </c>
      <c r="AJ345" s="409">
        <v>0.9563886763580719</v>
      </c>
      <c r="AK345" s="409">
        <v>0.9420821114369502</v>
      </c>
      <c r="AL345" s="791">
        <v>0.9517241379310345</v>
      </c>
      <c r="AM345" s="791">
        <v>0.94459338695263628</v>
      </c>
      <c r="AN345" s="1050">
        <v>0.96185632549268918</v>
      </c>
      <c r="AO345" s="1050">
        <v>0.94781864841745078</v>
      </c>
      <c r="AP345" s="1112">
        <v>0.96094946401225112</v>
      </c>
      <c r="AQ345" s="1112">
        <v>0.95077932731747339</v>
      </c>
      <c r="AR345" s="1428">
        <v>0.97335553705245625</v>
      </c>
      <c r="AS345" s="1428">
        <v>0.96388888888888891</v>
      </c>
      <c r="AT345" s="409">
        <v>0.95103603009106508</v>
      </c>
      <c r="AU345" s="410">
        <v>0.95103603009106508</v>
      </c>
      <c r="AW345" s="2041">
        <v>0.96673819742489275</v>
      </c>
      <c r="AX345" s="409">
        <v>0.98139534883720925</v>
      </c>
      <c r="AY345" s="409">
        <v>0.95213549337260672</v>
      </c>
      <c r="AZ345" s="409">
        <v>0.97028502122498483</v>
      </c>
      <c r="BA345" s="791">
        <v>0.97147435897435896</v>
      </c>
      <c r="BB345" s="791">
        <v>0.96455696202531649</v>
      </c>
      <c r="BC345" s="1050">
        <v>0.97769197769197769</v>
      </c>
      <c r="BD345" s="1050">
        <v>0.97184115523465708</v>
      </c>
      <c r="BE345" s="1112">
        <v>0.97407647440051848</v>
      </c>
      <c r="BF345" s="437">
        <v>0.94670542635658916</v>
      </c>
      <c r="BG345" s="1050">
        <v>0.96881091617933723</v>
      </c>
      <c r="BH345" s="1428">
        <v>0.96058091286307057</v>
      </c>
      <c r="BI345" s="409">
        <f t="shared" si="309"/>
        <v>0.96058091286307057</v>
      </c>
      <c r="BJ345" s="409">
        <f t="shared" si="312"/>
        <v>0.96667791333530817</v>
      </c>
      <c r="BL345" s="317">
        <f>ROW()</f>
        <v>345</v>
      </c>
      <c r="BM345" s="1432">
        <f t="shared" si="310"/>
        <v>-3.3079760258183377E-3</v>
      </c>
      <c r="BN345" s="317">
        <f t="shared" si="313"/>
        <v>1.5641883244243093E-2</v>
      </c>
      <c r="BO345" s="783">
        <f t="shared" si="308"/>
        <v>5.5647140474780477E-3</v>
      </c>
      <c r="BP345" s="594">
        <f t="shared" si="311"/>
        <v>-8.2300033162666653E-3</v>
      </c>
    </row>
    <row r="346" spans="1:68" ht="17.399999999999999" customHeight="1" x14ac:dyDescent="0.55000000000000004">
      <c r="A346" s="7222"/>
      <c r="B346" s="42"/>
      <c r="C346" s="207" t="s">
        <v>1112</v>
      </c>
      <c r="D346" s="408">
        <v>0.73737373737373735</v>
      </c>
      <c r="E346" s="409">
        <v>0.80099502487562191</v>
      </c>
      <c r="F346" s="409">
        <v>0.81081081081081086</v>
      </c>
      <c r="G346" s="409">
        <v>0.78985507246376807</v>
      </c>
      <c r="H346" s="409">
        <v>0.7592592592592593</v>
      </c>
      <c r="I346" s="409">
        <v>0.79126213592233008</v>
      </c>
      <c r="J346" s="409">
        <v>0.82631578947368423</v>
      </c>
      <c r="K346" s="409">
        <v>0.77966101694915257</v>
      </c>
      <c r="L346" s="409">
        <v>0.65476190476190477</v>
      </c>
      <c r="M346" s="409">
        <v>0.72916666666666663</v>
      </c>
      <c r="N346" s="409">
        <v>0.73333333333333328</v>
      </c>
      <c r="O346" s="409">
        <v>0.71875</v>
      </c>
      <c r="P346" s="409">
        <v>0.76486915146708956</v>
      </c>
      <c r="Q346" s="410">
        <v>0.76486915146708956</v>
      </c>
      <c r="S346" s="408">
        <v>0.79729729729729726</v>
      </c>
      <c r="T346" s="409">
        <v>0.87258687258687262</v>
      </c>
      <c r="U346" s="409">
        <v>0.80208333333333337</v>
      </c>
      <c r="V346" s="409">
        <v>0.80254777070063699</v>
      </c>
      <c r="W346" s="409">
        <v>0.77873563218390807</v>
      </c>
      <c r="X346" s="409">
        <v>0.71253822629969421</v>
      </c>
      <c r="Y346" s="409">
        <v>0.76984126984126988</v>
      </c>
      <c r="Z346" s="409">
        <v>0.77631578947368418</v>
      </c>
      <c r="AA346" s="409">
        <v>0.73809523809523814</v>
      </c>
      <c r="AB346" s="409">
        <v>0.80672268907563027</v>
      </c>
      <c r="AC346" s="409">
        <v>0.76706827309236947</v>
      </c>
      <c r="AD346" s="409">
        <v>0.70666666666666667</v>
      </c>
      <c r="AE346" s="409">
        <v>0.77732667083073081</v>
      </c>
      <c r="AF346" s="410">
        <v>0.77732667083073081</v>
      </c>
      <c r="AH346" s="408">
        <v>0.61306532663316582</v>
      </c>
      <c r="AI346" s="409">
        <v>0.63157894736842102</v>
      </c>
      <c r="AJ346" s="409">
        <v>0.47982062780269052</v>
      </c>
      <c r="AK346" s="409">
        <v>0.57425742574257421</v>
      </c>
      <c r="AL346" s="791">
        <v>0.4978902953586497</v>
      </c>
      <c r="AM346" s="791">
        <v>0.28205128205128205</v>
      </c>
      <c r="AN346" s="1050">
        <v>0.34523809523809529</v>
      </c>
      <c r="AO346" s="1050">
        <v>0.17339312406576982</v>
      </c>
      <c r="AP346" s="1112">
        <v>0.21917808219178081</v>
      </c>
      <c r="AQ346" s="1112">
        <v>0.36972704714640198</v>
      </c>
      <c r="AR346" s="1428">
        <v>0.3423423423423424</v>
      </c>
      <c r="AS346" s="1428">
        <v>0.40540540540540543</v>
      </c>
      <c r="AT346" s="409">
        <v>0.48838845883180859</v>
      </c>
      <c r="AU346" s="410">
        <v>0.48838845883180859</v>
      </c>
      <c r="AW346" s="2041">
        <v>0.40254237288135591</v>
      </c>
      <c r="AX346" s="409">
        <v>0.42452830188679247</v>
      </c>
      <c r="AY346" s="409">
        <v>0.35389610389610388</v>
      </c>
      <c r="AZ346" s="409">
        <v>0.25806451612903225</v>
      </c>
      <c r="BA346" s="791">
        <v>0.32589285714285715</v>
      </c>
      <c r="BB346" s="791">
        <v>0.30716723549488056</v>
      </c>
      <c r="BC346" s="1050">
        <v>0.25996533795493937</v>
      </c>
      <c r="BD346" s="1050">
        <v>0.33225806451612905</v>
      </c>
      <c r="BE346" s="1112">
        <v>0.2857142857142857</v>
      </c>
      <c r="BF346" s="437">
        <v>0.53594771241830064</v>
      </c>
      <c r="BG346" s="1050">
        <v>0.54545454545454541</v>
      </c>
      <c r="BH346" s="1428">
        <v>0.5446428571428571</v>
      </c>
      <c r="BI346" s="409">
        <f t="shared" si="309"/>
        <v>0.5446428571428571</v>
      </c>
      <c r="BJ346" s="409">
        <f t="shared" si="312"/>
        <v>0.39318122290779839</v>
      </c>
      <c r="BL346" s="317">
        <f>ROW()</f>
        <v>346</v>
      </c>
      <c r="BM346" s="1432">
        <f t="shared" si="310"/>
        <v>0.13923745173745167</v>
      </c>
      <c r="BN346" s="317">
        <f t="shared" si="313"/>
        <v>-9.5207235924010203E-2</v>
      </c>
      <c r="BO346" s="783">
        <f t="shared" si="308"/>
        <v>0.13348052369730884</v>
      </c>
      <c r="BP346" s="594">
        <f t="shared" si="311"/>
        <v>-8.116883116883189E-4</v>
      </c>
    </row>
    <row r="347" spans="1:68" ht="17.399999999999999" customHeight="1" x14ac:dyDescent="0.55000000000000004">
      <c r="A347" s="7222"/>
      <c r="B347" s="42"/>
      <c r="C347" s="207" t="s">
        <v>426</v>
      </c>
      <c r="D347" s="408">
        <v>0.83391915641476277</v>
      </c>
      <c r="E347" s="409">
        <v>0.88734455010972935</v>
      </c>
      <c r="F347" s="409">
        <v>0.88704819277108438</v>
      </c>
      <c r="G347" s="409">
        <v>0.92745803357314149</v>
      </c>
      <c r="H347" s="409">
        <v>0.93923906871095963</v>
      </c>
      <c r="I347" s="409">
        <v>0.94945848375451258</v>
      </c>
      <c r="J347" s="409">
        <v>0.93683347005742412</v>
      </c>
      <c r="K347" s="409">
        <v>0.92687880839539605</v>
      </c>
      <c r="L347" s="409">
        <v>0.9388984509466437</v>
      </c>
      <c r="M347" s="409">
        <v>0.94039735099337751</v>
      </c>
      <c r="N347" s="409">
        <v>0.91739130434782612</v>
      </c>
      <c r="O347" s="409">
        <v>0.9198355601233299</v>
      </c>
      <c r="P347" s="409">
        <v>0.91914658140678795</v>
      </c>
      <c r="Q347" s="410">
        <v>0.91914658140678795</v>
      </c>
      <c r="S347" s="408">
        <v>0.94844357976653693</v>
      </c>
      <c r="T347" s="409">
        <v>0.94439967767929089</v>
      </c>
      <c r="U347" s="409">
        <v>0.94708994708994709</v>
      </c>
      <c r="V347" s="409">
        <v>0.94930417495029817</v>
      </c>
      <c r="W347" s="409">
        <v>0.93385214007782102</v>
      </c>
      <c r="X347" s="409">
        <v>0.93302325581395351</v>
      </c>
      <c r="Y347" s="409">
        <v>0.93518518518518523</v>
      </c>
      <c r="Z347" s="409">
        <v>0.95648854961832064</v>
      </c>
      <c r="AA347" s="409">
        <v>0.95071868583162222</v>
      </c>
      <c r="AB347" s="409">
        <v>0.93688888888888888</v>
      </c>
      <c r="AC347" s="409">
        <v>0.94711538461538458</v>
      </c>
      <c r="AD347" s="409">
        <v>0.94763092269326688</v>
      </c>
      <c r="AE347" s="409">
        <v>0.94411945812807885</v>
      </c>
      <c r="AF347" s="410">
        <v>0.94411945812807885</v>
      </c>
      <c r="AH347" s="408">
        <v>0.93500391542678152</v>
      </c>
      <c r="AI347" s="409">
        <v>0.94761904761904758</v>
      </c>
      <c r="AJ347" s="409">
        <v>0.93663060278207111</v>
      </c>
      <c r="AK347" s="409">
        <v>0.94543973941368076</v>
      </c>
      <c r="AL347" s="791">
        <v>0.94651320243737302</v>
      </c>
      <c r="AM347" s="791">
        <v>0.9568965517241379</v>
      </c>
      <c r="AN347" s="1050">
        <v>0.95561357702349869</v>
      </c>
      <c r="AO347" s="1050">
        <v>0.940745672436751</v>
      </c>
      <c r="AP347" s="1112">
        <v>0.95686794956867949</v>
      </c>
      <c r="AQ347" s="1112">
        <v>0.9673726388093874</v>
      </c>
      <c r="AR347" s="1428">
        <v>0.96777840587902775</v>
      </c>
      <c r="AS347" s="1428">
        <v>0.9679525222551929</v>
      </c>
      <c r="AT347" s="409">
        <v>0.94480435345944547</v>
      </c>
      <c r="AU347" s="410">
        <v>0.94480435345944547</v>
      </c>
      <c r="AW347" s="2041">
        <v>0.96756082345602001</v>
      </c>
      <c r="AX347" s="409">
        <v>0.96818404307391093</v>
      </c>
      <c r="AY347" s="409">
        <v>0.9656724817107486</v>
      </c>
      <c r="AZ347" s="409">
        <v>0.96834061135371163</v>
      </c>
      <c r="BA347" s="791">
        <v>0.9704209328782708</v>
      </c>
      <c r="BB347" s="791">
        <v>0.97364672364672367</v>
      </c>
      <c r="BC347" s="1050">
        <v>0.97461724415793716</v>
      </c>
      <c r="BD347" s="1050">
        <v>0.97746014293567884</v>
      </c>
      <c r="BE347" s="1112">
        <v>0.97906602254428343</v>
      </c>
      <c r="BF347" s="437">
        <v>0.97954545454545427</v>
      </c>
      <c r="BG347" s="1050">
        <v>0.9858740435550325</v>
      </c>
      <c r="BH347" s="1428">
        <v>0.98047337278106506</v>
      </c>
      <c r="BI347" s="409">
        <f t="shared" si="309"/>
        <v>0.98047337278106506</v>
      </c>
      <c r="BJ347" s="409">
        <f t="shared" si="312"/>
        <v>0.97531453716365668</v>
      </c>
      <c r="BL347" s="317">
        <f>ROW()</f>
        <v>347</v>
      </c>
      <c r="BM347" s="1432">
        <f t="shared" si="310"/>
        <v>1.2520850525872151E-2</v>
      </c>
      <c r="BN347" s="317">
        <f t="shared" si="313"/>
        <v>3.0510183704211213E-2</v>
      </c>
      <c r="BO347" s="783">
        <f t="shared" si="308"/>
        <v>2.8437220666429397E-2</v>
      </c>
      <c r="BP347" s="594">
        <f t="shared" si="311"/>
        <v>-5.400670773967442E-3</v>
      </c>
    </row>
    <row r="348" spans="1:68" ht="17.399999999999999" customHeight="1" thickBot="1" x14ac:dyDescent="0.6">
      <c r="A348" s="7223"/>
      <c r="B348" s="262"/>
      <c r="C348" s="263" t="s">
        <v>954</v>
      </c>
      <c r="D348" s="420">
        <v>1</v>
      </c>
      <c r="E348" s="421">
        <v>0</v>
      </c>
      <c r="F348" s="421">
        <v>0.4</v>
      </c>
      <c r="G348" s="421">
        <v>1</v>
      </c>
      <c r="H348" s="421">
        <v>1</v>
      </c>
      <c r="I348" s="421">
        <v>1</v>
      </c>
      <c r="J348" s="421">
        <v>1</v>
      </c>
      <c r="K348" s="421">
        <v>0.98076923076923073</v>
      </c>
      <c r="L348" s="421">
        <v>0.95348837209302328</v>
      </c>
      <c r="M348" s="421">
        <v>0.89473684210526316</v>
      </c>
      <c r="N348" s="421">
        <v>0.8571428571428571</v>
      </c>
      <c r="O348" s="421">
        <v>1</v>
      </c>
      <c r="P348" s="421">
        <v>0.90086206896551724</v>
      </c>
      <c r="Q348" s="422">
        <v>0.90086206896551724</v>
      </c>
      <c r="S348" s="420">
        <v>0.53846153846153844</v>
      </c>
      <c r="T348" s="421">
        <v>0.82352941176470584</v>
      </c>
      <c r="U348" s="421">
        <v>0.77777777777777779</v>
      </c>
      <c r="V348" s="421">
        <v>1</v>
      </c>
      <c r="W348" s="421">
        <v>0.54545454545454541</v>
      </c>
      <c r="X348" s="421">
        <v>0.29508196721311475</v>
      </c>
      <c r="Y348" s="421">
        <v>0.35185185185185186</v>
      </c>
      <c r="Z348" s="421">
        <v>0.71698113207547165</v>
      </c>
      <c r="AA348" s="421">
        <v>0.59615384615384615</v>
      </c>
      <c r="AB348" s="421">
        <v>0.53719008264462809</v>
      </c>
      <c r="AC348" s="421">
        <v>0.94117647058823528</v>
      </c>
      <c r="AD348" s="421">
        <v>0.88888888888888884</v>
      </c>
      <c r="AE348" s="421">
        <v>0.62977099236641221</v>
      </c>
      <c r="AF348" s="422">
        <v>0.62977099236641221</v>
      </c>
      <c r="AH348" s="420">
        <v>0.42307692307692307</v>
      </c>
      <c r="AI348" s="421">
        <v>1</v>
      </c>
      <c r="AJ348" s="421">
        <v>0.82608695652173914</v>
      </c>
      <c r="AK348" s="421">
        <v>0.57746478873239437</v>
      </c>
      <c r="AL348" s="798">
        <v>0.48031496062992124</v>
      </c>
      <c r="AM348" s="798">
        <v>0.57142857142857151</v>
      </c>
      <c r="AN348" s="1051">
        <v>0.76595744680851063</v>
      </c>
      <c r="AO348" s="1051">
        <v>0.8571428571428571</v>
      </c>
      <c r="AP348" s="1115">
        <v>0.90322580645161288</v>
      </c>
      <c r="AQ348" s="1115">
        <v>0.73913043478260865</v>
      </c>
      <c r="AR348" s="1429">
        <v>0.6875</v>
      </c>
      <c r="AS348" s="1429">
        <v>0.57499999999999996</v>
      </c>
      <c r="AT348" s="421">
        <v>0.55397727272727271</v>
      </c>
      <c r="AU348" s="422">
        <v>0.55397727272727271</v>
      </c>
      <c r="AW348" s="2048">
        <v>0.3</v>
      </c>
      <c r="AX348" s="421">
        <v>0</v>
      </c>
      <c r="AY348" s="421">
        <v>0.625</v>
      </c>
      <c r="AZ348" s="421" t="s">
        <v>482</v>
      </c>
      <c r="BA348" s="798">
        <v>0.12021857923497267</v>
      </c>
      <c r="BB348" s="798">
        <v>0.52777777777777768</v>
      </c>
      <c r="BC348" s="1051">
        <v>0.92307692307692313</v>
      </c>
      <c r="BD348" s="1051">
        <v>0.7402597402597404</v>
      </c>
      <c r="BE348" s="1115">
        <v>0.55855855855855852</v>
      </c>
      <c r="BF348" s="2400">
        <v>0.58108108108108103</v>
      </c>
      <c r="BG348" s="1051">
        <v>0.47422680412371132</v>
      </c>
      <c r="BH348" s="1429">
        <v>0.41176470588235292</v>
      </c>
      <c r="BI348" s="421">
        <f t="shared" si="309"/>
        <v>0.41176470588235292</v>
      </c>
      <c r="BJ348" s="421">
        <f t="shared" si="312"/>
        <v>0.48852080689795196</v>
      </c>
      <c r="BL348" s="317">
        <f>ROW()</f>
        <v>348</v>
      </c>
      <c r="BM348" s="1432">
        <f t="shared" si="310"/>
        <v>-0.16323529411764703</v>
      </c>
      <c r="BN348" s="317">
        <f t="shared" si="313"/>
        <v>-6.5456465829320742E-2</v>
      </c>
      <c r="BO348" s="783">
        <f t="shared" si="308"/>
        <v>-0.28876268958224194</v>
      </c>
      <c r="BP348" s="594">
        <f t="shared" si="311"/>
        <v>-6.2462098241358399E-2</v>
      </c>
    </row>
    <row r="349" spans="1:68" ht="17.399999999999999" customHeight="1" x14ac:dyDescent="0.55000000000000004">
      <c r="A349" s="7221" t="s">
        <v>456</v>
      </c>
      <c r="B349" s="266" t="s">
        <v>457</v>
      </c>
      <c r="C349" s="267"/>
      <c r="D349" s="423">
        <v>0.13410931174089069</v>
      </c>
      <c r="E349" s="424">
        <v>0.16368939117754283</v>
      </c>
      <c r="F349" s="424">
        <v>0.15668435683598686</v>
      </c>
      <c r="G349" s="424">
        <v>0.20433818092186345</v>
      </c>
      <c r="H349" s="424">
        <v>0.23808344682431595</v>
      </c>
      <c r="I349" s="424">
        <v>0.23678756476683938</v>
      </c>
      <c r="J349" s="424">
        <v>0.17411731207289294</v>
      </c>
      <c r="K349" s="424">
        <v>0.22711864406779661</v>
      </c>
      <c r="L349" s="424">
        <v>0.21058650547296193</v>
      </c>
      <c r="M349" s="424">
        <v>0.17250368355434659</v>
      </c>
      <c r="N349" s="424">
        <v>0.19313967861557479</v>
      </c>
      <c r="O349" s="424">
        <v>0.18822923816060397</v>
      </c>
      <c r="P349" s="424">
        <v>0.18963212900681406</v>
      </c>
      <c r="Q349" s="425">
        <v>0.18963212900681406</v>
      </c>
      <c r="S349" s="423">
        <v>0.21219715956558061</v>
      </c>
      <c r="T349" s="424">
        <v>0.2548364403798804</v>
      </c>
      <c r="U349" s="424">
        <v>0.2380269058295964</v>
      </c>
      <c r="V349" s="424">
        <v>0.1971252566735113</v>
      </c>
      <c r="W349" s="424">
        <v>0.17642575892290105</v>
      </c>
      <c r="X349" s="424">
        <v>0.16003616636528029</v>
      </c>
      <c r="Y349" s="424">
        <v>0.12593888260109065</v>
      </c>
      <c r="Z349" s="424">
        <v>0.17664155005382132</v>
      </c>
      <c r="AA349" s="424">
        <v>0.12845917321489581</v>
      </c>
      <c r="AB349" s="424">
        <v>0.14492171818546767</v>
      </c>
      <c r="AC349" s="424">
        <v>0.15196793002915451</v>
      </c>
      <c r="AD349" s="424">
        <v>0.14921465968586387</v>
      </c>
      <c r="AE349" s="424">
        <v>0.16985682316900949</v>
      </c>
      <c r="AF349" s="425">
        <f>AE349</f>
        <v>0.16985682316900949</v>
      </c>
      <c r="AH349" s="423">
        <v>0.20857767046107853</v>
      </c>
      <c r="AI349" s="424">
        <v>0.20216886134779241</v>
      </c>
      <c r="AJ349" s="424">
        <v>0.22948397363037054</v>
      </c>
      <c r="AK349" s="424">
        <v>0.20885878061490359</v>
      </c>
      <c r="AL349" s="424">
        <v>0.19896410073227361</v>
      </c>
      <c r="AM349" s="424">
        <v>0.19631584394080515</v>
      </c>
      <c r="AN349" s="1017">
        <v>0.21840969796589274</v>
      </c>
      <c r="AO349" s="1017">
        <v>0.25290590970267957</v>
      </c>
      <c r="AP349" s="1116">
        <v>0.23480305702527926</v>
      </c>
      <c r="AQ349" s="1116">
        <v>0.24961782048482201</v>
      </c>
      <c r="AR349" s="1423">
        <v>0.2295880149812734</v>
      </c>
      <c r="AS349" s="1423">
        <v>0.27170511185811985</v>
      </c>
      <c r="AT349" s="424">
        <v>0.20697703646515969</v>
      </c>
      <c r="AU349" s="425">
        <v>0.20697703646515969</v>
      </c>
      <c r="AW349" s="2043">
        <v>0.26020408163265307</v>
      </c>
      <c r="AX349" s="424">
        <v>0.29500489715964739</v>
      </c>
      <c r="AY349" s="424">
        <v>0.29727385377943</v>
      </c>
      <c r="AZ349" s="424">
        <v>0.20475319926873858</v>
      </c>
      <c r="BA349" s="424">
        <v>0.25738556638477</v>
      </c>
      <c r="BB349" s="424">
        <v>0.26529401293538241</v>
      </c>
      <c r="BC349" s="1017">
        <v>0.25406999102679145</v>
      </c>
      <c r="BD349" s="1017">
        <v>0.28931858132561267</v>
      </c>
      <c r="BE349" s="1116">
        <v>0.2235605672304801</v>
      </c>
      <c r="BF349" s="2401">
        <v>0.22254059216809932</v>
      </c>
      <c r="BG349" s="1017">
        <v>0.22973802701596399</v>
      </c>
      <c r="BH349" s="1423">
        <v>0.21875317807383302</v>
      </c>
      <c r="BI349" s="424">
        <f t="shared" si="309"/>
        <v>0.21875317807383302</v>
      </c>
      <c r="BJ349" s="424">
        <f t="shared" si="312"/>
        <v>0.24803713703688182</v>
      </c>
      <c r="BL349" s="317">
        <f>ROW()</f>
        <v>349</v>
      </c>
      <c r="BM349" s="1432">
        <f t="shared" si="310"/>
        <v>-5.2951933784286837E-2</v>
      </c>
      <c r="BN349" s="317">
        <f t="shared" si="313"/>
        <v>4.106010057172213E-2</v>
      </c>
      <c r="BO349" s="783">
        <f t="shared" si="308"/>
        <v>-6.3633921549411943E-3</v>
      </c>
      <c r="BP349" s="594">
        <f t="shared" si="311"/>
        <v>-1.0984848942130976E-2</v>
      </c>
    </row>
    <row r="350" spans="1:68" ht="17.399999999999999" customHeight="1" x14ac:dyDescent="0.55000000000000004">
      <c r="A350" s="7222"/>
      <c r="B350" s="259"/>
      <c r="C350" s="260" t="s">
        <v>19</v>
      </c>
      <c r="D350" s="426">
        <v>0.15516188149053145</v>
      </c>
      <c r="E350" s="427">
        <v>0.14334705075445817</v>
      </c>
      <c r="F350" s="427">
        <v>0.14144271570014144</v>
      </c>
      <c r="G350" s="427">
        <v>0.13636363636363635</v>
      </c>
      <c r="H350" s="427">
        <v>0.17243589743589743</v>
      </c>
      <c r="I350" s="427">
        <v>0.1611617312072893</v>
      </c>
      <c r="J350" s="427">
        <v>0.13324952859836581</v>
      </c>
      <c r="K350" s="427">
        <v>0.18895966029723993</v>
      </c>
      <c r="L350" s="427">
        <v>0.18937805730258561</v>
      </c>
      <c r="M350" s="427">
        <v>0.153475935828877</v>
      </c>
      <c r="N350" s="427">
        <v>0.17280099812850905</v>
      </c>
      <c r="O350" s="427">
        <v>0.1664050235478807</v>
      </c>
      <c r="P350" s="427">
        <v>0.15995773903856314</v>
      </c>
      <c r="Q350" s="428">
        <v>0.15995773903856314</v>
      </c>
      <c r="S350" s="426">
        <v>0.19508771929824562</v>
      </c>
      <c r="T350" s="427">
        <v>0.22976338729763388</v>
      </c>
      <c r="U350" s="427">
        <v>0.24276032039433149</v>
      </c>
      <c r="V350" s="427">
        <v>0.24945295404814005</v>
      </c>
      <c r="W350" s="427">
        <v>0.21997300944669365</v>
      </c>
      <c r="X350" s="427">
        <v>0.20969945355191258</v>
      </c>
      <c r="Y350" s="427">
        <v>0.22149600580973131</v>
      </c>
      <c r="Z350" s="427">
        <v>0.25412014885699097</v>
      </c>
      <c r="AA350" s="427">
        <v>0.16934046345811052</v>
      </c>
      <c r="AB350" s="427">
        <v>0.20842956120092379</v>
      </c>
      <c r="AC350" s="427">
        <v>0.21341463414634146</v>
      </c>
      <c r="AD350" s="427">
        <v>0.21024734982332155</v>
      </c>
      <c r="AE350" s="427">
        <v>0.22068808124607747</v>
      </c>
      <c r="AF350" s="428">
        <f>AE350</f>
        <v>0.22068808124607747</v>
      </c>
      <c r="AH350" s="426">
        <v>0.33087818696883853</v>
      </c>
      <c r="AI350" s="427">
        <v>0.33558052434456931</v>
      </c>
      <c r="AJ350" s="427">
        <v>0.39015817223198596</v>
      </c>
      <c r="AK350" s="427">
        <v>0.39215686274509803</v>
      </c>
      <c r="AL350" s="427">
        <v>0.36457765667574932</v>
      </c>
      <c r="AM350" s="427">
        <v>0.34165067178502878</v>
      </c>
      <c r="AN350" s="1052">
        <v>0.33683158420789605</v>
      </c>
      <c r="AO350" s="1052">
        <v>0.30740740740740735</v>
      </c>
      <c r="AP350" s="1117">
        <v>0.28837209302325578</v>
      </c>
      <c r="AQ350" s="1117">
        <v>0.32231404958677684</v>
      </c>
      <c r="AR350" s="1430">
        <v>0.34221311475409838</v>
      </c>
      <c r="AS350" s="1430">
        <v>0.35462555066079293</v>
      </c>
      <c r="AT350" s="427">
        <v>0.36093857832988269</v>
      </c>
      <c r="AU350" s="428">
        <v>0.36093857832988269</v>
      </c>
      <c r="AW350" s="2049">
        <v>0.32096635030198445</v>
      </c>
      <c r="AX350" s="427">
        <v>0.39217512808570099</v>
      </c>
      <c r="AY350" s="427">
        <v>0.32809553739786296</v>
      </c>
      <c r="AZ350" s="427">
        <v>0.21771327014218009</v>
      </c>
      <c r="BA350" s="427">
        <v>0.33755452370901928</v>
      </c>
      <c r="BB350" s="427">
        <v>0.32896600566572232</v>
      </c>
      <c r="BC350" s="1052">
        <v>0.34352117160140083</v>
      </c>
      <c r="BD350" s="1052">
        <v>0.30757220921155348</v>
      </c>
      <c r="BE350" s="1117">
        <v>0.28450578806767585</v>
      </c>
      <c r="BF350" s="2402">
        <v>0.23367003367003367</v>
      </c>
      <c r="BG350" s="1052">
        <v>0.2648221343873518</v>
      </c>
      <c r="BH350" s="1430">
        <v>0.27613941018766758</v>
      </c>
      <c r="BI350" s="427">
        <f t="shared" si="309"/>
        <v>0.27613941018766758</v>
      </c>
      <c r="BJ350" s="427">
        <f t="shared" si="312"/>
        <v>0.29923955185948636</v>
      </c>
      <c r="BL350" s="317">
        <f>ROW()</f>
        <v>350</v>
      </c>
      <c r="BM350" s="1432">
        <f t="shared" si="310"/>
        <v>-7.8486140473125354E-2</v>
      </c>
      <c r="BN350" s="317">
        <f t="shared" si="313"/>
        <v>-6.1699026470396323E-2</v>
      </c>
      <c r="BO350" s="783">
        <f t="shared" si="308"/>
        <v>-6.6091079344957171E-2</v>
      </c>
      <c r="BP350" s="594">
        <f t="shared" si="311"/>
        <v>1.1317275800315774E-2</v>
      </c>
    </row>
    <row r="351" spans="1:68" ht="17.399999999999999" customHeight="1" x14ac:dyDescent="0.55000000000000004">
      <c r="A351" s="7222"/>
      <c r="B351" s="259"/>
      <c r="C351" s="260" t="s">
        <v>20</v>
      </c>
      <c r="D351" s="426">
        <v>0.12992842411743297</v>
      </c>
      <c r="E351" s="427">
        <v>0.16806970905331561</v>
      </c>
      <c r="F351" s="427">
        <v>0.16</v>
      </c>
      <c r="G351" s="427">
        <v>0.21915340738516961</v>
      </c>
      <c r="H351" s="427">
        <v>0.25379775970538593</v>
      </c>
      <c r="I351" s="427">
        <v>0.25905432595573441</v>
      </c>
      <c r="J351" s="427">
        <v>0.1860850358917725</v>
      </c>
      <c r="K351" s="427">
        <v>0.24095458044649731</v>
      </c>
      <c r="L351" s="427">
        <v>0.21705756929637526</v>
      </c>
      <c r="M351" s="427">
        <v>0.17762117071767583</v>
      </c>
      <c r="N351" s="427">
        <v>0.19983569521462313</v>
      </c>
      <c r="O351" s="427">
        <v>0.19433465085638998</v>
      </c>
      <c r="P351" s="427">
        <v>0.19739606368863336</v>
      </c>
      <c r="Q351" s="428">
        <v>0.19739606368863336</v>
      </c>
      <c r="S351" s="426">
        <v>0.21754385964912282</v>
      </c>
      <c r="T351" s="427">
        <v>0.26470588235294118</v>
      </c>
      <c r="U351" s="427">
        <v>0.23608299595141699</v>
      </c>
      <c r="V351" s="427">
        <v>0.18266129032258063</v>
      </c>
      <c r="W351" s="427">
        <v>0.16632764825535909</v>
      </c>
      <c r="X351" s="427">
        <v>0.1484549219496655</v>
      </c>
      <c r="Y351" s="427">
        <v>0.11016542795492687</v>
      </c>
      <c r="Z351" s="427">
        <v>0.15697125118099609</v>
      </c>
      <c r="AA351" s="427">
        <v>0.12247029638333987</v>
      </c>
      <c r="AB351" s="427">
        <v>0.1315597667638484</v>
      </c>
      <c r="AC351" s="427">
        <v>0.14031791907514451</v>
      </c>
      <c r="AD351" s="427">
        <v>0.13718662952646241</v>
      </c>
      <c r="AE351" s="427">
        <v>0.15790250513236814</v>
      </c>
      <c r="AF351" s="428">
        <f>AE351</f>
        <v>0.15790250513236814</v>
      </c>
      <c r="AH351" s="426">
        <v>0.17743796884016158</v>
      </c>
      <c r="AI351" s="427">
        <v>0.17438777101856184</v>
      </c>
      <c r="AJ351" s="427">
        <v>0.19080524608658864</v>
      </c>
      <c r="AK351" s="427">
        <v>0.1624657176439859</v>
      </c>
      <c r="AL351" s="427">
        <v>0.1665064616041867</v>
      </c>
      <c r="AM351" s="427">
        <v>0.16827160493827162</v>
      </c>
      <c r="AN351" s="1052">
        <v>0.18776671408250356</v>
      </c>
      <c r="AO351" s="1052">
        <v>0.23943232107431711</v>
      </c>
      <c r="AP351" s="1117">
        <v>0.21902587519025876</v>
      </c>
      <c r="AQ351" s="1117">
        <v>0.23454185893210283</v>
      </c>
      <c r="AR351" s="1430">
        <v>0.21169704861111108</v>
      </c>
      <c r="AS351" s="1430">
        <v>0.25615966964900205</v>
      </c>
      <c r="AT351" s="427">
        <v>0.1726961408438337</v>
      </c>
      <c r="AU351" s="428">
        <v>0.1726961408438337</v>
      </c>
      <c r="AW351" s="2049">
        <v>0.24966322406825325</v>
      </c>
      <c r="AX351" s="427">
        <v>0.26913059655215182</v>
      </c>
      <c r="AY351" s="427">
        <v>0.28902986229305272</v>
      </c>
      <c r="AZ351" s="427">
        <v>0.20026661197703036</v>
      </c>
      <c r="BA351" s="427">
        <v>0.22780604298619042</v>
      </c>
      <c r="BB351" s="427">
        <v>0.25247701190391331</v>
      </c>
      <c r="BC351" s="1052">
        <v>0.23152234973116123</v>
      </c>
      <c r="BD351" s="1052">
        <v>0.282740188493459</v>
      </c>
      <c r="BE351" s="1117">
        <v>0.20909090909090908</v>
      </c>
      <c r="BF351" s="2402">
        <v>0.22070116861435723</v>
      </c>
      <c r="BG351" s="1052">
        <v>0.22452098272011287</v>
      </c>
      <c r="BH351" s="1430">
        <v>0.2113839798026165</v>
      </c>
      <c r="BI351" s="427">
        <f t="shared" si="309"/>
        <v>0.2113839798026165</v>
      </c>
      <c r="BJ351" s="427">
        <f t="shared" si="312"/>
        <v>0.23583780699729759</v>
      </c>
      <c r="BL351" s="317">
        <f>ROW()</f>
        <v>351</v>
      </c>
      <c r="BM351" s="1432">
        <f t="shared" si="310"/>
        <v>-4.4775689846385552E-2</v>
      </c>
      <c r="BN351" s="317">
        <f t="shared" si="313"/>
        <v>6.3141666153463893E-2</v>
      </c>
      <c r="BO351" s="783">
        <f t="shared" si="308"/>
        <v>1.2342458330028838E-2</v>
      </c>
      <c r="BP351" s="594">
        <f t="shared" si="311"/>
        <v>-1.3137002917496365E-2</v>
      </c>
    </row>
    <row r="352" spans="1:68" ht="17.399999999999999" customHeight="1" x14ac:dyDescent="0.55000000000000004">
      <c r="A352" s="7222"/>
      <c r="B352" s="243" t="s">
        <v>458</v>
      </c>
      <c r="C352" s="209"/>
      <c r="D352" s="276">
        <f>D353+D354</f>
        <v>1325</v>
      </c>
      <c r="E352" s="277">
        <f t="shared" ref="E352:O352" si="314">E353+E354</f>
        <v>1347</v>
      </c>
      <c r="F352" s="277">
        <f t="shared" si="314"/>
        <v>1240</v>
      </c>
      <c r="G352" s="277">
        <f t="shared" si="314"/>
        <v>1658</v>
      </c>
      <c r="H352" s="277">
        <f t="shared" si="314"/>
        <v>1923</v>
      </c>
      <c r="I352" s="277">
        <f t="shared" si="314"/>
        <v>1828</v>
      </c>
      <c r="J352" s="277">
        <f t="shared" si="314"/>
        <v>1223</v>
      </c>
      <c r="K352" s="277">
        <f t="shared" si="314"/>
        <v>1608</v>
      </c>
      <c r="L352" s="277">
        <f t="shared" si="314"/>
        <v>1289</v>
      </c>
      <c r="M352" s="277">
        <f t="shared" si="314"/>
        <v>1522</v>
      </c>
      <c r="N352" s="277">
        <f t="shared" si="314"/>
        <v>1250</v>
      </c>
      <c r="O352" s="277">
        <f t="shared" si="314"/>
        <v>1097</v>
      </c>
      <c r="P352" s="277">
        <f>SUM(D352:O352)</f>
        <v>17310</v>
      </c>
      <c r="Q352" s="278">
        <f>P352/12</f>
        <v>1442.5</v>
      </c>
      <c r="R352" s="374"/>
      <c r="S352" s="276">
        <f t="shared" ref="S352:AD352" si="315">S353+S354</f>
        <v>1270</v>
      </c>
      <c r="T352" s="277">
        <f t="shared" si="315"/>
        <v>1449</v>
      </c>
      <c r="U352" s="277">
        <f t="shared" si="315"/>
        <v>1327</v>
      </c>
      <c r="V352" s="277">
        <f t="shared" si="315"/>
        <v>1248</v>
      </c>
      <c r="W352" s="277">
        <f t="shared" si="315"/>
        <v>1389</v>
      </c>
      <c r="X352" s="277">
        <f t="shared" si="315"/>
        <v>1239</v>
      </c>
      <c r="Y352" s="277">
        <f t="shared" si="315"/>
        <v>1224</v>
      </c>
      <c r="Z352" s="277">
        <f t="shared" si="315"/>
        <v>1641</v>
      </c>
      <c r="AA352" s="277">
        <f t="shared" si="315"/>
        <v>1128</v>
      </c>
      <c r="AB352" s="277">
        <f t="shared" si="315"/>
        <v>1444</v>
      </c>
      <c r="AC352" s="277">
        <f t="shared" si="315"/>
        <v>1251</v>
      </c>
      <c r="AD352" s="277">
        <f t="shared" si="315"/>
        <v>1026</v>
      </c>
      <c r="AE352" s="277">
        <f>SUM(S352:AD352)</f>
        <v>15636</v>
      </c>
      <c r="AF352" s="278">
        <f>AE352/12</f>
        <v>1303</v>
      </c>
      <c r="AG352" s="374"/>
      <c r="AH352" s="276">
        <v>1814</v>
      </c>
      <c r="AI352" s="277">
        <v>1566</v>
      </c>
      <c r="AJ352" s="277">
        <v>2019</v>
      </c>
      <c r="AK352" s="277">
        <v>2004</v>
      </c>
      <c r="AL352" s="277">
        <v>2228</v>
      </c>
      <c r="AM352" s="277">
        <v>1897</v>
      </c>
      <c r="AN352" s="277">
        <v>2126</v>
      </c>
      <c r="AO352" s="277">
        <v>2067</v>
      </c>
      <c r="AP352" s="277">
        <v>1997</v>
      </c>
      <c r="AQ352" s="277">
        <v>2286</v>
      </c>
      <c r="AR352" s="277">
        <v>2452</v>
      </c>
      <c r="AS352" s="277">
        <v>2344</v>
      </c>
      <c r="AT352" s="277">
        <f>SUM(AH352:AS352)</f>
        <v>24800</v>
      </c>
      <c r="AU352" s="278">
        <f>AT352/12</f>
        <v>2066.6666666666665</v>
      </c>
      <c r="AV352" s="374"/>
      <c r="AW352" s="2012">
        <v>2040</v>
      </c>
      <c r="AX352" s="277">
        <v>3012</v>
      </c>
      <c r="AY352" s="277">
        <v>2390</v>
      </c>
      <c r="AZ352" s="277">
        <v>2688</v>
      </c>
      <c r="BA352" s="277">
        <v>6787</v>
      </c>
      <c r="BB352" s="277">
        <v>4471</v>
      </c>
      <c r="BC352" s="277">
        <v>3964</v>
      </c>
      <c r="BD352" s="277">
        <v>2798</v>
      </c>
      <c r="BE352" s="277">
        <v>2617</v>
      </c>
      <c r="BF352" s="277">
        <v>2330</v>
      </c>
      <c r="BG352" s="277">
        <v>2245</v>
      </c>
      <c r="BH352" s="277">
        <v>2151</v>
      </c>
      <c r="BI352" s="277">
        <f t="shared" ref="BI352:BI354" si="316">SUM(AW352:BH352)</f>
        <v>37493</v>
      </c>
      <c r="BJ352" s="277">
        <f t="shared" si="312"/>
        <v>6078.833333333333</v>
      </c>
      <c r="BL352" s="317">
        <f>ROW()</f>
        <v>352</v>
      </c>
      <c r="BM352" s="1432">
        <f t="shared" si="310"/>
        <v>-193</v>
      </c>
      <c r="BN352" s="317">
        <f t="shared" si="313"/>
        <v>4012.1666666666665</v>
      </c>
      <c r="BO352" s="322">
        <f>BI352-SUM(AH352:AS352)</f>
        <v>12693</v>
      </c>
      <c r="BP352" s="594">
        <f t="shared" si="311"/>
        <v>-94</v>
      </c>
    </row>
    <row r="353" spans="1:70" ht="17.399999999999999" customHeight="1" x14ac:dyDescent="0.55000000000000004">
      <c r="A353" s="7222"/>
      <c r="B353" s="235"/>
      <c r="C353" s="210" t="s">
        <v>424</v>
      </c>
      <c r="D353" s="279">
        <v>254</v>
      </c>
      <c r="E353" s="280">
        <v>209</v>
      </c>
      <c r="F353" s="280">
        <v>200</v>
      </c>
      <c r="G353" s="280">
        <v>198</v>
      </c>
      <c r="H353" s="280">
        <v>269</v>
      </c>
      <c r="I353" s="280">
        <v>283</v>
      </c>
      <c r="J353" s="280">
        <v>212</v>
      </c>
      <c r="K353" s="280">
        <v>356</v>
      </c>
      <c r="L353" s="280">
        <v>271</v>
      </c>
      <c r="M353" s="280">
        <v>287</v>
      </c>
      <c r="N353" s="280">
        <v>277</v>
      </c>
      <c r="O353" s="280">
        <v>212</v>
      </c>
      <c r="P353" s="280">
        <f>SUM(D353:O353)</f>
        <v>3028</v>
      </c>
      <c r="Q353" s="281">
        <f>P353/12</f>
        <v>252.33333333333334</v>
      </c>
      <c r="R353" s="374"/>
      <c r="S353" s="279">
        <v>278</v>
      </c>
      <c r="T353" s="280">
        <v>369</v>
      </c>
      <c r="U353" s="280">
        <v>394</v>
      </c>
      <c r="V353" s="280">
        <v>342</v>
      </c>
      <c r="W353" s="280">
        <v>326</v>
      </c>
      <c r="X353" s="280">
        <v>307</v>
      </c>
      <c r="Y353" s="280">
        <v>305</v>
      </c>
      <c r="Z353" s="280">
        <v>478</v>
      </c>
      <c r="AA353" s="280">
        <v>190</v>
      </c>
      <c r="AB353" s="280">
        <v>361</v>
      </c>
      <c r="AC353" s="280">
        <v>280</v>
      </c>
      <c r="AD353" s="280">
        <v>238</v>
      </c>
      <c r="AE353" s="280">
        <f>SUM(S353:AD353)</f>
        <v>3868</v>
      </c>
      <c r="AF353" s="281">
        <f>AE353/12</f>
        <v>322.33333333333331</v>
      </c>
      <c r="AG353" s="374"/>
      <c r="AH353" s="279">
        <v>584</v>
      </c>
      <c r="AI353" s="280">
        <v>448</v>
      </c>
      <c r="AJ353" s="280">
        <v>666</v>
      </c>
      <c r="AK353" s="280">
        <v>760</v>
      </c>
      <c r="AL353" s="280">
        <v>669</v>
      </c>
      <c r="AM353" s="280">
        <v>534</v>
      </c>
      <c r="AN353" s="280">
        <v>674</v>
      </c>
      <c r="AO353" s="280">
        <v>497.99999999999994</v>
      </c>
      <c r="AP353" s="280">
        <v>558</v>
      </c>
      <c r="AQ353" s="280">
        <v>507</v>
      </c>
      <c r="AR353" s="280">
        <v>501</v>
      </c>
      <c r="AS353" s="280">
        <v>483</v>
      </c>
      <c r="AT353" s="280">
        <f>SUM(AH353:AS353)</f>
        <v>6882</v>
      </c>
      <c r="AU353" s="281">
        <f>AT353/12</f>
        <v>573.5</v>
      </c>
      <c r="AV353" s="374"/>
      <c r="AW353" s="2013">
        <v>372</v>
      </c>
      <c r="AX353" s="280">
        <v>842</v>
      </c>
      <c r="AY353" s="280">
        <v>522</v>
      </c>
      <c r="AZ353" s="280">
        <v>735</v>
      </c>
      <c r="BA353" s="280">
        <v>2399</v>
      </c>
      <c r="BB353" s="280">
        <v>928.99999999999989</v>
      </c>
      <c r="BC353" s="280">
        <v>1079</v>
      </c>
      <c r="BD353" s="280">
        <v>788</v>
      </c>
      <c r="BE353" s="280">
        <v>639</v>
      </c>
      <c r="BF353" s="280">
        <v>347</v>
      </c>
      <c r="BG353" s="280">
        <v>335</v>
      </c>
      <c r="BH353" s="280">
        <v>309</v>
      </c>
      <c r="BI353" s="280">
        <f t="shared" si="316"/>
        <v>9296</v>
      </c>
      <c r="BJ353" s="280">
        <f t="shared" si="312"/>
        <v>1518.3333333333333</v>
      </c>
      <c r="BL353" s="317">
        <f>ROW()</f>
        <v>353</v>
      </c>
      <c r="BM353" s="1432">
        <f t="shared" si="310"/>
        <v>-174</v>
      </c>
      <c r="BN353" s="317">
        <f t="shared" si="313"/>
        <v>944.83333333333326</v>
      </c>
      <c r="BO353" s="322">
        <f>BI353-SUM(AH353:AS353)</f>
        <v>2414</v>
      </c>
      <c r="BP353" s="594">
        <f t="shared" si="311"/>
        <v>-26</v>
      </c>
    </row>
    <row r="354" spans="1:70" ht="17.399999999999999" customHeight="1" thickBot="1" x14ac:dyDescent="0.6">
      <c r="A354" s="7223"/>
      <c r="B354" s="268"/>
      <c r="C354" s="269" t="s">
        <v>426</v>
      </c>
      <c r="D354" s="401">
        <v>1071</v>
      </c>
      <c r="E354" s="402">
        <v>1138</v>
      </c>
      <c r="F354" s="402">
        <v>1040</v>
      </c>
      <c r="G354" s="402">
        <v>1460</v>
      </c>
      <c r="H354" s="402">
        <v>1654</v>
      </c>
      <c r="I354" s="402">
        <v>1545</v>
      </c>
      <c r="J354" s="402">
        <v>1011</v>
      </c>
      <c r="K354" s="402">
        <v>1252</v>
      </c>
      <c r="L354" s="402">
        <v>1018</v>
      </c>
      <c r="M354" s="402">
        <v>1235</v>
      </c>
      <c r="N354" s="402">
        <v>973</v>
      </c>
      <c r="O354" s="402">
        <v>885</v>
      </c>
      <c r="P354" s="402">
        <f>SUM(D354:O354)</f>
        <v>14282</v>
      </c>
      <c r="Q354" s="403">
        <f>P354/12</f>
        <v>1190.1666666666667</v>
      </c>
      <c r="R354" s="374"/>
      <c r="S354" s="401">
        <v>992</v>
      </c>
      <c r="T354" s="402">
        <v>1080</v>
      </c>
      <c r="U354" s="402">
        <v>933</v>
      </c>
      <c r="V354" s="402">
        <v>906</v>
      </c>
      <c r="W354" s="402">
        <v>1063</v>
      </c>
      <c r="X354" s="402">
        <v>932</v>
      </c>
      <c r="Y354" s="402">
        <v>919</v>
      </c>
      <c r="Z354" s="402">
        <v>1163</v>
      </c>
      <c r="AA354" s="402">
        <v>938</v>
      </c>
      <c r="AB354" s="402">
        <v>1083</v>
      </c>
      <c r="AC354" s="402">
        <v>971</v>
      </c>
      <c r="AD354" s="402">
        <v>788</v>
      </c>
      <c r="AE354" s="402">
        <f>SUM(S354:AD354)</f>
        <v>11768</v>
      </c>
      <c r="AF354" s="403">
        <f>AE354/12</f>
        <v>980.66666666666663</v>
      </c>
      <c r="AG354" s="374"/>
      <c r="AH354" s="401">
        <v>1230</v>
      </c>
      <c r="AI354" s="402">
        <v>1118</v>
      </c>
      <c r="AJ354" s="402">
        <v>1353</v>
      </c>
      <c r="AK354" s="402">
        <v>1244</v>
      </c>
      <c r="AL354" s="402">
        <v>1559</v>
      </c>
      <c r="AM354" s="402">
        <v>1363</v>
      </c>
      <c r="AN354" s="402">
        <v>1452</v>
      </c>
      <c r="AO354" s="402">
        <v>1569</v>
      </c>
      <c r="AP354" s="402">
        <v>1439</v>
      </c>
      <c r="AQ354" s="402">
        <v>1779</v>
      </c>
      <c r="AR354" s="402">
        <v>1950.9999999999998</v>
      </c>
      <c r="AS354" s="402">
        <v>1861</v>
      </c>
      <c r="AT354" s="402">
        <f>SUM(AH354:AS354)</f>
        <v>17918</v>
      </c>
      <c r="AU354" s="403">
        <f>AT354/12</f>
        <v>1493.1666666666667</v>
      </c>
      <c r="AV354" s="374"/>
      <c r="AW354" s="2050">
        <v>1668</v>
      </c>
      <c r="AX354" s="402">
        <v>2170</v>
      </c>
      <c r="AY354" s="402">
        <v>1867.9999999999998</v>
      </c>
      <c r="AZ354" s="402">
        <v>1953</v>
      </c>
      <c r="BA354" s="402">
        <v>4388</v>
      </c>
      <c r="BB354" s="402">
        <v>3542</v>
      </c>
      <c r="BC354" s="402">
        <v>2885</v>
      </c>
      <c r="BD354" s="402">
        <v>2010</v>
      </c>
      <c r="BE354" s="402">
        <v>1978</v>
      </c>
      <c r="BF354" s="402">
        <v>1982.9999999999998</v>
      </c>
      <c r="BG354" s="402">
        <v>1910.0000000000002</v>
      </c>
      <c r="BH354" s="402">
        <v>1842.0000000000002</v>
      </c>
      <c r="BI354" s="402">
        <f t="shared" si="316"/>
        <v>28197</v>
      </c>
      <c r="BJ354" s="402">
        <f t="shared" si="312"/>
        <v>4560.5</v>
      </c>
      <c r="BL354" s="317">
        <f>ROW()</f>
        <v>354</v>
      </c>
      <c r="BM354" s="1432">
        <f t="shared" si="310"/>
        <v>-18.999999999999773</v>
      </c>
      <c r="BN354" s="317">
        <f t="shared" si="313"/>
        <v>3067.333333333333</v>
      </c>
      <c r="BO354" s="322">
        <f>BI354-SUM(AH354:AS354)</f>
        <v>10279</v>
      </c>
      <c r="BP354" s="594">
        <f t="shared" si="311"/>
        <v>-68</v>
      </c>
    </row>
    <row r="355" spans="1:70" s="8" customFormat="1" ht="7.3" customHeight="1" x14ac:dyDescent="0.55000000000000004">
      <c r="A355" s="186"/>
      <c r="B355" s="240"/>
      <c r="C355" s="222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184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184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1029"/>
      <c r="AR355" s="215"/>
      <c r="AS355" s="215"/>
      <c r="AT355" s="215"/>
      <c r="AU355" s="215"/>
      <c r="AV355" s="1584"/>
      <c r="AW355" s="2007"/>
      <c r="AX355" s="215"/>
      <c r="AY355" s="1029"/>
      <c r="AZ355" s="215"/>
      <c r="BA355" s="1029"/>
      <c r="BB355" s="1029"/>
      <c r="BC355" s="215"/>
      <c r="BD355" s="215"/>
      <c r="BE355" s="215"/>
      <c r="BF355" s="1029"/>
      <c r="BG355" s="215"/>
      <c r="BH355" s="215"/>
      <c r="BI355" s="215"/>
      <c r="BJ355" s="215"/>
      <c r="BM355" s="908"/>
      <c r="BO355"/>
    </row>
    <row r="356" spans="1:70" s="225" customFormat="1" ht="10.3" customHeight="1" x14ac:dyDescent="0.55000000000000004">
      <c r="A356" s="187"/>
      <c r="B356" s="241"/>
      <c r="C356" s="223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18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184"/>
      <c r="AH356" s="224"/>
      <c r="AI356" s="224"/>
      <c r="AJ356" s="224"/>
      <c r="AK356" s="224"/>
      <c r="AL356" s="224"/>
      <c r="AM356" s="224"/>
      <c r="AN356" s="224"/>
      <c r="AO356" s="224"/>
      <c r="AP356" s="224"/>
      <c r="AQ356" s="1303"/>
      <c r="AR356" s="224"/>
      <c r="AS356" s="224"/>
      <c r="AT356" s="224"/>
      <c r="AU356" s="224"/>
      <c r="AV356" s="1584"/>
      <c r="AW356" s="2037"/>
      <c r="AX356" s="224"/>
      <c r="AY356" s="1303"/>
      <c r="AZ356" s="224"/>
      <c r="BA356" s="1303"/>
      <c r="BB356" s="1303"/>
      <c r="BC356" s="224"/>
      <c r="BD356" s="224"/>
      <c r="BE356" s="224"/>
      <c r="BF356" s="1303"/>
      <c r="BG356" s="224"/>
      <c r="BH356" s="224"/>
      <c r="BI356" s="224"/>
      <c r="BJ356" s="224"/>
      <c r="BM356" s="1433"/>
      <c r="BO356" s="189"/>
    </row>
    <row r="357" spans="1:70" s="229" customFormat="1" ht="7.75" customHeight="1" thickBot="1" x14ac:dyDescent="0.6">
      <c r="A357" s="227"/>
      <c r="B357" s="242"/>
      <c r="C357" s="228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184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184"/>
      <c r="AH357" s="217"/>
      <c r="AI357" s="217"/>
      <c r="AJ357" s="217"/>
      <c r="AK357" s="217"/>
      <c r="AL357" s="217"/>
      <c r="AM357" s="217"/>
      <c r="AN357" s="217"/>
      <c r="AO357" s="217"/>
      <c r="AP357" s="217"/>
      <c r="AQ357" s="1304"/>
      <c r="AR357" s="217"/>
      <c r="AS357" s="217"/>
      <c r="AT357" s="217"/>
      <c r="AU357" s="217"/>
      <c r="AV357" s="1584"/>
      <c r="AW357" s="2038"/>
      <c r="AX357" s="217"/>
      <c r="AY357" s="1304"/>
      <c r="AZ357" s="217"/>
      <c r="BA357" s="1304"/>
      <c r="BB357" s="1304"/>
      <c r="BC357" s="217"/>
      <c r="BD357" s="217"/>
      <c r="BE357" s="217"/>
      <c r="BF357" s="1304"/>
      <c r="BG357" s="217"/>
      <c r="BH357" s="217"/>
      <c r="BI357" s="217"/>
      <c r="BJ357" s="217"/>
      <c r="BM357" s="1434"/>
      <c r="BO357" s="710"/>
    </row>
    <row r="358" spans="1:70" s="8" customFormat="1" ht="20.05" customHeight="1" thickBot="1" x14ac:dyDescent="0.6">
      <c r="A358" s="320"/>
      <c r="B358" s="240"/>
      <c r="C358" s="222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184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184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1029"/>
      <c r="AR358" s="215"/>
      <c r="AS358" s="215"/>
      <c r="AT358" s="215"/>
      <c r="AU358" s="215"/>
      <c r="AV358" s="1584"/>
      <c r="AW358" s="2007"/>
      <c r="AX358" s="215"/>
      <c r="AY358" s="1029"/>
      <c r="AZ358" s="215"/>
      <c r="BA358" s="1029"/>
      <c r="BB358" s="1029"/>
      <c r="BC358" s="215"/>
      <c r="BD358" s="215"/>
      <c r="BE358" s="215"/>
      <c r="BF358" s="1029"/>
      <c r="BG358" s="215"/>
      <c r="BH358" s="215"/>
      <c r="BI358" s="215"/>
      <c r="BJ358" s="215"/>
      <c r="BM358" s="1431" t="s">
        <v>476</v>
      </c>
      <c r="BN358" s="316" t="s">
        <v>9</v>
      </c>
      <c r="BO358" s="1132" t="s">
        <v>477</v>
      </c>
      <c r="BP358" s="316" t="s">
        <v>9</v>
      </c>
    </row>
    <row r="359" spans="1:70" ht="17.399999999999999" customHeight="1" x14ac:dyDescent="0.55000000000000004">
      <c r="A359" s="7216" t="s">
        <v>1037</v>
      </c>
      <c r="B359" s="41" t="s">
        <v>417</v>
      </c>
      <c r="C359" s="206"/>
      <c r="D359" s="270">
        <f t="shared" ref="D359:O359" si="317">SUM(D360:D361)</f>
        <v>0</v>
      </c>
      <c r="E359" s="271">
        <f t="shared" si="317"/>
        <v>0</v>
      </c>
      <c r="F359" s="271">
        <f t="shared" si="317"/>
        <v>0</v>
      </c>
      <c r="G359" s="271">
        <f t="shared" si="317"/>
        <v>0</v>
      </c>
      <c r="H359" s="271">
        <f t="shared" si="317"/>
        <v>0</v>
      </c>
      <c r="I359" s="271">
        <f t="shared" si="317"/>
        <v>0</v>
      </c>
      <c r="J359" s="271">
        <f t="shared" si="317"/>
        <v>0</v>
      </c>
      <c r="K359" s="271">
        <f t="shared" si="317"/>
        <v>0</v>
      </c>
      <c r="L359" s="271">
        <f t="shared" si="317"/>
        <v>0</v>
      </c>
      <c r="M359" s="271">
        <f t="shared" si="317"/>
        <v>0</v>
      </c>
      <c r="N359" s="271">
        <f t="shared" si="317"/>
        <v>0</v>
      </c>
      <c r="O359" s="271">
        <f t="shared" si="317"/>
        <v>0</v>
      </c>
      <c r="P359" s="271">
        <f>SUM(D359:O359)</f>
        <v>0</v>
      </c>
      <c r="Q359" s="272">
        <f>P359/12</f>
        <v>0</v>
      </c>
      <c r="R359" s="1584"/>
      <c r="S359" s="270">
        <f t="shared" ref="S359:AD359" si="318">SUM(S360:S361)</f>
        <v>0</v>
      </c>
      <c r="T359" s="271">
        <f t="shared" si="318"/>
        <v>0</v>
      </c>
      <c r="U359" s="271">
        <f t="shared" si="318"/>
        <v>0</v>
      </c>
      <c r="V359" s="271">
        <f t="shared" si="318"/>
        <v>0</v>
      </c>
      <c r="W359" s="271">
        <f t="shared" si="318"/>
        <v>0</v>
      </c>
      <c r="X359" s="271">
        <f t="shared" si="318"/>
        <v>0</v>
      </c>
      <c r="Y359" s="271">
        <f t="shared" si="318"/>
        <v>0</v>
      </c>
      <c r="Z359" s="271">
        <f t="shared" si="318"/>
        <v>0</v>
      </c>
      <c r="AA359" s="271">
        <f t="shared" si="318"/>
        <v>0</v>
      </c>
      <c r="AB359" s="271">
        <f t="shared" si="318"/>
        <v>0</v>
      </c>
      <c r="AC359" s="271">
        <f t="shared" si="318"/>
        <v>0</v>
      </c>
      <c r="AD359" s="271">
        <f t="shared" si="318"/>
        <v>0</v>
      </c>
      <c r="AE359" s="271">
        <f>SUM(S359:AD359)</f>
        <v>0</v>
      </c>
      <c r="AF359" s="272">
        <f>AE359/12</f>
        <v>0</v>
      </c>
      <c r="AG359" s="374"/>
      <c r="AH359" s="270"/>
      <c r="AI359" s="271"/>
      <c r="AJ359" s="271"/>
      <c r="AK359" s="271"/>
      <c r="AL359" s="271"/>
      <c r="AM359" s="271"/>
      <c r="AN359" s="271"/>
      <c r="AO359" s="271"/>
      <c r="AP359" s="271"/>
      <c r="AQ359" s="271"/>
      <c r="AR359" s="271"/>
      <c r="AS359" s="271"/>
      <c r="AT359" s="271">
        <f>SUM(AH359:AS359)</f>
        <v>0</v>
      </c>
      <c r="AU359" s="272">
        <f>AT359/12</f>
        <v>0</v>
      </c>
      <c r="AV359" s="374"/>
      <c r="AW359" s="2010">
        <v>75250</v>
      </c>
      <c r="AX359" s="271">
        <v>85000</v>
      </c>
      <c r="AY359" s="271">
        <v>60800</v>
      </c>
      <c r="AZ359" s="271">
        <v>62300</v>
      </c>
      <c r="BA359" s="271">
        <v>70500</v>
      </c>
      <c r="BB359" s="271">
        <v>90000</v>
      </c>
      <c r="BC359" s="271">
        <v>86800</v>
      </c>
      <c r="BD359" s="271">
        <v>70500</v>
      </c>
      <c r="BE359" s="271">
        <v>91000</v>
      </c>
      <c r="BF359" s="271">
        <v>68500</v>
      </c>
      <c r="BG359" s="271">
        <v>65000</v>
      </c>
      <c r="BH359" s="271">
        <v>61300</v>
      </c>
      <c r="BI359" s="271">
        <f>SUM(AW359:BH359)</f>
        <v>886950</v>
      </c>
      <c r="BJ359" s="272">
        <f t="shared" ref="BJ359:BJ410" si="319">BI359/$A$2</f>
        <v>73906.34113823848</v>
      </c>
      <c r="BK359" s="317">
        <f>BD359-BD4</f>
        <v>13143</v>
      </c>
      <c r="BL359" s="317">
        <f>ROW()</f>
        <v>359</v>
      </c>
      <c r="BM359" s="1432">
        <f>HLOOKUP($A$2,$AW$2:$BH$511,BL4-1,0)-HLOOKUP($A$2,$AW$2:$BH$511,BL359-1,0)</f>
        <v>-8565</v>
      </c>
      <c r="BN359" s="321">
        <f>BA4/BA359</f>
        <v>1.4029503546099291</v>
      </c>
      <c r="BO359" s="317">
        <f t="shared" ref="BO359:BO410" si="320">BI4-BI359</f>
        <v>-98659</v>
      </c>
      <c r="BP359" s="321">
        <f>BI4/BI359</f>
        <v>0.88876599582840066</v>
      </c>
      <c r="BR359" s="8"/>
    </row>
    <row r="360" spans="1:70" ht="17.399999999999999" customHeight="1" x14ac:dyDescent="0.55000000000000004">
      <c r="A360" s="7217"/>
      <c r="B360" s="42"/>
      <c r="C360" s="213" t="s">
        <v>47</v>
      </c>
      <c r="D360" s="273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>
        <f t="shared" ref="P360:P410" si="321">SUM(D360:O360)</f>
        <v>0</v>
      </c>
      <c r="Q360" s="275">
        <f t="shared" ref="Q360:Q410" si="322">P360/12</f>
        <v>0</v>
      </c>
      <c r="R360" s="1584"/>
      <c r="S360" s="273"/>
      <c r="T360" s="274"/>
      <c r="U360" s="274"/>
      <c r="V360" s="274"/>
      <c r="W360" s="274"/>
      <c r="X360" s="274"/>
      <c r="Y360" s="274"/>
      <c r="Z360" s="274"/>
      <c r="AA360" s="274"/>
      <c r="AB360" s="274"/>
      <c r="AC360" s="274"/>
      <c r="AD360" s="274"/>
      <c r="AE360" s="274">
        <f t="shared" ref="AE360:AE410" si="323">SUM(S360:AD360)</f>
        <v>0</v>
      </c>
      <c r="AF360" s="275">
        <f t="shared" ref="AF360:AF410" si="324">AE360/12</f>
        <v>0</v>
      </c>
      <c r="AG360" s="374"/>
      <c r="AH360" s="273"/>
      <c r="AI360" s="274"/>
      <c r="AJ360" s="274"/>
      <c r="AK360" s="274"/>
      <c r="AL360" s="274"/>
      <c r="AM360" s="274"/>
      <c r="AN360" s="274"/>
      <c r="AO360" s="274"/>
      <c r="AP360" s="274"/>
      <c r="AQ360" s="274"/>
      <c r="AR360" s="274"/>
      <c r="AS360" s="274"/>
      <c r="AT360" s="274">
        <f t="shared" ref="AT360:AT410" si="325">SUM(AH360:AS360)</f>
        <v>0</v>
      </c>
      <c r="AU360" s="275">
        <f t="shared" ref="AU360:AU423" si="326">AT360/12</f>
        <v>0</v>
      </c>
      <c r="AV360" s="374"/>
      <c r="AW360" s="2011">
        <v>21930</v>
      </c>
      <c r="AX360" s="274">
        <v>31050</v>
      </c>
      <c r="AY360" s="274">
        <v>23900</v>
      </c>
      <c r="AZ360" s="274">
        <v>24500</v>
      </c>
      <c r="BA360" s="274">
        <v>27100</v>
      </c>
      <c r="BB360" s="274">
        <v>65000</v>
      </c>
      <c r="BC360" s="274">
        <v>33700</v>
      </c>
      <c r="BD360" s="274">
        <v>28000</v>
      </c>
      <c r="BE360" s="274">
        <v>27900</v>
      </c>
      <c r="BF360" s="274">
        <v>21800</v>
      </c>
      <c r="BG360" s="274">
        <v>23400</v>
      </c>
      <c r="BH360" s="274">
        <v>22400</v>
      </c>
      <c r="BI360" s="274">
        <f t="shared" ref="BI360:BI410" si="327">SUM(AW360:BH360)</f>
        <v>350680</v>
      </c>
      <c r="BJ360" s="275">
        <f t="shared" si="319"/>
        <v>29220.898258478461</v>
      </c>
      <c r="BL360" s="317">
        <f>ROW()</f>
        <v>360</v>
      </c>
      <c r="BM360" s="1432">
        <f t="shared" ref="BM360:BM410" si="328">HLOOKUP($A$2,$AW$2:$BH$511,BL5-1,0)-HLOOKUP($A$2,$AW$2:$BH$511,BL360-1,0)</f>
        <v>-420</v>
      </c>
      <c r="BN360" s="761">
        <f>BA5/BA360</f>
        <v>2.5093726937269372</v>
      </c>
      <c r="BO360" s="760">
        <f t="shared" si="320"/>
        <v>4856</v>
      </c>
      <c r="BP360" s="761">
        <f>BI5/BI360</f>
        <v>1.0138473822288125</v>
      </c>
      <c r="BR360" s="8"/>
    </row>
    <row r="361" spans="1:70" ht="17.399999999999999" customHeight="1" x14ac:dyDescent="0.55000000000000004">
      <c r="A361" s="7217"/>
      <c r="B361" s="42"/>
      <c r="C361" s="214" t="s">
        <v>56</v>
      </c>
      <c r="D361" s="273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>
        <f t="shared" si="321"/>
        <v>0</v>
      </c>
      <c r="Q361" s="275">
        <f t="shared" si="322"/>
        <v>0</v>
      </c>
      <c r="R361" s="1584"/>
      <c r="S361" s="273"/>
      <c r="T361" s="274"/>
      <c r="U361" s="274"/>
      <c r="V361" s="274"/>
      <c r="W361" s="274"/>
      <c r="X361" s="274"/>
      <c r="Y361" s="274"/>
      <c r="Z361" s="274"/>
      <c r="AA361" s="274"/>
      <c r="AB361" s="274"/>
      <c r="AC361" s="274"/>
      <c r="AD361" s="274"/>
      <c r="AE361" s="274">
        <f t="shared" si="323"/>
        <v>0</v>
      </c>
      <c r="AF361" s="275">
        <f t="shared" si="324"/>
        <v>0</v>
      </c>
      <c r="AG361" s="374"/>
      <c r="AH361" s="273"/>
      <c r="AI361" s="274"/>
      <c r="AJ361" s="274"/>
      <c r="AK361" s="274"/>
      <c r="AL361" s="274"/>
      <c r="AM361" s="274"/>
      <c r="AN361" s="274"/>
      <c r="AO361" s="274"/>
      <c r="AP361" s="274"/>
      <c r="AQ361" s="274"/>
      <c r="AR361" s="274"/>
      <c r="AS361" s="274"/>
      <c r="AT361" s="274">
        <f t="shared" si="325"/>
        <v>0</v>
      </c>
      <c r="AU361" s="275">
        <f t="shared" si="326"/>
        <v>0</v>
      </c>
      <c r="AV361" s="374"/>
      <c r="AW361" s="2011">
        <v>53320</v>
      </c>
      <c r="AX361" s="274">
        <v>53950</v>
      </c>
      <c r="AY361" s="274">
        <f>AY359-AY360</f>
        <v>36900</v>
      </c>
      <c r="AZ361" s="274">
        <v>37800</v>
      </c>
      <c r="BA361" s="274">
        <f>BA359-BA360</f>
        <v>43400</v>
      </c>
      <c r="BB361" s="274">
        <f>BB359-BB360</f>
        <v>25000</v>
      </c>
      <c r="BC361" s="274">
        <v>53100</v>
      </c>
      <c r="BD361" s="274">
        <v>42500</v>
      </c>
      <c r="BE361" s="274">
        <v>63100</v>
      </c>
      <c r="BF361" s="274">
        <v>46700</v>
      </c>
      <c r="BG361" s="274">
        <v>41600</v>
      </c>
      <c r="BH361" s="274">
        <v>38900</v>
      </c>
      <c r="BI361" s="274">
        <f t="shared" si="327"/>
        <v>536270</v>
      </c>
      <c r="BJ361" s="275">
        <f t="shared" si="319"/>
        <v>44685.442879760019</v>
      </c>
      <c r="BL361" s="317">
        <f>ROW()</f>
        <v>361</v>
      </c>
      <c r="BM361" s="1432">
        <f t="shared" si="328"/>
        <v>-8145</v>
      </c>
      <c r="BN361" s="761">
        <f>BA6/BA361</f>
        <v>0.71207373271889396</v>
      </c>
      <c r="BO361" s="760">
        <f t="shared" si="320"/>
        <v>-103515</v>
      </c>
      <c r="BP361" s="761">
        <f>BI6/BI361</f>
        <v>0.80697223413578978</v>
      </c>
      <c r="BR361" s="8"/>
    </row>
    <row r="362" spans="1:70" ht="17.399999999999999" customHeight="1" x14ac:dyDescent="0.55000000000000004">
      <c r="A362" s="7217"/>
      <c r="B362" s="7219" t="s">
        <v>1090</v>
      </c>
      <c r="C362" s="197" t="s">
        <v>424</v>
      </c>
      <c r="D362" s="276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>
        <f t="shared" si="321"/>
        <v>0</v>
      </c>
      <c r="Q362" s="278">
        <f t="shared" si="322"/>
        <v>0</v>
      </c>
      <c r="R362" s="1584"/>
      <c r="S362" s="276"/>
      <c r="T362" s="277"/>
      <c r="U362" s="277"/>
      <c r="V362" s="277"/>
      <c r="W362" s="277"/>
      <c r="X362" s="277"/>
      <c r="Y362" s="277"/>
      <c r="Z362" s="277"/>
      <c r="AA362" s="277"/>
      <c r="AB362" s="277"/>
      <c r="AC362" s="277"/>
      <c r="AD362" s="277"/>
      <c r="AE362" s="277">
        <f t="shared" si="323"/>
        <v>0</v>
      </c>
      <c r="AF362" s="278">
        <f t="shared" si="324"/>
        <v>0</v>
      </c>
      <c r="AG362" s="374"/>
      <c r="AH362" s="276"/>
      <c r="AI362" s="277"/>
      <c r="AJ362" s="277"/>
      <c r="AK362" s="277"/>
      <c r="AL362" s="277"/>
      <c r="AM362" s="277"/>
      <c r="AN362" s="277"/>
      <c r="AO362" s="277"/>
      <c r="AP362" s="277"/>
      <c r="AQ362" s="277"/>
      <c r="AR362" s="277"/>
      <c r="AS362" s="277"/>
      <c r="AT362" s="277">
        <f t="shared" si="325"/>
        <v>0</v>
      </c>
      <c r="AU362" s="278">
        <f t="shared" si="326"/>
        <v>0</v>
      </c>
      <c r="AV362" s="374"/>
      <c r="AW362" s="2012">
        <v>17000</v>
      </c>
      <c r="AX362" s="277">
        <v>26000</v>
      </c>
      <c r="AY362" s="277">
        <v>16500</v>
      </c>
      <c r="AZ362" s="277">
        <v>17000</v>
      </c>
      <c r="BA362" s="277">
        <v>23000</v>
      </c>
      <c r="BB362" s="277">
        <v>28000</v>
      </c>
      <c r="BC362" s="277">
        <v>27000</v>
      </c>
      <c r="BD362" s="277">
        <v>20000</v>
      </c>
      <c r="BE362" s="277">
        <v>25000</v>
      </c>
      <c r="BF362" s="277">
        <v>18000</v>
      </c>
      <c r="BG362" s="277">
        <v>17000</v>
      </c>
      <c r="BH362" s="277">
        <v>16000</v>
      </c>
      <c r="BI362" s="277">
        <f t="shared" si="327"/>
        <v>250500</v>
      </c>
      <c r="BJ362" s="278">
        <f t="shared" si="319"/>
        <v>20873.260561619867</v>
      </c>
      <c r="BL362" s="317">
        <f>ROW()</f>
        <v>362</v>
      </c>
      <c r="BM362" s="1432">
        <f t="shared" si="328"/>
        <v>-3183</v>
      </c>
      <c r="BN362" s="321">
        <f>BA11/BA362</f>
        <v>0.11265217391304348</v>
      </c>
      <c r="BO362" s="317">
        <f t="shared" si="320"/>
        <v>-15117</v>
      </c>
      <c r="BP362" s="321">
        <f>BI11/BI362</f>
        <v>0.15109381237524949</v>
      </c>
      <c r="BR362" s="8"/>
    </row>
    <row r="363" spans="1:70" ht="17.399999999999999" customHeight="1" x14ac:dyDescent="0.55000000000000004">
      <c r="A363" s="7217"/>
      <c r="B363" s="7212"/>
      <c r="C363" s="198" t="s">
        <v>1112</v>
      </c>
      <c r="D363" s="279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>
        <f t="shared" ref="P363" si="329">SUM(D363:O363)</f>
        <v>0</v>
      </c>
      <c r="Q363" s="281">
        <f t="shared" ref="Q363" si="330">P363/12</f>
        <v>0</v>
      </c>
      <c r="R363" s="2229"/>
      <c r="S363" s="279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>
        <f t="shared" ref="AE363" si="331">SUM(S363:AD363)</f>
        <v>0</v>
      </c>
      <c r="AF363" s="281">
        <f t="shared" ref="AF363" si="332">AE363/12</f>
        <v>0</v>
      </c>
      <c r="AG363" s="374"/>
      <c r="AH363" s="279"/>
      <c r="AI363" s="280"/>
      <c r="AJ363" s="280"/>
      <c r="AK363" s="280"/>
      <c r="AL363" s="280"/>
      <c r="AM363" s="280"/>
      <c r="AN363" s="280"/>
      <c r="AO363" s="280"/>
      <c r="AP363" s="280"/>
      <c r="AQ363" s="280"/>
      <c r="AR363" s="280"/>
      <c r="AS363" s="280"/>
      <c r="AT363" s="280">
        <f t="shared" ref="AT363" si="333">SUM(AH363:AS363)</f>
        <v>0</v>
      </c>
      <c r="AU363" s="281">
        <f t="shared" ref="AU363" si="334">AT363/12</f>
        <v>0</v>
      </c>
      <c r="AV363" s="374"/>
      <c r="AW363" s="2013">
        <v>350</v>
      </c>
      <c r="AX363" s="280">
        <v>500</v>
      </c>
      <c r="AY363" s="280">
        <v>300</v>
      </c>
      <c r="AZ363" s="280">
        <v>300</v>
      </c>
      <c r="BA363" s="280">
        <v>500</v>
      </c>
      <c r="BB363" s="280">
        <v>500</v>
      </c>
      <c r="BC363" s="280">
        <v>800</v>
      </c>
      <c r="BD363" s="280">
        <v>500</v>
      </c>
      <c r="BE363" s="280">
        <v>1000</v>
      </c>
      <c r="BF363" s="280">
        <v>500</v>
      </c>
      <c r="BG363" s="280">
        <v>1000</v>
      </c>
      <c r="BH363" s="280">
        <v>300</v>
      </c>
      <c r="BI363" s="280">
        <f t="shared" ref="BI363" si="335">SUM(AW363:BH363)</f>
        <v>6550</v>
      </c>
      <c r="BJ363" s="281">
        <f t="shared" ref="BJ363" si="336">BI363/$A$2</f>
        <v>545.78785101241567</v>
      </c>
      <c r="BL363" s="317">
        <f>ROW()</f>
        <v>363</v>
      </c>
      <c r="BM363" s="1432">
        <f t="shared" si="328"/>
        <v>-197</v>
      </c>
      <c r="BN363" s="321">
        <f>BA11/BA363</f>
        <v>5.1820000000000004</v>
      </c>
      <c r="BO363" s="317">
        <f t="shared" si="320"/>
        <v>-3250</v>
      </c>
      <c r="BP363" s="321">
        <f>BI11/BI363</f>
        <v>5.7784732824427483</v>
      </c>
      <c r="BR363" s="8"/>
    </row>
    <row r="364" spans="1:70" ht="17.399999999999999" customHeight="1" x14ac:dyDescent="0.55000000000000004">
      <c r="A364" s="7217"/>
      <c r="B364" s="7212"/>
      <c r="C364" s="198" t="s">
        <v>426</v>
      </c>
      <c r="D364" s="279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>
        <f t="shared" si="321"/>
        <v>0</v>
      </c>
      <c r="Q364" s="281">
        <f t="shared" si="322"/>
        <v>0</v>
      </c>
      <c r="R364" s="1584"/>
      <c r="S364" s="279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>
        <f t="shared" si="323"/>
        <v>0</v>
      </c>
      <c r="AF364" s="281">
        <f t="shared" si="324"/>
        <v>0</v>
      </c>
      <c r="AG364" s="374"/>
      <c r="AH364" s="279"/>
      <c r="AI364" s="280"/>
      <c r="AJ364" s="280"/>
      <c r="AK364" s="280"/>
      <c r="AL364" s="280"/>
      <c r="AM364" s="280"/>
      <c r="AN364" s="280"/>
      <c r="AO364" s="280"/>
      <c r="AP364" s="280"/>
      <c r="AQ364" s="280"/>
      <c r="AR364" s="280"/>
      <c r="AS364" s="280"/>
      <c r="AT364" s="280">
        <f t="shared" si="325"/>
        <v>0</v>
      </c>
      <c r="AU364" s="281">
        <f t="shared" si="326"/>
        <v>0</v>
      </c>
      <c r="AV364" s="374"/>
      <c r="AW364" s="2013">
        <v>23900</v>
      </c>
      <c r="AX364" s="280">
        <v>25000</v>
      </c>
      <c r="AY364" s="280">
        <v>21000</v>
      </c>
      <c r="AZ364" s="280">
        <v>22000</v>
      </c>
      <c r="BA364" s="280">
        <v>24000</v>
      </c>
      <c r="BB364" s="280">
        <v>32000</v>
      </c>
      <c r="BC364" s="280">
        <v>30000</v>
      </c>
      <c r="BD364" s="280">
        <v>25000</v>
      </c>
      <c r="BE364" s="280">
        <v>30000</v>
      </c>
      <c r="BF364" s="280">
        <v>25000</v>
      </c>
      <c r="BG364" s="280">
        <v>25000</v>
      </c>
      <c r="BH364" s="280">
        <v>25000</v>
      </c>
      <c r="BI364" s="280">
        <f t="shared" si="327"/>
        <v>307900</v>
      </c>
      <c r="BJ364" s="281">
        <f t="shared" si="319"/>
        <v>25656.195317056914</v>
      </c>
      <c r="BL364" s="317">
        <f>ROW()</f>
        <v>364</v>
      </c>
      <c r="BM364" s="1432">
        <f t="shared" si="328"/>
        <v>-860</v>
      </c>
      <c r="BN364" s="321">
        <f>BA12/BA364</f>
        <v>0</v>
      </c>
      <c r="BO364" s="317">
        <f t="shared" si="320"/>
        <v>2073</v>
      </c>
      <c r="BP364" s="321">
        <f>BI12/BI364</f>
        <v>0</v>
      </c>
      <c r="BR364" s="8"/>
    </row>
    <row r="365" spans="1:70" ht="17.399999999999999" customHeight="1" x14ac:dyDescent="0.55000000000000004">
      <c r="A365" s="7217"/>
      <c r="B365" s="7212"/>
      <c r="C365" s="198" t="s">
        <v>954</v>
      </c>
      <c r="D365" s="279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>
        <f t="shared" si="321"/>
        <v>0</v>
      </c>
      <c r="Q365" s="281">
        <f t="shared" si="322"/>
        <v>0</v>
      </c>
      <c r="R365" s="1584"/>
      <c r="S365" s="279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>
        <f t="shared" si="323"/>
        <v>0</v>
      </c>
      <c r="AF365" s="281">
        <f t="shared" si="324"/>
        <v>0</v>
      </c>
      <c r="AG365" s="374"/>
      <c r="AH365" s="279"/>
      <c r="AI365" s="280"/>
      <c r="AJ365" s="280"/>
      <c r="AK365" s="280"/>
      <c r="AL365" s="280"/>
      <c r="AM365" s="280"/>
      <c r="AN365" s="280"/>
      <c r="AO365" s="280"/>
      <c r="AP365" s="280"/>
      <c r="AQ365" s="280"/>
      <c r="AR365" s="280"/>
      <c r="AS365" s="280"/>
      <c r="AT365" s="280">
        <f t="shared" si="325"/>
        <v>0</v>
      </c>
      <c r="AU365" s="281">
        <f t="shared" si="326"/>
        <v>0</v>
      </c>
      <c r="AV365" s="374"/>
      <c r="AW365" s="2013">
        <v>30000</v>
      </c>
      <c r="AX365" s="280">
        <v>30000</v>
      </c>
      <c r="AY365" s="280">
        <v>20000</v>
      </c>
      <c r="AZ365" s="280">
        <v>20000</v>
      </c>
      <c r="BA365" s="280">
        <v>20000</v>
      </c>
      <c r="BB365" s="280">
        <v>25000</v>
      </c>
      <c r="BC365" s="280">
        <v>25000</v>
      </c>
      <c r="BD365" s="280">
        <v>20000</v>
      </c>
      <c r="BE365" s="280">
        <v>30000</v>
      </c>
      <c r="BF365" s="280">
        <v>20000</v>
      </c>
      <c r="BG365" s="280">
        <v>17000</v>
      </c>
      <c r="BH365" s="280">
        <v>15000</v>
      </c>
      <c r="BI365" s="280">
        <f t="shared" si="327"/>
        <v>272000</v>
      </c>
      <c r="BJ365" s="281">
        <f t="shared" si="319"/>
        <v>22664.777935172071</v>
      </c>
      <c r="BL365" s="317">
        <f>ROW()</f>
        <v>365</v>
      </c>
      <c r="BM365" s="1432">
        <f t="shared" si="328"/>
        <v>-2822</v>
      </c>
      <c r="BN365" s="321">
        <f>BA13/BA365</f>
        <v>0.26540000000000002</v>
      </c>
      <c r="BO365" s="317">
        <f t="shared" si="320"/>
        <v>-70214</v>
      </c>
      <c r="BP365" s="321">
        <f>BI13/BI365</f>
        <v>0.15008455882352942</v>
      </c>
      <c r="BR365" s="8"/>
    </row>
    <row r="366" spans="1:70" ht="17.399999999999999" customHeight="1" x14ac:dyDescent="0.55000000000000004">
      <c r="A366" s="7217"/>
      <c r="B366" s="7212"/>
      <c r="C366" s="198" t="s">
        <v>427</v>
      </c>
      <c r="D366" s="279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>
        <f t="shared" si="321"/>
        <v>0</v>
      </c>
      <c r="Q366" s="281">
        <f t="shared" si="322"/>
        <v>0</v>
      </c>
      <c r="R366" s="1584"/>
      <c r="S366" s="279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>
        <f t="shared" si="323"/>
        <v>0</v>
      </c>
      <c r="AF366" s="281">
        <f t="shared" si="324"/>
        <v>0</v>
      </c>
      <c r="AG366" s="374"/>
      <c r="AH366" s="279"/>
      <c r="AI366" s="280"/>
      <c r="AJ366" s="280"/>
      <c r="AK366" s="280"/>
      <c r="AL366" s="280"/>
      <c r="AM366" s="280"/>
      <c r="AN366" s="280"/>
      <c r="AO366" s="280"/>
      <c r="AP366" s="280"/>
      <c r="AQ366" s="280"/>
      <c r="AR366" s="280"/>
      <c r="AS366" s="280"/>
      <c r="AT366" s="280">
        <f t="shared" si="325"/>
        <v>0</v>
      </c>
      <c r="AU366" s="281">
        <f t="shared" si="326"/>
        <v>0</v>
      </c>
      <c r="AV366" s="374"/>
      <c r="AW366" s="2013">
        <v>4000</v>
      </c>
      <c r="AX366" s="280">
        <v>3500</v>
      </c>
      <c r="AY366" s="280">
        <v>3000</v>
      </c>
      <c r="AZ366" s="280">
        <v>3000</v>
      </c>
      <c r="BA366" s="280">
        <v>3000</v>
      </c>
      <c r="BB366" s="280">
        <v>4500</v>
      </c>
      <c r="BC366" s="280">
        <v>4000</v>
      </c>
      <c r="BD366" s="280">
        <v>5000</v>
      </c>
      <c r="BE366" s="280">
        <v>5000</v>
      </c>
      <c r="BF366" s="280">
        <v>5000</v>
      </c>
      <c r="BG366" s="280">
        <v>5000</v>
      </c>
      <c r="BH366" s="280">
        <v>5000</v>
      </c>
      <c r="BI366" s="280">
        <f t="shared" si="327"/>
        <v>50000</v>
      </c>
      <c r="BJ366" s="281">
        <f t="shared" si="319"/>
        <v>4166.3194733772189</v>
      </c>
      <c r="BL366" s="317">
        <f>ROW()</f>
        <v>366</v>
      </c>
      <c r="BM366" s="1432">
        <f t="shared" si="328"/>
        <v>-1503.0000000000005</v>
      </c>
      <c r="BN366" s="321">
        <f>BA15/BA366</f>
        <v>2.11</v>
      </c>
      <c r="BO366" s="317">
        <f t="shared" si="320"/>
        <v>-12151</v>
      </c>
      <c r="BP366" s="321">
        <f>BI15/BI366</f>
        <v>1.0282</v>
      </c>
      <c r="BR366" s="8"/>
    </row>
    <row r="367" spans="1:70" ht="17.399999999999999" customHeight="1" x14ac:dyDescent="0.55000000000000004">
      <c r="A367" s="7217"/>
      <c r="B367" s="7212"/>
      <c r="C367" s="198" t="s">
        <v>428</v>
      </c>
      <c r="D367" s="279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>
        <f t="shared" si="321"/>
        <v>0</v>
      </c>
      <c r="Q367" s="281">
        <f t="shared" si="322"/>
        <v>0</v>
      </c>
      <c r="R367" s="1584"/>
      <c r="S367" s="279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>
        <f t="shared" si="323"/>
        <v>0</v>
      </c>
      <c r="AF367" s="281">
        <f t="shared" si="324"/>
        <v>0</v>
      </c>
      <c r="AG367" s="374"/>
      <c r="AH367" s="279"/>
      <c r="AI367" s="280"/>
      <c r="AJ367" s="280"/>
      <c r="AK367" s="280"/>
      <c r="AL367" s="280"/>
      <c r="AM367" s="280"/>
      <c r="AN367" s="280"/>
      <c r="AO367" s="280"/>
      <c r="AP367" s="280"/>
      <c r="AQ367" s="280"/>
      <c r="AR367" s="280"/>
      <c r="AS367" s="280"/>
      <c r="AT367" s="280">
        <f t="shared" si="325"/>
        <v>0</v>
      </c>
      <c r="AU367" s="281">
        <f t="shared" si="326"/>
        <v>0</v>
      </c>
      <c r="AV367" s="374"/>
      <c r="AW367" s="2013"/>
      <c r="AX367" s="280"/>
      <c r="AY367" s="280"/>
      <c r="AZ367" s="280"/>
      <c r="BA367" s="280"/>
      <c r="BB367" s="280"/>
      <c r="BC367" s="280"/>
      <c r="BD367" s="280"/>
      <c r="BE367" s="280"/>
      <c r="BF367" s="280"/>
      <c r="BG367" s="280"/>
      <c r="BH367" s="280"/>
      <c r="BI367" s="280">
        <f t="shared" si="327"/>
        <v>0</v>
      </c>
      <c r="BJ367" s="281">
        <f t="shared" si="319"/>
        <v>0</v>
      </c>
      <c r="BL367" s="317">
        <f>ROW()</f>
        <v>367</v>
      </c>
      <c r="BM367" s="1432">
        <f t="shared" si="328"/>
        <v>0</v>
      </c>
      <c r="BN367" s="1435">
        <f>IFERROR(BA16/BA367,0)</f>
        <v>0</v>
      </c>
      <c r="BO367" s="317">
        <f t="shared" si="320"/>
        <v>0</v>
      </c>
      <c r="BP367" s="321">
        <f>IFERROR(BI16/BI367,0)</f>
        <v>0</v>
      </c>
      <c r="BR367" s="8"/>
    </row>
    <row r="368" spans="1:70" ht="17.399999999999999" customHeight="1" x14ac:dyDescent="0.55000000000000004">
      <c r="A368" s="7217"/>
      <c r="B368" s="7213" t="s">
        <v>430</v>
      </c>
      <c r="C368" s="199" t="s">
        <v>419</v>
      </c>
      <c r="D368" s="291">
        <f>D373+D374</f>
        <v>0</v>
      </c>
      <c r="E368" s="292">
        <f t="shared" ref="E368:O368" si="337">E373+E374</f>
        <v>0</v>
      </c>
      <c r="F368" s="292">
        <f t="shared" si="337"/>
        <v>0</v>
      </c>
      <c r="G368" s="292">
        <f t="shared" si="337"/>
        <v>0</v>
      </c>
      <c r="H368" s="292">
        <f t="shared" si="337"/>
        <v>0</v>
      </c>
      <c r="I368" s="292">
        <f t="shared" si="337"/>
        <v>0</v>
      </c>
      <c r="J368" s="292">
        <f t="shared" si="337"/>
        <v>0</v>
      </c>
      <c r="K368" s="292">
        <f t="shared" si="337"/>
        <v>0</v>
      </c>
      <c r="L368" s="292">
        <f t="shared" si="337"/>
        <v>0</v>
      </c>
      <c r="M368" s="292">
        <f t="shared" si="337"/>
        <v>0</v>
      </c>
      <c r="N368" s="292">
        <f t="shared" si="337"/>
        <v>0</v>
      </c>
      <c r="O368" s="292">
        <f t="shared" si="337"/>
        <v>0</v>
      </c>
      <c r="P368" s="292">
        <f t="shared" si="321"/>
        <v>0</v>
      </c>
      <c r="Q368" s="293">
        <f t="shared" si="322"/>
        <v>0</v>
      </c>
      <c r="R368" s="1584"/>
      <c r="S368" s="291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>
        <f t="shared" si="323"/>
        <v>0</v>
      </c>
      <c r="AF368" s="293">
        <f t="shared" si="324"/>
        <v>0</v>
      </c>
      <c r="AG368" s="374"/>
      <c r="AH368" s="291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>
        <f t="shared" si="325"/>
        <v>0</v>
      </c>
      <c r="AU368" s="293">
        <f t="shared" si="326"/>
        <v>0</v>
      </c>
      <c r="AV368" s="374"/>
      <c r="AW368" s="2015">
        <v>2775</v>
      </c>
      <c r="AX368" s="292">
        <v>4245</v>
      </c>
      <c r="AY368" s="292">
        <v>2694</v>
      </c>
      <c r="AZ368" s="292">
        <v>2775</v>
      </c>
      <c r="BA368" s="292">
        <v>3754</v>
      </c>
      <c r="BB368" s="292">
        <v>4571</v>
      </c>
      <c r="BC368" s="292">
        <v>4408</v>
      </c>
      <c r="BD368" s="292">
        <v>3265</v>
      </c>
      <c r="BE368" s="292">
        <v>4080</v>
      </c>
      <c r="BF368" s="292">
        <v>2939</v>
      </c>
      <c r="BG368" s="292">
        <v>2775</v>
      </c>
      <c r="BH368" s="292">
        <v>2610</v>
      </c>
      <c r="BI368" s="292">
        <f t="shared" si="327"/>
        <v>40891</v>
      </c>
      <c r="BJ368" s="293">
        <f t="shared" si="319"/>
        <v>3407.2993917173571</v>
      </c>
      <c r="BL368" s="317">
        <f>ROW()</f>
        <v>368</v>
      </c>
      <c r="BM368" s="1432">
        <f t="shared" si="328"/>
        <v>-437</v>
      </c>
      <c r="BN368" s="321">
        <f t="shared" ref="BN368:BN410" si="338">BA17/BA368</f>
        <v>1.4179541822056474</v>
      </c>
      <c r="BO368" s="317">
        <f t="shared" si="320"/>
        <v>-68</v>
      </c>
      <c r="BP368" s="321">
        <f t="shared" ref="BP368:BP410" si="339">BI17/BI368</f>
        <v>1.0844195544251791</v>
      </c>
      <c r="BR368" s="8"/>
    </row>
    <row r="369" spans="1:70" ht="17.399999999999999" customHeight="1" x14ac:dyDescent="0.55000000000000004">
      <c r="A369" s="7217"/>
      <c r="B369" s="7214"/>
      <c r="C369" s="200" t="s">
        <v>420</v>
      </c>
      <c r="D369" s="294">
        <f>D375+D376</f>
        <v>0</v>
      </c>
      <c r="E369" s="295">
        <f t="shared" ref="E369:O369" si="340">E375+E376</f>
        <v>0</v>
      </c>
      <c r="F369" s="295">
        <f t="shared" si="340"/>
        <v>0</v>
      </c>
      <c r="G369" s="295">
        <f t="shared" si="340"/>
        <v>0</v>
      </c>
      <c r="H369" s="295">
        <f t="shared" si="340"/>
        <v>0</v>
      </c>
      <c r="I369" s="295">
        <f t="shared" si="340"/>
        <v>0</v>
      </c>
      <c r="J369" s="295">
        <f t="shared" si="340"/>
        <v>0</v>
      </c>
      <c r="K369" s="295">
        <f t="shared" si="340"/>
        <v>0</v>
      </c>
      <c r="L369" s="295">
        <f t="shared" si="340"/>
        <v>0</v>
      </c>
      <c r="M369" s="295">
        <f t="shared" si="340"/>
        <v>0</v>
      </c>
      <c r="N369" s="295">
        <f t="shared" si="340"/>
        <v>0</v>
      </c>
      <c r="O369" s="295">
        <f t="shared" si="340"/>
        <v>0</v>
      </c>
      <c r="P369" s="295">
        <f t="shared" si="321"/>
        <v>0</v>
      </c>
      <c r="Q369" s="296">
        <f t="shared" si="322"/>
        <v>0</v>
      </c>
      <c r="R369" s="1584"/>
      <c r="S369" s="294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  <c r="AE369" s="295">
        <f t="shared" si="323"/>
        <v>0</v>
      </c>
      <c r="AF369" s="296">
        <f t="shared" si="324"/>
        <v>0</v>
      </c>
      <c r="AG369" s="374"/>
      <c r="AH369" s="294"/>
      <c r="AI369" s="295"/>
      <c r="AJ369" s="295"/>
      <c r="AK369" s="295"/>
      <c r="AL369" s="295"/>
      <c r="AM369" s="295"/>
      <c r="AN369" s="295"/>
      <c r="AO369" s="295"/>
      <c r="AP369" s="295"/>
      <c r="AQ369" s="295"/>
      <c r="AR369" s="295"/>
      <c r="AS369" s="295"/>
      <c r="AT369" s="295">
        <f t="shared" si="325"/>
        <v>0</v>
      </c>
      <c r="AU369" s="296">
        <f t="shared" si="326"/>
        <v>0</v>
      </c>
      <c r="AV369" s="374"/>
      <c r="AW369" s="2016">
        <v>2835</v>
      </c>
      <c r="AX369" s="295">
        <v>4336</v>
      </c>
      <c r="AY369" s="295">
        <v>2751</v>
      </c>
      <c r="AZ369" s="295">
        <v>2835</v>
      </c>
      <c r="BA369" s="295">
        <v>3835</v>
      </c>
      <c r="BB369" s="295">
        <v>4668</v>
      </c>
      <c r="BC369" s="295">
        <v>4501</v>
      </c>
      <c r="BD369" s="295">
        <v>3335</v>
      </c>
      <c r="BE369" s="295">
        <v>4169</v>
      </c>
      <c r="BF369" s="295">
        <v>3001</v>
      </c>
      <c r="BG369" s="295">
        <v>2835</v>
      </c>
      <c r="BH369" s="295">
        <v>2668</v>
      </c>
      <c r="BI369" s="295">
        <f t="shared" si="327"/>
        <v>41769</v>
      </c>
      <c r="BJ369" s="296">
        <f t="shared" si="319"/>
        <v>3480.4599616698611</v>
      </c>
      <c r="BL369" s="317">
        <f>ROW()</f>
        <v>369</v>
      </c>
      <c r="BM369" s="1432">
        <f t="shared" si="328"/>
        <v>-308</v>
      </c>
      <c r="BN369" s="321">
        <f t="shared" si="338"/>
        <v>0.71003911342894399</v>
      </c>
      <c r="BO369" s="317">
        <f t="shared" si="320"/>
        <v>-3</v>
      </c>
      <c r="BP369" s="321">
        <f t="shared" si="339"/>
        <v>0.48808925279513515</v>
      </c>
      <c r="BR369" s="8"/>
    </row>
    <row r="370" spans="1:70" ht="17.399999999999999" customHeight="1" x14ac:dyDescent="0.55000000000000004">
      <c r="A370" s="7217"/>
      <c r="B370" s="7214"/>
      <c r="C370" s="200" t="s">
        <v>421</v>
      </c>
      <c r="D370" s="294">
        <f>D377+D378</f>
        <v>0</v>
      </c>
      <c r="E370" s="295">
        <f t="shared" ref="E370:O370" si="341">E377+E378</f>
        <v>0</v>
      </c>
      <c r="F370" s="295">
        <f t="shared" si="341"/>
        <v>0</v>
      </c>
      <c r="G370" s="295">
        <f t="shared" si="341"/>
        <v>0</v>
      </c>
      <c r="H370" s="295">
        <f t="shared" si="341"/>
        <v>0</v>
      </c>
      <c r="I370" s="295">
        <f t="shared" si="341"/>
        <v>0</v>
      </c>
      <c r="J370" s="295">
        <f t="shared" si="341"/>
        <v>0</v>
      </c>
      <c r="K370" s="295">
        <f t="shared" si="341"/>
        <v>0</v>
      </c>
      <c r="L370" s="295">
        <f t="shared" si="341"/>
        <v>0</v>
      </c>
      <c r="M370" s="295">
        <f t="shared" si="341"/>
        <v>0</v>
      </c>
      <c r="N370" s="295">
        <f t="shared" si="341"/>
        <v>0</v>
      </c>
      <c r="O370" s="295">
        <f t="shared" si="341"/>
        <v>0</v>
      </c>
      <c r="P370" s="295">
        <f t="shared" si="321"/>
        <v>0</v>
      </c>
      <c r="Q370" s="296">
        <f t="shared" si="322"/>
        <v>0</v>
      </c>
      <c r="R370" s="1584"/>
      <c r="S370" s="294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  <c r="AE370" s="295">
        <f t="shared" si="323"/>
        <v>0</v>
      </c>
      <c r="AF370" s="296">
        <f t="shared" si="324"/>
        <v>0</v>
      </c>
      <c r="AG370" s="374"/>
      <c r="AH370" s="294"/>
      <c r="AI370" s="295"/>
      <c r="AJ370" s="295"/>
      <c r="AK370" s="295"/>
      <c r="AL370" s="295"/>
      <c r="AM370" s="295"/>
      <c r="AN370" s="295"/>
      <c r="AO370" s="295"/>
      <c r="AP370" s="295"/>
      <c r="AQ370" s="295"/>
      <c r="AR370" s="295"/>
      <c r="AS370" s="295"/>
      <c r="AT370" s="295">
        <f t="shared" si="325"/>
        <v>0</v>
      </c>
      <c r="AU370" s="296">
        <f t="shared" si="326"/>
        <v>0</v>
      </c>
      <c r="AV370" s="374"/>
      <c r="AW370" s="2016">
        <v>3713</v>
      </c>
      <c r="AX370" s="295">
        <v>5678</v>
      </c>
      <c r="AY370" s="295">
        <v>3604</v>
      </c>
      <c r="AZ370" s="295">
        <v>3713</v>
      </c>
      <c r="BA370" s="295">
        <v>5023</v>
      </c>
      <c r="BB370" s="295">
        <v>6115</v>
      </c>
      <c r="BC370" s="295">
        <v>5896</v>
      </c>
      <c r="BD370" s="295">
        <v>4368</v>
      </c>
      <c r="BE370" s="295">
        <v>5460</v>
      </c>
      <c r="BF370" s="295">
        <v>3931</v>
      </c>
      <c r="BG370" s="295">
        <v>3713</v>
      </c>
      <c r="BH370" s="295">
        <v>3495</v>
      </c>
      <c r="BI370" s="295">
        <f t="shared" si="327"/>
        <v>54709</v>
      </c>
      <c r="BJ370" s="296">
        <f t="shared" si="319"/>
        <v>4558.7034413798856</v>
      </c>
      <c r="BL370" s="317">
        <f>ROW()</f>
        <v>370</v>
      </c>
      <c r="BM370" s="1432">
        <f t="shared" si="328"/>
        <v>-721</v>
      </c>
      <c r="BN370" s="321">
        <f t="shared" si="338"/>
        <v>0.51463268962771247</v>
      </c>
      <c r="BO370" s="317">
        <f t="shared" si="320"/>
        <v>-3299</v>
      </c>
      <c r="BP370" s="321">
        <f t="shared" si="339"/>
        <v>0.37354000255899394</v>
      </c>
      <c r="BR370" s="8"/>
    </row>
    <row r="371" spans="1:70" ht="17.399999999999999" customHeight="1" x14ac:dyDescent="0.55000000000000004">
      <c r="A371" s="7217"/>
      <c r="B371" s="7214"/>
      <c r="C371" s="200" t="s">
        <v>422</v>
      </c>
      <c r="D371" s="294">
        <f>D379+D380</f>
        <v>0</v>
      </c>
      <c r="E371" s="295">
        <f t="shared" ref="E371:O371" si="342">E379+E380</f>
        <v>0</v>
      </c>
      <c r="F371" s="295">
        <f t="shared" si="342"/>
        <v>0</v>
      </c>
      <c r="G371" s="295">
        <f t="shared" si="342"/>
        <v>0</v>
      </c>
      <c r="H371" s="295">
        <f t="shared" si="342"/>
        <v>0</v>
      </c>
      <c r="I371" s="295">
        <f t="shared" si="342"/>
        <v>0</v>
      </c>
      <c r="J371" s="295">
        <f t="shared" si="342"/>
        <v>0</v>
      </c>
      <c r="K371" s="295">
        <f t="shared" si="342"/>
        <v>0</v>
      </c>
      <c r="L371" s="295">
        <f t="shared" si="342"/>
        <v>0</v>
      </c>
      <c r="M371" s="295">
        <f t="shared" si="342"/>
        <v>0</v>
      </c>
      <c r="N371" s="295">
        <f t="shared" si="342"/>
        <v>0</v>
      </c>
      <c r="O371" s="295">
        <f t="shared" si="342"/>
        <v>0</v>
      </c>
      <c r="P371" s="295">
        <f t="shared" si="321"/>
        <v>0</v>
      </c>
      <c r="Q371" s="296">
        <f t="shared" si="322"/>
        <v>0</v>
      </c>
      <c r="R371" s="1584"/>
      <c r="S371" s="294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  <c r="AE371" s="295">
        <f t="shared" si="323"/>
        <v>0</v>
      </c>
      <c r="AF371" s="296">
        <f t="shared" si="324"/>
        <v>0</v>
      </c>
      <c r="AG371" s="374"/>
      <c r="AH371" s="294"/>
      <c r="AI371" s="295"/>
      <c r="AJ371" s="295"/>
      <c r="AK371" s="295"/>
      <c r="AL371" s="295"/>
      <c r="AM371" s="295"/>
      <c r="AN371" s="295"/>
      <c r="AO371" s="295"/>
      <c r="AP371" s="295"/>
      <c r="AQ371" s="295"/>
      <c r="AR371" s="295"/>
      <c r="AS371" s="295"/>
      <c r="AT371" s="295">
        <f t="shared" si="325"/>
        <v>0</v>
      </c>
      <c r="AU371" s="296">
        <f t="shared" si="326"/>
        <v>0</v>
      </c>
      <c r="AV371" s="374"/>
      <c r="AW371" s="2016">
        <v>4260</v>
      </c>
      <c r="AX371" s="295">
        <v>6515</v>
      </c>
      <c r="AY371" s="295">
        <v>4135</v>
      </c>
      <c r="AZ371" s="295">
        <v>4260</v>
      </c>
      <c r="BA371" s="295">
        <v>5764</v>
      </c>
      <c r="BB371" s="295">
        <v>7017</v>
      </c>
      <c r="BC371" s="295">
        <v>6766</v>
      </c>
      <c r="BD371" s="295">
        <v>5012</v>
      </c>
      <c r="BE371" s="295">
        <v>6266</v>
      </c>
      <c r="BF371" s="295">
        <v>4511</v>
      </c>
      <c r="BG371" s="295">
        <v>4260</v>
      </c>
      <c r="BH371" s="295">
        <v>4010</v>
      </c>
      <c r="BI371" s="295">
        <f t="shared" si="327"/>
        <v>62776</v>
      </c>
      <c r="BJ371" s="296">
        <f t="shared" si="319"/>
        <v>5230.8974252145654</v>
      </c>
      <c r="BL371" s="317">
        <f>ROW()</f>
        <v>371</v>
      </c>
      <c r="BM371" s="1432">
        <f t="shared" si="328"/>
        <v>-937</v>
      </c>
      <c r="BN371" s="321">
        <f t="shared" si="338"/>
        <v>0.46668979875086747</v>
      </c>
      <c r="BO371" s="317">
        <f t="shared" si="320"/>
        <v>-5735</v>
      </c>
      <c r="BP371" s="321">
        <f t="shared" si="339"/>
        <v>0.30302982031349562</v>
      </c>
      <c r="BR371" s="8"/>
    </row>
    <row r="372" spans="1:70" ht="17.399999999999999" customHeight="1" x14ac:dyDescent="0.55000000000000004">
      <c r="A372" s="7217"/>
      <c r="B372" s="7215"/>
      <c r="C372" s="201" t="s">
        <v>423</v>
      </c>
      <c r="D372" s="297">
        <f>D381+D382</f>
        <v>0</v>
      </c>
      <c r="E372" s="298">
        <f t="shared" ref="E372:O372" si="343">E381+E382</f>
        <v>0</v>
      </c>
      <c r="F372" s="298">
        <f t="shared" si="343"/>
        <v>0</v>
      </c>
      <c r="G372" s="298">
        <f t="shared" si="343"/>
        <v>0</v>
      </c>
      <c r="H372" s="298">
        <f t="shared" si="343"/>
        <v>0</v>
      </c>
      <c r="I372" s="298">
        <f t="shared" si="343"/>
        <v>0</v>
      </c>
      <c r="J372" s="298">
        <f t="shared" si="343"/>
        <v>0</v>
      </c>
      <c r="K372" s="298">
        <f t="shared" si="343"/>
        <v>0</v>
      </c>
      <c r="L372" s="298">
        <f t="shared" si="343"/>
        <v>0</v>
      </c>
      <c r="M372" s="298">
        <f t="shared" si="343"/>
        <v>0</v>
      </c>
      <c r="N372" s="298">
        <f t="shared" si="343"/>
        <v>0</v>
      </c>
      <c r="O372" s="298">
        <f t="shared" si="343"/>
        <v>0</v>
      </c>
      <c r="P372" s="298">
        <f t="shared" si="321"/>
        <v>0</v>
      </c>
      <c r="Q372" s="299">
        <f t="shared" si="322"/>
        <v>0</v>
      </c>
      <c r="R372" s="1584"/>
      <c r="S372" s="297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>
        <f t="shared" si="323"/>
        <v>0</v>
      </c>
      <c r="AF372" s="299">
        <f t="shared" si="324"/>
        <v>0</v>
      </c>
      <c r="AG372" s="374"/>
      <c r="AH372" s="297"/>
      <c r="AI372" s="298"/>
      <c r="AJ372" s="298"/>
      <c r="AK372" s="298"/>
      <c r="AL372" s="298"/>
      <c r="AM372" s="298"/>
      <c r="AN372" s="298"/>
      <c r="AO372" s="298"/>
      <c r="AP372" s="298"/>
      <c r="AQ372" s="298"/>
      <c r="AR372" s="298"/>
      <c r="AS372" s="298"/>
      <c r="AT372" s="298">
        <f t="shared" si="325"/>
        <v>0</v>
      </c>
      <c r="AU372" s="299">
        <f t="shared" si="326"/>
        <v>0</v>
      </c>
      <c r="AV372" s="374"/>
      <c r="AW372" s="2017">
        <v>3417</v>
      </c>
      <c r="AX372" s="298">
        <v>5226</v>
      </c>
      <c r="AY372" s="298">
        <v>3316</v>
      </c>
      <c r="AZ372" s="298">
        <v>3417</v>
      </c>
      <c r="BA372" s="298">
        <v>4624</v>
      </c>
      <c r="BB372" s="298">
        <v>5629</v>
      </c>
      <c r="BC372" s="298">
        <v>5429</v>
      </c>
      <c r="BD372" s="298">
        <v>4020</v>
      </c>
      <c r="BE372" s="298">
        <v>5025</v>
      </c>
      <c r="BF372" s="298">
        <v>3618</v>
      </c>
      <c r="BG372" s="298">
        <v>3417</v>
      </c>
      <c r="BH372" s="298">
        <v>3217</v>
      </c>
      <c r="BI372" s="298">
        <f t="shared" si="327"/>
        <v>50355</v>
      </c>
      <c r="BJ372" s="299">
        <f t="shared" si="319"/>
        <v>4195.9003416381975</v>
      </c>
      <c r="BL372" s="317">
        <f>ROW()</f>
        <v>372</v>
      </c>
      <c r="BM372" s="1432">
        <f t="shared" si="328"/>
        <v>-780</v>
      </c>
      <c r="BN372" s="321">
        <f t="shared" si="338"/>
        <v>0.64078719723183386</v>
      </c>
      <c r="BO372" s="317">
        <f t="shared" si="320"/>
        <v>-6012</v>
      </c>
      <c r="BP372" s="321">
        <f t="shared" si="339"/>
        <v>0.45165326184092941</v>
      </c>
      <c r="BR372" s="8"/>
    </row>
    <row r="373" spans="1:70" ht="17.399999999999999" customHeight="1" x14ac:dyDescent="0.55000000000000004">
      <c r="A373" s="7217"/>
      <c r="B373" s="7207" t="s">
        <v>431</v>
      </c>
      <c r="C373" s="202" t="s">
        <v>227</v>
      </c>
      <c r="D373" s="300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>
        <f t="shared" si="321"/>
        <v>0</v>
      </c>
      <c r="Q373" s="302">
        <f t="shared" si="322"/>
        <v>0</v>
      </c>
      <c r="R373" s="1584"/>
      <c r="S373" s="300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  <c r="AD373" s="301"/>
      <c r="AE373" s="301">
        <f t="shared" si="323"/>
        <v>0</v>
      </c>
      <c r="AF373" s="302">
        <f t="shared" si="324"/>
        <v>0</v>
      </c>
      <c r="AG373" s="374"/>
      <c r="AH373" s="300"/>
      <c r="AI373" s="301"/>
      <c r="AJ373" s="301"/>
      <c r="AK373" s="301"/>
      <c r="AL373" s="301"/>
      <c r="AM373" s="301"/>
      <c r="AN373" s="301"/>
      <c r="AO373" s="301"/>
      <c r="AP373" s="301"/>
      <c r="AQ373" s="301"/>
      <c r="AR373" s="301"/>
      <c r="AS373" s="301"/>
      <c r="AT373" s="301">
        <f t="shared" si="325"/>
        <v>0</v>
      </c>
      <c r="AU373" s="302">
        <f t="shared" si="326"/>
        <v>0</v>
      </c>
      <c r="AV373" s="374"/>
      <c r="AW373" s="2021">
        <v>1396</v>
      </c>
      <c r="AX373" s="301">
        <v>2135</v>
      </c>
      <c r="AY373" s="301">
        <v>1355</v>
      </c>
      <c r="AZ373" s="301">
        <v>1396</v>
      </c>
      <c r="BA373" s="301">
        <v>1888</v>
      </c>
      <c r="BB373" s="301">
        <v>2299</v>
      </c>
      <c r="BC373" s="301">
        <v>2217</v>
      </c>
      <c r="BD373" s="301">
        <v>1642</v>
      </c>
      <c r="BE373" s="301">
        <v>2052</v>
      </c>
      <c r="BF373" s="301">
        <v>1478</v>
      </c>
      <c r="BG373" s="301">
        <v>1396</v>
      </c>
      <c r="BH373" s="301">
        <v>1314</v>
      </c>
      <c r="BI373" s="301">
        <f t="shared" si="327"/>
        <v>20568</v>
      </c>
      <c r="BJ373" s="302">
        <f t="shared" si="319"/>
        <v>1713.8571785684528</v>
      </c>
      <c r="BL373" s="317">
        <f>ROW()</f>
        <v>373</v>
      </c>
      <c r="BM373" s="1432">
        <f t="shared" si="328"/>
        <v>-219</v>
      </c>
      <c r="BN373" s="321">
        <f t="shared" si="338"/>
        <v>2.0778601694915255</v>
      </c>
      <c r="BO373" s="317">
        <f t="shared" si="320"/>
        <v>-181</v>
      </c>
      <c r="BP373" s="321">
        <f t="shared" si="339"/>
        <v>1.5211493582263711</v>
      </c>
      <c r="BR373" s="8"/>
    </row>
    <row r="374" spans="1:70" ht="17.399999999999999" customHeight="1" x14ac:dyDescent="0.55000000000000004">
      <c r="A374" s="7217"/>
      <c r="B374" s="7208"/>
      <c r="C374" s="202" t="s">
        <v>228</v>
      </c>
      <c r="D374" s="300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>
        <f t="shared" si="321"/>
        <v>0</v>
      </c>
      <c r="Q374" s="302">
        <f t="shared" si="322"/>
        <v>0</v>
      </c>
      <c r="R374" s="1584"/>
      <c r="S374" s="300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  <c r="AD374" s="301"/>
      <c r="AE374" s="301">
        <f t="shared" si="323"/>
        <v>0</v>
      </c>
      <c r="AF374" s="302">
        <f t="shared" si="324"/>
        <v>0</v>
      </c>
      <c r="AG374" s="374"/>
      <c r="AH374" s="300"/>
      <c r="AI374" s="301"/>
      <c r="AJ374" s="301"/>
      <c r="AK374" s="301"/>
      <c r="AL374" s="301"/>
      <c r="AM374" s="301"/>
      <c r="AN374" s="301"/>
      <c r="AO374" s="301"/>
      <c r="AP374" s="301"/>
      <c r="AQ374" s="301"/>
      <c r="AR374" s="301"/>
      <c r="AS374" s="301"/>
      <c r="AT374" s="301">
        <f t="shared" si="325"/>
        <v>0</v>
      </c>
      <c r="AU374" s="302">
        <f t="shared" si="326"/>
        <v>0</v>
      </c>
      <c r="AV374" s="374"/>
      <c r="AW374" s="2021">
        <v>1379</v>
      </c>
      <c r="AX374" s="301">
        <v>2110</v>
      </c>
      <c r="AY374" s="301">
        <v>1339</v>
      </c>
      <c r="AZ374" s="301">
        <v>1379</v>
      </c>
      <c r="BA374" s="301">
        <v>1866</v>
      </c>
      <c r="BB374" s="301">
        <v>2272</v>
      </c>
      <c r="BC374" s="301">
        <v>2191</v>
      </c>
      <c r="BD374" s="301">
        <v>1623</v>
      </c>
      <c r="BE374" s="301">
        <v>2028</v>
      </c>
      <c r="BF374" s="301">
        <v>1461</v>
      </c>
      <c r="BG374" s="301">
        <v>1379</v>
      </c>
      <c r="BH374" s="301">
        <v>1296</v>
      </c>
      <c r="BI374" s="301">
        <f t="shared" si="327"/>
        <v>20323</v>
      </c>
      <c r="BJ374" s="302">
        <f t="shared" si="319"/>
        <v>1693.4422131489043</v>
      </c>
      <c r="BL374" s="317">
        <f>ROW()</f>
        <v>374</v>
      </c>
      <c r="BM374" s="1432">
        <f t="shared" si="328"/>
        <v>-218</v>
      </c>
      <c r="BN374" s="321">
        <f t="shared" si="338"/>
        <v>1.289924973204716</v>
      </c>
      <c r="BO374" s="317">
        <f t="shared" si="320"/>
        <v>113</v>
      </c>
      <c r="BP374" s="321">
        <f t="shared" si="339"/>
        <v>0.9901589332283619</v>
      </c>
      <c r="BR374" s="8"/>
    </row>
    <row r="375" spans="1:70" ht="17.399999999999999" customHeight="1" x14ac:dyDescent="0.55000000000000004">
      <c r="A375" s="7217"/>
      <c r="B375" s="7208"/>
      <c r="C375" s="203" t="s">
        <v>229</v>
      </c>
      <c r="D375" s="303"/>
      <c r="E375" s="304"/>
      <c r="F375" s="304"/>
      <c r="G375" s="304"/>
      <c r="H375" s="304"/>
      <c r="I375" s="304"/>
      <c r="J375" s="304"/>
      <c r="K375" s="304"/>
      <c r="L375" s="304"/>
      <c r="M375" s="304"/>
      <c r="N375" s="304"/>
      <c r="O375" s="304"/>
      <c r="P375" s="304">
        <f t="shared" si="321"/>
        <v>0</v>
      </c>
      <c r="Q375" s="305">
        <f t="shared" si="322"/>
        <v>0</v>
      </c>
      <c r="R375" s="1584"/>
      <c r="S375" s="303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>
        <f t="shared" si="323"/>
        <v>0</v>
      </c>
      <c r="AF375" s="305">
        <f t="shared" si="324"/>
        <v>0</v>
      </c>
      <c r="AG375" s="374"/>
      <c r="AH375" s="303"/>
      <c r="AI375" s="304"/>
      <c r="AJ375" s="304"/>
      <c r="AK375" s="304"/>
      <c r="AL375" s="304"/>
      <c r="AM375" s="304"/>
      <c r="AN375" s="304"/>
      <c r="AO375" s="304"/>
      <c r="AP375" s="304"/>
      <c r="AQ375" s="304"/>
      <c r="AR375" s="304"/>
      <c r="AS375" s="304"/>
      <c r="AT375" s="304">
        <f t="shared" si="325"/>
        <v>0</v>
      </c>
      <c r="AU375" s="305">
        <f t="shared" si="326"/>
        <v>0</v>
      </c>
      <c r="AV375" s="374"/>
      <c r="AW375" s="2022">
        <v>1257</v>
      </c>
      <c r="AX375" s="304">
        <v>1923</v>
      </c>
      <c r="AY375" s="304">
        <v>1220</v>
      </c>
      <c r="AZ375" s="304">
        <v>1257</v>
      </c>
      <c r="BA375" s="304">
        <v>1701</v>
      </c>
      <c r="BB375" s="304">
        <v>2070</v>
      </c>
      <c r="BC375" s="304">
        <v>1996</v>
      </c>
      <c r="BD375" s="304">
        <v>1479</v>
      </c>
      <c r="BE375" s="304">
        <v>1849</v>
      </c>
      <c r="BF375" s="304">
        <v>1331</v>
      </c>
      <c r="BG375" s="304">
        <v>1257</v>
      </c>
      <c r="BH375" s="304">
        <v>1183</v>
      </c>
      <c r="BI375" s="304">
        <f t="shared" si="327"/>
        <v>18523</v>
      </c>
      <c r="BJ375" s="305">
        <f t="shared" si="319"/>
        <v>1543.4547121073244</v>
      </c>
      <c r="BL375" s="317">
        <f>ROW()</f>
        <v>375</v>
      </c>
      <c r="BM375" s="1432">
        <f t="shared" si="328"/>
        <v>-109</v>
      </c>
      <c r="BN375" s="321">
        <f t="shared" si="338"/>
        <v>2.0317460317460316</v>
      </c>
      <c r="BO375" s="317">
        <f t="shared" si="320"/>
        <v>500</v>
      </c>
      <c r="BP375" s="321">
        <f t="shared" si="339"/>
        <v>1.5962317119257139</v>
      </c>
      <c r="BR375" s="8"/>
    </row>
    <row r="376" spans="1:70" ht="17.399999999999999" customHeight="1" x14ac:dyDescent="0.55000000000000004">
      <c r="A376" s="7217"/>
      <c r="B376" s="7208"/>
      <c r="C376" s="203" t="s">
        <v>230</v>
      </c>
      <c r="D376" s="303"/>
      <c r="E376" s="304"/>
      <c r="F376" s="304"/>
      <c r="G376" s="304"/>
      <c r="H376" s="304"/>
      <c r="I376" s="304"/>
      <c r="J376" s="304"/>
      <c r="K376" s="304"/>
      <c r="L376" s="304"/>
      <c r="M376" s="304"/>
      <c r="N376" s="304"/>
      <c r="O376" s="304"/>
      <c r="P376" s="304">
        <f t="shared" si="321"/>
        <v>0</v>
      </c>
      <c r="Q376" s="305">
        <f t="shared" si="322"/>
        <v>0</v>
      </c>
      <c r="R376" s="1584"/>
      <c r="S376" s="303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>
        <f t="shared" si="323"/>
        <v>0</v>
      </c>
      <c r="AF376" s="305">
        <f t="shared" si="324"/>
        <v>0</v>
      </c>
      <c r="AG376" s="374"/>
      <c r="AH376" s="303"/>
      <c r="AI376" s="304"/>
      <c r="AJ376" s="304"/>
      <c r="AK376" s="304"/>
      <c r="AL376" s="304"/>
      <c r="AM376" s="304"/>
      <c r="AN376" s="304"/>
      <c r="AO376" s="304"/>
      <c r="AP376" s="304"/>
      <c r="AQ376" s="304"/>
      <c r="AR376" s="304"/>
      <c r="AS376" s="304"/>
      <c r="AT376" s="304">
        <f t="shared" si="325"/>
        <v>0</v>
      </c>
      <c r="AU376" s="305">
        <f t="shared" si="326"/>
        <v>0</v>
      </c>
      <c r="AV376" s="374"/>
      <c r="AW376" s="2022">
        <v>1578</v>
      </c>
      <c r="AX376" s="304">
        <v>2413</v>
      </c>
      <c r="AY376" s="304">
        <v>1531</v>
      </c>
      <c r="AZ376" s="304">
        <v>1578</v>
      </c>
      <c r="BA376" s="304">
        <v>2134</v>
      </c>
      <c r="BB376" s="304">
        <v>2598</v>
      </c>
      <c r="BC376" s="304">
        <v>2505</v>
      </c>
      <c r="BD376" s="304">
        <v>1856</v>
      </c>
      <c r="BE376" s="304">
        <v>2320</v>
      </c>
      <c r="BF376" s="304">
        <v>1670</v>
      </c>
      <c r="BG376" s="304">
        <v>1578</v>
      </c>
      <c r="BH376" s="304">
        <v>1485</v>
      </c>
      <c r="BI376" s="304">
        <f t="shared" si="327"/>
        <v>23246</v>
      </c>
      <c r="BJ376" s="305">
        <f t="shared" si="319"/>
        <v>1937.0052495625366</v>
      </c>
      <c r="BL376" s="317">
        <f>ROW()</f>
        <v>376</v>
      </c>
      <c r="BM376" s="1432">
        <f t="shared" si="328"/>
        <v>-199</v>
      </c>
      <c r="BN376" s="321">
        <f t="shared" si="338"/>
        <v>1.464386129334583</v>
      </c>
      <c r="BO376" s="317">
        <f t="shared" si="320"/>
        <v>-503</v>
      </c>
      <c r="BP376" s="321">
        <f t="shared" si="339"/>
        <v>1.1818807536780522</v>
      </c>
      <c r="BR376" s="8"/>
    </row>
    <row r="377" spans="1:70" ht="17.399999999999999" customHeight="1" x14ac:dyDescent="0.55000000000000004">
      <c r="A377" s="7217"/>
      <c r="B377" s="7208"/>
      <c r="C377" s="202" t="s">
        <v>231</v>
      </c>
      <c r="D377" s="300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>
        <f t="shared" si="321"/>
        <v>0</v>
      </c>
      <c r="Q377" s="302">
        <f t="shared" si="322"/>
        <v>0</v>
      </c>
      <c r="R377" s="1584"/>
      <c r="S377" s="300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  <c r="AD377" s="301"/>
      <c r="AE377" s="301">
        <f t="shared" si="323"/>
        <v>0</v>
      </c>
      <c r="AF377" s="302">
        <f t="shared" si="324"/>
        <v>0</v>
      </c>
      <c r="AG377" s="374"/>
      <c r="AH377" s="300"/>
      <c r="AI377" s="301"/>
      <c r="AJ377" s="301"/>
      <c r="AK377" s="301"/>
      <c r="AL377" s="301"/>
      <c r="AM377" s="301"/>
      <c r="AN377" s="301"/>
      <c r="AO377" s="301"/>
      <c r="AP377" s="301"/>
      <c r="AQ377" s="301"/>
      <c r="AR377" s="301"/>
      <c r="AS377" s="301"/>
      <c r="AT377" s="301">
        <f t="shared" si="325"/>
        <v>0</v>
      </c>
      <c r="AU377" s="302">
        <f t="shared" si="326"/>
        <v>0</v>
      </c>
      <c r="AV377" s="374"/>
      <c r="AW377" s="2021">
        <v>2279</v>
      </c>
      <c r="AX377" s="301">
        <v>3485</v>
      </c>
      <c r="AY377" s="301">
        <v>2212</v>
      </c>
      <c r="AZ377" s="301">
        <v>2279</v>
      </c>
      <c r="BA377" s="301">
        <v>3083</v>
      </c>
      <c r="BB377" s="301">
        <v>3753</v>
      </c>
      <c r="BC377" s="301">
        <v>3619</v>
      </c>
      <c r="BD377" s="301">
        <v>2681</v>
      </c>
      <c r="BE377" s="301">
        <v>3351</v>
      </c>
      <c r="BF377" s="301">
        <v>2413</v>
      </c>
      <c r="BG377" s="301">
        <v>2279</v>
      </c>
      <c r="BH377" s="301">
        <v>2145</v>
      </c>
      <c r="BI377" s="301">
        <f t="shared" si="327"/>
        <v>33579</v>
      </c>
      <c r="BJ377" s="302">
        <f t="shared" si="319"/>
        <v>2798.0168319306727</v>
      </c>
      <c r="BL377" s="317">
        <f>ROW()</f>
        <v>377</v>
      </c>
      <c r="BM377" s="1432">
        <f t="shared" si="328"/>
        <v>-467</v>
      </c>
      <c r="BN377" s="321">
        <f t="shared" si="338"/>
        <v>0.91242296464482642</v>
      </c>
      <c r="BO377" s="317">
        <f t="shared" si="320"/>
        <v>-2292</v>
      </c>
      <c r="BP377" s="321">
        <f t="shared" si="339"/>
        <v>0.67685160368087194</v>
      </c>
      <c r="BR377" s="8"/>
    </row>
    <row r="378" spans="1:70" ht="17.399999999999999" customHeight="1" x14ac:dyDescent="0.55000000000000004">
      <c r="A378" s="7217"/>
      <c r="B378" s="7208"/>
      <c r="C378" s="202" t="s">
        <v>232</v>
      </c>
      <c r="D378" s="300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>
        <f t="shared" si="321"/>
        <v>0</v>
      </c>
      <c r="Q378" s="302">
        <f t="shared" si="322"/>
        <v>0</v>
      </c>
      <c r="R378" s="1584"/>
      <c r="S378" s="300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  <c r="AD378" s="301"/>
      <c r="AE378" s="301">
        <f t="shared" si="323"/>
        <v>0</v>
      </c>
      <c r="AF378" s="302">
        <f t="shared" si="324"/>
        <v>0</v>
      </c>
      <c r="AG378" s="374"/>
      <c r="AH378" s="300"/>
      <c r="AI378" s="301"/>
      <c r="AJ378" s="301"/>
      <c r="AK378" s="301"/>
      <c r="AL378" s="301"/>
      <c r="AM378" s="301"/>
      <c r="AN378" s="301"/>
      <c r="AO378" s="301"/>
      <c r="AP378" s="301"/>
      <c r="AQ378" s="301"/>
      <c r="AR378" s="301"/>
      <c r="AS378" s="301"/>
      <c r="AT378" s="301">
        <f t="shared" si="325"/>
        <v>0</v>
      </c>
      <c r="AU378" s="302">
        <f t="shared" si="326"/>
        <v>0</v>
      </c>
      <c r="AV378" s="374"/>
      <c r="AW378" s="2021">
        <v>1434</v>
      </c>
      <c r="AX378" s="301">
        <v>2193</v>
      </c>
      <c r="AY378" s="301">
        <v>1392</v>
      </c>
      <c r="AZ378" s="301">
        <v>1434</v>
      </c>
      <c r="BA378" s="301">
        <v>1940</v>
      </c>
      <c r="BB378" s="301">
        <v>2362</v>
      </c>
      <c r="BC378" s="301">
        <v>2277</v>
      </c>
      <c r="BD378" s="301">
        <v>1687</v>
      </c>
      <c r="BE378" s="301">
        <v>2109</v>
      </c>
      <c r="BF378" s="301">
        <v>1518</v>
      </c>
      <c r="BG378" s="301">
        <v>1434</v>
      </c>
      <c r="BH378" s="301">
        <v>1350</v>
      </c>
      <c r="BI378" s="301">
        <f t="shared" si="327"/>
        <v>21130</v>
      </c>
      <c r="BJ378" s="302">
        <f t="shared" si="319"/>
        <v>1760.6866094492127</v>
      </c>
      <c r="BL378" s="317">
        <f>ROW()</f>
        <v>378</v>
      </c>
      <c r="BM378" s="1432">
        <f t="shared" si="328"/>
        <v>-254</v>
      </c>
      <c r="BN378" s="321">
        <f t="shared" si="338"/>
        <v>1.2938144329896908</v>
      </c>
      <c r="BO378" s="317">
        <f t="shared" si="320"/>
        <v>-1007</v>
      </c>
      <c r="BP378" s="321">
        <f t="shared" si="339"/>
        <v>1.0229531471840985</v>
      </c>
      <c r="BR378" s="8"/>
    </row>
    <row r="379" spans="1:70" ht="17.399999999999999" customHeight="1" x14ac:dyDescent="0.55000000000000004">
      <c r="A379" s="7217"/>
      <c r="B379" s="7208"/>
      <c r="C379" s="203" t="s">
        <v>233</v>
      </c>
      <c r="D379" s="303"/>
      <c r="E379" s="304"/>
      <c r="F379" s="304"/>
      <c r="G379" s="304"/>
      <c r="H379" s="304"/>
      <c r="I379" s="304"/>
      <c r="J379" s="304"/>
      <c r="K379" s="304"/>
      <c r="L379" s="304"/>
      <c r="M379" s="304"/>
      <c r="N379" s="304"/>
      <c r="O379" s="304"/>
      <c r="P379" s="304">
        <f t="shared" si="321"/>
        <v>0</v>
      </c>
      <c r="Q379" s="305">
        <f t="shared" si="322"/>
        <v>0</v>
      </c>
      <c r="R379" s="1584"/>
      <c r="S379" s="303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>
        <f t="shared" si="323"/>
        <v>0</v>
      </c>
      <c r="AF379" s="305">
        <f t="shared" si="324"/>
        <v>0</v>
      </c>
      <c r="AG379" s="374"/>
      <c r="AH379" s="303"/>
      <c r="AI379" s="304"/>
      <c r="AJ379" s="304"/>
      <c r="AK379" s="304"/>
      <c r="AL379" s="304"/>
      <c r="AM379" s="304"/>
      <c r="AN379" s="304"/>
      <c r="AO379" s="304"/>
      <c r="AP379" s="304"/>
      <c r="AQ379" s="304"/>
      <c r="AR379" s="304"/>
      <c r="AS379" s="304"/>
      <c r="AT379" s="304">
        <f t="shared" si="325"/>
        <v>0</v>
      </c>
      <c r="AU379" s="305">
        <f t="shared" si="326"/>
        <v>0</v>
      </c>
      <c r="AV379" s="374"/>
      <c r="AW379" s="2022">
        <v>2215</v>
      </c>
      <c r="AX379" s="304">
        <v>3387</v>
      </c>
      <c r="AY379" s="304">
        <v>2150</v>
      </c>
      <c r="AZ379" s="304">
        <v>2215</v>
      </c>
      <c r="BA379" s="304">
        <v>2997</v>
      </c>
      <c r="BB379" s="304">
        <v>3648</v>
      </c>
      <c r="BC379" s="304">
        <v>3518</v>
      </c>
      <c r="BD379" s="304">
        <v>2606</v>
      </c>
      <c r="BE379" s="304">
        <v>3258</v>
      </c>
      <c r="BF379" s="304">
        <v>2345</v>
      </c>
      <c r="BG379" s="304">
        <v>2215</v>
      </c>
      <c r="BH379" s="304">
        <v>2085</v>
      </c>
      <c r="BI379" s="304">
        <f t="shared" si="327"/>
        <v>32639</v>
      </c>
      <c r="BJ379" s="305">
        <f t="shared" si="319"/>
        <v>2719.6900258311807</v>
      </c>
      <c r="BL379" s="317">
        <f>ROW()</f>
        <v>379</v>
      </c>
      <c r="BM379" s="1432">
        <f t="shared" si="328"/>
        <v>-595</v>
      </c>
      <c r="BN379" s="321">
        <f t="shared" si="338"/>
        <v>3.5368702035368703E-2</v>
      </c>
      <c r="BO379" s="317">
        <f t="shared" si="320"/>
        <v>-3072</v>
      </c>
      <c r="BP379" s="321">
        <f t="shared" si="339"/>
        <v>2.3438218082661846E-2</v>
      </c>
      <c r="BR379" s="8"/>
    </row>
    <row r="380" spans="1:70" ht="17.399999999999999" customHeight="1" x14ac:dyDescent="0.55000000000000004">
      <c r="A380" s="7217"/>
      <c r="B380" s="7208"/>
      <c r="C380" s="203" t="s">
        <v>234</v>
      </c>
      <c r="D380" s="303"/>
      <c r="E380" s="304"/>
      <c r="F380" s="304"/>
      <c r="G380" s="304"/>
      <c r="H380" s="304"/>
      <c r="I380" s="304"/>
      <c r="J380" s="304"/>
      <c r="K380" s="304"/>
      <c r="L380" s="304"/>
      <c r="M380" s="304"/>
      <c r="N380" s="304"/>
      <c r="O380" s="304"/>
      <c r="P380" s="304">
        <f t="shared" si="321"/>
        <v>0</v>
      </c>
      <c r="Q380" s="305">
        <f t="shared" si="322"/>
        <v>0</v>
      </c>
      <c r="R380" s="1584"/>
      <c r="S380" s="303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>
        <f t="shared" si="323"/>
        <v>0</v>
      </c>
      <c r="AF380" s="305">
        <f t="shared" si="324"/>
        <v>0</v>
      </c>
      <c r="AG380" s="374"/>
      <c r="AH380" s="303"/>
      <c r="AI380" s="304"/>
      <c r="AJ380" s="304"/>
      <c r="AK380" s="304"/>
      <c r="AL380" s="304"/>
      <c r="AM380" s="304"/>
      <c r="AN380" s="304"/>
      <c r="AO380" s="304"/>
      <c r="AP380" s="304"/>
      <c r="AQ380" s="304"/>
      <c r="AR380" s="304"/>
      <c r="AS380" s="304"/>
      <c r="AT380" s="304">
        <f t="shared" si="325"/>
        <v>0</v>
      </c>
      <c r="AU380" s="305">
        <f t="shared" si="326"/>
        <v>0</v>
      </c>
      <c r="AV380" s="374"/>
      <c r="AW380" s="2022">
        <v>2045</v>
      </c>
      <c r="AX380" s="304">
        <v>3128</v>
      </c>
      <c r="AY380" s="304">
        <v>1985</v>
      </c>
      <c r="AZ380" s="304">
        <v>2045</v>
      </c>
      <c r="BA380" s="304">
        <v>2767</v>
      </c>
      <c r="BB380" s="304">
        <v>3369</v>
      </c>
      <c r="BC380" s="304">
        <v>3248</v>
      </c>
      <c r="BD380" s="304">
        <v>2406</v>
      </c>
      <c r="BE380" s="304">
        <v>3008</v>
      </c>
      <c r="BF380" s="304">
        <v>2166</v>
      </c>
      <c r="BG380" s="304">
        <v>2045</v>
      </c>
      <c r="BH380" s="304">
        <v>1925</v>
      </c>
      <c r="BI380" s="304">
        <f t="shared" si="327"/>
        <v>30137</v>
      </c>
      <c r="BJ380" s="305">
        <f t="shared" si="319"/>
        <v>2511.2073993833847</v>
      </c>
      <c r="BL380" s="317">
        <f>ROW()</f>
        <v>380</v>
      </c>
      <c r="BM380" s="1432">
        <f t="shared" si="328"/>
        <v>-342</v>
      </c>
      <c r="BN380" s="321">
        <f t="shared" si="338"/>
        <v>2.2768341163715216E-2</v>
      </c>
      <c r="BO380" s="317">
        <f t="shared" si="320"/>
        <v>-2663</v>
      </c>
      <c r="BP380" s="321">
        <f t="shared" si="339"/>
        <v>1.0087268142150845E-2</v>
      </c>
      <c r="BR380" s="8"/>
    </row>
    <row r="381" spans="1:70" ht="17.399999999999999" customHeight="1" x14ac:dyDescent="0.55000000000000004">
      <c r="A381" s="7217"/>
      <c r="B381" s="7208"/>
      <c r="C381" s="202" t="s">
        <v>235</v>
      </c>
      <c r="D381" s="300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>
        <f t="shared" si="321"/>
        <v>0</v>
      </c>
      <c r="Q381" s="302">
        <f t="shared" si="322"/>
        <v>0</v>
      </c>
      <c r="R381" s="1584"/>
      <c r="S381" s="300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  <c r="AD381" s="301"/>
      <c r="AE381" s="301">
        <f t="shared" si="323"/>
        <v>0</v>
      </c>
      <c r="AF381" s="302">
        <f t="shared" si="324"/>
        <v>0</v>
      </c>
      <c r="AG381" s="374"/>
      <c r="AH381" s="300"/>
      <c r="AI381" s="301"/>
      <c r="AJ381" s="301"/>
      <c r="AK381" s="301"/>
      <c r="AL381" s="301"/>
      <c r="AM381" s="301"/>
      <c r="AN381" s="301"/>
      <c r="AO381" s="301"/>
      <c r="AP381" s="301"/>
      <c r="AQ381" s="301"/>
      <c r="AR381" s="301"/>
      <c r="AS381" s="301"/>
      <c r="AT381" s="301">
        <f t="shared" si="325"/>
        <v>0</v>
      </c>
      <c r="AU381" s="302">
        <f t="shared" si="326"/>
        <v>0</v>
      </c>
      <c r="AV381" s="374"/>
      <c r="AW381" s="2021">
        <v>1722</v>
      </c>
      <c r="AX381" s="301">
        <v>2633</v>
      </c>
      <c r="AY381" s="301">
        <v>1671</v>
      </c>
      <c r="AZ381" s="301">
        <v>1722</v>
      </c>
      <c r="BA381" s="301">
        <v>2330</v>
      </c>
      <c r="BB381" s="301">
        <v>2837</v>
      </c>
      <c r="BC381" s="301">
        <v>2736</v>
      </c>
      <c r="BD381" s="301">
        <v>2026</v>
      </c>
      <c r="BE381" s="301">
        <v>2532</v>
      </c>
      <c r="BF381" s="301">
        <v>1823</v>
      </c>
      <c r="BG381" s="301">
        <v>1722</v>
      </c>
      <c r="BH381" s="301">
        <v>1621</v>
      </c>
      <c r="BI381" s="301">
        <f t="shared" si="327"/>
        <v>25375</v>
      </c>
      <c r="BJ381" s="302">
        <f t="shared" si="319"/>
        <v>2114.4071327389383</v>
      </c>
      <c r="BL381" s="317">
        <f>ROW()</f>
        <v>381</v>
      </c>
      <c r="BM381" s="1432">
        <f t="shared" si="328"/>
        <v>-360</v>
      </c>
      <c r="BN381" s="321">
        <f t="shared" si="338"/>
        <v>2.7038626609442059E-2</v>
      </c>
      <c r="BO381" s="317">
        <f t="shared" si="320"/>
        <v>-2647</v>
      </c>
      <c r="BP381" s="321">
        <f t="shared" si="339"/>
        <v>1.8640394088669951E-2</v>
      </c>
      <c r="BR381" s="8"/>
    </row>
    <row r="382" spans="1:70" ht="18" customHeight="1" thickBot="1" x14ac:dyDescent="0.6">
      <c r="A382" s="7217"/>
      <c r="B382" s="7209"/>
      <c r="C382" s="204" t="s">
        <v>236</v>
      </c>
      <c r="D382" s="306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>
        <f t="shared" si="321"/>
        <v>0</v>
      </c>
      <c r="Q382" s="308">
        <f t="shared" si="322"/>
        <v>0</v>
      </c>
      <c r="R382" s="1584"/>
      <c r="S382" s="306"/>
      <c r="T382" s="307"/>
      <c r="U382" s="307"/>
      <c r="V382" s="307"/>
      <c r="W382" s="307"/>
      <c r="X382" s="307"/>
      <c r="Y382" s="307"/>
      <c r="Z382" s="307"/>
      <c r="AA382" s="307"/>
      <c r="AB382" s="307"/>
      <c r="AC382" s="307"/>
      <c r="AD382" s="307"/>
      <c r="AE382" s="307">
        <f t="shared" si="323"/>
        <v>0</v>
      </c>
      <c r="AF382" s="308">
        <f t="shared" si="324"/>
        <v>0</v>
      </c>
      <c r="AG382" s="374"/>
      <c r="AH382" s="306"/>
      <c r="AI382" s="307"/>
      <c r="AJ382" s="307"/>
      <c r="AK382" s="307"/>
      <c r="AL382" s="307"/>
      <c r="AM382" s="307"/>
      <c r="AN382" s="307"/>
      <c r="AO382" s="307"/>
      <c r="AP382" s="307"/>
      <c r="AQ382" s="307"/>
      <c r="AR382" s="307"/>
      <c r="AS382" s="307"/>
      <c r="AT382" s="307">
        <f t="shared" si="325"/>
        <v>0</v>
      </c>
      <c r="AU382" s="308">
        <f t="shared" si="326"/>
        <v>0</v>
      </c>
      <c r="AV382" s="374"/>
      <c r="AW382" s="2023">
        <v>1695</v>
      </c>
      <c r="AX382" s="307">
        <v>2593</v>
      </c>
      <c r="AY382" s="307">
        <v>1645</v>
      </c>
      <c r="AZ382" s="307">
        <v>1695</v>
      </c>
      <c r="BA382" s="307">
        <v>2294</v>
      </c>
      <c r="BB382" s="307">
        <v>2792</v>
      </c>
      <c r="BC382" s="307">
        <v>2693</v>
      </c>
      <c r="BD382" s="307">
        <v>1994</v>
      </c>
      <c r="BE382" s="307">
        <v>2493</v>
      </c>
      <c r="BF382" s="307">
        <v>1795</v>
      </c>
      <c r="BG382" s="307">
        <v>1695</v>
      </c>
      <c r="BH382" s="307">
        <v>1596</v>
      </c>
      <c r="BI382" s="307">
        <f t="shared" si="327"/>
        <v>24980</v>
      </c>
      <c r="BJ382" s="308">
        <f t="shared" si="319"/>
        <v>2081.4932088992587</v>
      </c>
      <c r="BL382" s="317">
        <f>ROW()</f>
        <v>382</v>
      </c>
      <c r="BM382" s="1432">
        <f t="shared" si="328"/>
        <v>-420</v>
      </c>
      <c r="BN382" s="321">
        <f t="shared" si="338"/>
        <v>3.3129904097646032E-2</v>
      </c>
      <c r="BO382" s="317">
        <f t="shared" si="320"/>
        <v>-3365</v>
      </c>
      <c r="BP382" s="321">
        <f t="shared" si="339"/>
        <v>3.1745396317053642E-2</v>
      </c>
      <c r="BR382" s="8"/>
    </row>
    <row r="383" spans="1:70" ht="17.399999999999999" customHeight="1" x14ac:dyDescent="0.55000000000000004">
      <c r="A383" s="7217"/>
      <c r="B383" s="7213" t="s">
        <v>1119</v>
      </c>
      <c r="C383" s="199" t="s">
        <v>419</v>
      </c>
      <c r="D383" s="291">
        <f>D388+D389</f>
        <v>0</v>
      </c>
      <c r="E383" s="292">
        <f t="shared" ref="E383:O383" si="344">E388+E389</f>
        <v>0</v>
      </c>
      <c r="F383" s="292">
        <f t="shared" si="344"/>
        <v>0</v>
      </c>
      <c r="G383" s="292">
        <f t="shared" si="344"/>
        <v>0</v>
      </c>
      <c r="H383" s="292">
        <f t="shared" si="344"/>
        <v>0</v>
      </c>
      <c r="I383" s="292">
        <f t="shared" si="344"/>
        <v>0</v>
      </c>
      <c r="J383" s="292">
        <f t="shared" si="344"/>
        <v>0</v>
      </c>
      <c r="K383" s="292">
        <f t="shared" si="344"/>
        <v>0</v>
      </c>
      <c r="L383" s="292">
        <f t="shared" si="344"/>
        <v>0</v>
      </c>
      <c r="M383" s="292">
        <f t="shared" si="344"/>
        <v>0</v>
      </c>
      <c r="N383" s="292">
        <f t="shared" si="344"/>
        <v>0</v>
      </c>
      <c r="O383" s="292">
        <f t="shared" si="344"/>
        <v>0</v>
      </c>
      <c r="P383" s="292">
        <f t="shared" si="321"/>
        <v>0</v>
      </c>
      <c r="Q383" s="293">
        <f t="shared" si="322"/>
        <v>0</v>
      </c>
      <c r="R383" s="1584"/>
      <c r="S383" s="291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>
        <f t="shared" si="323"/>
        <v>0</v>
      </c>
      <c r="AF383" s="293">
        <f t="shared" si="324"/>
        <v>0</v>
      </c>
      <c r="AG383" s="374"/>
      <c r="AH383" s="291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>
        <f t="shared" si="325"/>
        <v>0</v>
      </c>
      <c r="AU383" s="293">
        <f t="shared" si="326"/>
        <v>0</v>
      </c>
      <c r="AV383" s="374"/>
      <c r="AW383" s="2015">
        <v>68</v>
      </c>
      <c r="AX383" s="292">
        <v>83</v>
      </c>
      <c r="AY383" s="292">
        <v>50</v>
      </c>
      <c r="AZ383" s="292">
        <v>50</v>
      </c>
      <c r="BA383" s="292">
        <v>83</v>
      </c>
      <c r="BB383" s="292">
        <v>83</v>
      </c>
      <c r="BC383" s="292">
        <v>133</v>
      </c>
      <c r="BD383" s="292">
        <v>83</v>
      </c>
      <c r="BE383" s="292">
        <v>166</v>
      </c>
      <c r="BF383" s="292">
        <v>83</v>
      </c>
      <c r="BG383" s="292">
        <v>146</v>
      </c>
      <c r="BH383" s="292">
        <v>50</v>
      </c>
      <c r="BI383" s="292">
        <f t="shared" si="327"/>
        <v>1078</v>
      </c>
      <c r="BJ383" s="293">
        <f t="shared" si="319"/>
        <v>89.825847846012834</v>
      </c>
      <c r="BL383" s="317">
        <f>ROW()</f>
        <v>383</v>
      </c>
      <c r="BM383" s="1432">
        <f t="shared" si="328"/>
        <v>-26</v>
      </c>
      <c r="BN383" s="321">
        <f t="shared" si="338"/>
        <v>1.4698795180722892</v>
      </c>
      <c r="BO383" s="317">
        <f t="shared" si="320"/>
        <v>-313</v>
      </c>
      <c r="BP383" s="321">
        <f t="shared" si="339"/>
        <v>0.89517625231910947</v>
      </c>
      <c r="BR383" s="8"/>
    </row>
    <row r="384" spans="1:70" ht="17.399999999999999" customHeight="1" x14ac:dyDescent="0.55000000000000004">
      <c r="A384" s="7217"/>
      <c r="B384" s="7214"/>
      <c r="C384" s="200" t="s">
        <v>420</v>
      </c>
      <c r="D384" s="294">
        <f>D390+D391</f>
        <v>0</v>
      </c>
      <c r="E384" s="295">
        <f t="shared" ref="E384:O384" si="345">E390+E391</f>
        <v>0</v>
      </c>
      <c r="F384" s="295">
        <f t="shared" si="345"/>
        <v>0</v>
      </c>
      <c r="G384" s="295">
        <f t="shared" si="345"/>
        <v>0</v>
      </c>
      <c r="H384" s="295">
        <f t="shared" si="345"/>
        <v>0</v>
      </c>
      <c r="I384" s="295">
        <f t="shared" si="345"/>
        <v>0</v>
      </c>
      <c r="J384" s="295">
        <f t="shared" si="345"/>
        <v>0</v>
      </c>
      <c r="K384" s="295">
        <f t="shared" si="345"/>
        <v>0</v>
      </c>
      <c r="L384" s="295">
        <f t="shared" si="345"/>
        <v>0</v>
      </c>
      <c r="M384" s="295">
        <f t="shared" si="345"/>
        <v>0</v>
      </c>
      <c r="N384" s="295">
        <f t="shared" si="345"/>
        <v>0</v>
      </c>
      <c r="O384" s="295">
        <f t="shared" si="345"/>
        <v>0</v>
      </c>
      <c r="P384" s="295">
        <f t="shared" si="321"/>
        <v>0</v>
      </c>
      <c r="Q384" s="296">
        <f t="shared" si="322"/>
        <v>0</v>
      </c>
      <c r="R384" s="1584"/>
      <c r="S384" s="294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  <c r="AE384" s="295">
        <f t="shared" si="323"/>
        <v>0</v>
      </c>
      <c r="AF384" s="296">
        <f t="shared" si="324"/>
        <v>0</v>
      </c>
      <c r="AG384" s="374"/>
      <c r="AH384" s="294"/>
      <c r="AI384" s="295"/>
      <c r="AJ384" s="295"/>
      <c r="AK384" s="295"/>
      <c r="AL384" s="295"/>
      <c r="AM384" s="295"/>
      <c r="AN384" s="295"/>
      <c r="AO384" s="295"/>
      <c r="AP384" s="295"/>
      <c r="AQ384" s="295"/>
      <c r="AR384" s="295"/>
      <c r="AS384" s="295"/>
      <c r="AT384" s="295">
        <f t="shared" si="325"/>
        <v>0</v>
      </c>
      <c r="AU384" s="296">
        <f t="shared" si="326"/>
        <v>0</v>
      </c>
      <c r="AV384" s="374"/>
      <c r="AW384" s="2016">
        <v>49</v>
      </c>
      <c r="AX384" s="295">
        <v>71</v>
      </c>
      <c r="AY384" s="295">
        <v>43</v>
      </c>
      <c r="AZ384" s="295">
        <v>43</v>
      </c>
      <c r="BA384" s="295">
        <v>71</v>
      </c>
      <c r="BB384" s="295">
        <v>71</v>
      </c>
      <c r="BC384" s="295">
        <v>113</v>
      </c>
      <c r="BD384" s="295">
        <v>71</v>
      </c>
      <c r="BE384" s="295">
        <v>141</v>
      </c>
      <c r="BF384" s="295">
        <v>71</v>
      </c>
      <c r="BG384" s="295">
        <v>150</v>
      </c>
      <c r="BH384" s="295">
        <v>43</v>
      </c>
      <c r="BI384" s="295">
        <f t="shared" si="327"/>
        <v>937</v>
      </c>
      <c r="BJ384" s="296">
        <f t="shared" si="319"/>
        <v>78.076826931089073</v>
      </c>
      <c r="BL384" s="317">
        <f>ROW()</f>
        <v>384</v>
      </c>
      <c r="BM384" s="1432">
        <f t="shared" si="328"/>
        <v>-33</v>
      </c>
      <c r="BN384" s="321">
        <f t="shared" si="338"/>
        <v>0.60563380281690138</v>
      </c>
      <c r="BO384" s="317">
        <f t="shared" si="320"/>
        <v>-633</v>
      </c>
      <c r="BP384" s="321">
        <f t="shared" si="339"/>
        <v>0.31056563500533618</v>
      </c>
      <c r="BR384" s="8"/>
    </row>
    <row r="385" spans="1:70" ht="17.399999999999999" customHeight="1" x14ac:dyDescent="0.55000000000000004">
      <c r="A385" s="7217"/>
      <c r="B385" s="7214"/>
      <c r="C385" s="200" t="s">
        <v>421</v>
      </c>
      <c r="D385" s="294">
        <f>D392+D393</f>
        <v>0</v>
      </c>
      <c r="E385" s="295">
        <f t="shared" ref="E385:O385" si="346">E392+E393</f>
        <v>0</v>
      </c>
      <c r="F385" s="295">
        <f t="shared" si="346"/>
        <v>0</v>
      </c>
      <c r="G385" s="295">
        <f t="shared" si="346"/>
        <v>0</v>
      </c>
      <c r="H385" s="295">
        <f t="shared" si="346"/>
        <v>0</v>
      </c>
      <c r="I385" s="295">
        <f t="shared" si="346"/>
        <v>0</v>
      </c>
      <c r="J385" s="295">
        <f t="shared" si="346"/>
        <v>0</v>
      </c>
      <c r="K385" s="295">
        <f t="shared" si="346"/>
        <v>0</v>
      </c>
      <c r="L385" s="295">
        <f t="shared" si="346"/>
        <v>0</v>
      </c>
      <c r="M385" s="295">
        <f t="shared" si="346"/>
        <v>0</v>
      </c>
      <c r="N385" s="295">
        <f t="shared" si="346"/>
        <v>0</v>
      </c>
      <c r="O385" s="295">
        <f t="shared" si="346"/>
        <v>0</v>
      </c>
      <c r="P385" s="295">
        <f t="shared" si="321"/>
        <v>0</v>
      </c>
      <c r="Q385" s="296">
        <f t="shared" si="322"/>
        <v>0</v>
      </c>
      <c r="R385" s="1584"/>
      <c r="S385" s="294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  <c r="AE385" s="295">
        <f t="shared" si="323"/>
        <v>0</v>
      </c>
      <c r="AF385" s="296">
        <f t="shared" si="324"/>
        <v>0</v>
      </c>
      <c r="AG385" s="374"/>
      <c r="AH385" s="294"/>
      <c r="AI385" s="295"/>
      <c r="AJ385" s="295"/>
      <c r="AK385" s="295"/>
      <c r="AL385" s="295"/>
      <c r="AM385" s="295"/>
      <c r="AN385" s="295"/>
      <c r="AO385" s="295"/>
      <c r="AP385" s="295"/>
      <c r="AQ385" s="295"/>
      <c r="AR385" s="295"/>
      <c r="AS385" s="295"/>
      <c r="AT385" s="295">
        <f t="shared" si="325"/>
        <v>0</v>
      </c>
      <c r="AU385" s="296">
        <f t="shared" si="326"/>
        <v>0</v>
      </c>
      <c r="AV385" s="374"/>
      <c r="AW385" s="2016">
        <v>51</v>
      </c>
      <c r="AX385" s="295">
        <v>91</v>
      </c>
      <c r="AY385" s="295">
        <v>55</v>
      </c>
      <c r="AZ385" s="295">
        <v>55</v>
      </c>
      <c r="BA385" s="295">
        <v>91</v>
      </c>
      <c r="BB385" s="295">
        <v>91</v>
      </c>
      <c r="BC385" s="295">
        <v>146</v>
      </c>
      <c r="BD385" s="295">
        <v>91</v>
      </c>
      <c r="BE385" s="295">
        <v>182</v>
      </c>
      <c r="BF385" s="295">
        <v>91</v>
      </c>
      <c r="BG385" s="295">
        <v>171</v>
      </c>
      <c r="BH385" s="295">
        <v>55</v>
      </c>
      <c r="BI385" s="295">
        <f t="shared" si="327"/>
        <v>1170</v>
      </c>
      <c r="BJ385" s="296">
        <f t="shared" si="319"/>
        <v>97.491875677026925</v>
      </c>
      <c r="BL385" s="317">
        <f>ROW()</f>
        <v>385</v>
      </c>
      <c r="BM385" s="1432">
        <f t="shared" si="328"/>
        <v>-29</v>
      </c>
      <c r="BN385" s="321">
        <f t="shared" si="338"/>
        <v>0.6923076923076924</v>
      </c>
      <c r="BO385" s="317">
        <f t="shared" si="320"/>
        <v>-697</v>
      </c>
      <c r="BP385" s="321">
        <f t="shared" si="339"/>
        <v>0.40512820512820513</v>
      </c>
      <c r="BR385" s="8"/>
    </row>
    <row r="386" spans="1:70" ht="17.399999999999999" customHeight="1" x14ac:dyDescent="0.55000000000000004">
      <c r="A386" s="7217"/>
      <c r="B386" s="7214"/>
      <c r="C386" s="200" t="s">
        <v>422</v>
      </c>
      <c r="D386" s="294">
        <f>D394+D395</f>
        <v>0</v>
      </c>
      <c r="E386" s="295">
        <f t="shared" ref="E386:O386" si="347">E394+E395</f>
        <v>0</v>
      </c>
      <c r="F386" s="295">
        <f t="shared" si="347"/>
        <v>0</v>
      </c>
      <c r="G386" s="295">
        <f t="shared" si="347"/>
        <v>0</v>
      </c>
      <c r="H386" s="295">
        <f t="shared" si="347"/>
        <v>0</v>
      </c>
      <c r="I386" s="295">
        <f t="shared" si="347"/>
        <v>0</v>
      </c>
      <c r="J386" s="295">
        <f t="shared" si="347"/>
        <v>0</v>
      </c>
      <c r="K386" s="295">
        <f t="shared" si="347"/>
        <v>0</v>
      </c>
      <c r="L386" s="295">
        <f t="shared" si="347"/>
        <v>0</v>
      </c>
      <c r="M386" s="295">
        <f t="shared" si="347"/>
        <v>0</v>
      </c>
      <c r="N386" s="295">
        <f t="shared" si="347"/>
        <v>0</v>
      </c>
      <c r="O386" s="295">
        <f t="shared" si="347"/>
        <v>0</v>
      </c>
      <c r="P386" s="295">
        <f t="shared" si="321"/>
        <v>0</v>
      </c>
      <c r="Q386" s="296">
        <f t="shared" si="322"/>
        <v>0</v>
      </c>
      <c r="R386" s="1584"/>
      <c r="S386" s="294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  <c r="AE386" s="295">
        <f t="shared" si="323"/>
        <v>0</v>
      </c>
      <c r="AF386" s="296">
        <f t="shared" si="324"/>
        <v>0</v>
      </c>
      <c r="AG386" s="374"/>
      <c r="AH386" s="294"/>
      <c r="AI386" s="295"/>
      <c r="AJ386" s="295"/>
      <c r="AK386" s="295"/>
      <c r="AL386" s="295"/>
      <c r="AM386" s="295"/>
      <c r="AN386" s="295"/>
      <c r="AO386" s="295"/>
      <c r="AP386" s="295"/>
      <c r="AQ386" s="295"/>
      <c r="AR386" s="295"/>
      <c r="AS386" s="295"/>
      <c r="AT386" s="295">
        <f t="shared" si="325"/>
        <v>0</v>
      </c>
      <c r="AU386" s="296">
        <f t="shared" si="326"/>
        <v>0</v>
      </c>
      <c r="AV386" s="374"/>
      <c r="AW386" s="2016">
        <v>109</v>
      </c>
      <c r="AX386" s="295">
        <v>147</v>
      </c>
      <c r="AY386" s="295">
        <v>87</v>
      </c>
      <c r="AZ386" s="295">
        <v>87</v>
      </c>
      <c r="BA386" s="295">
        <v>147</v>
      </c>
      <c r="BB386" s="295">
        <v>147</v>
      </c>
      <c r="BC386" s="295">
        <v>235</v>
      </c>
      <c r="BD386" s="295">
        <v>147</v>
      </c>
      <c r="BE386" s="295">
        <v>295</v>
      </c>
      <c r="BF386" s="295">
        <v>147</v>
      </c>
      <c r="BG386" s="295">
        <v>303</v>
      </c>
      <c r="BH386" s="295">
        <v>87</v>
      </c>
      <c r="BI386" s="295">
        <f t="shared" si="327"/>
        <v>1938</v>
      </c>
      <c r="BJ386" s="296">
        <f t="shared" si="319"/>
        <v>161.48654278810099</v>
      </c>
      <c r="BL386" s="317">
        <f>ROW()</f>
        <v>386</v>
      </c>
      <c r="BM386" s="1432">
        <f t="shared" si="328"/>
        <v>-72</v>
      </c>
      <c r="BN386" s="321">
        <f t="shared" si="338"/>
        <v>0.14285714285714285</v>
      </c>
      <c r="BO386" s="317">
        <f t="shared" si="320"/>
        <v>-1145</v>
      </c>
      <c r="BP386" s="321">
        <f t="shared" si="339"/>
        <v>7.533539731682147E-2</v>
      </c>
      <c r="BR386" s="8"/>
    </row>
    <row r="387" spans="1:70" ht="17.399999999999999" customHeight="1" x14ac:dyDescent="0.55000000000000004">
      <c r="A387" s="7217"/>
      <c r="B387" s="7215"/>
      <c r="C387" s="201" t="s">
        <v>423</v>
      </c>
      <c r="D387" s="297">
        <f>D396+D397</f>
        <v>0</v>
      </c>
      <c r="E387" s="298">
        <f t="shared" ref="E387:O387" si="348">E396+E397</f>
        <v>0</v>
      </c>
      <c r="F387" s="298">
        <f t="shared" si="348"/>
        <v>0</v>
      </c>
      <c r="G387" s="298">
        <f t="shared" si="348"/>
        <v>0</v>
      </c>
      <c r="H387" s="298">
        <f t="shared" si="348"/>
        <v>0</v>
      </c>
      <c r="I387" s="298">
        <f t="shared" si="348"/>
        <v>0</v>
      </c>
      <c r="J387" s="298">
        <f t="shared" si="348"/>
        <v>0</v>
      </c>
      <c r="K387" s="298">
        <f t="shared" si="348"/>
        <v>0</v>
      </c>
      <c r="L387" s="298">
        <f t="shared" si="348"/>
        <v>0</v>
      </c>
      <c r="M387" s="298">
        <f t="shared" si="348"/>
        <v>0</v>
      </c>
      <c r="N387" s="298">
        <f t="shared" si="348"/>
        <v>0</v>
      </c>
      <c r="O387" s="298">
        <f t="shared" si="348"/>
        <v>0</v>
      </c>
      <c r="P387" s="298">
        <f t="shared" si="321"/>
        <v>0</v>
      </c>
      <c r="Q387" s="299">
        <f t="shared" si="322"/>
        <v>0</v>
      </c>
      <c r="R387" s="1584"/>
      <c r="S387" s="297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>
        <f t="shared" si="323"/>
        <v>0</v>
      </c>
      <c r="AF387" s="299">
        <f t="shared" si="324"/>
        <v>0</v>
      </c>
      <c r="AG387" s="374"/>
      <c r="AH387" s="297"/>
      <c r="AI387" s="298"/>
      <c r="AJ387" s="298"/>
      <c r="AK387" s="298"/>
      <c r="AL387" s="298"/>
      <c r="AM387" s="298"/>
      <c r="AN387" s="298"/>
      <c r="AO387" s="298"/>
      <c r="AP387" s="298"/>
      <c r="AQ387" s="298"/>
      <c r="AR387" s="298"/>
      <c r="AS387" s="298"/>
      <c r="AT387" s="298">
        <f t="shared" si="325"/>
        <v>0</v>
      </c>
      <c r="AU387" s="299">
        <f t="shared" si="326"/>
        <v>0</v>
      </c>
      <c r="AV387" s="374"/>
      <c r="AW387" s="2017">
        <v>73</v>
      </c>
      <c r="AX387" s="298">
        <v>108</v>
      </c>
      <c r="AY387" s="298">
        <v>65</v>
      </c>
      <c r="AZ387" s="298">
        <v>65</v>
      </c>
      <c r="BA387" s="298">
        <v>108</v>
      </c>
      <c r="BB387" s="298">
        <v>108</v>
      </c>
      <c r="BC387" s="298">
        <v>173</v>
      </c>
      <c r="BD387" s="298">
        <v>108</v>
      </c>
      <c r="BE387" s="298">
        <v>216</v>
      </c>
      <c r="BF387" s="298">
        <v>108</v>
      </c>
      <c r="BG387" s="298">
        <v>230</v>
      </c>
      <c r="BH387" s="298">
        <v>65</v>
      </c>
      <c r="BI387" s="298">
        <f t="shared" si="327"/>
        <v>1427</v>
      </c>
      <c r="BJ387" s="299">
        <f t="shared" si="319"/>
        <v>118.90675777018582</v>
      </c>
      <c r="BL387" s="317">
        <f>ROW()</f>
        <v>387</v>
      </c>
      <c r="BM387" s="1432">
        <f t="shared" si="328"/>
        <v>-37</v>
      </c>
      <c r="BN387" s="321">
        <f t="shared" si="338"/>
        <v>0.3888888888888889</v>
      </c>
      <c r="BO387" s="317">
        <f t="shared" si="320"/>
        <v>-462</v>
      </c>
      <c r="BP387" s="321">
        <f t="shared" si="339"/>
        <v>0.1107217939733707</v>
      </c>
      <c r="BR387" s="8"/>
    </row>
    <row r="388" spans="1:70" ht="17.399999999999999" customHeight="1" x14ac:dyDescent="0.55000000000000004">
      <c r="A388" s="7217"/>
      <c r="B388" s="7207" t="s">
        <v>1120</v>
      </c>
      <c r="C388" s="202" t="s">
        <v>227</v>
      </c>
      <c r="D388" s="300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>
        <f t="shared" si="321"/>
        <v>0</v>
      </c>
      <c r="Q388" s="302">
        <f t="shared" si="322"/>
        <v>0</v>
      </c>
      <c r="R388" s="1584"/>
      <c r="S388" s="300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  <c r="AD388" s="301"/>
      <c r="AE388" s="301">
        <f t="shared" si="323"/>
        <v>0</v>
      </c>
      <c r="AF388" s="302">
        <f t="shared" si="324"/>
        <v>0</v>
      </c>
      <c r="AG388" s="374"/>
      <c r="AH388" s="300"/>
      <c r="AI388" s="301"/>
      <c r="AJ388" s="301"/>
      <c r="AK388" s="301"/>
      <c r="AL388" s="301"/>
      <c r="AM388" s="301"/>
      <c r="AN388" s="301"/>
      <c r="AO388" s="301"/>
      <c r="AP388" s="301"/>
      <c r="AQ388" s="301"/>
      <c r="AR388" s="301"/>
      <c r="AS388" s="301"/>
      <c r="AT388" s="301">
        <f t="shared" si="325"/>
        <v>0</v>
      </c>
      <c r="AU388" s="302">
        <f t="shared" si="326"/>
        <v>0</v>
      </c>
      <c r="AV388" s="374"/>
      <c r="AW388" s="2021">
        <v>26</v>
      </c>
      <c r="AX388" s="301">
        <v>30</v>
      </c>
      <c r="AY388" s="301">
        <v>19</v>
      </c>
      <c r="AZ388" s="301">
        <v>21</v>
      </c>
      <c r="BA388" s="301">
        <v>29</v>
      </c>
      <c r="BB388" s="301">
        <v>27</v>
      </c>
      <c r="BC388" s="301">
        <v>43</v>
      </c>
      <c r="BD388" s="301">
        <v>27</v>
      </c>
      <c r="BE388" s="301">
        <v>57</v>
      </c>
      <c r="BF388" s="301">
        <v>26</v>
      </c>
      <c r="BG388" s="301">
        <v>50</v>
      </c>
      <c r="BH388" s="301">
        <v>18</v>
      </c>
      <c r="BI388" s="301">
        <f t="shared" si="327"/>
        <v>373</v>
      </c>
      <c r="BJ388" s="302">
        <f t="shared" si="319"/>
        <v>31.080743271394052</v>
      </c>
      <c r="BL388" s="317">
        <f>ROW()</f>
        <v>388</v>
      </c>
      <c r="BM388" s="1432">
        <f t="shared" si="328"/>
        <v>-14</v>
      </c>
      <c r="BN388" s="321">
        <f t="shared" si="338"/>
        <v>1.103448275862069</v>
      </c>
      <c r="BO388" s="317">
        <f t="shared" si="320"/>
        <v>-82</v>
      </c>
      <c r="BP388" s="321">
        <f t="shared" si="339"/>
        <v>0.57640750670241292</v>
      </c>
      <c r="BR388" s="8"/>
    </row>
    <row r="389" spans="1:70" ht="17.399999999999999" customHeight="1" x14ac:dyDescent="0.55000000000000004">
      <c r="A389" s="7217"/>
      <c r="B389" s="7208"/>
      <c r="C389" s="202" t="s">
        <v>228</v>
      </c>
      <c r="D389" s="300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>
        <f t="shared" si="321"/>
        <v>0</v>
      </c>
      <c r="Q389" s="302">
        <f t="shared" si="322"/>
        <v>0</v>
      </c>
      <c r="R389" s="1584"/>
      <c r="S389" s="300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  <c r="AD389" s="301"/>
      <c r="AE389" s="301">
        <f t="shared" si="323"/>
        <v>0</v>
      </c>
      <c r="AF389" s="302">
        <f t="shared" si="324"/>
        <v>0</v>
      </c>
      <c r="AG389" s="374"/>
      <c r="AH389" s="300"/>
      <c r="AI389" s="301"/>
      <c r="AJ389" s="301"/>
      <c r="AK389" s="301"/>
      <c r="AL389" s="301"/>
      <c r="AM389" s="301"/>
      <c r="AN389" s="301"/>
      <c r="AO389" s="301"/>
      <c r="AP389" s="301"/>
      <c r="AQ389" s="301"/>
      <c r="AR389" s="301"/>
      <c r="AS389" s="301"/>
      <c r="AT389" s="301">
        <f t="shared" si="325"/>
        <v>0</v>
      </c>
      <c r="AU389" s="302">
        <f t="shared" si="326"/>
        <v>0</v>
      </c>
      <c r="AV389" s="374"/>
      <c r="AW389" s="2021">
        <v>42</v>
      </c>
      <c r="AX389" s="301">
        <v>53</v>
      </c>
      <c r="AY389" s="301">
        <v>31</v>
      </c>
      <c r="AZ389" s="301">
        <v>29</v>
      </c>
      <c r="BA389" s="301">
        <v>54</v>
      </c>
      <c r="BB389" s="301">
        <v>56</v>
      </c>
      <c r="BC389" s="301">
        <v>90</v>
      </c>
      <c r="BD389" s="301">
        <v>56</v>
      </c>
      <c r="BE389" s="301">
        <v>109</v>
      </c>
      <c r="BF389" s="301">
        <v>57</v>
      </c>
      <c r="BG389" s="301">
        <v>96</v>
      </c>
      <c r="BH389" s="301">
        <v>32</v>
      </c>
      <c r="BI389" s="301">
        <f t="shared" si="327"/>
        <v>705</v>
      </c>
      <c r="BJ389" s="302">
        <f t="shared" si="319"/>
        <v>58.745104574618786</v>
      </c>
      <c r="BL389" s="317">
        <f>ROW()</f>
        <v>389</v>
      </c>
      <c r="BM389" s="1432">
        <f t="shared" si="328"/>
        <v>-12</v>
      </c>
      <c r="BN389" s="321">
        <f t="shared" si="338"/>
        <v>0.57407407407407407</v>
      </c>
      <c r="BO389" s="317">
        <f t="shared" si="320"/>
        <v>-231</v>
      </c>
      <c r="BP389" s="321">
        <f t="shared" si="339"/>
        <v>0.36595744680851061</v>
      </c>
      <c r="BR389" s="8"/>
    </row>
    <row r="390" spans="1:70" ht="17.399999999999999" customHeight="1" x14ac:dyDescent="0.55000000000000004">
      <c r="A390" s="7217"/>
      <c r="B390" s="7208"/>
      <c r="C390" s="203" t="s">
        <v>229</v>
      </c>
      <c r="D390" s="303"/>
      <c r="E390" s="304"/>
      <c r="F390" s="304"/>
      <c r="G390" s="304"/>
      <c r="H390" s="304"/>
      <c r="I390" s="304"/>
      <c r="J390" s="304"/>
      <c r="K390" s="304"/>
      <c r="L390" s="304"/>
      <c r="M390" s="304"/>
      <c r="N390" s="304"/>
      <c r="O390" s="304"/>
      <c r="P390" s="304">
        <f t="shared" si="321"/>
        <v>0</v>
      </c>
      <c r="Q390" s="305">
        <f t="shared" si="322"/>
        <v>0</v>
      </c>
      <c r="R390" s="1584"/>
      <c r="S390" s="303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>
        <f t="shared" si="323"/>
        <v>0</v>
      </c>
      <c r="AF390" s="305">
        <f t="shared" si="324"/>
        <v>0</v>
      </c>
      <c r="AG390" s="374"/>
      <c r="AH390" s="303"/>
      <c r="AI390" s="304"/>
      <c r="AJ390" s="304"/>
      <c r="AK390" s="304"/>
      <c r="AL390" s="304"/>
      <c r="AM390" s="304"/>
      <c r="AN390" s="304"/>
      <c r="AO390" s="304"/>
      <c r="AP390" s="304"/>
      <c r="AQ390" s="304"/>
      <c r="AR390" s="304"/>
      <c r="AS390" s="304"/>
      <c r="AT390" s="304">
        <f t="shared" si="325"/>
        <v>0</v>
      </c>
      <c r="AU390" s="305">
        <f t="shared" si="326"/>
        <v>0</v>
      </c>
      <c r="AV390" s="374"/>
      <c r="AW390" s="2022">
        <v>26</v>
      </c>
      <c r="AX390" s="304">
        <v>33</v>
      </c>
      <c r="AY390" s="304">
        <v>20</v>
      </c>
      <c r="AZ390" s="304">
        <v>20</v>
      </c>
      <c r="BA390" s="304">
        <v>33</v>
      </c>
      <c r="BB390" s="304">
        <v>33</v>
      </c>
      <c r="BC390" s="304">
        <v>53</v>
      </c>
      <c r="BD390" s="304">
        <v>33</v>
      </c>
      <c r="BE390" s="304">
        <v>66</v>
      </c>
      <c r="BF390" s="304">
        <v>33</v>
      </c>
      <c r="BG390" s="304">
        <v>70</v>
      </c>
      <c r="BH390" s="304">
        <v>20</v>
      </c>
      <c r="BI390" s="304">
        <f t="shared" si="327"/>
        <v>440</v>
      </c>
      <c r="BJ390" s="305">
        <f t="shared" si="319"/>
        <v>36.663611365719525</v>
      </c>
      <c r="BL390" s="317">
        <f>ROW()</f>
        <v>390</v>
      </c>
      <c r="BM390" s="1432">
        <f t="shared" si="328"/>
        <v>-15</v>
      </c>
      <c r="BN390" s="321">
        <f t="shared" si="338"/>
        <v>1.666666666666667</v>
      </c>
      <c r="BO390" s="317">
        <f t="shared" si="320"/>
        <v>-294</v>
      </c>
      <c r="BP390" s="321">
        <f t="shared" si="339"/>
        <v>1.1227272727272728</v>
      </c>
      <c r="BR390" s="8"/>
    </row>
    <row r="391" spans="1:70" ht="17.399999999999999" customHeight="1" x14ac:dyDescent="0.55000000000000004">
      <c r="A391" s="7217"/>
      <c r="B391" s="7208"/>
      <c r="C391" s="203" t="s">
        <v>230</v>
      </c>
      <c r="D391" s="303"/>
      <c r="E391" s="304"/>
      <c r="F391" s="304"/>
      <c r="G391" s="304"/>
      <c r="H391" s="304"/>
      <c r="I391" s="304"/>
      <c r="J391" s="304"/>
      <c r="K391" s="304"/>
      <c r="L391" s="304"/>
      <c r="M391" s="304"/>
      <c r="N391" s="304"/>
      <c r="O391" s="304"/>
      <c r="P391" s="304">
        <f t="shared" si="321"/>
        <v>0</v>
      </c>
      <c r="Q391" s="305">
        <f t="shared" si="322"/>
        <v>0</v>
      </c>
      <c r="R391" s="1584"/>
      <c r="S391" s="303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>
        <f t="shared" si="323"/>
        <v>0</v>
      </c>
      <c r="AF391" s="305">
        <f t="shared" si="324"/>
        <v>0</v>
      </c>
      <c r="AG391" s="374"/>
      <c r="AH391" s="303"/>
      <c r="AI391" s="304"/>
      <c r="AJ391" s="304"/>
      <c r="AK391" s="304"/>
      <c r="AL391" s="304"/>
      <c r="AM391" s="304"/>
      <c r="AN391" s="304"/>
      <c r="AO391" s="304"/>
      <c r="AP391" s="304"/>
      <c r="AQ391" s="304"/>
      <c r="AR391" s="304"/>
      <c r="AS391" s="304"/>
      <c r="AT391" s="304">
        <f t="shared" si="325"/>
        <v>0</v>
      </c>
      <c r="AU391" s="305">
        <f t="shared" si="326"/>
        <v>0</v>
      </c>
      <c r="AV391" s="374"/>
      <c r="AW391" s="2022">
        <v>23</v>
      </c>
      <c r="AX391" s="304">
        <v>38</v>
      </c>
      <c r="AY391" s="304">
        <v>23</v>
      </c>
      <c r="AZ391" s="304">
        <v>23</v>
      </c>
      <c r="BA391" s="304">
        <v>38</v>
      </c>
      <c r="BB391" s="304">
        <v>38</v>
      </c>
      <c r="BC391" s="304">
        <v>60</v>
      </c>
      <c r="BD391" s="304">
        <v>38</v>
      </c>
      <c r="BE391" s="304">
        <v>75</v>
      </c>
      <c r="BF391" s="304">
        <v>38</v>
      </c>
      <c r="BG391" s="304">
        <v>80</v>
      </c>
      <c r="BH391" s="304">
        <v>23</v>
      </c>
      <c r="BI391" s="304">
        <f t="shared" si="327"/>
        <v>497</v>
      </c>
      <c r="BJ391" s="305">
        <f t="shared" si="319"/>
        <v>41.413215565369555</v>
      </c>
      <c r="BL391" s="317">
        <f>ROW()</f>
        <v>391</v>
      </c>
      <c r="BM391" s="1432">
        <f t="shared" si="328"/>
        <v>-18</v>
      </c>
      <c r="BN391" s="321">
        <f t="shared" si="338"/>
        <v>0.55263157894736847</v>
      </c>
      <c r="BO391" s="317">
        <f t="shared" si="320"/>
        <v>-339</v>
      </c>
      <c r="BP391" s="321">
        <f t="shared" si="339"/>
        <v>0.60160965794768617</v>
      </c>
      <c r="BR391" s="8"/>
    </row>
    <row r="392" spans="1:70" ht="17.399999999999999" customHeight="1" x14ac:dyDescent="0.55000000000000004">
      <c r="A392" s="7217"/>
      <c r="B392" s="7208"/>
      <c r="C392" s="202" t="s">
        <v>231</v>
      </c>
      <c r="D392" s="300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>
        <f t="shared" si="321"/>
        <v>0</v>
      </c>
      <c r="Q392" s="302">
        <f t="shared" si="322"/>
        <v>0</v>
      </c>
      <c r="R392" s="1584"/>
      <c r="S392" s="300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  <c r="AE392" s="301">
        <f t="shared" si="323"/>
        <v>0</v>
      </c>
      <c r="AF392" s="302">
        <f t="shared" si="324"/>
        <v>0</v>
      </c>
      <c r="AG392" s="374"/>
      <c r="AH392" s="300"/>
      <c r="AI392" s="301"/>
      <c r="AJ392" s="301"/>
      <c r="AK392" s="301"/>
      <c r="AL392" s="301"/>
      <c r="AM392" s="301"/>
      <c r="AN392" s="301"/>
      <c r="AO392" s="301"/>
      <c r="AP392" s="301"/>
      <c r="AQ392" s="301"/>
      <c r="AR392" s="301"/>
      <c r="AS392" s="301"/>
      <c r="AT392" s="301">
        <f t="shared" si="325"/>
        <v>0</v>
      </c>
      <c r="AU392" s="302">
        <f t="shared" si="326"/>
        <v>0</v>
      </c>
      <c r="AV392" s="374"/>
      <c r="AW392" s="2021">
        <v>25</v>
      </c>
      <c r="AX392" s="301">
        <v>46</v>
      </c>
      <c r="AY392" s="301">
        <v>29</v>
      </c>
      <c r="AZ392" s="301">
        <v>29</v>
      </c>
      <c r="BA392" s="301">
        <v>50</v>
      </c>
      <c r="BB392" s="301">
        <v>53</v>
      </c>
      <c r="BC392" s="301">
        <v>84</v>
      </c>
      <c r="BD392" s="301">
        <v>46</v>
      </c>
      <c r="BE392" s="301">
        <v>91</v>
      </c>
      <c r="BF392" s="301">
        <v>46</v>
      </c>
      <c r="BG392" s="301">
        <v>98</v>
      </c>
      <c r="BH392" s="301">
        <v>37</v>
      </c>
      <c r="BI392" s="301">
        <f t="shared" si="327"/>
        <v>634</v>
      </c>
      <c r="BJ392" s="302">
        <f t="shared" si="319"/>
        <v>52.828930922423133</v>
      </c>
      <c r="BL392" s="317">
        <f>ROW()</f>
        <v>392</v>
      </c>
      <c r="BM392" s="1432">
        <f t="shared" si="328"/>
        <v>-26</v>
      </c>
      <c r="BN392" s="321">
        <f t="shared" si="338"/>
        <v>1.1200000000000001</v>
      </c>
      <c r="BO392" s="317">
        <f t="shared" si="320"/>
        <v>-419</v>
      </c>
      <c r="BP392" s="321">
        <f t="shared" si="339"/>
        <v>0.50788643533123023</v>
      </c>
      <c r="BR392" s="8"/>
    </row>
    <row r="393" spans="1:70" ht="17.399999999999999" customHeight="1" x14ac:dyDescent="0.55000000000000004">
      <c r="A393" s="7217"/>
      <c r="B393" s="7208"/>
      <c r="C393" s="202" t="s">
        <v>232</v>
      </c>
      <c r="D393" s="300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>
        <f t="shared" si="321"/>
        <v>0</v>
      </c>
      <c r="Q393" s="302">
        <f t="shared" si="322"/>
        <v>0</v>
      </c>
      <c r="R393" s="1584"/>
      <c r="S393" s="300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  <c r="AE393" s="301">
        <f t="shared" si="323"/>
        <v>0</v>
      </c>
      <c r="AF393" s="302">
        <f t="shared" si="324"/>
        <v>0</v>
      </c>
      <c r="AG393" s="374"/>
      <c r="AH393" s="300"/>
      <c r="AI393" s="301"/>
      <c r="AJ393" s="301"/>
      <c r="AK393" s="301"/>
      <c r="AL393" s="301"/>
      <c r="AM393" s="301"/>
      <c r="AN393" s="301"/>
      <c r="AO393" s="301"/>
      <c r="AP393" s="301"/>
      <c r="AQ393" s="301"/>
      <c r="AR393" s="301"/>
      <c r="AS393" s="301"/>
      <c r="AT393" s="301">
        <f t="shared" si="325"/>
        <v>0</v>
      </c>
      <c r="AU393" s="302">
        <f t="shared" si="326"/>
        <v>0</v>
      </c>
      <c r="AV393" s="374"/>
      <c r="AW393" s="2021">
        <v>26</v>
      </c>
      <c r="AX393" s="301">
        <v>45</v>
      </c>
      <c r="AY393" s="301">
        <v>26</v>
      </c>
      <c r="AZ393" s="301">
        <v>26</v>
      </c>
      <c r="BA393" s="301">
        <v>41</v>
      </c>
      <c r="BB393" s="301">
        <v>38</v>
      </c>
      <c r="BC393" s="301">
        <v>62</v>
      </c>
      <c r="BD393" s="301">
        <v>45</v>
      </c>
      <c r="BE393" s="301">
        <v>91</v>
      </c>
      <c r="BF393" s="301">
        <v>45</v>
      </c>
      <c r="BG393" s="301">
        <v>73</v>
      </c>
      <c r="BH393" s="301">
        <v>18</v>
      </c>
      <c r="BI393" s="301">
        <f t="shared" si="327"/>
        <v>536</v>
      </c>
      <c r="BJ393" s="302">
        <f t="shared" si="319"/>
        <v>44.662944754603785</v>
      </c>
      <c r="BL393" s="317">
        <f>ROW()</f>
        <v>393</v>
      </c>
      <c r="BM393" s="1432">
        <f t="shared" si="328"/>
        <v>-3</v>
      </c>
      <c r="BN393" s="321">
        <f t="shared" si="338"/>
        <v>1.6097560975609757</v>
      </c>
      <c r="BO393" s="317">
        <f t="shared" si="320"/>
        <v>-278</v>
      </c>
      <c r="BP393" s="321">
        <f t="shared" si="339"/>
        <v>1.1996268656716418</v>
      </c>
      <c r="BR393" s="8"/>
    </row>
    <row r="394" spans="1:70" ht="17.399999999999999" customHeight="1" x14ac:dyDescent="0.55000000000000004">
      <c r="A394" s="7217"/>
      <c r="B394" s="7208"/>
      <c r="C394" s="203" t="s">
        <v>233</v>
      </c>
      <c r="D394" s="303"/>
      <c r="E394" s="304"/>
      <c r="F394" s="304"/>
      <c r="G394" s="304"/>
      <c r="H394" s="304"/>
      <c r="I394" s="304"/>
      <c r="J394" s="304"/>
      <c r="K394" s="304"/>
      <c r="L394" s="304"/>
      <c r="M394" s="304"/>
      <c r="N394" s="304"/>
      <c r="O394" s="304"/>
      <c r="P394" s="304">
        <f t="shared" si="321"/>
        <v>0</v>
      </c>
      <c r="Q394" s="305">
        <f t="shared" si="322"/>
        <v>0</v>
      </c>
      <c r="R394" s="1584"/>
      <c r="S394" s="303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>
        <f t="shared" si="323"/>
        <v>0</v>
      </c>
      <c r="AF394" s="305">
        <f t="shared" si="324"/>
        <v>0</v>
      </c>
      <c r="AG394" s="374"/>
      <c r="AH394" s="303"/>
      <c r="AI394" s="304"/>
      <c r="AJ394" s="304"/>
      <c r="AK394" s="304"/>
      <c r="AL394" s="304"/>
      <c r="AM394" s="304"/>
      <c r="AN394" s="304"/>
      <c r="AO394" s="304"/>
      <c r="AP394" s="304"/>
      <c r="AQ394" s="304"/>
      <c r="AR394" s="304"/>
      <c r="AS394" s="304"/>
      <c r="AT394" s="304">
        <f t="shared" si="325"/>
        <v>0</v>
      </c>
      <c r="AU394" s="305">
        <f t="shared" si="326"/>
        <v>0</v>
      </c>
      <c r="AV394" s="374"/>
      <c r="AW394" s="2022">
        <v>64</v>
      </c>
      <c r="AX394" s="304">
        <v>86</v>
      </c>
      <c r="AY394" s="304">
        <v>51</v>
      </c>
      <c r="AZ394" s="304">
        <v>47</v>
      </c>
      <c r="BA394" s="304">
        <v>88</v>
      </c>
      <c r="BB394" s="304">
        <v>88</v>
      </c>
      <c r="BC394" s="304">
        <v>141</v>
      </c>
      <c r="BD394" s="304">
        <v>88</v>
      </c>
      <c r="BE394" s="304">
        <v>176</v>
      </c>
      <c r="BF394" s="304">
        <v>89</v>
      </c>
      <c r="BG394" s="304">
        <v>184</v>
      </c>
      <c r="BH394" s="304">
        <v>52</v>
      </c>
      <c r="BI394" s="304">
        <f t="shared" si="327"/>
        <v>1154</v>
      </c>
      <c r="BJ394" s="305">
        <f t="shared" si="319"/>
        <v>96.158653445546207</v>
      </c>
      <c r="BL394" s="317">
        <f>ROW()</f>
        <v>394</v>
      </c>
      <c r="BM394" s="1432">
        <f t="shared" si="328"/>
        <v>-42</v>
      </c>
      <c r="BN394" s="321">
        <f t="shared" si="338"/>
        <v>77.420454545454547</v>
      </c>
      <c r="BO394" s="317">
        <f t="shared" si="320"/>
        <v>-660</v>
      </c>
      <c r="BP394" s="321">
        <f t="shared" si="339"/>
        <v>46.396013864818023</v>
      </c>
      <c r="BR394" s="8"/>
    </row>
    <row r="395" spans="1:70" ht="17.399999999999999" customHeight="1" x14ac:dyDescent="0.55000000000000004">
      <c r="A395" s="7217"/>
      <c r="B395" s="7208"/>
      <c r="C395" s="203" t="s">
        <v>234</v>
      </c>
      <c r="D395" s="303"/>
      <c r="E395" s="304"/>
      <c r="F395" s="304"/>
      <c r="G395" s="304"/>
      <c r="H395" s="304"/>
      <c r="I395" s="304"/>
      <c r="J395" s="304"/>
      <c r="K395" s="304"/>
      <c r="L395" s="304"/>
      <c r="M395" s="304"/>
      <c r="N395" s="304"/>
      <c r="O395" s="304"/>
      <c r="P395" s="304">
        <f t="shared" si="321"/>
        <v>0</v>
      </c>
      <c r="Q395" s="305">
        <f t="shared" si="322"/>
        <v>0</v>
      </c>
      <c r="R395" s="1584"/>
      <c r="S395" s="303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>
        <f t="shared" si="323"/>
        <v>0</v>
      </c>
      <c r="AF395" s="305">
        <f t="shared" si="324"/>
        <v>0</v>
      </c>
      <c r="AG395" s="374"/>
      <c r="AH395" s="303"/>
      <c r="AI395" s="304"/>
      <c r="AJ395" s="304"/>
      <c r="AK395" s="304"/>
      <c r="AL395" s="304"/>
      <c r="AM395" s="304"/>
      <c r="AN395" s="304"/>
      <c r="AO395" s="304"/>
      <c r="AP395" s="304"/>
      <c r="AQ395" s="304"/>
      <c r="AR395" s="304"/>
      <c r="AS395" s="304"/>
      <c r="AT395" s="304">
        <f t="shared" si="325"/>
        <v>0</v>
      </c>
      <c r="AU395" s="305">
        <f t="shared" si="326"/>
        <v>0</v>
      </c>
      <c r="AV395" s="374"/>
      <c r="AW395" s="2022">
        <v>45</v>
      </c>
      <c r="AX395" s="304">
        <v>61</v>
      </c>
      <c r="AY395" s="304">
        <v>36</v>
      </c>
      <c r="AZ395" s="304">
        <v>40</v>
      </c>
      <c r="BA395" s="304">
        <v>59</v>
      </c>
      <c r="BB395" s="304">
        <v>59</v>
      </c>
      <c r="BC395" s="304">
        <v>94</v>
      </c>
      <c r="BD395" s="304">
        <v>59</v>
      </c>
      <c r="BE395" s="304">
        <v>119</v>
      </c>
      <c r="BF395" s="304">
        <v>58</v>
      </c>
      <c r="BG395" s="304">
        <v>119</v>
      </c>
      <c r="BH395" s="304">
        <v>35</v>
      </c>
      <c r="BI395" s="304">
        <f t="shared" si="327"/>
        <v>784</v>
      </c>
      <c r="BJ395" s="305">
        <f t="shared" si="319"/>
        <v>65.327889342554784</v>
      </c>
      <c r="BL395" s="317">
        <f>ROW()</f>
        <v>395</v>
      </c>
      <c r="BM395" s="1432">
        <f t="shared" si="328"/>
        <v>-30</v>
      </c>
      <c r="BN395" s="321">
        <f t="shared" si="338"/>
        <v>76.813559322033896</v>
      </c>
      <c r="BO395" s="317">
        <f t="shared" si="320"/>
        <v>-485</v>
      </c>
      <c r="BP395" s="321">
        <f t="shared" si="339"/>
        <v>48.781887755102041</v>
      </c>
      <c r="BR395" s="8"/>
    </row>
    <row r="396" spans="1:70" ht="17.399999999999999" customHeight="1" x14ac:dyDescent="0.55000000000000004">
      <c r="A396" s="7217"/>
      <c r="B396" s="7208"/>
      <c r="C396" s="202" t="s">
        <v>235</v>
      </c>
      <c r="D396" s="300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>
        <f t="shared" si="321"/>
        <v>0</v>
      </c>
      <c r="Q396" s="302">
        <f t="shared" si="322"/>
        <v>0</v>
      </c>
      <c r="R396" s="1584"/>
      <c r="S396" s="300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>
        <f t="shared" si="323"/>
        <v>0</v>
      </c>
      <c r="AF396" s="302">
        <f t="shared" si="324"/>
        <v>0</v>
      </c>
      <c r="AG396" s="374"/>
      <c r="AH396" s="300"/>
      <c r="AI396" s="301"/>
      <c r="AJ396" s="301"/>
      <c r="AK396" s="301"/>
      <c r="AL396" s="301"/>
      <c r="AM396" s="301"/>
      <c r="AN396" s="301"/>
      <c r="AO396" s="301"/>
      <c r="AP396" s="301"/>
      <c r="AQ396" s="301"/>
      <c r="AR396" s="301"/>
      <c r="AS396" s="301"/>
      <c r="AT396" s="301">
        <f t="shared" si="325"/>
        <v>0</v>
      </c>
      <c r="AU396" s="302">
        <f t="shared" si="326"/>
        <v>0</v>
      </c>
      <c r="AV396" s="374"/>
      <c r="AW396" s="2021">
        <v>29</v>
      </c>
      <c r="AX396" s="301">
        <v>47</v>
      </c>
      <c r="AY396" s="301">
        <v>28</v>
      </c>
      <c r="AZ396" s="301">
        <v>28</v>
      </c>
      <c r="BA396" s="301">
        <v>47</v>
      </c>
      <c r="BB396" s="301">
        <v>47</v>
      </c>
      <c r="BC396" s="301">
        <v>75</v>
      </c>
      <c r="BD396" s="301">
        <v>47</v>
      </c>
      <c r="BE396" s="301">
        <v>94</v>
      </c>
      <c r="BF396" s="301">
        <v>47</v>
      </c>
      <c r="BG396" s="301">
        <v>100</v>
      </c>
      <c r="BH396" s="301">
        <v>28</v>
      </c>
      <c r="BI396" s="301">
        <f t="shared" si="327"/>
        <v>617</v>
      </c>
      <c r="BJ396" s="302">
        <f t="shared" si="319"/>
        <v>51.412382301474878</v>
      </c>
      <c r="BL396" s="317">
        <f>ROW()</f>
        <v>396</v>
      </c>
      <c r="BM396" s="1432">
        <f t="shared" si="328"/>
        <v>-24</v>
      </c>
      <c r="BN396" s="321">
        <f t="shared" si="338"/>
        <v>103.19148936170212</v>
      </c>
      <c r="BO396" s="317">
        <f t="shared" si="320"/>
        <v>-295</v>
      </c>
      <c r="BP396" s="321">
        <f t="shared" si="339"/>
        <v>66.252836304700168</v>
      </c>
      <c r="BR396" s="8"/>
    </row>
    <row r="397" spans="1:70" ht="18" customHeight="1" thickBot="1" x14ac:dyDescent="0.6">
      <c r="A397" s="7217"/>
      <c r="B397" s="7209"/>
      <c r="C397" s="204" t="s">
        <v>236</v>
      </c>
      <c r="D397" s="306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>
        <f t="shared" si="321"/>
        <v>0</v>
      </c>
      <c r="Q397" s="308">
        <f t="shared" si="322"/>
        <v>0</v>
      </c>
      <c r="R397" s="1584"/>
      <c r="S397" s="306"/>
      <c r="T397" s="307"/>
      <c r="U397" s="307"/>
      <c r="V397" s="307"/>
      <c r="W397" s="307"/>
      <c r="X397" s="307"/>
      <c r="Y397" s="307"/>
      <c r="Z397" s="307"/>
      <c r="AA397" s="307"/>
      <c r="AB397" s="307"/>
      <c r="AC397" s="307"/>
      <c r="AD397" s="307"/>
      <c r="AE397" s="307">
        <f t="shared" si="323"/>
        <v>0</v>
      </c>
      <c r="AF397" s="308">
        <f t="shared" si="324"/>
        <v>0</v>
      </c>
      <c r="AG397" s="374"/>
      <c r="AH397" s="306"/>
      <c r="AI397" s="307"/>
      <c r="AJ397" s="307"/>
      <c r="AK397" s="307"/>
      <c r="AL397" s="307"/>
      <c r="AM397" s="307"/>
      <c r="AN397" s="307"/>
      <c r="AO397" s="307"/>
      <c r="AP397" s="307"/>
      <c r="AQ397" s="307"/>
      <c r="AR397" s="307"/>
      <c r="AS397" s="307"/>
      <c r="AT397" s="307">
        <f t="shared" si="325"/>
        <v>0</v>
      </c>
      <c r="AU397" s="308">
        <f t="shared" si="326"/>
        <v>0</v>
      </c>
      <c r="AV397" s="374"/>
      <c r="AW397" s="2023">
        <v>44</v>
      </c>
      <c r="AX397" s="307">
        <v>61</v>
      </c>
      <c r="AY397" s="307">
        <v>37</v>
      </c>
      <c r="AZ397" s="307">
        <v>37</v>
      </c>
      <c r="BA397" s="307">
        <v>61</v>
      </c>
      <c r="BB397" s="307">
        <v>61</v>
      </c>
      <c r="BC397" s="307">
        <v>98</v>
      </c>
      <c r="BD397" s="307">
        <v>61</v>
      </c>
      <c r="BE397" s="307">
        <v>122</v>
      </c>
      <c r="BF397" s="307">
        <v>61</v>
      </c>
      <c r="BG397" s="307">
        <v>130</v>
      </c>
      <c r="BH397" s="307">
        <v>37</v>
      </c>
      <c r="BI397" s="307">
        <f t="shared" si="327"/>
        <v>810</v>
      </c>
      <c r="BJ397" s="308">
        <f t="shared" si="319"/>
        <v>67.494375468710942</v>
      </c>
      <c r="BL397" s="317">
        <f>ROW()</f>
        <v>397</v>
      </c>
      <c r="BM397" s="1432">
        <f t="shared" si="328"/>
        <v>-13</v>
      </c>
      <c r="BN397" s="321">
        <f t="shared" si="338"/>
        <v>193.49180327868854</v>
      </c>
      <c r="BO397" s="317">
        <f t="shared" si="320"/>
        <v>-167</v>
      </c>
      <c r="BP397" s="321">
        <f t="shared" si="339"/>
        <v>127.1716049382716</v>
      </c>
      <c r="BR397" s="8"/>
    </row>
    <row r="398" spans="1:70" x14ac:dyDescent="0.55000000000000004">
      <c r="A398" s="7217"/>
      <c r="B398" s="7213" t="s">
        <v>432</v>
      </c>
      <c r="C398" s="199" t="s">
        <v>419</v>
      </c>
      <c r="D398" s="291">
        <f>D403+D404</f>
        <v>0</v>
      </c>
      <c r="E398" s="292">
        <f t="shared" ref="E398:O398" si="349">E403+E404</f>
        <v>0</v>
      </c>
      <c r="F398" s="292">
        <f t="shared" si="349"/>
        <v>0</v>
      </c>
      <c r="G398" s="292">
        <f t="shared" si="349"/>
        <v>0</v>
      </c>
      <c r="H398" s="292">
        <f t="shared" si="349"/>
        <v>0</v>
      </c>
      <c r="I398" s="292">
        <f t="shared" si="349"/>
        <v>0</v>
      </c>
      <c r="J398" s="292">
        <f t="shared" si="349"/>
        <v>0</v>
      </c>
      <c r="K398" s="292">
        <f t="shared" si="349"/>
        <v>0</v>
      </c>
      <c r="L398" s="292">
        <f t="shared" si="349"/>
        <v>0</v>
      </c>
      <c r="M398" s="292">
        <f t="shared" si="349"/>
        <v>0</v>
      </c>
      <c r="N398" s="292">
        <f t="shared" si="349"/>
        <v>0</v>
      </c>
      <c r="O398" s="292">
        <f t="shared" si="349"/>
        <v>0</v>
      </c>
      <c r="P398" s="292">
        <f t="shared" si="321"/>
        <v>0</v>
      </c>
      <c r="Q398" s="293">
        <f t="shared" si="322"/>
        <v>0</v>
      </c>
      <c r="R398" s="1584"/>
      <c r="S398" s="291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>
        <f t="shared" si="323"/>
        <v>0</v>
      </c>
      <c r="AF398" s="293">
        <f t="shared" si="324"/>
        <v>0</v>
      </c>
      <c r="AG398" s="374"/>
      <c r="AH398" s="291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>
        <f t="shared" si="325"/>
        <v>0</v>
      </c>
      <c r="AU398" s="293">
        <f t="shared" si="326"/>
        <v>0</v>
      </c>
      <c r="AV398" s="374"/>
      <c r="AW398" s="2015">
        <v>4727</v>
      </c>
      <c r="AX398" s="292">
        <v>4944</v>
      </c>
      <c r="AY398" s="292">
        <v>4153</v>
      </c>
      <c r="AZ398" s="292">
        <v>4351</v>
      </c>
      <c r="BA398" s="292">
        <v>4747</v>
      </c>
      <c r="BB398" s="292">
        <v>6329</v>
      </c>
      <c r="BC398" s="292">
        <v>5933</v>
      </c>
      <c r="BD398" s="292">
        <v>4945</v>
      </c>
      <c r="BE398" s="292">
        <v>5933</v>
      </c>
      <c r="BF398" s="292">
        <v>4945</v>
      </c>
      <c r="BG398" s="292">
        <v>4945</v>
      </c>
      <c r="BH398" s="292">
        <v>4945</v>
      </c>
      <c r="BI398" s="292">
        <f t="shared" si="327"/>
        <v>60897</v>
      </c>
      <c r="BJ398" s="293">
        <f t="shared" si="319"/>
        <v>5074.3271394050498</v>
      </c>
      <c r="BL398" s="317">
        <f>ROW()</f>
        <v>398</v>
      </c>
      <c r="BM398" s="1432">
        <f t="shared" si="328"/>
        <v>-437</v>
      </c>
      <c r="BN398" s="321">
        <f t="shared" si="338"/>
        <v>1.7819675584579735</v>
      </c>
      <c r="BO398" s="317">
        <f t="shared" si="320"/>
        <v>-7356</v>
      </c>
      <c r="BP398" s="321">
        <f t="shared" si="339"/>
        <v>1.2200929438231769</v>
      </c>
      <c r="BR398" s="8"/>
    </row>
    <row r="399" spans="1:70" x14ac:dyDescent="0.55000000000000004">
      <c r="A399" s="7217"/>
      <c r="B399" s="7214"/>
      <c r="C399" s="200" t="s">
        <v>420</v>
      </c>
      <c r="D399" s="294">
        <f>D405</f>
        <v>0</v>
      </c>
      <c r="E399" s="295">
        <f t="shared" ref="E399:O399" si="350">E405</f>
        <v>0</v>
      </c>
      <c r="F399" s="295">
        <f t="shared" si="350"/>
        <v>0</v>
      </c>
      <c r="G399" s="295">
        <f t="shared" si="350"/>
        <v>0</v>
      </c>
      <c r="H399" s="295">
        <f t="shared" si="350"/>
        <v>0</v>
      </c>
      <c r="I399" s="295">
        <f t="shared" si="350"/>
        <v>0</v>
      </c>
      <c r="J399" s="295">
        <f t="shared" si="350"/>
        <v>0</v>
      </c>
      <c r="K399" s="295">
        <f t="shared" si="350"/>
        <v>0</v>
      </c>
      <c r="L399" s="295">
        <f t="shared" si="350"/>
        <v>0</v>
      </c>
      <c r="M399" s="295">
        <f t="shared" si="350"/>
        <v>0</v>
      </c>
      <c r="N399" s="295">
        <f t="shared" si="350"/>
        <v>0</v>
      </c>
      <c r="O399" s="295">
        <f t="shared" si="350"/>
        <v>0</v>
      </c>
      <c r="P399" s="295">
        <f t="shared" si="321"/>
        <v>0</v>
      </c>
      <c r="Q399" s="296">
        <f t="shared" si="322"/>
        <v>0</v>
      </c>
      <c r="R399" s="1584"/>
      <c r="S399" s="294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  <c r="AE399" s="295">
        <f t="shared" si="323"/>
        <v>0</v>
      </c>
      <c r="AF399" s="296">
        <f t="shared" si="324"/>
        <v>0</v>
      </c>
      <c r="AG399" s="374"/>
      <c r="AH399" s="294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5"/>
      <c r="AS399" s="295"/>
      <c r="AT399" s="295">
        <f t="shared" si="325"/>
        <v>0</v>
      </c>
      <c r="AU399" s="296">
        <f t="shared" si="326"/>
        <v>0</v>
      </c>
      <c r="AV399" s="374"/>
      <c r="AW399" s="2016">
        <v>3212</v>
      </c>
      <c r="AX399" s="295">
        <v>3360</v>
      </c>
      <c r="AY399" s="295">
        <v>2822</v>
      </c>
      <c r="AZ399" s="295">
        <v>2957</v>
      </c>
      <c r="BA399" s="295">
        <v>3226</v>
      </c>
      <c r="BB399" s="295">
        <v>4301</v>
      </c>
      <c r="BC399" s="295">
        <v>4032</v>
      </c>
      <c r="BD399" s="295">
        <v>3360</v>
      </c>
      <c r="BE399" s="295">
        <v>4032</v>
      </c>
      <c r="BF399" s="295">
        <v>3360</v>
      </c>
      <c r="BG399" s="295">
        <v>3360</v>
      </c>
      <c r="BH399" s="295">
        <v>3360</v>
      </c>
      <c r="BI399" s="295">
        <f t="shared" si="327"/>
        <v>41382</v>
      </c>
      <c r="BJ399" s="296">
        <f t="shared" si="319"/>
        <v>3448.2126489459215</v>
      </c>
      <c r="BL399" s="317">
        <f>ROW()</f>
        <v>399</v>
      </c>
      <c r="BM399" s="1432">
        <f t="shared" si="328"/>
        <v>-251</v>
      </c>
      <c r="BN399" s="321">
        <f t="shared" si="338"/>
        <v>1.4500929944203347</v>
      </c>
      <c r="BO399" s="317">
        <f t="shared" si="320"/>
        <v>-3137</v>
      </c>
      <c r="BP399" s="321">
        <f t="shared" si="339"/>
        <v>1.0985694263206225</v>
      </c>
      <c r="BR399" s="8"/>
    </row>
    <row r="400" spans="1:70" x14ac:dyDescent="0.55000000000000004">
      <c r="A400" s="7217"/>
      <c r="B400" s="7214"/>
      <c r="C400" s="200" t="s">
        <v>421</v>
      </c>
      <c r="D400" s="294">
        <f>D406</f>
        <v>0</v>
      </c>
      <c r="E400" s="295">
        <f t="shared" ref="E400:O400" si="351">E406</f>
        <v>0</v>
      </c>
      <c r="F400" s="295">
        <f t="shared" si="351"/>
        <v>0</v>
      </c>
      <c r="G400" s="295">
        <f t="shared" si="351"/>
        <v>0</v>
      </c>
      <c r="H400" s="295">
        <f t="shared" si="351"/>
        <v>0</v>
      </c>
      <c r="I400" s="295">
        <f t="shared" si="351"/>
        <v>0</v>
      </c>
      <c r="J400" s="295">
        <f t="shared" si="351"/>
        <v>0</v>
      </c>
      <c r="K400" s="295">
        <f t="shared" si="351"/>
        <v>0</v>
      </c>
      <c r="L400" s="295">
        <f t="shared" si="351"/>
        <v>0</v>
      </c>
      <c r="M400" s="295">
        <f t="shared" si="351"/>
        <v>0</v>
      </c>
      <c r="N400" s="295">
        <f t="shared" si="351"/>
        <v>0</v>
      </c>
      <c r="O400" s="295">
        <f t="shared" si="351"/>
        <v>0</v>
      </c>
      <c r="P400" s="295">
        <f t="shared" si="321"/>
        <v>0</v>
      </c>
      <c r="Q400" s="296">
        <f t="shared" si="322"/>
        <v>0</v>
      </c>
      <c r="R400" s="1584"/>
      <c r="S400" s="294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>
        <f t="shared" si="323"/>
        <v>0</v>
      </c>
      <c r="AF400" s="296">
        <f t="shared" si="324"/>
        <v>0</v>
      </c>
      <c r="AG400" s="374"/>
      <c r="AH400" s="294"/>
      <c r="AI400" s="295"/>
      <c r="AJ400" s="295"/>
      <c r="AK400" s="295"/>
      <c r="AL400" s="295"/>
      <c r="AM400" s="295"/>
      <c r="AN400" s="295"/>
      <c r="AO400" s="295"/>
      <c r="AP400" s="295"/>
      <c r="AQ400" s="295"/>
      <c r="AR400" s="295"/>
      <c r="AS400" s="295"/>
      <c r="AT400" s="295">
        <f t="shared" si="325"/>
        <v>0</v>
      </c>
      <c r="AU400" s="296">
        <f t="shared" si="326"/>
        <v>0</v>
      </c>
      <c r="AV400" s="374"/>
      <c r="AW400" s="2016">
        <v>3125</v>
      </c>
      <c r="AX400" s="295">
        <v>3269</v>
      </c>
      <c r="AY400" s="295">
        <v>2746</v>
      </c>
      <c r="AZ400" s="295">
        <v>2877</v>
      </c>
      <c r="BA400" s="295">
        <v>3138</v>
      </c>
      <c r="BB400" s="295">
        <v>4185</v>
      </c>
      <c r="BC400" s="295">
        <v>3923</v>
      </c>
      <c r="BD400" s="295">
        <v>3269</v>
      </c>
      <c r="BE400" s="295">
        <v>3923</v>
      </c>
      <c r="BF400" s="295">
        <v>3269</v>
      </c>
      <c r="BG400" s="295">
        <v>3269</v>
      </c>
      <c r="BH400" s="295">
        <v>3269</v>
      </c>
      <c r="BI400" s="295">
        <f t="shared" si="327"/>
        <v>40262</v>
      </c>
      <c r="BJ400" s="296">
        <f t="shared" si="319"/>
        <v>3354.8870927422718</v>
      </c>
      <c r="BL400" s="317">
        <f>ROW()</f>
        <v>400</v>
      </c>
      <c r="BM400" s="1432">
        <f t="shared" si="328"/>
        <v>260</v>
      </c>
      <c r="BN400" s="321">
        <f t="shared" si="338"/>
        <v>0.68036966220522621</v>
      </c>
      <c r="BO400" s="317">
        <f t="shared" si="320"/>
        <v>616</v>
      </c>
      <c r="BP400" s="321">
        <f t="shared" si="339"/>
        <v>0.20068550991008891</v>
      </c>
      <c r="BR400" s="8"/>
    </row>
    <row r="401" spans="1:73" x14ac:dyDescent="0.55000000000000004">
      <c r="A401" s="7217"/>
      <c r="B401" s="7214"/>
      <c r="C401" s="200" t="s">
        <v>422</v>
      </c>
      <c r="D401" s="294">
        <f>D407+D408</f>
        <v>0</v>
      </c>
      <c r="E401" s="295">
        <f t="shared" ref="E401:O401" si="352">E407+E408</f>
        <v>0</v>
      </c>
      <c r="F401" s="295">
        <f t="shared" si="352"/>
        <v>0</v>
      </c>
      <c r="G401" s="295">
        <f t="shared" si="352"/>
        <v>0</v>
      </c>
      <c r="H401" s="295">
        <f t="shared" si="352"/>
        <v>0</v>
      </c>
      <c r="I401" s="295">
        <f t="shared" si="352"/>
        <v>0</v>
      </c>
      <c r="J401" s="295">
        <f t="shared" si="352"/>
        <v>0</v>
      </c>
      <c r="K401" s="295">
        <f t="shared" si="352"/>
        <v>0</v>
      </c>
      <c r="L401" s="295">
        <f t="shared" si="352"/>
        <v>0</v>
      </c>
      <c r="M401" s="295">
        <f t="shared" si="352"/>
        <v>0</v>
      </c>
      <c r="N401" s="295">
        <f t="shared" si="352"/>
        <v>0</v>
      </c>
      <c r="O401" s="295">
        <f t="shared" si="352"/>
        <v>0</v>
      </c>
      <c r="P401" s="295">
        <f t="shared" si="321"/>
        <v>0</v>
      </c>
      <c r="Q401" s="296">
        <f t="shared" si="322"/>
        <v>0</v>
      </c>
      <c r="R401" s="1584"/>
      <c r="S401" s="294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>
        <f t="shared" si="323"/>
        <v>0</v>
      </c>
      <c r="AF401" s="296">
        <f t="shared" si="324"/>
        <v>0</v>
      </c>
      <c r="AG401" s="374"/>
      <c r="AH401" s="294"/>
      <c r="AI401" s="295"/>
      <c r="AJ401" s="295"/>
      <c r="AK401" s="295"/>
      <c r="AL401" s="295"/>
      <c r="AM401" s="295"/>
      <c r="AN401" s="295"/>
      <c r="AO401" s="295"/>
      <c r="AP401" s="295"/>
      <c r="AQ401" s="295"/>
      <c r="AR401" s="295"/>
      <c r="AS401" s="295"/>
      <c r="AT401" s="295">
        <f t="shared" si="325"/>
        <v>0</v>
      </c>
      <c r="AU401" s="296">
        <f t="shared" si="326"/>
        <v>0</v>
      </c>
      <c r="AV401" s="374"/>
      <c r="AW401" s="2016">
        <v>6117</v>
      </c>
      <c r="AX401" s="295">
        <v>6399</v>
      </c>
      <c r="AY401" s="295">
        <v>5376</v>
      </c>
      <c r="AZ401" s="295">
        <v>5632</v>
      </c>
      <c r="BA401" s="295">
        <v>6143</v>
      </c>
      <c r="BB401" s="295">
        <v>8190</v>
      </c>
      <c r="BC401" s="295">
        <v>7679</v>
      </c>
      <c r="BD401" s="295">
        <v>6399</v>
      </c>
      <c r="BE401" s="295">
        <v>7679</v>
      </c>
      <c r="BF401" s="295">
        <v>6399</v>
      </c>
      <c r="BG401" s="295">
        <v>6399</v>
      </c>
      <c r="BH401" s="295">
        <v>6399</v>
      </c>
      <c r="BI401" s="295">
        <f t="shared" si="327"/>
        <v>78811</v>
      </c>
      <c r="BJ401" s="296">
        <f t="shared" si="319"/>
        <v>6567.0360803266394</v>
      </c>
      <c r="BL401" s="317">
        <f>ROW()</f>
        <v>401</v>
      </c>
      <c r="BM401" s="1432">
        <f t="shared" si="328"/>
        <v>1494</v>
      </c>
      <c r="BN401" s="321">
        <f t="shared" si="338"/>
        <v>0.73775028487709593</v>
      </c>
      <c r="BO401" s="317">
        <f t="shared" si="320"/>
        <v>24198</v>
      </c>
      <c r="BP401" s="321">
        <f t="shared" si="339"/>
        <v>0.48527489817411273</v>
      </c>
      <c r="BR401" s="8"/>
    </row>
    <row r="402" spans="1:73" x14ac:dyDescent="0.55000000000000004">
      <c r="A402" s="7217"/>
      <c r="B402" s="7215"/>
      <c r="C402" s="201" t="s">
        <v>423</v>
      </c>
      <c r="D402" s="297">
        <f>D409+D410</f>
        <v>0</v>
      </c>
      <c r="E402" s="298">
        <f t="shared" ref="E402:O402" si="353">E409+E410</f>
        <v>0</v>
      </c>
      <c r="F402" s="298">
        <f t="shared" si="353"/>
        <v>0</v>
      </c>
      <c r="G402" s="298">
        <f t="shared" si="353"/>
        <v>0</v>
      </c>
      <c r="H402" s="298">
        <f t="shared" si="353"/>
        <v>0</v>
      </c>
      <c r="I402" s="298">
        <f t="shared" si="353"/>
        <v>0</v>
      </c>
      <c r="J402" s="298">
        <f t="shared" si="353"/>
        <v>0</v>
      </c>
      <c r="K402" s="298">
        <f t="shared" si="353"/>
        <v>0</v>
      </c>
      <c r="L402" s="298">
        <f t="shared" si="353"/>
        <v>0</v>
      </c>
      <c r="M402" s="298">
        <f t="shared" si="353"/>
        <v>0</v>
      </c>
      <c r="N402" s="298">
        <f t="shared" si="353"/>
        <v>0</v>
      </c>
      <c r="O402" s="298">
        <f t="shared" si="353"/>
        <v>0</v>
      </c>
      <c r="P402" s="298">
        <f t="shared" si="321"/>
        <v>0</v>
      </c>
      <c r="Q402" s="299">
        <f t="shared" si="322"/>
        <v>0</v>
      </c>
      <c r="R402" s="1584"/>
      <c r="S402" s="297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>
        <f t="shared" si="323"/>
        <v>0</v>
      </c>
      <c r="AF402" s="299">
        <f t="shared" si="324"/>
        <v>0</v>
      </c>
      <c r="AG402" s="374"/>
      <c r="AH402" s="297"/>
      <c r="AI402" s="298"/>
      <c r="AJ402" s="298"/>
      <c r="AK402" s="298"/>
      <c r="AL402" s="298"/>
      <c r="AM402" s="298"/>
      <c r="AN402" s="298"/>
      <c r="AO402" s="298"/>
      <c r="AP402" s="298"/>
      <c r="AQ402" s="298"/>
      <c r="AR402" s="298"/>
      <c r="AS402" s="298"/>
      <c r="AT402" s="298">
        <f t="shared" si="325"/>
        <v>0</v>
      </c>
      <c r="AU402" s="299">
        <f t="shared" si="326"/>
        <v>0</v>
      </c>
      <c r="AV402" s="374"/>
      <c r="AW402" s="2017">
        <v>6719</v>
      </c>
      <c r="AX402" s="298">
        <v>7028</v>
      </c>
      <c r="AY402" s="298">
        <v>5903</v>
      </c>
      <c r="AZ402" s="298">
        <v>6183</v>
      </c>
      <c r="BA402" s="298">
        <v>6746</v>
      </c>
      <c r="BB402" s="298">
        <v>8995</v>
      </c>
      <c r="BC402" s="298">
        <v>8433</v>
      </c>
      <c r="BD402" s="298">
        <v>7027</v>
      </c>
      <c r="BE402" s="298">
        <v>8433</v>
      </c>
      <c r="BF402" s="298">
        <v>7027</v>
      </c>
      <c r="BG402" s="298">
        <v>7027</v>
      </c>
      <c r="BH402" s="298">
        <v>7027</v>
      </c>
      <c r="BI402" s="298">
        <f t="shared" si="327"/>
        <v>86548</v>
      </c>
      <c r="BJ402" s="299">
        <f t="shared" si="319"/>
        <v>7211.7323556370302</v>
      </c>
      <c r="BL402" s="317">
        <f>ROW()</f>
        <v>402</v>
      </c>
      <c r="BM402" s="1432">
        <f t="shared" si="328"/>
        <v>-1926</v>
      </c>
      <c r="BN402" s="321">
        <f t="shared" si="338"/>
        <v>0.71894455973910465</v>
      </c>
      <c r="BO402" s="317">
        <f t="shared" si="320"/>
        <v>-12248</v>
      </c>
      <c r="BP402" s="321">
        <f t="shared" si="339"/>
        <v>0.47231594028747054</v>
      </c>
      <c r="BR402" s="8"/>
    </row>
    <row r="403" spans="1:73" x14ac:dyDescent="0.55000000000000004">
      <c r="A403" s="7217"/>
      <c r="B403" s="7207" t="s">
        <v>433</v>
      </c>
      <c r="C403" s="203" t="s">
        <v>242</v>
      </c>
      <c r="D403" s="303"/>
      <c r="E403" s="304"/>
      <c r="F403" s="304"/>
      <c r="G403" s="304"/>
      <c r="H403" s="304"/>
      <c r="I403" s="304"/>
      <c r="J403" s="304"/>
      <c r="K403" s="304"/>
      <c r="L403" s="304"/>
      <c r="M403" s="304"/>
      <c r="N403" s="304"/>
      <c r="O403" s="304"/>
      <c r="P403" s="304">
        <f t="shared" si="321"/>
        <v>0</v>
      </c>
      <c r="Q403" s="305">
        <f t="shared" si="322"/>
        <v>0</v>
      </c>
      <c r="R403" s="1584"/>
      <c r="S403" s="303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>
        <f t="shared" si="323"/>
        <v>0</v>
      </c>
      <c r="AF403" s="305">
        <f t="shared" si="324"/>
        <v>0</v>
      </c>
      <c r="AG403" s="374"/>
      <c r="AH403" s="303"/>
      <c r="AI403" s="304"/>
      <c r="AJ403" s="304"/>
      <c r="AK403" s="304"/>
      <c r="AL403" s="304"/>
      <c r="AM403" s="304"/>
      <c r="AN403" s="304"/>
      <c r="AO403" s="304"/>
      <c r="AP403" s="304"/>
      <c r="AQ403" s="304"/>
      <c r="AR403" s="304"/>
      <c r="AS403" s="304"/>
      <c r="AT403" s="304">
        <f t="shared" si="325"/>
        <v>0</v>
      </c>
      <c r="AU403" s="305">
        <f t="shared" si="326"/>
        <v>0</v>
      </c>
      <c r="AV403" s="374"/>
      <c r="AW403" s="2022">
        <v>3271</v>
      </c>
      <c r="AX403" s="304">
        <v>3421</v>
      </c>
      <c r="AY403" s="304">
        <v>2874</v>
      </c>
      <c r="AZ403" s="304">
        <v>3011</v>
      </c>
      <c r="BA403" s="304">
        <v>3285</v>
      </c>
      <c r="BB403" s="304">
        <v>4379</v>
      </c>
      <c r="BC403" s="304">
        <v>5933</v>
      </c>
      <c r="BD403" s="304">
        <v>4945</v>
      </c>
      <c r="BE403" s="304">
        <v>5933</v>
      </c>
      <c r="BF403" s="304">
        <v>4945</v>
      </c>
      <c r="BG403" s="304">
        <v>4945</v>
      </c>
      <c r="BH403" s="304">
        <v>4945</v>
      </c>
      <c r="BI403" s="304">
        <f t="shared" si="327"/>
        <v>51887</v>
      </c>
      <c r="BJ403" s="305">
        <f t="shared" si="319"/>
        <v>4323.5563703024754</v>
      </c>
      <c r="BL403" s="317">
        <f>ROW()</f>
        <v>403</v>
      </c>
      <c r="BM403" s="1432">
        <f t="shared" si="328"/>
        <v>-437</v>
      </c>
      <c r="BN403" s="321">
        <f t="shared" si="338"/>
        <v>2.3187214611872142</v>
      </c>
      <c r="BO403" s="317">
        <f t="shared" si="320"/>
        <v>-6426</v>
      </c>
      <c r="BP403" s="321">
        <f t="shared" si="339"/>
        <v>1.256037157669551</v>
      </c>
      <c r="BR403" s="8"/>
    </row>
    <row r="404" spans="1:73" x14ac:dyDescent="0.55000000000000004">
      <c r="A404" s="7217"/>
      <c r="B404" s="7208"/>
      <c r="C404" s="203" t="s">
        <v>243</v>
      </c>
      <c r="D404" s="303"/>
      <c r="E404" s="304"/>
      <c r="F404" s="304"/>
      <c r="G404" s="304"/>
      <c r="H404" s="304"/>
      <c r="I404" s="304"/>
      <c r="J404" s="304"/>
      <c r="K404" s="304"/>
      <c r="L404" s="304"/>
      <c r="M404" s="304"/>
      <c r="N404" s="304"/>
      <c r="O404" s="304"/>
      <c r="P404" s="304">
        <f t="shared" si="321"/>
        <v>0</v>
      </c>
      <c r="Q404" s="305">
        <f t="shared" si="322"/>
        <v>0</v>
      </c>
      <c r="R404" s="1584"/>
      <c r="S404" s="303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>
        <f t="shared" si="323"/>
        <v>0</v>
      </c>
      <c r="AF404" s="305">
        <f t="shared" si="324"/>
        <v>0</v>
      </c>
      <c r="AG404" s="374"/>
      <c r="AH404" s="303"/>
      <c r="AI404" s="304"/>
      <c r="AJ404" s="304"/>
      <c r="AK404" s="304"/>
      <c r="AL404" s="304"/>
      <c r="AM404" s="304"/>
      <c r="AN404" s="304"/>
      <c r="AO404" s="304"/>
      <c r="AP404" s="304"/>
      <c r="AQ404" s="304"/>
      <c r="AR404" s="304"/>
      <c r="AS404" s="304"/>
      <c r="AT404" s="304">
        <f t="shared" si="325"/>
        <v>0</v>
      </c>
      <c r="AU404" s="305">
        <f t="shared" si="326"/>
        <v>0</v>
      </c>
      <c r="AV404" s="374"/>
      <c r="AW404" s="2022">
        <v>1456</v>
      </c>
      <c r="AX404" s="304">
        <v>1523</v>
      </c>
      <c r="AY404" s="304">
        <v>1279</v>
      </c>
      <c r="AZ404" s="304">
        <v>1340</v>
      </c>
      <c r="BA404" s="304">
        <v>1462</v>
      </c>
      <c r="BB404" s="304">
        <v>1950</v>
      </c>
      <c r="BC404" s="2363"/>
      <c r="BD404" s="2363"/>
      <c r="BE404" s="2363"/>
      <c r="BF404" s="2363"/>
      <c r="BG404" s="2363"/>
      <c r="BH404" s="2363"/>
      <c r="BI404" s="304">
        <f t="shared" si="327"/>
        <v>9010</v>
      </c>
      <c r="BJ404" s="305">
        <f t="shared" si="319"/>
        <v>750.77076910257483</v>
      </c>
      <c r="BL404" s="317">
        <f>ROW()</f>
        <v>404</v>
      </c>
      <c r="BM404" s="1432">
        <f t="shared" si="328"/>
        <v>0</v>
      </c>
      <c r="BN404" s="321">
        <f t="shared" si="338"/>
        <v>2.8632010943912447</v>
      </c>
      <c r="BO404" s="317">
        <f t="shared" si="320"/>
        <v>-930</v>
      </c>
      <c r="BP404" s="321">
        <f t="shared" si="339"/>
        <v>4.199445061043285</v>
      </c>
      <c r="BR404" s="8"/>
    </row>
    <row r="405" spans="1:73" s="190" customFormat="1" x14ac:dyDescent="0.55000000000000004">
      <c r="A405" s="7217"/>
      <c r="B405" s="7208"/>
      <c r="C405" s="211" t="s">
        <v>244</v>
      </c>
      <c r="D405" s="309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>
        <f t="shared" si="321"/>
        <v>0</v>
      </c>
      <c r="Q405" s="311">
        <f t="shared" si="322"/>
        <v>0</v>
      </c>
      <c r="R405" s="1584"/>
      <c r="S405" s="309"/>
      <c r="T405" s="310"/>
      <c r="U405" s="310"/>
      <c r="V405" s="310"/>
      <c r="W405" s="310"/>
      <c r="X405" s="310"/>
      <c r="Y405" s="310"/>
      <c r="Z405" s="310"/>
      <c r="AA405" s="310"/>
      <c r="AB405" s="310"/>
      <c r="AC405" s="310"/>
      <c r="AD405" s="310"/>
      <c r="AE405" s="310">
        <f t="shared" si="323"/>
        <v>0</v>
      </c>
      <c r="AF405" s="311">
        <f t="shared" si="324"/>
        <v>0</v>
      </c>
      <c r="AG405" s="374"/>
      <c r="AH405" s="309"/>
      <c r="AI405" s="310"/>
      <c r="AJ405" s="310"/>
      <c r="AK405" s="310"/>
      <c r="AL405" s="310"/>
      <c r="AM405" s="310"/>
      <c r="AN405" s="310"/>
      <c r="AO405" s="310"/>
      <c r="AP405" s="310"/>
      <c r="AQ405" s="310"/>
      <c r="AR405" s="310"/>
      <c r="AS405" s="310"/>
      <c r="AT405" s="310">
        <f t="shared" si="325"/>
        <v>0</v>
      </c>
      <c r="AU405" s="311">
        <f t="shared" si="326"/>
        <v>0</v>
      </c>
      <c r="AV405" s="374"/>
      <c r="AW405" s="2021">
        <v>3212</v>
      </c>
      <c r="AX405" s="310">
        <v>3360</v>
      </c>
      <c r="AY405" s="310">
        <v>2822</v>
      </c>
      <c r="AZ405" s="310">
        <v>2957</v>
      </c>
      <c r="BA405" s="310">
        <v>3226</v>
      </c>
      <c r="BB405" s="310">
        <v>4301</v>
      </c>
      <c r="BC405" s="310">
        <v>4032</v>
      </c>
      <c r="BD405" s="310">
        <v>3360</v>
      </c>
      <c r="BE405" s="310">
        <v>4032</v>
      </c>
      <c r="BF405" s="310">
        <v>3360</v>
      </c>
      <c r="BG405" s="310">
        <v>3360</v>
      </c>
      <c r="BH405" s="310">
        <v>3360</v>
      </c>
      <c r="BI405" s="310">
        <f t="shared" si="327"/>
        <v>41382</v>
      </c>
      <c r="BJ405" s="311">
        <f t="shared" si="319"/>
        <v>3448.2126489459215</v>
      </c>
      <c r="BL405" s="317">
        <f>ROW()</f>
        <v>405</v>
      </c>
      <c r="BM405" s="1432">
        <f t="shared" si="328"/>
        <v>-251</v>
      </c>
      <c r="BN405" s="321">
        <f t="shared" si="338"/>
        <v>1.6862988220706758</v>
      </c>
      <c r="BO405" s="317">
        <f t="shared" si="320"/>
        <v>-3137</v>
      </c>
      <c r="BP405" s="321">
        <f t="shared" si="339"/>
        <v>1.1104103233289837</v>
      </c>
      <c r="BR405" s="8"/>
      <c r="BS405"/>
    </row>
    <row r="406" spans="1:73" s="190" customFormat="1" x14ac:dyDescent="0.55000000000000004">
      <c r="A406" s="7217"/>
      <c r="B406" s="7208"/>
      <c r="C406" s="203" t="s">
        <v>245</v>
      </c>
      <c r="D406" s="303"/>
      <c r="E406" s="304"/>
      <c r="F406" s="304"/>
      <c r="G406" s="304"/>
      <c r="H406" s="304"/>
      <c r="I406" s="304"/>
      <c r="J406" s="304"/>
      <c r="K406" s="304"/>
      <c r="L406" s="304"/>
      <c r="M406" s="304"/>
      <c r="N406" s="304"/>
      <c r="O406" s="304"/>
      <c r="P406" s="304">
        <f t="shared" si="321"/>
        <v>0</v>
      </c>
      <c r="Q406" s="305">
        <f t="shared" si="322"/>
        <v>0</v>
      </c>
      <c r="R406" s="1584"/>
      <c r="S406" s="303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>
        <f t="shared" si="323"/>
        <v>0</v>
      </c>
      <c r="AF406" s="305">
        <f t="shared" si="324"/>
        <v>0</v>
      </c>
      <c r="AG406" s="374"/>
      <c r="AH406" s="303"/>
      <c r="AI406" s="304"/>
      <c r="AJ406" s="304"/>
      <c r="AK406" s="304"/>
      <c r="AL406" s="304"/>
      <c r="AM406" s="304"/>
      <c r="AN406" s="304"/>
      <c r="AO406" s="304"/>
      <c r="AP406" s="304"/>
      <c r="AQ406" s="304"/>
      <c r="AR406" s="304"/>
      <c r="AS406" s="304"/>
      <c r="AT406" s="304">
        <f t="shared" si="325"/>
        <v>0</v>
      </c>
      <c r="AU406" s="305">
        <f t="shared" si="326"/>
        <v>0</v>
      </c>
      <c r="AV406" s="374"/>
      <c r="AW406" s="2022">
        <v>3125</v>
      </c>
      <c r="AX406" s="304">
        <v>3269</v>
      </c>
      <c r="AY406" s="304">
        <v>2746</v>
      </c>
      <c r="AZ406" s="304">
        <v>2877</v>
      </c>
      <c r="BA406" s="304">
        <v>3138</v>
      </c>
      <c r="BB406" s="304">
        <v>4185</v>
      </c>
      <c r="BC406" s="304">
        <v>3923</v>
      </c>
      <c r="BD406" s="304">
        <v>3269</v>
      </c>
      <c r="BE406" s="304">
        <v>3923</v>
      </c>
      <c r="BF406" s="304">
        <v>3269</v>
      </c>
      <c r="BG406" s="304">
        <v>3269</v>
      </c>
      <c r="BH406" s="304">
        <v>3269</v>
      </c>
      <c r="BI406" s="304">
        <f t="shared" si="327"/>
        <v>40262</v>
      </c>
      <c r="BJ406" s="305">
        <f t="shared" si="319"/>
        <v>3354.8870927422718</v>
      </c>
      <c r="BL406" s="317">
        <f>ROW()</f>
        <v>406</v>
      </c>
      <c r="BM406" s="1432">
        <f t="shared" si="328"/>
        <v>260</v>
      </c>
      <c r="BN406" s="321">
        <f t="shared" si="338"/>
        <v>0.96207775653282346</v>
      </c>
      <c r="BO406" s="317">
        <f t="shared" si="320"/>
        <v>616</v>
      </c>
      <c r="BP406" s="321">
        <f t="shared" si="339"/>
        <v>0.70411305946053349</v>
      </c>
      <c r="BR406" s="8"/>
      <c r="BS406"/>
    </row>
    <row r="407" spans="1:73" s="190" customFormat="1" x14ac:dyDescent="0.55000000000000004">
      <c r="A407" s="7217"/>
      <c r="B407" s="7208"/>
      <c r="C407" s="211" t="s">
        <v>246</v>
      </c>
      <c r="D407" s="309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>
        <f t="shared" si="321"/>
        <v>0</v>
      </c>
      <c r="Q407" s="311">
        <f t="shared" si="322"/>
        <v>0</v>
      </c>
      <c r="R407" s="1584"/>
      <c r="S407" s="309"/>
      <c r="T407" s="310"/>
      <c r="U407" s="310"/>
      <c r="V407" s="310"/>
      <c r="W407" s="310"/>
      <c r="X407" s="310"/>
      <c r="Y407" s="310"/>
      <c r="Z407" s="310"/>
      <c r="AA407" s="310"/>
      <c r="AB407" s="310"/>
      <c r="AC407" s="310"/>
      <c r="AD407" s="310"/>
      <c r="AE407" s="310">
        <f t="shared" si="323"/>
        <v>0</v>
      </c>
      <c r="AF407" s="311">
        <f t="shared" si="324"/>
        <v>0</v>
      </c>
      <c r="AG407" s="374"/>
      <c r="AH407" s="309"/>
      <c r="AI407" s="310"/>
      <c r="AJ407" s="310"/>
      <c r="AK407" s="310"/>
      <c r="AL407" s="310"/>
      <c r="AM407" s="310"/>
      <c r="AN407" s="310"/>
      <c r="AO407" s="310"/>
      <c r="AP407" s="310"/>
      <c r="AQ407" s="310"/>
      <c r="AR407" s="310"/>
      <c r="AS407" s="310"/>
      <c r="AT407" s="310">
        <f t="shared" si="325"/>
        <v>0</v>
      </c>
      <c r="AU407" s="311">
        <f t="shared" si="326"/>
        <v>0</v>
      </c>
      <c r="AV407" s="374"/>
      <c r="AW407" s="2021">
        <v>3582</v>
      </c>
      <c r="AX407" s="310">
        <v>3747</v>
      </c>
      <c r="AY407" s="310">
        <v>3148</v>
      </c>
      <c r="AZ407" s="310">
        <v>3298</v>
      </c>
      <c r="BA407" s="310">
        <v>3597</v>
      </c>
      <c r="BB407" s="310">
        <v>4796</v>
      </c>
      <c r="BC407" s="310">
        <v>4497</v>
      </c>
      <c r="BD407" s="310">
        <v>3747</v>
      </c>
      <c r="BE407" s="310">
        <v>4497</v>
      </c>
      <c r="BF407" s="310">
        <v>3747</v>
      </c>
      <c r="BG407" s="310">
        <v>3747</v>
      </c>
      <c r="BH407" s="310">
        <v>3747</v>
      </c>
      <c r="BI407" s="310">
        <f t="shared" si="327"/>
        <v>46150</v>
      </c>
      <c r="BJ407" s="311">
        <f t="shared" si="319"/>
        <v>3845.5128739271731</v>
      </c>
      <c r="BL407" s="317">
        <f>ROW()</f>
        <v>407</v>
      </c>
      <c r="BM407" s="1432">
        <f t="shared" si="328"/>
        <v>839</v>
      </c>
      <c r="BN407" s="321">
        <f t="shared" si="338"/>
        <v>17.58270781206561</v>
      </c>
      <c r="BO407" s="317">
        <f>BI52-BI407</f>
        <v>19022</v>
      </c>
      <c r="BP407" s="321">
        <f t="shared" si="339"/>
        <v>13.931375947995667</v>
      </c>
      <c r="BR407" s="8"/>
      <c r="BS407"/>
    </row>
    <row r="408" spans="1:73" x14ac:dyDescent="0.55000000000000004">
      <c r="A408" s="7217"/>
      <c r="B408" s="7208"/>
      <c r="C408" s="202" t="s">
        <v>247</v>
      </c>
      <c r="D408" s="300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>
        <f t="shared" si="321"/>
        <v>0</v>
      </c>
      <c r="Q408" s="302">
        <f t="shared" si="322"/>
        <v>0</v>
      </c>
      <c r="R408" s="1584"/>
      <c r="S408" s="300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>
        <f t="shared" si="323"/>
        <v>0</v>
      </c>
      <c r="AF408" s="302">
        <f t="shared" si="324"/>
        <v>0</v>
      </c>
      <c r="AG408" s="374"/>
      <c r="AH408" s="300"/>
      <c r="AI408" s="301"/>
      <c r="AJ408" s="301"/>
      <c r="AK408" s="301"/>
      <c r="AL408" s="301"/>
      <c r="AM408" s="301"/>
      <c r="AN408" s="301"/>
      <c r="AO408" s="301"/>
      <c r="AP408" s="301"/>
      <c r="AQ408" s="301"/>
      <c r="AR408" s="301"/>
      <c r="AS408" s="301"/>
      <c r="AT408" s="301">
        <f t="shared" si="325"/>
        <v>0</v>
      </c>
      <c r="AU408" s="302">
        <f t="shared" si="326"/>
        <v>0</v>
      </c>
      <c r="AV408" s="374"/>
      <c r="AW408" s="2021">
        <v>2535</v>
      </c>
      <c r="AX408" s="301">
        <v>2652</v>
      </c>
      <c r="AY408" s="301">
        <v>2228</v>
      </c>
      <c r="AZ408" s="301">
        <v>2334</v>
      </c>
      <c r="BA408" s="301">
        <v>2546</v>
      </c>
      <c r="BB408" s="301">
        <v>3394</v>
      </c>
      <c r="BC408" s="301">
        <v>3182</v>
      </c>
      <c r="BD408" s="301">
        <v>2652</v>
      </c>
      <c r="BE408" s="301">
        <v>3182</v>
      </c>
      <c r="BF408" s="301">
        <v>2652</v>
      </c>
      <c r="BG408" s="301">
        <v>2652</v>
      </c>
      <c r="BH408" s="301">
        <v>2652</v>
      </c>
      <c r="BI408" s="301">
        <f t="shared" si="327"/>
        <v>32661</v>
      </c>
      <c r="BJ408" s="302">
        <f t="shared" si="319"/>
        <v>2721.5232063994667</v>
      </c>
      <c r="BL408" s="317">
        <f>ROW()</f>
        <v>408</v>
      </c>
      <c r="BM408" s="1432">
        <f t="shared" si="328"/>
        <v>655</v>
      </c>
      <c r="BN408" s="321">
        <f t="shared" si="338"/>
        <v>12.70267085624509</v>
      </c>
      <c r="BO408" s="322">
        <f t="shared" si="320"/>
        <v>5176</v>
      </c>
      <c r="BP408" s="321">
        <f t="shared" si="339"/>
        <v>6.4348611493830559</v>
      </c>
      <c r="BR408" s="8"/>
    </row>
    <row r="409" spans="1:73" x14ac:dyDescent="0.55000000000000004">
      <c r="A409" s="7217"/>
      <c r="B409" s="7208"/>
      <c r="C409" s="203" t="s">
        <v>248</v>
      </c>
      <c r="D409" s="303"/>
      <c r="E409" s="304"/>
      <c r="F409" s="304"/>
      <c r="G409" s="304"/>
      <c r="H409" s="304"/>
      <c r="I409" s="304"/>
      <c r="J409" s="304"/>
      <c r="K409" s="304"/>
      <c r="L409" s="304"/>
      <c r="M409" s="304"/>
      <c r="N409" s="304"/>
      <c r="O409" s="304"/>
      <c r="P409" s="304">
        <f t="shared" si="321"/>
        <v>0</v>
      </c>
      <c r="Q409" s="305">
        <f t="shared" si="322"/>
        <v>0</v>
      </c>
      <c r="R409" s="1584"/>
      <c r="S409" s="303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>
        <f t="shared" si="323"/>
        <v>0</v>
      </c>
      <c r="AF409" s="305">
        <f t="shared" si="324"/>
        <v>0</v>
      </c>
      <c r="AG409" s="374"/>
      <c r="AH409" s="303"/>
      <c r="AI409" s="304"/>
      <c r="AJ409" s="304"/>
      <c r="AK409" s="304"/>
      <c r="AL409" s="304"/>
      <c r="AM409" s="304"/>
      <c r="AN409" s="304"/>
      <c r="AO409" s="304"/>
      <c r="AP409" s="304"/>
      <c r="AQ409" s="304"/>
      <c r="AR409" s="304"/>
      <c r="AS409" s="304"/>
      <c r="AT409" s="304">
        <f t="shared" si="325"/>
        <v>0</v>
      </c>
      <c r="AU409" s="305">
        <f t="shared" si="326"/>
        <v>0</v>
      </c>
      <c r="AV409" s="374"/>
      <c r="AW409" s="2022">
        <v>3911</v>
      </c>
      <c r="AX409" s="304">
        <v>4091</v>
      </c>
      <c r="AY409" s="304">
        <v>3437</v>
      </c>
      <c r="AZ409" s="304">
        <v>3600</v>
      </c>
      <c r="BA409" s="304">
        <v>3928</v>
      </c>
      <c r="BB409" s="304">
        <v>5237</v>
      </c>
      <c r="BC409" s="304">
        <v>4909</v>
      </c>
      <c r="BD409" s="304">
        <v>4091</v>
      </c>
      <c r="BE409" s="304">
        <v>4909</v>
      </c>
      <c r="BF409" s="304">
        <v>4091</v>
      </c>
      <c r="BG409" s="304">
        <v>4091</v>
      </c>
      <c r="BH409" s="304">
        <v>4091</v>
      </c>
      <c r="BI409" s="304">
        <f t="shared" si="327"/>
        <v>50386</v>
      </c>
      <c r="BJ409" s="305">
        <f t="shared" si="319"/>
        <v>4198.4834597116906</v>
      </c>
      <c r="BL409" s="317">
        <f>ROW()</f>
        <v>409</v>
      </c>
      <c r="BM409" s="1432">
        <f t="shared" si="328"/>
        <v>-893</v>
      </c>
      <c r="BN409" s="321">
        <f t="shared" si="338"/>
        <v>1.301834475214305E-4</v>
      </c>
      <c r="BO409" s="322">
        <f t="shared" si="320"/>
        <v>-4435</v>
      </c>
      <c r="BP409" s="321">
        <f t="shared" si="339"/>
        <v>6.544579667387925E-6</v>
      </c>
      <c r="BR409" s="8"/>
    </row>
    <row r="410" spans="1:73" ht="18" thickBot="1" x14ac:dyDescent="0.6">
      <c r="A410" s="7218"/>
      <c r="B410" s="7209"/>
      <c r="C410" s="212" t="s">
        <v>249</v>
      </c>
      <c r="D410" s="312"/>
      <c r="E410" s="313"/>
      <c r="F410" s="313"/>
      <c r="G410" s="313"/>
      <c r="H410" s="313"/>
      <c r="I410" s="313"/>
      <c r="J410" s="313"/>
      <c r="K410" s="313"/>
      <c r="L410" s="313"/>
      <c r="M410" s="313"/>
      <c r="N410" s="313"/>
      <c r="O410" s="313"/>
      <c r="P410" s="313">
        <f t="shared" si="321"/>
        <v>0</v>
      </c>
      <c r="Q410" s="314">
        <f t="shared" si="322"/>
        <v>0</v>
      </c>
      <c r="R410" s="1584"/>
      <c r="S410" s="312"/>
      <c r="T410" s="313"/>
      <c r="U410" s="313"/>
      <c r="V410" s="313"/>
      <c r="W410" s="313"/>
      <c r="X410" s="313"/>
      <c r="Y410" s="313"/>
      <c r="Z410" s="313"/>
      <c r="AA410" s="313"/>
      <c r="AB410" s="313"/>
      <c r="AC410" s="313"/>
      <c r="AD410" s="313"/>
      <c r="AE410" s="313">
        <f t="shared" si="323"/>
        <v>0</v>
      </c>
      <c r="AF410" s="314">
        <f t="shared" si="324"/>
        <v>0</v>
      </c>
      <c r="AG410" s="374"/>
      <c r="AH410" s="312"/>
      <c r="AI410" s="313"/>
      <c r="AJ410" s="313"/>
      <c r="AK410" s="313"/>
      <c r="AL410" s="313"/>
      <c r="AM410" s="313"/>
      <c r="AN410" s="313"/>
      <c r="AO410" s="313"/>
      <c r="AP410" s="313"/>
      <c r="AQ410" s="313"/>
      <c r="AR410" s="313"/>
      <c r="AS410" s="313"/>
      <c r="AT410" s="313">
        <f t="shared" si="325"/>
        <v>0</v>
      </c>
      <c r="AU410" s="314">
        <f t="shared" si="326"/>
        <v>0</v>
      </c>
      <c r="AV410" s="374"/>
      <c r="AW410" s="2024">
        <v>2808</v>
      </c>
      <c r="AX410" s="313">
        <v>2937</v>
      </c>
      <c r="AY410" s="313">
        <v>2466</v>
      </c>
      <c r="AZ410" s="313">
        <v>2583</v>
      </c>
      <c r="BA410" s="313">
        <v>2818</v>
      </c>
      <c r="BB410" s="313">
        <v>3758</v>
      </c>
      <c r="BC410" s="313">
        <v>3524</v>
      </c>
      <c r="BD410" s="313">
        <v>2936</v>
      </c>
      <c r="BE410" s="313">
        <v>3524</v>
      </c>
      <c r="BF410" s="313">
        <v>2936</v>
      </c>
      <c r="BG410" s="313">
        <v>2936</v>
      </c>
      <c r="BH410" s="313">
        <v>2936</v>
      </c>
      <c r="BI410" s="313">
        <f t="shared" si="327"/>
        <v>36162</v>
      </c>
      <c r="BJ410" s="314">
        <f t="shared" si="319"/>
        <v>3013.2488959253396</v>
      </c>
      <c r="BL410" s="317">
        <f>ROW()</f>
        <v>410</v>
      </c>
      <c r="BM410" s="1432">
        <f t="shared" si="328"/>
        <v>-1033</v>
      </c>
      <c r="BN410" s="321">
        <f t="shared" si="338"/>
        <v>1.3463449254790629</v>
      </c>
      <c r="BO410" s="322">
        <f t="shared" si="320"/>
        <v>-7813</v>
      </c>
      <c r="BP410" s="321">
        <f t="shared" si="339"/>
        <v>1.1896465903434545</v>
      </c>
      <c r="BR410" s="8"/>
    </row>
    <row r="411" spans="1:73" ht="17.399999999999999" hidden="1" customHeight="1" x14ac:dyDescent="0.55000000000000004">
      <c r="A411" s="7221" t="s">
        <v>470</v>
      </c>
      <c r="B411" s="41" t="s">
        <v>418</v>
      </c>
      <c r="C411" s="206"/>
      <c r="D411" s="270">
        <f t="shared" ref="D411:O411" si="354">SUM(D412:D413)</f>
        <v>0</v>
      </c>
      <c r="E411" s="271">
        <f t="shared" si="354"/>
        <v>0</v>
      </c>
      <c r="F411" s="271">
        <f t="shared" si="354"/>
        <v>0</v>
      </c>
      <c r="G411" s="271">
        <f t="shared" si="354"/>
        <v>0</v>
      </c>
      <c r="H411" s="271">
        <f t="shared" si="354"/>
        <v>0</v>
      </c>
      <c r="I411" s="271">
        <f t="shared" si="354"/>
        <v>0</v>
      </c>
      <c r="J411" s="271">
        <f t="shared" si="354"/>
        <v>0</v>
      </c>
      <c r="K411" s="271">
        <f t="shared" si="354"/>
        <v>0</v>
      </c>
      <c r="L411" s="271">
        <f t="shared" si="354"/>
        <v>0</v>
      </c>
      <c r="M411" s="271">
        <f t="shared" si="354"/>
        <v>0</v>
      </c>
      <c r="N411" s="271">
        <f t="shared" si="354"/>
        <v>0</v>
      </c>
      <c r="O411" s="271">
        <f t="shared" si="354"/>
        <v>0</v>
      </c>
      <c r="P411" s="271">
        <f>SUM(D411:O411)</f>
        <v>0</v>
      </c>
      <c r="Q411" s="272">
        <f>P411/12</f>
        <v>0</v>
      </c>
      <c r="S411" s="270">
        <f t="shared" ref="S411:AD411" si="355">SUM(S412:S413)</f>
        <v>0</v>
      </c>
      <c r="T411" s="271">
        <f t="shared" si="355"/>
        <v>0</v>
      </c>
      <c r="U411" s="271">
        <f t="shared" si="355"/>
        <v>0</v>
      </c>
      <c r="V411" s="271">
        <f t="shared" si="355"/>
        <v>0</v>
      </c>
      <c r="W411" s="271">
        <f t="shared" si="355"/>
        <v>0</v>
      </c>
      <c r="X411" s="271">
        <f t="shared" si="355"/>
        <v>0</v>
      </c>
      <c r="Y411" s="271">
        <f t="shared" si="355"/>
        <v>0</v>
      </c>
      <c r="Z411" s="271">
        <f t="shared" si="355"/>
        <v>0</v>
      </c>
      <c r="AA411" s="271">
        <f t="shared" si="355"/>
        <v>0</v>
      </c>
      <c r="AB411" s="271">
        <f t="shared" si="355"/>
        <v>0</v>
      </c>
      <c r="AC411" s="271">
        <f t="shared" si="355"/>
        <v>0</v>
      </c>
      <c r="AD411" s="271">
        <f t="shared" si="355"/>
        <v>0</v>
      </c>
      <c r="AE411" s="271">
        <f>SUM(S411:AD411)</f>
        <v>0</v>
      </c>
      <c r="AF411" s="272">
        <f>AE411/12</f>
        <v>0</v>
      </c>
      <c r="AG411" s="374"/>
      <c r="AH411" s="270">
        <v>65000</v>
      </c>
      <c r="AI411" s="271">
        <v>46000</v>
      </c>
      <c r="AJ411" s="271">
        <v>47400</v>
      </c>
      <c r="AK411" s="271">
        <v>47000</v>
      </c>
      <c r="AL411" s="271">
        <v>47900</v>
      </c>
      <c r="AM411" s="271">
        <v>46900</v>
      </c>
      <c r="AN411" s="271">
        <v>75000</v>
      </c>
      <c r="AO411" s="271">
        <v>47300</v>
      </c>
      <c r="AP411" s="271">
        <v>63000</v>
      </c>
      <c r="AQ411" s="271">
        <v>58700</v>
      </c>
      <c r="AR411" s="271">
        <v>47700</v>
      </c>
      <c r="AS411" s="271">
        <v>47700</v>
      </c>
      <c r="AT411" s="271">
        <f>SUM(AH411:AS411)</f>
        <v>639600</v>
      </c>
      <c r="AU411" s="272">
        <f t="shared" si="326"/>
        <v>53300</v>
      </c>
      <c r="AV411" s="374"/>
      <c r="AW411" s="2010"/>
      <c r="AX411" s="271"/>
      <c r="AY411" s="271"/>
      <c r="AZ411" s="271"/>
      <c r="BA411" s="271"/>
      <c r="BB411" s="271"/>
      <c r="BC411" s="271"/>
      <c r="BD411" s="271"/>
      <c r="BE411" s="271"/>
      <c r="BF411" s="271"/>
      <c r="BG411" s="271"/>
      <c r="BH411" s="271"/>
      <c r="BI411" s="271">
        <f>SUM(AW411:BH411)</f>
        <v>0</v>
      </c>
      <c r="BJ411" s="272">
        <f t="shared" ref="BJ411:BJ462" si="356">BI411/$A$2</f>
        <v>0</v>
      </c>
      <c r="BM411" s="1432"/>
      <c r="BN411" s="321"/>
      <c r="BO411" s="322"/>
      <c r="BP411" s="321"/>
      <c r="BR411" s="8"/>
    </row>
    <row r="412" spans="1:73" ht="17.399999999999999" hidden="1" customHeight="1" x14ac:dyDescent="0.55000000000000004">
      <c r="A412" s="7222"/>
      <c r="B412" s="42"/>
      <c r="C412" s="213" t="s">
        <v>47</v>
      </c>
      <c r="D412" s="273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>
        <f t="shared" ref="P412:P462" si="357">SUM(D412:O412)</f>
        <v>0</v>
      </c>
      <c r="Q412" s="275">
        <f t="shared" ref="Q412:Q462" si="358">P412/12</f>
        <v>0</v>
      </c>
      <c r="S412" s="273"/>
      <c r="T412" s="274"/>
      <c r="U412" s="274"/>
      <c r="V412" s="274"/>
      <c r="W412" s="274"/>
      <c r="X412" s="274"/>
      <c r="Y412" s="274"/>
      <c r="Z412" s="274"/>
      <c r="AA412" s="274"/>
      <c r="AB412" s="274"/>
      <c r="AC412" s="274"/>
      <c r="AD412" s="274"/>
      <c r="AE412" s="274">
        <f t="shared" ref="AE412:AE462" si="359">SUM(S412:AD412)</f>
        <v>0</v>
      </c>
      <c r="AF412" s="275">
        <f t="shared" ref="AF412:AF462" si="360">AE412/12</f>
        <v>0</v>
      </c>
      <c r="AG412" s="374"/>
      <c r="AH412" s="273">
        <v>14000</v>
      </c>
      <c r="AI412" s="274">
        <v>9000</v>
      </c>
      <c r="AJ412" s="274">
        <v>12200</v>
      </c>
      <c r="AK412" s="274">
        <v>14400</v>
      </c>
      <c r="AL412" s="274">
        <v>15100</v>
      </c>
      <c r="AM412" s="274">
        <v>18400</v>
      </c>
      <c r="AN412" s="274">
        <v>24100</v>
      </c>
      <c r="AO412" s="274">
        <v>17310</v>
      </c>
      <c r="AP412" s="274">
        <v>17000</v>
      </c>
      <c r="AQ412" s="274">
        <v>16050</v>
      </c>
      <c r="AR412" s="274">
        <v>15050</v>
      </c>
      <c r="AS412" s="274">
        <v>15050</v>
      </c>
      <c r="AT412" s="274">
        <f t="shared" ref="AT412:AT462" si="361">SUM(AH412:AS412)</f>
        <v>187660</v>
      </c>
      <c r="AU412" s="275">
        <f t="shared" si="326"/>
        <v>15638.333333333334</v>
      </c>
      <c r="AV412" s="374"/>
      <c r="AW412" s="2011"/>
      <c r="AX412" s="274"/>
      <c r="AY412" s="274"/>
      <c r="AZ412" s="274"/>
      <c r="BA412" s="274"/>
      <c r="BB412" s="274"/>
      <c r="BC412" s="274"/>
      <c r="BD412" s="274"/>
      <c r="BE412" s="274"/>
      <c r="BF412" s="274"/>
      <c r="BG412" s="274"/>
      <c r="BH412" s="274"/>
      <c r="BI412" s="274">
        <f t="shared" ref="BI412:BI462" si="362">SUM(AW412:BH412)</f>
        <v>0</v>
      </c>
      <c r="BJ412" s="275">
        <f t="shared" si="356"/>
        <v>0</v>
      </c>
      <c r="BM412" s="1432"/>
      <c r="BN412" s="1432"/>
      <c r="BO412" s="1432"/>
      <c r="BP412" s="1432"/>
      <c r="BQ412" s="1432"/>
      <c r="BR412" s="1432"/>
      <c r="BS412" s="1432"/>
      <c r="BT412" s="1432"/>
      <c r="BU412" s="1432"/>
    </row>
    <row r="413" spans="1:73" ht="17.399999999999999" hidden="1" customHeight="1" x14ac:dyDescent="0.55000000000000004">
      <c r="A413" s="7222"/>
      <c r="B413" s="42"/>
      <c r="C413" s="214" t="s">
        <v>56</v>
      </c>
      <c r="D413" s="273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>
        <f t="shared" si="357"/>
        <v>0</v>
      </c>
      <c r="Q413" s="275">
        <f t="shared" si="358"/>
        <v>0</v>
      </c>
      <c r="S413" s="273"/>
      <c r="T413" s="274"/>
      <c r="U413" s="274"/>
      <c r="V413" s="274"/>
      <c r="W413" s="274"/>
      <c r="X413" s="274"/>
      <c r="Y413" s="274"/>
      <c r="Z413" s="274"/>
      <c r="AA413" s="274"/>
      <c r="AB413" s="274"/>
      <c r="AC413" s="274"/>
      <c r="AD413" s="274"/>
      <c r="AE413" s="274">
        <f t="shared" si="359"/>
        <v>0</v>
      </c>
      <c r="AF413" s="275">
        <f t="shared" si="360"/>
        <v>0</v>
      </c>
      <c r="AG413" s="374"/>
      <c r="AH413" s="273">
        <v>51000</v>
      </c>
      <c r="AI413" s="274">
        <v>37000</v>
      </c>
      <c r="AJ413" s="274">
        <v>35200</v>
      </c>
      <c r="AK413" s="274">
        <v>32600</v>
      </c>
      <c r="AL413" s="274">
        <v>32800</v>
      </c>
      <c r="AM413" s="274">
        <v>28500</v>
      </c>
      <c r="AN413" s="274">
        <v>50900</v>
      </c>
      <c r="AO413" s="274">
        <v>29990</v>
      </c>
      <c r="AP413" s="274">
        <v>46000</v>
      </c>
      <c r="AQ413" s="274">
        <v>42650</v>
      </c>
      <c r="AR413" s="274">
        <v>32650</v>
      </c>
      <c r="AS413" s="274">
        <v>32650</v>
      </c>
      <c r="AT413" s="274">
        <f t="shared" si="361"/>
        <v>451940</v>
      </c>
      <c r="AU413" s="275">
        <f t="shared" si="326"/>
        <v>37661.666666666664</v>
      </c>
      <c r="AV413" s="374"/>
      <c r="AW413" s="2011"/>
      <c r="AX413" s="274"/>
      <c r="AY413" s="274"/>
      <c r="AZ413" s="274"/>
      <c r="BA413" s="274"/>
      <c r="BB413" s="274"/>
      <c r="BC413" s="274"/>
      <c r="BD413" s="274"/>
      <c r="BE413" s="274"/>
      <c r="BF413" s="274"/>
      <c r="BG413" s="274"/>
      <c r="BH413" s="274"/>
      <c r="BI413" s="274">
        <f t="shared" si="362"/>
        <v>0</v>
      </c>
      <c r="BJ413" s="275">
        <f t="shared" si="356"/>
        <v>0</v>
      </c>
      <c r="BM413" s="1432"/>
      <c r="BN413" s="1432"/>
      <c r="BO413" s="1432"/>
      <c r="BP413" s="1432"/>
      <c r="BQ413" s="1432"/>
      <c r="BR413" s="1432"/>
      <c r="BS413" s="1432"/>
      <c r="BT413" s="1432"/>
      <c r="BU413" s="1432"/>
    </row>
    <row r="414" spans="1:73" ht="17.399999999999999" hidden="1" customHeight="1" x14ac:dyDescent="0.55000000000000004">
      <c r="A414" s="7222"/>
      <c r="B414" s="7219" t="s">
        <v>429</v>
      </c>
      <c r="C414" s="197" t="s">
        <v>424</v>
      </c>
      <c r="D414" s="276"/>
      <c r="E414" s="277"/>
      <c r="F414" s="277"/>
      <c r="G414" s="277"/>
      <c r="H414" s="277"/>
      <c r="I414" s="277"/>
      <c r="J414" s="277"/>
      <c r="K414" s="277"/>
      <c r="L414" s="277"/>
      <c r="M414" s="277"/>
      <c r="N414" s="277"/>
      <c r="O414" s="277"/>
      <c r="P414" s="277">
        <f t="shared" si="357"/>
        <v>0</v>
      </c>
      <c r="Q414" s="278">
        <f t="shared" si="358"/>
        <v>0</v>
      </c>
      <c r="S414" s="276">
        <v>15144</v>
      </c>
      <c r="T414" s="277">
        <v>16678</v>
      </c>
      <c r="U414" s="277">
        <v>15719</v>
      </c>
      <c r="V414" s="277">
        <v>15144</v>
      </c>
      <c r="W414" s="277">
        <v>15911</v>
      </c>
      <c r="X414" s="277">
        <v>16103</v>
      </c>
      <c r="Y414" s="277">
        <v>13994</v>
      </c>
      <c r="Z414" s="277">
        <v>19554</v>
      </c>
      <c r="AA414" s="277">
        <v>14569</v>
      </c>
      <c r="AB414" s="277">
        <v>19362</v>
      </c>
      <c r="AC414" s="277">
        <v>15118</v>
      </c>
      <c r="AD414" s="277">
        <v>14377</v>
      </c>
      <c r="AE414" s="277">
        <f t="shared" si="359"/>
        <v>191673</v>
      </c>
      <c r="AF414" s="278">
        <f t="shared" si="360"/>
        <v>15972.75</v>
      </c>
      <c r="AG414" s="374"/>
      <c r="AH414" s="276">
        <v>24250</v>
      </c>
      <c r="AI414" s="277">
        <v>15500</v>
      </c>
      <c r="AJ414" s="277">
        <v>16000</v>
      </c>
      <c r="AK414" s="277">
        <v>15600</v>
      </c>
      <c r="AL414" s="277">
        <v>16000</v>
      </c>
      <c r="AM414" s="277">
        <v>16000</v>
      </c>
      <c r="AN414" s="277">
        <v>26000</v>
      </c>
      <c r="AO414" s="277">
        <v>15000</v>
      </c>
      <c r="AP414" s="277">
        <v>18000</v>
      </c>
      <c r="AQ414" s="277">
        <v>16000</v>
      </c>
      <c r="AR414" s="277">
        <v>15000</v>
      </c>
      <c r="AS414" s="277">
        <v>15000</v>
      </c>
      <c r="AT414" s="277">
        <f t="shared" si="361"/>
        <v>208350</v>
      </c>
      <c r="AU414" s="278">
        <f t="shared" si="326"/>
        <v>17362.5</v>
      </c>
      <c r="AV414" s="374"/>
      <c r="AW414" s="2012"/>
      <c r="AX414" s="277"/>
      <c r="AY414" s="277"/>
      <c r="AZ414" s="277"/>
      <c r="BA414" s="277"/>
      <c r="BB414" s="277"/>
      <c r="BC414" s="277"/>
      <c r="BD414" s="277"/>
      <c r="BE414" s="277"/>
      <c r="BF414" s="277"/>
      <c r="BG414" s="277"/>
      <c r="BH414" s="277"/>
      <c r="BI414" s="277">
        <f t="shared" si="362"/>
        <v>0</v>
      </c>
      <c r="BJ414" s="278">
        <f t="shared" si="356"/>
        <v>0</v>
      </c>
      <c r="BM414" s="1432"/>
      <c r="BN414" s="321"/>
      <c r="BO414" s="322"/>
      <c r="BP414" s="321"/>
      <c r="BR414" s="8"/>
    </row>
    <row r="415" spans="1:73" ht="17.399999999999999" hidden="1" customHeight="1" x14ac:dyDescent="0.55000000000000004">
      <c r="A415" s="7222"/>
      <c r="B415" s="7212"/>
      <c r="C415" s="198" t="s">
        <v>1112</v>
      </c>
      <c r="D415" s="279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>
        <f t="shared" ref="P415" si="363">SUM(D415:O415)</f>
        <v>0</v>
      </c>
      <c r="Q415" s="281">
        <f t="shared" ref="Q415" si="364">P415/12</f>
        <v>0</v>
      </c>
      <c r="R415" s="2229"/>
      <c r="S415" s="279">
        <v>1143</v>
      </c>
      <c r="T415" s="280">
        <v>1279</v>
      </c>
      <c r="U415" s="280">
        <v>1294</v>
      </c>
      <c r="V415" s="280">
        <v>1243</v>
      </c>
      <c r="W415" s="280">
        <v>1361</v>
      </c>
      <c r="X415" s="280">
        <v>1378</v>
      </c>
      <c r="Y415" s="280">
        <v>1291</v>
      </c>
      <c r="Z415" s="280">
        <v>1784</v>
      </c>
      <c r="AA415" s="280">
        <v>1392</v>
      </c>
      <c r="AB415" s="280">
        <v>1817</v>
      </c>
      <c r="AC415" s="280">
        <v>1543</v>
      </c>
      <c r="AD415" s="280">
        <v>1475</v>
      </c>
      <c r="AE415" s="280">
        <f t="shared" ref="AE415" si="365">SUM(S415:AD415)</f>
        <v>17000</v>
      </c>
      <c r="AF415" s="281">
        <f t="shared" ref="AF415" si="366">AE415/12</f>
        <v>1416.6666666666667</v>
      </c>
      <c r="AG415" s="374"/>
      <c r="AH415" s="279">
        <v>500</v>
      </c>
      <c r="AI415" s="280">
        <v>300</v>
      </c>
      <c r="AJ415" s="280">
        <v>400</v>
      </c>
      <c r="AK415" s="280">
        <v>400</v>
      </c>
      <c r="AL415" s="280">
        <v>400</v>
      </c>
      <c r="AM415" s="280">
        <v>400</v>
      </c>
      <c r="AN415" s="280">
        <v>500</v>
      </c>
      <c r="AO415" s="280">
        <v>300</v>
      </c>
      <c r="AP415" s="280">
        <v>500</v>
      </c>
      <c r="AQ415" s="280">
        <v>200</v>
      </c>
      <c r="AR415" s="280">
        <v>200</v>
      </c>
      <c r="AS415" s="280">
        <v>200</v>
      </c>
      <c r="AT415" s="280">
        <f t="shared" ref="AT415" si="367">SUM(AH415:AS415)</f>
        <v>4300</v>
      </c>
      <c r="AU415" s="281">
        <f t="shared" ref="AU415" si="368">AT415/12</f>
        <v>358.33333333333331</v>
      </c>
      <c r="AV415" s="374"/>
      <c r="AW415" s="2013"/>
      <c r="AX415" s="280"/>
      <c r="AY415" s="280"/>
      <c r="AZ415" s="280"/>
      <c r="BA415" s="280"/>
      <c r="BB415" s="280"/>
      <c r="BC415" s="280"/>
      <c r="BD415" s="280"/>
      <c r="BE415" s="280"/>
      <c r="BF415" s="280"/>
      <c r="BG415" s="280"/>
      <c r="BH415" s="280"/>
      <c r="BI415" s="280">
        <f t="shared" ref="BI415" si="369">SUM(AW415:BH415)</f>
        <v>0</v>
      </c>
      <c r="BJ415" s="281">
        <f t="shared" ref="BJ415" si="370">BI415/$A$2</f>
        <v>0</v>
      </c>
      <c r="BM415" s="1432"/>
      <c r="BN415" s="321"/>
      <c r="BO415" s="322"/>
      <c r="BP415" s="321"/>
      <c r="BR415" s="8"/>
    </row>
    <row r="416" spans="1:73" ht="17.399999999999999" hidden="1" customHeight="1" x14ac:dyDescent="0.55000000000000004">
      <c r="A416" s="7222"/>
      <c r="B416" s="7212"/>
      <c r="C416" s="198" t="s">
        <v>426</v>
      </c>
      <c r="D416" s="279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>
        <f t="shared" si="357"/>
        <v>0</v>
      </c>
      <c r="Q416" s="281">
        <f t="shared" si="358"/>
        <v>0</v>
      </c>
      <c r="S416" s="279">
        <v>26100</v>
      </c>
      <c r="T416" s="280">
        <v>28200</v>
      </c>
      <c r="U416" s="280">
        <v>26400</v>
      </c>
      <c r="V416" s="280">
        <v>24900</v>
      </c>
      <c r="W416" s="280">
        <v>27000</v>
      </c>
      <c r="X416" s="280">
        <v>26100</v>
      </c>
      <c r="Y416" s="280">
        <v>21000</v>
      </c>
      <c r="Z416" s="280">
        <v>28800</v>
      </c>
      <c r="AA416" s="280">
        <v>21600</v>
      </c>
      <c r="AB416" s="280">
        <v>28800</v>
      </c>
      <c r="AC416" s="280">
        <v>21300</v>
      </c>
      <c r="AD416" s="280">
        <v>19800</v>
      </c>
      <c r="AE416" s="280">
        <f t="shared" si="359"/>
        <v>300000</v>
      </c>
      <c r="AF416" s="281">
        <f t="shared" si="360"/>
        <v>25000</v>
      </c>
      <c r="AG416" s="374"/>
      <c r="AH416" s="279">
        <v>25250</v>
      </c>
      <c r="AI416" s="280">
        <v>16700</v>
      </c>
      <c r="AJ416" s="280">
        <v>18500</v>
      </c>
      <c r="AK416" s="280">
        <v>19500</v>
      </c>
      <c r="AL416" s="280">
        <v>20000</v>
      </c>
      <c r="AM416" s="280">
        <v>20000</v>
      </c>
      <c r="AN416" s="280">
        <v>25500</v>
      </c>
      <c r="AO416" s="280">
        <v>20000</v>
      </c>
      <c r="AP416" s="280">
        <v>22000</v>
      </c>
      <c r="AQ416" s="280">
        <v>20000</v>
      </c>
      <c r="AR416" s="280">
        <v>20000</v>
      </c>
      <c r="AS416" s="280">
        <v>20000</v>
      </c>
      <c r="AT416" s="280">
        <f t="shared" si="361"/>
        <v>247450</v>
      </c>
      <c r="AU416" s="281">
        <f t="shared" si="326"/>
        <v>20620.833333333332</v>
      </c>
      <c r="AV416" s="374"/>
      <c r="AW416" s="2013"/>
      <c r="AX416" s="280"/>
      <c r="AY416" s="280"/>
      <c r="AZ416" s="280"/>
      <c r="BA416" s="280"/>
      <c r="BB416" s="280"/>
      <c r="BC416" s="280"/>
      <c r="BD416" s="280"/>
      <c r="BE416" s="280"/>
      <c r="BF416" s="280"/>
      <c r="BG416" s="280"/>
      <c r="BH416" s="280"/>
      <c r="BI416" s="280">
        <f t="shared" si="362"/>
        <v>0</v>
      </c>
      <c r="BJ416" s="281">
        <f t="shared" si="356"/>
        <v>0</v>
      </c>
      <c r="BM416" s="1432"/>
      <c r="BN416" s="321"/>
      <c r="BO416" s="322"/>
      <c r="BP416" s="321"/>
      <c r="BR416" s="8"/>
    </row>
    <row r="417" spans="1:70" ht="17.399999999999999" hidden="1" customHeight="1" x14ac:dyDescent="0.55000000000000004">
      <c r="A417" s="7222"/>
      <c r="B417" s="7212"/>
      <c r="C417" s="198" t="s">
        <v>948</v>
      </c>
      <c r="D417" s="279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>
        <f t="shared" si="357"/>
        <v>0</v>
      </c>
      <c r="Q417" s="281">
        <f t="shared" si="358"/>
        <v>0</v>
      </c>
      <c r="S417" s="279">
        <v>4833</v>
      </c>
      <c r="T417" s="280">
        <v>6520</v>
      </c>
      <c r="U417" s="280">
        <v>5259</v>
      </c>
      <c r="V417" s="280">
        <v>6041</v>
      </c>
      <c r="W417" s="280">
        <v>7084</v>
      </c>
      <c r="X417" s="280">
        <v>5957</v>
      </c>
      <c r="Y417" s="280">
        <v>5232</v>
      </c>
      <c r="Z417" s="280">
        <v>7976</v>
      </c>
      <c r="AA417" s="280">
        <v>5232</v>
      </c>
      <c r="AB417" s="280">
        <v>11492</v>
      </c>
      <c r="AC417" s="280">
        <v>5565</v>
      </c>
      <c r="AD417" s="280">
        <v>5459</v>
      </c>
      <c r="AE417" s="280">
        <f t="shared" si="359"/>
        <v>76650</v>
      </c>
      <c r="AF417" s="281">
        <f t="shared" si="360"/>
        <v>6387.5</v>
      </c>
      <c r="AG417" s="374"/>
      <c r="AH417" s="279">
        <v>10000</v>
      </c>
      <c r="AI417" s="280">
        <v>10500</v>
      </c>
      <c r="AJ417" s="280">
        <v>9500</v>
      </c>
      <c r="AK417" s="280">
        <v>8000</v>
      </c>
      <c r="AL417" s="280">
        <v>8000</v>
      </c>
      <c r="AM417" s="280">
        <v>8000</v>
      </c>
      <c r="AN417" s="280">
        <v>20000</v>
      </c>
      <c r="AO417" s="280">
        <v>10000</v>
      </c>
      <c r="AP417" s="280">
        <v>20000</v>
      </c>
      <c r="AQ417" s="280">
        <v>20000</v>
      </c>
      <c r="AR417" s="280">
        <v>10000</v>
      </c>
      <c r="AS417" s="280">
        <v>10000</v>
      </c>
      <c r="AT417" s="280">
        <f t="shared" si="361"/>
        <v>144000</v>
      </c>
      <c r="AU417" s="281">
        <f t="shared" si="326"/>
        <v>12000</v>
      </c>
      <c r="AV417" s="374"/>
      <c r="AW417" s="2013"/>
      <c r="AX417" s="280"/>
      <c r="AY417" s="280"/>
      <c r="AZ417" s="280"/>
      <c r="BA417" s="280"/>
      <c r="BB417" s="280"/>
      <c r="BC417" s="280"/>
      <c r="BD417" s="280"/>
      <c r="BE417" s="280"/>
      <c r="BF417" s="280"/>
      <c r="BG417" s="280"/>
      <c r="BH417" s="280"/>
      <c r="BI417" s="280">
        <f t="shared" si="362"/>
        <v>0</v>
      </c>
      <c r="BJ417" s="281">
        <f t="shared" si="356"/>
        <v>0</v>
      </c>
      <c r="BM417" s="1432"/>
      <c r="BN417" s="321"/>
      <c r="BO417" s="322"/>
      <c r="BP417" s="321"/>
      <c r="BR417" s="8"/>
    </row>
    <row r="418" spans="1:70" ht="17.399999999999999" hidden="1" customHeight="1" x14ac:dyDescent="0.55000000000000004">
      <c r="A418" s="7222"/>
      <c r="B418" s="7212"/>
      <c r="C418" s="198" t="s">
        <v>427</v>
      </c>
      <c r="D418" s="279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>
        <f t="shared" si="357"/>
        <v>0</v>
      </c>
      <c r="Q418" s="281">
        <f t="shared" si="358"/>
        <v>0</v>
      </c>
      <c r="S418" s="279">
        <v>3890</v>
      </c>
      <c r="T418" s="280">
        <v>4740</v>
      </c>
      <c r="U418" s="280">
        <v>4860</v>
      </c>
      <c r="V418" s="280">
        <v>4140</v>
      </c>
      <c r="W418" s="280">
        <v>4620</v>
      </c>
      <c r="X418" s="280">
        <v>4440</v>
      </c>
      <c r="Y418" s="280">
        <v>3940</v>
      </c>
      <c r="Z418" s="280">
        <v>4430</v>
      </c>
      <c r="AA418" s="280">
        <v>10070</v>
      </c>
      <c r="AB418" s="280">
        <v>9730</v>
      </c>
      <c r="AC418" s="280">
        <v>4170</v>
      </c>
      <c r="AD418" s="280">
        <v>4030</v>
      </c>
      <c r="AE418" s="280">
        <f t="shared" si="359"/>
        <v>63060</v>
      </c>
      <c r="AF418" s="281">
        <f t="shared" si="360"/>
        <v>5255</v>
      </c>
      <c r="AG418" s="374"/>
      <c r="AH418" s="279">
        <v>5000</v>
      </c>
      <c r="AI418" s="280">
        <v>3000</v>
      </c>
      <c r="AJ418" s="280">
        <v>3000</v>
      </c>
      <c r="AK418" s="280">
        <v>3500</v>
      </c>
      <c r="AL418" s="280">
        <v>3500</v>
      </c>
      <c r="AM418" s="280">
        <v>2500</v>
      </c>
      <c r="AN418" s="280">
        <v>3000</v>
      </c>
      <c r="AO418" s="280">
        <v>2000</v>
      </c>
      <c r="AP418" s="280">
        <v>2500</v>
      </c>
      <c r="AQ418" s="280">
        <v>2500</v>
      </c>
      <c r="AR418" s="280">
        <v>2500</v>
      </c>
      <c r="AS418" s="280">
        <v>2500</v>
      </c>
      <c r="AT418" s="280">
        <f t="shared" si="361"/>
        <v>35500</v>
      </c>
      <c r="AU418" s="281">
        <f t="shared" si="326"/>
        <v>2958.3333333333335</v>
      </c>
      <c r="AV418" s="374"/>
      <c r="AW418" s="2013"/>
      <c r="AX418" s="280"/>
      <c r="AY418" s="280"/>
      <c r="AZ418" s="280"/>
      <c r="BA418" s="280"/>
      <c r="BB418" s="280"/>
      <c r="BC418" s="280"/>
      <c r="BD418" s="280"/>
      <c r="BE418" s="280"/>
      <c r="BF418" s="280"/>
      <c r="BG418" s="280"/>
      <c r="BH418" s="280"/>
      <c r="BI418" s="280">
        <f t="shared" si="362"/>
        <v>0</v>
      </c>
      <c r="BJ418" s="281">
        <f t="shared" si="356"/>
        <v>0</v>
      </c>
      <c r="BM418" s="1432"/>
      <c r="BN418" s="321"/>
      <c r="BO418" s="322"/>
      <c r="BP418" s="321"/>
      <c r="BR418" s="8"/>
    </row>
    <row r="419" spans="1:70" ht="17.399999999999999" hidden="1" customHeight="1" x14ac:dyDescent="0.55000000000000004">
      <c r="A419" s="7222"/>
      <c r="B419" s="7212"/>
      <c r="C419" s="198" t="s">
        <v>428</v>
      </c>
      <c r="D419" s="279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>
        <f t="shared" si="357"/>
        <v>0</v>
      </c>
      <c r="Q419" s="281">
        <f t="shared" si="358"/>
        <v>0</v>
      </c>
      <c r="S419" s="279">
        <v>0</v>
      </c>
      <c r="T419" s="280">
        <v>0</v>
      </c>
      <c r="U419" s="280">
        <v>0</v>
      </c>
      <c r="V419" s="280">
        <v>0</v>
      </c>
      <c r="W419" s="280">
        <v>0</v>
      </c>
      <c r="X419" s="280">
        <v>0</v>
      </c>
      <c r="Y419" s="280">
        <v>0</v>
      </c>
      <c r="Z419" s="280">
        <v>0</v>
      </c>
      <c r="AA419" s="280">
        <v>0</v>
      </c>
      <c r="AB419" s="280">
        <v>0</v>
      </c>
      <c r="AC419" s="280">
        <v>0</v>
      </c>
      <c r="AD419" s="280">
        <v>0</v>
      </c>
      <c r="AE419" s="280">
        <f t="shared" si="359"/>
        <v>0</v>
      </c>
      <c r="AF419" s="281">
        <f t="shared" si="360"/>
        <v>0</v>
      </c>
      <c r="AG419" s="374"/>
      <c r="AH419" s="279">
        <v>0</v>
      </c>
      <c r="AI419" s="280">
        <v>0</v>
      </c>
      <c r="AJ419" s="280">
        <v>0</v>
      </c>
      <c r="AK419" s="280">
        <v>0</v>
      </c>
      <c r="AL419" s="280">
        <v>0</v>
      </c>
      <c r="AM419" s="280"/>
      <c r="AN419" s="280"/>
      <c r="AO419" s="280"/>
      <c r="AP419" s="280"/>
      <c r="AQ419" s="280"/>
      <c r="AR419" s="280"/>
      <c r="AS419" s="280"/>
      <c r="AT419" s="280">
        <f t="shared" si="361"/>
        <v>0</v>
      </c>
      <c r="AU419" s="281">
        <f t="shared" si="326"/>
        <v>0</v>
      </c>
      <c r="AV419" s="374"/>
      <c r="AW419" s="2013"/>
      <c r="AX419" s="280"/>
      <c r="AY419" s="280"/>
      <c r="AZ419" s="280"/>
      <c r="BA419" s="280"/>
      <c r="BB419" s="280"/>
      <c r="BC419" s="280"/>
      <c r="BD419" s="280"/>
      <c r="BE419" s="280"/>
      <c r="BF419" s="280"/>
      <c r="BG419" s="280"/>
      <c r="BH419" s="280"/>
      <c r="BI419" s="280">
        <f t="shared" si="362"/>
        <v>0</v>
      </c>
      <c r="BJ419" s="281">
        <f t="shared" si="356"/>
        <v>0</v>
      </c>
      <c r="BM419" s="1432"/>
      <c r="BN419" s="1435"/>
      <c r="BO419" s="322"/>
      <c r="BP419" s="321"/>
      <c r="BR419" s="8"/>
    </row>
    <row r="420" spans="1:70" ht="17.399999999999999" hidden="1" customHeight="1" x14ac:dyDescent="0.55000000000000004">
      <c r="A420" s="7222"/>
      <c r="B420" s="7213" t="s">
        <v>430</v>
      </c>
      <c r="C420" s="199" t="s">
        <v>419</v>
      </c>
      <c r="D420" s="291">
        <f>D425+D426</f>
        <v>0</v>
      </c>
      <c r="E420" s="292">
        <f t="shared" ref="E420:O420" si="371">E425+E426</f>
        <v>0</v>
      </c>
      <c r="F420" s="292">
        <f t="shared" si="371"/>
        <v>0</v>
      </c>
      <c r="G420" s="292">
        <f t="shared" si="371"/>
        <v>0</v>
      </c>
      <c r="H420" s="292">
        <f t="shared" si="371"/>
        <v>0</v>
      </c>
      <c r="I420" s="292">
        <f t="shared" si="371"/>
        <v>0</v>
      </c>
      <c r="J420" s="292">
        <f t="shared" si="371"/>
        <v>0</v>
      </c>
      <c r="K420" s="292">
        <f t="shared" si="371"/>
        <v>0</v>
      </c>
      <c r="L420" s="292">
        <f t="shared" si="371"/>
        <v>0</v>
      </c>
      <c r="M420" s="292">
        <f t="shared" si="371"/>
        <v>0</v>
      </c>
      <c r="N420" s="292">
        <f t="shared" si="371"/>
        <v>0</v>
      </c>
      <c r="O420" s="292">
        <f t="shared" si="371"/>
        <v>0</v>
      </c>
      <c r="P420" s="292">
        <f t="shared" si="357"/>
        <v>0</v>
      </c>
      <c r="Q420" s="293">
        <f t="shared" si="358"/>
        <v>0</v>
      </c>
      <c r="S420" s="291">
        <f>S425+S426</f>
        <v>2365</v>
      </c>
      <c r="T420" s="292">
        <f t="shared" ref="T420:AD420" si="372">T425+T426</f>
        <v>2640</v>
      </c>
      <c r="U420" s="292">
        <f t="shared" si="372"/>
        <v>2491</v>
      </c>
      <c r="V420" s="292">
        <f t="shared" si="372"/>
        <v>2438</v>
      </c>
      <c r="W420" s="292">
        <f t="shared" si="372"/>
        <v>2559</v>
      </c>
      <c r="X420" s="292">
        <f t="shared" si="372"/>
        <v>2594</v>
      </c>
      <c r="Y420" s="292">
        <f t="shared" si="372"/>
        <v>2292</v>
      </c>
      <c r="Z420" s="292">
        <f t="shared" si="372"/>
        <v>3216</v>
      </c>
      <c r="AA420" s="292">
        <f t="shared" si="372"/>
        <v>2401</v>
      </c>
      <c r="AB420" s="292">
        <f t="shared" si="372"/>
        <v>3316</v>
      </c>
      <c r="AC420" s="292">
        <f t="shared" si="372"/>
        <v>2582</v>
      </c>
      <c r="AD420" s="292">
        <f t="shared" si="372"/>
        <v>2457</v>
      </c>
      <c r="AE420" s="292">
        <f t="shared" si="359"/>
        <v>31351</v>
      </c>
      <c r="AF420" s="293">
        <f t="shared" si="360"/>
        <v>2612.5833333333335</v>
      </c>
      <c r="AG420" s="374"/>
      <c r="AH420" s="291">
        <v>3866</v>
      </c>
      <c r="AI420" s="292">
        <v>2471</v>
      </c>
      <c r="AJ420" s="292">
        <v>2551</v>
      </c>
      <c r="AK420" s="292">
        <v>2487</v>
      </c>
      <c r="AL420" s="292">
        <v>2551</v>
      </c>
      <c r="AM420" s="292">
        <v>2551</v>
      </c>
      <c r="AN420" s="292">
        <v>4145</v>
      </c>
      <c r="AO420" s="292">
        <v>2391</v>
      </c>
      <c r="AP420" s="292">
        <v>2870</v>
      </c>
      <c r="AQ420" s="292">
        <v>2551</v>
      </c>
      <c r="AR420" s="292">
        <v>2391</v>
      </c>
      <c r="AS420" s="292">
        <v>2391</v>
      </c>
      <c r="AT420" s="292">
        <f t="shared" si="361"/>
        <v>33216</v>
      </c>
      <c r="AU420" s="293">
        <f t="shared" si="326"/>
        <v>2768</v>
      </c>
      <c r="AV420" s="374"/>
      <c r="AW420" s="2015"/>
      <c r="AX420" s="292"/>
      <c r="AY420" s="292"/>
      <c r="AZ420" s="292"/>
      <c r="BA420" s="292"/>
      <c r="BB420" s="292"/>
      <c r="BC420" s="292"/>
      <c r="BD420" s="292"/>
      <c r="BE420" s="292"/>
      <c r="BF420" s="292"/>
      <c r="BG420" s="292"/>
      <c r="BH420" s="292"/>
      <c r="BI420" s="292">
        <f t="shared" si="362"/>
        <v>0</v>
      </c>
      <c r="BJ420" s="293">
        <f t="shared" si="356"/>
        <v>0</v>
      </c>
      <c r="BM420" s="1432"/>
      <c r="BN420" s="321"/>
      <c r="BO420" s="322"/>
      <c r="BP420" s="321"/>
      <c r="BR420" s="8"/>
    </row>
    <row r="421" spans="1:70" ht="17.399999999999999" hidden="1" customHeight="1" x14ac:dyDescent="0.55000000000000004">
      <c r="A421" s="7222"/>
      <c r="B421" s="7214"/>
      <c r="C421" s="200" t="s">
        <v>420</v>
      </c>
      <c r="D421" s="294">
        <f>D427+D428</f>
        <v>0</v>
      </c>
      <c r="E421" s="295">
        <f t="shared" ref="E421:O421" si="373">E427+E428</f>
        <v>0</v>
      </c>
      <c r="F421" s="295">
        <f t="shared" si="373"/>
        <v>0</v>
      </c>
      <c r="G421" s="295">
        <f t="shared" si="373"/>
        <v>0</v>
      </c>
      <c r="H421" s="295">
        <f t="shared" si="373"/>
        <v>0</v>
      </c>
      <c r="I421" s="295">
        <f t="shared" si="373"/>
        <v>0</v>
      </c>
      <c r="J421" s="295">
        <f t="shared" si="373"/>
        <v>0</v>
      </c>
      <c r="K421" s="295">
        <f t="shared" si="373"/>
        <v>0</v>
      </c>
      <c r="L421" s="295">
        <f t="shared" si="373"/>
        <v>0</v>
      </c>
      <c r="M421" s="295">
        <f t="shared" si="373"/>
        <v>0</v>
      </c>
      <c r="N421" s="295">
        <f t="shared" si="373"/>
        <v>0</v>
      </c>
      <c r="O421" s="295">
        <f t="shared" si="373"/>
        <v>0</v>
      </c>
      <c r="P421" s="295">
        <f t="shared" si="357"/>
        <v>0</v>
      </c>
      <c r="Q421" s="296">
        <f t="shared" si="358"/>
        <v>0</v>
      </c>
      <c r="S421" s="294">
        <f>S427+S428</f>
        <v>2445</v>
      </c>
      <c r="T421" s="295">
        <f t="shared" ref="T421:AD421" si="374">T427+T428</f>
        <v>2688</v>
      </c>
      <c r="U421" s="295">
        <f t="shared" si="374"/>
        <v>2535</v>
      </c>
      <c r="V421" s="295">
        <f t="shared" si="374"/>
        <v>2435</v>
      </c>
      <c r="W421" s="295">
        <f t="shared" si="374"/>
        <v>2557</v>
      </c>
      <c r="X421" s="295">
        <f t="shared" si="374"/>
        <v>2576</v>
      </c>
      <c r="Y421" s="295">
        <f t="shared" si="374"/>
        <v>2262</v>
      </c>
      <c r="Z421" s="295">
        <f t="shared" si="374"/>
        <v>3172</v>
      </c>
      <c r="AA421" s="295">
        <f t="shared" si="374"/>
        <v>2349</v>
      </c>
      <c r="AB421" s="295">
        <f t="shared" si="374"/>
        <v>3112</v>
      </c>
      <c r="AC421" s="295">
        <f t="shared" si="374"/>
        <v>2471</v>
      </c>
      <c r="AD421" s="295">
        <f t="shared" si="374"/>
        <v>2336</v>
      </c>
      <c r="AE421" s="295">
        <f t="shared" si="359"/>
        <v>30938</v>
      </c>
      <c r="AF421" s="296">
        <f t="shared" si="360"/>
        <v>2578.1666666666665</v>
      </c>
      <c r="AG421" s="374"/>
      <c r="AH421" s="294">
        <v>3946</v>
      </c>
      <c r="AI421" s="295">
        <v>2522</v>
      </c>
      <c r="AJ421" s="295">
        <v>2604</v>
      </c>
      <c r="AK421" s="295">
        <v>2539</v>
      </c>
      <c r="AL421" s="295">
        <v>2604</v>
      </c>
      <c r="AM421" s="295">
        <v>2604</v>
      </c>
      <c r="AN421" s="295">
        <v>4232</v>
      </c>
      <c r="AO421" s="295">
        <v>2441</v>
      </c>
      <c r="AP421" s="295">
        <v>2930</v>
      </c>
      <c r="AQ421" s="295">
        <v>2604</v>
      </c>
      <c r="AR421" s="295">
        <v>2441</v>
      </c>
      <c r="AS421" s="295">
        <v>2441</v>
      </c>
      <c r="AT421" s="295">
        <f t="shared" si="361"/>
        <v>33908</v>
      </c>
      <c r="AU421" s="296">
        <f t="shared" si="326"/>
        <v>2825.6666666666665</v>
      </c>
      <c r="AV421" s="374"/>
      <c r="AW421" s="2016"/>
      <c r="AX421" s="295"/>
      <c r="AY421" s="295"/>
      <c r="AZ421" s="295"/>
      <c r="BA421" s="295"/>
      <c r="BB421" s="295"/>
      <c r="BC421" s="295"/>
      <c r="BD421" s="295"/>
      <c r="BE421" s="295"/>
      <c r="BF421" s="295"/>
      <c r="BG421" s="295"/>
      <c r="BH421" s="295"/>
      <c r="BI421" s="295">
        <f t="shared" si="362"/>
        <v>0</v>
      </c>
      <c r="BJ421" s="296">
        <f t="shared" si="356"/>
        <v>0</v>
      </c>
      <c r="BM421" s="1432"/>
      <c r="BN421" s="321"/>
      <c r="BO421" s="322"/>
      <c r="BP421" s="321"/>
      <c r="BR421" s="8"/>
    </row>
    <row r="422" spans="1:70" ht="17.399999999999999" hidden="1" customHeight="1" x14ac:dyDescent="0.55000000000000004">
      <c r="A422" s="7222"/>
      <c r="B422" s="7214"/>
      <c r="C422" s="200" t="s">
        <v>421</v>
      </c>
      <c r="D422" s="294">
        <f>D429+D430</f>
        <v>0</v>
      </c>
      <c r="E422" s="295">
        <f t="shared" ref="E422:O422" si="375">E429+E430</f>
        <v>0</v>
      </c>
      <c r="F422" s="295">
        <f t="shared" si="375"/>
        <v>0</v>
      </c>
      <c r="G422" s="295">
        <f t="shared" si="375"/>
        <v>0</v>
      </c>
      <c r="H422" s="295">
        <f t="shared" si="375"/>
        <v>0</v>
      </c>
      <c r="I422" s="295">
        <f t="shared" si="375"/>
        <v>0</v>
      </c>
      <c r="J422" s="295">
        <f t="shared" si="375"/>
        <v>0</v>
      </c>
      <c r="K422" s="295">
        <f t="shared" si="375"/>
        <v>0</v>
      </c>
      <c r="L422" s="295">
        <f t="shared" si="375"/>
        <v>0</v>
      </c>
      <c r="M422" s="295">
        <f t="shared" si="375"/>
        <v>0</v>
      </c>
      <c r="N422" s="295">
        <f t="shared" si="375"/>
        <v>0</v>
      </c>
      <c r="O422" s="295">
        <f t="shared" si="375"/>
        <v>0</v>
      </c>
      <c r="P422" s="295">
        <f t="shared" si="357"/>
        <v>0</v>
      </c>
      <c r="Q422" s="296">
        <f t="shared" si="358"/>
        <v>0</v>
      </c>
      <c r="S422" s="294">
        <f>S429+S430</f>
        <v>3289</v>
      </c>
      <c r="T422" s="295">
        <f t="shared" ref="T422:AD422" si="376">T429+T430</f>
        <v>3621</v>
      </c>
      <c r="U422" s="295">
        <f t="shared" si="376"/>
        <v>3395</v>
      </c>
      <c r="V422" s="295">
        <f t="shared" si="376"/>
        <v>3272</v>
      </c>
      <c r="W422" s="295">
        <f t="shared" si="376"/>
        <v>3411</v>
      </c>
      <c r="X422" s="295">
        <f t="shared" si="376"/>
        <v>3463</v>
      </c>
      <c r="Y422" s="295">
        <f t="shared" si="376"/>
        <v>3016</v>
      </c>
      <c r="Z422" s="295">
        <f t="shared" si="376"/>
        <v>4223</v>
      </c>
      <c r="AA422" s="295">
        <f t="shared" si="376"/>
        <v>3128</v>
      </c>
      <c r="AB422" s="295">
        <f t="shared" si="376"/>
        <v>4143</v>
      </c>
      <c r="AC422" s="295">
        <f t="shared" si="376"/>
        <v>3294</v>
      </c>
      <c r="AD422" s="295">
        <f t="shared" si="376"/>
        <v>3068</v>
      </c>
      <c r="AE422" s="295">
        <f t="shared" si="359"/>
        <v>41323</v>
      </c>
      <c r="AF422" s="296">
        <f t="shared" si="360"/>
        <v>3443.5833333333335</v>
      </c>
      <c r="AG422" s="374"/>
      <c r="AH422" s="294">
        <v>5274</v>
      </c>
      <c r="AI422" s="295">
        <v>3371</v>
      </c>
      <c r="AJ422" s="295">
        <v>3479</v>
      </c>
      <c r="AK422" s="295">
        <v>3393</v>
      </c>
      <c r="AL422" s="295">
        <v>3479</v>
      </c>
      <c r="AM422" s="295">
        <v>3479</v>
      </c>
      <c r="AN422" s="295">
        <v>5654</v>
      </c>
      <c r="AO422" s="295">
        <v>3262</v>
      </c>
      <c r="AP422" s="295">
        <v>3914</v>
      </c>
      <c r="AQ422" s="295">
        <v>3479</v>
      </c>
      <c r="AR422" s="295">
        <v>3262</v>
      </c>
      <c r="AS422" s="295">
        <v>3262</v>
      </c>
      <c r="AT422" s="295">
        <f t="shared" si="361"/>
        <v>45308</v>
      </c>
      <c r="AU422" s="296">
        <f t="shared" si="326"/>
        <v>3775.6666666666665</v>
      </c>
      <c r="AV422" s="374"/>
      <c r="AW422" s="2016"/>
      <c r="AX422" s="295"/>
      <c r="AY422" s="295"/>
      <c r="AZ422" s="295"/>
      <c r="BA422" s="295"/>
      <c r="BB422" s="295"/>
      <c r="BC422" s="295"/>
      <c r="BD422" s="295"/>
      <c r="BE422" s="295"/>
      <c r="BF422" s="295"/>
      <c r="BG422" s="295"/>
      <c r="BH422" s="295"/>
      <c r="BI422" s="295">
        <f t="shared" si="362"/>
        <v>0</v>
      </c>
      <c r="BJ422" s="296">
        <f t="shared" si="356"/>
        <v>0</v>
      </c>
      <c r="BM422" s="1432"/>
      <c r="BN422" s="321"/>
      <c r="BO422" s="322"/>
      <c r="BP422" s="321"/>
      <c r="BR422" s="8"/>
    </row>
    <row r="423" spans="1:70" ht="17.399999999999999" hidden="1" customHeight="1" x14ac:dyDescent="0.55000000000000004">
      <c r="A423" s="7222"/>
      <c r="B423" s="7214"/>
      <c r="C423" s="200" t="s">
        <v>422</v>
      </c>
      <c r="D423" s="294">
        <f>D431+D432</f>
        <v>0</v>
      </c>
      <c r="E423" s="295">
        <f t="shared" ref="E423:O423" si="377">E431+E432</f>
        <v>0</v>
      </c>
      <c r="F423" s="295">
        <f t="shared" si="377"/>
        <v>0</v>
      </c>
      <c r="G423" s="295">
        <f t="shared" si="377"/>
        <v>0</v>
      </c>
      <c r="H423" s="295">
        <f t="shared" si="377"/>
        <v>0</v>
      </c>
      <c r="I423" s="295">
        <f t="shared" si="377"/>
        <v>0</v>
      </c>
      <c r="J423" s="295">
        <f t="shared" si="377"/>
        <v>0</v>
      </c>
      <c r="K423" s="295">
        <f t="shared" si="377"/>
        <v>0</v>
      </c>
      <c r="L423" s="295">
        <f t="shared" si="377"/>
        <v>0</v>
      </c>
      <c r="M423" s="295">
        <f t="shared" si="377"/>
        <v>0</v>
      </c>
      <c r="N423" s="295">
        <f t="shared" si="377"/>
        <v>0</v>
      </c>
      <c r="O423" s="295">
        <f t="shared" si="377"/>
        <v>0</v>
      </c>
      <c r="P423" s="295">
        <f t="shared" si="357"/>
        <v>0</v>
      </c>
      <c r="Q423" s="296">
        <f t="shared" si="358"/>
        <v>0</v>
      </c>
      <c r="S423" s="294">
        <f>S431+S432</f>
        <v>3903</v>
      </c>
      <c r="T423" s="295">
        <f t="shared" ref="T423:AD423" si="378">T431+T432</f>
        <v>4282</v>
      </c>
      <c r="U423" s="295">
        <f t="shared" si="378"/>
        <v>4040</v>
      </c>
      <c r="V423" s="295">
        <f t="shared" si="378"/>
        <v>3900</v>
      </c>
      <c r="W423" s="295">
        <f t="shared" si="378"/>
        <v>4075</v>
      </c>
      <c r="X423" s="295">
        <f t="shared" si="378"/>
        <v>4116</v>
      </c>
      <c r="Y423" s="295">
        <f t="shared" si="378"/>
        <v>3560</v>
      </c>
      <c r="Z423" s="295">
        <f t="shared" si="378"/>
        <v>4943</v>
      </c>
      <c r="AA423" s="295">
        <f t="shared" si="378"/>
        <v>3692</v>
      </c>
      <c r="AB423" s="295">
        <f t="shared" si="378"/>
        <v>4850</v>
      </c>
      <c r="AC423" s="295">
        <f t="shared" si="378"/>
        <v>3661</v>
      </c>
      <c r="AD423" s="295">
        <f t="shared" si="378"/>
        <v>3608</v>
      </c>
      <c r="AE423" s="295">
        <f t="shared" si="359"/>
        <v>48630</v>
      </c>
      <c r="AF423" s="296">
        <f t="shared" si="360"/>
        <v>4052.5</v>
      </c>
      <c r="AG423" s="374"/>
      <c r="AH423" s="294">
        <v>6210</v>
      </c>
      <c r="AI423" s="295">
        <v>3969</v>
      </c>
      <c r="AJ423" s="295">
        <v>4097</v>
      </c>
      <c r="AK423" s="295">
        <v>3994</v>
      </c>
      <c r="AL423" s="295">
        <v>4097</v>
      </c>
      <c r="AM423" s="295">
        <v>4097</v>
      </c>
      <c r="AN423" s="295">
        <v>6657</v>
      </c>
      <c r="AO423" s="295">
        <v>3841</v>
      </c>
      <c r="AP423" s="295">
        <v>4609</v>
      </c>
      <c r="AQ423" s="295">
        <v>4097</v>
      </c>
      <c r="AR423" s="295">
        <v>3841</v>
      </c>
      <c r="AS423" s="295">
        <v>3841</v>
      </c>
      <c r="AT423" s="295">
        <f t="shared" si="361"/>
        <v>53350</v>
      </c>
      <c r="AU423" s="296">
        <f t="shared" si="326"/>
        <v>4445.833333333333</v>
      </c>
      <c r="AV423" s="374"/>
      <c r="AW423" s="2016"/>
      <c r="AX423" s="295"/>
      <c r="AY423" s="295"/>
      <c r="AZ423" s="295"/>
      <c r="BA423" s="295"/>
      <c r="BB423" s="295"/>
      <c r="BC423" s="295"/>
      <c r="BD423" s="295"/>
      <c r="BE423" s="295"/>
      <c r="BF423" s="295"/>
      <c r="BG423" s="295"/>
      <c r="BH423" s="295"/>
      <c r="BI423" s="295">
        <f t="shared" si="362"/>
        <v>0</v>
      </c>
      <c r="BJ423" s="296">
        <f t="shared" si="356"/>
        <v>0</v>
      </c>
      <c r="BM423" s="1432"/>
      <c r="BN423" s="321"/>
      <c r="BO423" s="322"/>
      <c r="BP423" s="321"/>
      <c r="BR423" s="8"/>
    </row>
    <row r="424" spans="1:70" ht="17.399999999999999" hidden="1" customHeight="1" x14ac:dyDescent="0.55000000000000004">
      <c r="A424" s="7222"/>
      <c r="B424" s="7215"/>
      <c r="C424" s="201" t="s">
        <v>423</v>
      </c>
      <c r="D424" s="297">
        <f>D433+D434</f>
        <v>0</v>
      </c>
      <c r="E424" s="298">
        <f t="shared" ref="E424:O424" si="379">E433+E434</f>
        <v>0</v>
      </c>
      <c r="F424" s="298">
        <f t="shared" si="379"/>
        <v>0</v>
      </c>
      <c r="G424" s="298">
        <f t="shared" si="379"/>
        <v>0</v>
      </c>
      <c r="H424" s="298">
        <f t="shared" si="379"/>
        <v>0</v>
      </c>
      <c r="I424" s="298">
        <f t="shared" si="379"/>
        <v>0</v>
      </c>
      <c r="J424" s="298">
        <f t="shared" si="379"/>
        <v>0</v>
      </c>
      <c r="K424" s="298">
        <f t="shared" si="379"/>
        <v>0</v>
      </c>
      <c r="L424" s="298">
        <f t="shared" si="379"/>
        <v>0</v>
      </c>
      <c r="M424" s="298">
        <f t="shared" si="379"/>
        <v>0</v>
      </c>
      <c r="N424" s="298">
        <f t="shared" si="379"/>
        <v>0</v>
      </c>
      <c r="O424" s="298">
        <f t="shared" si="379"/>
        <v>0</v>
      </c>
      <c r="P424" s="298">
        <f t="shared" si="357"/>
        <v>0</v>
      </c>
      <c r="Q424" s="299">
        <f t="shared" si="358"/>
        <v>0</v>
      </c>
      <c r="S424" s="297">
        <f>S433+S434</f>
        <v>3142</v>
      </c>
      <c r="T424" s="298">
        <f t="shared" ref="T424:AD424" si="380">T433+T434</f>
        <v>3447</v>
      </c>
      <c r="U424" s="298">
        <f t="shared" si="380"/>
        <v>3258</v>
      </c>
      <c r="V424" s="298">
        <f t="shared" si="380"/>
        <v>3099</v>
      </c>
      <c r="W424" s="298">
        <f t="shared" si="380"/>
        <v>3309</v>
      </c>
      <c r="X424" s="298">
        <f t="shared" si="380"/>
        <v>3354</v>
      </c>
      <c r="Y424" s="298">
        <f t="shared" si="380"/>
        <v>2864</v>
      </c>
      <c r="Z424" s="298">
        <f t="shared" si="380"/>
        <v>4000</v>
      </c>
      <c r="AA424" s="298">
        <f t="shared" si="380"/>
        <v>2999</v>
      </c>
      <c r="AB424" s="298">
        <f t="shared" si="380"/>
        <v>3941</v>
      </c>
      <c r="AC424" s="298">
        <f t="shared" si="380"/>
        <v>3110</v>
      </c>
      <c r="AD424" s="298">
        <f t="shared" si="380"/>
        <v>2908</v>
      </c>
      <c r="AE424" s="298">
        <f t="shared" si="359"/>
        <v>39431</v>
      </c>
      <c r="AF424" s="299">
        <f t="shared" si="360"/>
        <v>3285.9166666666665</v>
      </c>
      <c r="AG424" s="374"/>
      <c r="AH424" s="297">
        <v>4954</v>
      </c>
      <c r="AI424" s="298">
        <v>3167</v>
      </c>
      <c r="AJ424" s="298">
        <v>3269</v>
      </c>
      <c r="AK424" s="298">
        <v>3187</v>
      </c>
      <c r="AL424" s="298">
        <v>3269</v>
      </c>
      <c r="AM424" s="298">
        <v>3269</v>
      </c>
      <c r="AN424" s="298">
        <v>5312</v>
      </c>
      <c r="AO424" s="298">
        <v>3065</v>
      </c>
      <c r="AP424" s="298">
        <v>3677</v>
      </c>
      <c r="AQ424" s="298">
        <v>3269</v>
      </c>
      <c r="AR424" s="298">
        <v>3065</v>
      </c>
      <c r="AS424" s="298">
        <v>3065</v>
      </c>
      <c r="AT424" s="298">
        <f t="shared" si="361"/>
        <v>42568</v>
      </c>
      <c r="AU424" s="299">
        <f t="shared" ref="AU424:AU462" si="381">AT424/12</f>
        <v>3547.3333333333335</v>
      </c>
      <c r="AV424" s="374"/>
      <c r="AW424" s="2017"/>
      <c r="AX424" s="298"/>
      <c r="AY424" s="298"/>
      <c r="AZ424" s="298"/>
      <c r="BA424" s="298"/>
      <c r="BB424" s="298"/>
      <c r="BC424" s="298"/>
      <c r="BD424" s="298"/>
      <c r="BE424" s="298"/>
      <c r="BF424" s="298"/>
      <c r="BG424" s="298"/>
      <c r="BH424" s="298"/>
      <c r="BI424" s="298">
        <f t="shared" si="362"/>
        <v>0</v>
      </c>
      <c r="BJ424" s="299">
        <f t="shared" si="356"/>
        <v>0</v>
      </c>
      <c r="BM424" s="1432"/>
      <c r="BN424" s="321"/>
      <c r="BO424" s="322"/>
      <c r="BP424" s="321"/>
      <c r="BR424" s="8"/>
    </row>
    <row r="425" spans="1:70" ht="17.399999999999999" hidden="1" customHeight="1" x14ac:dyDescent="0.55000000000000004">
      <c r="A425" s="7222"/>
      <c r="B425" s="7207" t="s">
        <v>431</v>
      </c>
      <c r="C425" s="202" t="s">
        <v>227</v>
      </c>
      <c r="D425" s="300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>
        <f t="shared" si="357"/>
        <v>0</v>
      </c>
      <c r="Q425" s="302">
        <f t="shared" si="358"/>
        <v>0</v>
      </c>
      <c r="S425" s="300">
        <v>1042</v>
      </c>
      <c r="T425" s="301">
        <v>1178</v>
      </c>
      <c r="U425" s="301">
        <v>1112</v>
      </c>
      <c r="V425" s="301">
        <v>1155</v>
      </c>
      <c r="W425" s="301">
        <v>1217</v>
      </c>
      <c r="X425" s="301">
        <v>1233</v>
      </c>
      <c r="Y425" s="301">
        <v>1163</v>
      </c>
      <c r="Z425" s="301">
        <v>1623</v>
      </c>
      <c r="AA425" s="301">
        <v>1209</v>
      </c>
      <c r="AB425" s="301">
        <v>1686</v>
      </c>
      <c r="AC425" s="301">
        <v>1330</v>
      </c>
      <c r="AD425" s="301">
        <v>1258</v>
      </c>
      <c r="AE425" s="301">
        <f t="shared" si="359"/>
        <v>15206</v>
      </c>
      <c r="AF425" s="302">
        <f t="shared" si="360"/>
        <v>1267.1666666666667</v>
      </c>
      <c r="AG425" s="374"/>
      <c r="AH425" s="300">
        <v>1899</v>
      </c>
      <c r="AI425" s="301">
        <v>1214</v>
      </c>
      <c r="AJ425" s="301">
        <v>1253</v>
      </c>
      <c r="AK425" s="301">
        <v>1222</v>
      </c>
      <c r="AL425" s="301">
        <v>1253</v>
      </c>
      <c r="AM425" s="301">
        <v>1253</v>
      </c>
      <c r="AN425" s="301">
        <v>2036</v>
      </c>
      <c r="AO425" s="301">
        <v>1175</v>
      </c>
      <c r="AP425" s="301">
        <v>1410</v>
      </c>
      <c r="AQ425" s="301">
        <v>1253</v>
      </c>
      <c r="AR425" s="301">
        <v>1175</v>
      </c>
      <c r="AS425" s="301">
        <v>1175</v>
      </c>
      <c r="AT425" s="301">
        <f t="shared" si="361"/>
        <v>16318</v>
      </c>
      <c r="AU425" s="302">
        <f t="shared" si="381"/>
        <v>1359.8333333333333</v>
      </c>
      <c r="AV425" s="374"/>
      <c r="AW425" s="2021"/>
      <c r="AX425" s="301"/>
      <c r="AY425" s="301"/>
      <c r="AZ425" s="301"/>
      <c r="BA425" s="301"/>
      <c r="BB425" s="301"/>
      <c r="BC425" s="301"/>
      <c r="BD425" s="301"/>
      <c r="BE425" s="301"/>
      <c r="BF425" s="301"/>
      <c r="BG425" s="301"/>
      <c r="BH425" s="301"/>
      <c r="BI425" s="301">
        <f t="shared" si="362"/>
        <v>0</v>
      </c>
      <c r="BJ425" s="302">
        <f t="shared" si="356"/>
        <v>0</v>
      </c>
      <c r="BM425" s="1432"/>
      <c r="BN425" s="321"/>
      <c r="BO425" s="322"/>
      <c r="BP425" s="321"/>
      <c r="BR425" s="8"/>
    </row>
    <row r="426" spans="1:70" ht="17.399999999999999" hidden="1" customHeight="1" x14ac:dyDescent="0.55000000000000004">
      <c r="A426" s="7222"/>
      <c r="B426" s="7208"/>
      <c r="C426" s="202" t="s">
        <v>228</v>
      </c>
      <c r="D426" s="300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>
        <f t="shared" si="357"/>
        <v>0</v>
      </c>
      <c r="Q426" s="302">
        <f t="shared" si="358"/>
        <v>0</v>
      </c>
      <c r="S426" s="300">
        <v>1323</v>
      </c>
      <c r="T426" s="301">
        <v>1462</v>
      </c>
      <c r="U426" s="301">
        <v>1379</v>
      </c>
      <c r="V426" s="301">
        <v>1283</v>
      </c>
      <c r="W426" s="301">
        <v>1342</v>
      </c>
      <c r="X426" s="301">
        <v>1361</v>
      </c>
      <c r="Y426" s="301">
        <v>1129</v>
      </c>
      <c r="Z426" s="301">
        <v>1593</v>
      </c>
      <c r="AA426" s="301">
        <v>1192</v>
      </c>
      <c r="AB426" s="301">
        <v>1630</v>
      </c>
      <c r="AC426" s="301">
        <v>1252</v>
      </c>
      <c r="AD426" s="301">
        <v>1199</v>
      </c>
      <c r="AE426" s="301">
        <f t="shared" si="359"/>
        <v>16145</v>
      </c>
      <c r="AF426" s="302">
        <f t="shared" si="360"/>
        <v>1345.4166666666667</v>
      </c>
      <c r="AG426" s="374"/>
      <c r="AH426" s="300">
        <v>1967</v>
      </c>
      <c r="AI426" s="301">
        <v>1257</v>
      </c>
      <c r="AJ426" s="301">
        <v>1298</v>
      </c>
      <c r="AK426" s="301">
        <v>1265</v>
      </c>
      <c r="AL426" s="301">
        <v>1298</v>
      </c>
      <c r="AM426" s="301">
        <v>1298</v>
      </c>
      <c r="AN426" s="301">
        <v>2109</v>
      </c>
      <c r="AO426" s="301">
        <v>1216</v>
      </c>
      <c r="AP426" s="301">
        <v>1460</v>
      </c>
      <c r="AQ426" s="301">
        <v>1298</v>
      </c>
      <c r="AR426" s="301">
        <v>1216</v>
      </c>
      <c r="AS426" s="301">
        <v>1216</v>
      </c>
      <c r="AT426" s="301">
        <f t="shared" si="361"/>
        <v>16898</v>
      </c>
      <c r="AU426" s="302">
        <f t="shared" si="381"/>
        <v>1408.1666666666667</v>
      </c>
      <c r="AV426" s="374"/>
      <c r="AW426" s="2021"/>
      <c r="AX426" s="301"/>
      <c r="AY426" s="301"/>
      <c r="AZ426" s="301"/>
      <c r="BA426" s="301"/>
      <c r="BB426" s="301"/>
      <c r="BC426" s="301"/>
      <c r="BD426" s="301"/>
      <c r="BE426" s="301"/>
      <c r="BF426" s="301"/>
      <c r="BG426" s="301"/>
      <c r="BH426" s="301"/>
      <c r="BI426" s="301">
        <f t="shared" si="362"/>
        <v>0</v>
      </c>
      <c r="BJ426" s="302">
        <f t="shared" si="356"/>
        <v>0</v>
      </c>
      <c r="BM426" s="1432"/>
      <c r="BN426" s="321"/>
      <c r="BO426" s="317"/>
      <c r="BP426" s="321"/>
      <c r="BR426" s="8"/>
    </row>
    <row r="427" spans="1:70" ht="17.399999999999999" hidden="1" customHeight="1" x14ac:dyDescent="0.55000000000000004">
      <c r="A427" s="7222"/>
      <c r="B427" s="7208"/>
      <c r="C427" s="203" t="s">
        <v>229</v>
      </c>
      <c r="D427" s="303"/>
      <c r="E427" s="304"/>
      <c r="F427" s="304"/>
      <c r="G427" s="304"/>
      <c r="H427" s="304"/>
      <c r="I427" s="304"/>
      <c r="J427" s="304"/>
      <c r="K427" s="304"/>
      <c r="L427" s="304"/>
      <c r="M427" s="304"/>
      <c r="N427" s="304"/>
      <c r="O427" s="304"/>
      <c r="P427" s="304">
        <f t="shared" si="357"/>
        <v>0</v>
      </c>
      <c r="Q427" s="305">
        <f t="shared" si="358"/>
        <v>0</v>
      </c>
      <c r="S427" s="303">
        <v>985</v>
      </c>
      <c r="T427" s="304">
        <v>1081</v>
      </c>
      <c r="U427" s="304">
        <v>1019</v>
      </c>
      <c r="V427" s="304">
        <v>979</v>
      </c>
      <c r="W427" s="304">
        <v>1028</v>
      </c>
      <c r="X427" s="304">
        <v>1042</v>
      </c>
      <c r="Y427" s="304">
        <v>939</v>
      </c>
      <c r="Z427" s="304">
        <v>1317</v>
      </c>
      <c r="AA427" s="304">
        <v>984</v>
      </c>
      <c r="AB427" s="304">
        <v>1292</v>
      </c>
      <c r="AC427" s="304">
        <v>1024</v>
      </c>
      <c r="AD427" s="304">
        <v>962</v>
      </c>
      <c r="AE427" s="304">
        <f t="shared" si="359"/>
        <v>12652</v>
      </c>
      <c r="AF427" s="305">
        <f t="shared" si="360"/>
        <v>1054.3333333333333</v>
      </c>
      <c r="AG427" s="374"/>
      <c r="AH427" s="303">
        <v>1645</v>
      </c>
      <c r="AI427" s="304">
        <v>1051</v>
      </c>
      <c r="AJ427" s="304">
        <v>1085</v>
      </c>
      <c r="AK427" s="304">
        <v>1058</v>
      </c>
      <c r="AL427" s="304">
        <v>1085</v>
      </c>
      <c r="AM427" s="304">
        <v>1085</v>
      </c>
      <c r="AN427" s="304">
        <v>1764</v>
      </c>
      <c r="AO427" s="304">
        <v>1017</v>
      </c>
      <c r="AP427" s="304">
        <v>1221</v>
      </c>
      <c r="AQ427" s="304">
        <v>1085</v>
      </c>
      <c r="AR427" s="304">
        <v>1017</v>
      </c>
      <c r="AS427" s="304">
        <v>1017</v>
      </c>
      <c r="AT427" s="304">
        <f t="shared" si="361"/>
        <v>14130</v>
      </c>
      <c r="AU427" s="305">
        <f t="shared" si="381"/>
        <v>1177.5</v>
      </c>
      <c r="AV427" s="374"/>
      <c r="AW427" s="2022"/>
      <c r="AX427" s="304"/>
      <c r="AY427" s="304"/>
      <c r="AZ427" s="304"/>
      <c r="BA427" s="304"/>
      <c r="BB427" s="304"/>
      <c r="BC427" s="304"/>
      <c r="BD427" s="304"/>
      <c r="BE427" s="304"/>
      <c r="BF427" s="304"/>
      <c r="BG427" s="304"/>
      <c r="BH427" s="304"/>
      <c r="BI427" s="304">
        <f t="shared" si="362"/>
        <v>0</v>
      </c>
      <c r="BJ427" s="305">
        <f t="shared" si="356"/>
        <v>0</v>
      </c>
      <c r="BM427" s="1432"/>
      <c r="BN427" s="321"/>
      <c r="BO427" s="317"/>
      <c r="BP427" s="321"/>
      <c r="BR427" s="8"/>
    </row>
    <row r="428" spans="1:70" ht="17.399999999999999" hidden="1" customHeight="1" x14ac:dyDescent="0.55000000000000004">
      <c r="A428" s="7222"/>
      <c r="B428" s="7208"/>
      <c r="C428" s="203" t="s">
        <v>230</v>
      </c>
      <c r="D428" s="303"/>
      <c r="E428" s="304"/>
      <c r="F428" s="304"/>
      <c r="G428" s="304"/>
      <c r="H428" s="304"/>
      <c r="I428" s="304"/>
      <c r="J428" s="304"/>
      <c r="K428" s="304"/>
      <c r="L428" s="304"/>
      <c r="M428" s="304"/>
      <c r="N428" s="304"/>
      <c r="O428" s="304"/>
      <c r="P428" s="304">
        <f t="shared" si="357"/>
        <v>0</v>
      </c>
      <c r="Q428" s="305">
        <f t="shared" si="358"/>
        <v>0</v>
      </c>
      <c r="S428" s="303">
        <v>1460</v>
      </c>
      <c r="T428" s="304">
        <v>1607</v>
      </c>
      <c r="U428" s="304">
        <v>1516</v>
      </c>
      <c r="V428" s="304">
        <v>1456</v>
      </c>
      <c r="W428" s="304">
        <v>1529</v>
      </c>
      <c r="X428" s="304">
        <v>1534</v>
      </c>
      <c r="Y428" s="304">
        <v>1323</v>
      </c>
      <c r="Z428" s="304">
        <v>1855</v>
      </c>
      <c r="AA428" s="304">
        <v>1365</v>
      </c>
      <c r="AB428" s="304">
        <v>1820</v>
      </c>
      <c r="AC428" s="304">
        <v>1447</v>
      </c>
      <c r="AD428" s="304">
        <v>1374</v>
      </c>
      <c r="AE428" s="304">
        <f t="shared" si="359"/>
        <v>18286</v>
      </c>
      <c r="AF428" s="305">
        <f t="shared" si="360"/>
        <v>1523.8333333333333</v>
      </c>
      <c r="AG428" s="374"/>
      <c r="AH428" s="303">
        <v>2301</v>
      </c>
      <c r="AI428" s="304">
        <v>1471</v>
      </c>
      <c r="AJ428" s="304">
        <v>1519</v>
      </c>
      <c r="AK428" s="304">
        <v>1481</v>
      </c>
      <c r="AL428" s="304">
        <v>1519</v>
      </c>
      <c r="AM428" s="304">
        <v>1519</v>
      </c>
      <c r="AN428" s="304">
        <v>2468</v>
      </c>
      <c r="AO428" s="304">
        <v>1424</v>
      </c>
      <c r="AP428" s="304">
        <v>1709</v>
      </c>
      <c r="AQ428" s="304">
        <v>1519</v>
      </c>
      <c r="AR428" s="304">
        <v>1424</v>
      </c>
      <c r="AS428" s="304">
        <v>1424</v>
      </c>
      <c r="AT428" s="304">
        <f t="shared" si="361"/>
        <v>19778</v>
      </c>
      <c r="AU428" s="305">
        <f t="shared" si="381"/>
        <v>1648.1666666666667</v>
      </c>
      <c r="AV428" s="374"/>
      <c r="AW428" s="2022"/>
      <c r="AX428" s="304"/>
      <c r="AY428" s="304"/>
      <c r="AZ428" s="304"/>
      <c r="BA428" s="304"/>
      <c r="BB428" s="304"/>
      <c r="BC428" s="304"/>
      <c r="BD428" s="304"/>
      <c r="BE428" s="304"/>
      <c r="BF428" s="304"/>
      <c r="BG428" s="304"/>
      <c r="BH428" s="304"/>
      <c r="BI428" s="304">
        <f t="shared" si="362"/>
        <v>0</v>
      </c>
      <c r="BJ428" s="305">
        <f t="shared" si="356"/>
        <v>0</v>
      </c>
      <c r="BM428" s="1432"/>
      <c r="BN428" s="321"/>
      <c r="BO428" s="317"/>
      <c r="BP428" s="321"/>
      <c r="BR428" s="8"/>
    </row>
    <row r="429" spans="1:70" ht="17.399999999999999" hidden="1" customHeight="1" x14ac:dyDescent="0.55000000000000004">
      <c r="A429" s="7222"/>
      <c r="B429" s="7208"/>
      <c r="C429" s="202" t="s">
        <v>231</v>
      </c>
      <c r="D429" s="300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>
        <f t="shared" si="357"/>
        <v>0</v>
      </c>
      <c r="Q429" s="302">
        <f t="shared" si="358"/>
        <v>0</v>
      </c>
      <c r="S429" s="300">
        <v>2029</v>
      </c>
      <c r="T429" s="301">
        <v>2236</v>
      </c>
      <c r="U429" s="301">
        <v>2093</v>
      </c>
      <c r="V429" s="301">
        <v>2022</v>
      </c>
      <c r="W429" s="301">
        <v>2093</v>
      </c>
      <c r="X429" s="301">
        <v>2127</v>
      </c>
      <c r="Y429" s="301">
        <v>1875</v>
      </c>
      <c r="Z429" s="301">
        <v>2622</v>
      </c>
      <c r="AA429" s="301">
        <v>1933</v>
      </c>
      <c r="AB429" s="301">
        <v>2595</v>
      </c>
      <c r="AC429" s="301">
        <v>2065</v>
      </c>
      <c r="AD429" s="301">
        <v>1941</v>
      </c>
      <c r="AE429" s="301">
        <f t="shared" si="359"/>
        <v>25631</v>
      </c>
      <c r="AF429" s="302">
        <f t="shared" si="360"/>
        <v>2135.9166666666665</v>
      </c>
      <c r="AG429" s="374"/>
      <c r="AH429" s="300">
        <v>3253</v>
      </c>
      <c r="AI429" s="301">
        <v>2079</v>
      </c>
      <c r="AJ429" s="301">
        <v>2146</v>
      </c>
      <c r="AK429" s="301">
        <v>2093</v>
      </c>
      <c r="AL429" s="301">
        <v>2146</v>
      </c>
      <c r="AM429" s="301">
        <v>2146</v>
      </c>
      <c r="AN429" s="301">
        <v>3487</v>
      </c>
      <c r="AO429" s="301">
        <v>2012</v>
      </c>
      <c r="AP429" s="301">
        <v>2414</v>
      </c>
      <c r="AQ429" s="301">
        <v>2146</v>
      </c>
      <c r="AR429" s="301">
        <v>2012</v>
      </c>
      <c r="AS429" s="301">
        <v>2012</v>
      </c>
      <c r="AT429" s="301">
        <f t="shared" si="361"/>
        <v>27946</v>
      </c>
      <c r="AU429" s="302">
        <f t="shared" si="381"/>
        <v>2328.8333333333335</v>
      </c>
      <c r="AV429" s="374"/>
      <c r="AW429" s="2021"/>
      <c r="AX429" s="301"/>
      <c r="AY429" s="301"/>
      <c r="AZ429" s="301"/>
      <c r="BA429" s="301"/>
      <c r="BB429" s="301"/>
      <c r="BC429" s="301"/>
      <c r="BD429" s="301"/>
      <c r="BE429" s="301"/>
      <c r="BF429" s="301"/>
      <c r="BG429" s="301"/>
      <c r="BH429" s="301"/>
      <c r="BI429" s="301">
        <f t="shared" si="362"/>
        <v>0</v>
      </c>
      <c r="BJ429" s="302">
        <f t="shared" si="356"/>
        <v>0</v>
      </c>
      <c r="BM429" s="1432"/>
      <c r="BN429" s="321"/>
      <c r="BO429" s="317"/>
      <c r="BP429" s="321"/>
      <c r="BR429" s="8"/>
    </row>
    <row r="430" spans="1:70" ht="17.399999999999999" hidden="1" customHeight="1" x14ac:dyDescent="0.55000000000000004">
      <c r="A430" s="7222"/>
      <c r="B430" s="7208"/>
      <c r="C430" s="202" t="s">
        <v>232</v>
      </c>
      <c r="D430" s="300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>
        <f t="shared" si="357"/>
        <v>0</v>
      </c>
      <c r="Q430" s="302">
        <f t="shared" si="358"/>
        <v>0</v>
      </c>
      <c r="S430" s="300">
        <v>1260</v>
      </c>
      <c r="T430" s="301">
        <v>1385</v>
      </c>
      <c r="U430" s="301">
        <v>1302</v>
      </c>
      <c r="V430" s="301">
        <v>1250</v>
      </c>
      <c r="W430" s="301">
        <v>1318</v>
      </c>
      <c r="X430" s="301">
        <v>1336</v>
      </c>
      <c r="Y430" s="301">
        <v>1141</v>
      </c>
      <c r="Z430" s="301">
        <v>1601</v>
      </c>
      <c r="AA430" s="301">
        <v>1195</v>
      </c>
      <c r="AB430" s="301">
        <v>1548</v>
      </c>
      <c r="AC430" s="301">
        <v>1229</v>
      </c>
      <c r="AD430" s="301">
        <v>1127</v>
      </c>
      <c r="AE430" s="301">
        <f t="shared" si="359"/>
        <v>15692</v>
      </c>
      <c r="AF430" s="302">
        <f t="shared" si="360"/>
        <v>1307.6666666666667</v>
      </c>
      <c r="AG430" s="374"/>
      <c r="AH430" s="300">
        <v>2021</v>
      </c>
      <c r="AI430" s="301">
        <v>1292</v>
      </c>
      <c r="AJ430" s="301">
        <v>1333</v>
      </c>
      <c r="AK430" s="301">
        <v>1300</v>
      </c>
      <c r="AL430" s="301">
        <v>1333</v>
      </c>
      <c r="AM430" s="301">
        <v>1333</v>
      </c>
      <c r="AN430" s="301">
        <v>2167</v>
      </c>
      <c r="AO430" s="301">
        <v>1250</v>
      </c>
      <c r="AP430" s="301">
        <v>1500</v>
      </c>
      <c r="AQ430" s="301">
        <v>1333</v>
      </c>
      <c r="AR430" s="301">
        <v>1250</v>
      </c>
      <c r="AS430" s="301">
        <v>1250</v>
      </c>
      <c r="AT430" s="301">
        <f t="shared" si="361"/>
        <v>17362</v>
      </c>
      <c r="AU430" s="302">
        <f t="shared" si="381"/>
        <v>1446.8333333333333</v>
      </c>
      <c r="AV430" s="374"/>
      <c r="AW430" s="2021"/>
      <c r="AX430" s="301"/>
      <c r="AY430" s="301"/>
      <c r="AZ430" s="301"/>
      <c r="BA430" s="301"/>
      <c r="BB430" s="301"/>
      <c r="BC430" s="301"/>
      <c r="BD430" s="301"/>
      <c r="BE430" s="301"/>
      <c r="BF430" s="301"/>
      <c r="BG430" s="301"/>
      <c r="BH430" s="301"/>
      <c r="BI430" s="301">
        <f t="shared" si="362"/>
        <v>0</v>
      </c>
      <c r="BJ430" s="302">
        <f t="shared" si="356"/>
        <v>0</v>
      </c>
      <c r="BM430" s="1432"/>
      <c r="BN430" s="321"/>
      <c r="BO430" s="317"/>
      <c r="BP430" s="321"/>
      <c r="BR430" s="8"/>
    </row>
    <row r="431" spans="1:70" ht="17.399999999999999" hidden="1" customHeight="1" x14ac:dyDescent="0.55000000000000004">
      <c r="A431" s="7222"/>
      <c r="B431" s="7208"/>
      <c r="C431" s="203" t="s">
        <v>233</v>
      </c>
      <c r="D431" s="303"/>
      <c r="E431" s="304"/>
      <c r="F431" s="304"/>
      <c r="G431" s="304"/>
      <c r="H431" s="304"/>
      <c r="I431" s="304"/>
      <c r="J431" s="304"/>
      <c r="K431" s="304"/>
      <c r="L431" s="304"/>
      <c r="M431" s="304"/>
      <c r="N431" s="304"/>
      <c r="O431" s="304"/>
      <c r="P431" s="304">
        <f t="shared" si="357"/>
        <v>0</v>
      </c>
      <c r="Q431" s="305">
        <f t="shared" si="358"/>
        <v>0</v>
      </c>
      <c r="S431" s="303">
        <v>1932</v>
      </c>
      <c r="T431" s="304">
        <v>2120</v>
      </c>
      <c r="U431" s="304">
        <v>2000</v>
      </c>
      <c r="V431" s="304">
        <v>1941</v>
      </c>
      <c r="W431" s="304">
        <v>2018</v>
      </c>
      <c r="X431" s="304">
        <v>2031</v>
      </c>
      <c r="Y431" s="304">
        <v>1752</v>
      </c>
      <c r="Z431" s="304">
        <v>2447</v>
      </c>
      <c r="AA431" s="304">
        <v>1828</v>
      </c>
      <c r="AB431" s="304">
        <v>2401</v>
      </c>
      <c r="AC431" s="304">
        <v>1836</v>
      </c>
      <c r="AD431" s="304">
        <v>1833</v>
      </c>
      <c r="AE431" s="304">
        <f t="shared" si="359"/>
        <v>24139</v>
      </c>
      <c r="AF431" s="305">
        <f t="shared" si="360"/>
        <v>2011.5833333333333</v>
      </c>
      <c r="AG431" s="374"/>
      <c r="AH431" s="303">
        <v>3153</v>
      </c>
      <c r="AI431" s="304">
        <v>2015</v>
      </c>
      <c r="AJ431" s="304">
        <v>2080</v>
      </c>
      <c r="AK431" s="304">
        <v>2028</v>
      </c>
      <c r="AL431" s="304">
        <v>2080</v>
      </c>
      <c r="AM431" s="304">
        <v>2080</v>
      </c>
      <c r="AN431" s="304">
        <v>3380</v>
      </c>
      <c r="AO431" s="304">
        <v>1950</v>
      </c>
      <c r="AP431" s="304">
        <v>2340</v>
      </c>
      <c r="AQ431" s="304">
        <v>2080</v>
      </c>
      <c r="AR431" s="304">
        <v>1950</v>
      </c>
      <c r="AS431" s="304">
        <v>1950</v>
      </c>
      <c r="AT431" s="304">
        <f t="shared" si="361"/>
        <v>27086</v>
      </c>
      <c r="AU431" s="305">
        <f t="shared" si="381"/>
        <v>2257.1666666666665</v>
      </c>
      <c r="AV431" s="374"/>
      <c r="AW431" s="2022"/>
      <c r="AX431" s="304"/>
      <c r="AY431" s="304"/>
      <c r="AZ431" s="304"/>
      <c r="BA431" s="304"/>
      <c r="BB431" s="304"/>
      <c r="BC431" s="304"/>
      <c r="BD431" s="304"/>
      <c r="BE431" s="304"/>
      <c r="BF431" s="304"/>
      <c r="BG431" s="304"/>
      <c r="BH431" s="304"/>
      <c r="BI431" s="304">
        <f t="shared" si="362"/>
        <v>0</v>
      </c>
      <c r="BJ431" s="305">
        <f t="shared" si="356"/>
        <v>0</v>
      </c>
      <c r="BM431" s="1432"/>
      <c r="BN431" s="321"/>
      <c r="BO431" s="317"/>
      <c r="BP431" s="321"/>
      <c r="BR431" s="8"/>
    </row>
    <row r="432" spans="1:70" ht="17.399999999999999" hidden="1" customHeight="1" x14ac:dyDescent="0.55000000000000004">
      <c r="A432" s="7222"/>
      <c r="B432" s="7208"/>
      <c r="C432" s="203" t="s">
        <v>234</v>
      </c>
      <c r="D432" s="303"/>
      <c r="E432" s="304"/>
      <c r="F432" s="304"/>
      <c r="G432" s="304"/>
      <c r="H432" s="304"/>
      <c r="I432" s="304"/>
      <c r="J432" s="304"/>
      <c r="K432" s="304"/>
      <c r="L432" s="304"/>
      <c r="M432" s="304"/>
      <c r="N432" s="304"/>
      <c r="O432" s="304"/>
      <c r="P432" s="304">
        <f t="shared" si="357"/>
        <v>0</v>
      </c>
      <c r="Q432" s="305">
        <f t="shared" si="358"/>
        <v>0</v>
      </c>
      <c r="S432" s="303">
        <v>1971</v>
      </c>
      <c r="T432" s="304">
        <v>2162</v>
      </c>
      <c r="U432" s="304">
        <v>2040</v>
      </c>
      <c r="V432" s="304">
        <v>1959</v>
      </c>
      <c r="W432" s="304">
        <v>2057</v>
      </c>
      <c r="X432" s="304">
        <v>2085</v>
      </c>
      <c r="Y432" s="304">
        <v>1808</v>
      </c>
      <c r="Z432" s="304">
        <v>2496</v>
      </c>
      <c r="AA432" s="304">
        <v>1864</v>
      </c>
      <c r="AB432" s="304">
        <v>2449</v>
      </c>
      <c r="AC432" s="304">
        <v>1825</v>
      </c>
      <c r="AD432" s="304">
        <v>1775</v>
      </c>
      <c r="AE432" s="304">
        <f t="shared" si="359"/>
        <v>24491</v>
      </c>
      <c r="AF432" s="305">
        <f t="shared" si="360"/>
        <v>2040.9166666666667</v>
      </c>
      <c r="AG432" s="374"/>
      <c r="AH432" s="303">
        <v>3057</v>
      </c>
      <c r="AI432" s="304">
        <v>1954</v>
      </c>
      <c r="AJ432" s="304">
        <v>2017</v>
      </c>
      <c r="AK432" s="304">
        <v>1966</v>
      </c>
      <c r="AL432" s="304">
        <v>2017</v>
      </c>
      <c r="AM432" s="304">
        <v>2017</v>
      </c>
      <c r="AN432" s="304">
        <v>3277</v>
      </c>
      <c r="AO432" s="304">
        <v>1891</v>
      </c>
      <c r="AP432" s="304">
        <v>2269</v>
      </c>
      <c r="AQ432" s="304">
        <v>2017</v>
      </c>
      <c r="AR432" s="304">
        <v>1891</v>
      </c>
      <c r="AS432" s="304">
        <v>1891</v>
      </c>
      <c r="AT432" s="304">
        <f t="shared" si="361"/>
        <v>26264</v>
      </c>
      <c r="AU432" s="305">
        <f t="shared" si="381"/>
        <v>2188.6666666666665</v>
      </c>
      <c r="AV432" s="374"/>
      <c r="AW432" s="2022"/>
      <c r="AX432" s="304"/>
      <c r="AY432" s="304"/>
      <c r="AZ432" s="304"/>
      <c r="BA432" s="304"/>
      <c r="BB432" s="304"/>
      <c r="BC432" s="304"/>
      <c r="BD432" s="304"/>
      <c r="BE432" s="304"/>
      <c r="BF432" s="304"/>
      <c r="BG432" s="304"/>
      <c r="BH432" s="304"/>
      <c r="BI432" s="304">
        <f t="shared" si="362"/>
        <v>0</v>
      </c>
      <c r="BJ432" s="305">
        <f t="shared" si="356"/>
        <v>0</v>
      </c>
      <c r="BM432" s="1432"/>
      <c r="BN432" s="321"/>
      <c r="BO432" s="317"/>
      <c r="BP432" s="321"/>
      <c r="BR432" s="8"/>
    </row>
    <row r="433" spans="1:70" ht="17.399999999999999" hidden="1" customHeight="1" x14ac:dyDescent="0.55000000000000004">
      <c r="A433" s="7222"/>
      <c r="B433" s="7208"/>
      <c r="C433" s="202" t="s">
        <v>235</v>
      </c>
      <c r="D433" s="300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>
        <f t="shared" si="357"/>
        <v>0</v>
      </c>
      <c r="Q433" s="302">
        <f t="shared" si="358"/>
        <v>0</v>
      </c>
      <c r="S433" s="300">
        <v>1575</v>
      </c>
      <c r="T433" s="301">
        <v>1728</v>
      </c>
      <c r="U433" s="301">
        <v>1631</v>
      </c>
      <c r="V433" s="301">
        <v>1549</v>
      </c>
      <c r="W433" s="301">
        <v>1644</v>
      </c>
      <c r="X433" s="301">
        <v>1666</v>
      </c>
      <c r="Y433" s="301">
        <v>1423</v>
      </c>
      <c r="Z433" s="301">
        <v>1996</v>
      </c>
      <c r="AA433" s="301">
        <v>1490</v>
      </c>
      <c r="AB433" s="301">
        <v>1958</v>
      </c>
      <c r="AC433" s="301">
        <v>1557</v>
      </c>
      <c r="AD433" s="301">
        <v>1450</v>
      </c>
      <c r="AE433" s="301">
        <f t="shared" si="359"/>
        <v>19667</v>
      </c>
      <c r="AF433" s="302">
        <f t="shared" si="360"/>
        <v>1638.9166666666667</v>
      </c>
      <c r="AG433" s="374"/>
      <c r="AH433" s="300">
        <v>2486</v>
      </c>
      <c r="AI433" s="301">
        <v>1589</v>
      </c>
      <c r="AJ433" s="301">
        <v>1640</v>
      </c>
      <c r="AK433" s="301">
        <v>1599</v>
      </c>
      <c r="AL433" s="301">
        <v>1640</v>
      </c>
      <c r="AM433" s="301">
        <v>1640</v>
      </c>
      <c r="AN433" s="301">
        <v>2665</v>
      </c>
      <c r="AO433" s="301">
        <v>1538</v>
      </c>
      <c r="AP433" s="301">
        <v>1845</v>
      </c>
      <c r="AQ433" s="301">
        <v>1640</v>
      </c>
      <c r="AR433" s="301">
        <v>1538</v>
      </c>
      <c r="AS433" s="301">
        <v>1538</v>
      </c>
      <c r="AT433" s="301">
        <f t="shared" si="361"/>
        <v>21358</v>
      </c>
      <c r="AU433" s="302">
        <f t="shared" si="381"/>
        <v>1779.8333333333333</v>
      </c>
      <c r="AV433" s="374"/>
      <c r="AW433" s="2021"/>
      <c r="AX433" s="301"/>
      <c r="AY433" s="301"/>
      <c r="AZ433" s="301"/>
      <c r="BA433" s="301"/>
      <c r="BB433" s="301"/>
      <c r="BC433" s="301"/>
      <c r="BD433" s="301"/>
      <c r="BE433" s="301"/>
      <c r="BF433" s="301"/>
      <c r="BG433" s="301"/>
      <c r="BH433" s="301"/>
      <c r="BI433" s="301">
        <f t="shared" si="362"/>
        <v>0</v>
      </c>
      <c r="BJ433" s="302">
        <f t="shared" si="356"/>
        <v>0</v>
      </c>
      <c r="BM433" s="1432"/>
      <c r="BN433" s="321"/>
      <c r="BO433" s="317"/>
      <c r="BP433" s="321"/>
      <c r="BR433" s="8"/>
    </row>
    <row r="434" spans="1:70" ht="18" hidden="1" customHeight="1" thickBot="1" x14ac:dyDescent="0.6">
      <c r="A434" s="7222"/>
      <c r="B434" s="7209"/>
      <c r="C434" s="204" t="s">
        <v>236</v>
      </c>
      <c r="D434" s="306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>
        <f t="shared" si="357"/>
        <v>0</v>
      </c>
      <c r="Q434" s="308">
        <f t="shared" si="358"/>
        <v>0</v>
      </c>
      <c r="S434" s="306">
        <v>1567</v>
      </c>
      <c r="T434" s="307">
        <v>1719</v>
      </c>
      <c r="U434" s="307">
        <v>1627</v>
      </c>
      <c r="V434" s="307">
        <v>1550</v>
      </c>
      <c r="W434" s="307">
        <v>1665</v>
      </c>
      <c r="X434" s="307">
        <v>1688</v>
      </c>
      <c r="Y434" s="307">
        <v>1441</v>
      </c>
      <c r="Z434" s="307">
        <v>2004</v>
      </c>
      <c r="AA434" s="307">
        <v>1509</v>
      </c>
      <c r="AB434" s="307">
        <v>1983</v>
      </c>
      <c r="AC434" s="307">
        <v>1553</v>
      </c>
      <c r="AD434" s="307">
        <v>1458</v>
      </c>
      <c r="AE434" s="307">
        <f t="shared" si="359"/>
        <v>19764</v>
      </c>
      <c r="AF434" s="308">
        <f t="shared" si="360"/>
        <v>1647</v>
      </c>
      <c r="AG434" s="374"/>
      <c r="AH434" s="306">
        <v>2468</v>
      </c>
      <c r="AI434" s="307">
        <v>1578</v>
      </c>
      <c r="AJ434" s="307">
        <v>1629</v>
      </c>
      <c r="AK434" s="307">
        <v>1588</v>
      </c>
      <c r="AL434" s="307">
        <v>1629</v>
      </c>
      <c r="AM434" s="307">
        <v>1629</v>
      </c>
      <c r="AN434" s="307">
        <v>2647</v>
      </c>
      <c r="AO434" s="307">
        <v>1527</v>
      </c>
      <c r="AP434" s="307">
        <v>1832</v>
      </c>
      <c r="AQ434" s="307">
        <v>1629</v>
      </c>
      <c r="AR434" s="307">
        <v>1527</v>
      </c>
      <c r="AS434" s="307">
        <v>1527</v>
      </c>
      <c r="AT434" s="307">
        <f t="shared" si="361"/>
        <v>21210</v>
      </c>
      <c r="AU434" s="308">
        <f t="shared" si="381"/>
        <v>1767.5</v>
      </c>
      <c r="AV434" s="374"/>
      <c r="AW434" s="2023"/>
      <c r="AX434" s="307"/>
      <c r="AY434" s="307"/>
      <c r="AZ434" s="307"/>
      <c r="BA434" s="307"/>
      <c r="BB434" s="307"/>
      <c r="BC434" s="307"/>
      <c r="BD434" s="307"/>
      <c r="BE434" s="307"/>
      <c r="BF434" s="307"/>
      <c r="BG434" s="307"/>
      <c r="BH434" s="307"/>
      <c r="BI434" s="307">
        <f t="shared" si="362"/>
        <v>0</v>
      </c>
      <c r="BJ434" s="308">
        <f t="shared" si="356"/>
        <v>0</v>
      </c>
      <c r="BM434" s="1432"/>
      <c r="BN434" s="321"/>
      <c r="BO434" s="317"/>
      <c r="BP434" s="321"/>
      <c r="BR434" s="8"/>
    </row>
    <row r="435" spans="1:70" ht="17.399999999999999" hidden="1" customHeight="1" x14ac:dyDescent="0.55000000000000004">
      <c r="A435" s="7222"/>
      <c r="B435" s="7213" t="s">
        <v>1119</v>
      </c>
      <c r="C435" s="199" t="s">
        <v>419</v>
      </c>
      <c r="D435" s="291">
        <f>D440+D441</f>
        <v>0</v>
      </c>
      <c r="E435" s="292">
        <f t="shared" ref="E435:O435" si="382">E440+E441</f>
        <v>0</v>
      </c>
      <c r="F435" s="292">
        <f t="shared" si="382"/>
        <v>0</v>
      </c>
      <c r="G435" s="292">
        <f t="shared" si="382"/>
        <v>0</v>
      </c>
      <c r="H435" s="292">
        <f t="shared" si="382"/>
        <v>0</v>
      </c>
      <c r="I435" s="292">
        <f t="shared" si="382"/>
        <v>0</v>
      </c>
      <c r="J435" s="292">
        <f t="shared" si="382"/>
        <v>0</v>
      </c>
      <c r="K435" s="292">
        <f t="shared" si="382"/>
        <v>0</v>
      </c>
      <c r="L435" s="292">
        <f t="shared" si="382"/>
        <v>0</v>
      </c>
      <c r="M435" s="292">
        <f t="shared" si="382"/>
        <v>0</v>
      </c>
      <c r="N435" s="292">
        <f t="shared" si="382"/>
        <v>0</v>
      </c>
      <c r="O435" s="292">
        <f t="shared" si="382"/>
        <v>0</v>
      </c>
      <c r="P435" s="292">
        <f t="shared" si="357"/>
        <v>0</v>
      </c>
      <c r="Q435" s="293">
        <f t="shared" si="358"/>
        <v>0</v>
      </c>
      <c r="S435" s="291">
        <f>S440+S441</f>
        <v>127</v>
      </c>
      <c r="T435" s="292">
        <f t="shared" ref="T435:AD435" si="383">T440+T441</f>
        <v>142</v>
      </c>
      <c r="U435" s="292">
        <f t="shared" si="383"/>
        <v>144</v>
      </c>
      <c r="V435" s="292">
        <f t="shared" si="383"/>
        <v>139</v>
      </c>
      <c r="W435" s="292">
        <f t="shared" si="383"/>
        <v>153</v>
      </c>
      <c r="X435" s="292">
        <f t="shared" si="383"/>
        <v>153</v>
      </c>
      <c r="Y435" s="292">
        <f t="shared" si="383"/>
        <v>143</v>
      </c>
      <c r="Z435" s="292">
        <f t="shared" si="383"/>
        <v>198</v>
      </c>
      <c r="AA435" s="292">
        <f t="shared" si="383"/>
        <v>155</v>
      </c>
      <c r="AB435" s="292">
        <f t="shared" si="383"/>
        <v>202</v>
      </c>
      <c r="AC435" s="292">
        <f t="shared" si="383"/>
        <v>172</v>
      </c>
      <c r="AD435" s="292">
        <f t="shared" si="383"/>
        <v>170</v>
      </c>
      <c r="AE435" s="292">
        <f t="shared" si="359"/>
        <v>1898</v>
      </c>
      <c r="AF435" s="293">
        <f t="shared" si="360"/>
        <v>158.16666666666666</v>
      </c>
      <c r="AG435" s="374"/>
      <c r="AH435" s="291">
        <v>74</v>
      </c>
      <c r="AI435" s="292">
        <v>49</v>
      </c>
      <c r="AJ435" s="292">
        <v>65</v>
      </c>
      <c r="AK435" s="292">
        <v>66</v>
      </c>
      <c r="AL435" s="292">
        <v>66</v>
      </c>
      <c r="AM435" s="292">
        <v>67</v>
      </c>
      <c r="AN435" s="292">
        <v>82</v>
      </c>
      <c r="AO435" s="292">
        <v>50</v>
      </c>
      <c r="AP435" s="292">
        <v>82</v>
      </c>
      <c r="AQ435" s="292">
        <v>33</v>
      </c>
      <c r="AR435" s="292">
        <v>33</v>
      </c>
      <c r="AS435" s="292">
        <v>33</v>
      </c>
      <c r="AT435" s="292">
        <f t="shared" si="361"/>
        <v>700</v>
      </c>
      <c r="AU435" s="293">
        <f t="shared" si="381"/>
        <v>58.333333333333336</v>
      </c>
      <c r="AV435" s="374"/>
      <c r="AW435" s="2015"/>
      <c r="AX435" s="292"/>
      <c r="AY435" s="292"/>
      <c r="AZ435" s="292"/>
      <c r="BA435" s="292"/>
      <c r="BB435" s="292"/>
      <c r="BC435" s="292"/>
      <c r="BD435" s="292"/>
      <c r="BE435" s="292"/>
      <c r="BF435" s="292"/>
      <c r="BG435" s="292"/>
      <c r="BH435" s="292"/>
      <c r="BI435" s="292">
        <f t="shared" si="362"/>
        <v>0</v>
      </c>
      <c r="BJ435" s="293">
        <f t="shared" si="356"/>
        <v>0</v>
      </c>
      <c r="BM435" s="1432"/>
      <c r="BN435" s="321"/>
      <c r="BO435" s="317"/>
      <c r="BP435" s="321"/>
      <c r="BR435" s="8"/>
    </row>
    <row r="436" spans="1:70" ht="17.399999999999999" hidden="1" customHeight="1" x14ac:dyDescent="0.55000000000000004">
      <c r="A436" s="7222"/>
      <c r="B436" s="7214"/>
      <c r="C436" s="200" t="s">
        <v>420</v>
      </c>
      <c r="D436" s="294">
        <f>D442+D443</f>
        <v>0</v>
      </c>
      <c r="E436" s="295">
        <f t="shared" ref="E436:O436" si="384">E442+E443</f>
        <v>0</v>
      </c>
      <c r="F436" s="295">
        <f t="shared" si="384"/>
        <v>0</v>
      </c>
      <c r="G436" s="295">
        <f t="shared" si="384"/>
        <v>0</v>
      </c>
      <c r="H436" s="295">
        <f t="shared" si="384"/>
        <v>0</v>
      </c>
      <c r="I436" s="295">
        <f t="shared" si="384"/>
        <v>0</v>
      </c>
      <c r="J436" s="295">
        <f t="shared" si="384"/>
        <v>0</v>
      </c>
      <c r="K436" s="295">
        <f t="shared" si="384"/>
        <v>0</v>
      </c>
      <c r="L436" s="295">
        <f t="shared" si="384"/>
        <v>0</v>
      </c>
      <c r="M436" s="295">
        <f t="shared" si="384"/>
        <v>0</v>
      </c>
      <c r="N436" s="295">
        <f t="shared" si="384"/>
        <v>0</v>
      </c>
      <c r="O436" s="295">
        <f t="shared" si="384"/>
        <v>0</v>
      </c>
      <c r="P436" s="295">
        <f t="shared" si="357"/>
        <v>0</v>
      </c>
      <c r="Q436" s="296">
        <f t="shared" si="358"/>
        <v>0</v>
      </c>
      <c r="S436" s="294">
        <f>S442+S443</f>
        <v>170</v>
      </c>
      <c r="T436" s="295">
        <f t="shared" ref="T436:AD436" si="385">T442+T443</f>
        <v>191</v>
      </c>
      <c r="U436" s="295">
        <f t="shared" si="385"/>
        <v>193</v>
      </c>
      <c r="V436" s="295">
        <f t="shared" si="385"/>
        <v>185</v>
      </c>
      <c r="W436" s="295">
        <f t="shared" si="385"/>
        <v>205</v>
      </c>
      <c r="X436" s="295">
        <f t="shared" si="385"/>
        <v>205</v>
      </c>
      <c r="Y436" s="295">
        <f t="shared" si="385"/>
        <v>192</v>
      </c>
      <c r="Z436" s="295">
        <f t="shared" si="385"/>
        <v>265</v>
      </c>
      <c r="AA436" s="295">
        <f t="shared" si="385"/>
        <v>207</v>
      </c>
      <c r="AB436" s="295">
        <f t="shared" si="385"/>
        <v>270</v>
      </c>
      <c r="AC436" s="295">
        <f t="shared" si="385"/>
        <v>230</v>
      </c>
      <c r="AD436" s="295">
        <f t="shared" si="385"/>
        <v>210</v>
      </c>
      <c r="AE436" s="295">
        <f t="shared" si="359"/>
        <v>2523</v>
      </c>
      <c r="AF436" s="296">
        <f t="shared" si="360"/>
        <v>210.25</v>
      </c>
      <c r="AG436" s="374"/>
      <c r="AH436" s="294">
        <v>75</v>
      </c>
      <c r="AI436" s="295">
        <v>44</v>
      </c>
      <c r="AJ436" s="295">
        <v>58</v>
      </c>
      <c r="AK436" s="295">
        <v>60</v>
      </c>
      <c r="AL436" s="295">
        <v>60</v>
      </c>
      <c r="AM436" s="295">
        <v>61</v>
      </c>
      <c r="AN436" s="295">
        <v>75</v>
      </c>
      <c r="AO436" s="295">
        <v>45</v>
      </c>
      <c r="AP436" s="295">
        <v>75</v>
      </c>
      <c r="AQ436" s="295">
        <v>30</v>
      </c>
      <c r="AR436" s="295">
        <v>30</v>
      </c>
      <c r="AS436" s="295">
        <v>30</v>
      </c>
      <c r="AT436" s="295">
        <f t="shared" si="361"/>
        <v>643</v>
      </c>
      <c r="AU436" s="296">
        <f t="shared" si="381"/>
        <v>53.583333333333336</v>
      </c>
      <c r="AV436" s="374"/>
      <c r="AW436" s="2016"/>
      <c r="AX436" s="295"/>
      <c r="AY436" s="295"/>
      <c r="AZ436" s="295"/>
      <c r="BA436" s="295"/>
      <c r="BB436" s="295"/>
      <c r="BC436" s="295"/>
      <c r="BD436" s="295"/>
      <c r="BE436" s="295"/>
      <c r="BF436" s="295"/>
      <c r="BG436" s="295"/>
      <c r="BH436" s="295"/>
      <c r="BI436" s="295">
        <f t="shared" si="362"/>
        <v>0</v>
      </c>
      <c r="BJ436" s="296">
        <f t="shared" si="356"/>
        <v>0</v>
      </c>
      <c r="BM436" s="1432"/>
      <c r="BN436" s="321"/>
      <c r="BO436" s="317"/>
      <c r="BP436" s="321"/>
      <c r="BR436" s="8"/>
    </row>
    <row r="437" spans="1:70" ht="17.399999999999999" hidden="1" customHeight="1" x14ac:dyDescent="0.55000000000000004">
      <c r="A437" s="7222"/>
      <c r="B437" s="7214"/>
      <c r="C437" s="200" t="s">
        <v>421</v>
      </c>
      <c r="D437" s="294">
        <f>D444+D445</f>
        <v>0</v>
      </c>
      <c r="E437" s="295">
        <f t="shared" ref="E437:O437" si="386">E444+E445</f>
        <v>0</v>
      </c>
      <c r="F437" s="295">
        <f t="shared" si="386"/>
        <v>0</v>
      </c>
      <c r="G437" s="295">
        <f t="shared" si="386"/>
        <v>0</v>
      </c>
      <c r="H437" s="295">
        <f t="shared" si="386"/>
        <v>0</v>
      </c>
      <c r="I437" s="295">
        <f t="shared" si="386"/>
        <v>0</v>
      </c>
      <c r="J437" s="295">
        <f t="shared" si="386"/>
        <v>0</v>
      </c>
      <c r="K437" s="295">
        <f t="shared" si="386"/>
        <v>0</v>
      </c>
      <c r="L437" s="295">
        <f t="shared" si="386"/>
        <v>0</v>
      </c>
      <c r="M437" s="295">
        <f t="shared" si="386"/>
        <v>0</v>
      </c>
      <c r="N437" s="295">
        <f t="shared" si="386"/>
        <v>0</v>
      </c>
      <c r="O437" s="295">
        <f t="shared" si="386"/>
        <v>0</v>
      </c>
      <c r="P437" s="295">
        <f t="shared" si="357"/>
        <v>0</v>
      </c>
      <c r="Q437" s="296">
        <f t="shared" si="358"/>
        <v>0</v>
      </c>
      <c r="S437" s="294">
        <f>S444+S445</f>
        <v>258</v>
      </c>
      <c r="T437" s="295">
        <f t="shared" ref="T437:AD437" si="387">T444+T445</f>
        <v>289</v>
      </c>
      <c r="U437" s="295">
        <f t="shared" si="387"/>
        <v>292</v>
      </c>
      <c r="V437" s="295">
        <f t="shared" si="387"/>
        <v>280</v>
      </c>
      <c r="W437" s="295">
        <f t="shared" si="387"/>
        <v>310</v>
      </c>
      <c r="X437" s="295">
        <f t="shared" si="387"/>
        <v>311</v>
      </c>
      <c r="Y437" s="295">
        <f t="shared" si="387"/>
        <v>292</v>
      </c>
      <c r="Z437" s="295">
        <f t="shared" si="387"/>
        <v>403</v>
      </c>
      <c r="AA437" s="295">
        <f t="shared" si="387"/>
        <v>314</v>
      </c>
      <c r="AB437" s="295">
        <f t="shared" si="387"/>
        <v>410</v>
      </c>
      <c r="AC437" s="295">
        <f t="shared" si="387"/>
        <v>348</v>
      </c>
      <c r="AD437" s="295">
        <f t="shared" si="387"/>
        <v>327</v>
      </c>
      <c r="AE437" s="295">
        <f t="shared" si="359"/>
        <v>3834</v>
      </c>
      <c r="AF437" s="296">
        <f t="shared" si="360"/>
        <v>319.5</v>
      </c>
      <c r="AG437" s="374"/>
      <c r="AH437" s="294">
        <v>103</v>
      </c>
      <c r="AI437" s="295">
        <v>58</v>
      </c>
      <c r="AJ437" s="295">
        <v>77</v>
      </c>
      <c r="AK437" s="295">
        <v>77</v>
      </c>
      <c r="AL437" s="295">
        <v>77</v>
      </c>
      <c r="AM437" s="295">
        <v>78</v>
      </c>
      <c r="AN437" s="295">
        <v>96</v>
      </c>
      <c r="AO437" s="295">
        <v>57</v>
      </c>
      <c r="AP437" s="295">
        <v>96</v>
      </c>
      <c r="AQ437" s="295">
        <v>39</v>
      </c>
      <c r="AR437" s="295">
        <v>39</v>
      </c>
      <c r="AS437" s="295">
        <v>39</v>
      </c>
      <c r="AT437" s="295">
        <f t="shared" si="361"/>
        <v>836</v>
      </c>
      <c r="AU437" s="296">
        <f t="shared" si="381"/>
        <v>69.666666666666671</v>
      </c>
      <c r="AV437" s="374"/>
      <c r="AW437" s="2016"/>
      <c r="AX437" s="295"/>
      <c r="AY437" s="295"/>
      <c r="AZ437" s="295"/>
      <c r="BA437" s="295"/>
      <c r="BB437" s="295"/>
      <c r="BC437" s="295"/>
      <c r="BD437" s="295"/>
      <c r="BE437" s="295"/>
      <c r="BF437" s="295"/>
      <c r="BG437" s="295"/>
      <c r="BH437" s="295"/>
      <c r="BI437" s="295">
        <f t="shared" si="362"/>
        <v>0</v>
      </c>
      <c r="BJ437" s="296">
        <f t="shared" si="356"/>
        <v>0</v>
      </c>
      <c r="BM437" s="1432"/>
      <c r="BN437" s="321"/>
      <c r="BO437" s="317"/>
      <c r="BP437" s="321"/>
      <c r="BR437" s="8"/>
    </row>
    <row r="438" spans="1:70" ht="17.399999999999999" hidden="1" customHeight="1" x14ac:dyDescent="0.55000000000000004">
      <c r="A438" s="7222"/>
      <c r="B438" s="7214"/>
      <c r="C438" s="200" t="s">
        <v>422</v>
      </c>
      <c r="D438" s="294">
        <f>D446+D447</f>
        <v>0</v>
      </c>
      <c r="E438" s="295">
        <f t="shared" ref="E438:O438" si="388">E446+E447</f>
        <v>0</v>
      </c>
      <c r="F438" s="295">
        <f t="shared" si="388"/>
        <v>0</v>
      </c>
      <c r="G438" s="295">
        <f t="shared" si="388"/>
        <v>0</v>
      </c>
      <c r="H438" s="295">
        <f t="shared" si="388"/>
        <v>0</v>
      </c>
      <c r="I438" s="295">
        <f t="shared" si="388"/>
        <v>0</v>
      </c>
      <c r="J438" s="295">
        <f t="shared" si="388"/>
        <v>0</v>
      </c>
      <c r="K438" s="295">
        <f t="shared" si="388"/>
        <v>0</v>
      </c>
      <c r="L438" s="295">
        <f t="shared" si="388"/>
        <v>0</v>
      </c>
      <c r="M438" s="295">
        <f t="shared" si="388"/>
        <v>0</v>
      </c>
      <c r="N438" s="295">
        <f t="shared" si="388"/>
        <v>0</v>
      </c>
      <c r="O438" s="295">
        <f t="shared" si="388"/>
        <v>0</v>
      </c>
      <c r="P438" s="295">
        <f t="shared" si="357"/>
        <v>0</v>
      </c>
      <c r="Q438" s="296">
        <f t="shared" si="358"/>
        <v>0</v>
      </c>
      <c r="S438" s="294">
        <f>S446+S447</f>
        <v>354</v>
      </c>
      <c r="T438" s="295">
        <f t="shared" ref="T438:AD438" si="389">T446+T447</f>
        <v>396</v>
      </c>
      <c r="U438" s="295">
        <f t="shared" si="389"/>
        <v>400</v>
      </c>
      <c r="V438" s="295">
        <f t="shared" si="389"/>
        <v>385</v>
      </c>
      <c r="W438" s="295">
        <f t="shared" si="389"/>
        <v>426</v>
      </c>
      <c r="X438" s="295">
        <f t="shared" si="389"/>
        <v>427</v>
      </c>
      <c r="Y438" s="295">
        <f t="shared" si="389"/>
        <v>400</v>
      </c>
      <c r="Z438" s="295">
        <f t="shared" si="389"/>
        <v>553</v>
      </c>
      <c r="AA438" s="295">
        <f t="shared" si="389"/>
        <v>431</v>
      </c>
      <c r="AB438" s="295">
        <f t="shared" si="389"/>
        <v>563</v>
      </c>
      <c r="AC438" s="295">
        <f t="shared" si="389"/>
        <v>478</v>
      </c>
      <c r="AD438" s="295">
        <f t="shared" si="389"/>
        <v>461</v>
      </c>
      <c r="AE438" s="295">
        <f t="shared" si="359"/>
        <v>5274</v>
      </c>
      <c r="AF438" s="296">
        <f t="shared" si="360"/>
        <v>439.5</v>
      </c>
      <c r="AG438" s="374"/>
      <c r="AH438" s="294">
        <v>144</v>
      </c>
      <c r="AI438" s="295">
        <v>82</v>
      </c>
      <c r="AJ438" s="295">
        <v>110</v>
      </c>
      <c r="AK438" s="295">
        <v>108</v>
      </c>
      <c r="AL438" s="295">
        <v>108</v>
      </c>
      <c r="AM438" s="295">
        <v>104</v>
      </c>
      <c r="AN438" s="295">
        <v>136</v>
      </c>
      <c r="AO438" s="295">
        <v>81</v>
      </c>
      <c r="AP438" s="295">
        <v>136</v>
      </c>
      <c r="AQ438" s="295">
        <v>53</v>
      </c>
      <c r="AR438" s="295">
        <v>53</v>
      </c>
      <c r="AS438" s="295">
        <v>53</v>
      </c>
      <c r="AT438" s="295">
        <f t="shared" si="361"/>
        <v>1168</v>
      </c>
      <c r="AU438" s="296">
        <f t="shared" si="381"/>
        <v>97.333333333333329</v>
      </c>
      <c r="AV438" s="374"/>
      <c r="AW438" s="2016"/>
      <c r="AX438" s="295"/>
      <c r="AY438" s="295"/>
      <c r="AZ438" s="295"/>
      <c r="BA438" s="295"/>
      <c r="BB438" s="295"/>
      <c r="BC438" s="295"/>
      <c r="BD438" s="295"/>
      <c r="BE438" s="295"/>
      <c r="BF438" s="295"/>
      <c r="BG438" s="295"/>
      <c r="BH438" s="295"/>
      <c r="BI438" s="295">
        <f t="shared" si="362"/>
        <v>0</v>
      </c>
      <c r="BJ438" s="296">
        <f t="shared" si="356"/>
        <v>0</v>
      </c>
      <c r="BM438" s="1432"/>
      <c r="BN438" s="321"/>
      <c r="BO438" s="317"/>
      <c r="BP438" s="321"/>
      <c r="BR438" s="8"/>
    </row>
    <row r="439" spans="1:70" ht="17.399999999999999" hidden="1" customHeight="1" x14ac:dyDescent="0.55000000000000004">
      <c r="A439" s="7222"/>
      <c r="B439" s="7215"/>
      <c r="C439" s="201" t="s">
        <v>423</v>
      </c>
      <c r="D439" s="297">
        <f>D448+D449</f>
        <v>0</v>
      </c>
      <c r="E439" s="298">
        <f t="shared" ref="E439:O439" si="390">E448+E449</f>
        <v>0</v>
      </c>
      <c r="F439" s="298">
        <f t="shared" si="390"/>
        <v>0</v>
      </c>
      <c r="G439" s="298">
        <f t="shared" si="390"/>
        <v>0</v>
      </c>
      <c r="H439" s="298">
        <f t="shared" si="390"/>
        <v>0</v>
      </c>
      <c r="I439" s="298">
        <f t="shared" si="390"/>
        <v>0</v>
      </c>
      <c r="J439" s="298">
        <f t="shared" si="390"/>
        <v>0</v>
      </c>
      <c r="K439" s="298">
        <f t="shared" si="390"/>
        <v>0</v>
      </c>
      <c r="L439" s="298">
        <f t="shared" si="390"/>
        <v>0</v>
      </c>
      <c r="M439" s="298">
        <f t="shared" si="390"/>
        <v>0</v>
      </c>
      <c r="N439" s="298">
        <f t="shared" si="390"/>
        <v>0</v>
      </c>
      <c r="O439" s="298">
        <f t="shared" si="390"/>
        <v>0</v>
      </c>
      <c r="P439" s="298">
        <f t="shared" si="357"/>
        <v>0</v>
      </c>
      <c r="Q439" s="299">
        <f t="shared" si="358"/>
        <v>0</v>
      </c>
      <c r="S439" s="297">
        <f>S448+S449</f>
        <v>234</v>
      </c>
      <c r="T439" s="298">
        <f t="shared" ref="T439:AD439" si="391">T448+T449</f>
        <v>261</v>
      </c>
      <c r="U439" s="298">
        <f t="shared" si="391"/>
        <v>265</v>
      </c>
      <c r="V439" s="298">
        <f t="shared" si="391"/>
        <v>254</v>
      </c>
      <c r="W439" s="298">
        <f t="shared" si="391"/>
        <v>267</v>
      </c>
      <c r="X439" s="298">
        <f t="shared" si="391"/>
        <v>282</v>
      </c>
      <c r="Y439" s="298">
        <f t="shared" si="391"/>
        <v>264</v>
      </c>
      <c r="Z439" s="298">
        <f t="shared" si="391"/>
        <v>365</v>
      </c>
      <c r="AA439" s="298">
        <f t="shared" si="391"/>
        <v>285</v>
      </c>
      <c r="AB439" s="298">
        <f t="shared" si="391"/>
        <v>372</v>
      </c>
      <c r="AC439" s="298">
        <f t="shared" si="391"/>
        <v>315</v>
      </c>
      <c r="AD439" s="298">
        <f t="shared" si="391"/>
        <v>307</v>
      </c>
      <c r="AE439" s="298">
        <f t="shared" si="359"/>
        <v>3471</v>
      </c>
      <c r="AF439" s="299">
        <f t="shared" si="360"/>
        <v>289.25</v>
      </c>
      <c r="AG439" s="374"/>
      <c r="AH439" s="297">
        <v>104</v>
      </c>
      <c r="AI439" s="298">
        <v>67</v>
      </c>
      <c r="AJ439" s="298">
        <v>90</v>
      </c>
      <c r="AK439" s="298">
        <v>89</v>
      </c>
      <c r="AL439" s="298">
        <v>89</v>
      </c>
      <c r="AM439" s="298">
        <v>90</v>
      </c>
      <c r="AN439" s="298">
        <v>111</v>
      </c>
      <c r="AO439" s="298">
        <v>67</v>
      </c>
      <c r="AP439" s="298">
        <v>111</v>
      </c>
      <c r="AQ439" s="298">
        <v>45</v>
      </c>
      <c r="AR439" s="298">
        <v>45</v>
      </c>
      <c r="AS439" s="298">
        <v>45</v>
      </c>
      <c r="AT439" s="298">
        <f t="shared" si="361"/>
        <v>953</v>
      </c>
      <c r="AU439" s="299">
        <f t="shared" si="381"/>
        <v>79.416666666666671</v>
      </c>
      <c r="AV439" s="374"/>
      <c r="AW439" s="2017"/>
      <c r="AX439" s="298"/>
      <c r="AY439" s="298"/>
      <c r="AZ439" s="298"/>
      <c r="BA439" s="298"/>
      <c r="BB439" s="298"/>
      <c r="BC439" s="298"/>
      <c r="BD439" s="298"/>
      <c r="BE439" s="298"/>
      <c r="BF439" s="298"/>
      <c r="BG439" s="298"/>
      <c r="BH439" s="298"/>
      <c r="BI439" s="298">
        <f t="shared" si="362"/>
        <v>0</v>
      </c>
      <c r="BJ439" s="299">
        <f t="shared" si="356"/>
        <v>0</v>
      </c>
      <c r="BM439" s="1432"/>
      <c r="BN439" s="321"/>
      <c r="BO439" s="317"/>
      <c r="BP439" s="321"/>
      <c r="BR439" s="8"/>
    </row>
    <row r="440" spans="1:70" ht="17.399999999999999" hidden="1" customHeight="1" x14ac:dyDescent="0.55000000000000004">
      <c r="A440" s="7222"/>
      <c r="B440" s="7207" t="s">
        <v>1120</v>
      </c>
      <c r="C440" s="202" t="s">
        <v>227</v>
      </c>
      <c r="D440" s="300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>
        <f t="shared" si="357"/>
        <v>0</v>
      </c>
      <c r="Q440" s="302">
        <f t="shared" si="358"/>
        <v>0</v>
      </c>
      <c r="S440" s="300">
        <v>51</v>
      </c>
      <c r="T440" s="301">
        <v>57</v>
      </c>
      <c r="U440" s="301">
        <v>57</v>
      </c>
      <c r="V440" s="301">
        <v>56</v>
      </c>
      <c r="W440" s="301">
        <v>61</v>
      </c>
      <c r="X440" s="301">
        <v>61</v>
      </c>
      <c r="Y440" s="301">
        <v>57</v>
      </c>
      <c r="Z440" s="301">
        <v>79</v>
      </c>
      <c r="AA440" s="301">
        <v>63</v>
      </c>
      <c r="AB440" s="301">
        <v>81</v>
      </c>
      <c r="AC440" s="301">
        <v>69</v>
      </c>
      <c r="AD440" s="301">
        <v>69</v>
      </c>
      <c r="AE440" s="301">
        <f t="shared" si="359"/>
        <v>761</v>
      </c>
      <c r="AF440" s="302">
        <f t="shared" si="360"/>
        <v>63.416666666666664</v>
      </c>
      <c r="AG440" s="374"/>
      <c r="AH440" s="300">
        <v>34</v>
      </c>
      <c r="AI440" s="301">
        <v>19</v>
      </c>
      <c r="AJ440" s="301">
        <v>25</v>
      </c>
      <c r="AK440" s="301">
        <v>26</v>
      </c>
      <c r="AL440" s="301">
        <v>26</v>
      </c>
      <c r="AM440" s="301">
        <v>27</v>
      </c>
      <c r="AN440" s="301">
        <v>32</v>
      </c>
      <c r="AO440" s="301">
        <v>20</v>
      </c>
      <c r="AP440" s="301">
        <v>32</v>
      </c>
      <c r="AQ440" s="301">
        <v>13</v>
      </c>
      <c r="AR440" s="301">
        <v>13</v>
      </c>
      <c r="AS440" s="301">
        <v>13</v>
      </c>
      <c r="AT440" s="301">
        <f t="shared" si="361"/>
        <v>280</v>
      </c>
      <c r="AU440" s="302">
        <f t="shared" si="381"/>
        <v>23.333333333333332</v>
      </c>
      <c r="AV440" s="374"/>
      <c r="AW440" s="2021"/>
      <c r="AX440" s="301"/>
      <c r="AY440" s="301"/>
      <c r="AZ440" s="301"/>
      <c r="BA440" s="301"/>
      <c r="BB440" s="301"/>
      <c r="BC440" s="301"/>
      <c r="BD440" s="301"/>
      <c r="BE440" s="301"/>
      <c r="BF440" s="301"/>
      <c r="BG440" s="301"/>
      <c r="BH440" s="301"/>
      <c r="BI440" s="301">
        <f t="shared" si="362"/>
        <v>0</v>
      </c>
      <c r="BJ440" s="302">
        <f t="shared" si="356"/>
        <v>0</v>
      </c>
      <c r="BM440" s="1432"/>
      <c r="BN440" s="321"/>
      <c r="BO440" s="317"/>
      <c r="BP440" s="321"/>
      <c r="BR440" s="8"/>
    </row>
    <row r="441" spans="1:70" ht="17.399999999999999" hidden="1" customHeight="1" x14ac:dyDescent="0.55000000000000004">
      <c r="A441" s="7222"/>
      <c r="B441" s="7208"/>
      <c r="C441" s="202" t="s">
        <v>228</v>
      </c>
      <c r="D441" s="300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>
        <f t="shared" si="357"/>
        <v>0</v>
      </c>
      <c r="Q441" s="302">
        <f t="shared" si="358"/>
        <v>0</v>
      </c>
      <c r="S441" s="300">
        <v>76</v>
      </c>
      <c r="T441" s="301">
        <v>85</v>
      </c>
      <c r="U441" s="301">
        <v>87</v>
      </c>
      <c r="V441" s="301">
        <v>83</v>
      </c>
      <c r="W441" s="301">
        <v>92</v>
      </c>
      <c r="X441" s="301">
        <v>92</v>
      </c>
      <c r="Y441" s="301">
        <v>86</v>
      </c>
      <c r="Z441" s="301">
        <v>119</v>
      </c>
      <c r="AA441" s="301">
        <v>92</v>
      </c>
      <c r="AB441" s="301">
        <v>121</v>
      </c>
      <c r="AC441" s="301">
        <v>103</v>
      </c>
      <c r="AD441" s="301">
        <v>101</v>
      </c>
      <c r="AE441" s="301">
        <f t="shared" si="359"/>
        <v>1137</v>
      </c>
      <c r="AF441" s="302">
        <f t="shared" si="360"/>
        <v>94.75</v>
      </c>
      <c r="AG441" s="374"/>
      <c r="AH441" s="300">
        <v>40</v>
      </c>
      <c r="AI441" s="301">
        <v>30</v>
      </c>
      <c r="AJ441" s="301">
        <v>40</v>
      </c>
      <c r="AK441" s="301">
        <v>40</v>
      </c>
      <c r="AL441" s="301">
        <v>40</v>
      </c>
      <c r="AM441" s="301">
        <v>40</v>
      </c>
      <c r="AN441" s="301">
        <v>50</v>
      </c>
      <c r="AO441" s="301">
        <v>30</v>
      </c>
      <c r="AP441" s="301">
        <v>50</v>
      </c>
      <c r="AQ441" s="301">
        <v>20</v>
      </c>
      <c r="AR441" s="301">
        <v>20</v>
      </c>
      <c r="AS441" s="301">
        <v>20</v>
      </c>
      <c r="AT441" s="301">
        <f t="shared" si="361"/>
        <v>420</v>
      </c>
      <c r="AU441" s="302">
        <f t="shared" si="381"/>
        <v>35</v>
      </c>
      <c r="AV441" s="374"/>
      <c r="AW441" s="2021"/>
      <c r="AX441" s="301"/>
      <c r="AY441" s="301"/>
      <c r="AZ441" s="301"/>
      <c r="BA441" s="301"/>
      <c r="BB441" s="301"/>
      <c r="BC441" s="301"/>
      <c r="BD441" s="301"/>
      <c r="BE441" s="301"/>
      <c r="BF441" s="301"/>
      <c r="BG441" s="301"/>
      <c r="BH441" s="301"/>
      <c r="BI441" s="301">
        <f t="shared" si="362"/>
        <v>0</v>
      </c>
      <c r="BJ441" s="302">
        <f t="shared" si="356"/>
        <v>0</v>
      </c>
      <c r="BM441" s="1432"/>
      <c r="BN441" s="321"/>
      <c r="BO441" s="317"/>
      <c r="BP441" s="321"/>
      <c r="BR441" s="8"/>
    </row>
    <row r="442" spans="1:70" ht="17.399999999999999" hidden="1" customHeight="1" x14ac:dyDescent="0.55000000000000004">
      <c r="A442" s="7222"/>
      <c r="B442" s="7208"/>
      <c r="C442" s="203" t="s">
        <v>229</v>
      </c>
      <c r="D442" s="303"/>
      <c r="E442" s="304"/>
      <c r="F442" s="304"/>
      <c r="G442" s="304"/>
      <c r="H442" s="304"/>
      <c r="I442" s="304"/>
      <c r="J442" s="304"/>
      <c r="K442" s="304"/>
      <c r="L442" s="304"/>
      <c r="M442" s="304"/>
      <c r="N442" s="304"/>
      <c r="O442" s="304"/>
      <c r="P442" s="304">
        <f t="shared" si="357"/>
        <v>0</v>
      </c>
      <c r="Q442" s="305">
        <f t="shared" si="358"/>
        <v>0</v>
      </c>
      <c r="S442" s="303">
        <v>80</v>
      </c>
      <c r="T442" s="304">
        <v>90</v>
      </c>
      <c r="U442" s="304">
        <v>91</v>
      </c>
      <c r="V442" s="304">
        <v>87</v>
      </c>
      <c r="W442" s="304">
        <v>96</v>
      </c>
      <c r="X442" s="304">
        <v>96</v>
      </c>
      <c r="Y442" s="304">
        <v>90</v>
      </c>
      <c r="Z442" s="304">
        <v>125</v>
      </c>
      <c r="AA442" s="304">
        <v>97</v>
      </c>
      <c r="AB442" s="304">
        <v>127</v>
      </c>
      <c r="AC442" s="304">
        <v>108</v>
      </c>
      <c r="AD442" s="304">
        <v>96</v>
      </c>
      <c r="AE442" s="304">
        <f t="shared" si="359"/>
        <v>1183</v>
      </c>
      <c r="AF442" s="305">
        <f t="shared" si="360"/>
        <v>98.583333333333329</v>
      </c>
      <c r="AG442" s="374"/>
      <c r="AH442" s="303">
        <v>35</v>
      </c>
      <c r="AI442" s="304">
        <v>21</v>
      </c>
      <c r="AJ442" s="304">
        <v>28</v>
      </c>
      <c r="AK442" s="304">
        <v>28</v>
      </c>
      <c r="AL442" s="304">
        <v>28</v>
      </c>
      <c r="AM442" s="304">
        <v>29</v>
      </c>
      <c r="AN442" s="304">
        <v>35</v>
      </c>
      <c r="AO442" s="304">
        <v>21</v>
      </c>
      <c r="AP442" s="304">
        <v>35</v>
      </c>
      <c r="AQ442" s="304">
        <v>14</v>
      </c>
      <c r="AR442" s="304">
        <v>14</v>
      </c>
      <c r="AS442" s="304">
        <v>14</v>
      </c>
      <c r="AT442" s="304">
        <f t="shared" si="361"/>
        <v>302</v>
      </c>
      <c r="AU442" s="305">
        <f t="shared" si="381"/>
        <v>25.166666666666668</v>
      </c>
      <c r="AV442" s="374"/>
      <c r="AW442" s="2022"/>
      <c r="AX442" s="304"/>
      <c r="AY442" s="304"/>
      <c r="AZ442" s="304"/>
      <c r="BA442" s="304"/>
      <c r="BB442" s="304"/>
      <c r="BC442" s="304"/>
      <c r="BD442" s="304"/>
      <c r="BE442" s="304"/>
      <c r="BF442" s="304"/>
      <c r="BG442" s="304"/>
      <c r="BH442" s="304"/>
      <c r="BI442" s="304">
        <f t="shared" si="362"/>
        <v>0</v>
      </c>
      <c r="BJ442" s="305">
        <f t="shared" si="356"/>
        <v>0</v>
      </c>
      <c r="BM442" s="1432"/>
      <c r="BN442" s="321"/>
      <c r="BO442" s="317"/>
      <c r="BP442" s="321"/>
      <c r="BR442" s="8"/>
    </row>
    <row r="443" spans="1:70" ht="17.399999999999999" hidden="1" customHeight="1" x14ac:dyDescent="0.55000000000000004">
      <c r="A443" s="7222"/>
      <c r="B443" s="7208"/>
      <c r="C443" s="203" t="s">
        <v>230</v>
      </c>
      <c r="D443" s="303"/>
      <c r="E443" s="304"/>
      <c r="F443" s="304"/>
      <c r="G443" s="304"/>
      <c r="H443" s="304"/>
      <c r="I443" s="304"/>
      <c r="J443" s="304"/>
      <c r="K443" s="304"/>
      <c r="L443" s="304"/>
      <c r="M443" s="304"/>
      <c r="N443" s="304"/>
      <c r="O443" s="304"/>
      <c r="P443" s="304">
        <f t="shared" si="357"/>
        <v>0</v>
      </c>
      <c r="Q443" s="305">
        <f t="shared" si="358"/>
        <v>0</v>
      </c>
      <c r="S443" s="303">
        <v>90</v>
      </c>
      <c r="T443" s="304">
        <v>101</v>
      </c>
      <c r="U443" s="304">
        <v>102</v>
      </c>
      <c r="V443" s="304">
        <v>98</v>
      </c>
      <c r="W443" s="304">
        <v>109</v>
      </c>
      <c r="X443" s="304">
        <v>109</v>
      </c>
      <c r="Y443" s="304">
        <v>102</v>
      </c>
      <c r="Z443" s="304">
        <v>140</v>
      </c>
      <c r="AA443" s="304">
        <v>110</v>
      </c>
      <c r="AB443" s="304">
        <v>143</v>
      </c>
      <c r="AC443" s="304">
        <v>122</v>
      </c>
      <c r="AD443" s="304">
        <v>114</v>
      </c>
      <c r="AE443" s="304">
        <f t="shared" si="359"/>
        <v>1340</v>
      </c>
      <c r="AF443" s="305">
        <f t="shared" si="360"/>
        <v>111.66666666666667</v>
      </c>
      <c r="AG443" s="374"/>
      <c r="AH443" s="303">
        <v>40</v>
      </c>
      <c r="AI443" s="304">
        <v>23</v>
      </c>
      <c r="AJ443" s="304">
        <v>30</v>
      </c>
      <c r="AK443" s="304">
        <v>32</v>
      </c>
      <c r="AL443" s="304">
        <v>32</v>
      </c>
      <c r="AM443" s="304">
        <v>32</v>
      </c>
      <c r="AN443" s="304">
        <v>40</v>
      </c>
      <c r="AO443" s="304">
        <v>24</v>
      </c>
      <c r="AP443" s="304">
        <v>40</v>
      </c>
      <c r="AQ443" s="304">
        <v>16</v>
      </c>
      <c r="AR443" s="304">
        <v>16</v>
      </c>
      <c r="AS443" s="304">
        <v>16</v>
      </c>
      <c r="AT443" s="304">
        <f t="shared" si="361"/>
        <v>341</v>
      </c>
      <c r="AU443" s="305">
        <f t="shared" si="381"/>
        <v>28.416666666666668</v>
      </c>
      <c r="AV443" s="374"/>
      <c r="AW443" s="2022"/>
      <c r="AX443" s="304"/>
      <c r="AY443" s="304"/>
      <c r="AZ443" s="304"/>
      <c r="BA443" s="304"/>
      <c r="BB443" s="304"/>
      <c r="BC443" s="304"/>
      <c r="BD443" s="304"/>
      <c r="BE443" s="304"/>
      <c r="BF443" s="304"/>
      <c r="BG443" s="304"/>
      <c r="BH443" s="304"/>
      <c r="BI443" s="304">
        <f t="shared" si="362"/>
        <v>0</v>
      </c>
      <c r="BJ443" s="305">
        <f t="shared" si="356"/>
        <v>0</v>
      </c>
      <c r="BM443" s="1432"/>
      <c r="BN443" s="321"/>
      <c r="BO443" s="317"/>
      <c r="BP443" s="321"/>
      <c r="BR443" s="8"/>
    </row>
    <row r="444" spans="1:70" ht="17.399999999999999" hidden="1" customHeight="1" x14ac:dyDescent="0.55000000000000004">
      <c r="A444" s="7222"/>
      <c r="B444" s="7208"/>
      <c r="C444" s="202" t="s">
        <v>231</v>
      </c>
      <c r="D444" s="300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>
        <f t="shared" si="357"/>
        <v>0</v>
      </c>
      <c r="Q444" s="302">
        <f t="shared" si="358"/>
        <v>0</v>
      </c>
      <c r="S444" s="300">
        <v>173</v>
      </c>
      <c r="T444" s="301">
        <v>193</v>
      </c>
      <c r="U444" s="301">
        <v>196</v>
      </c>
      <c r="V444" s="301">
        <v>187</v>
      </c>
      <c r="W444" s="301">
        <v>208</v>
      </c>
      <c r="X444" s="301">
        <v>209</v>
      </c>
      <c r="Y444" s="301">
        <v>196</v>
      </c>
      <c r="Z444" s="301">
        <v>270</v>
      </c>
      <c r="AA444" s="301">
        <v>210</v>
      </c>
      <c r="AB444" s="301">
        <v>268</v>
      </c>
      <c r="AC444" s="301">
        <v>227</v>
      </c>
      <c r="AD444" s="301">
        <v>239</v>
      </c>
      <c r="AE444" s="301">
        <f t="shared" si="359"/>
        <v>2576</v>
      </c>
      <c r="AF444" s="302">
        <f t="shared" si="360"/>
        <v>214.66666666666666</v>
      </c>
      <c r="AG444" s="374"/>
      <c r="AH444" s="300">
        <v>58</v>
      </c>
      <c r="AI444" s="301">
        <v>30</v>
      </c>
      <c r="AJ444" s="301">
        <v>40</v>
      </c>
      <c r="AK444" s="301">
        <v>43</v>
      </c>
      <c r="AL444" s="301">
        <v>41</v>
      </c>
      <c r="AM444" s="301">
        <v>41</v>
      </c>
      <c r="AN444" s="301">
        <v>53</v>
      </c>
      <c r="AO444" s="301">
        <v>29</v>
      </c>
      <c r="AP444" s="301">
        <v>53</v>
      </c>
      <c r="AQ444" s="301">
        <v>18</v>
      </c>
      <c r="AR444" s="301">
        <v>22</v>
      </c>
      <c r="AS444" s="301">
        <v>18</v>
      </c>
      <c r="AT444" s="301">
        <f t="shared" si="361"/>
        <v>446</v>
      </c>
      <c r="AU444" s="302">
        <f t="shared" si="381"/>
        <v>37.166666666666664</v>
      </c>
      <c r="AV444" s="374"/>
      <c r="AW444" s="2021"/>
      <c r="AX444" s="301"/>
      <c r="AY444" s="301"/>
      <c r="AZ444" s="301"/>
      <c r="BA444" s="301"/>
      <c r="BB444" s="301"/>
      <c r="BC444" s="301"/>
      <c r="BD444" s="301"/>
      <c r="BE444" s="301"/>
      <c r="BF444" s="301"/>
      <c r="BG444" s="301"/>
      <c r="BH444" s="301"/>
      <c r="BI444" s="301">
        <f t="shared" si="362"/>
        <v>0</v>
      </c>
      <c r="BJ444" s="302">
        <f t="shared" si="356"/>
        <v>0</v>
      </c>
      <c r="BM444" s="1432"/>
      <c r="BN444" s="321"/>
      <c r="BO444" s="317"/>
      <c r="BP444" s="321"/>
      <c r="BR444" s="8"/>
    </row>
    <row r="445" spans="1:70" ht="17.399999999999999" hidden="1" customHeight="1" x14ac:dyDescent="0.55000000000000004">
      <c r="A445" s="7222"/>
      <c r="B445" s="7208"/>
      <c r="C445" s="202" t="s">
        <v>232</v>
      </c>
      <c r="D445" s="300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>
        <f t="shared" si="357"/>
        <v>0</v>
      </c>
      <c r="Q445" s="302">
        <f t="shared" si="358"/>
        <v>0</v>
      </c>
      <c r="S445" s="300">
        <v>85</v>
      </c>
      <c r="T445" s="301">
        <v>96</v>
      </c>
      <c r="U445" s="301">
        <v>96</v>
      </c>
      <c r="V445" s="301">
        <v>93</v>
      </c>
      <c r="W445" s="301">
        <v>102</v>
      </c>
      <c r="X445" s="301">
        <v>102</v>
      </c>
      <c r="Y445" s="301">
        <v>96</v>
      </c>
      <c r="Z445" s="301">
        <v>133</v>
      </c>
      <c r="AA445" s="301">
        <v>104</v>
      </c>
      <c r="AB445" s="301">
        <v>142</v>
      </c>
      <c r="AC445" s="301">
        <v>121</v>
      </c>
      <c r="AD445" s="301">
        <v>88</v>
      </c>
      <c r="AE445" s="301">
        <f t="shared" si="359"/>
        <v>1258</v>
      </c>
      <c r="AF445" s="302">
        <f t="shared" si="360"/>
        <v>104.83333333333333</v>
      </c>
      <c r="AG445" s="374"/>
      <c r="AH445" s="300">
        <v>45</v>
      </c>
      <c r="AI445" s="301">
        <v>28</v>
      </c>
      <c r="AJ445" s="301">
        <v>37</v>
      </c>
      <c r="AK445" s="301">
        <v>34</v>
      </c>
      <c r="AL445" s="301">
        <v>36</v>
      </c>
      <c r="AM445" s="301">
        <v>37</v>
      </c>
      <c r="AN445" s="301">
        <v>43</v>
      </c>
      <c r="AO445" s="301">
        <v>28</v>
      </c>
      <c r="AP445" s="301">
        <v>43</v>
      </c>
      <c r="AQ445" s="301">
        <v>21</v>
      </c>
      <c r="AR445" s="301">
        <v>17</v>
      </c>
      <c r="AS445" s="301">
        <v>21</v>
      </c>
      <c r="AT445" s="301">
        <f t="shared" si="361"/>
        <v>390</v>
      </c>
      <c r="AU445" s="302">
        <f t="shared" si="381"/>
        <v>32.5</v>
      </c>
      <c r="AV445" s="374"/>
      <c r="AW445" s="2021"/>
      <c r="AX445" s="301"/>
      <c r="AY445" s="301"/>
      <c r="AZ445" s="301"/>
      <c r="BA445" s="301"/>
      <c r="BB445" s="301"/>
      <c r="BC445" s="301"/>
      <c r="BD445" s="301"/>
      <c r="BE445" s="301"/>
      <c r="BF445" s="301"/>
      <c r="BG445" s="301"/>
      <c r="BH445" s="301"/>
      <c r="BI445" s="301">
        <f t="shared" si="362"/>
        <v>0</v>
      </c>
      <c r="BJ445" s="302">
        <f t="shared" si="356"/>
        <v>0</v>
      </c>
      <c r="BM445" s="1432"/>
      <c r="BN445" s="321"/>
      <c r="BO445" s="317"/>
      <c r="BP445" s="321"/>
      <c r="BR445" s="8"/>
    </row>
    <row r="446" spans="1:70" ht="17.399999999999999" hidden="1" customHeight="1" x14ac:dyDescent="0.55000000000000004">
      <c r="A446" s="7222"/>
      <c r="B446" s="7208"/>
      <c r="C446" s="203" t="s">
        <v>233</v>
      </c>
      <c r="D446" s="303"/>
      <c r="E446" s="304"/>
      <c r="F446" s="304"/>
      <c r="G446" s="304"/>
      <c r="H446" s="304"/>
      <c r="I446" s="304"/>
      <c r="J446" s="304"/>
      <c r="K446" s="304"/>
      <c r="L446" s="304"/>
      <c r="M446" s="304"/>
      <c r="N446" s="304"/>
      <c r="O446" s="304"/>
      <c r="P446" s="304">
        <f t="shared" si="357"/>
        <v>0</v>
      </c>
      <c r="Q446" s="305">
        <f t="shared" si="358"/>
        <v>0</v>
      </c>
      <c r="S446" s="303">
        <v>195</v>
      </c>
      <c r="T446" s="304">
        <v>218</v>
      </c>
      <c r="U446" s="304">
        <v>220</v>
      </c>
      <c r="V446" s="304">
        <v>212</v>
      </c>
      <c r="W446" s="304">
        <v>234</v>
      </c>
      <c r="X446" s="304">
        <v>235</v>
      </c>
      <c r="Y446" s="304">
        <v>220</v>
      </c>
      <c r="Z446" s="304">
        <v>304</v>
      </c>
      <c r="AA446" s="304">
        <v>237</v>
      </c>
      <c r="AB446" s="304">
        <v>310</v>
      </c>
      <c r="AC446" s="304">
        <v>263</v>
      </c>
      <c r="AD446" s="304">
        <v>248</v>
      </c>
      <c r="AE446" s="304">
        <f t="shared" si="359"/>
        <v>2896</v>
      </c>
      <c r="AF446" s="305">
        <f t="shared" si="360"/>
        <v>241.33333333333334</v>
      </c>
      <c r="AG446" s="374"/>
      <c r="AH446" s="303">
        <v>68</v>
      </c>
      <c r="AI446" s="304">
        <v>44</v>
      </c>
      <c r="AJ446" s="304">
        <v>59</v>
      </c>
      <c r="AK446" s="304">
        <v>58</v>
      </c>
      <c r="AL446" s="304">
        <v>58</v>
      </c>
      <c r="AM446" s="304">
        <v>54</v>
      </c>
      <c r="AN446" s="304">
        <v>74</v>
      </c>
      <c r="AO446" s="304">
        <v>47</v>
      </c>
      <c r="AP446" s="304">
        <v>74</v>
      </c>
      <c r="AQ446" s="304">
        <v>32</v>
      </c>
      <c r="AR446" s="304">
        <v>28</v>
      </c>
      <c r="AS446" s="304">
        <v>32</v>
      </c>
      <c r="AT446" s="304">
        <f t="shared" si="361"/>
        <v>628</v>
      </c>
      <c r="AU446" s="305">
        <f t="shared" si="381"/>
        <v>52.333333333333336</v>
      </c>
      <c r="AV446" s="374"/>
      <c r="AW446" s="2022"/>
      <c r="AX446" s="304"/>
      <c r="AY446" s="304"/>
      <c r="AZ446" s="304"/>
      <c r="BA446" s="304"/>
      <c r="BB446" s="304"/>
      <c r="BC446" s="304"/>
      <c r="BD446" s="304"/>
      <c r="BE446" s="304"/>
      <c r="BF446" s="304"/>
      <c r="BG446" s="304"/>
      <c r="BH446" s="304"/>
      <c r="BI446" s="304">
        <f t="shared" si="362"/>
        <v>0</v>
      </c>
      <c r="BJ446" s="305">
        <f t="shared" si="356"/>
        <v>0</v>
      </c>
      <c r="BM446" s="1432"/>
      <c r="BN446" s="321"/>
      <c r="BO446" s="317"/>
      <c r="BP446" s="321"/>
      <c r="BR446" s="8"/>
    </row>
    <row r="447" spans="1:70" ht="17.399999999999999" hidden="1" customHeight="1" x14ac:dyDescent="0.55000000000000004">
      <c r="A447" s="7222"/>
      <c r="B447" s="7208"/>
      <c r="C447" s="203" t="s">
        <v>234</v>
      </c>
      <c r="D447" s="303"/>
      <c r="E447" s="304"/>
      <c r="F447" s="304"/>
      <c r="G447" s="304"/>
      <c r="H447" s="304"/>
      <c r="I447" s="304"/>
      <c r="J447" s="304"/>
      <c r="K447" s="304"/>
      <c r="L447" s="304"/>
      <c r="M447" s="304"/>
      <c r="N447" s="304"/>
      <c r="O447" s="304"/>
      <c r="P447" s="304">
        <f t="shared" si="357"/>
        <v>0</v>
      </c>
      <c r="Q447" s="305">
        <f t="shared" si="358"/>
        <v>0</v>
      </c>
      <c r="S447" s="303">
        <v>159</v>
      </c>
      <c r="T447" s="304">
        <v>178</v>
      </c>
      <c r="U447" s="304">
        <v>180</v>
      </c>
      <c r="V447" s="304">
        <v>173</v>
      </c>
      <c r="W447" s="304">
        <v>192</v>
      </c>
      <c r="X447" s="304">
        <v>192</v>
      </c>
      <c r="Y447" s="304">
        <v>180</v>
      </c>
      <c r="Z447" s="304">
        <v>249</v>
      </c>
      <c r="AA447" s="304">
        <v>194</v>
      </c>
      <c r="AB447" s="304">
        <v>253</v>
      </c>
      <c r="AC447" s="304">
        <v>215</v>
      </c>
      <c r="AD447" s="304">
        <v>213</v>
      </c>
      <c r="AE447" s="304">
        <f t="shared" si="359"/>
        <v>2378</v>
      </c>
      <c r="AF447" s="305">
        <f t="shared" si="360"/>
        <v>198.16666666666666</v>
      </c>
      <c r="AG447" s="374"/>
      <c r="AH447" s="303">
        <v>76</v>
      </c>
      <c r="AI447" s="304">
        <v>38</v>
      </c>
      <c r="AJ447" s="304">
        <v>51</v>
      </c>
      <c r="AK447" s="304">
        <v>50</v>
      </c>
      <c r="AL447" s="304">
        <v>50</v>
      </c>
      <c r="AM447" s="304">
        <v>50</v>
      </c>
      <c r="AN447" s="304">
        <v>62</v>
      </c>
      <c r="AO447" s="304">
        <v>34</v>
      </c>
      <c r="AP447" s="304">
        <v>62</v>
      </c>
      <c r="AQ447" s="304">
        <v>21</v>
      </c>
      <c r="AR447" s="304">
        <v>25</v>
      </c>
      <c r="AS447" s="304">
        <v>21</v>
      </c>
      <c r="AT447" s="304">
        <f t="shared" si="361"/>
        <v>540</v>
      </c>
      <c r="AU447" s="305">
        <f t="shared" si="381"/>
        <v>45</v>
      </c>
      <c r="AV447" s="374"/>
      <c r="AW447" s="2022"/>
      <c r="AX447" s="304"/>
      <c r="AY447" s="304"/>
      <c r="AZ447" s="304"/>
      <c r="BA447" s="304"/>
      <c r="BB447" s="304"/>
      <c r="BC447" s="304"/>
      <c r="BD447" s="304"/>
      <c r="BE447" s="304"/>
      <c r="BF447" s="304"/>
      <c r="BG447" s="304"/>
      <c r="BH447" s="304"/>
      <c r="BI447" s="304">
        <f t="shared" si="362"/>
        <v>0</v>
      </c>
      <c r="BJ447" s="305">
        <f t="shared" si="356"/>
        <v>0</v>
      </c>
      <c r="BM447" s="1432"/>
      <c r="BN447" s="321"/>
      <c r="BO447" s="317"/>
      <c r="BP447" s="321"/>
      <c r="BR447" s="8"/>
    </row>
    <row r="448" spans="1:70" ht="17.399999999999999" hidden="1" customHeight="1" x14ac:dyDescent="0.55000000000000004">
      <c r="A448" s="7222"/>
      <c r="B448" s="7208"/>
      <c r="C448" s="202" t="s">
        <v>235</v>
      </c>
      <c r="D448" s="300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>
        <f t="shared" si="357"/>
        <v>0</v>
      </c>
      <c r="Q448" s="302">
        <f t="shared" si="358"/>
        <v>0</v>
      </c>
      <c r="S448" s="300">
        <v>118</v>
      </c>
      <c r="T448" s="301">
        <v>131</v>
      </c>
      <c r="U448" s="301">
        <v>133</v>
      </c>
      <c r="V448" s="301">
        <v>128</v>
      </c>
      <c r="W448" s="301">
        <v>136</v>
      </c>
      <c r="X448" s="301">
        <v>142</v>
      </c>
      <c r="Y448" s="301">
        <v>133</v>
      </c>
      <c r="Z448" s="301">
        <v>183</v>
      </c>
      <c r="AA448" s="301">
        <v>143</v>
      </c>
      <c r="AB448" s="301">
        <v>187</v>
      </c>
      <c r="AC448" s="301">
        <v>158</v>
      </c>
      <c r="AD448" s="301">
        <v>151</v>
      </c>
      <c r="AE448" s="301">
        <f t="shared" si="359"/>
        <v>1743</v>
      </c>
      <c r="AF448" s="302">
        <f t="shared" si="360"/>
        <v>145.25</v>
      </c>
      <c r="AG448" s="374"/>
      <c r="AH448" s="300">
        <v>50</v>
      </c>
      <c r="AI448" s="301">
        <v>31</v>
      </c>
      <c r="AJ448" s="301">
        <v>42</v>
      </c>
      <c r="AK448" s="301">
        <v>42</v>
      </c>
      <c r="AL448" s="301">
        <v>42</v>
      </c>
      <c r="AM448" s="301">
        <v>43</v>
      </c>
      <c r="AN448" s="301">
        <v>52</v>
      </c>
      <c r="AO448" s="301">
        <v>31</v>
      </c>
      <c r="AP448" s="301">
        <v>52</v>
      </c>
      <c r="AQ448" s="301">
        <v>21</v>
      </c>
      <c r="AR448" s="301">
        <v>21</v>
      </c>
      <c r="AS448" s="301">
        <v>21</v>
      </c>
      <c r="AT448" s="301">
        <f t="shared" si="361"/>
        <v>448</v>
      </c>
      <c r="AU448" s="302">
        <f t="shared" si="381"/>
        <v>37.333333333333336</v>
      </c>
      <c r="AV448" s="374"/>
      <c r="AW448" s="2021"/>
      <c r="AX448" s="301"/>
      <c r="AY448" s="301"/>
      <c r="AZ448" s="301"/>
      <c r="BA448" s="301"/>
      <c r="BB448" s="301"/>
      <c r="BC448" s="301"/>
      <c r="BD448" s="301"/>
      <c r="BE448" s="301"/>
      <c r="BF448" s="301"/>
      <c r="BG448" s="301"/>
      <c r="BH448" s="301"/>
      <c r="BI448" s="301">
        <f t="shared" si="362"/>
        <v>0</v>
      </c>
      <c r="BJ448" s="302">
        <f t="shared" si="356"/>
        <v>0</v>
      </c>
      <c r="BM448" s="1432"/>
      <c r="BN448" s="321"/>
      <c r="BO448" s="317"/>
      <c r="BP448" s="321"/>
      <c r="BR448" s="8"/>
    </row>
    <row r="449" spans="1:71" ht="18" hidden="1" customHeight="1" thickBot="1" x14ac:dyDescent="0.6">
      <c r="A449" s="7222"/>
      <c r="B449" s="7209"/>
      <c r="C449" s="204" t="s">
        <v>236</v>
      </c>
      <c r="D449" s="306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>
        <f t="shared" si="357"/>
        <v>0</v>
      </c>
      <c r="Q449" s="308">
        <f t="shared" si="358"/>
        <v>0</v>
      </c>
      <c r="S449" s="306">
        <v>116</v>
      </c>
      <c r="T449" s="307">
        <v>130</v>
      </c>
      <c r="U449" s="307">
        <v>132</v>
      </c>
      <c r="V449" s="307">
        <v>126</v>
      </c>
      <c r="W449" s="307">
        <v>131</v>
      </c>
      <c r="X449" s="307">
        <v>140</v>
      </c>
      <c r="Y449" s="307">
        <v>131</v>
      </c>
      <c r="Z449" s="307">
        <v>182</v>
      </c>
      <c r="AA449" s="307">
        <v>142</v>
      </c>
      <c r="AB449" s="307">
        <v>185</v>
      </c>
      <c r="AC449" s="307">
        <v>157</v>
      </c>
      <c r="AD449" s="307">
        <v>156</v>
      </c>
      <c r="AE449" s="307">
        <f t="shared" si="359"/>
        <v>1728</v>
      </c>
      <c r="AF449" s="308">
        <f t="shared" si="360"/>
        <v>144</v>
      </c>
      <c r="AG449" s="374"/>
      <c r="AH449" s="306">
        <v>54</v>
      </c>
      <c r="AI449" s="307">
        <v>36</v>
      </c>
      <c r="AJ449" s="307">
        <v>48</v>
      </c>
      <c r="AK449" s="307">
        <v>47</v>
      </c>
      <c r="AL449" s="307">
        <v>47</v>
      </c>
      <c r="AM449" s="307">
        <v>47</v>
      </c>
      <c r="AN449" s="307">
        <v>59</v>
      </c>
      <c r="AO449" s="307">
        <v>36</v>
      </c>
      <c r="AP449" s="307">
        <v>59</v>
      </c>
      <c r="AQ449" s="307">
        <v>24</v>
      </c>
      <c r="AR449" s="307">
        <v>24</v>
      </c>
      <c r="AS449" s="307">
        <v>24</v>
      </c>
      <c r="AT449" s="307">
        <f t="shared" si="361"/>
        <v>505</v>
      </c>
      <c r="AU449" s="308">
        <f t="shared" si="381"/>
        <v>42.083333333333336</v>
      </c>
      <c r="AV449" s="374"/>
      <c r="AW449" s="2023"/>
      <c r="AX449" s="307"/>
      <c r="AY449" s="307"/>
      <c r="AZ449" s="307"/>
      <c r="BA449" s="307"/>
      <c r="BB449" s="307"/>
      <c r="BC449" s="307"/>
      <c r="BD449" s="307"/>
      <c r="BE449" s="307"/>
      <c r="BF449" s="307"/>
      <c r="BG449" s="307"/>
      <c r="BH449" s="307"/>
      <c r="BI449" s="307">
        <f t="shared" si="362"/>
        <v>0</v>
      </c>
      <c r="BJ449" s="308">
        <f t="shared" si="356"/>
        <v>0</v>
      </c>
      <c r="BM449" s="1432"/>
      <c r="BN449" s="321"/>
      <c r="BO449" s="317"/>
      <c r="BP449" s="321"/>
      <c r="BR449" s="8"/>
    </row>
    <row r="450" spans="1:71" hidden="1" x14ac:dyDescent="0.55000000000000004">
      <c r="A450" s="7222"/>
      <c r="B450" s="7213" t="s">
        <v>432</v>
      </c>
      <c r="C450" s="199" t="s">
        <v>419</v>
      </c>
      <c r="D450" s="291">
        <f>D455+D456</f>
        <v>0</v>
      </c>
      <c r="E450" s="292">
        <f t="shared" ref="E450:O450" si="392">E455+E456</f>
        <v>0</v>
      </c>
      <c r="F450" s="292">
        <f t="shared" si="392"/>
        <v>0</v>
      </c>
      <c r="G450" s="292">
        <f t="shared" si="392"/>
        <v>0</v>
      </c>
      <c r="H450" s="292">
        <f t="shared" si="392"/>
        <v>0</v>
      </c>
      <c r="I450" s="292">
        <f t="shared" si="392"/>
        <v>0</v>
      </c>
      <c r="J450" s="292">
        <f t="shared" si="392"/>
        <v>0</v>
      </c>
      <c r="K450" s="292">
        <f t="shared" si="392"/>
        <v>0</v>
      </c>
      <c r="L450" s="292">
        <f t="shared" si="392"/>
        <v>0</v>
      </c>
      <c r="M450" s="292">
        <f t="shared" si="392"/>
        <v>0</v>
      </c>
      <c r="N450" s="292">
        <f t="shared" si="392"/>
        <v>0</v>
      </c>
      <c r="O450" s="292">
        <f t="shared" si="392"/>
        <v>0</v>
      </c>
      <c r="P450" s="292">
        <f t="shared" si="357"/>
        <v>0</v>
      </c>
      <c r="Q450" s="293">
        <f t="shared" si="358"/>
        <v>0</v>
      </c>
      <c r="S450" s="291">
        <f>S455+S456</f>
        <v>5140</v>
      </c>
      <c r="T450" s="292">
        <f t="shared" ref="T450:AD450" si="393">T455+T456</f>
        <v>5552</v>
      </c>
      <c r="U450" s="292">
        <f t="shared" si="393"/>
        <v>5198</v>
      </c>
      <c r="V450" s="292">
        <f t="shared" si="393"/>
        <v>4903</v>
      </c>
      <c r="W450" s="292">
        <f t="shared" si="393"/>
        <v>5317</v>
      </c>
      <c r="X450" s="292">
        <f t="shared" si="393"/>
        <v>5140</v>
      </c>
      <c r="Y450" s="292">
        <f t="shared" si="393"/>
        <v>4135</v>
      </c>
      <c r="Z450" s="292">
        <f t="shared" si="393"/>
        <v>5671</v>
      </c>
      <c r="AA450" s="292">
        <f t="shared" si="393"/>
        <v>4253</v>
      </c>
      <c r="AB450" s="292">
        <f t="shared" si="393"/>
        <v>5671</v>
      </c>
      <c r="AC450" s="292">
        <f t="shared" si="393"/>
        <v>4194</v>
      </c>
      <c r="AD450" s="292">
        <f t="shared" si="393"/>
        <v>3899</v>
      </c>
      <c r="AE450" s="292">
        <f t="shared" si="359"/>
        <v>59073</v>
      </c>
      <c r="AF450" s="293">
        <f t="shared" si="360"/>
        <v>4922.75</v>
      </c>
      <c r="AG450" s="374"/>
      <c r="AH450" s="291">
        <v>5006</v>
      </c>
      <c r="AI450" s="292">
        <v>3311</v>
      </c>
      <c r="AJ450" s="292">
        <v>3668</v>
      </c>
      <c r="AK450" s="292">
        <v>3866</v>
      </c>
      <c r="AL450" s="292">
        <v>3965</v>
      </c>
      <c r="AM450" s="292">
        <v>3965</v>
      </c>
      <c r="AN450" s="292">
        <v>5056</v>
      </c>
      <c r="AO450" s="292">
        <v>3965</v>
      </c>
      <c r="AP450" s="292">
        <v>4361</v>
      </c>
      <c r="AQ450" s="292">
        <v>3965</v>
      </c>
      <c r="AR450" s="292">
        <v>3965</v>
      </c>
      <c r="AS450" s="292">
        <v>3965</v>
      </c>
      <c r="AT450" s="292">
        <f t="shared" si="361"/>
        <v>49058</v>
      </c>
      <c r="AU450" s="293">
        <f t="shared" si="381"/>
        <v>4088.1666666666665</v>
      </c>
      <c r="AV450" s="374"/>
      <c r="AW450" s="2015"/>
      <c r="AX450" s="292"/>
      <c r="AY450" s="292"/>
      <c r="AZ450" s="292"/>
      <c r="BA450" s="292"/>
      <c r="BB450" s="292"/>
      <c r="BC450" s="292"/>
      <c r="BD450" s="292"/>
      <c r="BE450" s="292"/>
      <c r="BF450" s="292"/>
      <c r="BG450" s="292"/>
      <c r="BH450" s="292"/>
      <c r="BI450" s="292">
        <f t="shared" si="362"/>
        <v>0</v>
      </c>
      <c r="BJ450" s="293">
        <f t="shared" si="356"/>
        <v>0</v>
      </c>
      <c r="BM450" s="1432"/>
      <c r="BN450" s="321"/>
      <c r="BO450" s="317"/>
      <c r="BP450" s="321"/>
      <c r="BR450" s="8"/>
    </row>
    <row r="451" spans="1:71" hidden="1" x14ac:dyDescent="0.55000000000000004">
      <c r="A451" s="7222"/>
      <c r="B451" s="7214"/>
      <c r="C451" s="200" t="s">
        <v>420</v>
      </c>
      <c r="D451" s="294">
        <f>D457</f>
        <v>0</v>
      </c>
      <c r="E451" s="295">
        <f t="shared" ref="E451:O451" si="394">E457</f>
        <v>0</v>
      </c>
      <c r="F451" s="295">
        <f t="shared" si="394"/>
        <v>0</v>
      </c>
      <c r="G451" s="295">
        <f t="shared" si="394"/>
        <v>0</v>
      </c>
      <c r="H451" s="295">
        <f t="shared" si="394"/>
        <v>0</v>
      </c>
      <c r="I451" s="295">
        <f t="shared" si="394"/>
        <v>0</v>
      </c>
      <c r="J451" s="295">
        <f t="shared" si="394"/>
        <v>0</v>
      </c>
      <c r="K451" s="295">
        <f t="shared" si="394"/>
        <v>0</v>
      </c>
      <c r="L451" s="295">
        <f t="shared" si="394"/>
        <v>0</v>
      </c>
      <c r="M451" s="295">
        <f t="shared" si="394"/>
        <v>0</v>
      </c>
      <c r="N451" s="295">
        <f t="shared" si="394"/>
        <v>0</v>
      </c>
      <c r="O451" s="295">
        <f t="shared" si="394"/>
        <v>0</v>
      </c>
      <c r="P451" s="295">
        <f t="shared" si="357"/>
        <v>0</v>
      </c>
      <c r="Q451" s="296">
        <f t="shared" si="358"/>
        <v>0</v>
      </c>
      <c r="S451" s="294">
        <f>S457</f>
        <v>3712</v>
      </c>
      <c r="T451" s="295">
        <f t="shared" ref="T451:AD451" si="395">T457</f>
        <v>4011</v>
      </c>
      <c r="U451" s="295">
        <f t="shared" si="395"/>
        <v>3755</v>
      </c>
      <c r="V451" s="295">
        <f t="shared" si="395"/>
        <v>3542</v>
      </c>
      <c r="W451" s="295">
        <f t="shared" si="395"/>
        <v>3840</v>
      </c>
      <c r="X451" s="295">
        <f t="shared" si="395"/>
        <v>3712</v>
      </c>
      <c r="Y451" s="295">
        <f t="shared" si="395"/>
        <v>2987</v>
      </c>
      <c r="Z451" s="295">
        <f t="shared" si="395"/>
        <v>4096</v>
      </c>
      <c r="AA451" s="295">
        <f t="shared" si="395"/>
        <v>3072</v>
      </c>
      <c r="AB451" s="295">
        <f t="shared" si="395"/>
        <v>4096</v>
      </c>
      <c r="AC451" s="295">
        <f t="shared" si="395"/>
        <v>3030</v>
      </c>
      <c r="AD451" s="295">
        <f t="shared" si="395"/>
        <v>2816</v>
      </c>
      <c r="AE451" s="295">
        <f t="shared" si="359"/>
        <v>42669</v>
      </c>
      <c r="AF451" s="296">
        <f t="shared" si="360"/>
        <v>3555.75</v>
      </c>
      <c r="AG451" s="374"/>
      <c r="AH451" s="294">
        <v>3444</v>
      </c>
      <c r="AI451" s="295">
        <v>2278</v>
      </c>
      <c r="AJ451" s="295">
        <v>2523</v>
      </c>
      <c r="AK451" s="295">
        <v>2660</v>
      </c>
      <c r="AL451" s="295">
        <v>2728</v>
      </c>
      <c r="AM451" s="295">
        <v>2728</v>
      </c>
      <c r="AN451" s="295">
        <v>3478</v>
      </c>
      <c r="AO451" s="295">
        <v>2728</v>
      </c>
      <c r="AP451" s="295">
        <v>3001</v>
      </c>
      <c r="AQ451" s="295">
        <v>2728</v>
      </c>
      <c r="AR451" s="295">
        <v>2728</v>
      </c>
      <c r="AS451" s="295">
        <v>2728</v>
      </c>
      <c r="AT451" s="295">
        <f t="shared" si="361"/>
        <v>33752</v>
      </c>
      <c r="AU451" s="296">
        <f t="shared" si="381"/>
        <v>2812.6666666666665</v>
      </c>
      <c r="AV451" s="374"/>
      <c r="AW451" s="2016"/>
      <c r="AX451" s="295"/>
      <c r="AY451" s="295"/>
      <c r="AZ451" s="295"/>
      <c r="BA451" s="295"/>
      <c r="BB451" s="295"/>
      <c r="BC451" s="295"/>
      <c r="BD451" s="295"/>
      <c r="BE451" s="295"/>
      <c r="BF451" s="295"/>
      <c r="BG451" s="295"/>
      <c r="BH451" s="295"/>
      <c r="BI451" s="295">
        <f t="shared" si="362"/>
        <v>0</v>
      </c>
      <c r="BJ451" s="296">
        <f t="shared" si="356"/>
        <v>0</v>
      </c>
      <c r="BM451" s="1432"/>
      <c r="BN451" s="321"/>
      <c r="BO451" s="317"/>
      <c r="BP451" s="321"/>
      <c r="BR451" s="8"/>
    </row>
    <row r="452" spans="1:71" hidden="1" x14ac:dyDescent="0.55000000000000004">
      <c r="A452" s="7222"/>
      <c r="B452" s="7214"/>
      <c r="C452" s="200" t="s">
        <v>421</v>
      </c>
      <c r="D452" s="294">
        <f>D458</f>
        <v>0</v>
      </c>
      <c r="E452" s="295">
        <f t="shared" ref="E452:O452" si="396">E458</f>
        <v>0</v>
      </c>
      <c r="F452" s="295">
        <f t="shared" si="396"/>
        <v>0</v>
      </c>
      <c r="G452" s="295">
        <f t="shared" si="396"/>
        <v>0</v>
      </c>
      <c r="H452" s="295">
        <f t="shared" si="396"/>
        <v>0</v>
      </c>
      <c r="I452" s="295">
        <f t="shared" si="396"/>
        <v>0</v>
      </c>
      <c r="J452" s="295">
        <f t="shared" si="396"/>
        <v>0</v>
      </c>
      <c r="K452" s="295">
        <f t="shared" si="396"/>
        <v>0</v>
      </c>
      <c r="L452" s="295">
        <f t="shared" si="396"/>
        <v>0</v>
      </c>
      <c r="M452" s="295">
        <f t="shared" si="396"/>
        <v>0</v>
      </c>
      <c r="N452" s="295">
        <f t="shared" si="396"/>
        <v>0</v>
      </c>
      <c r="O452" s="295">
        <f t="shared" si="396"/>
        <v>0</v>
      </c>
      <c r="P452" s="295">
        <f t="shared" si="357"/>
        <v>0</v>
      </c>
      <c r="Q452" s="296">
        <f t="shared" si="358"/>
        <v>0</v>
      </c>
      <c r="S452" s="294">
        <f>S458</f>
        <v>3411</v>
      </c>
      <c r="T452" s="295">
        <f t="shared" ref="T452:AD452" si="397">T458</f>
        <v>3686</v>
      </c>
      <c r="U452" s="295">
        <f t="shared" si="397"/>
        <v>3450</v>
      </c>
      <c r="V452" s="295">
        <f t="shared" si="397"/>
        <v>3254</v>
      </c>
      <c r="W452" s="295">
        <f t="shared" si="397"/>
        <v>3529</v>
      </c>
      <c r="X452" s="295">
        <f t="shared" si="397"/>
        <v>3411</v>
      </c>
      <c r="Y452" s="295">
        <f t="shared" si="397"/>
        <v>2745</v>
      </c>
      <c r="Z452" s="295">
        <f t="shared" si="397"/>
        <v>3764</v>
      </c>
      <c r="AA452" s="295">
        <f t="shared" si="397"/>
        <v>2823</v>
      </c>
      <c r="AB452" s="295">
        <f t="shared" si="397"/>
        <v>3764</v>
      </c>
      <c r="AC452" s="295">
        <f t="shared" si="397"/>
        <v>2784</v>
      </c>
      <c r="AD452" s="295">
        <f t="shared" si="397"/>
        <v>2588</v>
      </c>
      <c r="AE452" s="295">
        <f t="shared" si="359"/>
        <v>39209</v>
      </c>
      <c r="AF452" s="296">
        <f t="shared" si="360"/>
        <v>3267.4166666666665</v>
      </c>
      <c r="AG452" s="374"/>
      <c r="AH452" s="294">
        <v>3284</v>
      </c>
      <c r="AI452" s="295">
        <v>2172</v>
      </c>
      <c r="AJ452" s="295">
        <v>2406</v>
      </c>
      <c r="AK452" s="295">
        <v>2536</v>
      </c>
      <c r="AL452" s="295">
        <v>2601</v>
      </c>
      <c r="AM452" s="295">
        <v>2601</v>
      </c>
      <c r="AN452" s="295">
        <v>3317</v>
      </c>
      <c r="AO452" s="295">
        <v>2601</v>
      </c>
      <c r="AP452" s="295">
        <v>2862</v>
      </c>
      <c r="AQ452" s="295">
        <v>2601</v>
      </c>
      <c r="AR452" s="295">
        <v>2601</v>
      </c>
      <c r="AS452" s="295">
        <v>2601</v>
      </c>
      <c r="AT452" s="295">
        <f t="shared" si="361"/>
        <v>32183</v>
      </c>
      <c r="AU452" s="296">
        <f t="shared" si="381"/>
        <v>2681.9166666666665</v>
      </c>
      <c r="AV452" s="374"/>
      <c r="AW452" s="2016"/>
      <c r="AX452" s="295"/>
      <c r="AY452" s="295"/>
      <c r="AZ452" s="295"/>
      <c r="BA452" s="295"/>
      <c r="BB452" s="295"/>
      <c r="BC452" s="295"/>
      <c r="BD452" s="295"/>
      <c r="BE452" s="295"/>
      <c r="BF452" s="295"/>
      <c r="BG452" s="295"/>
      <c r="BH452" s="295"/>
      <c r="BI452" s="295">
        <f t="shared" si="362"/>
        <v>0</v>
      </c>
      <c r="BJ452" s="296">
        <f t="shared" si="356"/>
        <v>0</v>
      </c>
      <c r="BM452" s="1432"/>
      <c r="BN452" s="321"/>
      <c r="BO452" s="317"/>
      <c r="BP452" s="321"/>
      <c r="BR452" s="8"/>
    </row>
    <row r="453" spans="1:71" hidden="1" x14ac:dyDescent="0.55000000000000004">
      <c r="A453" s="7222"/>
      <c r="B453" s="7214"/>
      <c r="C453" s="200" t="s">
        <v>422</v>
      </c>
      <c r="D453" s="294">
        <f>D459+D460</f>
        <v>0</v>
      </c>
      <c r="E453" s="295">
        <f t="shared" ref="E453:O453" si="398">E459+E460</f>
        <v>0</v>
      </c>
      <c r="F453" s="295">
        <f t="shared" si="398"/>
        <v>0</v>
      </c>
      <c r="G453" s="295">
        <f t="shared" si="398"/>
        <v>0</v>
      </c>
      <c r="H453" s="295">
        <f t="shared" si="398"/>
        <v>0</v>
      </c>
      <c r="I453" s="295">
        <f t="shared" si="398"/>
        <v>0</v>
      </c>
      <c r="J453" s="295">
        <f t="shared" si="398"/>
        <v>0</v>
      </c>
      <c r="K453" s="295">
        <f t="shared" si="398"/>
        <v>0</v>
      </c>
      <c r="L453" s="295">
        <f t="shared" si="398"/>
        <v>0</v>
      </c>
      <c r="M453" s="295">
        <f t="shared" si="398"/>
        <v>0</v>
      </c>
      <c r="N453" s="295">
        <f t="shared" si="398"/>
        <v>0</v>
      </c>
      <c r="O453" s="295">
        <f t="shared" si="398"/>
        <v>0</v>
      </c>
      <c r="P453" s="295">
        <f t="shared" si="357"/>
        <v>0</v>
      </c>
      <c r="Q453" s="296">
        <f t="shared" si="358"/>
        <v>0</v>
      </c>
      <c r="S453" s="294">
        <f>S459+S460</f>
        <v>6606</v>
      </c>
      <c r="T453" s="295">
        <f t="shared" ref="T453:AD453" si="399">T459+T460</f>
        <v>7138</v>
      </c>
      <c r="U453" s="295">
        <f t="shared" si="399"/>
        <v>6682</v>
      </c>
      <c r="V453" s="295">
        <f t="shared" si="399"/>
        <v>6302</v>
      </c>
      <c r="W453" s="295">
        <f t="shared" si="399"/>
        <v>6834</v>
      </c>
      <c r="X453" s="295">
        <f t="shared" si="399"/>
        <v>6606</v>
      </c>
      <c r="Y453" s="295">
        <f t="shared" si="399"/>
        <v>5315</v>
      </c>
      <c r="Z453" s="295">
        <f t="shared" si="399"/>
        <v>7289</v>
      </c>
      <c r="AA453" s="295">
        <f t="shared" si="399"/>
        <v>5467</v>
      </c>
      <c r="AB453" s="295">
        <f t="shared" si="399"/>
        <v>7289</v>
      </c>
      <c r="AC453" s="295">
        <f t="shared" si="399"/>
        <v>5392</v>
      </c>
      <c r="AD453" s="295">
        <f t="shared" si="399"/>
        <v>5012</v>
      </c>
      <c r="AE453" s="295">
        <f t="shared" si="359"/>
        <v>75932</v>
      </c>
      <c r="AF453" s="296">
        <f t="shared" si="360"/>
        <v>6327.666666666667</v>
      </c>
      <c r="AG453" s="374"/>
      <c r="AH453" s="294">
        <v>6388</v>
      </c>
      <c r="AI453" s="295">
        <v>4225</v>
      </c>
      <c r="AJ453" s="295">
        <v>4680</v>
      </c>
      <c r="AK453" s="295">
        <v>4933</v>
      </c>
      <c r="AL453" s="295">
        <v>5059</v>
      </c>
      <c r="AM453" s="295">
        <v>5059</v>
      </c>
      <c r="AN453" s="295">
        <v>6451</v>
      </c>
      <c r="AO453" s="295">
        <v>5059</v>
      </c>
      <c r="AP453" s="295">
        <v>5566</v>
      </c>
      <c r="AQ453" s="295">
        <v>5059</v>
      </c>
      <c r="AR453" s="295">
        <v>5059</v>
      </c>
      <c r="AS453" s="295">
        <v>5059</v>
      </c>
      <c r="AT453" s="295">
        <f t="shared" si="361"/>
        <v>62597</v>
      </c>
      <c r="AU453" s="296">
        <f t="shared" si="381"/>
        <v>5216.416666666667</v>
      </c>
      <c r="AV453" s="374"/>
      <c r="AW453" s="2016"/>
      <c r="AX453" s="295"/>
      <c r="AY453" s="295"/>
      <c r="AZ453" s="295"/>
      <c r="BA453" s="295"/>
      <c r="BB453" s="295"/>
      <c r="BC453" s="295"/>
      <c r="BD453" s="295"/>
      <c r="BE453" s="295"/>
      <c r="BF453" s="295"/>
      <c r="BG453" s="295"/>
      <c r="BH453" s="295"/>
      <c r="BI453" s="295">
        <f t="shared" si="362"/>
        <v>0</v>
      </c>
      <c r="BJ453" s="296">
        <f t="shared" si="356"/>
        <v>0</v>
      </c>
      <c r="BM453" s="1432"/>
      <c r="BN453" s="321"/>
      <c r="BO453" s="317"/>
      <c r="BP453" s="321"/>
      <c r="BR453" s="8"/>
    </row>
    <row r="454" spans="1:71" hidden="1" x14ac:dyDescent="0.55000000000000004">
      <c r="A454" s="7222"/>
      <c r="B454" s="7215"/>
      <c r="C454" s="201" t="s">
        <v>423</v>
      </c>
      <c r="D454" s="297">
        <f>D461+D462</f>
        <v>0</v>
      </c>
      <c r="E454" s="298">
        <f t="shared" ref="E454:O454" si="400">E461+E462</f>
        <v>0</v>
      </c>
      <c r="F454" s="298">
        <f t="shared" si="400"/>
        <v>0</v>
      </c>
      <c r="G454" s="298">
        <f t="shared" si="400"/>
        <v>0</v>
      </c>
      <c r="H454" s="298">
        <f t="shared" si="400"/>
        <v>0</v>
      </c>
      <c r="I454" s="298">
        <f t="shared" si="400"/>
        <v>0</v>
      </c>
      <c r="J454" s="298">
        <f t="shared" si="400"/>
        <v>0</v>
      </c>
      <c r="K454" s="298">
        <f t="shared" si="400"/>
        <v>0</v>
      </c>
      <c r="L454" s="298">
        <f t="shared" si="400"/>
        <v>0</v>
      </c>
      <c r="M454" s="298">
        <f t="shared" si="400"/>
        <v>0</v>
      </c>
      <c r="N454" s="298">
        <f t="shared" si="400"/>
        <v>0</v>
      </c>
      <c r="O454" s="298">
        <f t="shared" si="400"/>
        <v>0</v>
      </c>
      <c r="P454" s="298">
        <f t="shared" si="357"/>
        <v>0</v>
      </c>
      <c r="Q454" s="299">
        <f t="shared" si="358"/>
        <v>0</v>
      </c>
      <c r="S454" s="297">
        <f>S461+S462</f>
        <v>7231</v>
      </c>
      <c r="T454" s="298">
        <f t="shared" ref="T454:AD454" si="401">T461+T462</f>
        <v>7813</v>
      </c>
      <c r="U454" s="298">
        <f t="shared" si="401"/>
        <v>7315</v>
      </c>
      <c r="V454" s="298">
        <f t="shared" si="401"/>
        <v>6899</v>
      </c>
      <c r="W454" s="298">
        <f t="shared" si="401"/>
        <v>7480</v>
      </c>
      <c r="X454" s="298">
        <f t="shared" si="401"/>
        <v>7231</v>
      </c>
      <c r="Y454" s="298">
        <f t="shared" si="401"/>
        <v>5818</v>
      </c>
      <c r="Z454" s="298">
        <f t="shared" si="401"/>
        <v>7980</v>
      </c>
      <c r="AA454" s="298">
        <f t="shared" si="401"/>
        <v>5985</v>
      </c>
      <c r="AB454" s="298">
        <f t="shared" si="401"/>
        <v>7980</v>
      </c>
      <c r="AC454" s="298">
        <f t="shared" si="401"/>
        <v>5900</v>
      </c>
      <c r="AD454" s="298">
        <f t="shared" si="401"/>
        <v>5485</v>
      </c>
      <c r="AE454" s="298">
        <f t="shared" si="359"/>
        <v>83117</v>
      </c>
      <c r="AF454" s="299">
        <f t="shared" si="360"/>
        <v>6926.416666666667</v>
      </c>
      <c r="AG454" s="374"/>
      <c r="AH454" s="297">
        <v>7128</v>
      </c>
      <c r="AI454" s="298">
        <v>4714</v>
      </c>
      <c r="AJ454" s="298">
        <v>5223</v>
      </c>
      <c r="AK454" s="298">
        <v>5505</v>
      </c>
      <c r="AL454" s="298">
        <v>5647</v>
      </c>
      <c r="AM454" s="298">
        <v>5647</v>
      </c>
      <c r="AN454" s="298">
        <v>7198</v>
      </c>
      <c r="AO454" s="298">
        <v>5647</v>
      </c>
      <c r="AP454" s="298">
        <v>6210</v>
      </c>
      <c r="AQ454" s="298">
        <v>5647</v>
      </c>
      <c r="AR454" s="298">
        <v>5647</v>
      </c>
      <c r="AS454" s="298">
        <v>5647</v>
      </c>
      <c r="AT454" s="298">
        <f t="shared" si="361"/>
        <v>69860</v>
      </c>
      <c r="AU454" s="299">
        <f t="shared" si="381"/>
        <v>5821.666666666667</v>
      </c>
      <c r="AV454" s="374"/>
      <c r="AW454" s="2017"/>
      <c r="AX454" s="298"/>
      <c r="AY454" s="298"/>
      <c r="AZ454" s="298"/>
      <c r="BA454" s="298"/>
      <c r="BB454" s="298"/>
      <c r="BC454" s="298"/>
      <c r="BD454" s="298"/>
      <c r="BE454" s="298"/>
      <c r="BF454" s="298"/>
      <c r="BG454" s="298"/>
      <c r="BH454" s="298"/>
      <c r="BI454" s="298">
        <f t="shared" si="362"/>
        <v>0</v>
      </c>
      <c r="BJ454" s="299">
        <f t="shared" si="356"/>
        <v>0</v>
      </c>
      <c r="BM454" s="1432"/>
      <c r="BN454" s="321"/>
      <c r="BO454" s="317"/>
      <c r="BP454" s="321"/>
      <c r="BR454" s="8"/>
    </row>
    <row r="455" spans="1:71" hidden="1" x14ac:dyDescent="0.55000000000000004">
      <c r="A455" s="7222"/>
      <c r="B455" s="7207" t="s">
        <v>433</v>
      </c>
      <c r="C455" s="203" t="s">
        <v>242</v>
      </c>
      <c r="D455" s="303"/>
      <c r="E455" s="304"/>
      <c r="F455" s="304"/>
      <c r="G455" s="304"/>
      <c r="H455" s="304"/>
      <c r="I455" s="304"/>
      <c r="J455" s="304"/>
      <c r="K455" s="304"/>
      <c r="L455" s="304"/>
      <c r="M455" s="304"/>
      <c r="N455" s="304"/>
      <c r="O455" s="304"/>
      <c r="P455" s="304">
        <f t="shared" si="357"/>
        <v>0</v>
      </c>
      <c r="Q455" s="305">
        <f t="shared" si="358"/>
        <v>0</v>
      </c>
      <c r="S455" s="303">
        <v>3414</v>
      </c>
      <c r="T455" s="304">
        <v>3688</v>
      </c>
      <c r="U455" s="304">
        <v>3453</v>
      </c>
      <c r="V455" s="304">
        <v>3257</v>
      </c>
      <c r="W455" s="304">
        <v>3532</v>
      </c>
      <c r="X455" s="304">
        <v>3414</v>
      </c>
      <c r="Y455" s="304">
        <v>2747</v>
      </c>
      <c r="Z455" s="304">
        <v>3767</v>
      </c>
      <c r="AA455" s="304">
        <v>2825</v>
      </c>
      <c r="AB455" s="304">
        <v>3767</v>
      </c>
      <c r="AC455" s="304">
        <v>2786</v>
      </c>
      <c r="AD455" s="304">
        <v>2590</v>
      </c>
      <c r="AE455" s="304">
        <f t="shared" si="359"/>
        <v>39240</v>
      </c>
      <c r="AF455" s="305">
        <f t="shared" si="360"/>
        <v>3270</v>
      </c>
      <c r="AG455" s="374"/>
      <c r="AH455" s="303">
        <v>3409</v>
      </c>
      <c r="AI455" s="304">
        <v>2255</v>
      </c>
      <c r="AJ455" s="304">
        <v>2498</v>
      </c>
      <c r="AK455" s="304">
        <v>2633</v>
      </c>
      <c r="AL455" s="304">
        <v>2700</v>
      </c>
      <c r="AM455" s="304">
        <v>2700</v>
      </c>
      <c r="AN455" s="304">
        <v>3443</v>
      </c>
      <c r="AO455" s="304">
        <v>2700</v>
      </c>
      <c r="AP455" s="304">
        <v>2970</v>
      </c>
      <c r="AQ455" s="304">
        <v>2700</v>
      </c>
      <c r="AR455" s="304">
        <v>2700</v>
      </c>
      <c r="AS455" s="304">
        <v>2700</v>
      </c>
      <c r="AT455" s="304">
        <f t="shared" si="361"/>
        <v>33408</v>
      </c>
      <c r="AU455" s="305">
        <f t="shared" si="381"/>
        <v>2784</v>
      </c>
      <c r="AV455" s="374"/>
      <c r="AW455" s="2022"/>
      <c r="AX455" s="304"/>
      <c r="AY455" s="304"/>
      <c r="AZ455" s="304"/>
      <c r="BA455" s="304"/>
      <c r="BB455" s="304"/>
      <c r="BC455" s="304"/>
      <c r="BD455" s="304"/>
      <c r="BE455" s="304"/>
      <c r="BF455" s="304"/>
      <c r="BG455" s="304"/>
      <c r="BH455" s="304"/>
      <c r="BI455" s="304">
        <f t="shared" si="362"/>
        <v>0</v>
      </c>
      <c r="BJ455" s="305">
        <f t="shared" si="356"/>
        <v>0</v>
      </c>
      <c r="BM455" s="1432"/>
      <c r="BN455" s="321"/>
      <c r="BO455" s="317"/>
      <c r="BP455" s="321"/>
      <c r="BR455" s="8"/>
    </row>
    <row r="456" spans="1:71" hidden="1" x14ac:dyDescent="0.55000000000000004">
      <c r="A456" s="7222"/>
      <c r="B456" s="7208"/>
      <c r="C456" s="203" t="s">
        <v>243</v>
      </c>
      <c r="D456" s="303"/>
      <c r="E456" s="304"/>
      <c r="F456" s="304"/>
      <c r="G456" s="304"/>
      <c r="H456" s="304"/>
      <c r="I456" s="304"/>
      <c r="J456" s="304"/>
      <c r="K456" s="304"/>
      <c r="L456" s="304"/>
      <c r="M456" s="304"/>
      <c r="N456" s="304"/>
      <c r="O456" s="304"/>
      <c r="P456" s="304">
        <f t="shared" si="357"/>
        <v>0</v>
      </c>
      <c r="Q456" s="305">
        <f t="shared" si="358"/>
        <v>0</v>
      </c>
      <c r="S456" s="303">
        <v>1726</v>
      </c>
      <c r="T456" s="304">
        <v>1864</v>
      </c>
      <c r="U456" s="304">
        <v>1745</v>
      </c>
      <c r="V456" s="304">
        <v>1646</v>
      </c>
      <c r="W456" s="304">
        <v>1785</v>
      </c>
      <c r="X456" s="304">
        <v>1726</v>
      </c>
      <c r="Y456" s="304">
        <v>1388</v>
      </c>
      <c r="Z456" s="304">
        <v>1904</v>
      </c>
      <c r="AA456" s="304">
        <v>1428</v>
      </c>
      <c r="AB456" s="304">
        <v>1904</v>
      </c>
      <c r="AC456" s="304">
        <v>1408</v>
      </c>
      <c r="AD456" s="304">
        <v>1309</v>
      </c>
      <c r="AE456" s="304">
        <f t="shared" si="359"/>
        <v>19833</v>
      </c>
      <c r="AF456" s="305">
        <f t="shared" si="360"/>
        <v>1652.75</v>
      </c>
      <c r="AG456" s="374"/>
      <c r="AH456" s="303">
        <v>1597</v>
      </c>
      <c r="AI456" s="304">
        <v>1056</v>
      </c>
      <c r="AJ456" s="304">
        <v>1170</v>
      </c>
      <c r="AK456" s="304">
        <v>1233</v>
      </c>
      <c r="AL456" s="304">
        <v>1265</v>
      </c>
      <c r="AM456" s="304">
        <v>1265</v>
      </c>
      <c r="AN456" s="304">
        <v>1613</v>
      </c>
      <c r="AO456" s="304">
        <v>1265</v>
      </c>
      <c r="AP456" s="304">
        <v>1391</v>
      </c>
      <c r="AQ456" s="304">
        <v>1265</v>
      </c>
      <c r="AR456" s="304">
        <v>1265</v>
      </c>
      <c r="AS456" s="304">
        <v>1265</v>
      </c>
      <c r="AT456" s="304">
        <f t="shared" si="361"/>
        <v>15650</v>
      </c>
      <c r="AU456" s="305">
        <f t="shared" si="381"/>
        <v>1304.1666666666667</v>
      </c>
      <c r="AV456" s="374"/>
      <c r="AW456" s="2022"/>
      <c r="AX456" s="304"/>
      <c r="AY456" s="304"/>
      <c r="AZ456" s="304"/>
      <c r="BA456" s="304"/>
      <c r="BB456" s="304"/>
      <c r="BC456" s="304"/>
      <c r="BD456" s="304"/>
      <c r="BE456" s="304"/>
      <c r="BF456" s="304"/>
      <c r="BG456" s="304"/>
      <c r="BH456" s="304"/>
      <c r="BI456" s="304">
        <f t="shared" si="362"/>
        <v>0</v>
      </c>
      <c r="BJ456" s="305">
        <f t="shared" si="356"/>
        <v>0</v>
      </c>
      <c r="BM456" s="1432"/>
      <c r="BN456" s="321"/>
      <c r="BO456" s="317"/>
      <c r="BP456" s="321"/>
      <c r="BR456" s="8"/>
    </row>
    <row r="457" spans="1:71" s="190" customFormat="1" hidden="1" x14ac:dyDescent="0.55000000000000004">
      <c r="A457" s="7222"/>
      <c r="B457" s="7208"/>
      <c r="C457" s="211" t="s">
        <v>244</v>
      </c>
      <c r="D457" s="309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>
        <f t="shared" si="357"/>
        <v>0</v>
      </c>
      <c r="Q457" s="311">
        <f t="shared" si="358"/>
        <v>0</v>
      </c>
      <c r="R457" s="184"/>
      <c r="S457" s="309">
        <v>3712</v>
      </c>
      <c r="T457" s="310">
        <v>4011</v>
      </c>
      <c r="U457" s="310">
        <v>3755</v>
      </c>
      <c r="V457" s="310">
        <v>3542</v>
      </c>
      <c r="W457" s="310">
        <v>3840</v>
      </c>
      <c r="X457" s="310">
        <v>3712</v>
      </c>
      <c r="Y457" s="310">
        <v>2987</v>
      </c>
      <c r="Z457" s="310">
        <v>4096</v>
      </c>
      <c r="AA457" s="310">
        <v>3072</v>
      </c>
      <c r="AB457" s="310">
        <v>4096</v>
      </c>
      <c r="AC457" s="310">
        <v>3030</v>
      </c>
      <c r="AD457" s="310">
        <v>2816</v>
      </c>
      <c r="AE457" s="310">
        <f t="shared" si="359"/>
        <v>42669</v>
      </c>
      <c r="AF457" s="311">
        <f t="shared" si="360"/>
        <v>3555.75</v>
      </c>
      <c r="AG457" s="374"/>
      <c r="AH457" s="309">
        <v>3444</v>
      </c>
      <c r="AI457" s="310">
        <v>2278</v>
      </c>
      <c r="AJ457" s="310">
        <v>2523</v>
      </c>
      <c r="AK457" s="310">
        <v>2660</v>
      </c>
      <c r="AL457" s="310">
        <v>2728</v>
      </c>
      <c r="AM457" s="310">
        <v>2728</v>
      </c>
      <c r="AN457" s="310">
        <v>3478</v>
      </c>
      <c r="AO457" s="310">
        <v>2728</v>
      </c>
      <c r="AP457" s="310">
        <v>3001</v>
      </c>
      <c r="AQ457" s="310">
        <v>2728</v>
      </c>
      <c r="AR457" s="310">
        <v>2728</v>
      </c>
      <c r="AS457" s="310">
        <v>2728</v>
      </c>
      <c r="AT457" s="310">
        <f t="shared" si="361"/>
        <v>33752</v>
      </c>
      <c r="AU457" s="311">
        <f t="shared" si="381"/>
        <v>2812.6666666666665</v>
      </c>
      <c r="AV457" s="374"/>
      <c r="AW457" s="2021"/>
      <c r="AX457" s="310"/>
      <c r="AY457" s="310"/>
      <c r="AZ457" s="310"/>
      <c r="BA457" s="310"/>
      <c r="BB457" s="310"/>
      <c r="BC457" s="310"/>
      <c r="BD457" s="310"/>
      <c r="BE457" s="310"/>
      <c r="BF457" s="310"/>
      <c r="BG457" s="310"/>
      <c r="BH457" s="310"/>
      <c r="BI457" s="310">
        <f t="shared" si="362"/>
        <v>0</v>
      </c>
      <c r="BJ457" s="311">
        <f t="shared" si="356"/>
        <v>0</v>
      </c>
      <c r="BM457" s="1432"/>
      <c r="BN457" s="321"/>
      <c r="BO457" s="317"/>
      <c r="BP457" s="321"/>
      <c r="BR457" s="8"/>
      <c r="BS457"/>
    </row>
    <row r="458" spans="1:71" s="190" customFormat="1" hidden="1" x14ac:dyDescent="0.55000000000000004">
      <c r="A458" s="7222"/>
      <c r="B458" s="7208"/>
      <c r="C458" s="203" t="s">
        <v>245</v>
      </c>
      <c r="D458" s="303"/>
      <c r="E458" s="304"/>
      <c r="F458" s="304"/>
      <c r="G458" s="304"/>
      <c r="H458" s="304"/>
      <c r="I458" s="304"/>
      <c r="J458" s="304"/>
      <c r="K458" s="304"/>
      <c r="L458" s="304"/>
      <c r="M458" s="304"/>
      <c r="N458" s="304"/>
      <c r="O458" s="304"/>
      <c r="P458" s="304">
        <f t="shared" si="357"/>
        <v>0</v>
      </c>
      <c r="Q458" s="305">
        <f t="shared" si="358"/>
        <v>0</v>
      </c>
      <c r="R458" s="184"/>
      <c r="S458" s="303">
        <v>3411</v>
      </c>
      <c r="T458" s="304">
        <v>3686</v>
      </c>
      <c r="U458" s="304">
        <v>3450</v>
      </c>
      <c r="V458" s="304">
        <v>3254</v>
      </c>
      <c r="W458" s="304">
        <v>3529</v>
      </c>
      <c r="X458" s="304">
        <v>3411</v>
      </c>
      <c r="Y458" s="304">
        <v>2745</v>
      </c>
      <c r="Z458" s="304">
        <v>3764</v>
      </c>
      <c r="AA458" s="304">
        <v>2823</v>
      </c>
      <c r="AB458" s="304">
        <v>3764</v>
      </c>
      <c r="AC458" s="304">
        <v>2784</v>
      </c>
      <c r="AD458" s="304">
        <v>2588</v>
      </c>
      <c r="AE458" s="304">
        <f t="shared" si="359"/>
        <v>39209</v>
      </c>
      <c r="AF458" s="305">
        <f t="shared" si="360"/>
        <v>3267.4166666666665</v>
      </c>
      <c r="AG458" s="374"/>
      <c r="AH458" s="303">
        <v>3284</v>
      </c>
      <c r="AI458" s="304">
        <v>2172</v>
      </c>
      <c r="AJ458" s="304">
        <v>2406</v>
      </c>
      <c r="AK458" s="304">
        <v>2536</v>
      </c>
      <c r="AL458" s="304">
        <v>2601</v>
      </c>
      <c r="AM458" s="304">
        <v>2601</v>
      </c>
      <c r="AN458" s="304">
        <v>3317</v>
      </c>
      <c r="AO458" s="304">
        <v>2601</v>
      </c>
      <c r="AP458" s="304">
        <v>2862</v>
      </c>
      <c r="AQ458" s="304">
        <v>2601</v>
      </c>
      <c r="AR458" s="304">
        <v>2601</v>
      </c>
      <c r="AS458" s="304">
        <v>2601</v>
      </c>
      <c r="AT458" s="304">
        <f t="shared" si="361"/>
        <v>32183</v>
      </c>
      <c r="AU458" s="305">
        <f t="shared" si="381"/>
        <v>2681.9166666666665</v>
      </c>
      <c r="AV458" s="374"/>
      <c r="AW458" s="2022"/>
      <c r="AX458" s="304"/>
      <c r="AY458" s="304"/>
      <c r="AZ458" s="304"/>
      <c r="BA458" s="304"/>
      <c r="BB458" s="304"/>
      <c r="BC458" s="304"/>
      <c r="BD458" s="304"/>
      <c r="BE458" s="304"/>
      <c r="BF458" s="304"/>
      <c r="BG458" s="304"/>
      <c r="BH458" s="304"/>
      <c r="BI458" s="304">
        <f t="shared" si="362"/>
        <v>0</v>
      </c>
      <c r="BJ458" s="305">
        <f t="shared" si="356"/>
        <v>0</v>
      </c>
      <c r="BM458" s="1432"/>
      <c r="BN458" s="321"/>
      <c r="BO458" s="317"/>
      <c r="BP458" s="321"/>
      <c r="BR458" s="8"/>
      <c r="BS458"/>
    </row>
    <row r="459" spans="1:71" s="190" customFormat="1" hidden="1" x14ac:dyDescent="0.55000000000000004">
      <c r="A459" s="7222"/>
      <c r="B459" s="7208"/>
      <c r="C459" s="211" t="s">
        <v>246</v>
      </c>
      <c r="D459" s="309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>
        <f t="shared" si="357"/>
        <v>0</v>
      </c>
      <c r="Q459" s="311">
        <f t="shared" si="358"/>
        <v>0</v>
      </c>
      <c r="R459" s="184"/>
      <c r="S459" s="309">
        <v>3788</v>
      </c>
      <c r="T459" s="310">
        <v>4093</v>
      </c>
      <c r="U459" s="310">
        <v>3832</v>
      </c>
      <c r="V459" s="310">
        <v>3614</v>
      </c>
      <c r="W459" s="310">
        <v>3919</v>
      </c>
      <c r="X459" s="310">
        <v>3788</v>
      </c>
      <c r="Y459" s="310">
        <v>3048</v>
      </c>
      <c r="Z459" s="310">
        <v>4180</v>
      </c>
      <c r="AA459" s="310">
        <v>3135</v>
      </c>
      <c r="AB459" s="310">
        <v>4180</v>
      </c>
      <c r="AC459" s="310">
        <v>3092</v>
      </c>
      <c r="AD459" s="310">
        <v>2874</v>
      </c>
      <c r="AE459" s="310">
        <f t="shared" si="359"/>
        <v>43543</v>
      </c>
      <c r="AF459" s="311">
        <f t="shared" si="360"/>
        <v>3628.5833333333335</v>
      </c>
      <c r="AG459" s="374"/>
      <c r="AH459" s="309">
        <v>3673</v>
      </c>
      <c r="AI459" s="310">
        <v>2429</v>
      </c>
      <c r="AJ459" s="310">
        <v>2691</v>
      </c>
      <c r="AK459" s="310">
        <v>2836</v>
      </c>
      <c r="AL459" s="310">
        <v>2909</v>
      </c>
      <c r="AM459" s="310">
        <v>2909</v>
      </c>
      <c r="AN459" s="310">
        <v>3709</v>
      </c>
      <c r="AO459" s="310">
        <v>2909</v>
      </c>
      <c r="AP459" s="310">
        <v>3200</v>
      </c>
      <c r="AQ459" s="310">
        <v>2909</v>
      </c>
      <c r="AR459" s="310">
        <v>2909</v>
      </c>
      <c r="AS459" s="310">
        <v>2909</v>
      </c>
      <c r="AT459" s="310">
        <f t="shared" si="361"/>
        <v>35992</v>
      </c>
      <c r="AU459" s="311">
        <f t="shared" si="381"/>
        <v>2999.3333333333335</v>
      </c>
      <c r="AV459" s="374"/>
      <c r="AW459" s="2021"/>
      <c r="AX459" s="310"/>
      <c r="AY459" s="310"/>
      <c r="AZ459" s="310"/>
      <c r="BA459" s="310"/>
      <c r="BB459" s="310"/>
      <c r="BC459" s="310"/>
      <c r="BD459" s="310"/>
      <c r="BE459" s="310"/>
      <c r="BF459" s="310"/>
      <c r="BG459" s="310"/>
      <c r="BH459" s="310"/>
      <c r="BI459" s="310">
        <f t="shared" si="362"/>
        <v>0</v>
      </c>
      <c r="BJ459" s="311">
        <f t="shared" si="356"/>
        <v>0</v>
      </c>
      <c r="BM459" s="1432"/>
      <c r="BN459" s="321"/>
      <c r="BO459" s="317"/>
      <c r="BP459" s="321"/>
      <c r="BR459" s="8"/>
      <c r="BS459"/>
    </row>
    <row r="460" spans="1:71" hidden="1" x14ac:dyDescent="0.55000000000000004">
      <c r="A460" s="7222"/>
      <c r="B460" s="7208"/>
      <c r="C460" s="202" t="s">
        <v>247</v>
      </c>
      <c r="D460" s="300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>
        <f t="shared" si="357"/>
        <v>0</v>
      </c>
      <c r="Q460" s="302">
        <f t="shared" si="358"/>
        <v>0</v>
      </c>
      <c r="S460" s="300">
        <v>2818</v>
      </c>
      <c r="T460" s="301">
        <v>3045</v>
      </c>
      <c r="U460" s="301">
        <v>2850</v>
      </c>
      <c r="V460" s="301">
        <v>2688</v>
      </c>
      <c r="W460" s="301">
        <v>2915</v>
      </c>
      <c r="X460" s="301">
        <v>2818</v>
      </c>
      <c r="Y460" s="301">
        <v>2267</v>
      </c>
      <c r="Z460" s="301">
        <v>3109</v>
      </c>
      <c r="AA460" s="301">
        <v>2332</v>
      </c>
      <c r="AB460" s="301">
        <v>3109</v>
      </c>
      <c r="AC460" s="301">
        <v>2300</v>
      </c>
      <c r="AD460" s="301">
        <v>2138</v>
      </c>
      <c r="AE460" s="301">
        <f t="shared" si="359"/>
        <v>32389</v>
      </c>
      <c r="AF460" s="302">
        <f t="shared" si="360"/>
        <v>2699.0833333333335</v>
      </c>
      <c r="AG460" s="374"/>
      <c r="AH460" s="300">
        <v>2715</v>
      </c>
      <c r="AI460" s="301">
        <v>1796</v>
      </c>
      <c r="AJ460" s="301">
        <v>1989</v>
      </c>
      <c r="AK460" s="301">
        <v>2097</v>
      </c>
      <c r="AL460" s="301">
        <v>2150</v>
      </c>
      <c r="AM460" s="301">
        <v>2150</v>
      </c>
      <c r="AN460" s="301">
        <v>2742</v>
      </c>
      <c r="AO460" s="301">
        <v>2150</v>
      </c>
      <c r="AP460" s="301">
        <v>2366</v>
      </c>
      <c r="AQ460" s="301">
        <v>2150</v>
      </c>
      <c r="AR460" s="301">
        <v>2150</v>
      </c>
      <c r="AS460" s="301">
        <v>2150</v>
      </c>
      <c r="AT460" s="301">
        <f t="shared" si="361"/>
        <v>26605</v>
      </c>
      <c r="AU460" s="302">
        <f t="shared" si="381"/>
        <v>2217.0833333333335</v>
      </c>
      <c r="AV460" s="374"/>
      <c r="AW460" s="2021"/>
      <c r="AX460" s="301"/>
      <c r="AY460" s="301"/>
      <c r="AZ460" s="301"/>
      <c r="BA460" s="301"/>
      <c r="BB460" s="301"/>
      <c r="BC460" s="301"/>
      <c r="BD460" s="301"/>
      <c r="BE460" s="301"/>
      <c r="BF460" s="301"/>
      <c r="BG460" s="301"/>
      <c r="BH460" s="301"/>
      <c r="BI460" s="301">
        <f t="shared" si="362"/>
        <v>0</v>
      </c>
      <c r="BJ460" s="302">
        <f t="shared" si="356"/>
        <v>0</v>
      </c>
      <c r="BM460" s="1432"/>
      <c r="BN460" s="321"/>
      <c r="BO460" s="317"/>
      <c r="BP460" s="321"/>
      <c r="BR460" s="8"/>
    </row>
    <row r="461" spans="1:71" hidden="1" x14ac:dyDescent="0.55000000000000004">
      <c r="A461" s="7222"/>
      <c r="B461" s="7208"/>
      <c r="C461" s="203" t="s">
        <v>248</v>
      </c>
      <c r="D461" s="303"/>
      <c r="E461" s="304"/>
      <c r="F461" s="304"/>
      <c r="G461" s="304"/>
      <c r="H461" s="304"/>
      <c r="I461" s="304"/>
      <c r="J461" s="304"/>
      <c r="K461" s="304"/>
      <c r="L461" s="304"/>
      <c r="M461" s="304"/>
      <c r="N461" s="304"/>
      <c r="O461" s="304"/>
      <c r="P461" s="304">
        <f t="shared" si="357"/>
        <v>0</v>
      </c>
      <c r="Q461" s="305">
        <f t="shared" si="358"/>
        <v>0</v>
      </c>
      <c r="S461" s="303">
        <v>4048</v>
      </c>
      <c r="T461" s="304">
        <v>4374</v>
      </c>
      <c r="U461" s="304">
        <v>4095</v>
      </c>
      <c r="V461" s="304">
        <v>3862</v>
      </c>
      <c r="W461" s="304">
        <v>4188</v>
      </c>
      <c r="X461" s="304">
        <v>4048</v>
      </c>
      <c r="Y461" s="304">
        <v>3257</v>
      </c>
      <c r="Z461" s="304">
        <v>4467</v>
      </c>
      <c r="AA461" s="304">
        <v>3350</v>
      </c>
      <c r="AB461" s="304">
        <v>4467</v>
      </c>
      <c r="AC461" s="304">
        <v>3304</v>
      </c>
      <c r="AD461" s="304">
        <v>3071</v>
      </c>
      <c r="AE461" s="304">
        <f t="shared" si="359"/>
        <v>46531</v>
      </c>
      <c r="AF461" s="305">
        <f t="shared" si="360"/>
        <v>3877.5833333333335</v>
      </c>
      <c r="AG461" s="374"/>
      <c r="AH461" s="303">
        <v>4086</v>
      </c>
      <c r="AI461" s="304">
        <v>2703</v>
      </c>
      <c r="AJ461" s="304">
        <v>2994</v>
      </c>
      <c r="AK461" s="304">
        <v>3156</v>
      </c>
      <c r="AL461" s="304">
        <v>3237</v>
      </c>
      <c r="AM461" s="304">
        <v>3237</v>
      </c>
      <c r="AN461" s="304">
        <v>4127</v>
      </c>
      <c r="AO461" s="304">
        <v>3237</v>
      </c>
      <c r="AP461" s="304">
        <v>3560</v>
      </c>
      <c r="AQ461" s="304">
        <v>3237</v>
      </c>
      <c r="AR461" s="304">
        <v>3237</v>
      </c>
      <c r="AS461" s="304">
        <v>3237</v>
      </c>
      <c r="AT461" s="304">
        <f t="shared" si="361"/>
        <v>40048</v>
      </c>
      <c r="AU461" s="305">
        <f t="shared" si="381"/>
        <v>3337.3333333333335</v>
      </c>
      <c r="AV461" s="374"/>
      <c r="AW461" s="2022"/>
      <c r="AX461" s="304"/>
      <c r="AY461" s="304"/>
      <c r="AZ461" s="304"/>
      <c r="BA461" s="304"/>
      <c r="BB461" s="304"/>
      <c r="BC461" s="304"/>
      <c r="BD461" s="304"/>
      <c r="BE461" s="304"/>
      <c r="BF461" s="304"/>
      <c r="BG461" s="304"/>
      <c r="BH461" s="304"/>
      <c r="BI461" s="304">
        <f t="shared" si="362"/>
        <v>0</v>
      </c>
      <c r="BJ461" s="305">
        <f t="shared" si="356"/>
        <v>0</v>
      </c>
      <c r="BM461" s="1432"/>
      <c r="BN461" s="321"/>
      <c r="BO461" s="317"/>
      <c r="BP461" s="321"/>
      <c r="BR461" s="8"/>
    </row>
    <row r="462" spans="1:71" ht="18" hidden="1" thickBot="1" x14ac:dyDescent="0.6">
      <c r="A462" s="7223"/>
      <c r="B462" s="7209"/>
      <c r="C462" s="212" t="s">
        <v>249</v>
      </c>
      <c r="D462" s="312"/>
      <c r="E462" s="313"/>
      <c r="F462" s="313"/>
      <c r="G462" s="313"/>
      <c r="H462" s="313"/>
      <c r="I462" s="313"/>
      <c r="J462" s="313"/>
      <c r="K462" s="313"/>
      <c r="L462" s="313"/>
      <c r="M462" s="313"/>
      <c r="N462" s="313"/>
      <c r="O462" s="313"/>
      <c r="P462" s="313">
        <f t="shared" si="357"/>
        <v>0</v>
      </c>
      <c r="Q462" s="314">
        <f t="shared" si="358"/>
        <v>0</v>
      </c>
      <c r="S462" s="312">
        <v>3183</v>
      </c>
      <c r="T462" s="313">
        <v>3439</v>
      </c>
      <c r="U462" s="313">
        <v>3220</v>
      </c>
      <c r="V462" s="313">
        <v>3037</v>
      </c>
      <c r="W462" s="313">
        <v>3292</v>
      </c>
      <c r="X462" s="313">
        <v>3183</v>
      </c>
      <c r="Y462" s="313">
        <v>2561</v>
      </c>
      <c r="Z462" s="313">
        <v>3513</v>
      </c>
      <c r="AA462" s="313">
        <v>2635</v>
      </c>
      <c r="AB462" s="313">
        <v>3513</v>
      </c>
      <c r="AC462" s="313">
        <v>2596</v>
      </c>
      <c r="AD462" s="313">
        <v>2414</v>
      </c>
      <c r="AE462" s="313">
        <f t="shared" si="359"/>
        <v>36586</v>
      </c>
      <c r="AF462" s="314">
        <f t="shared" si="360"/>
        <v>3048.8333333333335</v>
      </c>
      <c r="AG462" s="374"/>
      <c r="AH462" s="312">
        <v>3042</v>
      </c>
      <c r="AI462" s="313">
        <v>2011</v>
      </c>
      <c r="AJ462" s="313">
        <v>2229</v>
      </c>
      <c r="AK462" s="313">
        <v>2349</v>
      </c>
      <c r="AL462" s="313">
        <v>2410</v>
      </c>
      <c r="AM462" s="313">
        <v>2410</v>
      </c>
      <c r="AN462" s="313">
        <v>3071</v>
      </c>
      <c r="AO462" s="313">
        <v>2410</v>
      </c>
      <c r="AP462" s="313">
        <v>2650</v>
      </c>
      <c r="AQ462" s="313">
        <v>2410</v>
      </c>
      <c r="AR462" s="313">
        <v>2410</v>
      </c>
      <c r="AS462" s="313">
        <v>2410</v>
      </c>
      <c r="AT462" s="313">
        <f t="shared" si="361"/>
        <v>29812</v>
      </c>
      <c r="AU462" s="314">
        <f t="shared" si="381"/>
        <v>2484.3333333333335</v>
      </c>
      <c r="AV462" s="374"/>
      <c r="AW462" s="2024"/>
      <c r="AX462" s="313"/>
      <c r="AY462" s="313"/>
      <c r="AZ462" s="313"/>
      <c r="BA462" s="313"/>
      <c r="BB462" s="313"/>
      <c r="BC462" s="313"/>
      <c r="BD462" s="313"/>
      <c r="BE462" s="313"/>
      <c r="BF462" s="313"/>
      <c r="BG462" s="313"/>
      <c r="BH462" s="313"/>
      <c r="BI462" s="313">
        <f t="shared" si="362"/>
        <v>0</v>
      </c>
      <c r="BJ462" s="314">
        <f t="shared" si="356"/>
        <v>0</v>
      </c>
      <c r="BM462" s="1432"/>
      <c r="BN462" s="321"/>
      <c r="BO462" s="317"/>
      <c r="BP462" s="321"/>
      <c r="BR462" s="8"/>
    </row>
    <row r="463" spans="1:71" ht="18" thickBot="1" x14ac:dyDescent="0.6"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  <c r="AF463" s="339"/>
      <c r="AG463" s="374"/>
      <c r="AH463" s="339"/>
      <c r="AI463" s="339"/>
      <c r="AJ463" s="339"/>
      <c r="AK463" s="339"/>
      <c r="AL463" s="339"/>
      <c r="AM463" s="339"/>
      <c r="AN463" s="339"/>
      <c r="AO463" s="339"/>
      <c r="AP463" s="339"/>
      <c r="AQ463" s="339"/>
      <c r="AR463" s="339"/>
      <c r="AS463" s="339"/>
      <c r="AT463" s="339"/>
      <c r="AU463" s="339"/>
      <c r="AV463" s="374"/>
      <c r="AW463" s="2051"/>
      <c r="AX463" s="339"/>
      <c r="AY463" s="339"/>
      <c r="AZ463" s="339"/>
      <c r="BA463" s="339"/>
      <c r="BB463" s="339"/>
      <c r="BC463" s="339"/>
      <c r="BD463" s="339"/>
      <c r="BE463" s="339"/>
      <c r="BF463" s="339"/>
      <c r="BG463" s="339"/>
      <c r="BH463" s="339"/>
      <c r="BI463" s="339"/>
      <c r="BJ463" s="339"/>
      <c r="BM463" s="1431" t="s">
        <v>476</v>
      </c>
      <c r="BN463" s="316" t="s">
        <v>9</v>
      </c>
      <c r="BO463" s="1132" t="s">
        <v>477</v>
      </c>
      <c r="BP463" s="316" t="s">
        <v>9</v>
      </c>
    </row>
    <row r="464" spans="1:71" ht="17.399999999999999" customHeight="1" x14ac:dyDescent="0.55000000000000004">
      <c r="A464" s="7221" t="s">
        <v>478</v>
      </c>
      <c r="B464" s="41" t="s">
        <v>434</v>
      </c>
      <c r="C464" s="206"/>
      <c r="D464" s="270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2"/>
      <c r="S464" s="270"/>
      <c r="T464" s="271"/>
      <c r="U464" s="271"/>
      <c r="V464" s="271"/>
      <c r="W464" s="271"/>
      <c r="X464" s="271"/>
      <c r="Y464" s="271"/>
      <c r="Z464" s="271"/>
      <c r="AA464" s="271"/>
      <c r="AB464" s="271"/>
      <c r="AC464" s="271"/>
      <c r="AD464" s="271"/>
      <c r="AE464" s="271"/>
      <c r="AF464" s="272">
        <f t="shared" ref="AF464:AF469" si="402">AE464</f>
        <v>0</v>
      </c>
      <c r="AG464" s="374"/>
      <c r="AH464" s="270">
        <v>65000</v>
      </c>
      <c r="AI464" s="271">
        <v>65000</v>
      </c>
      <c r="AJ464" s="271">
        <v>65000</v>
      </c>
      <c r="AK464" s="271">
        <v>65000</v>
      </c>
      <c r="AL464" s="271">
        <v>65000</v>
      </c>
      <c r="AM464" s="271">
        <v>65000</v>
      </c>
      <c r="AN464" s="271">
        <v>65000</v>
      </c>
      <c r="AO464" s="271">
        <v>65000</v>
      </c>
      <c r="AP464" s="271">
        <v>65000</v>
      </c>
      <c r="AQ464" s="271">
        <v>65000</v>
      </c>
      <c r="AR464" s="271">
        <v>65000</v>
      </c>
      <c r="AS464" s="271">
        <v>65000</v>
      </c>
      <c r="AT464" s="271">
        <v>65000</v>
      </c>
      <c r="AU464" s="272">
        <f t="shared" ref="AU464:AU469" si="403">AT464</f>
        <v>65000</v>
      </c>
      <c r="AV464" s="374"/>
      <c r="AW464" s="2010">
        <v>60000</v>
      </c>
      <c r="AX464" s="271">
        <v>60000</v>
      </c>
      <c r="AY464" s="271">
        <v>60000</v>
      </c>
      <c r="AZ464" s="271">
        <v>60000</v>
      </c>
      <c r="BA464" s="271">
        <v>60000</v>
      </c>
      <c r="BB464" s="271">
        <v>60000</v>
      </c>
      <c r="BC464" s="271">
        <v>60000</v>
      </c>
      <c r="BD464" s="271">
        <v>60000</v>
      </c>
      <c r="BE464" s="271">
        <v>60000</v>
      </c>
      <c r="BF464" s="271">
        <v>60000</v>
      </c>
      <c r="BG464" s="271">
        <v>60000</v>
      </c>
      <c r="BH464" s="271">
        <v>60000</v>
      </c>
      <c r="BI464" s="271"/>
      <c r="BJ464" s="272">
        <v>60000</v>
      </c>
      <c r="BL464" s="317">
        <f>ROW()</f>
        <v>464</v>
      </c>
      <c r="BM464" s="1432">
        <f>HLOOKUP($A$2,$AW$2:$BH$511,BL113-1,0)-HLOOKUP($A$2,$AW$2:$BH$511,BL464-1,0)</f>
        <v>3059.5466791422223</v>
      </c>
      <c r="BN464" s="321">
        <f t="shared" ref="BN464:BN469" si="404">BA113/BA464</f>
        <v>0.88918328918809564</v>
      </c>
      <c r="BO464" s="317">
        <f>BJ113-BJ464</f>
        <v>1001.7165074028526</v>
      </c>
      <c r="BP464" s="321">
        <f t="shared" ref="BP464:BP469" si="405">BJ113/BJ464</f>
        <v>1.0166952751233809</v>
      </c>
      <c r="BR464" s="8"/>
    </row>
    <row r="465" spans="1:70" ht="17.399999999999999" customHeight="1" x14ac:dyDescent="0.55000000000000004">
      <c r="A465" s="7222"/>
      <c r="B465" s="42"/>
      <c r="C465" s="156" t="s">
        <v>424</v>
      </c>
      <c r="D465" s="324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6"/>
      <c r="S465" s="324"/>
      <c r="T465" s="325"/>
      <c r="U465" s="325"/>
      <c r="V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6">
        <f t="shared" si="402"/>
        <v>0</v>
      </c>
      <c r="AG465" s="374"/>
      <c r="AH465" s="324">
        <v>72000</v>
      </c>
      <c r="AI465" s="325">
        <v>72000</v>
      </c>
      <c r="AJ465" s="325">
        <v>72000</v>
      </c>
      <c r="AK465" s="325">
        <v>72000</v>
      </c>
      <c r="AL465" s="325">
        <v>72000</v>
      </c>
      <c r="AM465" s="325">
        <v>72000</v>
      </c>
      <c r="AN465" s="325">
        <v>72000</v>
      </c>
      <c r="AO465" s="325">
        <v>72000</v>
      </c>
      <c r="AP465" s="325">
        <v>72000</v>
      </c>
      <c r="AQ465" s="325">
        <v>72000</v>
      </c>
      <c r="AR465" s="325">
        <v>72000</v>
      </c>
      <c r="AS465" s="325">
        <v>72000</v>
      </c>
      <c r="AT465" s="325">
        <v>72000</v>
      </c>
      <c r="AU465" s="326">
        <f t="shared" si="403"/>
        <v>72000</v>
      </c>
      <c r="AV465" s="374"/>
      <c r="AW465" s="324">
        <v>72000</v>
      </c>
      <c r="AX465" s="325">
        <v>72000</v>
      </c>
      <c r="AY465" s="325">
        <v>72000</v>
      </c>
      <c r="AZ465" s="325">
        <v>72000</v>
      </c>
      <c r="BA465" s="325">
        <v>72000</v>
      </c>
      <c r="BB465" s="325">
        <v>72000</v>
      </c>
      <c r="BC465" s="325">
        <v>72000</v>
      </c>
      <c r="BD465" s="325">
        <v>72000</v>
      </c>
      <c r="BE465" s="325">
        <v>72000</v>
      </c>
      <c r="BF465" s="325">
        <v>72000</v>
      </c>
      <c r="BG465" s="325">
        <v>72000</v>
      </c>
      <c r="BH465" s="325">
        <v>72000</v>
      </c>
      <c r="BI465" s="325"/>
      <c r="BJ465" s="326">
        <v>72000</v>
      </c>
      <c r="BL465" s="317">
        <f>ROW()</f>
        <v>465</v>
      </c>
      <c r="BM465" s="1432">
        <f t="shared" ref="BM465:BM469" si="406">HLOOKUP($A$2,$AW$2:$BH$511,BL114-1,0)-HLOOKUP($A$2,$AW$2:$BH$511,BL465-1,0)</f>
        <v>-11795.070882944703</v>
      </c>
      <c r="BN465" s="321">
        <f t="shared" si="404"/>
        <v>0.75989684252030643</v>
      </c>
      <c r="BO465" s="317">
        <f>BJ114-BJ465</f>
        <v>-10119.637973843812</v>
      </c>
      <c r="BP465" s="321">
        <f t="shared" si="405"/>
        <v>0.85944947258550264</v>
      </c>
      <c r="BR465" s="8"/>
    </row>
    <row r="466" spans="1:70" ht="17.399999999999999" customHeight="1" x14ac:dyDescent="0.55000000000000004">
      <c r="A466" s="7222"/>
      <c r="B466" s="232"/>
      <c r="C466" s="156" t="s">
        <v>1112</v>
      </c>
      <c r="D466" s="324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6"/>
      <c r="R466" s="2229"/>
      <c r="S466" s="324"/>
      <c r="T466" s="325"/>
      <c r="U466" s="325"/>
      <c r="V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6">
        <f t="shared" ref="AF466" si="407">AE466</f>
        <v>0</v>
      </c>
      <c r="AG466" s="374"/>
      <c r="AH466" s="324">
        <v>55000</v>
      </c>
      <c r="AI466" s="325">
        <v>55000</v>
      </c>
      <c r="AJ466" s="325">
        <v>55000</v>
      </c>
      <c r="AK466" s="325">
        <v>55000</v>
      </c>
      <c r="AL466" s="325">
        <v>55000</v>
      </c>
      <c r="AM466" s="325">
        <v>55000</v>
      </c>
      <c r="AN466" s="325">
        <v>55000</v>
      </c>
      <c r="AO466" s="325">
        <v>55000</v>
      </c>
      <c r="AP466" s="325">
        <v>55000</v>
      </c>
      <c r="AQ466" s="325">
        <v>55000</v>
      </c>
      <c r="AR466" s="325">
        <v>55000</v>
      </c>
      <c r="AS466" s="325">
        <v>55000</v>
      </c>
      <c r="AT466" s="325">
        <v>55000</v>
      </c>
      <c r="AU466" s="326">
        <f t="shared" ref="AU466" si="408">AT466</f>
        <v>55000</v>
      </c>
      <c r="AV466" s="374"/>
      <c r="AW466" s="324">
        <v>55000</v>
      </c>
      <c r="AX466" s="325">
        <v>55000</v>
      </c>
      <c r="AY466" s="325">
        <v>55000</v>
      </c>
      <c r="AZ466" s="325">
        <v>55000</v>
      </c>
      <c r="BA466" s="325">
        <v>55000</v>
      </c>
      <c r="BB466" s="325">
        <v>55000</v>
      </c>
      <c r="BC466" s="325">
        <v>55000</v>
      </c>
      <c r="BD466" s="325">
        <v>55000</v>
      </c>
      <c r="BE466" s="325">
        <v>55000</v>
      </c>
      <c r="BF466" s="325">
        <v>55000</v>
      </c>
      <c r="BG466" s="325">
        <v>55000</v>
      </c>
      <c r="BH466" s="325">
        <v>55000</v>
      </c>
      <c r="BI466" s="325"/>
      <c r="BJ466" s="326">
        <v>55000</v>
      </c>
      <c r="BL466" s="317">
        <f>ROW()</f>
        <v>466</v>
      </c>
      <c r="BM466" s="1432">
        <f t="shared" si="406"/>
        <v>-6869.5675728155256</v>
      </c>
      <c r="BN466" s="321">
        <f t="shared" si="404"/>
        <v>0.80987978016913309</v>
      </c>
      <c r="BO466" s="317">
        <f>BJ115-BJ466</f>
        <v>-7598.6686544122276</v>
      </c>
      <c r="BP466" s="321">
        <f t="shared" si="405"/>
        <v>0.86184238810159586</v>
      </c>
      <c r="BR466" s="8"/>
    </row>
    <row r="467" spans="1:70" ht="17.399999999999999" customHeight="1" x14ac:dyDescent="0.55000000000000004">
      <c r="A467" s="7222"/>
      <c r="B467" s="42"/>
      <c r="C467" s="156" t="s">
        <v>426</v>
      </c>
      <c r="D467" s="324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6"/>
      <c r="S467" s="324"/>
      <c r="T467" s="325"/>
      <c r="U467" s="325"/>
      <c r="V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6">
        <f t="shared" si="402"/>
        <v>0</v>
      </c>
      <c r="AG467" s="374"/>
      <c r="AH467" s="324">
        <v>68000</v>
      </c>
      <c r="AI467" s="325">
        <v>68000</v>
      </c>
      <c r="AJ467" s="325">
        <v>68000</v>
      </c>
      <c r="AK467" s="325">
        <v>68000</v>
      </c>
      <c r="AL467" s="325">
        <v>68000</v>
      </c>
      <c r="AM467" s="325">
        <v>68000</v>
      </c>
      <c r="AN467" s="325">
        <v>68000</v>
      </c>
      <c r="AO467" s="325">
        <v>68000</v>
      </c>
      <c r="AP467" s="325">
        <v>68000</v>
      </c>
      <c r="AQ467" s="325">
        <v>68000</v>
      </c>
      <c r="AR467" s="325">
        <v>68000</v>
      </c>
      <c r="AS467" s="325">
        <v>68000</v>
      </c>
      <c r="AT467" s="325">
        <v>68000</v>
      </c>
      <c r="AU467" s="326">
        <f t="shared" si="403"/>
        <v>68000</v>
      </c>
      <c r="AV467" s="374"/>
      <c r="AW467" s="324">
        <v>70000</v>
      </c>
      <c r="AX467" s="325">
        <v>70000</v>
      </c>
      <c r="AY467" s="325">
        <v>70000</v>
      </c>
      <c r="AZ467" s="325">
        <v>70000</v>
      </c>
      <c r="BA467" s="325">
        <v>70000</v>
      </c>
      <c r="BB467" s="325">
        <v>70000</v>
      </c>
      <c r="BC467" s="325">
        <v>70000</v>
      </c>
      <c r="BD467" s="325">
        <v>70000</v>
      </c>
      <c r="BE467" s="325">
        <v>70000</v>
      </c>
      <c r="BF467" s="325">
        <v>70000</v>
      </c>
      <c r="BG467" s="325">
        <v>70000</v>
      </c>
      <c r="BH467" s="325">
        <v>70000</v>
      </c>
      <c r="BI467" s="325"/>
      <c r="BJ467" s="326">
        <v>70000</v>
      </c>
      <c r="BL467" s="317">
        <f>ROW()</f>
        <v>467</v>
      </c>
      <c r="BM467" s="1432">
        <f t="shared" si="406"/>
        <v>6690.8568523964495</v>
      </c>
      <c r="BN467" s="321">
        <f t="shared" si="404"/>
        <v>0.90215151396515236</v>
      </c>
      <c r="BO467" s="317">
        <f t="shared" ref="BO467:BO468" si="409">BJ116-BJ467</f>
        <v>2852.4794572083192</v>
      </c>
      <c r="BP467" s="321">
        <f t="shared" si="405"/>
        <v>1.0407497065315474</v>
      </c>
      <c r="BR467" s="8"/>
    </row>
    <row r="468" spans="1:70" ht="17.399999999999999" customHeight="1" x14ac:dyDescent="0.55000000000000004">
      <c r="A468" s="7222"/>
      <c r="B468" s="42"/>
      <c r="C468" s="156" t="s">
        <v>954</v>
      </c>
      <c r="D468" s="324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6"/>
      <c r="S468" s="324"/>
      <c r="T468" s="325"/>
      <c r="U468" s="325"/>
      <c r="V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6">
        <f t="shared" si="402"/>
        <v>0</v>
      </c>
      <c r="AG468" s="374"/>
      <c r="AH468" s="324">
        <v>55000</v>
      </c>
      <c r="AI468" s="325">
        <v>55000</v>
      </c>
      <c r="AJ468" s="325">
        <v>55000</v>
      </c>
      <c r="AK468" s="325">
        <v>55000</v>
      </c>
      <c r="AL468" s="325">
        <v>55000</v>
      </c>
      <c r="AM468" s="325">
        <v>55000</v>
      </c>
      <c r="AN468" s="325">
        <v>55000</v>
      </c>
      <c r="AO468" s="325">
        <v>55000</v>
      </c>
      <c r="AP468" s="325">
        <v>55000</v>
      </c>
      <c r="AQ468" s="325">
        <v>55000</v>
      </c>
      <c r="AR468" s="325">
        <v>55000</v>
      </c>
      <c r="AS468" s="325">
        <v>55000</v>
      </c>
      <c r="AT468" s="325">
        <v>55000</v>
      </c>
      <c r="AU468" s="326">
        <f t="shared" si="403"/>
        <v>55000</v>
      </c>
      <c r="AV468" s="374"/>
      <c r="AW468" s="324">
        <v>55000</v>
      </c>
      <c r="AX468" s="325">
        <v>55000</v>
      </c>
      <c r="AY468" s="325">
        <v>55000</v>
      </c>
      <c r="AZ468" s="325">
        <v>55000</v>
      </c>
      <c r="BA468" s="325">
        <v>55000</v>
      </c>
      <c r="BB468" s="325">
        <v>55000</v>
      </c>
      <c r="BC468" s="325">
        <v>55000</v>
      </c>
      <c r="BD468" s="325">
        <v>55000</v>
      </c>
      <c r="BE468" s="325">
        <v>55000</v>
      </c>
      <c r="BF468" s="325">
        <v>55000</v>
      </c>
      <c r="BG468" s="325">
        <v>55000</v>
      </c>
      <c r="BH468" s="325">
        <v>55000</v>
      </c>
      <c r="BI468" s="325"/>
      <c r="BJ468" s="326">
        <v>55000</v>
      </c>
      <c r="BL468" s="317">
        <f>ROW()</f>
        <v>468</v>
      </c>
      <c r="BM468" s="1432">
        <f t="shared" si="406"/>
        <v>-7827.8483637110039</v>
      </c>
      <c r="BN468" s="321">
        <f t="shared" si="404"/>
        <v>0.75994546434056565</v>
      </c>
      <c r="BO468" s="317">
        <f t="shared" si="409"/>
        <v>-8541.5919130067705</v>
      </c>
      <c r="BP468" s="321">
        <f t="shared" si="405"/>
        <v>0.84469832885442231</v>
      </c>
      <c r="BR468" s="8"/>
    </row>
    <row r="469" spans="1:70" ht="17.399999999999999" customHeight="1" thickBot="1" x14ac:dyDescent="0.6">
      <c r="A469" s="7223"/>
      <c r="B469" s="233"/>
      <c r="C469" s="216" t="s">
        <v>427</v>
      </c>
      <c r="D469" s="327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9"/>
      <c r="S469" s="327"/>
      <c r="T469" s="328"/>
      <c r="U469" s="328"/>
      <c r="V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9">
        <f t="shared" si="402"/>
        <v>0</v>
      </c>
      <c r="AG469" s="374"/>
      <c r="AH469" s="327">
        <v>45000</v>
      </c>
      <c r="AI469" s="328">
        <v>45000</v>
      </c>
      <c r="AJ469" s="328">
        <v>45000</v>
      </c>
      <c r="AK469" s="328">
        <v>45000</v>
      </c>
      <c r="AL469" s="328">
        <v>45000</v>
      </c>
      <c r="AM469" s="328">
        <v>45000</v>
      </c>
      <c r="AN469" s="328">
        <v>45000</v>
      </c>
      <c r="AO469" s="328">
        <v>45000</v>
      </c>
      <c r="AP469" s="328">
        <v>45000</v>
      </c>
      <c r="AQ469" s="328">
        <v>45000</v>
      </c>
      <c r="AR469" s="328">
        <v>45000</v>
      </c>
      <c r="AS469" s="328">
        <v>45000</v>
      </c>
      <c r="AT469" s="328">
        <v>45000</v>
      </c>
      <c r="AU469" s="329">
        <f t="shared" si="403"/>
        <v>45000</v>
      </c>
      <c r="AV469" s="374"/>
      <c r="AW469" s="327">
        <v>35000</v>
      </c>
      <c r="AX469" s="328">
        <v>35000</v>
      </c>
      <c r="AY469" s="328">
        <v>35000</v>
      </c>
      <c r="AZ469" s="328">
        <v>35000</v>
      </c>
      <c r="BA469" s="328">
        <v>35000</v>
      </c>
      <c r="BB469" s="328">
        <v>35000</v>
      </c>
      <c r="BC469" s="328">
        <v>35000</v>
      </c>
      <c r="BD469" s="328">
        <v>35000</v>
      </c>
      <c r="BE469" s="328">
        <v>35000</v>
      </c>
      <c r="BF469" s="328">
        <v>35000</v>
      </c>
      <c r="BG469" s="328">
        <v>35000</v>
      </c>
      <c r="BH469" s="328">
        <v>35000</v>
      </c>
      <c r="BI469" s="328"/>
      <c r="BJ469" s="329">
        <v>35000</v>
      </c>
      <c r="BL469" s="317">
        <f>ROW()</f>
        <v>469</v>
      </c>
      <c r="BM469" s="1432">
        <f t="shared" si="406"/>
        <v>216.41778158950183</v>
      </c>
      <c r="BN469" s="321">
        <f t="shared" si="404"/>
        <v>1.0416309145834481</v>
      </c>
      <c r="BO469" s="317"/>
      <c r="BP469" s="321">
        <f t="shared" si="405"/>
        <v>0.95604350024877205</v>
      </c>
      <c r="BR469" s="8"/>
    </row>
    <row r="470" spans="1:70" ht="18" thickBot="1" x14ac:dyDescent="0.6">
      <c r="AH470" s="1029"/>
      <c r="AI470" s="1029"/>
      <c r="AJ470" s="1029"/>
      <c r="AK470" s="1029"/>
      <c r="AL470" s="1029"/>
      <c r="AM470" s="1029"/>
      <c r="AN470" s="1029"/>
      <c r="AO470" s="1029"/>
      <c r="AP470" s="1029"/>
      <c r="AR470" s="1029"/>
      <c r="AS470" s="1029"/>
    </row>
    <row r="471" spans="1:70" ht="17.399999999999999" customHeight="1" x14ac:dyDescent="0.55000000000000004">
      <c r="A471" s="7216" t="s">
        <v>1141</v>
      </c>
      <c r="B471" s="41" t="s">
        <v>434</v>
      </c>
      <c r="C471" s="206"/>
      <c r="D471" s="270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2"/>
      <c r="R471" s="2266"/>
      <c r="S471" s="270"/>
      <c r="T471" s="271"/>
      <c r="U471" s="271"/>
      <c r="V471" s="271"/>
      <c r="W471" s="271"/>
      <c r="X471" s="271"/>
      <c r="Y471" s="271"/>
      <c r="Z471" s="271"/>
      <c r="AA471" s="271"/>
      <c r="AB471" s="271"/>
      <c r="AC471" s="271"/>
      <c r="AD471" s="271"/>
      <c r="AE471" s="271"/>
      <c r="AF471" s="272"/>
      <c r="AG471" s="374"/>
      <c r="AH471" s="270"/>
      <c r="AI471" s="271"/>
      <c r="AJ471" s="271"/>
      <c r="AK471" s="271"/>
      <c r="AL471" s="271"/>
      <c r="AM471" s="271"/>
      <c r="AN471" s="271"/>
      <c r="AO471" s="271"/>
      <c r="AP471" s="271"/>
      <c r="AQ471" s="271"/>
      <c r="AR471" s="271"/>
      <c r="AS471" s="271"/>
      <c r="AT471" s="271"/>
      <c r="AU471" s="272"/>
      <c r="AV471" s="374"/>
      <c r="AW471" s="2010"/>
      <c r="AX471" s="271"/>
      <c r="AY471" s="271"/>
      <c r="AZ471" s="271"/>
      <c r="BA471" s="271"/>
      <c r="BB471" s="271"/>
      <c r="BC471" s="271"/>
      <c r="BD471" s="271"/>
      <c r="BE471" s="271"/>
      <c r="BF471" s="271"/>
      <c r="BG471" s="271"/>
      <c r="BH471" s="271"/>
      <c r="BI471" s="271"/>
      <c r="BJ471" s="272"/>
      <c r="BM471" s="1432"/>
      <c r="BN471" s="321" t="e">
        <f t="shared" ref="BN471:BN476" si="410">BA120/BA471</f>
        <v>#DIV/0!</v>
      </c>
      <c r="BO471" s="317"/>
      <c r="BP471" s="321" t="e">
        <f t="shared" ref="BP471:BP476" si="411">BJ120/BJ471</f>
        <v>#DIV/0!</v>
      </c>
      <c r="BR471" s="8"/>
    </row>
    <row r="472" spans="1:70" ht="17.399999999999999" customHeight="1" x14ac:dyDescent="0.55000000000000004">
      <c r="A472" s="7217"/>
      <c r="B472" s="42"/>
      <c r="C472" s="156" t="s">
        <v>424</v>
      </c>
      <c r="D472" s="324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6"/>
      <c r="R472" s="2266"/>
      <c r="S472" s="324"/>
      <c r="T472" s="325"/>
      <c r="U472" s="325"/>
      <c r="V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6"/>
      <c r="AG472" s="374"/>
      <c r="AH472" s="324"/>
      <c r="AI472" s="325"/>
      <c r="AJ472" s="325"/>
      <c r="AK472" s="325"/>
      <c r="AL472" s="325"/>
      <c r="AM472" s="325"/>
      <c r="AN472" s="325"/>
      <c r="AO472" s="325"/>
      <c r="AP472" s="325"/>
      <c r="AQ472" s="325"/>
      <c r="AR472" s="325"/>
      <c r="AS472" s="325"/>
      <c r="AT472" s="325"/>
      <c r="AU472" s="326"/>
      <c r="AV472" s="374"/>
      <c r="AW472" s="324"/>
      <c r="AX472" s="325"/>
      <c r="AY472" s="325"/>
      <c r="AZ472" s="325"/>
      <c r="BA472" s="325"/>
      <c r="BB472" s="325"/>
      <c r="BC472" s="325">
        <v>60000</v>
      </c>
      <c r="BD472" s="325">
        <v>60000</v>
      </c>
      <c r="BE472" s="325">
        <v>60000</v>
      </c>
      <c r="BF472" s="325">
        <v>60000</v>
      </c>
      <c r="BG472" s="325">
        <v>60000</v>
      </c>
      <c r="BH472" s="325">
        <v>60000</v>
      </c>
      <c r="BI472" s="325"/>
      <c r="BJ472" s="326"/>
      <c r="BM472" s="1432"/>
      <c r="BN472" s="321" t="e">
        <f t="shared" si="410"/>
        <v>#DIV/0!</v>
      </c>
      <c r="BO472" s="317"/>
      <c r="BP472" s="321" t="e">
        <f t="shared" si="411"/>
        <v>#DIV/0!</v>
      </c>
      <c r="BR472" s="8"/>
    </row>
    <row r="473" spans="1:70" ht="17.399999999999999" customHeight="1" x14ac:dyDescent="0.55000000000000004">
      <c r="A473" s="7217"/>
      <c r="B473" s="232"/>
      <c r="C473" s="156" t="s">
        <v>1112</v>
      </c>
      <c r="D473" s="324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6"/>
      <c r="R473" s="2266"/>
      <c r="S473" s="324"/>
      <c r="T473" s="325"/>
      <c r="U473" s="325"/>
      <c r="V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6"/>
      <c r="AG473" s="374"/>
      <c r="AH473" s="324"/>
      <c r="AI473" s="325"/>
      <c r="AJ473" s="325"/>
      <c r="AK473" s="325"/>
      <c r="AL473" s="325"/>
      <c r="AM473" s="325"/>
      <c r="AN473" s="325"/>
      <c r="AO473" s="325"/>
      <c r="AP473" s="325"/>
      <c r="AQ473" s="325"/>
      <c r="AR473" s="325"/>
      <c r="AS473" s="325"/>
      <c r="AT473" s="325"/>
      <c r="AU473" s="326"/>
      <c r="AV473" s="374"/>
      <c r="AW473" s="324"/>
      <c r="AX473" s="325"/>
      <c r="AY473" s="325"/>
      <c r="AZ473" s="325"/>
      <c r="BA473" s="325"/>
      <c r="BB473" s="325"/>
      <c r="BC473" s="325"/>
      <c r="BD473" s="325"/>
      <c r="BE473" s="325"/>
      <c r="BF473" s="325"/>
      <c r="BG473" s="325"/>
      <c r="BH473" s="325"/>
      <c r="BI473" s="325"/>
      <c r="BJ473" s="326"/>
      <c r="BM473" s="1432"/>
      <c r="BN473" s="321" t="e">
        <f t="shared" si="410"/>
        <v>#DIV/0!</v>
      </c>
      <c r="BO473" s="317"/>
      <c r="BP473" s="321" t="e">
        <f t="shared" si="411"/>
        <v>#DIV/0!</v>
      </c>
      <c r="BR473" s="8"/>
    </row>
    <row r="474" spans="1:70" ht="17.399999999999999" customHeight="1" x14ac:dyDescent="0.55000000000000004">
      <c r="A474" s="7217"/>
      <c r="B474" s="42"/>
      <c r="C474" s="156" t="s">
        <v>426</v>
      </c>
      <c r="D474" s="324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6"/>
      <c r="R474" s="2266"/>
      <c r="S474" s="324"/>
      <c r="T474" s="325"/>
      <c r="U474" s="325"/>
      <c r="V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6"/>
      <c r="AG474" s="374"/>
      <c r="AH474" s="324"/>
      <c r="AI474" s="325"/>
      <c r="AJ474" s="325"/>
      <c r="AK474" s="325"/>
      <c r="AL474" s="325"/>
      <c r="AM474" s="325"/>
      <c r="AN474" s="325"/>
      <c r="AO474" s="325"/>
      <c r="AP474" s="325"/>
      <c r="AQ474" s="325"/>
      <c r="AR474" s="325"/>
      <c r="AS474" s="325"/>
      <c r="AT474" s="325"/>
      <c r="AU474" s="326"/>
      <c r="AV474" s="374"/>
      <c r="AW474" s="324"/>
      <c r="AX474" s="325"/>
      <c r="AY474" s="325"/>
      <c r="AZ474" s="325"/>
      <c r="BA474" s="325"/>
      <c r="BB474" s="325"/>
      <c r="BC474" s="325">
        <v>68000</v>
      </c>
      <c r="BD474" s="325">
        <v>68000</v>
      </c>
      <c r="BE474" s="325">
        <v>68000</v>
      </c>
      <c r="BF474" s="325">
        <v>68000</v>
      </c>
      <c r="BG474" s="325">
        <v>68000</v>
      </c>
      <c r="BH474" s="325">
        <v>68000</v>
      </c>
      <c r="BI474" s="325"/>
      <c r="BJ474" s="326"/>
      <c r="BM474" s="1432"/>
      <c r="BN474" s="321" t="e">
        <f t="shared" si="410"/>
        <v>#DIV/0!</v>
      </c>
      <c r="BO474" s="317"/>
      <c r="BP474" s="321" t="e">
        <f t="shared" si="411"/>
        <v>#DIV/0!</v>
      </c>
      <c r="BR474" s="8"/>
    </row>
    <row r="475" spans="1:70" ht="17.399999999999999" customHeight="1" x14ac:dyDescent="0.55000000000000004">
      <c r="A475" s="7217"/>
      <c r="B475" s="42"/>
      <c r="C475" s="156" t="s">
        <v>954</v>
      </c>
      <c r="D475" s="324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6"/>
      <c r="R475" s="2266"/>
      <c r="S475" s="324"/>
      <c r="T475" s="325"/>
      <c r="U475" s="325"/>
      <c r="V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6"/>
      <c r="AG475" s="374"/>
      <c r="AH475" s="324"/>
      <c r="AI475" s="325"/>
      <c r="AJ475" s="325"/>
      <c r="AK475" s="325"/>
      <c r="AL475" s="325"/>
      <c r="AM475" s="325"/>
      <c r="AN475" s="325"/>
      <c r="AO475" s="325"/>
      <c r="AP475" s="325"/>
      <c r="AQ475" s="325"/>
      <c r="AR475" s="325"/>
      <c r="AS475" s="325"/>
      <c r="AT475" s="325"/>
      <c r="AU475" s="326"/>
      <c r="AV475" s="374"/>
      <c r="AW475" s="324"/>
      <c r="AX475" s="325"/>
      <c r="AY475" s="325"/>
      <c r="AZ475" s="325"/>
      <c r="BA475" s="325"/>
      <c r="BB475" s="325"/>
      <c r="BC475" s="325">
        <v>49000</v>
      </c>
      <c r="BD475" s="325">
        <v>49000</v>
      </c>
      <c r="BE475" s="325">
        <v>49000</v>
      </c>
      <c r="BF475" s="325">
        <v>49000</v>
      </c>
      <c r="BG475" s="325">
        <v>49000</v>
      </c>
      <c r="BH475" s="325">
        <v>49000</v>
      </c>
      <c r="BI475" s="325"/>
      <c r="BJ475" s="326"/>
      <c r="BM475" s="1432"/>
      <c r="BN475" s="321" t="e">
        <f t="shared" si="410"/>
        <v>#DIV/0!</v>
      </c>
      <c r="BO475" s="317"/>
      <c r="BP475" s="321" t="e">
        <f t="shared" si="411"/>
        <v>#DIV/0!</v>
      </c>
      <c r="BR475" s="8"/>
    </row>
    <row r="476" spans="1:70" ht="17.399999999999999" customHeight="1" thickBot="1" x14ac:dyDescent="0.6">
      <c r="A476" s="7218"/>
      <c r="B476" s="233"/>
      <c r="C476" s="216" t="s">
        <v>427</v>
      </c>
      <c r="D476" s="327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9"/>
      <c r="R476" s="2266"/>
      <c r="S476" s="327"/>
      <c r="T476" s="328"/>
      <c r="U476" s="328"/>
      <c r="V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9"/>
      <c r="AG476" s="374"/>
      <c r="AH476" s="327"/>
      <c r="AI476" s="328"/>
      <c r="AJ476" s="328"/>
      <c r="AK476" s="328"/>
      <c r="AL476" s="328"/>
      <c r="AM476" s="328"/>
      <c r="AN476" s="328"/>
      <c r="AO476" s="328"/>
      <c r="AP476" s="328"/>
      <c r="AQ476" s="328"/>
      <c r="AR476" s="328"/>
      <c r="AS476" s="328"/>
      <c r="AT476" s="328"/>
      <c r="AU476" s="329"/>
      <c r="AV476" s="374"/>
      <c r="AW476" s="327"/>
      <c r="AX476" s="328"/>
      <c r="AY476" s="328"/>
      <c r="AZ476" s="328"/>
      <c r="BA476" s="328"/>
      <c r="BB476" s="328"/>
      <c r="BC476" s="328">
        <v>35000</v>
      </c>
      <c r="BD476" s="328">
        <v>35000</v>
      </c>
      <c r="BE476" s="328">
        <v>35000</v>
      </c>
      <c r="BF476" s="328">
        <v>35000</v>
      </c>
      <c r="BG476" s="328">
        <v>35000</v>
      </c>
      <c r="BH476" s="328">
        <v>35000</v>
      </c>
      <c r="BI476" s="328"/>
      <c r="BJ476" s="329"/>
      <c r="BM476" s="1432"/>
      <c r="BN476" s="321" t="e">
        <f t="shared" si="410"/>
        <v>#DIV/0!</v>
      </c>
      <c r="BO476" s="317"/>
      <c r="BP476" s="321" t="e">
        <f t="shared" si="411"/>
        <v>#DIV/0!</v>
      </c>
      <c r="BR476" s="8"/>
    </row>
    <row r="477" spans="1:70" ht="18" thickBot="1" x14ac:dyDescent="0.6">
      <c r="D477" s="1029"/>
      <c r="E477" s="1029"/>
      <c r="F477" s="1029"/>
      <c r="G477" s="1029"/>
      <c r="H477" s="1029"/>
      <c r="I477" s="1029"/>
      <c r="J477" s="1029"/>
      <c r="K477" s="1029"/>
      <c r="L477" s="1029"/>
      <c r="M477" s="1029"/>
      <c r="N477" s="1029"/>
      <c r="O477" s="1029"/>
      <c r="P477" s="1029"/>
      <c r="Q477" s="1029"/>
      <c r="R477" s="2266"/>
      <c r="S477" s="1029"/>
      <c r="T477" s="1029"/>
      <c r="U477" s="1029"/>
      <c r="V477" s="1029"/>
      <c r="W477" s="1029"/>
      <c r="X477" s="1029"/>
      <c r="Y477" s="1029"/>
      <c r="Z477" s="1029"/>
      <c r="AA477" s="1029"/>
      <c r="AB477" s="1029"/>
      <c r="AC477" s="1029"/>
      <c r="AD477" s="1029"/>
      <c r="AE477" s="1029"/>
      <c r="AF477" s="1029"/>
      <c r="AG477" s="2266"/>
      <c r="AH477" s="1029"/>
      <c r="AI477" s="1029"/>
      <c r="AJ477" s="1029"/>
      <c r="AK477" s="1029"/>
      <c r="AL477" s="1029"/>
      <c r="AM477" s="1029"/>
      <c r="AN477" s="1029"/>
      <c r="AO477" s="1029"/>
      <c r="AP477" s="1029"/>
      <c r="AR477" s="1029"/>
      <c r="AS477" s="1029"/>
      <c r="AT477" s="1029"/>
      <c r="AU477" s="1029"/>
      <c r="AV477" s="2266"/>
    </row>
    <row r="478" spans="1:70" ht="17.399999999999999" customHeight="1" x14ac:dyDescent="0.55000000000000004">
      <c r="A478" s="7228" t="s">
        <v>533</v>
      </c>
      <c r="B478" s="41" t="s">
        <v>532</v>
      </c>
      <c r="C478" s="206"/>
      <c r="D478" s="270">
        <f t="shared" ref="D478:O478" si="412">SUM(D479:D482)</f>
        <v>0</v>
      </c>
      <c r="E478" s="271">
        <f t="shared" si="412"/>
        <v>0</v>
      </c>
      <c r="F478" s="271">
        <f t="shared" si="412"/>
        <v>0</v>
      </c>
      <c r="G478" s="271">
        <f t="shared" si="412"/>
        <v>0</v>
      </c>
      <c r="H478" s="271">
        <f t="shared" si="412"/>
        <v>0</v>
      </c>
      <c r="I478" s="271">
        <f t="shared" si="412"/>
        <v>0</v>
      </c>
      <c r="J478" s="271">
        <f t="shared" si="412"/>
        <v>0</v>
      </c>
      <c r="K478" s="271">
        <f t="shared" si="412"/>
        <v>0</v>
      </c>
      <c r="L478" s="271">
        <f t="shared" si="412"/>
        <v>0</v>
      </c>
      <c r="M478" s="271">
        <f t="shared" si="412"/>
        <v>0</v>
      </c>
      <c r="N478" s="271">
        <f t="shared" si="412"/>
        <v>0</v>
      </c>
      <c r="O478" s="271">
        <f t="shared" si="412"/>
        <v>0</v>
      </c>
      <c r="P478" s="271">
        <f>SUM(D478:O478)</f>
        <v>0</v>
      </c>
      <c r="Q478" s="272">
        <f>P478/12</f>
        <v>0</v>
      </c>
      <c r="S478" s="270">
        <f t="shared" ref="S478:AD478" si="413">SUM(S479:S482)</f>
        <v>8363</v>
      </c>
      <c r="T478" s="271">
        <f t="shared" si="413"/>
        <v>9409</v>
      </c>
      <c r="U478" s="271">
        <f t="shared" si="413"/>
        <v>9035</v>
      </c>
      <c r="V478" s="271">
        <f t="shared" si="413"/>
        <v>8610</v>
      </c>
      <c r="W478" s="271">
        <f t="shared" si="413"/>
        <v>9312</v>
      </c>
      <c r="X478" s="271">
        <f t="shared" si="413"/>
        <v>9162</v>
      </c>
      <c r="Y478" s="271">
        <f t="shared" si="413"/>
        <v>7808</v>
      </c>
      <c r="Z478" s="271">
        <f t="shared" si="413"/>
        <v>10995</v>
      </c>
      <c r="AA478" s="271">
        <f t="shared" si="413"/>
        <v>8212</v>
      </c>
      <c r="AB478" s="271">
        <f t="shared" si="413"/>
        <v>11539</v>
      </c>
      <c r="AC478" s="271">
        <f t="shared" si="413"/>
        <v>8607</v>
      </c>
      <c r="AD478" s="271">
        <f t="shared" si="413"/>
        <v>8358</v>
      </c>
      <c r="AE478" s="271">
        <f>SUM(S478:AD478)</f>
        <v>109410</v>
      </c>
      <c r="AF478" s="272">
        <f>AE478/12</f>
        <v>9117.5</v>
      </c>
      <c r="AG478" s="374"/>
      <c r="AH478" s="270">
        <v>9769</v>
      </c>
      <c r="AI478" s="271">
        <v>7423.5</v>
      </c>
      <c r="AJ478" s="271">
        <v>7093.2857142857138</v>
      </c>
      <c r="AK478" s="271">
        <v>8135</v>
      </c>
      <c r="AL478" s="271">
        <v>8600</v>
      </c>
      <c r="AM478" s="271">
        <v>8700</v>
      </c>
      <c r="AN478" s="271">
        <v>11500</v>
      </c>
      <c r="AO478" s="271">
        <v>8900</v>
      </c>
      <c r="AP478" s="271">
        <v>10200</v>
      </c>
      <c r="AQ478" s="271">
        <v>9400</v>
      </c>
      <c r="AR478" s="271">
        <v>8650</v>
      </c>
      <c r="AS478" s="271">
        <v>8650</v>
      </c>
      <c r="AT478" s="271">
        <f>SUM(AH478:AS478)</f>
        <v>107020.78571428571</v>
      </c>
      <c r="AU478" s="272">
        <f>AT478/12</f>
        <v>8918.3988095238092</v>
      </c>
      <c r="AV478" s="374"/>
      <c r="AW478" s="2010">
        <v>4295</v>
      </c>
      <c r="AX478" s="271">
        <v>12100</v>
      </c>
      <c r="AY478" s="271">
        <v>9500</v>
      </c>
      <c r="AZ478" s="271">
        <v>9600</v>
      </c>
      <c r="BA478" s="271">
        <v>10600</v>
      </c>
      <c r="BB478" s="271">
        <v>17000</v>
      </c>
      <c r="BC478" s="271">
        <v>14000</v>
      </c>
      <c r="BD478" s="271">
        <v>11500</v>
      </c>
      <c r="BE478" s="271">
        <v>11500</v>
      </c>
      <c r="BF478" s="271">
        <v>9500</v>
      </c>
      <c r="BG478" s="271">
        <v>10050</v>
      </c>
      <c r="BH478" s="271">
        <v>8550</v>
      </c>
      <c r="BI478" s="271">
        <f>SUM(AW478:BH478)</f>
        <v>128195</v>
      </c>
      <c r="BJ478" s="272">
        <f>BI478/$A$2</f>
        <v>10682.02649779185</v>
      </c>
      <c r="BL478" s="317">
        <f>ROW()</f>
        <v>478</v>
      </c>
      <c r="BM478" s="1432">
        <f>HLOOKUP($A$2,$AW$2:$BH$511,BL192-1,0)-HLOOKUP($A$2,$AW$2:$BH$511,BL478-1,0)</f>
        <v>-1027</v>
      </c>
      <c r="BN478" s="321">
        <f>BA192/BA478</f>
        <v>1.6526415094339624</v>
      </c>
      <c r="BO478" s="317">
        <f>BI192-BI478</f>
        <v>-1711</v>
      </c>
      <c r="BP478" s="321">
        <f>BI192/BI478</f>
        <v>0.98665314559850226</v>
      </c>
      <c r="BR478" s="8"/>
    </row>
    <row r="479" spans="1:70" ht="17.399999999999999" customHeight="1" x14ac:dyDescent="0.55000000000000004">
      <c r="A479" s="7229"/>
      <c r="B479" s="42"/>
      <c r="C479" s="213" t="s">
        <v>424</v>
      </c>
      <c r="D479" s="273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>
        <f t="shared" ref="P479:P510" si="414">SUM(D479:O479)</f>
        <v>0</v>
      </c>
      <c r="Q479" s="275">
        <f t="shared" ref="Q479:Q510" si="415">P479/12</f>
        <v>0</v>
      </c>
      <c r="S479" s="273">
        <v>2674</v>
      </c>
      <c r="T479" s="274">
        <v>2945</v>
      </c>
      <c r="U479" s="274">
        <v>2776</v>
      </c>
      <c r="V479" s="274">
        <v>2674</v>
      </c>
      <c r="W479" s="274">
        <v>2810</v>
      </c>
      <c r="X479" s="274">
        <v>2843</v>
      </c>
      <c r="Y479" s="274">
        <v>2471</v>
      </c>
      <c r="Z479" s="274">
        <v>3453</v>
      </c>
      <c r="AA479" s="274">
        <v>2573</v>
      </c>
      <c r="AB479" s="274">
        <v>3419</v>
      </c>
      <c r="AC479" s="274">
        <v>2674</v>
      </c>
      <c r="AD479" s="274">
        <v>2667</v>
      </c>
      <c r="AE479" s="274">
        <f t="shared" ref="AE479:AE510" si="416">SUM(S479:AD479)</f>
        <v>33979</v>
      </c>
      <c r="AF479" s="275">
        <f t="shared" ref="AF479:AF510" si="417">AE479/12</f>
        <v>2831.5833333333335</v>
      </c>
      <c r="AG479" s="374"/>
      <c r="AH479" s="273">
        <v>4147</v>
      </c>
      <c r="AI479" s="274">
        <v>3200</v>
      </c>
      <c r="AJ479" s="274">
        <v>3200</v>
      </c>
      <c r="AK479" s="274">
        <v>3500</v>
      </c>
      <c r="AL479" s="274">
        <v>3800</v>
      </c>
      <c r="AM479" s="274">
        <v>3800</v>
      </c>
      <c r="AN479" s="274">
        <v>4500</v>
      </c>
      <c r="AO479" s="274">
        <v>3500</v>
      </c>
      <c r="AP479" s="274">
        <v>4000</v>
      </c>
      <c r="AQ479" s="274">
        <v>3700</v>
      </c>
      <c r="AR479" s="274">
        <v>3300</v>
      </c>
      <c r="AS479" s="274">
        <v>3300</v>
      </c>
      <c r="AT479" s="274">
        <f t="shared" ref="AT479:AT510" si="418">SUM(AH479:AS479)</f>
        <v>43947</v>
      </c>
      <c r="AU479" s="275">
        <f t="shared" ref="AU479:AU510" si="419">AT479/12</f>
        <v>3662.25</v>
      </c>
      <c r="AV479" s="374"/>
      <c r="AW479" s="2011">
        <v>3700</v>
      </c>
      <c r="AX479" s="274">
        <v>4500</v>
      </c>
      <c r="AY479" s="274">
        <v>3800</v>
      </c>
      <c r="AZ479" s="274">
        <v>3900</v>
      </c>
      <c r="BA479" s="274">
        <v>4100</v>
      </c>
      <c r="BB479" s="274">
        <v>7500</v>
      </c>
      <c r="BC479" s="274">
        <v>5500</v>
      </c>
      <c r="BD479" s="274">
        <v>4200</v>
      </c>
      <c r="BE479" s="274">
        <v>4200</v>
      </c>
      <c r="BF479" s="274">
        <v>3800</v>
      </c>
      <c r="BG479" s="274">
        <v>3300</v>
      </c>
      <c r="BH479" s="274">
        <v>3000</v>
      </c>
      <c r="BI479" s="274">
        <f>SUM(AW479:BH479)</f>
        <v>51500</v>
      </c>
      <c r="BJ479" s="275">
        <f>BI479/$A$2</f>
        <v>4291.3090575785354</v>
      </c>
      <c r="BL479" s="317">
        <f>ROW()</f>
        <v>479</v>
      </c>
      <c r="BM479" s="1432">
        <f>HLOOKUP($A$2,$AW$2:$BH$511,BL199-1,0)-HLOOKUP($A$2,$AW$2:$BH$511,BL479-1,0)</f>
        <v>-315</v>
      </c>
      <c r="BN479" s="321">
        <f>BA199/BA479</f>
        <v>1.8446341463414633</v>
      </c>
      <c r="BO479" s="317">
        <f>BI199-BI479</f>
        <v>-2372</v>
      </c>
      <c r="BP479" s="321">
        <f>BI199/BI479</f>
        <v>0.95394174757281558</v>
      </c>
      <c r="BR479" s="8"/>
    </row>
    <row r="480" spans="1:70" ht="17.399999999999999" customHeight="1" x14ac:dyDescent="0.55000000000000004">
      <c r="A480" s="7229"/>
      <c r="B480" s="42"/>
      <c r="C480" s="213" t="s">
        <v>1112</v>
      </c>
      <c r="D480" s="273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>
        <f>SUM(D480:O480)</f>
        <v>0</v>
      </c>
      <c r="Q480" s="275">
        <f>P480/12</f>
        <v>0</v>
      </c>
      <c r="R480" s="2229"/>
      <c r="S480" s="273">
        <v>1518</v>
      </c>
      <c r="T480" s="274">
        <v>1789</v>
      </c>
      <c r="U480" s="274">
        <v>1811</v>
      </c>
      <c r="V480" s="274">
        <v>1810</v>
      </c>
      <c r="W480" s="274">
        <v>1981</v>
      </c>
      <c r="X480" s="274">
        <v>2079</v>
      </c>
      <c r="Y480" s="274">
        <v>1807</v>
      </c>
      <c r="Z480" s="274">
        <v>2597</v>
      </c>
      <c r="AA480" s="274">
        <v>2027</v>
      </c>
      <c r="AB480" s="274">
        <v>2718</v>
      </c>
      <c r="AC480" s="274">
        <v>2319</v>
      </c>
      <c r="AD480" s="274">
        <v>2294</v>
      </c>
      <c r="AE480" s="274">
        <f>SUM(S480:AD480)</f>
        <v>24750</v>
      </c>
      <c r="AF480" s="275">
        <f>AE480/12</f>
        <v>2062.5</v>
      </c>
      <c r="AG480" s="374"/>
      <c r="AH480" s="273">
        <v>1630</v>
      </c>
      <c r="AI480" s="274">
        <v>1275.5</v>
      </c>
      <c r="AJ480" s="274">
        <v>1093.285714285714</v>
      </c>
      <c r="AK480" s="274">
        <v>1095</v>
      </c>
      <c r="AL480" s="274">
        <v>1100</v>
      </c>
      <c r="AM480" s="274">
        <v>1200</v>
      </c>
      <c r="AN480" s="274">
        <v>1500</v>
      </c>
      <c r="AO480" s="274">
        <v>1200</v>
      </c>
      <c r="AP480" s="274">
        <v>1500</v>
      </c>
      <c r="AQ480" s="274">
        <v>1500</v>
      </c>
      <c r="AR480" s="274">
        <v>1200</v>
      </c>
      <c r="AS480" s="274">
        <v>1200</v>
      </c>
      <c r="AT480" s="274">
        <f>SUM(AH480:AS480)</f>
        <v>15493.785714285714</v>
      </c>
      <c r="AU480" s="275">
        <f t="shared" ref="AU480" si="420">AT480/12</f>
        <v>1291.1488095238094</v>
      </c>
      <c r="AV480" s="374"/>
      <c r="AW480" s="2011">
        <v>1500</v>
      </c>
      <c r="AX480" s="274">
        <v>2000</v>
      </c>
      <c r="AY480" s="274">
        <v>1500</v>
      </c>
      <c r="AZ480" s="274">
        <v>1500</v>
      </c>
      <c r="BA480" s="274">
        <v>2000</v>
      </c>
      <c r="BB480" s="274">
        <v>2000</v>
      </c>
      <c r="BC480" s="274">
        <v>2000</v>
      </c>
      <c r="BD480" s="274">
        <v>2000</v>
      </c>
      <c r="BE480" s="274">
        <v>2000</v>
      </c>
      <c r="BF480" s="274">
        <v>1500</v>
      </c>
      <c r="BG480" s="274">
        <v>2500</v>
      </c>
      <c r="BH480" s="274">
        <v>1500</v>
      </c>
      <c r="BI480" s="274">
        <f>SUM(AW480:BH480)</f>
        <v>22000</v>
      </c>
      <c r="BJ480" s="275">
        <f>BI480/$A$2</f>
        <v>1833.1805682859763</v>
      </c>
      <c r="BL480" s="317">
        <f>ROW()</f>
        <v>480</v>
      </c>
      <c r="BM480" s="1432">
        <f t="shared" ref="BM480:BM482" si="421">HLOOKUP($A$2,$AW$2:$BH$511,BL200-1,0)-HLOOKUP($A$2,$AW$2:$BH$511,BL480-1,0)</f>
        <v>-614</v>
      </c>
      <c r="BN480" s="321">
        <f>BA200/BA480</f>
        <v>0.83950000000000002</v>
      </c>
      <c r="BO480" s="317">
        <f>BI200-BI480</f>
        <v>-3115</v>
      </c>
      <c r="BP480" s="321">
        <f>BI200/BI480</f>
        <v>0.8584090909090909</v>
      </c>
      <c r="BR480" s="8"/>
    </row>
    <row r="481" spans="1:70" ht="17.399999999999999" customHeight="1" x14ac:dyDescent="0.55000000000000004">
      <c r="A481" s="7229"/>
      <c r="B481" s="42"/>
      <c r="C481" s="213" t="s">
        <v>426</v>
      </c>
      <c r="D481" s="273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>
        <f>SUM(D481:O481)</f>
        <v>0</v>
      </c>
      <c r="Q481" s="275">
        <f>P481/12</f>
        <v>0</v>
      </c>
      <c r="S481" s="273">
        <v>3544</v>
      </c>
      <c r="T481" s="274">
        <v>3829</v>
      </c>
      <c r="U481" s="274">
        <v>3584</v>
      </c>
      <c r="V481" s="274">
        <v>3381</v>
      </c>
      <c r="W481" s="274">
        <v>3666</v>
      </c>
      <c r="X481" s="274">
        <v>3544</v>
      </c>
      <c r="Y481" s="274">
        <v>2851</v>
      </c>
      <c r="Z481" s="274">
        <v>3910</v>
      </c>
      <c r="AA481" s="274">
        <v>2933</v>
      </c>
      <c r="AB481" s="274">
        <v>3910</v>
      </c>
      <c r="AC481" s="274">
        <v>2892</v>
      </c>
      <c r="AD481" s="274">
        <v>2688</v>
      </c>
      <c r="AE481" s="274">
        <f>SUM(S481:AD481)</f>
        <v>40732</v>
      </c>
      <c r="AF481" s="275">
        <f>AE481/12</f>
        <v>3394.3333333333335</v>
      </c>
      <c r="AG481" s="374"/>
      <c r="AH481" s="273">
        <v>3922</v>
      </c>
      <c r="AI481" s="274">
        <v>2900</v>
      </c>
      <c r="AJ481" s="274">
        <v>2700</v>
      </c>
      <c r="AK481" s="274">
        <v>3400</v>
      </c>
      <c r="AL481" s="274">
        <v>3500</v>
      </c>
      <c r="AM481" s="274">
        <v>3500</v>
      </c>
      <c r="AN481" s="274">
        <v>5000</v>
      </c>
      <c r="AO481" s="274">
        <v>4000</v>
      </c>
      <c r="AP481" s="274">
        <v>4500</v>
      </c>
      <c r="AQ481" s="274">
        <v>4000</v>
      </c>
      <c r="AR481" s="274">
        <v>4000</v>
      </c>
      <c r="AS481" s="274">
        <v>4000</v>
      </c>
      <c r="AT481" s="274">
        <f>SUM(AH481:AS481)</f>
        <v>45422</v>
      </c>
      <c r="AU481" s="275">
        <f t="shared" si="419"/>
        <v>3785.1666666666665</v>
      </c>
      <c r="AV481" s="374"/>
      <c r="AW481" s="2011">
        <v>3800</v>
      </c>
      <c r="AX481" s="274">
        <v>5500</v>
      </c>
      <c r="AY481" s="274">
        <v>4100</v>
      </c>
      <c r="AZ481" s="274">
        <v>4100</v>
      </c>
      <c r="BA481" s="274">
        <v>4200</v>
      </c>
      <c r="BB481" s="274">
        <v>7000</v>
      </c>
      <c r="BC481" s="274">
        <v>5800</v>
      </c>
      <c r="BD481" s="274">
        <v>4800</v>
      </c>
      <c r="BE481" s="274">
        <v>4800</v>
      </c>
      <c r="BF481" s="274">
        <v>4100</v>
      </c>
      <c r="BG481" s="274">
        <v>4000</v>
      </c>
      <c r="BH481" s="274">
        <v>3800</v>
      </c>
      <c r="BI481" s="274">
        <f>SUM(AW481:BH481)</f>
        <v>56000</v>
      </c>
      <c r="BJ481" s="275">
        <f>BI481/$A$2</f>
        <v>4666.2778101824852</v>
      </c>
      <c r="BL481" s="317">
        <f>ROW()</f>
        <v>481</v>
      </c>
      <c r="BM481" s="1432">
        <f t="shared" si="421"/>
        <v>-106</v>
      </c>
      <c r="BN481" s="321">
        <f>BA201/BA481</f>
        <v>1.8457142857142856</v>
      </c>
      <c r="BO481" s="317">
        <f>BI201-BI481</f>
        <v>-1747</v>
      </c>
      <c r="BP481" s="321">
        <f>BI201/BI481</f>
        <v>0.96880357142857143</v>
      </c>
      <c r="BR481" s="8"/>
    </row>
    <row r="482" spans="1:70" ht="17.399999999999999" customHeight="1" x14ac:dyDescent="0.55000000000000004">
      <c r="A482" s="7229"/>
      <c r="B482" s="42"/>
      <c r="C482" s="214" t="s">
        <v>954</v>
      </c>
      <c r="D482" s="273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>
        <f>SUM(D482:O482)</f>
        <v>0</v>
      </c>
      <c r="Q482" s="275">
        <f>P482/12</f>
        <v>0</v>
      </c>
      <c r="S482" s="273">
        <v>627</v>
      </c>
      <c r="T482" s="274">
        <v>846</v>
      </c>
      <c r="U482" s="274">
        <v>864</v>
      </c>
      <c r="V482" s="274">
        <v>745</v>
      </c>
      <c r="W482" s="274">
        <v>855</v>
      </c>
      <c r="X482" s="274">
        <v>696</v>
      </c>
      <c r="Y482" s="274">
        <v>679</v>
      </c>
      <c r="Z482" s="274">
        <v>1035</v>
      </c>
      <c r="AA482" s="274">
        <v>679</v>
      </c>
      <c r="AB482" s="274">
        <v>1492</v>
      </c>
      <c r="AC482" s="274">
        <v>722</v>
      </c>
      <c r="AD482" s="274">
        <v>709</v>
      </c>
      <c r="AE482" s="274">
        <f>SUM(S482:AD482)</f>
        <v>9949</v>
      </c>
      <c r="AF482" s="275">
        <f>AE482/12</f>
        <v>829.08333333333337</v>
      </c>
      <c r="AG482" s="374"/>
      <c r="AH482" s="273">
        <v>70</v>
      </c>
      <c r="AI482" s="274">
        <v>48</v>
      </c>
      <c r="AJ482" s="274">
        <v>100</v>
      </c>
      <c r="AK482" s="274">
        <v>140</v>
      </c>
      <c r="AL482" s="274">
        <v>200</v>
      </c>
      <c r="AM482" s="274">
        <v>200</v>
      </c>
      <c r="AN482" s="274">
        <v>500</v>
      </c>
      <c r="AO482" s="274">
        <v>200</v>
      </c>
      <c r="AP482" s="274">
        <v>200</v>
      </c>
      <c r="AQ482" s="274">
        <v>200</v>
      </c>
      <c r="AR482" s="274">
        <v>150</v>
      </c>
      <c r="AS482" s="274">
        <v>150</v>
      </c>
      <c r="AT482" s="274">
        <f>SUM(AH482:AS482)</f>
        <v>2158</v>
      </c>
      <c r="AU482" s="275">
        <f t="shared" si="419"/>
        <v>179.83333333333334</v>
      </c>
      <c r="AV482" s="374"/>
      <c r="AW482" s="2011">
        <v>200</v>
      </c>
      <c r="AX482" s="274">
        <v>100</v>
      </c>
      <c r="AY482" s="274">
        <v>100</v>
      </c>
      <c r="AZ482" s="274">
        <v>100</v>
      </c>
      <c r="BA482" s="274">
        <v>300</v>
      </c>
      <c r="BB482" s="274">
        <v>500</v>
      </c>
      <c r="BC482" s="274">
        <v>700</v>
      </c>
      <c r="BD482" s="274">
        <v>500</v>
      </c>
      <c r="BE482" s="274">
        <v>500</v>
      </c>
      <c r="BF482" s="274">
        <v>100</v>
      </c>
      <c r="BG482" s="274">
        <v>250</v>
      </c>
      <c r="BH482" s="274">
        <v>250</v>
      </c>
      <c r="BI482" s="274">
        <f>SUM(AW482:BH482)</f>
        <v>3600</v>
      </c>
      <c r="BJ482" s="275">
        <f>BI482/$A$2</f>
        <v>299.97500208315972</v>
      </c>
      <c r="BL482" s="317">
        <f>ROW()</f>
        <v>482</v>
      </c>
      <c r="BM482" s="1432">
        <f t="shared" si="421"/>
        <v>-8</v>
      </c>
      <c r="BN482" s="321">
        <f>BA202/BA482</f>
        <v>1.7466666666666666</v>
      </c>
      <c r="BO482" s="317">
        <f>BI202-BI482</f>
        <v>-674</v>
      </c>
      <c r="BP482" s="321">
        <f>BI202/BI482</f>
        <v>0.81277777777777782</v>
      </c>
      <c r="BR482" s="8"/>
    </row>
    <row r="483" spans="1:70" ht="17.399999999999999" customHeight="1" x14ac:dyDescent="0.55000000000000004">
      <c r="A483" s="7229"/>
      <c r="B483" s="7213" t="s">
        <v>430</v>
      </c>
      <c r="C483" s="199" t="s">
        <v>419</v>
      </c>
      <c r="D483" s="291">
        <f>D488+D489</f>
        <v>0</v>
      </c>
      <c r="E483" s="292">
        <f t="shared" ref="E483:O483" si="422">E488+E489</f>
        <v>0</v>
      </c>
      <c r="F483" s="292">
        <f t="shared" si="422"/>
        <v>0</v>
      </c>
      <c r="G483" s="292">
        <f t="shared" si="422"/>
        <v>0</v>
      </c>
      <c r="H483" s="292">
        <f t="shared" si="422"/>
        <v>0</v>
      </c>
      <c r="I483" s="292">
        <f t="shared" si="422"/>
        <v>0</v>
      </c>
      <c r="J483" s="292">
        <f t="shared" si="422"/>
        <v>0</v>
      </c>
      <c r="K483" s="292">
        <f t="shared" si="422"/>
        <v>0</v>
      </c>
      <c r="L483" s="292">
        <f t="shared" si="422"/>
        <v>0</v>
      </c>
      <c r="M483" s="292">
        <f t="shared" si="422"/>
        <v>0</v>
      </c>
      <c r="N483" s="292">
        <f t="shared" si="422"/>
        <v>0</v>
      </c>
      <c r="O483" s="292">
        <f t="shared" si="422"/>
        <v>0</v>
      </c>
      <c r="P483" s="292">
        <f t="shared" si="414"/>
        <v>0</v>
      </c>
      <c r="Q483" s="293">
        <f t="shared" si="415"/>
        <v>0</v>
      </c>
      <c r="S483" s="291">
        <f>S488+S489</f>
        <v>385</v>
      </c>
      <c r="T483" s="292">
        <f t="shared" ref="T483:AD483" si="423">T488+T489</f>
        <v>425</v>
      </c>
      <c r="U483" s="292">
        <f t="shared" si="423"/>
        <v>400</v>
      </c>
      <c r="V483" s="292">
        <f t="shared" si="423"/>
        <v>404</v>
      </c>
      <c r="W483" s="292">
        <f t="shared" si="423"/>
        <v>426</v>
      </c>
      <c r="X483" s="292">
        <f t="shared" si="423"/>
        <v>431</v>
      </c>
      <c r="Y483" s="292">
        <f t="shared" si="423"/>
        <v>385</v>
      </c>
      <c r="Z483" s="292">
        <f t="shared" si="423"/>
        <v>544</v>
      </c>
      <c r="AA483" s="292">
        <f t="shared" si="423"/>
        <v>404</v>
      </c>
      <c r="AB483" s="292">
        <f t="shared" si="423"/>
        <v>568</v>
      </c>
      <c r="AC483" s="292">
        <f t="shared" si="423"/>
        <v>439</v>
      </c>
      <c r="AD483" s="292">
        <f t="shared" si="423"/>
        <v>415</v>
      </c>
      <c r="AE483" s="292">
        <f t="shared" si="416"/>
        <v>5226</v>
      </c>
      <c r="AF483" s="293">
        <f t="shared" si="417"/>
        <v>435.5</v>
      </c>
      <c r="AG483" s="374"/>
      <c r="AH483" s="291">
        <v>612</v>
      </c>
      <c r="AI483" s="292">
        <v>473</v>
      </c>
      <c r="AJ483" s="292">
        <v>472</v>
      </c>
      <c r="AK483" s="292">
        <v>517</v>
      </c>
      <c r="AL483" s="292">
        <v>561</v>
      </c>
      <c r="AM483" s="292">
        <v>561</v>
      </c>
      <c r="AN483" s="292">
        <v>670</v>
      </c>
      <c r="AO483" s="292">
        <v>522</v>
      </c>
      <c r="AP483" s="292">
        <v>595</v>
      </c>
      <c r="AQ483" s="292">
        <v>476</v>
      </c>
      <c r="AR483" s="292">
        <v>491</v>
      </c>
      <c r="AS483" s="292">
        <v>491</v>
      </c>
      <c r="AT483" s="292">
        <f t="shared" si="418"/>
        <v>6441</v>
      </c>
      <c r="AU483" s="293">
        <f t="shared" si="419"/>
        <v>536.75</v>
      </c>
      <c r="AV483" s="374"/>
      <c r="AW483" s="2015">
        <v>549</v>
      </c>
      <c r="AX483" s="292">
        <v>668</v>
      </c>
      <c r="AY483" s="292">
        <v>565</v>
      </c>
      <c r="AZ483" s="292">
        <v>579</v>
      </c>
      <c r="BA483" s="292">
        <v>609</v>
      </c>
      <c r="BB483" s="292">
        <v>1114</v>
      </c>
      <c r="BC483" s="292">
        <v>817</v>
      </c>
      <c r="BD483" s="292">
        <v>624</v>
      </c>
      <c r="BE483" s="292">
        <v>624</v>
      </c>
      <c r="BF483" s="292">
        <v>565</v>
      </c>
      <c r="BG483" s="292">
        <v>490</v>
      </c>
      <c r="BH483" s="292">
        <v>446</v>
      </c>
      <c r="BI483" s="292">
        <f t="shared" ref="BI483:BI510" si="424">SUM(AW483:BH483)</f>
        <v>7650</v>
      </c>
      <c r="BJ483" s="293">
        <f t="shared" ref="BJ483:BJ510" si="425">BI483/$A$2</f>
        <v>637.44687942671442</v>
      </c>
      <c r="BL483" s="317">
        <f>ROW()</f>
        <v>483</v>
      </c>
      <c r="BM483" s="1432">
        <f>HLOOKUP($A$2,$AW$2:$BH$511,BL204-1,0)-HLOOKUP($A$2,$AW$2:$BH$511,BL483-1,0)</f>
        <v>-22</v>
      </c>
      <c r="BN483" s="321">
        <f t="shared" ref="BN483:BN510" si="426">BA204/BA483</f>
        <v>2.19376026272578</v>
      </c>
      <c r="BO483" s="317">
        <f t="shared" ref="BO483:BO510" si="427">BI204-BI483</f>
        <v>45</v>
      </c>
      <c r="BP483" s="321">
        <f t="shared" ref="BP483:BP510" si="428">BI204/BI483</f>
        <v>1.0058823529411764</v>
      </c>
      <c r="BR483" s="8"/>
    </row>
    <row r="484" spans="1:70" ht="17.399999999999999" customHeight="1" x14ac:dyDescent="0.55000000000000004">
      <c r="A484" s="7229"/>
      <c r="B484" s="7214"/>
      <c r="C484" s="200" t="s">
        <v>420</v>
      </c>
      <c r="D484" s="294">
        <f>D490+D491</f>
        <v>0</v>
      </c>
      <c r="E484" s="295">
        <f t="shared" ref="E484:O484" si="429">E490+E491</f>
        <v>0</v>
      </c>
      <c r="F484" s="295">
        <f t="shared" si="429"/>
        <v>0</v>
      </c>
      <c r="G484" s="295">
        <f t="shared" si="429"/>
        <v>0</v>
      </c>
      <c r="H484" s="295">
        <f t="shared" si="429"/>
        <v>0</v>
      </c>
      <c r="I484" s="295">
        <f t="shared" si="429"/>
        <v>0</v>
      </c>
      <c r="J484" s="295">
        <f t="shared" si="429"/>
        <v>0</v>
      </c>
      <c r="K484" s="295">
        <f t="shared" si="429"/>
        <v>0</v>
      </c>
      <c r="L484" s="295">
        <f t="shared" si="429"/>
        <v>0</v>
      </c>
      <c r="M484" s="295">
        <f t="shared" si="429"/>
        <v>0</v>
      </c>
      <c r="N484" s="295">
        <f t="shared" si="429"/>
        <v>0</v>
      </c>
      <c r="O484" s="295">
        <f t="shared" si="429"/>
        <v>0</v>
      </c>
      <c r="P484" s="295">
        <f t="shared" si="414"/>
        <v>0</v>
      </c>
      <c r="Q484" s="296">
        <f t="shared" si="415"/>
        <v>0</v>
      </c>
      <c r="S484" s="294">
        <f>S490+S491</f>
        <v>433</v>
      </c>
      <c r="T484" s="295">
        <f t="shared" ref="T484:AD484" si="430">T490+T491</f>
        <v>477</v>
      </c>
      <c r="U484" s="295">
        <f t="shared" si="430"/>
        <v>450</v>
      </c>
      <c r="V484" s="295">
        <f t="shared" si="430"/>
        <v>429</v>
      </c>
      <c r="W484" s="295">
        <f t="shared" si="430"/>
        <v>451</v>
      </c>
      <c r="X484" s="295">
        <f t="shared" si="430"/>
        <v>455</v>
      </c>
      <c r="Y484" s="295">
        <f t="shared" si="430"/>
        <v>400</v>
      </c>
      <c r="Z484" s="295">
        <f t="shared" si="430"/>
        <v>562</v>
      </c>
      <c r="AA484" s="295">
        <f t="shared" si="430"/>
        <v>415</v>
      </c>
      <c r="AB484" s="295">
        <f t="shared" si="430"/>
        <v>545</v>
      </c>
      <c r="AC484" s="295">
        <f t="shared" si="430"/>
        <v>436</v>
      </c>
      <c r="AD484" s="295">
        <f t="shared" si="430"/>
        <v>413</v>
      </c>
      <c r="AE484" s="295">
        <f t="shared" si="416"/>
        <v>5466</v>
      </c>
      <c r="AF484" s="296">
        <f t="shared" si="417"/>
        <v>455.5</v>
      </c>
      <c r="AG484" s="374"/>
      <c r="AH484" s="294">
        <v>679</v>
      </c>
      <c r="AI484" s="295">
        <v>524</v>
      </c>
      <c r="AJ484" s="295">
        <v>524</v>
      </c>
      <c r="AK484" s="295">
        <v>573</v>
      </c>
      <c r="AL484" s="295">
        <v>622</v>
      </c>
      <c r="AM484" s="295">
        <v>622</v>
      </c>
      <c r="AN484" s="295">
        <v>745</v>
      </c>
      <c r="AO484" s="295">
        <v>579</v>
      </c>
      <c r="AP484" s="295">
        <v>663</v>
      </c>
      <c r="AQ484" s="295">
        <v>530</v>
      </c>
      <c r="AR484" s="295">
        <v>547</v>
      </c>
      <c r="AS484" s="295">
        <v>547</v>
      </c>
      <c r="AT484" s="295">
        <f t="shared" si="418"/>
        <v>7155</v>
      </c>
      <c r="AU484" s="296">
        <f t="shared" si="419"/>
        <v>596.25</v>
      </c>
      <c r="AV484" s="374"/>
      <c r="AW484" s="2016">
        <v>630</v>
      </c>
      <c r="AX484" s="295">
        <v>766</v>
      </c>
      <c r="AY484" s="295">
        <v>646</v>
      </c>
      <c r="AZ484" s="295">
        <v>663</v>
      </c>
      <c r="BA484" s="295">
        <v>698</v>
      </c>
      <c r="BB484" s="295">
        <v>1276</v>
      </c>
      <c r="BC484" s="295">
        <v>936</v>
      </c>
      <c r="BD484" s="295">
        <v>714</v>
      </c>
      <c r="BE484" s="295">
        <v>714</v>
      </c>
      <c r="BF484" s="295">
        <v>646</v>
      </c>
      <c r="BG484" s="295">
        <v>562</v>
      </c>
      <c r="BH484" s="295">
        <v>510</v>
      </c>
      <c r="BI484" s="295">
        <f t="shared" si="424"/>
        <v>8761</v>
      </c>
      <c r="BJ484" s="296">
        <f t="shared" si="425"/>
        <v>730.02249812515629</v>
      </c>
      <c r="BL484" s="317">
        <f>ROW()</f>
        <v>484</v>
      </c>
      <c r="BM484" s="1432">
        <f t="shared" ref="BM484:BM496" si="431">HLOOKUP($A$2,$AW$2:$BH$511,BL205-1,0)-HLOOKUP($A$2,$AW$2:$BH$511,BL484-1,0)</f>
        <v>-4</v>
      </c>
      <c r="BN484" s="321">
        <f t="shared" si="426"/>
        <v>2.0530085959885387</v>
      </c>
      <c r="BO484" s="317">
        <f t="shared" si="427"/>
        <v>11</v>
      </c>
      <c r="BP484" s="321">
        <f t="shared" si="428"/>
        <v>1.0012555644332839</v>
      </c>
      <c r="BR484" s="8"/>
    </row>
    <row r="485" spans="1:70" ht="17.399999999999999" customHeight="1" x14ac:dyDescent="0.55000000000000004">
      <c r="A485" s="7229"/>
      <c r="B485" s="7214"/>
      <c r="C485" s="200" t="s">
        <v>421</v>
      </c>
      <c r="D485" s="294">
        <f>D492+D493</f>
        <v>0</v>
      </c>
      <c r="E485" s="295">
        <f t="shared" ref="E485:O485" si="432">E492+E493</f>
        <v>0</v>
      </c>
      <c r="F485" s="295">
        <f t="shared" si="432"/>
        <v>0</v>
      </c>
      <c r="G485" s="295">
        <f t="shared" si="432"/>
        <v>0</v>
      </c>
      <c r="H485" s="295">
        <f t="shared" si="432"/>
        <v>0</v>
      </c>
      <c r="I485" s="295">
        <f t="shared" si="432"/>
        <v>0</v>
      </c>
      <c r="J485" s="295">
        <f t="shared" si="432"/>
        <v>0</v>
      </c>
      <c r="K485" s="295">
        <f t="shared" si="432"/>
        <v>0</v>
      </c>
      <c r="L485" s="295">
        <f t="shared" si="432"/>
        <v>0</v>
      </c>
      <c r="M485" s="295">
        <f t="shared" si="432"/>
        <v>0</v>
      </c>
      <c r="N485" s="295">
        <f t="shared" si="432"/>
        <v>0</v>
      </c>
      <c r="O485" s="295">
        <f t="shared" si="432"/>
        <v>0</v>
      </c>
      <c r="P485" s="295">
        <f t="shared" si="414"/>
        <v>0</v>
      </c>
      <c r="Q485" s="296">
        <f t="shared" si="415"/>
        <v>0</v>
      </c>
      <c r="S485" s="294">
        <f>S492+S493</f>
        <v>590</v>
      </c>
      <c r="T485" s="295">
        <f t="shared" ref="T485:AD485" si="433">T492+T493</f>
        <v>650</v>
      </c>
      <c r="U485" s="295">
        <f t="shared" si="433"/>
        <v>612</v>
      </c>
      <c r="V485" s="295">
        <f t="shared" si="433"/>
        <v>584</v>
      </c>
      <c r="W485" s="295">
        <f t="shared" si="433"/>
        <v>609</v>
      </c>
      <c r="X485" s="295">
        <f t="shared" si="433"/>
        <v>620</v>
      </c>
      <c r="Y485" s="295">
        <f t="shared" si="433"/>
        <v>538</v>
      </c>
      <c r="Z485" s="295">
        <f t="shared" si="433"/>
        <v>760</v>
      </c>
      <c r="AA485" s="295">
        <f t="shared" si="433"/>
        <v>562</v>
      </c>
      <c r="AB485" s="295">
        <f t="shared" si="433"/>
        <v>739</v>
      </c>
      <c r="AC485" s="295">
        <f t="shared" si="433"/>
        <v>591</v>
      </c>
      <c r="AD485" s="295">
        <f t="shared" si="433"/>
        <v>552</v>
      </c>
      <c r="AE485" s="295">
        <f t="shared" si="416"/>
        <v>7407</v>
      </c>
      <c r="AF485" s="296">
        <f t="shared" si="417"/>
        <v>617.25</v>
      </c>
      <c r="AG485" s="374"/>
      <c r="AH485" s="294">
        <v>937</v>
      </c>
      <c r="AI485" s="295">
        <v>723</v>
      </c>
      <c r="AJ485" s="295">
        <v>723</v>
      </c>
      <c r="AK485" s="295">
        <v>790</v>
      </c>
      <c r="AL485" s="295">
        <v>859</v>
      </c>
      <c r="AM485" s="295">
        <v>859</v>
      </c>
      <c r="AN485" s="295">
        <v>1025</v>
      </c>
      <c r="AO485" s="295">
        <v>796</v>
      </c>
      <c r="AP485" s="295">
        <v>910</v>
      </c>
      <c r="AQ485" s="295">
        <v>728</v>
      </c>
      <c r="AR485" s="295">
        <v>750</v>
      </c>
      <c r="AS485" s="295">
        <v>750</v>
      </c>
      <c r="AT485" s="295">
        <f t="shared" si="418"/>
        <v>9850</v>
      </c>
      <c r="AU485" s="296">
        <f t="shared" si="419"/>
        <v>820.83333333333337</v>
      </c>
      <c r="AV485" s="374"/>
      <c r="AW485" s="2016">
        <v>870</v>
      </c>
      <c r="AX485" s="295">
        <v>1058</v>
      </c>
      <c r="AY485" s="295">
        <v>893</v>
      </c>
      <c r="AZ485" s="295">
        <v>917</v>
      </c>
      <c r="BA485" s="295">
        <v>964</v>
      </c>
      <c r="BB485" s="295">
        <v>1763</v>
      </c>
      <c r="BC485" s="295">
        <v>1293</v>
      </c>
      <c r="BD485" s="295">
        <v>987</v>
      </c>
      <c r="BE485" s="295">
        <v>987</v>
      </c>
      <c r="BF485" s="295">
        <v>893</v>
      </c>
      <c r="BG485" s="295">
        <v>775</v>
      </c>
      <c r="BH485" s="295">
        <v>705</v>
      </c>
      <c r="BI485" s="295">
        <f t="shared" si="424"/>
        <v>12105</v>
      </c>
      <c r="BJ485" s="296">
        <f t="shared" si="425"/>
        <v>1008.6659445046247</v>
      </c>
      <c r="BL485" s="317">
        <f>ROW()</f>
        <v>485</v>
      </c>
      <c r="BM485" s="1432">
        <f t="shared" si="431"/>
        <v>-13</v>
      </c>
      <c r="BN485" s="321">
        <f t="shared" si="426"/>
        <v>1.8309128630705394</v>
      </c>
      <c r="BO485" s="317">
        <f t="shared" si="427"/>
        <v>-409</v>
      </c>
      <c r="BP485" s="321">
        <f t="shared" si="428"/>
        <v>0.96621230896323829</v>
      </c>
      <c r="BR485" s="8"/>
    </row>
    <row r="486" spans="1:70" ht="17.399999999999999" customHeight="1" x14ac:dyDescent="0.55000000000000004">
      <c r="A486" s="7229"/>
      <c r="B486" s="7214"/>
      <c r="C486" s="200" t="s">
        <v>422</v>
      </c>
      <c r="D486" s="294">
        <f>D494+D495</f>
        <v>0</v>
      </c>
      <c r="E486" s="295">
        <f t="shared" ref="E486:O486" si="434">E494+E495</f>
        <v>0</v>
      </c>
      <c r="F486" s="295">
        <f t="shared" si="434"/>
        <v>0</v>
      </c>
      <c r="G486" s="295">
        <f t="shared" si="434"/>
        <v>0</v>
      </c>
      <c r="H486" s="295">
        <f t="shared" si="434"/>
        <v>0</v>
      </c>
      <c r="I486" s="295">
        <f t="shared" si="434"/>
        <v>0</v>
      </c>
      <c r="J486" s="295">
        <f t="shared" si="434"/>
        <v>0</v>
      </c>
      <c r="K486" s="295">
        <f t="shared" si="434"/>
        <v>0</v>
      </c>
      <c r="L486" s="295">
        <f t="shared" si="434"/>
        <v>0</v>
      </c>
      <c r="M486" s="295">
        <f t="shared" si="434"/>
        <v>0</v>
      </c>
      <c r="N486" s="295">
        <f t="shared" si="434"/>
        <v>0</v>
      </c>
      <c r="O486" s="295">
        <f t="shared" si="434"/>
        <v>0</v>
      </c>
      <c r="P486" s="295">
        <f t="shared" si="414"/>
        <v>0</v>
      </c>
      <c r="Q486" s="296">
        <f t="shared" si="415"/>
        <v>0</v>
      </c>
      <c r="S486" s="294">
        <f>S494+S495</f>
        <v>726</v>
      </c>
      <c r="T486" s="295">
        <f t="shared" ref="T486:AD486" si="435">T494+T495</f>
        <v>799</v>
      </c>
      <c r="U486" s="295">
        <f t="shared" si="435"/>
        <v>754</v>
      </c>
      <c r="V486" s="295">
        <f t="shared" si="435"/>
        <v>722</v>
      </c>
      <c r="W486" s="295">
        <f t="shared" si="435"/>
        <v>756</v>
      </c>
      <c r="X486" s="295">
        <f t="shared" si="435"/>
        <v>761</v>
      </c>
      <c r="Y486" s="295">
        <f t="shared" si="435"/>
        <v>659</v>
      </c>
      <c r="Z486" s="295">
        <f t="shared" si="435"/>
        <v>915</v>
      </c>
      <c r="AA486" s="295">
        <f t="shared" si="435"/>
        <v>680</v>
      </c>
      <c r="AB486" s="295">
        <f t="shared" si="435"/>
        <v>894</v>
      </c>
      <c r="AC486" s="295">
        <f t="shared" si="435"/>
        <v>674</v>
      </c>
      <c r="AD486" s="295">
        <f t="shared" si="435"/>
        <v>667</v>
      </c>
      <c r="AE486" s="295">
        <f t="shared" si="416"/>
        <v>9007</v>
      </c>
      <c r="AF486" s="296">
        <f t="shared" si="417"/>
        <v>750.58333333333337</v>
      </c>
      <c r="AG486" s="374"/>
      <c r="AH486" s="294">
        <v>1127</v>
      </c>
      <c r="AI486" s="295">
        <v>869</v>
      </c>
      <c r="AJ486" s="295">
        <v>869</v>
      </c>
      <c r="AK486" s="295">
        <v>952</v>
      </c>
      <c r="AL486" s="295">
        <v>1033</v>
      </c>
      <c r="AM486" s="295">
        <v>1033</v>
      </c>
      <c r="AN486" s="295">
        <v>1213</v>
      </c>
      <c r="AO486" s="295">
        <v>944</v>
      </c>
      <c r="AP486" s="295">
        <v>1079</v>
      </c>
      <c r="AQ486" s="295">
        <v>863</v>
      </c>
      <c r="AR486" s="295">
        <v>890</v>
      </c>
      <c r="AS486" s="295">
        <v>890</v>
      </c>
      <c r="AT486" s="295">
        <f t="shared" si="418"/>
        <v>11762</v>
      </c>
      <c r="AU486" s="296">
        <f t="shared" si="419"/>
        <v>980.16666666666663</v>
      </c>
      <c r="AV486" s="374"/>
      <c r="AW486" s="2016">
        <v>1000</v>
      </c>
      <c r="AX486" s="295">
        <v>1217</v>
      </c>
      <c r="AY486" s="295">
        <v>1028</v>
      </c>
      <c r="AZ486" s="295">
        <v>1055</v>
      </c>
      <c r="BA486" s="295">
        <v>1108</v>
      </c>
      <c r="BB486" s="295">
        <v>2028</v>
      </c>
      <c r="BC486" s="295">
        <v>1487</v>
      </c>
      <c r="BD486" s="295">
        <v>1136</v>
      </c>
      <c r="BE486" s="295">
        <v>1136</v>
      </c>
      <c r="BF486" s="295">
        <v>1028</v>
      </c>
      <c r="BG486" s="295">
        <v>892</v>
      </c>
      <c r="BH486" s="295">
        <v>811</v>
      </c>
      <c r="BI486" s="295">
        <f t="shared" si="424"/>
        <v>13926</v>
      </c>
      <c r="BJ486" s="296">
        <f t="shared" si="425"/>
        <v>1160.4032997250229</v>
      </c>
      <c r="BL486" s="317">
        <f>ROW()</f>
        <v>486</v>
      </c>
      <c r="BM486" s="1432">
        <f t="shared" si="431"/>
        <v>-200</v>
      </c>
      <c r="BN486" s="321">
        <f t="shared" si="426"/>
        <v>1.6407942238267148</v>
      </c>
      <c r="BO486" s="317">
        <f t="shared" si="427"/>
        <v>-1272</v>
      </c>
      <c r="BP486" s="321">
        <f t="shared" si="428"/>
        <v>0.90866006031882807</v>
      </c>
      <c r="BR486" s="8"/>
    </row>
    <row r="487" spans="1:70" ht="17.399999999999999" customHeight="1" x14ac:dyDescent="0.55000000000000004">
      <c r="A487" s="7229"/>
      <c r="B487" s="7215"/>
      <c r="C487" s="201" t="s">
        <v>423</v>
      </c>
      <c r="D487" s="297">
        <f>D496+D497</f>
        <v>0</v>
      </c>
      <c r="E487" s="298">
        <f t="shared" ref="E487:O487" si="436">E496+E497</f>
        <v>0</v>
      </c>
      <c r="F487" s="298">
        <f t="shared" si="436"/>
        <v>0</v>
      </c>
      <c r="G487" s="298">
        <f t="shared" si="436"/>
        <v>0</v>
      </c>
      <c r="H487" s="298">
        <f t="shared" si="436"/>
        <v>0</v>
      </c>
      <c r="I487" s="298">
        <f t="shared" si="436"/>
        <v>0</v>
      </c>
      <c r="J487" s="298">
        <f t="shared" si="436"/>
        <v>0</v>
      </c>
      <c r="K487" s="298">
        <f t="shared" si="436"/>
        <v>0</v>
      </c>
      <c r="L487" s="298">
        <f t="shared" si="436"/>
        <v>0</v>
      </c>
      <c r="M487" s="298">
        <f t="shared" si="436"/>
        <v>0</v>
      </c>
      <c r="N487" s="298">
        <f t="shared" si="436"/>
        <v>0</v>
      </c>
      <c r="O487" s="298">
        <f t="shared" si="436"/>
        <v>0</v>
      </c>
      <c r="P487" s="298">
        <f t="shared" si="414"/>
        <v>0</v>
      </c>
      <c r="Q487" s="299">
        <f t="shared" si="415"/>
        <v>0</v>
      </c>
      <c r="S487" s="297">
        <f>S496+S497</f>
        <v>540</v>
      </c>
      <c r="T487" s="298">
        <f t="shared" ref="T487:AD487" si="437">T496+T497</f>
        <v>594</v>
      </c>
      <c r="U487" s="298">
        <f t="shared" si="437"/>
        <v>560</v>
      </c>
      <c r="V487" s="298">
        <f t="shared" si="437"/>
        <v>535</v>
      </c>
      <c r="W487" s="298">
        <f t="shared" si="437"/>
        <v>568</v>
      </c>
      <c r="X487" s="298">
        <f t="shared" si="437"/>
        <v>576</v>
      </c>
      <c r="Y487" s="298">
        <f t="shared" si="437"/>
        <v>489</v>
      </c>
      <c r="Z487" s="298">
        <f t="shared" si="437"/>
        <v>672</v>
      </c>
      <c r="AA487" s="298">
        <f t="shared" si="437"/>
        <v>512</v>
      </c>
      <c r="AB487" s="298">
        <f t="shared" si="437"/>
        <v>673</v>
      </c>
      <c r="AC487" s="298">
        <f t="shared" si="437"/>
        <v>528</v>
      </c>
      <c r="AD487" s="298">
        <f t="shared" si="437"/>
        <v>492</v>
      </c>
      <c r="AE487" s="298">
        <f t="shared" si="416"/>
        <v>6739</v>
      </c>
      <c r="AF487" s="299">
        <f t="shared" si="417"/>
        <v>561.58333333333337</v>
      </c>
      <c r="AG487" s="374"/>
      <c r="AH487" s="297">
        <v>792</v>
      </c>
      <c r="AI487" s="298">
        <v>611</v>
      </c>
      <c r="AJ487" s="298">
        <v>612</v>
      </c>
      <c r="AK487" s="298">
        <v>668</v>
      </c>
      <c r="AL487" s="298">
        <v>725</v>
      </c>
      <c r="AM487" s="298">
        <v>725</v>
      </c>
      <c r="AN487" s="298">
        <v>847</v>
      </c>
      <c r="AO487" s="298">
        <v>659</v>
      </c>
      <c r="AP487" s="298">
        <v>753</v>
      </c>
      <c r="AQ487" s="298">
        <v>603</v>
      </c>
      <c r="AR487" s="298">
        <v>622</v>
      </c>
      <c r="AS487" s="298">
        <v>622</v>
      </c>
      <c r="AT487" s="298">
        <f t="shared" si="418"/>
        <v>8239</v>
      </c>
      <c r="AU487" s="299">
        <f t="shared" si="419"/>
        <v>686.58333333333337</v>
      </c>
      <c r="AV487" s="374"/>
      <c r="AW487" s="2017">
        <v>651</v>
      </c>
      <c r="AX487" s="298">
        <v>791</v>
      </c>
      <c r="AY487" s="298">
        <v>668</v>
      </c>
      <c r="AZ487" s="298">
        <v>686</v>
      </c>
      <c r="BA487" s="298">
        <v>721</v>
      </c>
      <c r="BB487" s="298">
        <v>1319</v>
      </c>
      <c r="BC487" s="298">
        <v>967</v>
      </c>
      <c r="BD487" s="298">
        <v>739</v>
      </c>
      <c r="BE487" s="298">
        <v>739</v>
      </c>
      <c r="BF487" s="298">
        <v>668</v>
      </c>
      <c r="BG487" s="298">
        <v>581</v>
      </c>
      <c r="BH487" s="298">
        <v>528</v>
      </c>
      <c r="BI487" s="298">
        <f t="shared" si="424"/>
        <v>9058</v>
      </c>
      <c r="BJ487" s="299">
        <f t="shared" si="425"/>
        <v>754.77043579701694</v>
      </c>
      <c r="BL487" s="317">
        <f>ROW()</f>
        <v>487</v>
      </c>
      <c r="BM487" s="1432">
        <f>HLOOKUP($A$2,$AW$2:$BH$511,BL208-1,0)-HLOOKUP($A$2,$AW$2:$BH$511,BL487-1,0)</f>
        <v>-76</v>
      </c>
      <c r="BN487" s="321">
        <f t="shared" si="426"/>
        <v>1.6796116504854368</v>
      </c>
      <c r="BO487" s="317">
        <f t="shared" si="427"/>
        <v>-745</v>
      </c>
      <c r="BP487" s="321">
        <f t="shared" si="428"/>
        <v>0.91775226319275782</v>
      </c>
      <c r="BR487" s="8"/>
    </row>
    <row r="488" spans="1:70" ht="17.399999999999999" customHeight="1" x14ac:dyDescent="0.55000000000000004">
      <c r="A488" s="7229"/>
      <c r="B488" s="7207" t="s">
        <v>431</v>
      </c>
      <c r="C488" s="202" t="s">
        <v>227</v>
      </c>
      <c r="D488" s="300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>
        <f t="shared" si="414"/>
        <v>0</v>
      </c>
      <c r="Q488" s="302">
        <f t="shared" si="415"/>
        <v>0</v>
      </c>
      <c r="S488" s="300">
        <v>177</v>
      </c>
      <c r="T488" s="301">
        <v>195</v>
      </c>
      <c r="U488" s="301">
        <v>185</v>
      </c>
      <c r="V488" s="301">
        <v>200</v>
      </c>
      <c r="W488" s="301">
        <v>211</v>
      </c>
      <c r="X488" s="301">
        <v>214</v>
      </c>
      <c r="Y488" s="301">
        <v>205</v>
      </c>
      <c r="Z488" s="301">
        <v>289</v>
      </c>
      <c r="AA488" s="301">
        <v>215</v>
      </c>
      <c r="AB488" s="301">
        <v>304</v>
      </c>
      <c r="AC488" s="301">
        <v>237</v>
      </c>
      <c r="AD488" s="301">
        <v>222</v>
      </c>
      <c r="AE488" s="301">
        <f t="shared" si="416"/>
        <v>2654</v>
      </c>
      <c r="AF488" s="302">
        <f t="shared" si="417"/>
        <v>221.16666666666666</v>
      </c>
      <c r="AG488" s="374"/>
      <c r="AH488" s="300">
        <v>320</v>
      </c>
      <c r="AI488" s="301">
        <v>248</v>
      </c>
      <c r="AJ488" s="301">
        <v>247</v>
      </c>
      <c r="AK488" s="301">
        <v>270</v>
      </c>
      <c r="AL488" s="301">
        <v>293</v>
      </c>
      <c r="AM488" s="301">
        <v>293</v>
      </c>
      <c r="AN488" s="301">
        <v>349</v>
      </c>
      <c r="AO488" s="301">
        <v>272</v>
      </c>
      <c r="AP488" s="301">
        <v>310</v>
      </c>
      <c r="AQ488" s="301">
        <v>248</v>
      </c>
      <c r="AR488" s="301">
        <v>256</v>
      </c>
      <c r="AS488" s="301">
        <v>256</v>
      </c>
      <c r="AT488" s="301">
        <f t="shared" si="418"/>
        <v>3362</v>
      </c>
      <c r="AU488" s="302">
        <f t="shared" si="419"/>
        <v>280.16666666666669</v>
      </c>
      <c r="AV488" s="374"/>
      <c r="AW488" s="2021">
        <v>276</v>
      </c>
      <c r="AX488" s="301">
        <v>336</v>
      </c>
      <c r="AY488" s="301">
        <v>284</v>
      </c>
      <c r="AZ488" s="301">
        <v>291</v>
      </c>
      <c r="BA488" s="301">
        <v>306</v>
      </c>
      <c r="BB488" s="301">
        <v>560</v>
      </c>
      <c r="BC488" s="301">
        <v>411</v>
      </c>
      <c r="BD488" s="301">
        <v>314</v>
      </c>
      <c r="BE488" s="301">
        <v>314</v>
      </c>
      <c r="BF488" s="301">
        <v>284</v>
      </c>
      <c r="BG488" s="301">
        <v>246</v>
      </c>
      <c r="BH488" s="301">
        <v>224</v>
      </c>
      <c r="BI488" s="301">
        <f t="shared" si="424"/>
        <v>3846</v>
      </c>
      <c r="BJ488" s="302">
        <f t="shared" si="425"/>
        <v>320.47329389217566</v>
      </c>
      <c r="BL488" s="317">
        <f>ROW()</f>
        <v>488</v>
      </c>
      <c r="BM488" s="1432">
        <f>HLOOKUP($A$2,$AW$2:$BH$511,BL209-1,0)-HLOOKUP($A$2,$AW$2:$BH$511,BL488-1,0)</f>
        <v>-30</v>
      </c>
      <c r="BN488" s="321">
        <f t="shared" si="426"/>
        <v>2.1830065359477122</v>
      </c>
      <c r="BO488" s="317">
        <f t="shared" si="427"/>
        <v>-128</v>
      </c>
      <c r="BP488" s="321">
        <f t="shared" si="428"/>
        <v>0.96671866874674983</v>
      </c>
      <c r="BR488" s="8"/>
    </row>
    <row r="489" spans="1:70" ht="17.399999999999999" customHeight="1" x14ac:dyDescent="0.55000000000000004">
      <c r="A489" s="7229"/>
      <c r="B489" s="7208"/>
      <c r="C489" s="202" t="s">
        <v>228</v>
      </c>
      <c r="D489" s="300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>
        <f t="shared" si="414"/>
        <v>0</v>
      </c>
      <c r="Q489" s="302">
        <f t="shared" si="415"/>
        <v>0</v>
      </c>
      <c r="S489" s="300">
        <v>208</v>
      </c>
      <c r="T489" s="301">
        <v>230</v>
      </c>
      <c r="U489" s="301">
        <v>215</v>
      </c>
      <c r="V489" s="301">
        <v>204</v>
      </c>
      <c r="W489" s="301">
        <v>215</v>
      </c>
      <c r="X489" s="301">
        <v>217</v>
      </c>
      <c r="Y489" s="301">
        <v>180</v>
      </c>
      <c r="Z489" s="301">
        <v>255</v>
      </c>
      <c r="AA489" s="301">
        <v>189</v>
      </c>
      <c r="AB489" s="301">
        <v>264</v>
      </c>
      <c r="AC489" s="301">
        <v>202</v>
      </c>
      <c r="AD489" s="301">
        <v>193</v>
      </c>
      <c r="AE489" s="301">
        <f t="shared" si="416"/>
        <v>2572</v>
      </c>
      <c r="AF489" s="302">
        <f t="shared" si="417"/>
        <v>214.33333333333334</v>
      </c>
      <c r="AG489" s="374"/>
      <c r="AH489" s="300">
        <v>292</v>
      </c>
      <c r="AI489" s="301">
        <v>225</v>
      </c>
      <c r="AJ489" s="301">
        <v>225</v>
      </c>
      <c r="AK489" s="301">
        <v>247</v>
      </c>
      <c r="AL489" s="301">
        <v>268</v>
      </c>
      <c r="AM489" s="301">
        <v>268</v>
      </c>
      <c r="AN489" s="301">
        <v>321</v>
      </c>
      <c r="AO489" s="301">
        <v>250</v>
      </c>
      <c r="AP489" s="301">
        <v>285</v>
      </c>
      <c r="AQ489" s="301">
        <v>228</v>
      </c>
      <c r="AR489" s="301">
        <v>235</v>
      </c>
      <c r="AS489" s="301">
        <v>235</v>
      </c>
      <c r="AT489" s="301">
        <f t="shared" si="418"/>
        <v>3079</v>
      </c>
      <c r="AU489" s="302">
        <f t="shared" si="419"/>
        <v>256.58333333333331</v>
      </c>
      <c r="AV489" s="374"/>
      <c r="AW489" s="2021">
        <v>273</v>
      </c>
      <c r="AX489" s="301">
        <v>332</v>
      </c>
      <c r="AY489" s="301">
        <v>281</v>
      </c>
      <c r="AZ489" s="301">
        <v>288</v>
      </c>
      <c r="BA489" s="301">
        <v>303</v>
      </c>
      <c r="BB489" s="301">
        <v>554</v>
      </c>
      <c r="BC489" s="301">
        <v>406</v>
      </c>
      <c r="BD489" s="301">
        <v>310</v>
      </c>
      <c r="BE489" s="301">
        <v>310</v>
      </c>
      <c r="BF489" s="301">
        <v>281</v>
      </c>
      <c r="BG489" s="301">
        <v>244</v>
      </c>
      <c r="BH489" s="301">
        <v>222</v>
      </c>
      <c r="BI489" s="301">
        <f t="shared" si="424"/>
        <v>3804</v>
      </c>
      <c r="BJ489" s="302">
        <f t="shared" si="425"/>
        <v>316.97358553453881</v>
      </c>
      <c r="BL489" s="317">
        <f>ROW()</f>
        <v>489</v>
      </c>
      <c r="BM489" s="1432">
        <f t="shared" si="431"/>
        <v>8</v>
      </c>
      <c r="BN489" s="321">
        <f t="shared" si="426"/>
        <v>2.2046204620462047</v>
      </c>
      <c r="BO489" s="317">
        <f t="shared" si="427"/>
        <v>173</v>
      </c>
      <c r="BP489" s="321">
        <f t="shared" si="428"/>
        <v>1.0454784437434279</v>
      </c>
      <c r="BR489" s="8"/>
    </row>
    <row r="490" spans="1:70" ht="17.399999999999999" customHeight="1" x14ac:dyDescent="0.55000000000000004">
      <c r="A490" s="7229"/>
      <c r="B490" s="7208"/>
      <c r="C490" s="203" t="s">
        <v>229</v>
      </c>
      <c r="D490" s="303"/>
      <c r="E490" s="304"/>
      <c r="F490" s="304"/>
      <c r="G490" s="304"/>
      <c r="H490" s="304"/>
      <c r="I490" s="304"/>
      <c r="J490" s="304"/>
      <c r="K490" s="304"/>
      <c r="L490" s="304"/>
      <c r="M490" s="304"/>
      <c r="N490" s="304"/>
      <c r="O490" s="304"/>
      <c r="P490" s="304">
        <f t="shared" si="414"/>
        <v>0</v>
      </c>
      <c r="Q490" s="305">
        <f t="shared" si="415"/>
        <v>0</v>
      </c>
      <c r="S490" s="303">
        <v>175</v>
      </c>
      <c r="T490" s="304">
        <v>193</v>
      </c>
      <c r="U490" s="304">
        <v>182</v>
      </c>
      <c r="V490" s="304">
        <v>173</v>
      </c>
      <c r="W490" s="304">
        <v>182</v>
      </c>
      <c r="X490" s="304">
        <v>184</v>
      </c>
      <c r="Y490" s="304">
        <v>168</v>
      </c>
      <c r="Z490" s="304">
        <v>236</v>
      </c>
      <c r="AA490" s="304">
        <v>175</v>
      </c>
      <c r="AB490" s="304">
        <v>230</v>
      </c>
      <c r="AC490" s="304">
        <v>182</v>
      </c>
      <c r="AD490" s="304">
        <v>172</v>
      </c>
      <c r="AE490" s="304">
        <f t="shared" si="416"/>
        <v>2252</v>
      </c>
      <c r="AF490" s="305">
        <f t="shared" si="417"/>
        <v>187.66666666666666</v>
      </c>
      <c r="AG490" s="374"/>
      <c r="AH490" s="303">
        <v>282</v>
      </c>
      <c r="AI490" s="304">
        <v>218</v>
      </c>
      <c r="AJ490" s="304">
        <v>218</v>
      </c>
      <c r="AK490" s="304">
        <v>238</v>
      </c>
      <c r="AL490" s="304">
        <v>259</v>
      </c>
      <c r="AM490" s="304">
        <v>259</v>
      </c>
      <c r="AN490" s="304">
        <v>310</v>
      </c>
      <c r="AO490" s="304">
        <v>241</v>
      </c>
      <c r="AP490" s="304">
        <v>276</v>
      </c>
      <c r="AQ490" s="304">
        <v>221</v>
      </c>
      <c r="AR490" s="304">
        <v>228</v>
      </c>
      <c r="AS490" s="304">
        <v>228</v>
      </c>
      <c r="AT490" s="304">
        <f t="shared" si="418"/>
        <v>2978</v>
      </c>
      <c r="AU490" s="305">
        <f t="shared" si="419"/>
        <v>248.16666666666666</v>
      </c>
      <c r="AV490" s="374"/>
      <c r="AW490" s="2022">
        <v>269</v>
      </c>
      <c r="AX490" s="304">
        <v>327</v>
      </c>
      <c r="AY490" s="304">
        <v>276</v>
      </c>
      <c r="AZ490" s="304">
        <v>283</v>
      </c>
      <c r="BA490" s="304">
        <v>298</v>
      </c>
      <c r="BB490" s="304">
        <v>545</v>
      </c>
      <c r="BC490" s="304">
        <v>400</v>
      </c>
      <c r="BD490" s="304">
        <v>305</v>
      </c>
      <c r="BE490" s="304">
        <v>305</v>
      </c>
      <c r="BF490" s="304">
        <v>276</v>
      </c>
      <c r="BG490" s="304">
        <v>240</v>
      </c>
      <c r="BH490" s="304">
        <v>218</v>
      </c>
      <c r="BI490" s="304">
        <f t="shared" si="424"/>
        <v>3742</v>
      </c>
      <c r="BJ490" s="305">
        <f t="shared" si="425"/>
        <v>311.80734938755103</v>
      </c>
      <c r="BL490" s="317">
        <f>ROW()</f>
        <v>490</v>
      </c>
      <c r="BM490" s="1432">
        <f t="shared" si="431"/>
        <v>-17</v>
      </c>
      <c r="BN490" s="321">
        <f t="shared" si="426"/>
        <v>2.1342281879194629</v>
      </c>
      <c r="BO490" s="317">
        <f t="shared" si="427"/>
        <v>-11</v>
      </c>
      <c r="BP490" s="321">
        <f t="shared" si="428"/>
        <v>0.99706039551042225</v>
      </c>
      <c r="BR490" s="8"/>
    </row>
    <row r="491" spans="1:70" ht="17.399999999999999" customHeight="1" x14ac:dyDescent="0.55000000000000004">
      <c r="A491" s="7229"/>
      <c r="B491" s="7208"/>
      <c r="C491" s="203" t="s">
        <v>230</v>
      </c>
      <c r="D491" s="303"/>
      <c r="E491" s="304"/>
      <c r="F491" s="304"/>
      <c r="G491" s="304"/>
      <c r="H491" s="304"/>
      <c r="I491" s="304"/>
      <c r="J491" s="304"/>
      <c r="K491" s="304"/>
      <c r="L491" s="304"/>
      <c r="M491" s="304"/>
      <c r="N491" s="304"/>
      <c r="O491" s="304"/>
      <c r="P491" s="304">
        <f t="shared" si="414"/>
        <v>0</v>
      </c>
      <c r="Q491" s="305">
        <f t="shared" si="415"/>
        <v>0</v>
      </c>
      <c r="S491" s="303">
        <v>258</v>
      </c>
      <c r="T491" s="304">
        <v>284</v>
      </c>
      <c r="U491" s="304">
        <v>268</v>
      </c>
      <c r="V491" s="304">
        <v>256</v>
      </c>
      <c r="W491" s="304">
        <v>269</v>
      </c>
      <c r="X491" s="304">
        <v>271</v>
      </c>
      <c r="Y491" s="304">
        <v>232</v>
      </c>
      <c r="Z491" s="304">
        <v>326</v>
      </c>
      <c r="AA491" s="304">
        <v>240</v>
      </c>
      <c r="AB491" s="304">
        <v>315</v>
      </c>
      <c r="AC491" s="304">
        <v>254</v>
      </c>
      <c r="AD491" s="304">
        <v>241</v>
      </c>
      <c r="AE491" s="304">
        <f t="shared" si="416"/>
        <v>3214</v>
      </c>
      <c r="AF491" s="305">
        <f t="shared" si="417"/>
        <v>267.83333333333331</v>
      </c>
      <c r="AG491" s="374"/>
      <c r="AH491" s="303">
        <v>397</v>
      </c>
      <c r="AI491" s="304">
        <v>306</v>
      </c>
      <c r="AJ491" s="304">
        <v>306</v>
      </c>
      <c r="AK491" s="304">
        <v>335</v>
      </c>
      <c r="AL491" s="304">
        <v>363</v>
      </c>
      <c r="AM491" s="304">
        <v>363</v>
      </c>
      <c r="AN491" s="304">
        <v>435</v>
      </c>
      <c r="AO491" s="304">
        <v>338</v>
      </c>
      <c r="AP491" s="304">
        <v>387</v>
      </c>
      <c r="AQ491" s="304">
        <v>309</v>
      </c>
      <c r="AR491" s="304">
        <v>319</v>
      </c>
      <c r="AS491" s="304">
        <v>319</v>
      </c>
      <c r="AT491" s="304">
        <f t="shared" si="418"/>
        <v>4177</v>
      </c>
      <c r="AU491" s="305">
        <f t="shared" si="419"/>
        <v>348.08333333333331</v>
      </c>
      <c r="AV491" s="374"/>
      <c r="AW491" s="2022">
        <v>361</v>
      </c>
      <c r="AX491" s="304">
        <v>439</v>
      </c>
      <c r="AY491" s="304">
        <v>370</v>
      </c>
      <c r="AZ491" s="304">
        <v>380</v>
      </c>
      <c r="BA491" s="304">
        <v>400</v>
      </c>
      <c r="BB491" s="304">
        <v>731</v>
      </c>
      <c r="BC491" s="304">
        <v>536</v>
      </c>
      <c r="BD491" s="304">
        <v>409</v>
      </c>
      <c r="BE491" s="304">
        <v>409</v>
      </c>
      <c r="BF491" s="304">
        <v>370</v>
      </c>
      <c r="BG491" s="304">
        <v>322</v>
      </c>
      <c r="BH491" s="304">
        <v>292</v>
      </c>
      <c r="BI491" s="304">
        <f t="shared" si="424"/>
        <v>5019</v>
      </c>
      <c r="BJ491" s="305">
        <f t="shared" si="425"/>
        <v>418.2151487376052</v>
      </c>
      <c r="BL491" s="317">
        <f>ROW()</f>
        <v>491</v>
      </c>
      <c r="BM491" s="1432">
        <f t="shared" si="431"/>
        <v>13</v>
      </c>
      <c r="BN491" s="321">
        <f t="shared" si="426"/>
        <v>1.9924999999999999</v>
      </c>
      <c r="BO491" s="317">
        <f t="shared" si="427"/>
        <v>22</v>
      </c>
      <c r="BP491" s="321">
        <f t="shared" si="428"/>
        <v>1.0043833432954772</v>
      </c>
      <c r="BR491" s="8"/>
    </row>
    <row r="492" spans="1:70" ht="17.399999999999999" customHeight="1" x14ac:dyDescent="0.55000000000000004">
      <c r="A492" s="7229"/>
      <c r="B492" s="7208"/>
      <c r="C492" s="202" t="s">
        <v>231</v>
      </c>
      <c r="D492" s="300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>
        <f t="shared" si="414"/>
        <v>0</v>
      </c>
      <c r="Q492" s="302">
        <f t="shared" si="415"/>
        <v>0</v>
      </c>
      <c r="S492" s="300">
        <v>356</v>
      </c>
      <c r="T492" s="301">
        <v>395</v>
      </c>
      <c r="U492" s="301">
        <v>371</v>
      </c>
      <c r="V492" s="301">
        <v>354</v>
      </c>
      <c r="W492" s="301">
        <v>369</v>
      </c>
      <c r="X492" s="301">
        <v>375</v>
      </c>
      <c r="Y492" s="301">
        <v>329</v>
      </c>
      <c r="Z492" s="301">
        <v>467</v>
      </c>
      <c r="AA492" s="301">
        <v>345</v>
      </c>
      <c r="AB492" s="301">
        <v>451</v>
      </c>
      <c r="AC492" s="301">
        <v>365</v>
      </c>
      <c r="AD492" s="301">
        <v>345</v>
      </c>
      <c r="AE492" s="301">
        <f t="shared" si="416"/>
        <v>4522</v>
      </c>
      <c r="AF492" s="302">
        <f t="shared" si="417"/>
        <v>376.83333333333331</v>
      </c>
      <c r="AG492" s="374"/>
      <c r="AH492" s="300">
        <v>560</v>
      </c>
      <c r="AI492" s="301">
        <v>432</v>
      </c>
      <c r="AJ492" s="301">
        <v>432</v>
      </c>
      <c r="AK492" s="301">
        <v>472</v>
      </c>
      <c r="AL492" s="301">
        <v>513</v>
      </c>
      <c r="AM492" s="301">
        <v>513</v>
      </c>
      <c r="AN492" s="301">
        <v>609</v>
      </c>
      <c r="AO492" s="301">
        <v>473</v>
      </c>
      <c r="AP492" s="301">
        <v>541</v>
      </c>
      <c r="AQ492" s="301">
        <v>433</v>
      </c>
      <c r="AR492" s="301">
        <v>446</v>
      </c>
      <c r="AS492" s="301">
        <v>446</v>
      </c>
      <c r="AT492" s="301">
        <f t="shared" si="418"/>
        <v>5870</v>
      </c>
      <c r="AU492" s="302">
        <f t="shared" si="419"/>
        <v>489.16666666666669</v>
      </c>
      <c r="AV492" s="374"/>
      <c r="AW492" s="2021">
        <v>508</v>
      </c>
      <c r="AX492" s="301">
        <v>617</v>
      </c>
      <c r="AY492" s="301">
        <v>521</v>
      </c>
      <c r="AZ492" s="301">
        <v>535</v>
      </c>
      <c r="BA492" s="301">
        <v>563</v>
      </c>
      <c r="BB492" s="301">
        <v>1029</v>
      </c>
      <c r="BC492" s="301">
        <v>755</v>
      </c>
      <c r="BD492" s="301">
        <v>576</v>
      </c>
      <c r="BE492" s="301">
        <v>576</v>
      </c>
      <c r="BF492" s="301">
        <v>521</v>
      </c>
      <c r="BG492" s="301">
        <v>453</v>
      </c>
      <c r="BH492" s="301">
        <v>412</v>
      </c>
      <c r="BI492" s="301">
        <f t="shared" si="424"/>
        <v>7066</v>
      </c>
      <c r="BJ492" s="302">
        <f t="shared" si="425"/>
        <v>588.78426797766861</v>
      </c>
      <c r="BL492" s="317">
        <f>ROW()</f>
        <v>492</v>
      </c>
      <c r="BM492" s="1432">
        <f t="shared" si="431"/>
        <v>-9</v>
      </c>
      <c r="BN492" s="321">
        <f t="shared" si="426"/>
        <v>1.9236234458259325</v>
      </c>
      <c r="BO492" s="317">
        <f t="shared" si="427"/>
        <v>-213</v>
      </c>
      <c r="BP492" s="321">
        <f t="shared" si="428"/>
        <v>0.96985564675912816</v>
      </c>
      <c r="BR492" s="8"/>
    </row>
    <row r="493" spans="1:70" ht="17.399999999999999" customHeight="1" x14ac:dyDescent="0.55000000000000004">
      <c r="A493" s="7229"/>
      <c r="B493" s="7208"/>
      <c r="C493" s="202" t="s">
        <v>232</v>
      </c>
      <c r="D493" s="300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>
        <f t="shared" si="414"/>
        <v>0</v>
      </c>
      <c r="Q493" s="302">
        <f t="shared" si="415"/>
        <v>0</v>
      </c>
      <c r="S493" s="300">
        <v>234</v>
      </c>
      <c r="T493" s="301">
        <v>255</v>
      </c>
      <c r="U493" s="301">
        <v>241</v>
      </c>
      <c r="V493" s="301">
        <v>230</v>
      </c>
      <c r="W493" s="301">
        <v>240</v>
      </c>
      <c r="X493" s="301">
        <v>245</v>
      </c>
      <c r="Y493" s="301">
        <v>209</v>
      </c>
      <c r="Z493" s="301">
        <v>293</v>
      </c>
      <c r="AA493" s="301">
        <v>217</v>
      </c>
      <c r="AB493" s="301">
        <v>288</v>
      </c>
      <c r="AC493" s="301">
        <v>226</v>
      </c>
      <c r="AD493" s="301">
        <v>207</v>
      </c>
      <c r="AE493" s="301">
        <f t="shared" si="416"/>
        <v>2885</v>
      </c>
      <c r="AF493" s="302">
        <f t="shared" si="417"/>
        <v>240.41666666666666</v>
      </c>
      <c r="AG493" s="374"/>
      <c r="AH493" s="300">
        <v>377</v>
      </c>
      <c r="AI493" s="301">
        <v>291</v>
      </c>
      <c r="AJ493" s="301">
        <v>291</v>
      </c>
      <c r="AK493" s="301">
        <v>318</v>
      </c>
      <c r="AL493" s="301">
        <v>346</v>
      </c>
      <c r="AM493" s="301">
        <v>346</v>
      </c>
      <c r="AN493" s="301">
        <v>416</v>
      </c>
      <c r="AO493" s="301">
        <v>323</v>
      </c>
      <c r="AP493" s="301">
        <v>369</v>
      </c>
      <c r="AQ493" s="301">
        <v>295</v>
      </c>
      <c r="AR493" s="301">
        <v>304</v>
      </c>
      <c r="AS493" s="301">
        <v>304</v>
      </c>
      <c r="AT493" s="301">
        <f t="shared" si="418"/>
        <v>3980</v>
      </c>
      <c r="AU493" s="302">
        <f t="shared" si="419"/>
        <v>331.66666666666669</v>
      </c>
      <c r="AV493" s="374"/>
      <c r="AW493" s="2021">
        <v>362</v>
      </c>
      <c r="AX493" s="301">
        <v>441</v>
      </c>
      <c r="AY493" s="301">
        <v>372</v>
      </c>
      <c r="AZ493" s="301">
        <v>382</v>
      </c>
      <c r="BA493" s="301">
        <v>401</v>
      </c>
      <c r="BB493" s="301">
        <v>734</v>
      </c>
      <c r="BC493" s="301">
        <v>538</v>
      </c>
      <c r="BD493" s="301">
        <v>411</v>
      </c>
      <c r="BE493" s="301">
        <v>411</v>
      </c>
      <c r="BF493" s="301">
        <v>372</v>
      </c>
      <c r="BG493" s="301">
        <v>322</v>
      </c>
      <c r="BH493" s="301">
        <v>293</v>
      </c>
      <c r="BI493" s="301">
        <f t="shared" si="424"/>
        <v>5039</v>
      </c>
      <c r="BJ493" s="302">
        <f t="shared" si="425"/>
        <v>419.88167652695608</v>
      </c>
      <c r="BL493" s="317">
        <f>ROW()</f>
        <v>493</v>
      </c>
      <c r="BM493" s="1432">
        <f t="shared" si="431"/>
        <v>-4</v>
      </c>
      <c r="BN493" s="321">
        <f t="shared" si="426"/>
        <v>1.7007481296758105</v>
      </c>
      <c r="BO493" s="317">
        <f t="shared" si="427"/>
        <v>-196</v>
      </c>
      <c r="BP493" s="321">
        <f t="shared" si="428"/>
        <v>0.96110339353046237</v>
      </c>
      <c r="BR493" s="8"/>
    </row>
    <row r="494" spans="1:70" ht="17.399999999999999" customHeight="1" x14ac:dyDescent="0.55000000000000004">
      <c r="A494" s="7229"/>
      <c r="B494" s="7208"/>
      <c r="C494" s="203" t="s">
        <v>233</v>
      </c>
      <c r="D494" s="303"/>
      <c r="E494" s="304"/>
      <c r="F494" s="304"/>
      <c r="G494" s="304"/>
      <c r="H494" s="304"/>
      <c r="I494" s="304"/>
      <c r="J494" s="304"/>
      <c r="K494" s="304"/>
      <c r="L494" s="304"/>
      <c r="M494" s="304"/>
      <c r="N494" s="304"/>
      <c r="O494" s="304"/>
      <c r="P494" s="304">
        <f t="shared" si="414"/>
        <v>0</v>
      </c>
      <c r="Q494" s="305">
        <f t="shared" si="415"/>
        <v>0</v>
      </c>
      <c r="S494" s="303">
        <v>434</v>
      </c>
      <c r="T494" s="304">
        <v>478</v>
      </c>
      <c r="U494" s="304">
        <v>451</v>
      </c>
      <c r="V494" s="304">
        <v>434</v>
      </c>
      <c r="W494" s="304">
        <v>453</v>
      </c>
      <c r="X494" s="304">
        <v>454</v>
      </c>
      <c r="Y494" s="304">
        <v>391</v>
      </c>
      <c r="Z494" s="304">
        <v>547</v>
      </c>
      <c r="AA494" s="304">
        <v>407</v>
      </c>
      <c r="AB494" s="304">
        <v>535</v>
      </c>
      <c r="AC494" s="304">
        <v>405</v>
      </c>
      <c r="AD494" s="304">
        <v>408</v>
      </c>
      <c r="AE494" s="304">
        <f t="shared" si="416"/>
        <v>5397</v>
      </c>
      <c r="AF494" s="305">
        <f t="shared" si="417"/>
        <v>449.75</v>
      </c>
      <c r="AG494" s="374"/>
      <c r="AH494" s="303">
        <v>678</v>
      </c>
      <c r="AI494" s="304">
        <v>523</v>
      </c>
      <c r="AJ494" s="304">
        <v>523</v>
      </c>
      <c r="AK494" s="304">
        <v>573</v>
      </c>
      <c r="AL494" s="304">
        <v>622</v>
      </c>
      <c r="AM494" s="304">
        <v>622</v>
      </c>
      <c r="AN494" s="304">
        <v>740</v>
      </c>
      <c r="AO494" s="304">
        <v>576</v>
      </c>
      <c r="AP494" s="304">
        <v>658</v>
      </c>
      <c r="AQ494" s="304">
        <v>526</v>
      </c>
      <c r="AR494" s="304">
        <v>543</v>
      </c>
      <c r="AS494" s="304">
        <v>543</v>
      </c>
      <c r="AT494" s="304">
        <f t="shared" si="418"/>
        <v>7127</v>
      </c>
      <c r="AU494" s="305">
        <f t="shared" si="419"/>
        <v>593.91666666666663</v>
      </c>
      <c r="AV494" s="374"/>
      <c r="AW494" s="2022">
        <v>606</v>
      </c>
      <c r="AX494" s="304">
        <v>738</v>
      </c>
      <c r="AY494" s="304">
        <v>623</v>
      </c>
      <c r="AZ494" s="304">
        <v>639</v>
      </c>
      <c r="BA494" s="304">
        <v>672</v>
      </c>
      <c r="BB494" s="304">
        <v>1229</v>
      </c>
      <c r="BC494" s="304">
        <v>901</v>
      </c>
      <c r="BD494" s="304">
        <v>688</v>
      </c>
      <c r="BE494" s="304">
        <v>688</v>
      </c>
      <c r="BF494" s="304">
        <v>623</v>
      </c>
      <c r="BG494" s="304">
        <v>540</v>
      </c>
      <c r="BH494" s="304">
        <v>491</v>
      </c>
      <c r="BI494" s="304">
        <f t="shared" si="424"/>
        <v>8438</v>
      </c>
      <c r="BJ494" s="305">
        <f t="shared" si="425"/>
        <v>703.10807432713943</v>
      </c>
      <c r="BL494" s="317">
        <f>ROW()</f>
        <v>494</v>
      </c>
      <c r="BM494" s="1432">
        <f t="shared" si="431"/>
        <v>-161</v>
      </c>
      <c r="BN494" s="321">
        <f t="shared" si="426"/>
        <v>1.5372023809523809</v>
      </c>
      <c r="BO494" s="317">
        <f t="shared" si="427"/>
        <v>-1063</v>
      </c>
      <c r="BP494" s="321">
        <f t="shared" si="428"/>
        <v>0.87402228016117567</v>
      </c>
      <c r="BR494" s="8"/>
    </row>
    <row r="495" spans="1:70" ht="17.399999999999999" customHeight="1" x14ac:dyDescent="0.55000000000000004">
      <c r="A495" s="7229"/>
      <c r="B495" s="7208"/>
      <c r="C495" s="203" t="s">
        <v>234</v>
      </c>
      <c r="D495" s="303"/>
      <c r="E495" s="304"/>
      <c r="F495" s="304"/>
      <c r="G495" s="304"/>
      <c r="H495" s="304"/>
      <c r="I495" s="304"/>
      <c r="J495" s="304"/>
      <c r="K495" s="304"/>
      <c r="L495" s="304"/>
      <c r="M495" s="304"/>
      <c r="N495" s="304"/>
      <c r="O495" s="304"/>
      <c r="P495" s="304">
        <f t="shared" si="414"/>
        <v>0</v>
      </c>
      <c r="Q495" s="305">
        <f t="shared" si="415"/>
        <v>0</v>
      </c>
      <c r="S495" s="303">
        <v>292</v>
      </c>
      <c r="T495" s="304">
        <v>321</v>
      </c>
      <c r="U495" s="304">
        <v>303</v>
      </c>
      <c r="V495" s="304">
        <v>288</v>
      </c>
      <c r="W495" s="304">
        <v>303</v>
      </c>
      <c r="X495" s="304">
        <v>307</v>
      </c>
      <c r="Y495" s="304">
        <v>268</v>
      </c>
      <c r="Z495" s="304">
        <v>368</v>
      </c>
      <c r="AA495" s="304">
        <v>273</v>
      </c>
      <c r="AB495" s="304">
        <v>359</v>
      </c>
      <c r="AC495" s="304">
        <v>269</v>
      </c>
      <c r="AD495" s="304">
        <v>259</v>
      </c>
      <c r="AE495" s="304">
        <f t="shared" si="416"/>
        <v>3610</v>
      </c>
      <c r="AF495" s="305">
        <f t="shared" si="417"/>
        <v>300.83333333333331</v>
      </c>
      <c r="AG495" s="374"/>
      <c r="AH495" s="303">
        <v>449</v>
      </c>
      <c r="AI495" s="304">
        <v>346</v>
      </c>
      <c r="AJ495" s="304">
        <v>346</v>
      </c>
      <c r="AK495" s="304">
        <v>379</v>
      </c>
      <c r="AL495" s="304">
        <v>411</v>
      </c>
      <c r="AM495" s="304">
        <v>411</v>
      </c>
      <c r="AN495" s="304">
        <v>473</v>
      </c>
      <c r="AO495" s="304">
        <v>368</v>
      </c>
      <c r="AP495" s="304">
        <v>421</v>
      </c>
      <c r="AQ495" s="304">
        <v>337</v>
      </c>
      <c r="AR495" s="304">
        <v>347</v>
      </c>
      <c r="AS495" s="304">
        <v>347</v>
      </c>
      <c r="AT495" s="304">
        <f t="shared" si="418"/>
        <v>4635</v>
      </c>
      <c r="AU495" s="305">
        <f t="shared" si="419"/>
        <v>386.25</v>
      </c>
      <c r="AV495" s="374"/>
      <c r="AW495" s="2022">
        <v>394</v>
      </c>
      <c r="AX495" s="304">
        <v>479</v>
      </c>
      <c r="AY495" s="304">
        <v>405</v>
      </c>
      <c r="AZ495" s="304">
        <v>416</v>
      </c>
      <c r="BA495" s="304">
        <v>436</v>
      </c>
      <c r="BB495" s="304">
        <v>799</v>
      </c>
      <c r="BC495" s="304">
        <v>586</v>
      </c>
      <c r="BD495" s="304">
        <v>448</v>
      </c>
      <c r="BE495" s="304">
        <v>448</v>
      </c>
      <c r="BF495" s="304">
        <v>405</v>
      </c>
      <c r="BG495" s="304">
        <v>352</v>
      </c>
      <c r="BH495" s="304">
        <v>320</v>
      </c>
      <c r="BI495" s="304">
        <f t="shared" si="424"/>
        <v>5488</v>
      </c>
      <c r="BJ495" s="305">
        <f t="shared" si="425"/>
        <v>457.29522539788354</v>
      </c>
      <c r="BL495" s="317">
        <f>ROW()</f>
        <v>495</v>
      </c>
      <c r="BM495" s="1432">
        <f t="shared" si="431"/>
        <v>-39</v>
      </c>
      <c r="BN495" s="321">
        <f t="shared" si="426"/>
        <v>1.8004587155963303</v>
      </c>
      <c r="BO495" s="317">
        <f t="shared" si="427"/>
        <v>-209</v>
      </c>
      <c r="BP495" s="321">
        <f t="shared" si="428"/>
        <v>0.9619169096209913</v>
      </c>
      <c r="BR495" s="8"/>
    </row>
    <row r="496" spans="1:70" ht="17.399999999999999" customHeight="1" x14ac:dyDescent="0.55000000000000004">
      <c r="A496" s="7229"/>
      <c r="B496" s="7208"/>
      <c r="C496" s="202" t="s">
        <v>235</v>
      </c>
      <c r="D496" s="300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>
        <f t="shared" si="414"/>
        <v>0</v>
      </c>
      <c r="Q496" s="302">
        <f t="shared" si="415"/>
        <v>0</v>
      </c>
      <c r="S496" s="300">
        <v>320</v>
      </c>
      <c r="T496" s="301">
        <v>352</v>
      </c>
      <c r="U496" s="301">
        <v>332</v>
      </c>
      <c r="V496" s="301">
        <v>314</v>
      </c>
      <c r="W496" s="301">
        <v>332</v>
      </c>
      <c r="X496" s="301">
        <v>337</v>
      </c>
      <c r="Y496" s="301">
        <v>286</v>
      </c>
      <c r="Z496" s="301">
        <v>403</v>
      </c>
      <c r="AA496" s="301">
        <v>300</v>
      </c>
      <c r="AB496" s="301">
        <v>394</v>
      </c>
      <c r="AC496" s="301">
        <v>313</v>
      </c>
      <c r="AD496" s="301">
        <v>290</v>
      </c>
      <c r="AE496" s="301">
        <f t="shared" si="416"/>
        <v>3973</v>
      </c>
      <c r="AF496" s="302">
        <f t="shared" si="417"/>
        <v>331.08333333333331</v>
      </c>
      <c r="AG496" s="374"/>
      <c r="AH496" s="300">
        <v>470</v>
      </c>
      <c r="AI496" s="301">
        <v>362</v>
      </c>
      <c r="AJ496" s="301">
        <v>363</v>
      </c>
      <c r="AK496" s="301">
        <v>396</v>
      </c>
      <c r="AL496" s="301">
        <v>430</v>
      </c>
      <c r="AM496" s="301">
        <v>430</v>
      </c>
      <c r="AN496" s="301">
        <v>496</v>
      </c>
      <c r="AO496" s="301">
        <v>386</v>
      </c>
      <c r="AP496" s="301">
        <v>441</v>
      </c>
      <c r="AQ496" s="301">
        <v>353</v>
      </c>
      <c r="AR496" s="301">
        <v>364</v>
      </c>
      <c r="AS496" s="301">
        <v>364</v>
      </c>
      <c r="AT496" s="301">
        <f t="shared" si="418"/>
        <v>4855</v>
      </c>
      <c r="AU496" s="302">
        <f t="shared" si="419"/>
        <v>404.58333333333331</v>
      </c>
      <c r="AV496" s="374"/>
      <c r="AW496" s="2021">
        <v>365</v>
      </c>
      <c r="AX496" s="301">
        <v>444</v>
      </c>
      <c r="AY496" s="301">
        <v>375</v>
      </c>
      <c r="AZ496" s="301">
        <v>385</v>
      </c>
      <c r="BA496" s="301">
        <v>405</v>
      </c>
      <c r="BB496" s="301">
        <v>740</v>
      </c>
      <c r="BC496" s="301">
        <v>543</v>
      </c>
      <c r="BD496" s="301">
        <v>415</v>
      </c>
      <c r="BE496" s="301">
        <v>415</v>
      </c>
      <c r="BF496" s="301">
        <v>375</v>
      </c>
      <c r="BG496" s="301">
        <v>326</v>
      </c>
      <c r="BH496" s="301">
        <v>296</v>
      </c>
      <c r="BI496" s="301">
        <f t="shared" si="424"/>
        <v>5084</v>
      </c>
      <c r="BJ496" s="302">
        <f t="shared" si="425"/>
        <v>423.63136405299559</v>
      </c>
      <c r="BL496" s="317">
        <f>ROW()</f>
        <v>496</v>
      </c>
      <c r="BM496" s="1432">
        <f t="shared" si="431"/>
        <v>-75</v>
      </c>
      <c r="BN496" s="321">
        <f t="shared" si="426"/>
        <v>1.5950617283950617</v>
      </c>
      <c r="BO496" s="317">
        <f t="shared" si="427"/>
        <v>-694</v>
      </c>
      <c r="BP496" s="321">
        <f t="shared" si="428"/>
        <v>0.86349331235247839</v>
      </c>
      <c r="BR496" s="8"/>
    </row>
    <row r="497" spans="1:71" ht="18" customHeight="1" thickBot="1" x14ac:dyDescent="0.6">
      <c r="A497" s="7229"/>
      <c r="B497" s="7209"/>
      <c r="C497" s="204" t="s">
        <v>236</v>
      </c>
      <c r="D497" s="306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>
        <f t="shared" si="414"/>
        <v>0</v>
      </c>
      <c r="Q497" s="308">
        <f t="shared" si="415"/>
        <v>0</v>
      </c>
      <c r="S497" s="306">
        <v>220</v>
      </c>
      <c r="T497" s="307">
        <v>242</v>
      </c>
      <c r="U497" s="307">
        <v>228</v>
      </c>
      <c r="V497" s="307">
        <v>221</v>
      </c>
      <c r="W497" s="307">
        <v>236</v>
      </c>
      <c r="X497" s="307">
        <v>239</v>
      </c>
      <c r="Y497" s="307">
        <v>203</v>
      </c>
      <c r="Z497" s="307">
        <v>269</v>
      </c>
      <c r="AA497" s="307">
        <v>212</v>
      </c>
      <c r="AB497" s="307">
        <v>279</v>
      </c>
      <c r="AC497" s="307">
        <v>215</v>
      </c>
      <c r="AD497" s="307">
        <v>202</v>
      </c>
      <c r="AE497" s="307">
        <f t="shared" si="416"/>
        <v>2766</v>
      </c>
      <c r="AF497" s="308">
        <f t="shared" si="417"/>
        <v>230.5</v>
      </c>
      <c r="AG497" s="374"/>
      <c r="AH497" s="306">
        <v>322</v>
      </c>
      <c r="AI497" s="307">
        <v>249</v>
      </c>
      <c r="AJ497" s="307">
        <v>249</v>
      </c>
      <c r="AK497" s="307">
        <v>272</v>
      </c>
      <c r="AL497" s="307">
        <v>295</v>
      </c>
      <c r="AM497" s="307">
        <v>295</v>
      </c>
      <c r="AN497" s="307">
        <v>351</v>
      </c>
      <c r="AO497" s="307">
        <v>273</v>
      </c>
      <c r="AP497" s="307">
        <v>312</v>
      </c>
      <c r="AQ497" s="307">
        <v>250</v>
      </c>
      <c r="AR497" s="307">
        <v>258</v>
      </c>
      <c r="AS497" s="307">
        <v>258</v>
      </c>
      <c r="AT497" s="307">
        <f t="shared" si="418"/>
        <v>3384</v>
      </c>
      <c r="AU497" s="308">
        <f t="shared" si="419"/>
        <v>282</v>
      </c>
      <c r="AV497" s="374"/>
      <c r="AW497" s="2023">
        <v>286</v>
      </c>
      <c r="AX497" s="307">
        <v>347</v>
      </c>
      <c r="AY497" s="307">
        <v>293</v>
      </c>
      <c r="AZ497" s="307">
        <v>301</v>
      </c>
      <c r="BA497" s="307">
        <v>316</v>
      </c>
      <c r="BB497" s="307">
        <v>579</v>
      </c>
      <c r="BC497" s="307">
        <v>424</v>
      </c>
      <c r="BD497" s="307">
        <v>324</v>
      </c>
      <c r="BE497" s="307">
        <v>324</v>
      </c>
      <c r="BF497" s="307">
        <v>293</v>
      </c>
      <c r="BG497" s="307">
        <v>255</v>
      </c>
      <c r="BH497" s="307">
        <v>232</v>
      </c>
      <c r="BI497" s="307">
        <f t="shared" si="424"/>
        <v>3974</v>
      </c>
      <c r="BJ497" s="308">
        <f t="shared" si="425"/>
        <v>331.13907174402135</v>
      </c>
      <c r="BL497" s="317">
        <f>ROW()</f>
        <v>497</v>
      </c>
      <c r="BM497" s="1432">
        <f>HLOOKUP($A$2,$AW$2:$BH$511,BL218-1,0)-HLOOKUP($A$2,$AW$2:$BH$511,BL497-1,0)</f>
        <v>-1</v>
      </c>
      <c r="BN497" s="321">
        <f t="shared" si="426"/>
        <v>1.7879746835443038</v>
      </c>
      <c r="BO497" s="317">
        <f t="shared" si="427"/>
        <v>-51</v>
      </c>
      <c r="BP497" s="321">
        <f t="shared" si="428"/>
        <v>0.98716658278812275</v>
      </c>
      <c r="BR497" s="8"/>
    </row>
    <row r="498" spans="1:71" x14ac:dyDescent="0.55000000000000004">
      <c r="A498" s="7229"/>
      <c r="B498" s="7213" t="s">
        <v>432</v>
      </c>
      <c r="C498" s="199" t="s">
        <v>419</v>
      </c>
      <c r="D498" s="291">
        <f>D503+D504</f>
        <v>0</v>
      </c>
      <c r="E498" s="292">
        <f t="shared" ref="E498:O498" si="438">E503+E504</f>
        <v>0</v>
      </c>
      <c r="F498" s="292">
        <f t="shared" si="438"/>
        <v>0</v>
      </c>
      <c r="G498" s="292">
        <f t="shared" si="438"/>
        <v>0</v>
      </c>
      <c r="H498" s="292">
        <f t="shared" si="438"/>
        <v>0</v>
      </c>
      <c r="I498" s="292">
        <f t="shared" si="438"/>
        <v>0</v>
      </c>
      <c r="J498" s="292">
        <f t="shared" si="438"/>
        <v>0</v>
      </c>
      <c r="K498" s="292">
        <f t="shared" si="438"/>
        <v>0</v>
      </c>
      <c r="L498" s="292">
        <f t="shared" si="438"/>
        <v>0</v>
      </c>
      <c r="M498" s="292">
        <f t="shared" si="438"/>
        <v>0</v>
      </c>
      <c r="N498" s="292">
        <f t="shared" si="438"/>
        <v>0</v>
      </c>
      <c r="O498" s="292">
        <f t="shared" si="438"/>
        <v>0</v>
      </c>
      <c r="P498" s="292">
        <f t="shared" si="414"/>
        <v>0</v>
      </c>
      <c r="Q498" s="293">
        <f t="shared" si="415"/>
        <v>0</v>
      </c>
      <c r="S498" s="291">
        <f>S503+S504</f>
        <v>708</v>
      </c>
      <c r="T498" s="292">
        <f t="shared" ref="T498:AD498" si="439">T503+T504</f>
        <v>764</v>
      </c>
      <c r="U498" s="292">
        <f t="shared" si="439"/>
        <v>715</v>
      </c>
      <c r="V498" s="292">
        <f t="shared" si="439"/>
        <v>675</v>
      </c>
      <c r="W498" s="292">
        <f t="shared" si="439"/>
        <v>731</v>
      </c>
      <c r="X498" s="292">
        <f t="shared" si="439"/>
        <v>707</v>
      </c>
      <c r="Y498" s="292">
        <f t="shared" si="439"/>
        <v>568</v>
      </c>
      <c r="Z498" s="292">
        <f t="shared" si="439"/>
        <v>780</v>
      </c>
      <c r="AA498" s="292">
        <f t="shared" si="439"/>
        <v>585</v>
      </c>
      <c r="AB498" s="292">
        <f t="shared" si="439"/>
        <v>780</v>
      </c>
      <c r="AC498" s="292">
        <f t="shared" si="439"/>
        <v>577</v>
      </c>
      <c r="AD498" s="292">
        <f t="shared" si="439"/>
        <v>536</v>
      </c>
      <c r="AE498" s="292">
        <f t="shared" si="416"/>
        <v>8126</v>
      </c>
      <c r="AF498" s="293">
        <f t="shared" si="417"/>
        <v>677.16666666666663</v>
      </c>
      <c r="AG498" s="374"/>
      <c r="AH498" s="291">
        <v>806</v>
      </c>
      <c r="AI498" s="292">
        <v>596</v>
      </c>
      <c r="AJ498" s="292">
        <v>555</v>
      </c>
      <c r="AK498" s="292">
        <v>699</v>
      </c>
      <c r="AL498" s="292">
        <v>718</v>
      </c>
      <c r="AM498" s="292">
        <v>718</v>
      </c>
      <c r="AN498" s="292">
        <v>1027</v>
      </c>
      <c r="AO498" s="292">
        <v>821</v>
      </c>
      <c r="AP498" s="292">
        <v>924</v>
      </c>
      <c r="AQ498" s="292">
        <v>821</v>
      </c>
      <c r="AR498" s="292">
        <v>821</v>
      </c>
      <c r="AS498" s="292">
        <v>821</v>
      </c>
      <c r="AT498" s="292">
        <f t="shared" si="418"/>
        <v>9327</v>
      </c>
      <c r="AU498" s="293">
        <f t="shared" si="419"/>
        <v>777.25</v>
      </c>
      <c r="AV498" s="374"/>
      <c r="AW498" s="2015">
        <v>818</v>
      </c>
      <c r="AX498" s="292">
        <v>1184</v>
      </c>
      <c r="AY498" s="292">
        <v>884</v>
      </c>
      <c r="AZ498" s="292">
        <v>884</v>
      </c>
      <c r="BA498" s="292">
        <v>906</v>
      </c>
      <c r="BB498" s="292">
        <v>1512</v>
      </c>
      <c r="BC498" s="292">
        <v>1251</v>
      </c>
      <c r="BD498" s="292">
        <v>1036</v>
      </c>
      <c r="BE498" s="292">
        <v>1036</v>
      </c>
      <c r="BF498" s="292">
        <v>884</v>
      </c>
      <c r="BG498" s="292">
        <v>862</v>
      </c>
      <c r="BH498" s="292">
        <v>820</v>
      </c>
      <c r="BI498" s="292">
        <f t="shared" si="424"/>
        <v>12077</v>
      </c>
      <c r="BJ498" s="293">
        <f t="shared" si="425"/>
        <v>1006.3328055995335</v>
      </c>
      <c r="BL498" s="317">
        <f>ROW()</f>
        <v>498</v>
      </c>
      <c r="BM498" s="1432">
        <f>HLOOKUP($A$2,$AW$2:$BH$511,BL219-1,0)-HLOOKUP($A$2,$AW$2:$BH$511,BL498-1,0)</f>
        <v>-88</v>
      </c>
      <c r="BN498" s="321">
        <f t="shared" si="426"/>
        <v>1.5121412803532008</v>
      </c>
      <c r="BO498" s="317">
        <f t="shared" si="427"/>
        <v>-3194</v>
      </c>
      <c r="BP498" s="321">
        <f t="shared" si="428"/>
        <v>0.73553034694046537</v>
      </c>
      <c r="BR498" s="8"/>
    </row>
    <row r="499" spans="1:71" x14ac:dyDescent="0.55000000000000004">
      <c r="A499" s="7229"/>
      <c r="B499" s="7214"/>
      <c r="C499" s="200" t="s">
        <v>420</v>
      </c>
      <c r="D499" s="294">
        <f>D505</f>
        <v>0</v>
      </c>
      <c r="E499" s="295">
        <f t="shared" ref="E499:O499" si="440">E505</f>
        <v>0</v>
      </c>
      <c r="F499" s="295">
        <f t="shared" si="440"/>
        <v>0</v>
      </c>
      <c r="G499" s="295">
        <f t="shared" si="440"/>
        <v>0</v>
      </c>
      <c r="H499" s="295">
        <f t="shared" si="440"/>
        <v>0</v>
      </c>
      <c r="I499" s="295">
        <f t="shared" si="440"/>
        <v>0</v>
      </c>
      <c r="J499" s="295">
        <f t="shared" si="440"/>
        <v>0</v>
      </c>
      <c r="K499" s="295">
        <f t="shared" si="440"/>
        <v>0</v>
      </c>
      <c r="L499" s="295">
        <f t="shared" si="440"/>
        <v>0</v>
      </c>
      <c r="M499" s="295">
        <f t="shared" si="440"/>
        <v>0</v>
      </c>
      <c r="N499" s="295">
        <f t="shared" si="440"/>
        <v>0</v>
      </c>
      <c r="O499" s="295">
        <f t="shared" si="440"/>
        <v>0</v>
      </c>
      <c r="P499" s="295">
        <f t="shared" si="414"/>
        <v>0</v>
      </c>
      <c r="Q499" s="296">
        <f t="shared" si="415"/>
        <v>0</v>
      </c>
      <c r="S499" s="294">
        <f>S505</f>
        <v>654</v>
      </c>
      <c r="T499" s="295">
        <f t="shared" ref="T499:AD499" si="441">T505</f>
        <v>707</v>
      </c>
      <c r="U499" s="295">
        <f t="shared" si="441"/>
        <v>662</v>
      </c>
      <c r="V499" s="295">
        <f t="shared" si="441"/>
        <v>624</v>
      </c>
      <c r="W499" s="295">
        <f t="shared" si="441"/>
        <v>677</v>
      </c>
      <c r="X499" s="295">
        <f t="shared" si="441"/>
        <v>654</v>
      </c>
      <c r="Y499" s="295">
        <f t="shared" si="441"/>
        <v>526</v>
      </c>
      <c r="Z499" s="295">
        <f t="shared" si="441"/>
        <v>722</v>
      </c>
      <c r="AA499" s="295">
        <f t="shared" si="441"/>
        <v>541</v>
      </c>
      <c r="AB499" s="295">
        <f t="shared" si="441"/>
        <v>722</v>
      </c>
      <c r="AC499" s="295">
        <f t="shared" si="441"/>
        <v>534</v>
      </c>
      <c r="AD499" s="295">
        <f t="shared" si="441"/>
        <v>496</v>
      </c>
      <c r="AE499" s="295">
        <f t="shared" si="416"/>
        <v>7519</v>
      </c>
      <c r="AF499" s="296">
        <f t="shared" si="417"/>
        <v>626.58333333333337</v>
      </c>
      <c r="AG499" s="374"/>
      <c r="AH499" s="294">
        <v>673</v>
      </c>
      <c r="AI499" s="295">
        <v>497</v>
      </c>
      <c r="AJ499" s="295">
        <v>463</v>
      </c>
      <c r="AK499" s="295">
        <v>584</v>
      </c>
      <c r="AL499" s="295">
        <v>601</v>
      </c>
      <c r="AM499" s="295">
        <v>601</v>
      </c>
      <c r="AN499" s="295">
        <v>858</v>
      </c>
      <c r="AO499" s="295">
        <v>686</v>
      </c>
      <c r="AP499" s="295">
        <v>772</v>
      </c>
      <c r="AQ499" s="295">
        <v>686</v>
      </c>
      <c r="AR499" s="295">
        <v>686</v>
      </c>
      <c r="AS499" s="295">
        <v>686</v>
      </c>
      <c r="AT499" s="295">
        <f t="shared" si="418"/>
        <v>7793</v>
      </c>
      <c r="AU499" s="296">
        <f t="shared" si="419"/>
        <v>649.41666666666663</v>
      </c>
      <c r="AV499" s="374"/>
      <c r="AW499" s="2016">
        <v>597</v>
      </c>
      <c r="AX499" s="295">
        <v>865</v>
      </c>
      <c r="AY499" s="295">
        <v>644</v>
      </c>
      <c r="AZ499" s="295">
        <v>644</v>
      </c>
      <c r="BA499" s="295">
        <v>660</v>
      </c>
      <c r="BB499" s="295">
        <v>1101</v>
      </c>
      <c r="BC499" s="295">
        <v>912</v>
      </c>
      <c r="BD499" s="295">
        <v>754</v>
      </c>
      <c r="BE499" s="295">
        <v>754</v>
      </c>
      <c r="BF499" s="295">
        <v>644</v>
      </c>
      <c r="BG499" s="295">
        <v>629</v>
      </c>
      <c r="BH499" s="295">
        <v>598</v>
      </c>
      <c r="BI499" s="295">
        <f t="shared" si="424"/>
        <v>8802</v>
      </c>
      <c r="BJ499" s="296">
        <f t="shared" si="425"/>
        <v>733.43888009332557</v>
      </c>
      <c r="BL499" s="317">
        <f>ROW()</f>
        <v>499</v>
      </c>
      <c r="BM499" s="1432">
        <f t="shared" ref="BM499:BM510" si="442">HLOOKUP($A$2,$AW$2:$BH$511,BL220-1,0)-HLOOKUP($A$2,$AW$2:$BH$511,BL499-1,0)</f>
        <v>-24</v>
      </c>
      <c r="BN499" s="321">
        <f t="shared" si="426"/>
        <v>1.5712121212121213</v>
      </c>
      <c r="BO499" s="317">
        <f>BI220-BI499</f>
        <v>-1550</v>
      </c>
      <c r="BP499" s="321">
        <f t="shared" si="428"/>
        <v>0.82390365825948653</v>
      </c>
      <c r="BR499" s="8"/>
    </row>
    <row r="500" spans="1:71" x14ac:dyDescent="0.55000000000000004">
      <c r="A500" s="7229"/>
      <c r="B500" s="7214"/>
      <c r="C500" s="200" t="s">
        <v>421</v>
      </c>
      <c r="D500" s="294">
        <f>D506</f>
        <v>0</v>
      </c>
      <c r="E500" s="295">
        <f t="shared" ref="E500:O500" si="443">E506</f>
        <v>0</v>
      </c>
      <c r="F500" s="295">
        <f t="shared" si="443"/>
        <v>0</v>
      </c>
      <c r="G500" s="295">
        <f t="shared" si="443"/>
        <v>0</v>
      </c>
      <c r="H500" s="295">
        <f t="shared" si="443"/>
        <v>0</v>
      </c>
      <c r="I500" s="295">
        <f t="shared" si="443"/>
        <v>0</v>
      </c>
      <c r="J500" s="295">
        <f t="shared" si="443"/>
        <v>0</v>
      </c>
      <c r="K500" s="295">
        <f t="shared" si="443"/>
        <v>0</v>
      </c>
      <c r="L500" s="295">
        <f t="shared" si="443"/>
        <v>0</v>
      </c>
      <c r="M500" s="295">
        <f t="shared" si="443"/>
        <v>0</v>
      </c>
      <c r="N500" s="295">
        <f t="shared" si="443"/>
        <v>0</v>
      </c>
      <c r="O500" s="295">
        <f t="shared" si="443"/>
        <v>0</v>
      </c>
      <c r="P500" s="295">
        <f t="shared" si="414"/>
        <v>0</v>
      </c>
      <c r="Q500" s="296">
        <f t="shared" si="415"/>
        <v>0</v>
      </c>
      <c r="S500" s="294">
        <f>S506</f>
        <v>583</v>
      </c>
      <c r="T500" s="295">
        <f t="shared" ref="T500:AD500" si="444">T506</f>
        <v>630</v>
      </c>
      <c r="U500" s="295">
        <f t="shared" si="444"/>
        <v>590</v>
      </c>
      <c r="V500" s="295">
        <f t="shared" si="444"/>
        <v>557</v>
      </c>
      <c r="W500" s="295">
        <f t="shared" si="444"/>
        <v>604</v>
      </c>
      <c r="X500" s="295">
        <f t="shared" si="444"/>
        <v>583</v>
      </c>
      <c r="Y500" s="295">
        <f t="shared" si="444"/>
        <v>469</v>
      </c>
      <c r="Z500" s="295">
        <f t="shared" si="444"/>
        <v>644</v>
      </c>
      <c r="AA500" s="295">
        <f t="shared" si="444"/>
        <v>483</v>
      </c>
      <c r="AB500" s="295">
        <f t="shared" si="444"/>
        <v>644</v>
      </c>
      <c r="AC500" s="295">
        <f t="shared" si="444"/>
        <v>476</v>
      </c>
      <c r="AD500" s="295">
        <f t="shared" si="444"/>
        <v>443</v>
      </c>
      <c r="AE500" s="295">
        <f t="shared" si="416"/>
        <v>6706</v>
      </c>
      <c r="AF500" s="296">
        <f t="shared" si="417"/>
        <v>558.83333333333337</v>
      </c>
      <c r="AG500" s="374"/>
      <c r="AH500" s="294">
        <v>611</v>
      </c>
      <c r="AI500" s="295">
        <v>452</v>
      </c>
      <c r="AJ500" s="295">
        <v>420</v>
      </c>
      <c r="AK500" s="295">
        <v>530</v>
      </c>
      <c r="AL500" s="295">
        <v>545</v>
      </c>
      <c r="AM500" s="295">
        <v>545</v>
      </c>
      <c r="AN500" s="295">
        <v>779</v>
      </c>
      <c r="AO500" s="295">
        <v>624</v>
      </c>
      <c r="AP500" s="295">
        <v>702</v>
      </c>
      <c r="AQ500" s="295">
        <v>624</v>
      </c>
      <c r="AR500" s="295">
        <v>624</v>
      </c>
      <c r="AS500" s="295">
        <v>624</v>
      </c>
      <c r="AT500" s="295">
        <f t="shared" si="418"/>
        <v>7080</v>
      </c>
      <c r="AU500" s="296">
        <f t="shared" si="419"/>
        <v>590</v>
      </c>
      <c r="AV500" s="374"/>
      <c r="AW500" s="2016">
        <v>565</v>
      </c>
      <c r="AX500" s="295">
        <v>817</v>
      </c>
      <c r="AY500" s="295">
        <v>609</v>
      </c>
      <c r="AZ500" s="295">
        <v>609</v>
      </c>
      <c r="BA500" s="295">
        <v>624</v>
      </c>
      <c r="BB500" s="295">
        <v>1041</v>
      </c>
      <c r="BC500" s="295">
        <v>862</v>
      </c>
      <c r="BD500" s="295">
        <v>713</v>
      </c>
      <c r="BE500" s="295">
        <v>713</v>
      </c>
      <c r="BF500" s="295">
        <v>609</v>
      </c>
      <c r="BG500" s="295">
        <v>595</v>
      </c>
      <c r="BH500" s="295">
        <v>565</v>
      </c>
      <c r="BI500" s="295">
        <f t="shared" si="424"/>
        <v>8322</v>
      </c>
      <c r="BJ500" s="296">
        <f t="shared" si="425"/>
        <v>693.44221314890433</v>
      </c>
      <c r="BL500" s="317">
        <f>ROW()</f>
        <v>500</v>
      </c>
      <c r="BM500" s="1432">
        <f t="shared" si="442"/>
        <v>-59</v>
      </c>
      <c r="BN500" s="321">
        <f t="shared" si="426"/>
        <v>1.7163461538461537</v>
      </c>
      <c r="BO500" s="317">
        <f>BI221-BI500</f>
        <v>-425</v>
      </c>
      <c r="BP500" s="321">
        <f t="shared" si="428"/>
        <v>0.94893054554193701</v>
      </c>
      <c r="BR500" s="8"/>
    </row>
    <row r="501" spans="1:71" x14ac:dyDescent="0.55000000000000004">
      <c r="A501" s="7229"/>
      <c r="B501" s="7214"/>
      <c r="C501" s="200" t="s">
        <v>422</v>
      </c>
      <c r="D501" s="294">
        <f>D507+D508</f>
        <v>0</v>
      </c>
      <c r="E501" s="295">
        <f t="shared" ref="E501:O501" si="445">E507+E508</f>
        <v>0</v>
      </c>
      <c r="F501" s="295">
        <f t="shared" si="445"/>
        <v>0</v>
      </c>
      <c r="G501" s="295">
        <f t="shared" si="445"/>
        <v>0</v>
      </c>
      <c r="H501" s="295">
        <f t="shared" si="445"/>
        <v>0</v>
      </c>
      <c r="I501" s="295">
        <f t="shared" si="445"/>
        <v>0</v>
      </c>
      <c r="J501" s="295">
        <f t="shared" si="445"/>
        <v>0</v>
      </c>
      <c r="K501" s="295">
        <f t="shared" si="445"/>
        <v>0</v>
      </c>
      <c r="L501" s="295">
        <f t="shared" si="445"/>
        <v>0</v>
      </c>
      <c r="M501" s="295">
        <f t="shared" si="445"/>
        <v>0</v>
      </c>
      <c r="N501" s="295">
        <f t="shared" si="445"/>
        <v>0</v>
      </c>
      <c r="O501" s="295">
        <f t="shared" si="445"/>
        <v>0</v>
      </c>
      <c r="P501" s="295">
        <f t="shared" si="414"/>
        <v>0</v>
      </c>
      <c r="Q501" s="296">
        <f t="shared" si="415"/>
        <v>0</v>
      </c>
      <c r="S501" s="294">
        <f>S507+S508</f>
        <v>836</v>
      </c>
      <c r="T501" s="295">
        <f t="shared" ref="T501:AD501" si="446">T507+T508</f>
        <v>903</v>
      </c>
      <c r="U501" s="295">
        <f t="shared" si="446"/>
        <v>845</v>
      </c>
      <c r="V501" s="295">
        <f t="shared" si="446"/>
        <v>797</v>
      </c>
      <c r="W501" s="295">
        <f t="shared" si="446"/>
        <v>865</v>
      </c>
      <c r="X501" s="295">
        <f t="shared" si="446"/>
        <v>836</v>
      </c>
      <c r="Y501" s="295">
        <f t="shared" si="446"/>
        <v>673</v>
      </c>
      <c r="Z501" s="295">
        <f t="shared" si="446"/>
        <v>923</v>
      </c>
      <c r="AA501" s="295">
        <f t="shared" si="446"/>
        <v>692</v>
      </c>
      <c r="AB501" s="295">
        <f t="shared" si="446"/>
        <v>923</v>
      </c>
      <c r="AC501" s="295">
        <f t="shared" si="446"/>
        <v>682</v>
      </c>
      <c r="AD501" s="295">
        <f t="shared" si="446"/>
        <v>634</v>
      </c>
      <c r="AE501" s="295">
        <f t="shared" si="416"/>
        <v>9609</v>
      </c>
      <c r="AF501" s="296">
        <f t="shared" si="417"/>
        <v>800.75</v>
      </c>
      <c r="AG501" s="374"/>
      <c r="AH501" s="294">
        <v>944</v>
      </c>
      <c r="AI501" s="295">
        <v>698</v>
      </c>
      <c r="AJ501" s="295">
        <v>650</v>
      </c>
      <c r="AK501" s="295">
        <v>818</v>
      </c>
      <c r="AL501" s="295">
        <v>843</v>
      </c>
      <c r="AM501" s="295">
        <v>843</v>
      </c>
      <c r="AN501" s="295">
        <v>1203</v>
      </c>
      <c r="AO501" s="295">
        <v>961</v>
      </c>
      <c r="AP501" s="295">
        <v>1082</v>
      </c>
      <c r="AQ501" s="295">
        <v>961</v>
      </c>
      <c r="AR501" s="295">
        <v>961</v>
      </c>
      <c r="AS501" s="295">
        <v>961</v>
      </c>
      <c r="AT501" s="295">
        <f t="shared" si="418"/>
        <v>10925</v>
      </c>
      <c r="AU501" s="296">
        <f t="shared" si="419"/>
        <v>910.41666666666663</v>
      </c>
      <c r="AV501" s="374"/>
      <c r="AW501" s="2016">
        <v>949</v>
      </c>
      <c r="AX501" s="295">
        <v>1376</v>
      </c>
      <c r="AY501" s="295">
        <v>1023</v>
      </c>
      <c r="AZ501" s="295">
        <v>1023</v>
      </c>
      <c r="BA501" s="295">
        <v>1048</v>
      </c>
      <c r="BB501" s="295">
        <v>1746</v>
      </c>
      <c r="BC501" s="295">
        <v>1449</v>
      </c>
      <c r="BD501" s="295">
        <v>1197</v>
      </c>
      <c r="BE501" s="295">
        <v>1197</v>
      </c>
      <c r="BF501" s="295">
        <v>1023</v>
      </c>
      <c r="BG501" s="295">
        <v>1000</v>
      </c>
      <c r="BH501" s="295">
        <v>948</v>
      </c>
      <c r="BI501" s="295">
        <f t="shared" si="424"/>
        <v>13979</v>
      </c>
      <c r="BJ501" s="296">
        <f t="shared" si="425"/>
        <v>1164.8195983668029</v>
      </c>
      <c r="BL501" s="317">
        <f>ROW()</f>
        <v>501</v>
      </c>
      <c r="BM501" s="1432">
        <f t="shared" si="442"/>
        <v>220</v>
      </c>
      <c r="BN501" s="321">
        <f t="shared" si="426"/>
        <v>2.7185114503816794</v>
      </c>
      <c r="BO501" s="317">
        <f t="shared" si="427"/>
        <v>5092</v>
      </c>
      <c r="BP501" s="321">
        <f t="shared" si="428"/>
        <v>1.3642606767293797</v>
      </c>
      <c r="BR501" s="8"/>
    </row>
    <row r="502" spans="1:71" x14ac:dyDescent="0.55000000000000004">
      <c r="A502" s="7229"/>
      <c r="B502" s="7215"/>
      <c r="C502" s="201" t="s">
        <v>423</v>
      </c>
      <c r="D502" s="297">
        <f>D509+D510</f>
        <v>0</v>
      </c>
      <c r="E502" s="298">
        <f t="shared" ref="E502:O502" si="447">E509+E510</f>
        <v>0</v>
      </c>
      <c r="F502" s="298">
        <f t="shared" si="447"/>
        <v>0</v>
      </c>
      <c r="G502" s="298">
        <f t="shared" si="447"/>
        <v>0</v>
      </c>
      <c r="H502" s="298">
        <f t="shared" si="447"/>
        <v>0</v>
      </c>
      <c r="I502" s="298">
        <f t="shared" si="447"/>
        <v>0</v>
      </c>
      <c r="J502" s="298">
        <f t="shared" si="447"/>
        <v>0</v>
      </c>
      <c r="K502" s="298">
        <f t="shared" si="447"/>
        <v>0</v>
      </c>
      <c r="L502" s="298">
        <f t="shared" si="447"/>
        <v>0</v>
      </c>
      <c r="M502" s="298">
        <f t="shared" si="447"/>
        <v>0</v>
      </c>
      <c r="N502" s="298">
        <f t="shared" si="447"/>
        <v>0</v>
      </c>
      <c r="O502" s="298">
        <f t="shared" si="447"/>
        <v>0</v>
      </c>
      <c r="P502" s="298">
        <f t="shared" si="414"/>
        <v>0</v>
      </c>
      <c r="Q502" s="299">
        <f t="shared" si="415"/>
        <v>0</v>
      </c>
      <c r="S502" s="297">
        <f>S509+S510</f>
        <v>763</v>
      </c>
      <c r="T502" s="298">
        <f t="shared" ref="T502:AD502" si="448">T509+T510</f>
        <v>825</v>
      </c>
      <c r="U502" s="298">
        <f t="shared" si="448"/>
        <v>772</v>
      </c>
      <c r="V502" s="298">
        <f t="shared" si="448"/>
        <v>728</v>
      </c>
      <c r="W502" s="298">
        <f t="shared" si="448"/>
        <v>789</v>
      </c>
      <c r="X502" s="298">
        <f t="shared" si="448"/>
        <v>764</v>
      </c>
      <c r="Y502" s="298">
        <f t="shared" si="448"/>
        <v>615</v>
      </c>
      <c r="Z502" s="298">
        <f t="shared" si="448"/>
        <v>841</v>
      </c>
      <c r="AA502" s="298">
        <f t="shared" si="448"/>
        <v>632</v>
      </c>
      <c r="AB502" s="298">
        <f t="shared" si="448"/>
        <v>841</v>
      </c>
      <c r="AC502" s="298">
        <f t="shared" si="448"/>
        <v>623</v>
      </c>
      <c r="AD502" s="298">
        <f t="shared" si="448"/>
        <v>579</v>
      </c>
      <c r="AE502" s="298">
        <f t="shared" si="416"/>
        <v>8772</v>
      </c>
      <c r="AF502" s="299">
        <f t="shared" si="417"/>
        <v>731</v>
      </c>
      <c r="AG502" s="374"/>
      <c r="AH502" s="297">
        <v>888</v>
      </c>
      <c r="AI502" s="298">
        <v>657</v>
      </c>
      <c r="AJ502" s="298">
        <v>612</v>
      </c>
      <c r="AK502" s="298">
        <v>769</v>
      </c>
      <c r="AL502" s="298">
        <v>793</v>
      </c>
      <c r="AM502" s="298">
        <v>793</v>
      </c>
      <c r="AN502" s="298">
        <v>1133</v>
      </c>
      <c r="AO502" s="298">
        <v>908</v>
      </c>
      <c r="AP502" s="298">
        <v>1020</v>
      </c>
      <c r="AQ502" s="298">
        <v>908</v>
      </c>
      <c r="AR502" s="298">
        <v>908</v>
      </c>
      <c r="AS502" s="298">
        <v>908</v>
      </c>
      <c r="AT502" s="298">
        <f t="shared" si="418"/>
        <v>10297</v>
      </c>
      <c r="AU502" s="299">
        <f t="shared" si="419"/>
        <v>858.08333333333337</v>
      </c>
      <c r="AV502" s="374"/>
      <c r="AW502" s="2017">
        <v>871</v>
      </c>
      <c r="AX502" s="298">
        <v>1258</v>
      </c>
      <c r="AY502" s="298">
        <v>940</v>
      </c>
      <c r="AZ502" s="298">
        <v>940</v>
      </c>
      <c r="BA502" s="298">
        <v>962</v>
      </c>
      <c r="BB502" s="298">
        <v>1600</v>
      </c>
      <c r="BC502" s="298">
        <v>1326</v>
      </c>
      <c r="BD502" s="298">
        <v>1100</v>
      </c>
      <c r="BE502" s="298">
        <v>1100</v>
      </c>
      <c r="BF502" s="298">
        <v>940</v>
      </c>
      <c r="BG502" s="298">
        <v>914</v>
      </c>
      <c r="BH502" s="298">
        <v>869</v>
      </c>
      <c r="BI502" s="298">
        <f t="shared" si="424"/>
        <v>12820</v>
      </c>
      <c r="BJ502" s="299">
        <f t="shared" si="425"/>
        <v>1068.2443129739188</v>
      </c>
      <c r="BL502" s="317">
        <f>ROW()</f>
        <v>502</v>
      </c>
      <c r="BM502" s="1432">
        <f t="shared" si="442"/>
        <v>-155</v>
      </c>
      <c r="BN502" s="321">
        <f t="shared" si="426"/>
        <v>1.4812889812889813</v>
      </c>
      <c r="BO502" s="317">
        <f t="shared" si="427"/>
        <v>-1672</v>
      </c>
      <c r="BP502" s="321">
        <f t="shared" si="428"/>
        <v>0.86957878315132608</v>
      </c>
      <c r="BR502" s="8"/>
    </row>
    <row r="503" spans="1:71" x14ac:dyDescent="0.55000000000000004">
      <c r="A503" s="7229"/>
      <c r="B503" s="7207" t="s">
        <v>433</v>
      </c>
      <c r="C503" s="203" t="s">
        <v>242</v>
      </c>
      <c r="D503" s="303"/>
      <c r="E503" s="304"/>
      <c r="F503" s="304"/>
      <c r="G503" s="304"/>
      <c r="H503" s="304"/>
      <c r="I503" s="304"/>
      <c r="J503" s="304"/>
      <c r="K503" s="304"/>
      <c r="L503" s="304"/>
      <c r="M503" s="304"/>
      <c r="N503" s="304"/>
      <c r="O503" s="304"/>
      <c r="P503" s="304">
        <f t="shared" si="414"/>
        <v>0</v>
      </c>
      <c r="Q503" s="305">
        <f t="shared" si="415"/>
        <v>0</v>
      </c>
      <c r="S503" s="303">
        <v>572</v>
      </c>
      <c r="T503" s="304">
        <v>617</v>
      </c>
      <c r="U503" s="304">
        <v>578</v>
      </c>
      <c r="V503" s="304">
        <v>545</v>
      </c>
      <c r="W503" s="304">
        <v>591</v>
      </c>
      <c r="X503" s="304">
        <v>571</v>
      </c>
      <c r="Y503" s="304">
        <v>459</v>
      </c>
      <c r="Z503" s="304">
        <v>630</v>
      </c>
      <c r="AA503" s="304">
        <v>473</v>
      </c>
      <c r="AB503" s="304">
        <v>630</v>
      </c>
      <c r="AC503" s="304">
        <v>466</v>
      </c>
      <c r="AD503" s="304">
        <v>433</v>
      </c>
      <c r="AE503" s="304">
        <f t="shared" si="416"/>
        <v>6565</v>
      </c>
      <c r="AF503" s="305">
        <f t="shared" si="417"/>
        <v>547.08333333333337</v>
      </c>
      <c r="AG503" s="374"/>
      <c r="AH503" s="303">
        <v>650</v>
      </c>
      <c r="AI503" s="304">
        <v>481</v>
      </c>
      <c r="AJ503" s="304">
        <v>448</v>
      </c>
      <c r="AK503" s="304">
        <v>564</v>
      </c>
      <c r="AL503" s="304">
        <v>580</v>
      </c>
      <c r="AM503" s="304">
        <v>580</v>
      </c>
      <c r="AN503" s="304">
        <v>828</v>
      </c>
      <c r="AO503" s="304">
        <v>663</v>
      </c>
      <c r="AP503" s="304">
        <v>746</v>
      </c>
      <c r="AQ503" s="304">
        <v>663</v>
      </c>
      <c r="AR503" s="304">
        <v>663</v>
      </c>
      <c r="AS503" s="304">
        <v>663</v>
      </c>
      <c r="AT503" s="304">
        <f t="shared" si="418"/>
        <v>7529</v>
      </c>
      <c r="AU503" s="305">
        <f t="shared" si="419"/>
        <v>627.41666666666663</v>
      </c>
      <c r="AV503" s="374"/>
      <c r="AW503" s="2022">
        <v>611</v>
      </c>
      <c r="AX503" s="304">
        <v>885</v>
      </c>
      <c r="AY503" s="304">
        <v>659</v>
      </c>
      <c r="AZ503" s="304">
        <v>659</v>
      </c>
      <c r="BA503" s="304">
        <v>676</v>
      </c>
      <c r="BB503" s="304">
        <v>1127</v>
      </c>
      <c r="BC503" s="304">
        <v>1251</v>
      </c>
      <c r="BD503" s="304">
        <v>1036</v>
      </c>
      <c r="BE503" s="304">
        <v>1036</v>
      </c>
      <c r="BF503" s="304">
        <v>884</v>
      </c>
      <c r="BG503" s="304">
        <v>862</v>
      </c>
      <c r="BH503" s="304">
        <v>820</v>
      </c>
      <c r="BI503" s="304">
        <f t="shared" si="424"/>
        <v>10506</v>
      </c>
      <c r="BJ503" s="305">
        <f t="shared" si="425"/>
        <v>875.42704774602123</v>
      </c>
      <c r="BL503" s="317">
        <f>ROW()</f>
        <v>503</v>
      </c>
      <c r="BM503" s="1432">
        <f t="shared" si="442"/>
        <v>-88</v>
      </c>
      <c r="BN503" s="321">
        <f t="shared" si="426"/>
        <v>1.455621301775148</v>
      </c>
      <c r="BO503" s="317">
        <f t="shared" si="427"/>
        <v>-2959</v>
      </c>
      <c r="BP503" s="321">
        <f t="shared" si="428"/>
        <v>0.71835141823719784</v>
      </c>
      <c r="BR503" s="8"/>
    </row>
    <row r="504" spans="1:71" x14ac:dyDescent="0.55000000000000004">
      <c r="A504" s="7229"/>
      <c r="B504" s="7208"/>
      <c r="C504" s="203" t="s">
        <v>243</v>
      </c>
      <c r="D504" s="303"/>
      <c r="E504" s="304"/>
      <c r="F504" s="304"/>
      <c r="G504" s="304"/>
      <c r="H504" s="304"/>
      <c r="I504" s="304"/>
      <c r="J504" s="304"/>
      <c r="K504" s="304"/>
      <c r="L504" s="304"/>
      <c r="M504" s="304"/>
      <c r="N504" s="304"/>
      <c r="O504" s="304"/>
      <c r="P504" s="304">
        <f t="shared" si="414"/>
        <v>0</v>
      </c>
      <c r="Q504" s="305">
        <f t="shared" si="415"/>
        <v>0</v>
      </c>
      <c r="S504" s="303">
        <v>136</v>
      </c>
      <c r="T504" s="304">
        <v>147</v>
      </c>
      <c r="U504" s="304">
        <v>137</v>
      </c>
      <c r="V504" s="304">
        <v>130</v>
      </c>
      <c r="W504" s="304">
        <v>140</v>
      </c>
      <c r="X504" s="304">
        <v>136</v>
      </c>
      <c r="Y504" s="304">
        <v>109</v>
      </c>
      <c r="Z504" s="304">
        <v>150</v>
      </c>
      <c r="AA504" s="304">
        <v>112</v>
      </c>
      <c r="AB504" s="304">
        <v>150</v>
      </c>
      <c r="AC504" s="304">
        <v>111</v>
      </c>
      <c r="AD504" s="304">
        <v>103</v>
      </c>
      <c r="AE504" s="304">
        <f t="shared" si="416"/>
        <v>1561</v>
      </c>
      <c r="AF504" s="305">
        <f t="shared" si="417"/>
        <v>130.08333333333334</v>
      </c>
      <c r="AG504" s="374"/>
      <c r="AH504" s="303">
        <v>156</v>
      </c>
      <c r="AI504" s="304">
        <v>115</v>
      </c>
      <c r="AJ504" s="304">
        <v>107</v>
      </c>
      <c r="AK504" s="304">
        <v>135</v>
      </c>
      <c r="AL504" s="304">
        <v>138</v>
      </c>
      <c r="AM504" s="304">
        <v>138</v>
      </c>
      <c r="AN504" s="304">
        <v>199</v>
      </c>
      <c r="AO504" s="304">
        <v>158</v>
      </c>
      <c r="AP504" s="304">
        <v>178</v>
      </c>
      <c r="AQ504" s="304">
        <v>158</v>
      </c>
      <c r="AR504" s="304">
        <v>158</v>
      </c>
      <c r="AS504" s="304">
        <v>158</v>
      </c>
      <c r="AT504" s="304">
        <f t="shared" si="418"/>
        <v>1798</v>
      </c>
      <c r="AU504" s="305">
        <f t="shared" si="419"/>
        <v>149.83333333333334</v>
      </c>
      <c r="AV504" s="374"/>
      <c r="AW504" s="2022">
        <v>207</v>
      </c>
      <c r="AX504" s="304">
        <v>299</v>
      </c>
      <c r="AY504" s="304">
        <v>225</v>
      </c>
      <c r="AZ504" s="304">
        <v>225</v>
      </c>
      <c r="BA504" s="304">
        <v>230</v>
      </c>
      <c r="BB504" s="304">
        <v>385</v>
      </c>
      <c r="BC504" s="2363"/>
      <c r="BD504" s="2363"/>
      <c r="BE504" s="2363"/>
      <c r="BF504" s="2363"/>
      <c r="BG504" s="2363"/>
      <c r="BH504" s="2363"/>
      <c r="BI504" s="304">
        <f t="shared" si="424"/>
        <v>1571</v>
      </c>
      <c r="BJ504" s="305">
        <f t="shared" si="425"/>
        <v>130.90575785351223</v>
      </c>
      <c r="BL504" s="317">
        <f>ROW()</f>
        <v>504</v>
      </c>
      <c r="BM504" s="1432">
        <f t="shared" si="442"/>
        <v>0</v>
      </c>
      <c r="BN504" s="321">
        <f t="shared" si="426"/>
        <v>1.6782608695652175</v>
      </c>
      <c r="BO504" s="317">
        <f t="shared" si="427"/>
        <v>-235</v>
      </c>
      <c r="BP504" s="321">
        <f t="shared" si="428"/>
        <v>0.85041374920432844</v>
      </c>
      <c r="BR504" s="8"/>
    </row>
    <row r="505" spans="1:71" s="190" customFormat="1" x14ac:dyDescent="0.55000000000000004">
      <c r="A505" s="7229"/>
      <c r="B505" s="7208"/>
      <c r="C505" s="211" t="s">
        <v>244</v>
      </c>
      <c r="D505" s="309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>
        <f t="shared" si="414"/>
        <v>0</v>
      </c>
      <c r="Q505" s="311">
        <f t="shared" si="415"/>
        <v>0</v>
      </c>
      <c r="R505" s="184"/>
      <c r="S505" s="309">
        <v>654</v>
      </c>
      <c r="T505" s="310">
        <v>707</v>
      </c>
      <c r="U505" s="310">
        <v>662</v>
      </c>
      <c r="V505" s="310">
        <v>624</v>
      </c>
      <c r="W505" s="310">
        <v>677</v>
      </c>
      <c r="X505" s="310">
        <v>654</v>
      </c>
      <c r="Y505" s="310">
        <v>526</v>
      </c>
      <c r="Z505" s="310">
        <v>722</v>
      </c>
      <c r="AA505" s="310">
        <v>541</v>
      </c>
      <c r="AB505" s="310">
        <v>722</v>
      </c>
      <c r="AC505" s="310">
        <v>534</v>
      </c>
      <c r="AD505" s="310">
        <v>496</v>
      </c>
      <c r="AE505" s="310">
        <f t="shared" si="416"/>
        <v>7519</v>
      </c>
      <c r="AF505" s="311">
        <f t="shared" si="417"/>
        <v>626.58333333333337</v>
      </c>
      <c r="AG505" s="374"/>
      <c r="AH505" s="309">
        <v>673</v>
      </c>
      <c r="AI505" s="310">
        <v>497</v>
      </c>
      <c r="AJ505" s="310">
        <v>463</v>
      </c>
      <c r="AK505" s="310">
        <v>584</v>
      </c>
      <c r="AL505" s="310">
        <v>601</v>
      </c>
      <c r="AM505" s="310">
        <v>601</v>
      </c>
      <c r="AN505" s="310">
        <v>858</v>
      </c>
      <c r="AO505" s="310">
        <v>686</v>
      </c>
      <c r="AP505" s="310">
        <v>772</v>
      </c>
      <c r="AQ505" s="310">
        <v>686</v>
      </c>
      <c r="AR505" s="310">
        <v>686</v>
      </c>
      <c r="AS505" s="310">
        <v>686</v>
      </c>
      <c r="AT505" s="310">
        <f t="shared" si="418"/>
        <v>7793</v>
      </c>
      <c r="AU505" s="311">
        <f t="shared" si="419"/>
        <v>649.41666666666663</v>
      </c>
      <c r="AV505" s="374"/>
      <c r="AW505" s="2021">
        <v>597</v>
      </c>
      <c r="AX505" s="310">
        <v>865</v>
      </c>
      <c r="AY505" s="310">
        <v>644</v>
      </c>
      <c r="AZ505" s="310">
        <v>644</v>
      </c>
      <c r="BA505" s="310">
        <v>660</v>
      </c>
      <c r="BB505" s="310">
        <v>1101</v>
      </c>
      <c r="BC505" s="310">
        <v>912</v>
      </c>
      <c r="BD505" s="310">
        <v>754</v>
      </c>
      <c r="BE505" s="310">
        <v>754</v>
      </c>
      <c r="BF505" s="310">
        <v>644</v>
      </c>
      <c r="BG505" s="310">
        <v>629</v>
      </c>
      <c r="BH505" s="310">
        <v>598</v>
      </c>
      <c r="BI505" s="310">
        <f t="shared" si="424"/>
        <v>8802</v>
      </c>
      <c r="BJ505" s="311">
        <f t="shared" si="425"/>
        <v>733.43888009332557</v>
      </c>
      <c r="BL505" s="317">
        <f>ROW()</f>
        <v>505</v>
      </c>
      <c r="BM505" s="1432">
        <f t="shared" si="442"/>
        <v>-24</v>
      </c>
      <c r="BN505" s="321">
        <f t="shared" si="426"/>
        <v>1.5712121212121213</v>
      </c>
      <c r="BO505" s="317">
        <f t="shared" si="427"/>
        <v>-1550</v>
      </c>
      <c r="BP505" s="321">
        <f t="shared" si="428"/>
        <v>0.82390365825948653</v>
      </c>
      <c r="BR505" s="8"/>
      <c r="BS505"/>
    </row>
    <row r="506" spans="1:71" s="190" customFormat="1" x14ac:dyDescent="0.55000000000000004">
      <c r="A506" s="7229"/>
      <c r="B506" s="7208"/>
      <c r="C506" s="203" t="s">
        <v>245</v>
      </c>
      <c r="D506" s="303"/>
      <c r="E506" s="304"/>
      <c r="F506" s="304"/>
      <c r="G506" s="304"/>
      <c r="H506" s="304"/>
      <c r="I506" s="304"/>
      <c r="J506" s="304"/>
      <c r="K506" s="304"/>
      <c r="L506" s="304"/>
      <c r="M506" s="304"/>
      <c r="N506" s="304"/>
      <c r="O506" s="304"/>
      <c r="P506" s="304">
        <f t="shared" si="414"/>
        <v>0</v>
      </c>
      <c r="Q506" s="305">
        <f t="shared" si="415"/>
        <v>0</v>
      </c>
      <c r="R506" s="184"/>
      <c r="S506" s="303">
        <v>583</v>
      </c>
      <c r="T506" s="304">
        <v>630</v>
      </c>
      <c r="U506" s="304">
        <v>590</v>
      </c>
      <c r="V506" s="304">
        <v>557</v>
      </c>
      <c r="W506" s="304">
        <v>604</v>
      </c>
      <c r="X506" s="304">
        <v>583</v>
      </c>
      <c r="Y506" s="304">
        <v>469</v>
      </c>
      <c r="Z506" s="304">
        <v>644</v>
      </c>
      <c r="AA506" s="304">
        <v>483</v>
      </c>
      <c r="AB506" s="304">
        <v>644</v>
      </c>
      <c r="AC506" s="304">
        <v>476</v>
      </c>
      <c r="AD506" s="304">
        <v>443</v>
      </c>
      <c r="AE506" s="304">
        <f t="shared" si="416"/>
        <v>6706</v>
      </c>
      <c r="AF506" s="305">
        <f t="shared" si="417"/>
        <v>558.83333333333337</v>
      </c>
      <c r="AG506" s="374"/>
      <c r="AH506" s="303">
        <v>611</v>
      </c>
      <c r="AI506" s="304">
        <v>452</v>
      </c>
      <c r="AJ506" s="304">
        <v>420</v>
      </c>
      <c r="AK506" s="304">
        <v>530</v>
      </c>
      <c r="AL506" s="304">
        <v>545</v>
      </c>
      <c r="AM506" s="304">
        <v>545</v>
      </c>
      <c r="AN506" s="304">
        <v>779</v>
      </c>
      <c r="AO506" s="304">
        <v>624</v>
      </c>
      <c r="AP506" s="304">
        <v>702</v>
      </c>
      <c r="AQ506" s="304">
        <v>624</v>
      </c>
      <c r="AR506" s="304">
        <v>624</v>
      </c>
      <c r="AS506" s="304">
        <v>624</v>
      </c>
      <c r="AT506" s="304">
        <f t="shared" si="418"/>
        <v>7080</v>
      </c>
      <c r="AU506" s="305">
        <f t="shared" si="419"/>
        <v>590</v>
      </c>
      <c r="AV506" s="374"/>
      <c r="AW506" s="2022">
        <v>565</v>
      </c>
      <c r="AX506" s="304">
        <v>817</v>
      </c>
      <c r="AY506" s="304">
        <v>609</v>
      </c>
      <c r="AZ506" s="304">
        <v>609</v>
      </c>
      <c r="BA506" s="304">
        <v>624</v>
      </c>
      <c r="BB506" s="304">
        <v>1041</v>
      </c>
      <c r="BC506" s="304">
        <v>862</v>
      </c>
      <c r="BD506" s="304">
        <v>713</v>
      </c>
      <c r="BE506" s="304">
        <v>713</v>
      </c>
      <c r="BF506" s="304">
        <v>609</v>
      </c>
      <c r="BG506" s="304">
        <v>595</v>
      </c>
      <c r="BH506" s="304">
        <v>565</v>
      </c>
      <c r="BI506" s="304">
        <f t="shared" si="424"/>
        <v>8322</v>
      </c>
      <c r="BJ506" s="305">
        <f t="shared" si="425"/>
        <v>693.44221314890433</v>
      </c>
      <c r="BL506" s="317">
        <f>ROW()</f>
        <v>506</v>
      </c>
      <c r="BM506" s="1432">
        <f t="shared" si="442"/>
        <v>-59</v>
      </c>
      <c r="BN506" s="321">
        <f t="shared" si="426"/>
        <v>1.7163461538461537</v>
      </c>
      <c r="BO506" s="317">
        <f t="shared" si="427"/>
        <v>-425</v>
      </c>
      <c r="BP506" s="321">
        <f t="shared" si="428"/>
        <v>0.94893054554193701</v>
      </c>
      <c r="BR506" s="8"/>
      <c r="BS506"/>
    </row>
    <row r="507" spans="1:71" s="190" customFormat="1" x14ac:dyDescent="0.55000000000000004">
      <c r="A507" s="7229"/>
      <c r="B507" s="7208"/>
      <c r="C507" s="211" t="s">
        <v>246</v>
      </c>
      <c r="D507" s="309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>
        <f t="shared" si="414"/>
        <v>0</v>
      </c>
      <c r="Q507" s="311">
        <f t="shared" si="415"/>
        <v>0</v>
      </c>
      <c r="R507" s="184"/>
      <c r="S507" s="309">
        <v>452</v>
      </c>
      <c r="T507" s="310">
        <v>488</v>
      </c>
      <c r="U507" s="310">
        <v>457</v>
      </c>
      <c r="V507" s="310">
        <v>431</v>
      </c>
      <c r="W507" s="310">
        <v>468</v>
      </c>
      <c r="X507" s="310">
        <v>452</v>
      </c>
      <c r="Y507" s="310">
        <v>364</v>
      </c>
      <c r="Z507" s="310">
        <v>499</v>
      </c>
      <c r="AA507" s="310">
        <v>374</v>
      </c>
      <c r="AB507" s="310">
        <v>499</v>
      </c>
      <c r="AC507" s="310">
        <v>369</v>
      </c>
      <c r="AD507" s="310">
        <v>343</v>
      </c>
      <c r="AE507" s="310">
        <f t="shared" si="416"/>
        <v>5196</v>
      </c>
      <c r="AF507" s="311">
        <f t="shared" si="417"/>
        <v>433</v>
      </c>
      <c r="AG507" s="374"/>
      <c r="AH507" s="309">
        <v>547</v>
      </c>
      <c r="AI507" s="310">
        <v>404</v>
      </c>
      <c r="AJ507" s="310">
        <v>376</v>
      </c>
      <c r="AK507" s="310">
        <v>474</v>
      </c>
      <c r="AL507" s="310">
        <v>488</v>
      </c>
      <c r="AM507" s="310">
        <v>488</v>
      </c>
      <c r="AN507" s="310">
        <v>697</v>
      </c>
      <c r="AO507" s="310">
        <v>557</v>
      </c>
      <c r="AP507" s="310">
        <v>627</v>
      </c>
      <c r="AQ507" s="310">
        <v>557</v>
      </c>
      <c r="AR507" s="310">
        <v>557</v>
      </c>
      <c r="AS507" s="310">
        <v>557</v>
      </c>
      <c r="AT507" s="310">
        <f t="shared" si="418"/>
        <v>6329</v>
      </c>
      <c r="AU507" s="311">
        <f t="shared" si="419"/>
        <v>527.41666666666663</v>
      </c>
      <c r="AV507" s="374"/>
      <c r="AW507" s="2021">
        <v>589</v>
      </c>
      <c r="AX507" s="310">
        <v>854</v>
      </c>
      <c r="AY507" s="310">
        <v>635</v>
      </c>
      <c r="AZ507" s="310">
        <v>635</v>
      </c>
      <c r="BA507" s="310">
        <v>650</v>
      </c>
      <c r="BB507" s="310">
        <v>1083</v>
      </c>
      <c r="BC507" s="310">
        <v>899</v>
      </c>
      <c r="BD507" s="310">
        <v>743</v>
      </c>
      <c r="BE507" s="310">
        <v>743</v>
      </c>
      <c r="BF507" s="310">
        <v>635</v>
      </c>
      <c r="BG507" s="310">
        <v>620</v>
      </c>
      <c r="BH507" s="310">
        <v>588</v>
      </c>
      <c r="BI507" s="310">
        <f t="shared" si="424"/>
        <v>8674</v>
      </c>
      <c r="BJ507" s="311">
        <f t="shared" si="425"/>
        <v>722.77310224147993</v>
      </c>
      <c r="BL507" s="317">
        <f>ROW()</f>
        <v>507</v>
      </c>
      <c r="BM507" s="1432">
        <f t="shared" si="442"/>
        <v>180</v>
      </c>
      <c r="BN507" s="321">
        <f t="shared" si="426"/>
        <v>3.1861538461538461</v>
      </c>
      <c r="BO507" s="317">
        <f t="shared" si="427"/>
        <v>5226</v>
      </c>
      <c r="BP507" s="321">
        <f t="shared" si="428"/>
        <v>1.6024902005994928</v>
      </c>
      <c r="BR507" s="8"/>
      <c r="BS507"/>
    </row>
    <row r="508" spans="1:71" x14ac:dyDescent="0.55000000000000004">
      <c r="A508" s="7229"/>
      <c r="B508" s="7208"/>
      <c r="C508" s="202" t="s">
        <v>247</v>
      </c>
      <c r="D508" s="300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>
        <f t="shared" si="414"/>
        <v>0</v>
      </c>
      <c r="Q508" s="302">
        <f t="shared" si="415"/>
        <v>0</v>
      </c>
      <c r="S508" s="300">
        <v>384</v>
      </c>
      <c r="T508" s="301">
        <v>415</v>
      </c>
      <c r="U508" s="301">
        <v>388</v>
      </c>
      <c r="V508" s="301">
        <v>366</v>
      </c>
      <c r="W508" s="301">
        <v>397</v>
      </c>
      <c r="X508" s="301">
        <v>384</v>
      </c>
      <c r="Y508" s="301">
        <v>309</v>
      </c>
      <c r="Z508" s="301">
        <v>424</v>
      </c>
      <c r="AA508" s="301">
        <v>318</v>
      </c>
      <c r="AB508" s="301">
        <v>424</v>
      </c>
      <c r="AC508" s="301">
        <v>313</v>
      </c>
      <c r="AD508" s="301">
        <v>291</v>
      </c>
      <c r="AE508" s="301">
        <f t="shared" si="416"/>
        <v>4413</v>
      </c>
      <c r="AF508" s="302">
        <f t="shared" si="417"/>
        <v>367.75</v>
      </c>
      <c r="AG508" s="374"/>
      <c r="AH508" s="300">
        <v>397</v>
      </c>
      <c r="AI508" s="301">
        <v>294</v>
      </c>
      <c r="AJ508" s="301">
        <v>274</v>
      </c>
      <c r="AK508" s="301">
        <v>344</v>
      </c>
      <c r="AL508" s="301">
        <v>355</v>
      </c>
      <c r="AM508" s="301">
        <v>355</v>
      </c>
      <c r="AN508" s="301">
        <v>506</v>
      </c>
      <c r="AO508" s="301">
        <v>404</v>
      </c>
      <c r="AP508" s="301">
        <v>455</v>
      </c>
      <c r="AQ508" s="301">
        <v>404</v>
      </c>
      <c r="AR508" s="301">
        <v>404</v>
      </c>
      <c r="AS508" s="301">
        <v>404</v>
      </c>
      <c r="AT508" s="301">
        <f t="shared" si="418"/>
        <v>4596</v>
      </c>
      <c r="AU508" s="302">
        <f t="shared" si="419"/>
        <v>383</v>
      </c>
      <c r="AV508" s="374"/>
      <c r="AW508" s="2021">
        <v>360</v>
      </c>
      <c r="AX508" s="301">
        <v>522</v>
      </c>
      <c r="AY508" s="301">
        <v>388</v>
      </c>
      <c r="AZ508" s="301">
        <v>388</v>
      </c>
      <c r="BA508" s="301">
        <v>398</v>
      </c>
      <c r="BB508" s="301">
        <v>663</v>
      </c>
      <c r="BC508" s="301">
        <v>550</v>
      </c>
      <c r="BD508" s="301">
        <v>454</v>
      </c>
      <c r="BE508" s="301">
        <v>454</v>
      </c>
      <c r="BF508" s="301">
        <v>388</v>
      </c>
      <c r="BG508" s="301">
        <v>380</v>
      </c>
      <c r="BH508" s="301">
        <v>360</v>
      </c>
      <c r="BI508" s="301">
        <f t="shared" si="424"/>
        <v>5305</v>
      </c>
      <c r="BJ508" s="302">
        <f t="shared" si="425"/>
        <v>442.0464961253229</v>
      </c>
      <c r="BL508" s="317">
        <f>ROW()</f>
        <v>508</v>
      </c>
      <c r="BM508" s="1432">
        <f t="shared" si="442"/>
        <v>40</v>
      </c>
      <c r="BN508" s="321">
        <f t="shared" si="426"/>
        <v>1.9547738693467336</v>
      </c>
      <c r="BO508" s="317">
        <f t="shared" si="427"/>
        <v>-134</v>
      </c>
      <c r="BP508" s="321">
        <f t="shared" si="428"/>
        <v>0.9747408105560792</v>
      </c>
      <c r="BR508" s="8"/>
    </row>
    <row r="509" spans="1:71" x14ac:dyDescent="0.55000000000000004">
      <c r="A509" s="7229"/>
      <c r="B509" s="7208"/>
      <c r="C509" s="203" t="s">
        <v>248</v>
      </c>
      <c r="D509" s="303"/>
      <c r="E509" s="304"/>
      <c r="F509" s="304"/>
      <c r="G509" s="304"/>
      <c r="H509" s="304"/>
      <c r="I509" s="304"/>
      <c r="J509" s="304"/>
      <c r="K509" s="304"/>
      <c r="L509" s="304"/>
      <c r="M509" s="304"/>
      <c r="N509" s="304"/>
      <c r="O509" s="304"/>
      <c r="P509" s="304">
        <f t="shared" si="414"/>
        <v>0</v>
      </c>
      <c r="Q509" s="305">
        <f t="shared" si="415"/>
        <v>0</v>
      </c>
      <c r="S509" s="303">
        <v>424</v>
      </c>
      <c r="T509" s="304">
        <v>458</v>
      </c>
      <c r="U509" s="304">
        <v>429</v>
      </c>
      <c r="V509" s="304">
        <v>404</v>
      </c>
      <c r="W509" s="304">
        <v>439</v>
      </c>
      <c r="X509" s="304">
        <v>424</v>
      </c>
      <c r="Y509" s="304">
        <v>341</v>
      </c>
      <c r="Z509" s="304">
        <v>468</v>
      </c>
      <c r="AA509" s="304">
        <v>351</v>
      </c>
      <c r="AB509" s="304">
        <v>468</v>
      </c>
      <c r="AC509" s="304">
        <v>346</v>
      </c>
      <c r="AD509" s="304">
        <v>322</v>
      </c>
      <c r="AE509" s="304">
        <f t="shared" si="416"/>
        <v>4874</v>
      </c>
      <c r="AF509" s="305">
        <f t="shared" si="417"/>
        <v>406.16666666666669</v>
      </c>
      <c r="AG509" s="374"/>
      <c r="AH509" s="303">
        <v>524</v>
      </c>
      <c r="AI509" s="304">
        <v>387</v>
      </c>
      <c r="AJ509" s="304">
        <v>361</v>
      </c>
      <c r="AK509" s="304">
        <v>454</v>
      </c>
      <c r="AL509" s="304">
        <v>467</v>
      </c>
      <c r="AM509" s="304">
        <v>467</v>
      </c>
      <c r="AN509" s="304">
        <v>667</v>
      </c>
      <c r="AO509" s="304">
        <v>535</v>
      </c>
      <c r="AP509" s="304">
        <v>601</v>
      </c>
      <c r="AQ509" s="304">
        <v>535</v>
      </c>
      <c r="AR509" s="304">
        <v>535</v>
      </c>
      <c r="AS509" s="304">
        <v>535</v>
      </c>
      <c r="AT509" s="304">
        <f t="shared" si="418"/>
        <v>6068</v>
      </c>
      <c r="AU509" s="305">
        <f t="shared" si="419"/>
        <v>505.66666666666669</v>
      </c>
      <c r="AV509" s="374"/>
      <c r="AW509" s="2022">
        <v>555</v>
      </c>
      <c r="AX509" s="304">
        <v>802</v>
      </c>
      <c r="AY509" s="304">
        <v>599</v>
      </c>
      <c r="AZ509" s="304">
        <v>599</v>
      </c>
      <c r="BA509" s="304">
        <v>613</v>
      </c>
      <c r="BB509" s="304">
        <v>1024</v>
      </c>
      <c r="BC509" s="304">
        <v>847</v>
      </c>
      <c r="BD509" s="304">
        <v>701</v>
      </c>
      <c r="BE509" s="304">
        <v>701</v>
      </c>
      <c r="BF509" s="304">
        <v>599</v>
      </c>
      <c r="BG509" s="304">
        <v>584</v>
      </c>
      <c r="BH509" s="304">
        <v>556</v>
      </c>
      <c r="BI509" s="304">
        <f t="shared" si="424"/>
        <v>8180</v>
      </c>
      <c r="BJ509" s="305">
        <f t="shared" si="425"/>
        <v>681.60986584451302</v>
      </c>
      <c r="BL509" s="317">
        <f>ROW()</f>
        <v>509</v>
      </c>
      <c r="BM509" s="1432">
        <f t="shared" si="442"/>
        <v>-125</v>
      </c>
      <c r="BN509" s="321">
        <f t="shared" si="426"/>
        <v>1.5579119086460032</v>
      </c>
      <c r="BO509" s="317">
        <f t="shared" si="427"/>
        <v>-1443</v>
      </c>
      <c r="BP509" s="321">
        <f t="shared" si="428"/>
        <v>0.82359413202933984</v>
      </c>
      <c r="BR509" s="8"/>
    </row>
    <row r="510" spans="1:71" ht="18" thickBot="1" x14ac:dyDescent="0.6">
      <c r="A510" s="7230"/>
      <c r="B510" s="7209"/>
      <c r="C510" s="212" t="s">
        <v>249</v>
      </c>
      <c r="D510" s="312"/>
      <c r="E510" s="313"/>
      <c r="F510" s="313"/>
      <c r="G510" s="313"/>
      <c r="H510" s="313"/>
      <c r="I510" s="313"/>
      <c r="J510" s="313"/>
      <c r="K510" s="313"/>
      <c r="L510" s="313"/>
      <c r="M510" s="313"/>
      <c r="N510" s="313"/>
      <c r="O510" s="313"/>
      <c r="P510" s="313">
        <f t="shared" si="414"/>
        <v>0</v>
      </c>
      <c r="Q510" s="314">
        <f t="shared" si="415"/>
        <v>0</v>
      </c>
      <c r="S510" s="312">
        <v>339</v>
      </c>
      <c r="T510" s="313">
        <v>367</v>
      </c>
      <c r="U510" s="313">
        <v>343</v>
      </c>
      <c r="V510" s="313">
        <v>324</v>
      </c>
      <c r="W510" s="313">
        <v>350</v>
      </c>
      <c r="X510" s="313">
        <v>340</v>
      </c>
      <c r="Y510" s="313">
        <v>274</v>
      </c>
      <c r="Z510" s="313">
        <v>373</v>
      </c>
      <c r="AA510" s="313">
        <v>281</v>
      </c>
      <c r="AB510" s="313">
        <v>373</v>
      </c>
      <c r="AC510" s="313">
        <v>277</v>
      </c>
      <c r="AD510" s="313">
        <v>257</v>
      </c>
      <c r="AE510" s="313">
        <f t="shared" si="416"/>
        <v>3898</v>
      </c>
      <c r="AF510" s="314">
        <f t="shared" si="417"/>
        <v>324.83333333333331</v>
      </c>
      <c r="AG510" s="374"/>
      <c r="AH510" s="312">
        <v>364</v>
      </c>
      <c r="AI510" s="313">
        <v>270</v>
      </c>
      <c r="AJ510" s="313">
        <v>251</v>
      </c>
      <c r="AK510" s="313">
        <v>315</v>
      </c>
      <c r="AL510" s="313">
        <v>326</v>
      </c>
      <c r="AM510" s="313">
        <v>326</v>
      </c>
      <c r="AN510" s="313">
        <v>466</v>
      </c>
      <c r="AO510" s="313">
        <v>373</v>
      </c>
      <c r="AP510" s="313">
        <v>419</v>
      </c>
      <c r="AQ510" s="313">
        <v>373</v>
      </c>
      <c r="AR510" s="313">
        <v>373</v>
      </c>
      <c r="AS510" s="313">
        <v>373</v>
      </c>
      <c r="AT510" s="313">
        <f t="shared" si="418"/>
        <v>4229</v>
      </c>
      <c r="AU510" s="314">
        <f t="shared" si="419"/>
        <v>352.41666666666669</v>
      </c>
      <c r="AV510" s="374"/>
      <c r="AW510" s="2024">
        <v>316</v>
      </c>
      <c r="AX510" s="313">
        <v>456</v>
      </c>
      <c r="AY510" s="313">
        <v>341</v>
      </c>
      <c r="AZ510" s="313">
        <v>341</v>
      </c>
      <c r="BA510" s="313">
        <v>349</v>
      </c>
      <c r="BB510" s="313">
        <v>576</v>
      </c>
      <c r="BC510" s="313">
        <v>479</v>
      </c>
      <c r="BD510" s="313">
        <v>399</v>
      </c>
      <c r="BE510" s="313">
        <v>399</v>
      </c>
      <c r="BF510" s="313">
        <v>341</v>
      </c>
      <c r="BG510" s="313">
        <v>330</v>
      </c>
      <c r="BH510" s="313">
        <v>313</v>
      </c>
      <c r="BI510" s="313">
        <f t="shared" si="424"/>
        <v>4640</v>
      </c>
      <c r="BJ510" s="314">
        <f t="shared" si="425"/>
        <v>386.63444712940588</v>
      </c>
      <c r="BL510" s="317">
        <f>ROW()</f>
        <v>510</v>
      </c>
      <c r="BM510" s="1432">
        <f t="shared" si="442"/>
        <v>-30</v>
      </c>
      <c r="BN510" s="321">
        <f t="shared" si="426"/>
        <v>1.3467048710601719</v>
      </c>
      <c r="BO510" s="317">
        <f t="shared" si="427"/>
        <v>-229</v>
      </c>
      <c r="BP510" s="321">
        <f t="shared" si="428"/>
        <v>0.95064655172413792</v>
      </c>
      <c r="BR510" s="8"/>
    </row>
    <row r="511" spans="1:71" hidden="1" x14ac:dyDescent="0.55000000000000004">
      <c r="AH511" s="1029"/>
      <c r="AI511" s="1029"/>
      <c r="AJ511" s="1029"/>
      <c r="AK511" s="1029"/>
      <c r="AL511" s="1029"/>
      <c r="AM511" s="1029"/>
      <c r="AN511" s="1029"/>
      <c r="AO511" s="1029"/>
      <c r="AP511" s="1029"/>
      <c r="AR511" s="1029"/>
      <c r="AS511" s="1029"/>
    </row>
    <row r="512" spans="1:71" hidden="1" x14ac:dyDescent="0.55000000000000004">
      <c r="A512" s="7224" t="s">
        <v>1038</v>
      </c>
      <c r="B512" s="695" t="s">
        <v>618</v>
      </c>
      <c r="C512" s="698"/>
      <c r="D512" s="699">
        <v>0.94743890190826918</v>
      </c>
      <c r="E512" s="700">
        <v>0.95712861415752737</v>
      </c>
      <c r="F512" s="700">
        <v>0.94517958412098302</v>
      </c>
      <c r="G512" s="700">
        <v>0.95899970921779587</v>
      </c>
      <c r="H512" s="700">
        <v>0.9622802041973908</v>
      </c>
      <c r="I512" s="700">
        <v>0.96061395887633938</v>
      </c>
      <c r="J512" s="700">
        <v>0.9560925799863853</v>
      </c>
      <c r="K512" s="700">
        <v>0.9611476389719068</v>
      </c>
      <c r="L512" s="700">
        <v>0.94531784005468211</v>
      </c>
      <c r="M512" s="700">
        <v>0.94705354472031111</v>
      </c>
      <c r="N512" s="700">
        <v>0.93760262725779964</v>
      </c>
      <c r="O512" s="700">
        <v>0.93287827076222984</v>
      </c>
      <c r="P512" s="700"/>
      <c r="Q512" s="701"/>
      <c r="R512" s="1584"/>
      <c r="S512" s="699"/>
      <c r="T512" s="700"/>
      <c r="U512" s="700"/>
      <c r="V512" s="700"/>
      <c r="W512" s="700"/>
      <c r="X512" s="700"/>
      <c r="Y512" s="700"/>
      <c r="Z512" s="700"/>
      <c r="AA512" s="700"/>
      <c r="AB512" s="700"/>
      <c r="AC512" s="700"/>
      <c r="AD512" s="700"/>
      <c r="AE512" s="700"/>
      <c r="AF512" s="701"/>
      <c r="AG512" s="1584"/>
      <c r="AH512" s="699">
        <v>0.90700000000000003</v>
      </c>
      <c r="AI512" s="700">
        <v>0.90700000000000003</v>
      </c>
      <c r="AJ512" s="700">
        <v>0.90700000000000003</v>
      </c>
      <c r="AK512" s="700">
        <v>0.90700000000000003</v>
      </c>
      <c r="AL512" s="700">
        <v>0.90700000000000003</v>
      </c>
      <c r="AM512" s="785">
        <v>0.90700000000000003</v>
      </c>
      <c r="AN512" s="785">
        <v>0.90700000000000003</v>
      </c>
      <c r="AO512" s="785">
        <v>0.90700000000000003</v>
      </c>
      <c r="AP512" s="785">
        <v>0.90700000000000003</v>
      </c>
      <c r="AQ512" s="785">
        <v>0.90700000000000003</v>
      </c>
      <c r="AR512" s="785">
        <v>0.90700000000000003</v>
      </c>
      <c r="AS512" s="785">
        <v>0.90700000000000003</v>
      </c>
      <c r="AT512" s="700">
        <v>0.90700000000000003</v>
      </c>
      <c r="AU512" s="701">
        <v>0.90700000000000003</v>
      </c>
      <c r="AW512" s="2052"/>
      <c r="AX512" s="700"/>
      <c r="AY512" s="700"/>
      <c r="AZ512" s="700"/>
      <c r="BA512" s="790"/>
      <c r="BB512" s="790"/>
      <c r="BC512" s="790"/>
      <c r="BD512" s="790"/>
      <c r="BE512" s="790"/>
      <c r="BF512" s="790"/>
      <c r="BG512" s="1419"/>
      <c r="BH512" s="1419"/>
      <c r="BI512" s="700"/>
      <c r="BJ512" s="701"/>
      <c r="BM512" s="2209"/>
      <c r="BN512" s="2210"/>
      <c r="BO512" s="2210"/>
      <c r="BP512" s="2210"/>
    </row>
    <row r="513" spans="1:68" ht="17.5" hidden="1" customHeight="1" x14ac:dyDescent="0.55000000000000004">
      <c r="A513" s="7225"/>
      <c r="B513" s="696"/>
      <c r="C513" s="702" t="s">
        <v>424</v>
      </c>
      <c r="D513" s="408"/>
      <c r="E513" s="409"/>
      <c r="F513" s="409"/>
      <c r="G513" s="409"/>
      <c r="H513" s="409"/>
      <c r="I513" s="409"/>
      <c r="J513" s="409"/>
      <c r="K513" s="409"/>
      <c r="L513" s="409"/>
      <c r="M513" s="409"/>
      <c r="N513" s="409"/>
      <c r="O513" s="409"/>
      <c r="P513" s="409"/>
      <c r="Q513" s="410"/>
      <c r="R513" s="1584"/>
      <c r="S513" s="408"/>
      <c r="T513" s="409"/>
      <c r="U513" s="409"/>
      <c r="V513" s="409"/>
      <c r="W513" s="409"/>
      <c r="X513" s="409"/>
      <c r="Y513" s="409"/>
      <c r="Z513" s="409"/>
      <c r="AA513" s="409"/>
      <c r="AB513" s="409"/>
      <c r="AC513" s="409"/>
      <c r="AD513" s="409"/>
      <c r="AE513" s="409"/>
      <c r="AF513" s="410"/>
      <c r="AG513" s="1584"/>
      <c r="AH513" s="408"/>
      <c r="AI513" s="409"/>
      <c r="AJ513" s="409"/>
      <c r="AK513" s="409"/>
      <c r="AL513" s="791"/>
      <c r="AM513" s="791"/>
      <c r="AN513" s="791"/>
      <c r="AO513" s="791"/>
      <c r="AP513" s="791"/>
      <c r="AQ513" s="791"/>
      <c r="AR513" s="1420"/>
      <c r="AS513" s="1420"/>
      <c r="AT513" s="409"/>
      <c r="AU513" s="410"/>
      <c r="AW513" s="2041"/>
      <c r="AX513" s="409"/>
      <c r="AY513" s="409"/>
      <c r="AZ513" s="409"/>
      <c r="BA513" s="791"/>
      <c r="BB513" s="791"/>
      <c r="BC513" s="791"/>
      <c r="BD513" s="791"/>
      <c r="BE513" s="791"/>
      <c r="BF513" s="791"/>
      <c r="BG513" s="1420"/>
      <c r="BH513" s="1420"/>
      <c r="BI513" s="409"/>
      <c r="BJ513" s="410"/>
      <c r="BM513" s="2209"/>
      <c r="BN513" s="2210"/>
      <c r="BO513" s="2210"/>
      <c r="BP513" s="2210"/>
    </row>
    <row r="514" spans="1:68" ht="17.5" hidden="1" customHeight="1" x14ac:dyDescent="0.55000000000000004">
      <c r="A514" s="7225"/>
      <c r="B514" s="696"/>
      <c r="C514" s="702" t="s">
        <v>1112</v>
      </c>
      <c r="D514" s="408"/>
      <c r="E514" s="409"/>
      <c r="F514" s="409"/>
      <c r="G514" s="409"/>
      <c r="H514" s="409"/>
      <c r="I514" s="409"/>
      <c r="J514" s="409"/>
      <c r="K514" s="409"/>
      <c r="L514" s="409"/>
      <c r="M514" s="409"/>
      <c r="N514" s="409"/>
      <c r="O514" s="409"/>
      <c r="P514" s="409"/>
      <c r="Q514" s="410"/>
      <c r="R514" s="1584"/>
      <c r="S514" s="408"/>
      <c r="T514" s="409"/>
      <c r="U514" s="409"/>
      <c r="V514" s="409"/>
      <c r="W514" s="409"/>
      <c r="X514" s="409"/>
      <c r="Y514" s="409"/>
      <c r="Z514" s="409"/>
      <c r="AA514" s="409"/>
      <c r="AB514" s="409"/>
      <c r="AC514" s="409"/>
      <c r="AD514" s="409"/>
      <c r="AE514" s="409"/>
      <c r="AF514" s="410"/>
      <c r="AG514" s="1584"/>
      <c r="AH514" s="408"/>
      <c r="AI514" s="409"/>
      <c r="AJ514" s="409"/>
      <c r="AK514" s="409"/>
      <c r="AL514" s="791"/>
      <c r="AM514" s="791"/>
      <c r="AN514" s="791"/>
      <c r="AO514" s="791"/>
      <c r="AP514" s="791"/>
      <c r="AQ514" s="791"/>
      <c r="AR514" s="1420"/>
      <c r="AS514" s="1420"/>
      <c r="AT514" s="409"/>
      <c r="AU514" s="410"/>
      <c r="AW514" s="2041"/>
      <c r="AX514" s="409"/>
      <c r="AY514" s="409"/>
      <c r="AZ514" s="409"/>
      <c r="BA514" s="791"/>
      <c r="BB514" s="791"/>
      <c r="BC514" s="791"/>
      <c r="BD514" s="791"/>
      <c r="BE514" s="791"/>
      <c r="BF514" s="791"/>
      <c r="BG514" s="1420"/>
      <c r="BH514" s="1420"/>
      <c r="BI514" s="409"/>
      <c r="BJ514" s="410"/>
      <c r="BM514" s="2209"/>
      <c r="BN514" s="2210"/>
      <c r="BO514" s="2210"/>
      <c r="BP514" s="2210"/>
    </row>
    <row r="515" spans="1:68" ht="17.5" hidden="1" customHeight="1" x14ac:dyDescent="0.55000000000000004">
      <c r="A515" s="7225"/>
      <c r="B515" s="696"/>
      <c r="C515" s="702" t="s">
        <v>426</v>
      </c>
      <c r="D515" s="408"/>
      <c r="E515" s="409"/>
      <c r="F515" s="409"/>
      <c r="G515" s="409"/>
      <c r="H515" s="409"/>
      <c r="I515" s="409"/>
      <c r="J515" s="409"/>
      <c r="K515" s="409"/>
      <c r="L515" s="409"/>
      <c r="M515" s="409"/>
      <c r="N515" s="409"/>
      <c r="O515" s="409"/>
      <c r="P515" s="409"/>
      <c r="Q515" s="410"/>
      <c r="R515" s="1584"/>
      <c r="S515" s="408"/>
      <c r="T515" s="409"/>
      <c r="U515" s="409"/>
      <c r="V515" s="409"/>
      <c r="W515" s="409"/>
      <c r="X515" s="409"/>
      <c r="Y515" s="409"/>
      <c r="Z515" s="409"/>
      <c r="AA515" s="409"/>
      <c r="AB515" s="409"/>
      <c r="AC515" s="409"/>
      <c r="AD515" s="409"/>
      <c r="AE515" s="409"/>
      <c r="AF515" s="410"/>
      <c r="AG515" s="1584"/>
      <c r="AH515" s="408"/>
      <c r="AI515" s="409"/>
      <c r="AJ515" s="409"/>
      <c r="AK515" s="409"/>
      <c r="AL515" s="791"/>
      <c r="AM515" s="791"/>
      <c r="AN515" s="791"/>
      <c r="AO515" s="791"/>
      <c r="AP515" s="791"/>
      <c r="AQ515" s="791"/>
      <c r="AR515" s="1420"/>
      <c r="AS515" s="1420"/>
      <c r="AT515" s="409"/>
      <c r="AU515" s="410"/>
      <c r="AW515" s="2041"/>
      <c r="AX515" s="409"/>
      <c r="AY515" s="409"/>
      <c r="AZ515" s="409"/>
      <c r="BA515" s="791"/>
      <c r="BB515" s="791"/>
      <c r="BC515" s="791"/>
      <c r="BD515" s="791"/>
      <c r="BE515" s="791"/>
      <c r="BF515" s="791"/>
      <c r="BG515" s="1420"/>
      <c r="BH515" s="1420"/>
      <c r="BI515" s="409"/>
      <c r="BJ515" s="410"/>
      <c r="BM515" s="2209"/>
      <c r="BN515" s="2210"/>
      <c r="BO515" s="2210"/>
      <c r="BP515" s="2210"/>
    </row>
    <row r="516" spans="1:68" ht="18" hidden="1" customHeight="1" thickBot="1" x14ac:dyDescent="0.6">
      <c r="A516" s="7225"/>
      <c r="B516" s="697"/>
      <c r="C516" s="703" t="s">
        <v>954</v>
      </c>
      <c r="D516" s="704"/>
      <c r="E516" s="705"/>
      <c r="F516" s="705"/>
      <c r="G516" s="705"/>
      <c r="H516" s="705"/>
      <c r="I516" s="705"/>
      <c r="J516" s="705"/>
      <c r="K516" s="705"/>
      <c r="L516" s="705"/>
      <c r="M516" s="705"/>
      <c r="N516" s="705"/>
      <c r="O516" s="705"/>
      <c r="P516" s="705"/>
      <c r="Q516" s="706"/>
      <c r="R516" s="1584"/>
      <c r="S516" s="704"/>
      <c r="T516" s="705"/>
      <c r="U516" s="705"/>
      <c r="V516" s="705"/>
      <c r="W516" s="705"/>
      <c r="X516" s="705"/>
      <c r="Y516" s="705"/>
      <c r="Z516" s="705"/>
      <c r="AA516" s="705"/>
      <c r="AB516" s="705"/>
      <c r="AC516" s="705"/>
      <c r="AD516" s="705"/>
      <c r="AE516" s="705"/>
      <c r="AF516" s="706"/>
      <c r="AG516" s="1584"/>
      <c r="AH516" s="704"/>
      <c r="AI516" s="705"/>
      <c r="AJ516" s="705"/>
      <c r="AK516" s="705"/>
      <c r="AL516" s="792"/>
      <c r="AM516" s="792"/>
      <c r="AN516" s="792"/>
      <c r="AO516" s="792"/>
      <c r="AP516" s="792"/>
      <c r="AQ516" s="792"/>
      <c r="AR516" s="1421"/>
      <c r="AS516" s="1421"/>
      <c r="AT516" s="705"/>
      <c r="AU516" s="706"/>
      <c r="AW516" s="2042"/>
      <c r="AX516" s="705"/>
      <c r="AY516" s="705"/>
      <c r="AZ516" s="705"/>
      <c r="BA516" s="792"/>
      <c r="BB516" s="792"/>
      <c r="BC516" s="792"/>
      <c r="BD516" s="792"/>
      <c r="BE516" s="792"/>
      <c r="BF516" s="792"/>
      <c r="BG516" s="1421"/>
      <c r="BH516" s="1421"/>
      <c r="BI516" s="705"/>
      <c r="BJ516" s="706"/>
      <c r="BM516" s="2209"/>
      <c r="BN516" s="2210"/>
      <c r="BO516" s="2210"/>
      <c r="BP516" s="2210"/>
    </row>
    <row r="517" spans="1:68" ht="17.05" hidden="1" customHeight="1" x14ac:dyDescent="0.55000000000000004">
      <c r="A517" s="7225"/>
      <c r="B517" s="707" t="s">
        <v>451</v>
      </c>
      <c r="C517" s="708"/>
      <c r="D517" s="423"/>
      <c r="E517" s="424"/>
      <c r="F517" s="424"/>
      <c r="G517" s="424"/>
      <c r="H517" s="424"/>
      <c r="I517" s="424"/>
      <c r="J517" s="424"/>
      <c r="K517" s="424"/>
      <c r="L517" s="424"/>
      <c r="M517" s="424"/>
      <c r="N517" s="424"/>
      <c r="O517" s="424"/>
      <c r="P517" s="424"/>
      <c r="Q517" s="425"/>
      <c r="R517" s="1584"/>
      <c r="S517" s="423"/>
      <c r="T517" s="424"/>
      <c r="U517" s="424"/>
      <c r="V517" s="424"/>
      <c r="W517" s="424"/>
      <c r="X517" s="424"/>
      <c r="Y517" s="424"/>
      <c r="Z517" s="424"/>
      <c r="AA517" s="424"/>
      <c r="AB517" s="424"/>
      <c r="AC517" s="424"/>
      <c r="AD517" s="424"/>
      <c r="AE517" s="424"/>
      <c r="AF517" s="425"/>
      <c r="AG517" s="1584"/>
      <c r="AH517" s="423"/>
      <c r="AI517" s="424"/>
      <c r="AJ517" s="424"/>
      <c r="AK517" s="424"/>
      <c r="AL517" s="793"/>
      <c r="AM517" s="793"/>
      <c r="AN517" s="1017"/>
      <c r="AO517" s="1017"/>
      <c r="AP517" s="1017"/>
      <c r="AQ517" s="1116"/>
      <c r="AR517" s="1423"/>
      <c r="AS517" s="1423"/>
      <c r="AT517" s="424"/>
      <c r="AU517" s="425"/>
      <c r="AW517" s="2043"/>
      <c r="AX517" s="424"/>
      <c r="AY517" s="424"/>
      <c r="AZ517" s="424"/>
      <c r="BA517" s="793"/>
      <c r="BB517" s="793"/>
      <c r="BC517" s="1017"/>
      <c r="BD517" s="1017"/>
      <c r="BE517" s="1017"/>
      <c r="BF517" s="1116"/>
      <c r="BG517" s="1423"/>
      <c r="BH517" s="1423"/>
      <c r="BI517" s="424"/>
      <c r="BJ517" s="425"/>
      <c r="BM517" s="2209"/>
      <c r="BN517" s="2210"/>
      <c r="BO517" s="2210"/>
      <c r="BP517" s="2210"/>
    </row>
    <row r="518" spans="1:68" ht="17.05" hidden="1" customHeight="1" x14ac:dyDescent="0.55000000000000004">
      <c r="A518" s="7225"/>
      <c r="B518" s="45"/>
      <c r="C518" s="709" t="s">
        <v>19</v>
      </c>
      <c r="D518" s="414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6"/>
      <c r="R518" s="1584"/>
      <c r="S518" s="414"/>
      <c r="T518" s="415"/>
      <c r="U518" s="415"/>
      <c r="V518" s="415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6"/>
      <c r="AG518" s="1584"/>
      <c r="AH518" s="414"/>
      <c r="AI518" s="415"/>
      <c r="AJ518" s="415"/>
      <c r="AK518" s="415"/>
      <c r="AL518" s="794"/>
      <c r="AM518" s="794"/>
      <c r="AN518" s="1018"/>
      <c r="AO518" s="1018"/>
      <c r="AP518" s="1113"/>
      <c r="AQ518" s="1151"/>
      <c r="AR518" s="1424"/>
      <c r="AS518" s="1424"/>
      <c r="AT518" s="415"/>
      <c r="AU518" s="416"/>
      <c r="AW518" s="2044"/>
      <c r="AX518" s="415"/>
      <c r="AY518" s="415"/>
      <c r="AZ518" s="415"/>
      <c r="BA518" s="794"/>
      <c r="BB518" s="794"/>
      <c r="BC518" s="1018">
        <v>0.56999999999999995</v>
      </c>
      <c r="BD518" s="1018">
        <v>0.56999999999999995</v>
      </c>
      <c r="BE518" s="1113">
        <v>0.56999999999999995</v>
      </c>
      <c r="BF518" s="1151">
        <v>0.56999999999999995</v>
      </c>
      <c r="BG518" s="1424">
        <v>0.56999999999999995</v>
      </c>
      <c r="BH518" s="1424"/>
      <c r="BI518" s="415"/>
      <c r="BJ518" s="416"/>
      <c r="BM518" s="2209"/>
      <c r="BN518" s="2210"/>
      <c r="BO518" s="2210"/>
      <c r="BP518" s="2210"/>
    </row>
    <row r="519" spans="1:68" ht="17.05" hidden="1" customHeight="1" x14ac:dyDescent="0.55000000000000004">
      <c r="A519" s="7225"/>
      <c r="B519" s="45"/>
      <c r="C519" s="709" t="s">
        <v>1112</v>
      </c>
      <c r="D519" s="414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6"/>
      <c r="R519" s="1584"/>
      <c r="S519" s="414"/>
      <c r="T519" s="415"/>
      <c r="U519" s="415"/>
      <c r="V519" s="415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6"/>
      <c r="AG519" s="1584"/>
      <c r="AH519" s="414"/>
      <c r="AI519" s="415"/>
      <c r="AJ519" s="415"/>
      <c r="AK519" s="415"/>
      <c r="AL519" s="794"/>
      <c r="AM519" s="794"/>
      <c r="AN519" s="1018"/>
      <c r="AO519" s="1018"/>
      <c r="AP519" s="1113"/>
      <c r="AQ519" s="1151"/>
      <c r="AR519" s="1424"/>
      <c r="AS519" s="1424"/>
      <c r="AT519" s="415"/>
      <c r="AU519" s="416"/>
      <c r="AW519" s="2044"/>
      <c r="AX519" s="415"/>
      <c r="AY519" s="415"/>
      <c r="AZ519" s="415"/>
      <c r="BA519" s="794"/>
      <c r="BB519" s="794"/>
      <c r="BC519" s="1018">
        <v>0.3</v>
      </c>
      <c r="BD519" s="1018">
        <v>0.3</v>
      </c>
      <c r="BE519" s="1113">
        <v>0.3</v>
      </c>
      <c r="BF519" s="1151">
        <v>0.3</v>
      </c>
      <c r="BG519" s="1424">
        <v>0.3</v>
      </c>
      <c r="BH519" s="1424"/>
      <c r="BI519" s="415"/>
      <c r="BJ519" s="416"/>
      <c r="BM519" s="2209"/>
      <c r="BN519" s="2210"/>
      <c r="BO519" s="2210"/>
      <c r="BP519" s="2210"/>
    </row>
    <row r="520" spans="1:68" ht="17.05" hidden="1" customHeight="1" x14ac:dyDescent="0.55000000000000004">
      <c r="A520" s="7225"/>
      <c r="B520" s="45"/>
      <c r="C520" s="709" t="s">
        <v>426</v>
      </c>
      <c r="D520" s="414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6"/>
      <c r="R520" s="1584"/>
      <c r="S520" s="414"/>
      <c r="T520" s="415"/>
      <c r="U520" s="415"/>
      <c r="V520" s="415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6"/>
      <c r="AG520" s="1584"/>
      <c r="AH520" s="414"/>
      <c r="AI520" s="415"/>
      <c r="AJ520" s="415"/>
      <c r="AK520" s="415"/>
      <c r="AL520" s="794"/>
      <c r="AM520" s="794"/>
      <c r="AN520" s="1018"/>
      <c r="AO520" s="1018"/>
      <c r="AP520" s="1113"/>
      <c r="AQ520" s="1151"/>
      <c r="AR520" s="1424"/>
      <c r="AS520" s="1424"/>
      <c r="AT520" s="415"/>
      <c r="AU520" s="416"/>
      <c r="AW520" s="2044"/>
      <c r="AX520" s="415"/>
      <c r="AY520" s="415"/>
      <c r="AZ520" s="415"/>
      <c r="BA520" s="794"/>
      <c r="BB520" s="794"/>
      <c r="BC520" s="1018">
        <v>0.4</v>
      </c>
      <c r="BD520" s="1018">
        <v>0.4</v>
      </c>
      <c r="BE520" s="1113">
        <v>0.4</v>
      </c>
      <c r="BF520" s="1151">
        <v>0.4</v>
      </c>
      <c r="BG520" s="1424">
        <v>0.4</v>
      </c>
      <c r="BH520" s="1424"/>
      <c r="BI520" s="415"/>
      <c r="BJ520" s="416"/>
      <c r="BM520" s="2209"/>
      <c r="BN520" s="2210"/>
      <c r="BO520" s="2210"/>
      <c r="BP520" s="2210"/>
    </row>
    <row r="521" spans="1:68" ht="17.05" hidden="1" customHeight="1" x14ac:dyDescent="0.55000000000000004">
      <c r="A521" s="7225"/>
      <c r="B521" s="45"/>
      <c r="C521" s="709" t="s">
        <v>954</v>
      </c>
      <c r="D521" s="414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6"/>
      <c r="R521" s="1584"/>
      <c r="S521" s="414"/>
      <c r="T521" s="415"/>
      <c r="U521" s="415"/>
      <c r="V521" s="415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6"/>
      <c r="AG521" s="1584"/>
      <c r="AH521" s="414"/>
      <c r="AI521" s="415"/>
      <c r="AJ521" s="415"/>
      <c r="AK521" s="415"/>
      <c r="AL521" s="794"/>
      <c r="AM521" s="794"/>
      <c r="AN521" s="1018"/>
      <c r="AO521" s="1018"/>
      <c r="AP521" s="1113"/>
      <c r="AQ521" s="1151"/>
      <c r="AR521" s="1424"/>
      <c r="AS521" s="1424"/>
      <c r="AT521" s="415"/>
      <c r="AU521" s="416"/>
      <c r="AW521" s="2044"/>
      <c r="AX521" s="415"/>
      <c r="AY521" s="415"/>
      <c r="AZ521" s="415"/>
      <c r="BA521" s="794"/>
      <c r="BB521" s="794"/>
      <c r="BC521" s="1018"/>
      <c r="BD521" s="1018"/>
      <c r="BE521" s="1113"/>
      <c r="BF521" s="1151"/>
      <c r="BG521" s="1424"/>
      <c r="BH521" s="1424"/>
      <c r="BI521" s="415"/>
      <c r="BJ521" s="416"/>
      <c r="BM521" s="2209"/>
      <c r="BN521" s="2210"/>
      <c r="BO521" s="2210"/>
      <c r="BP521" s="2210"/>
    </row>
    <row r="522" spans="1:68" ht="17.05" hidden="1" customHeight="1" x14ac:dyDescent="0.55000000000000004">
      <c r="A522" s="7225"/>
      <c r="B522" s="257" t="s">
        <v>452</v>
      </c>
      <c r="C522" s="258"/>
      <c r="D522" s="411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3"/>
      <c r="R522" s="1584"/>
      <c r="S522" s="411"/>
      <c r="T522" s="412"/>
      <c r="U522" s="412"/>
      <c r="V522" s="412"/>
      <c r="W522" s="412"/>
      <c r="X522" s="412"/>
      <c r="Y522" s="412"/>
      <c r="Z522" s="412"/>
      <c r="AA522" s="412"/>
      <c r="AB522" s="412"/>
      <c r="AC522" s="412"/>
      <c r="AD522" s="412"/>
      <c r="AE522" s="412"/>
      <c r="AF522" s="413"/>
      <c r="AG522" s="1584"/>
      <c r="AH522" s="411"/>
      <c r="AI522" s="412"/>
      <c r="AJ522" s="412"/>
      <c r="AK522" s="412"/>
      <c r="AL522" s="795"/>
      <c r="AM522" s="795"/>
      <c r="AN522" s="1019"/>
      <c r="AO522" s="1019"/>
      <c r="AP522" s="1019"/>
      <c r="AQ522" s="1152"/>
      <c r="AR522" s="1425"/>
      <c r="AS522" s="1425"/>
      <c r="AT522" s="412"/>
      <c r="AU522" s="413"/>
      <c r="AW522" s="2045"/>
      <c r="AX522" s="412"/>
      <c r="AY522" s="412"/>
      <c r="AZ522" s="412"/>
      <c r="BA522" s="795"/>
      <c r="BB522" s="795"/>
      <c r="BC522" s="1019"/>
      <c r="BD522" s="1019"/>
      <c r="BE522" s="1019"/>
      <c r="BF522" s="1152"/>
      <c r="BG522" s="1425"/>
      <c r="BH522" s="1425"/>
      <c r="BI522" s="412"/>
      <c r="BJ522" s="413"/>
      <c r="BM522" s="2209"/>
      <c r="BN522" s="2210"/>
      <c r="BO522" s="2210"/>
      <c r="BP522" s="2210"/>
    </row>
    <row r="523" spans="1:68" ht="17.05" hidden="1" customHeight="1" x14ac:dyDescent="0.55000000000000004">
      <c r="A523" s="7225"/>
      <c r="B523" s="259"/>
      <c r="C523" s="264" t="s">
        <v>424</v>
      </c>
      <c r="D523" s="414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6"/>
      <c r="R523" s="1584"/>
      <c r="S523" s="414"/>
      <c r="T523" s="415"/>
      <c r="U523" s="415"/>
      <c r="V523" s="415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6"/>
      <c r="AG523" s="1584"/>
      <c r="AH523" s="414"/>
      <c r="AI523" s="415"/>
      <c r="AJ523" s="415"/>
      <c r="AK523" s="415"/>
      <c r="AL523" s="794"/>
      <c r="AM523" s="794"/>
      <c r="AN523" s="1018"/>
      <c r="AO523" s="1018"/>
      <c r="AP523" s="1113"/>
      <c r="AQ523" s="1151"/>
      <c r="AR523" s="1424"/>
      <c r="AS523" s="1424"/>
      <c r="AT523" s="415"/>
      <c r="AU523" s="416"/>
      <c r="AW523" s="2044"/>
      <c r="AX523" s="415"/>
      <c r="AY523" s="415"/>
      <c r="AZ523" s="415"/>
      <c r="BA523" s="794"/>
      <c r="BB523" s="794"/>
      <c r="BC523" s="1018"/>
      <c r="BD523" s="1018"/>
      <c r="BE523" s="1113"/>
      <c r="BF523" s="1151"/>
      <c r="BG523" s="1424"/>
      <c r="BH523" s="1424"/>
      <c r="BI523" s="415"/>
      <c r="BJ523" s="416"/>
      <c r="BM523" s="2209"/>
      <c r="BN523" s="2210"/>
      <c r="BO523" s="2210"/>
      <c r="BP523" s="2210"/>
    </row>
    <row r="524" spans="1:68" ht="17.05" hidden="1" customHeight="1" x14ac:dyDescent="0.55000000000000004">
      <c r="A524" s="7225"/>
      <c r="B524" s="259"/>
      <c r="C524" s="264" t="s">
        <v>1112</v>
      </c>
      <c r="D524" s="414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6"/>
      <c r="R524" s="1584"/>
      <c r="S524" s="414"/>
      <c r="T524" s="415"/>
      <c r="U524" s="415"/>
      <c r="V524" s="415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6"/>
      <c r="AG524" s="1584"/>
      <c r="AH524" s="414"/>
      <c r="AI524" s="415"/>
      <c r="AJ524" s="415"/>
      <c r="AK524" s="415"/>
      <c r="AL524" s="794"/>
      <c r="AM524" s="794"/>
      <c r="AN524" s="1018"/>
      <c r="AO524" s="1018"/>
      <c r="AP524" s="1113"/>
      <c r="AQ524" s="1151"/>
      <c r="AR524" s="1424"/>
      <c r="AS524" s="1424"/>
      <c r="AT524" s="415"/>
      <c r="AU524" s="416"/>
      <c r="AW524" s="2044"/>
      <c r="AX524" s="415"/>
      <c r="AY524" s="415"/>
      <c r="AZ524" s="415"/>
      <c r="BA524" s="794"/>
      <c r="BB524" s="794"/>
      <c r="BC524" s="1018"/>
      <c r="BD524" s="1018"/>
      <c r="BE524" s="1113"/>
      <c r="BF524" s="1151"/>
      <c r="BG524" s="1424"/>
      <c r="BH524" s="1424"/>
      <c r="BI524" s="415"/>
      <c r="BJ524" s="416"/>
      <c r="BM524" s="2209"/>
      <c r="BN524" s="2210"/>
      <c r="BO524" s="2210"/>
      <c r="BP524" s="2210"/>
    </row>
    <row r="525" spans="1:68" ht="17.05" hidden="1" customHeight="1" x14ac:dyDescent="0.55000000000000004">
      <c r="A525" s="7225"/>
      <c r="B525" s="259"/>
      <c r="C525" s="264" t="s">
        <v>426</v>
      </c>
      <c r="D525" s="414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6"/>
      <c r="R525" s="1584"/>
      <c r="S525" s="414"/>
      <c r="T525" s="415"/>
      <c r="U525" s="415"/>
      <c r="V525" s="41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6"/>
      <c r="AG525" s="1584"/>
      <c r="AH525" s="414"/>
      <c r="AI525" s="415"/>
      <c r="AJ525" s="415"/>
      <c r="AK525" s="415"/>
      <c r="AL525" s="794"/>
      <c r="AM525" s="794"/>
      <c r="AN525" s="1018"/>
      <c r="AO525" s="1018"/>
      <c r="AP525" s="1113"/>
      <c r="AQ525" s="1151"/>
      <c r="AR525" s="1424"/>
      <c r="AS525" s="1424"/>
      <c r="AT525" s="415"/>
      <c r="AU525" s="416"/>
      <c r="AW525" s="2044"/>
      <c r="AX525" s="415"/>
      <c r="AY525" s="415"/>
      <c r="AZ525" s="415"/>
      <c r="BA525" s="794"/>
      <c r="BB525" s="794"/>
      <c r="BC525" s="1018"/>
      <c r="BD525" s="1018"/>
      <c r="BE525" s="1113"/>
      <c r="BF525" s="1151"/>
      <c r="BG525" s="1424"/>
      <c r="BH525" s="1424"/>
      <c r="BI525" s="415"/>
      <c r="BJ525" s="416"/>
      <c r="BM525" s="2209"/>
      <c r="BN525" s="2210"/>
      <c r="BO525" s="2210"/>
      <c r="BP525" s="2210"/>
    </row>
    <row r="526" spans="1:68" ht="17.5" hidden="1" customHeight="1" thickBot="1" x14ac:dyDescent="0.6">
      <c r="A526" s="7226"/>
      <c r="B526" s="261"/>
      <c r="C526" s="265" t="s">
        <v>954</v>
      </c>
      <c r="D526" s="417"/>
      <c r="E526" s="418"/>
      <c r="F526" s="418"/>
      <c r="G526" s="418"/>
      <c r="H526" s="418"/>
      <c r="I526" s="418"/>
      <c r="J526" s="418"/>
      <c r="K526" s="418"/>
      <c r="L526" s="418"/>
      <c r="M526" s="418"/>
      <c r="N526" s="418"/>
      <c r="O526" s="418"/>
      <c r="P526" s="418"/>
      <c r="Q526" s="419"/>
      <c r="R526" s="1584"/>
      <c r="S526" s="417"/>
      <c r="T526" s="418"/>
      <c r="U526" s="418"/>
      <c r="V526" s="418"/>
      <c r="W526" s="418"/>
      <c r="X526" s="418"/>
      <c r="Y526" s="418"/>
      <c r="Z526" s="418"/>
      <c r="AA526" s="418"/>
      <c r="AB526" s="418"/>
      <c r="AC526" s="418"/>
      <c r="AD526" s="418"/>
      <c r="AE526" s="418"/>
      <c r="AF526" s="419"/>
      <c r="AG526" s="1584"/>
      <c r="AH526" s="417"/>
      <c r="AI526" s="418"/>
      <c r="AJ526" s="418"/>
      <c r="AK526" s="418"/>
      <c r="AL526" s="796"/>
      <c r="AM526" s="796"/>
      <c r="AN526" s="1020"/>
      <c r="AO526" s="1020"/>
      <c r="AP526" s="1020"/>
      <c r="AQ526" s="1153"/>
      <c r="AR526" s="1426"/>
      <c r="AS526" s="1426"/>
      <c r="AT526" s="418"/>
      <c r="AU526" s="419"/>
      <c r="AW526" s="2046"/>
      <c r="AX526" s="418"/>
      <c r="AY526" s="418"/>
      <c r="AZ526" s="418"/>
      <c r="BA526" s="796"/>
      <c r="BB526" s="796"/>
      <c r="BC526" s="1020"/>
      <c r="BD526" s="1020"/>
      <c r="BE526" s="1020"/>
      <c r="BF526" s="1153"/>
      <c r="BG526" s="1426"/>
      <c r="BH526" s="1426"/>
      <c r="BI526" s="418"/>
      <c r="BJ526" s="419"/>
      <c r="BM526" s="2209"/>
      <c r="BN526" s="2210"/>
      <c r="BO526" s="2210"/>
      <c r="BP526" s="2210"/>
    </row>
    <row r="527" spans="1:68" ht="17.399999999999999" hidden="1" customHeight="1" x14ac:dyDescent="0.55000000000000004">
      <c r="A527" s="7221" t="s">
        <v>1039</v>
      </c>
      <c r="B527" s="41" t="s">
        <v>455</v>
      </c>
      <c r="C527" s="206"/>
      <c r="D527" s="405">
        <v>0.87623762376237624</v>
      </c>
      <c r="E527" s="406">
        <v>0.90012229922543829</v>
      </c>
      <c r="F527" s="406">
        <v>0.89154704944178631</v>
      </c>
      <c r="G527" s="406">
        <v>0.9220411055988661</v>
      </c>
      <c r="H527" s="406">
        <v>0.92804551539491298</v>
      </c>
      <c r="I527" s="406">
        <v>0.93961352657004826</v>
      </c>
      <c r="J527" s="406">
        <v>0.9286016054076891</v>
      </c>
      <c r="K527" s="406">
        <v>0.92770655270655267</v>
      </c>
      <c r="L527" s="406">
        <v>0.91546762589928055</v>
      </c>
      <c r="M527" s="406">
        <v>0.92484177215189878</v>
      </c>
      <c r="N527" s="406">
        <v>0.90592188156236875</v>
      </c>
      <c r="O527" s="406">
        <v>0.90558576371725164</v>
      </c>
      <c r="P527" s="406"/>
      <c r="Q527" s="407"/>
      <c r="R527" s="1584"/>
      <c r="S527" s="405"/>
      <c r="T527" s="406"/>
      <c r="U527" s="406"/>
      <c r="V527" s="406"/>
      <c r="W527" s="406"/>
      <c r="X527" s="406"/>
      <c r="Y527" s="406"/>
      <c r="Z527" s="406"/>
      <c r="AA527" s="406"/>
      <c r="AB527" s="406"/>
      <c r="AC527" s="406"/>
      <c r="AD527" s="406"/>
      <c r="AE527" s="406"/>
      <c r="AF527" s="407"/>
      <c r="AG527" s="1584"/>
      <c r="AH527" s="405">
        <v>0.90200000000000002</v>
      </c>
      <c r="AI527" s="406">
        <v>0.90200000000000002</v>
      </c>
      <c r="AJ527" s="406">
        <v>0.90200000000000002</v>
      </c>
      <c r="AK527" s="406">
        <v>0.90200000000000002</v>
      </c>
      <c r="AL527" s="406">
        <v>0.90200000000000002</v>
      </c>
      <c r="AM527" s="786">
        <v>0.90200000000000002</v>
      </c>
      <c r="AN527" s="786">
        <v>0.90200000000000002</v>
      </c>
      <c r="AO527" s="786">
        <v>0.90200000000000002</v>
      </c>
      <c r="AP527" s="786">
        <v>0.90200000000000002</v>
      </c>
      <c r="AQ527" s="786">
        <v>0.90200000000000002</v>
      </c>
      <c r="AR527" s="786">
        <v>0.90200000000000002</v>
      </c>
      <c r="AS527" s="786">
        <v>0.90200000000000002</v>
      </c>
      <c r="AT527" s="406">
        <v>0.90200000000000002</v>
      </c>
      <c r="AU527" s="407">
        <v>0.90200000000000002</v>
      </c>
      <c r="AW527" s="2052"/>
      <c r="AX527" s="406"/>
      <c r="AY527" s="406"/>
      <c r="AZ527" s="406"/>
      <c r="BA527" s="797"/>
      <c r="BB527" s="797"/>
      <c r="BC527" s="1049"/>
      <c r="BD527" s="1049"/>
      <c r="BE527" s="1114"/>
      <c r="BF527" s="1114"/>
      <c r="BG527" s="1427"/>
      <c r="BH527" s="1427"/>
      <c r="BI527" s="406"/>
      <c r="BJ527" s="407"/>
      <c r="BM527" s="2209"/>
      <c r="BN527" s="2210"/>
      <c r="BO527" s="2210"/>
      <c r="BP527" s="2210"/>
    </row>
    <row r="528" spans="1:68" ht="17.399999999999999" hidden="1" customHeight="1" x14ac:dyDescent="0.55000000000000004">
      <c r="A528" s="7222"/>
      <c r="B528" s="42"/>
      <c r="C528" s="207" t="s">
        <v>19</v>
      </c>
      <c r="D528" s="408"/>
      <c r="E528" s="409"/>
      <c r="F528" s="409"/>
      <c r="G528" s="409"/>
      <c r="H528" s="409"/>
      <c r="I528" s="409"/>
      <c r="J528" s="409"/>
      <c r="K528" s="409"/>
      <c r="L528" s="409"/>
      <c r="M528" s="409"/>
      <c r="N528" s="409"/>
      <c r="O528" s="409"/>
      <c r="P528" s="409"/>
      <c r="Q528" s="410"/>
      <c r="R528" s="1584"/>
      <c r="S528" s="408"/>
      <c r="T528" s="409"/>
      <c r="U528" s="409"/>
      <c r="V528" s="409"/>
      <c r="W528" s="409"/>
      <c r="X528" s="409"/>
      <c r="Y528" s="409"/>
      <c r="Z528" s="409"/>
      <c r="AA528" s="409"/>
      <c r="AB528" s="409"/>
      <c r="AC528" s="409"/>
      <c r="AD528" s="409"/>
      <c r="AE528" s="409"/>
      <c r="AF528" s="410"/>
      <c r="AG528" s="1584"/>
      <c r="AH528" s="408"/>
      <c r="AI528" s="409"/>
      <c r="AJ528" s="409"/>
      <c r="AK528" s="409"/>
      <c r="AL528" s="791"/>
      <c r="AM528" s="791"/>
      <c r="AN528" s="1050"/>
      <c r="AO528" s="1050"/>
      <c r="AP528" s="1112"/>
      <c r="AQ528" s="1112"/>
      <c r="AR528" s="1428"/>
      <c r="AS528" s="1428"/>
      <c r="AT528" s="409"/>
      <c r="AU528" s="410"/>
      <c r="AW528" s="2041"/>
      <c r="AX528" s="409"/>
      <c r="AY528" s="409"/>
      <c r="AZ528" s="409"/>
      <c r="BA528" s="791"/>
      <c r="BB528" s="791"/>
      <c r="BC528" s="1050"/>
      <c r="BD528" s="1050"/>
      <c r="BE528" s="1112"/>
      <c r="BF528" s="1112"/>
      <c r="BG528" s="1428"/>
      <c r="BH528" s="1428"/>
      <c r="BI528" s="409"/>
      <c r="BJ528" s="410"/>
      <c r="BM528" s="2209"/>
      <c r="BN528" s="2210"/>
      <c r="BO528" s="2210"/>
      <c r="BP528" s="2210"/>
    </row>
    <row r="529" spans="1:68" ht="17.399999999999999" hidden="1" customHeight="1" x14ac:dyDescent="0.55000000000000004">
      <c r="A529" s="7222"/>
      <c r="B529" s="42"/>
      <c r="C529" s="207" t="s">
        <v>1112</v>
      </c>
      <c r="D529" s="408"/>
      <c r="E529" s="409"/>
      <c r="F529" s="409"/>
      <c r="G529" s="409"/>
      <c r="H529" s="409"/>
      <c r="I529" s="409"/>
      <c r="J529" s="409"/>
      <c r="K529" s="409"/>
      <c r="L529" s="409"/>
      <c r="M529" s="409"/>
      <c r="N529" s="409"/>
      <c r="O529" s="409"/>
      <c r="P529" s="409"/>
      <c r="Q529" s="410"/>
      <c r="R529" s="1584"/>
      <c r="S529" s="408"/>
      <c r="T529" s="409"/>
      <c r="U529" s="409"/>
      <c r="V529" s="409"/>
      <c r="W529" s="409"/>
      <c r="X529" s="409"/>
      <c r="Y529" s="409"/>
      <c r="Z529" s="409"/>
      <c r="AA529" s="409"/>
      <c r="AB529" s="409"/>
      <c r="AC529" s="409"/>
      <c r="AD529" s="409"/>
      <c r="AE529" s="409"/>
      <c r="AF529" s="410"/>
      <c r="AG529" s="1584"/>
      <c r="AH529" s="408"/>
      <c r="AI529" s="409"/>
      <c r="AJ529" s="409"/>
      <c r="AK529" s="409"/>
      <c r="AL529" s="791"/>
      <c r="AM529" s="791"/>
      <c r="AN529" s="1050"/>
      <c r="AO529" s="1050"/>
      <c r="AP529" s="1112"/>
      <c r="AQ529" s="1112"/>
      <c r="AR529" s="1428"/>
      <c r="AS529" s="1428"/>
      <c r="AT529" s="409"/>
      <c r="AU529" s="410"/>
      <c r="AW529" s="2041"/>
      <c r="AX529" s="409"/>
      <c r="AY529" s="409"/>
      <c r="AZ529" s="409"/>
      <c r="BA529" s="791"/>
      <c r="BB529" s="791"/>
      <c r="BC529" s="1050"/>
      <c r="BD529" s="1050"/>
      <c r="BE529" s="1112"/>
      <c r="BF529" s="1112"/>
      <c r="BG529" s="1428"/>
      <c r="BH529" s="1428"/>
      <c r="BI529" s="409"/>
      <c r="BJ529" s="410"/>
      <c r="BM529" s="2209"/>
      <c r="BN529" s="2210"/>
      <c r="BO529" s="2210"/>
      <c r="BP529" s="2210"/>
    </row>
    <row r="530" spans="1:68" ht="17.399999999999999" hidden="1" customHeight="1" x14ac:dyDescent="0.55000000000000004">
      <c r="A530" s="7222"/>
      <c r="B530" s="42"/>
      <c r="C530" s="207" t="s">
        <v>426</v>
      </c>
      <c r="D530" s="408"/>
      <c r="E530" s="409"/>
      <c r="F530" s="409"/>
      <c r="G530" s="409"/>
      <c r="H530" s="409"/>
      <c r="I530" s="409"/>
      <c r="J530" s="409"/>
      <c r="K530" s="409"/>
      <c r="L530" s="409"/>
      <c r="M530" s="409"/>
      <c r="N530" s="409"/>
      <c r="O530" s="409"/>
      <c r="P530" s="409"/>
      <c r="Q530" s="410"/>
      <c r="R530" s="1584"/>
      <c r="S530" s="408"/>
      <c r="T530" s="409"/>
      <c r="U530" s="409"/>
      <c r="V530" s="409"/>
      <c r="W530" s="409"/>
      <c r="X530" s="409"/>
      <c r="Y530" s="409"/>
      <c r="Z530" s="409"/>
      <c r="AA530" s="409"/>
      <c r="AB530" s="409"/>
      <c r="AC530" s="409"/>
      <c r="AD530" s="409"/>
      <c r="AE530" s="409"/>
      <c r="AF530" s="410"/>
      <c r="AG530" s="1584"/>
      <c r="AH530" s="408"/>
      <c r="AI530" s="409"/>
      <c r="AJ530" s="409"/>
      <c r="AK530" s="409"/>
      <c r="AL530" s="791"/>
      <c r="AM530" s="791"/>
      <c r="AN530" s="1050"/>
      <c r="AO530" s="1050"/>
      <c r="AP530" s="1112"/>
      <c r="AQ530" s="1112"/>
      <c r="AR530" s="1428"/>
      <c r="AS530" s="1428"/>
      <c r="AT530" s="409"/>
      <c r="AU530" s="410"/>
      <c r="AW530" s="2041"/>
      <c r="AX530" s="409"/>
      <c r="AY530" s="409"/>
      <c r="AZ530" s="409"/>
      <c r="BA530" s="791"/>
      <c r="BB530" s="791"/>
      <c r="BC530" s="1050"/>
      <c r="BD530" s="1050"/>
      <c r="BE530" s="1112"/>
      <c r="BF530" s="1112"/>
      <c r="BG530" s="1428"/>
      <c r="BH530" s="1428"/>
      <c r="BI530" s="409"/>
      <c r="BJ530" s="410"/>
      <c r="BM530" s="2209"/>
      <c r="BN530" s="2210"/>
      <c r="BO530" s="2210"/>
      <c r="BP530" s="2210"/>
    </row>
    <row r="531" spans="1:68" ht="17.399999999999999" hidden="1" customHeight="1" thickBot="1" x14ac:dyDescent="0.6">
      <c r="A531" s="7223"/>
      <c r="B531" s="262"/>
      <c r="C531" s="263" t="s">
        <v>954</v>
      </c>
      <c r="D531" s="420"/>
      <c r="E531" s="421"/>
      <c r="F531" s="421"/>
      <c r="G531" s="421"/>
      <c r="H531" s="421"/>
      <c r="I531" s="421"/>
      <c r="J531" s="421"/>
      <c r="K531" s="421"/>
      <c r="L531" s="421"/>
      <c r="M531" s="421"/>
      <c r="N531" s="421"/>
      <c r="O531" s="421"/>
      <c r="P531" s="421"/>
      <c r="Q531" s="422"/>
      <c r="R531" s="1584"/>
      <c r="S531" s="420"/>
      <c r="T531" s="421"/>
      <c r="U531" s="421"/>
      <c r="V531" s="421"/>
      <c r="W531" s="421"/>
      <c r="X531" s="421"/>
      <c r="Y531" s="421"/>
      <c r="Z531" s="421"/>
      <c r="AA531" s="421"/>
      <c r="AB531" s="421"/>
      <c r="AC531" s="421"/>
      <c r="AD531" s="421"/>
      <c r="AE531" s="421"/>
      <c r="AF531" s="422"/>
      <c r="AG531" s="1584"/>
      <c r="AH531" s="420"/>
      <c r="AI531" s="421"/>
      <c r="AJ531" s="421"/>
      <c r="AK531" s="421"/>
      <c r="AL531" s="798"/>
      <c r="AM531" s="798"/>
      <c r="AN531" s="1051"/>
      <c r="AO531" s="1051"/>
      <c r="AP531" s="1115"/>
      <c r="AQ531" s="1115"/>
      <c r="AR531" s="1429"/>
      <c r="AS531" s="1429"/>
      <c r="AT531" s="421"/>
      <c r="AU531" s="422"/>
      <c r="AW531" s="2048"/>
      <c r="AX531" s="421"/>
      <c r="AY531" s="421"/>
      <c r="AZ531" s="421"/>
      <c r="BA531" s="798"/>
      <c r="BB531" s="798"/>
      <c r="BC531" s="1051"/>
      <c r="BD531" s="1051"/>
      <c r="BE531" s="1115"/>
      <c r="BF531" s="1115"/>
      <c r="BG531" s="1429"/>
      <c r="BH531" s="1429"/>
      <c r="BI531" s="421"/>
      <c r="BJ531" s="422"/>
      <c r="BM531" s="2209"/>
      <c r="BN531" s="2210"/>
      <c r="BO531" s="2210"/>
      <c r="BP531" s="2210"/>
    </row>
    <row r="532" spans="1:68" ht="17.399999999999999" hidden="1" customHeight="1" x14ac:dyDescent="0.55000000000000004">
      <c r="A532" s="7221" t="s">
        <v>1040</v>
      </c>
      <c r="B532" s="266" t="s">
        <v>457</v>
      </c>
      <c r="C532" s="267"/>
      <c r="D532" s="423"/>
      <c r="E532" s="424"/>
      <c r="F532" s="424"/>
      <c r="G532" s="424"/>
      <c r="H532" s="424"/>
      <c r="I532" s="424"/>
      <c r="J532" s="424"/>
      <c r="K532" s="424"/>
      <c r="L532" s="424"/>
      <c r="M532" s="424"/>
      <c r="N532" s="424"/>
      <c r="O532" s="424"/>
      <c r="P532" s="424"/>
      <c r="Q532" s="425"/>
      <c r="R532" s="1584"/>
      <c r="S532" s="423"/>
      <c r="T532" s="424"/>
      <c r="U532" s="424"/>
      <c r="V532" s="424"/>
      <c r="W532" s="424"/>
      <c r="X532" s="424"/>
      <c r="Y532" s="424"/>
      <c r="Z532" s="424"/>
      <c r="AA532" s="424"/>
      <c r="AB532" s="424"/>
      <c r="AC532" s="424"/>
      <c r="AD532" s="424"/>
      <c r="AE532" s="424"/>
      <c r="AF532" s="425"/>
      <c r="AG532" s="1584"/>
      <c r="AH532" s="423"/>
      <c r="AI532" s="424"/>
      <c r="AJ532" s="424"/>
      <c r="AK532" s="424"/>
      <c r="AL532" s="424"/>
      <c r="AM532" s="424"/>
      <c r="AN532" s="1017"/>
      <c r="AO532" s="1017"/>
      <c r="AP532" s="1116"/>
      <c r="AQ532" s="1116"/>
      <c r="AR532" s="1423"/>
      <c r="AS532" s="1423"/>
      <c r="AT532" s="424"/>
      <c r="AU532" s="425"/>
      <c r="AW532" s="2043"/>
      <c r="AX532" s="424"/>
      <c r="AY532" s="424"/>
      <c r="AZ532" s="424"/>
      <c r="BA532" s="424"/>
      <c r="BB532" s="424"/>
      <c r="BC532" s="1017"/>
      <c r="BD532" s="1017"/>
      <c r="BE532" s="1116"/>
      <c r="BF532" s="1116"/>
      <c r="BG532" s="1423"/>
      <c r="BH532" s="1423"/>
      <c r="BI532" s="424"/>
      <c r="BJ532" s="425"/>
      <c r="BM532" s="2209"/>
      <c r="BN532" s="2210"/>
      <c r="BO532" s="2210"/>
      <c r="BP532" s="2210"/>
    </row>
    <row r="533" spans="1:68" ht="17.399999999999999" hidden="1" customHeight="1" x14ac:dyDescent="0.55000000000000004">
      <c r="A533" s="7222"/>
      <c r="B533" s="259"/>
      <c r="C533" s="260" t="s">
        <v>19</v>
      </c>
      <c r="D533" s="426"/>
      <c r="E533" s="427"/>
      <c r="F533" s="427"/>
      <c r="G533" s="427"/>
      <c r="H533" s="427"/>
      <c r="I533" s="427"/>
      <c r="J533" s="427"/>
      <c r="K533" s="427"/>
      <c r="L533" s="427"/>
      <c r="M533" s="427"/>
      <c r="N533" s="427"/>
      <c r="O533" s="427"/>
      <c r="P533" s="427"/>
      <c r="Q533" s="428"/>
      <c r="R533" s="1584"/>
      <c r="S533" s="426"/>
      <c r="T533" s="427"/>
      <c r="U533" s="427"/>
      <c r="V533" s="427"/>
      <c r="W533" s="427"/>
      <c r="X533" s="427"/>
      <c r="Y533" s="427"/>
      <c r="Z533" s="427"/>
      <c r="AA533" s="427"/>
      <c r="AB533" s="427"/>
      <c r="AC533" s="427"/>
      <c r="AD533" s="427"/>
      <c r="AE533" s="427"/>
      <c r="AF533" s="428"/>
      <c r="AG533" s="1584"/>
      <c r="AH533" s="426"/>
      <c r="AI533" s="427"/>
      <c r="AJ533" s="427"/>
      <c r="AK533" s="427"/>
      <c r="AL533" s="427"/>
      <c r="AM533" s="427"/>
      <c r="AN533" s="1052"/>
      <c r="AO533" s="1052"/>
      <c r="AP533" s="1117"/>
      <c r="AQ533" s="1117"/>
      <c r="AR533" s="1430"/>
      <c r="AS533" s="1430"/>
      <c r="AT533" s="427"/>
      <c r="AU533" s="428"/>
      <c r="AW533" s="2049"/>
      <c r="AX533" s="427"/>
      <c r="AY533" s="427"/>
      <c r="AZ533" s="427"/>
      <c r="BA533" s="427"/>
      <c r="BB533" s="427"/>
      <c r="BC533" s="1052"/>
      <c r="BD533" s="1052"/>
      <c r="BE533" s="1117"/>
      <c r="BF533" s="1117"/>
      <c r="BG533" s="1430"/>
      <c r="BH533" s="1430"/>
      <c r="BI533" s="427"/>
      <c r="BJ533" s="428"/>
      <c r="BM533" s="2209"/>
      <c r="BN533" s="2210"/>
      <c r="BO533" s="2210"/>
      <c r="BP533" s="2210"/>
    </row>
    <row r="534" spans="1:68" ht="17.399999999999999" hidden="1" customHeight="1" x14ac:dyDescent="0.55000000000000004">
      <c r="A534" s="7222"/>
      <c r="B534" s="259"/>
      <c r="C534" s="260" t="s">
        <v>20</v>
      </c>
      <c r="D534" s="426"/>
      <c r="E534" s="427"/>
      <c r="F534" s="427"/>
      <c r="G534" s="427"/>
      <c r="H534" s="427"/>
      <c r="I534" s="427"/>
      <c r="J534" s="427"/>
      <c r="K534" s="427"/>
      <c r="L534" s="427"/>
      <c r="M534" s="427"/>
      <c r="N534" s="427"/>
      <c r="O534" s="427"/>
      <c r="P534" s="427"/>
      <c r="Q534" s="428"/>
      <c r="R534" s="1584"/>
      <c r="S534" s="426"/>
      <c r="T534" s="427"/>
      <c r="U534" s="427"/>
      <c r="V534" s="427"/>
      <c r="W534" s="427"/>
      <c r="X534" s="427"/>
      <c r="Y534" s="427"/>
      <c r="Z534" s="427"/>
      <c r="AA534" s="427"/>
      <c r="AB534" s="427"/>
      <c r="AC534" s="427"/>
      <c r="AD534" s="427"/>
      <c r="AE534" s="427"/>
      <c r="AF534" s="428"/>
      <c r="AG534" s="1584"/>
      <c r="AH534" s="426"/>
      <c r="AI534" s="427"/>
      <c r="AJ534" s="427"/>
      <c r="AK534" s="427"/>
      <c r="AL534" s="427"/>
      <c r="AM534" s="427"/>
      <c r="AN534" s="1052"/>
      <c r="AO534" s="1052"/>
      <c r="AP534" s="1117"/>
      <c r="AQ534" s="1117"/>
      <c r="AR534" s="1430"/>
      <c r="AS534" s="1430"/>
      <c r="AT534" s="427"/>
      <c r="AU534" s="428"/>
      <c r="AW534" s="2049"/>
      <c r="AX534" s="427"/>
      <c r="AY534" s="427"/>
      <c r="AZ534" s="427"/>
      <c r="BA534" s="427"/>
      <c r="BB534" s="427"/>
      <c r="BC534" s="1052"/>
      <c r="BD534" s="1052"/>
      <c r="BE534" s="1117"/>
      <c r="BF534" s="1117"/>
      <c r="BG534" s="1430"/>
      <c r="BH534" s="1430"/>
      <c r="BI534" s="427"/>
      <c r="BJ534" s="428"/>
      <c r="BM534" s="2209"/>
      <c r="BN534" s="2210"/>
      <c r="BO534" s="2210"/>
      <c r="BP534" s="2210"/>
    </row>
    <row r="535" spans="1:68" ht="17.399999999999999" hidden="1" customHeight="1" x14ac:dyDescent="0.55000000000000004">
      <c r="A535" s="7222"/>
      <c r="B535" s="1580" t="s">
        <v>458</v>
      </c>
      <c r="C535" s="209"/>
      <c r="D535" s="276"/>
      <c r="E535" s="277"/>
      <c r="F535" s="277"/>
      <c r="G535" s="277"/>
      <c r="H535" s="277"/>
      <c r="I535" s="277"/>
      <c r="J535" s="277"/>
      <c r="K535" s="277"/>
      <c r="L535" s="277"/>
      <c r="M535" s="277"/>
      <c r="N535" s="277"/>
      <c r="O535" s="277"/>
      <c r="P535" s="277"/>
      <c r="Q535" s="278"/>
      <c r="R535" s="374"/>
      <c r="S535" s="276"/>
      <c r="T535" s="277"/>
      <c r="U535" s="277"/>
      <c r="V535" s="277"/>
      <c r="W535" s="277"/>
      <c r="X535" s="277"/>
      <c r="Y535" s="277"/>
      <c r="Z535" s="277"/>
      <c r="AA535" s="277"/>
      <c r="AB535" s="277"/>
      <c r="AC535" s="277"/>
      <c r="AD535" s="277"/>
      <c r="AE535" s="277"/>
      <c r="AF535" s="278"/>
      <c r="AG535" s="374"/>
      <c r="AH535" s="276"/>
      <c r="AI535" s="277"/>
      <c r="AJ535" s="277"/>
      <c r="AK535" s="277"/>
      <c r="AL535" s="277"/>
      <c r="AM535" s="277"/>
      <c r="AN535" s="277"/>
      <c r="AO535" s="277"/>
      <c r="AP535" s="277"/>
      <c r="AQ535" s="277"/>
      <c r="AR535" s="277"/>
      <c r="AS535" s="277"/>
      <c r="AT535" s="277"/>
      <c r="AU535" s="278"/>
      <c r="AV535" s="374"/>
      <c r="AW535" s="2012"/>
      <c r="AX535" s="277"/>
      <c r="AY535" s="277"/>
      <c r="AZ535" s="277"/>
      <c r="BA535" s="277"/>
      <c r="BB535" s="277"/>
      <c r="BC535" s="277"/>
      <c r="BD535" s="277"/>
      <c r="BE535" s="277"/>
      <c r="BF535" s="277"/>
      <c r="BG535" s="277"/>
      <c r="BH535" s="277"/>
      <c r="BI535" s="277"/>
      <c r="BJ535" s="278"/>
      <c r="BM535" s="2211"/>
      <c r="BN535" s="2210"/>
      <c r="BO535" s="2212"/>
      <c r="BP535" s="1131"/>
    </row>
    <row r="536" spans="1:68" ht="17.399999999999999" hidden="1" customHeight="1" x14ac:dyDescent="0.55000000000000004">
      <c r="A536" s="7222"/>
      <c r="B536" s="1581"/>
      <c r="C536" s="1583" t="s">
        <v>424</v>
      </c>
      <c r="D536" s="279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1"/>
      <c r="R536" s="374"/>
      <c r="S536" s="279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1"/>
      <c r="AG536" s="374"/>
      <c r="AH536" s="279"/>
      <c r="AI536" s="280"/>
      <c r="AJ536" s="280"/>
      <c r="AK536" s="280"/>
      <c r="AL536" s="280"/>
      <c r="AM536" s="280"/>
      <c r="AN536" s="280"/>
      <c r="AO536" s="280"/>
      <c r="AP536" s="280"/>
      <c r="AQ536" s="280"/>
      <c r="AR536" s="280"/>
      <c r="AS536" s="280"/>
      <c r="AT536" s="280"/>
      <c r="AU536" s="281"/>
      <c r="AV536" s="374"/>
      <c r="AW536" s="2013"/>
      <c r="AX536" s="280"/>
      <c r="AY536" s="280"/>
      <c r="AZ536" s="280"/>
      <c r="BA536" s="280"/>
      <c r="BB536" s="280"/>
      <c r="BC536" s="280"/>
      <c r="BD536" s="280"/>
      <c r="BE536" s="280"/>
      <c r="BF536" s="280"/>
      <c r="BG536" s="280"/>
      <c r="BH536" s="280"/>
      <c r="BI536" s="280"/>
      <c r="BJ536" s="281"/>
      <c r="BM536" s="2211"/>
      <c r="BN536" s="2210"/>
      <c r="BO536" s="2212"/>
      <c r="BP536" s="1131"/>
    </row>
    <row r="537" spans="1:68" ht="17.399999999999999" hidden="1" customHeight="1" thickBot="1" x14ac:dyDescent="0.6">
      <c r="A537" s="7223"/>
      <c r="B537" s="1582"/>
      <c r="C537" s="269" t="s">
        <v>426</v>
      </c>
      <c r="D537" s="401"/>
      <c r="E537" s="402"/>
      <c r="F537" s="402"/>
      <c r="G537" s="402"/>
      <c r="H537" s="402"/>
      <c r="I537" s="402"/>
      <c r="J537" s="402"/>
      <c r="K537" s="402"/>
      <c r="L537" s="402"/>
      <c r="M537" s="402"/>
      <c r="N537" s="402"/>
      <c r="O537" s="402"/>
      <c r="P537" s="402"/>
      <c r="Q537" s="403"/>
      <c r="R537" s="374"/>
      <c r="S537" s="401"/>
      <c r="T537" s="402"/>
      <c r="U537" s="402"/>
      <c r="V537" s="402"/>
      <c r="W537" s="402"/>
      <c r="X537" s="402"/>
      <c r="Y537" s="402"/>
      <c r="Z537" s="402"/>
      <c r="AA537" s="402"/>
      <c r="AB537" s="402"/>
      <c r="AC537" s="402"/>
      <c r="AD537" s="402"/>
      <c r="AE537" s="402"/>
      <c r="AF537" s="403"/>
      <c r="AG537" s="374"/>
      <c r="AH537" s="401"/>
      <c r="AI537" s="402"/>
      <c r="AJ537" s="402"/>
      <c r="AK537" s="402"/>
      <c r="AL537" s="402"/>
      <c r="AM537" s="402"/>
      <c r="AN537" s="402"/>
      <c r="AO537" s="402"/>
      <c r="AP537" s="402"/>
      <c r="AQ537" s="402"/>
      <c r="AR537" s="402"/>
      <c r="AS537" s="402"/>
      <c r="AT537" s="402"/>
      <c r="AU537" s="403"/>
      <c r="AV537" s="374"/>
      <c r="AW537" s="2050"/>
      <c r="AX537" s="402"/>
      <c r="AY537" s="402"/>
      <c r="AZ537" s="402"/>
      <c r="BA537" s="402"/>
      <c r="BB537" s="402"/>
      <c r="BC537" s="402"/>
      <c r="BD537" s="402"/>
      <c r="BE537" s="402"/>
      <c r="BF537" s="402"/>
      <c r="BG537" s="402"/>
      <c r="BH537" s="402"/>
      <c r="BI537" s="402"/>
      <c r="BJ537" s="403"/>
      <c r="BM537" s="2211"/>
      <c r="BN537" s="2210"/>
      <c r="BO537" s="2212"/>
      <c r="BP537" s="1131"/>
    </row>
    <row r="538" spans="1:68" hidden="1" x14ac:dyDescent="0.55000000000000004">
      <c r="BM538" s="1131"/>
      <c r="BN538" s="926"/>
      <c r="BO538" s="926"/>
      <c r="BP538" s="926"/>
    </row>
    <row r="539" spans="1:68" x14ac:dyDescent="0.55000000000000004">
      <c r="BM539" s="1131"/>
      <c r="BN539" s="926"/>
      <c r="BO539" s="926"/>
      <c r="BP539" s="926"/>
    </row>
  </sheetData>
  <mergeCells count="76">
    <mergeCell ref="A471:A476"/>
    <mergeCell ref="A512:A526"/>
    <mergeCell ref="A527:A531"/>
    <mergeCell ref="A532:A537"/>
    <mergeCell ref="A359:A410"/>
    <mergeCell ref="B362:B367"/>
    <mergeCell ref="B368:B372"/>
    <mergeCell ref="B373:B382"/>
    <mergeCell ref="B383:B387"/>
    <mergeCell ref="B388:B397"/>
    <mergeCell ref="B398:B402"/>
    <mergeCell ref="B403:B410"/>
    <mergeCell ref="A478:A510"/>
    <mergeCell ref="B483:B487"/>
    <mergeCell ref="B488:B497"/>
    <mergeCell ref="B498:B502"/>
    <mergeCell ref="B503:B510"/>
    <mergeCell ref="A464:A469"/>
    <mergeCell ref="A411:A462"/>
    <mergeCell ref="B414:B419"/>
    <mergeCell ref="B420:B424"/>
    <mergeCell ref="B425:B434"/>
    <mergeCell ref="B435:B439"/>
    <mergeCell ref="B440:B449"/>
    <mergeCell ref="B450:B454"/>
    <mergeCell ref="B455:B462"/>
    <mergeCell ref="B69:B73"/>
    <mergeCell ref="B99:B103"/>
    <mergeCell ref="B84:B88"/>
    <mergeCell ref="B89:B98"/>
    <mergeCell ref="B13:B17"/>
    <mergeCell ref="B18:B27"/>
    <mergeCell ref="B28:B32"/>
    <mergeCell ref="B33:B42"/>
    <mergeCell ref="B43:B47"/>
    <mergeCell ref="B48:B55"/>
    <mergeCell ref="A344:A348"/>
    <mergeCell ref="A349:A354"/>
    <mergeCell ref="A129:A137"/>
    <mergeCell ref="A56:A111"/>
    <mergeCell ref="A113:A119"/>
    <mergeCell ref="A192:A327"/>
    <mergeCell ref="A141:A191"/>
    <mergeCell ref="A329:A343"/>
    <mergeCell ref="A121:A127"/>
    <mergeCell ref="A4:A55"/>
    <mergeCell ref="B252:B256"/>
    <mergeCell ref="B257:B266"/>
    <mergeCell ref="B267:B271"/>
    <mergeCell ref="B272:B279"/>
    <mergeCell ref="B169:B178"/>
    <mergeCell ref="B242:B251"/>
    <mergeCell ref="B144:B148"/>
    <mergeCell ref="B149:B153"/>
    <mergeCell ref="B154:B163"/>
    <mergeCell ref="B164:B168"/>
    <mergeCell ref="B232:B235"/>
    <mergeCell ref="B104:B111"/>
    <mergeCell ref="B7:B12"/>
    <mergeCell ref="B63:B68"/>
    <mergeCell ref="B74:B83"/>
    <mergeCell ref="B320:B327"/>
    <mergeCell ref="B280:B283"/>
    <mergeCell ref="B315:B319"/>
    <mergeCell ref="B179:B183"/>
    <mergeCell ref="B184:B191"/>
    <mergeCell ref="B224:B231"/>
    <mergeCell ref="B199:B202"/>
    <mergeCell ref="B290:B299"/>
    <mergeCell ref="B300:B304"/>
    <mergeCell ref="B305:B314"/>
    <mergeCell ref="B204:B208"/>
    <mergeCell ref="B209:B218"/>
    <mergeCell ref="B219:B223"/>
    <mergeCell ref="B285:B289"/>
    <mergeCell ref="B237:B24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B0AB-EF8D-47C8-AF94-F9075743B429}">
  <sheetPr codeName="Sheet8">
    <tabColor theme="9" tint="0.79998168889431442"/>
    <pageSetUpPr fitToPage="1"/>
  </sheetPr>
  <dimension ref="A1:CI46"/>
  <sheetViews>
    <sheetView showGridLines="0" zoomScale="40" zoomScaleNormal="40" workbookViewId="0">
      <pane xSplit="3" topLeftCell="AO1" activePane="topRight" state="frozen"/>
      <selection activeCell="C499" sqref="C499"/>
      <selection pane="topRight" activeCell="BK33" sqref="BK33"/>
    </sheetView>
  </sheetViews>
  <sheetFormatPr defaultColWidth="8.5703125" defaultRowHeight="17.600000000000001" outlineLevelCol="1" x14ac:dyDescent="0.55000000000000004"/>
  <cols>
    <col min="1" max="1" width="11.5" style="1008" customWidth="1"/>
    <col min="2" max="2" width="12.0703125" style="1158" customWidth="1"/>
    <col min="3" max="3" width="15.85546875" style="1159" bestFit="1" customWidth="1"/>
    <col min="4" max="15" width="10.7109375" style="486" hidden="1" customWidth="1" outlineLevel="1"/>
    <col min="16" max="16" width="10.7109375" style="486" customWidth="1" collapsed="1"/>
    <col min="17" max="17" width="10.7109375" style="486" customWidth="1"/>
    <col min="18" max="29" width="8.5703125" style="1159" hidden="1" customWidth="1" outlineLevel="1"/>
    <col min="30" max="30" width="11.7109375" style="1159" customWidth="1" collapsed="1"/>
    <col min="31" max="31" width="12.7109375" style="1160" customWidth="1"/>
    <col min="32" max="32" width="8.5703125" style="1159"/>
    <col min="33" max="33" width="8.640625" style="1159"/>
    <col min="34" max="34" width="8.5703125" style="1159"/>
    <col min="35" max="35" width="8.7109375" style="1159" customWidth="1"/>
    <col min="36" max="37" width="8.640625" style="1159"/>
    <col min="38" max="41" width="8.5703125" style="1159"/>
    <col min="42" max="43" width="8.5703125" style="1159" customWidth="1"/>
    <col min="44" max="44" width="11.7109375" style="1159" customWidth="1"/>
    <col min="45" max="45" width="12.7109375" style="1160" customWidth="1"/>
    <col min="46" max="48" width="8.5703125" style="1159" customWidth="1"/>
    <col min="49" max="49" width="11.85546875" style="1159" customWidth="1"/>
    <col min="50" max="50" width="10.42578125" style="1159" customWidth="1"/>
    <col min="51" max="52" width="10.0703125" style="1159" customWidth="1"/>
    <col min="53" max="53" width="13.140625" style="1159" customWidth="1"/>
    <col min="54" max="54" width="10.0703125" style="1160" customWidth="1"/>
    <col min="55" max="55" width="10.0703125" style="1159" customWidth="1"/>
    <col min="56" max="56" width="1.35546875" style="1008" customWidth="1"/>
    <col min="57" max="57" width="8.5703125" style="1008"/>
    <col min="58" max="58" width="8.5703125" style="1158"/>
    <col min="59" max="59" width="15.85546875" style="1159" customWidth="1"/>
    <col min="60" max="73" width="10.7109375" style="486" customWidth="1"/>
    <col min="74" max="74" width="10.5" style="1008" bestFit="1" customWidth="1"/>
    <col min="75" max="16384" width="8.5703125" style="1008"/>
  </cols>
  <sheetData>
    <row r="1" spans="1:87" ht="8.25" customHeight="1" x14ac:dyDescent="0.55000000000000004">
      <c r="B1" s="2366">
        <f>'※ 영기팀 작성_가입자'!B1</f>
        <v>11.000999999999999</v>
      </c>
      <c r="BA1" s="1159" t="s">
        <v>945</v>
      </c>
    </row>
    <row r="2" spans="1:87" ht="29.15" thickBot="1" x14ac:dyDescent="0.6">
      <c r="A2" s="1161" t="s">
        <v>1088</v>
      </c>
      <c r="C2" s="1441">
        <f>'2-(1) 수수료 기준_가입자(무선)'!A1</f>
        <v>12.000999999999999</v>
      </c>
      <c r="D2" s="1442">
        <v>1.0009999999999999</v>
      </c>
      <c r="E2" s="1442">
        <v>2.0009999999999999</v>
      </c>
      <c r="F2" s="1442">
        <v>3.0009999999999999</v>
      </c>
      <c r="G2" s="1442">
        <v>4.0010000000000003</v>
      </c>
      <c r="H2" s="1442">
        <v>5.0010000000000003</v>
      </c>
      <c r="I2" s="1442">
        <v>6.0010000000000003</v>
      </c>
      <c r="J2" s="1442">
        <v>7.0010000000000003</v>
      </c>
      <c r="K2" s="1442">
        <v>8.0009999999999994</v>
      </c>
      <c r="L2" s="1442">
        <v>9.0009999999999994</v>
      </c>
      <c r="M2" s="1442">
        <v>10.000999999999999</v>
      </c>
      <c r="N2" s="1442">
        <v>11.000999999999999</v>
      </c>
      <c r="O2" s="1442">
        <v>12.000999999999999</v>
      </c>
      <c r="R2" s="1442">
        <v>1.0009999999999999</v>
      </c>
      <c r="S2" s="1442">
        <v>2.0009999999999999</v>
      </c>
      <c r="T2" s="1442">
        <v>3.0009999999999999</v>
      </c>
      <c r="U2" s="1442">
        <v>4.0010000000000003</v>
      </c>
      <c r="V2" s="1442">
        <v>5.0010000000000003</v>
      </c>
      <c r="W2" s="1442">
        <v>6.0010000000000003</v>
      </c>
      <c r="X2" s="1442">
        <v>7.0010000000000003</v>
      </c>
      <c r="Y2" s="1442">
        <v>8.0009999999999994</v>
      </c>
      <c r="Z2" s="1442">
        <v>9.0009999999999994</v>
      </c>
      <c r="AA2" s="1442">
        <v>10.000999999999999</v>
      </c>
      <c r="AB2" s="1442">
        <v>11.000999999999999</v>
      </c>
      <c r="AC2" s="1442">
        <v>12.000999999999999</v>
      </c>
      <c r="AF2" s="1442">
        <v>1.0009999999999999</v>
      </c>
      <c r="AG2" s="1442">
        <v>2.0009999999999999</v>
      </c>
      <c r="AH2" s="1442">
        <v>3.0009999999999999</v>
      </c>
      <c r="AI2" s="1442">
        <v>4.0010000000000003</v>
      </c>
      <c r="AJ2" s="1442">
        <v>5.0010000000000003</v>
      </c>
      <c r="AK2" s="1442">
        <v>6.0010000000000003</v>
      </c>
      <c r="AL2" s="1442">
        <v>7.0010000000000003</v>
      </c>
      <c r="AM2" s="1442">
        <v>8.0009999999999994</v>
      </c>
      <c r="AN2" s="1442">
        <v>9.0009999999999994</v>
      </c>
      <c r="AO2" s="1442">
        <v>10.000999999999999</v>
      </c>
      <c r="AP2" s="1442">
        <v>11.000999999999999</v>
      </c>
      <c r="AQ2" s="1442">
        <v>12.000999999999999</v>
      </c>
      <c r="BH2" s="1442">
        <v>1.0009999999999999</v>
      </c>
      <c r="BI2" s="1442">
        <v>2.0009999999999999</v>
      </c>
      <c r="BJ2" s="1442">
        <v>3.0009999999999999</v>
      </c>
      <c r="BK2" s="1442">
        <v>4.0010000000000003</v>
      </c>
      <c r="BL2" s="1442">
        <v>5.0010000000000003</v>
      </c>
      <c r="BM2" s="1442">
        <v>6.0010000000000003</v>
      </c>
      <c r="BN2" s="1442">
        <v>7.0010000000000003</v>
      </c>
      <c r="BO2" s="1442">
        <v>8.0009999999999994</v>
      </c>
      <c r="BP2" s="1442">
        <v>9.0009999999999994</v>
      </c>
      <c r="BQ2" s="1442">
        <v>10.000999999999999</v>
      </c>
      <c r="BR2" s="1442">
        <v>11.000999999999999</v>
      </c>
      <c r="BS2" s="1442">
        <v>12.000999999999999</v>
      </c>
    </row>
    <row r="3" spans="1:87" ht="29.15" thickBot="1" x14ac:dyDescent="0.6">
      <c r="A3" s="1162"/>
      <c r="B3" s="1163"/>
      <c r="C3" s="1164"/>
      <c r="D3" s="7246" t="s">
        <v>773</v>
      </c>
      <c r="E3" s="7247"/>
      <c r="F3" s="7247"/>
      <c r="G3" s="7247"/>
      <c r="H3" s="7247"/>
      <c r="I3" s="7247"/>
      <c r="J3" s="7247"/>
      <c r="K3" s="7247"/>
      <c r="L3" s="7247"/>
      <c r="M3" s="7247"/>
      <c r="N3" s="7247"/>
      <c r="O3" s="7247"/>
      <c r="P3" s="7247"/>
      <c r="Q3" s="7248"/>
      <c r="R3" s="7249" t="s">
        <v>1044</v>
      </c>
      <c r="S3" s="7250"/>
      <c r="T3" s="7250"/>
      <c r="U3" s="7250"/>
      <c r="V3" s="7250"/>
      <c r="W3" s="7250"/>
      <c r="X3" s="7250"/>
      <c r="Y3" s="7250"/>
      <c r="Z3" s="7250"/>
      <c r="AA3" s="7250"/>
      <c r="AB3" s="7250"/>
      <c r="AC3" s="7250"/>
      <c r="AD3" s="7250"/>
      <c r="AE3" s="7251"/>
      <c r="AF3" s="7241" t="s">
        <v>1</v>
      </c>
      <c r="AG3" s="7242"/>
      <c r="AH3" s="7242"/>
      <c r="AI3" s="7242"/>
      <c r="AJ3" s="7242"/>
      <c r="AK3" s="7242"/>
      <c r="AL3" s="7242"/>
      <c r="AM3" s="7242"/>
      <c r="AN3" s="7242"/>
      <c r="AO3" s="7242"/>
      <c r="AP3" s="7242"/>
      <c r="AQ3" s="7242"/>
      <c r="AR3" s="7242"/>
      <c r="AS3" s="7242"/>
      <c r="AT3" s="7242"/>
      <c r="AU3" s="7242"/>
      <c r="AV3" s="7242"/>
      <c r="AW3" s="7242"/>
      <c r="AX3" s="7238" t="str">
        <f>"연간누적실적(~"&amp;C2-0.001&amp;"월)"</f>
        <v>연간누적실적(~12월)</v>
      </c>
      <c r="AY3" s="7239"/>
      <c r="AZ3" s="7239"/>
      <c r="BA3" s="7239"/>
      <c r="BB3" s="7239"/>
      <c r="BC3" s="7240"/>
      <c r="BD3" s="1047"/>
      <c r="BE3" s="478"/>
      <c r="BF3" s="1189"/>
      <c r="BG3" s="1190"/>
      <c r="BH3" s="7243" t="s">
        <v>1042</v>
      </c>
      <c r="BI3" s="7244"/>
      <c r="BJ3" s="7244"/>
      <c r="BK3" s="7244"/>
      <c r="BL3" s="7244"/>
      <c r="BM3" s="7244"/>
      <c r="BN3" s="7244"/>
      <c r="BO3" s="7244"/>
      <c r="BP3" s="7244"/>
      <c r="BQ3" s="7244"/>
      <c r="BR3" s="7244"/>
      <c r="BS3" s="7244"/>
      <c r="BT3" s="7244"/>
      <c r="BU3" s="7245"/>
      <c r="BV3" s="7231" t="s">
        <v>1191</v>
      </c>
      <c r="BW3" s="7232"/>
      <c r="BX3" s="7232"/>
      <c r="BY3" s="7232"/>
      <c r="BZ3" s="7232"/>
      <c r="CA3" s="7232"/>
      <c r="CB3" s="7232"/>
      <c r="CC3" s="7232"/>
      <c r="CD3" s="7232"/>
      <c r="CE3" s="7232"/>
      <c r="CF3" s="7232"/>
      <c r="CG3" s="7232"/>
      <c r="CH3" s="7232"/>
      <c r="CI3" s="7233"/>
    </row>
    <row r="4" spans="1:87" ht="18" thickBot="1" x14ac:dyDescent="0.6">
      <c r="A4" s="478"/>
      <c r="B4" s="1165"/>
      <c r="C4" s="1166" t="s">
        <v>646</v>
      </c>
      <c r="D4" s="1613" t="s">
        <v>666</v>
      </c>
      <c r="E4" s="1614" t="s">
        <v>667</v>
      </c>
      <c r="F4" s="1614" t="s">
        <v>668</v>
      </c>
      <c r="G4" s="1614" t="s">
        <v>669</v>
      </c>
      <c r="H4" s="1614" t="s">
        <v>670</v>
      </c>
      <c r="I4" s="1614" t="s">
        <v>671</v>
      </c>
      <c r="J4" s="1614" t="s">
        <v>672</v>
      </c>
      <c r="K4" s="1614" t="s">
        <v>673</v>
      </c>
      <c r="L4" s="1614" t="s">
        <v>674</v>
      </c>
      <c r="M4" s="1614" t="s">
        <v>675</v>
      </c>
      <c r="N4" s="1614" t="s">
        <v>676</v>
      </c>
      <c r="O4" s="1614" t="s">
        <v>677</v>
      </c>
      <c r="P4" s="1615" t="s">
        <v>412</v>
      </c>
      <c r="Q4" s="1616" t="s">
        <v>655</v>
      </c>
      <c r="R4" s="1617" t="s">
        <v>524</v>
      </c>
      <c r="S4" s="1618" t="s">
        <v>3</v>
      </c>
      <c r="T4" s="1618" t="s">
        <v>525</v>
      </c>
      <c r="U4" s="1618" t="s">
        <v>358</v>
      </c>
      <c r="V4" s="1618" t="s">
        <v>359</v>
      </c>
      <c r="W4" s="1618" t="s">
        <v>360</v>
      </c>
      <c r="X4" s="1618" t="s">
        <v>361</v>
      </c>
      <c r="Y4" s="1618" t="s">
        <v>362</v>
      </c>
      <c r="Z4" s="1618" t="s">
        <v>363</v>
      </c>
      <c r="AA4" s="1618" t="s">
        <v>364</v>
      </c>
      <c r="AB4" s="1618" t="s">
        <v>365</v>
      </c>
      <c r="AC4" s="1618" t="s">
        <v>366</v>
      </c>
      <c r="AD4" s="1619" t="s">
        <v>926</v>
      </c>
      <c r="AE4" s="1620" t="s">
        <v>1041</v>
      </c>
      <c r="AF4" s="1385" t="s">
        <v>1020</v>
      </c>
      <c r="AG4" s="443" t="s">
        <v>1022</v>
      </c>
      <c r="AH4" s="5" t="s">
        <v>1024</v>
      </c>
      <c r="AI4" s="5" t="s">
        <v>1025</v>
      </c>
      <c r="AJ4" s="443" t="s">
        <v>1026</v>
      </c>
      <c r="AK4" s="443" t="s">
        <v>1027</v>
      </c>
      <c r="AL4" s="5" t="s">
        <v>1028</v>
      </c>
      <c r="AM4" s="5" t="s">
        <v>1029</v>
      </c>
      <c r="AN4" s="5" t="s">
        <v>1030</v>
      </c>
      <c r="AO4" s="5" t="s">
        <v>1031</v>
      </c>
      <c r="AP4" s="5" t="s">
        <v>1032</v>
      </c>
      <c r="AQ4" s="5" t="s">
        <v>1033</v>
      </c>
      <c r="AR4" s="1611" t="s">
        <v>1050</v>
      </c>
      <c r="AS4" s="1612" t="s">
        <v>655</v>
      </c>
      <c r="AT4" s="5" t="s">
        <v>774</v>
      </c>
      <c r="AU4" s="5" t="s">
        <v>775</v>
      </c>
      <c r="AV4" s="40" t="s">
        <v>776</v>
      </c>
      <c r="AW4" s="39" t="s">
        <v>463</v>
      </c>
      <c r="AX4" s="1621" t="s">
        <v>45</v>
      </c>
      <c r="AY4" s="108" t="s">
        <v>8</v>
      </c>
      <c r="AZ4" s="108" t="s">
        <v>9</v>
      </c>
      <c r="BA4" s="2364" t="s">
        <v>609</v>
      </c>
      <c r="BB4" s="1191" t="s">
        <v>46</v>
      </c>
      <c r="BC4" s="1622" t="s">
        <v>11</v>
      </c>
      <c r="BD4" s="1047"/>
      <c r="BF4" s="1192"/>
      <c r="BG4" s="1193"/>
      <c r="BH4" s="1596" t="s">
        <v>1020</v>
      </c>
      <c r="BI4" s="1595" t="s">
        <v>1022</v>
      </c>
      <c r="BJ4" s="1595" t="s">
        <v>1024</v>
      </c>
      <c r="BK4" s="1595" t="s">
        <v>1025</v>
      </c>
      <c r="BL4" s="1595" t="s">
        <v>1026</v>
      </c>
      <c r="BM4" s="1595" t="s">
        <v>1027</v>
      </c>
      <c r="BN4" s="1595" t="s">
        <v>1028</v>
      </c>
      <c r="BO4" s="1595" t="s">
        <v>1029</v>
      </c>
      <c r="BP4" s="1595" t="s">
        <v>1030</v>
      </c>
      <c r="BQ4" s="1595" t="s">
        <v>1031</v>
      </c>
      <c r="BR4" s="1595" t="s">
        <v>1032</v>
      </c>
      <c r="BS4" s="1595" t="s">
        <v>1033</v>
      </c>
      <c r="BT4" s="1440" t="s">
        <v>930</v>
      </c>
      <c r="BU4" s="1194" t="s">
        <v>931</v>
      </c>
      <c r="BV4" s="1596" t="s">
        <v>1178</v>
      </c>
      <c r="BW4" s="1596" t="s">
        <v>1179</v>
      </c>
      <c r="BX4" s="1596" t="s">
        <v>1180</v>
      </c>
      <c r="BY4" s="1596" t="s">
        <v>1181</v>
      </c>
      <c r="BZ4" s="1596" t="s">
        <v>1182</v>
      </c>
      <c r="CA4" s="1596" t="s">
        <v>1183</v>
      </c>
      <c r="CB4" s="1596" t="s">
        <v>1184</v>
      </c>
      <c r="CC4" s="1596" t="s">
        <v>1185</v>
      </c>
      <c r="CD4" s="1596" t="s">
        <v>1186</v>
      </c>
      <c r="CE4" s="1596" t="s">
        <v>1187</v>
      </c>
      <c r="CF4" s="1596" t="s">
        <v>1188</v>
      </c>
      <c r="CG4" s="1596" t="s">
        <v>1189</v>
      </c>
      <c r="CH4" s="1440" t="s">
        <v>930</v>
      </c>
      <c r="CI4" s="1194" t="s">
        <v>931</v>
      </c>
    </row>
    <row r="5" spans="1:87" ht="21.75" customHeight="1" x14ac:dyDescent="0.55000000000000004">
      <c r="A5" s="1949" t="s">
        <v>330</v>
      </c>
      <c r="B5" s="1951" t="s">
        <v>1043</v>
      </c>
      <c r="C5" s="1952"/>
      <c r="D5" s="1623">
        <f t="shared" ref="D5:O5" si="0">D98+D13</f>
        <v>921</v>
      </c>
      <c r="E5" s="1624">
        <f t="shared" si="0"/>
        <v>1192</v>
      </c>
      <c r="F5" s="1624">
        <f t="shared" si="0"/>
        <v>1144</v>
      </c>
      <c r="G5" s="1624">
        <f t="shared" si="0"/>
        <v>864</v>
      </c>
      <c r="H5" s="1624">
        <f t="shared" si="0"/>
        <v>868</v>
      </c>
      <c r="I5" s="1624">
        <f t="shared" si="0"/>
        <v>802</v>
      </c>
      <c r="J5" s="1624">
        <f t="shared" si="0"/>
        <v>971</v>
      </c>
      <c r="K5" s="1624">
        <f t="shared" si="0"/>
        <v>2029</v>
      </c>
      <c r="L5" s="1624">
        <f t="shared" si="0"/>
        <v>1546</v>
      </c>
      <c r="M5" s="1624">
        <f t="shared" si="0"/>
        <v>1485</v>
      </c>
      <c r="N5" s="1624">
        <f t="shared" si="0"/>
        <v>1634</v>
      </c>
      <c r="O5" s="1624">
        <f t="shared" si="0"/>
        <v>1650</v>
      </c>
      <c r="P5" s="1624">
        <f>SUM(D5:O5)</f>
        <v>15106</v>
      </c>
      <c r="Q5" s="1625">
        <f>AVERAGE(D5:O5)</f>
        <v>1258.8333333333333</v>
      </c>
      <c r="R5" s="1623">
        <f>R9+R13</f>
        <v>11933</v>
      </c>
      <c r="S5" s="1624">
        <f t="shared" ref="S5:AC6" si="1">S9+S13</f>
        <v>9513</v>
      </c>
      <c r="T5" s="1624">
        <f t="shared" si="1"/>
        <v>8851</v>
      </c>
      <c r="U5" s="1624">
        <f t="shared" si="1"/>
        <v>10078</v>
      </c>
      <c r="V5" s="1624">
        <f t="shared" si="1"/>
        <v>10130</v>
      </c>
      <c r="W5" s="1624">
        <f t="shared" si="1"/>
        <v>7477</v>
      </c>
      <c r="X5" s="1624">
        <f t="shared" si="1"/>
        <v>12607</v>
      </c>
      <c r="Y5" s="1624">
        <f t="shared" si="1"/>
        <v>9654</v>
      </c>
      <c r="Z5" s="1624">
        <f t="shared" si="1"/>
        <v>22300</v>
      </c>
      <c r="AA5" s="1624">
        <f t="shared" si="1"/>
        <v>18088</v>
      </c>
      <c r="AB5" s="1624">
        <f t="shared" si="1"/>
        <v>9073</v>
      </c>
      <c r="AC5" s="1624">
        <f t="shared" si="1"/>
        <v>8207</v>
      </c>
      <c r="AD5" s="1624">
        <f t="shared" ref="AD5:AD15" si="2">SUM(R5:AC5)</f>
        <v>137911</v>
      </c>
      <c r="AE5" s="1626">
        <f>AVERAGE(R5:AC5)</f>
        <v>11492.583333333334</v>
      </c>
      <c r="AF5" s="1624">
        <f>SUM(AF6:AF7)</f>
        <v>7588</v>
      </c>
      <c r="AG5" s="1624">
        <f>SUM(AG6:AG7)</f>
        <v>20682</v>
      </c>
      <c r="AH5" s="2217">
        <v>10591</v>
      </c>
      <c r="AI5" s="1624">
        <v>14687</v>
      </c>
      <c r="AJ5" s="1624">
        <v>30235</v>
      </c>
      <c r="AK5" s="1624">
        <v>15026</v>
      </c>
      <c r="AL5" s="1624">
        <v>28501</v>
      </c>
      <c r="AM5" s="1624">
        <v>13256</v>
      </c>
      <c r="AN5" s="1624">
        <v>23139</v>
      </c>
      <c r="AO5" s="1624">
        <v>14766</v>
      </c>
      <c r="AP5" s="1624">
        <v>11138</v>
      </c>
      <c r="AQ5" s="1624">
        <v>12178</v>
      </c>
      <c r="AR5" s="2197">
        <f>SUM(AF5:AQ5)</f>
        <v>201787</v>
      </c>
      <c r="AS5" s="2197">
        <f>AVERAGE(AF5:AQ5)</f>
        <v>16815.583333333332</v>
      </c>
      <c r="AT5" s="2197">
        <f>HLOOKUP($C$2,$AF$2:$AQ$39,ROW()-1,0)-HLOOKUP($C$2,$BH$2:$BS$38,ROW()-1,0)</f>
        <v>-2822</v>
      </c>
      <c r="AU5" s="2198">
        <f>IFERROR(HLOOKUP($C$2,$AF$2:$AQ$39,ROW()-1,0)/HLOOKUP($C$2,$BH$2:$BS$38,ROW()-1,0),0)</f>
        <v>0.81186666666666663</v>
      </c>
      <c r="AV5" s="2197">
        <f>HLOOKUP($C$2,$AF$2:$AQ$39,ROW()-1,0)-HLOOKUP($C$2-1,$AF$2:$AQ$39,ROW()-1,1)</f>
        <v>1040</v>
      </c>
      <c r="AW5" s="2197">
        <f>HLOOKUP($C$2,$AF$2:$AQ$39,ROW()-1,0)-HLOOKUP($C$2,$R$2:$AC$39,ROW()-1,0)</f>
        <v>3971</v>
      </c>
      <c r="AX5" s="2197">
        <f>AR5</f>
        <v>201787</v>
      </c>
      <c r="AY5" s="2199"/>
      <c r="AZ5" s="2200"/>
      <c r="BA5" s="2197">
        <f>AX5-SUM(R5:AC5)</f>
        <v>63876</v>
      </c>
      <c r="BB5" s="2197">
        <f>AX5/($C$2-0.001)</f>
        <v>16815.583333333332</v>
      </c>
      <c r="BC5" s="2201">
        <f>BB5-AE5</f>
        <v>5322.9999999999982</v>
      </c>
      <c r="BF5" s="1169" t="s">
        <v>1043</v>
      </c>
      <c r="BG5" s="1170"/>
      <c r="BH5" s="1171">
        <f>SUM(BH6:BH7)</f>
        <v>30000</v>
      </c>
      <c r="BI5" s="1167">
        <f>SUM(BI6:BI7)</f>
        <v>30000</v>
      </c>
      <c r="BJ5" s="1167">
        <v>20000</v>
      </c>
      <c r="BK5" s="1167">
        <v>20000</v>
      </c>
      <c r="BL5" s="1167">
        <v>20000</v>
      </c>
      <c r="BM5" s="1167">
        <v>25000</v>
      </c>
      <c r="BN5" s="1167">
        <v>25000</v>
      </c>
      <c r="BO5" s="1167">
        <v>20000</v>
      </c>
      <c r="BP5" s="1167">
        <v>30000</v>
      </c>
      <c r="BQ5" s="1167">
        <v>20000</v>
      </c>
      <c r="BR5" s="1167">
        <v>17000</v>
      </c>
      <c r="BS5" s="1167">
        <v>15000</v>
      </c>
      <c r="BT5" s="1167">
        <f>SUM(BH5:BS5)</f>
        <v>272000</v>
      </c>
      <c r="BU5" s="1168">
        <f>BT5/12</f>
        <v>22666.666666666668</v>
      </c>
      <c r="BV5" s="1171">
        <v>20000</v>
      </c>
      <c r="BW5" s="1167"/>
      <c r="BX5" s="1167"/>
      <c r="BY5" s="1167"/>
      <c r="BZ5" s="1167"/>
      <c r="CA5" s="1167"/>
      <c r="CB5" s="1167"/>
      <c r="CC5" s="1167"/>
      <c r="CD5" s="1167"/>
      <c r="CE5" s="1167"/>
      <c r="CF5" s="1167"/>
      <c r="CG5" s="1167"/>
      <c r="CH5" s="1167">
        <f>SUM(BV5:CG5)</f>
        <v>20000</v>
      </c>
      <c r="CI5" s="1168">
        <f>CH5/12</f>
        <v>1666.6666666666667</v>
      </c>
    </row>
    <row r="6" spans="1:87" ht="21.75" customHeight="1" x14ac:dyDescent="0.55000000000000004">
      <c r="A6" s="1950"/>
      <c r="B6" s="1308"/>
      <c r="C6" s="1123" t="s">
        <v>314</v>
      </c>
      <c r="D6" s="1175">
        <f>D10+D14</f>
        <v>3177</v>
      </c>
      <c r="E6" s="1173">
        <f t="shared" ref="E6:O6" si="3">E10+E14</f>
        <v>3904</v>
      </c>
      <c r="F6" s="1173">
        <f t="shared" si="3"/>
        <v>2878</v>
      </c>
      <c r="G6" s="1173">
        <f t="shared" si="3"/>
        <v>3058</v>
      </c>
      <c r="H6" s="1173">
        <f t="shared" si="3"/>
        <v>4168</v>
      </c>
      <c r="I6" s="1173">
        <f t="shared" si="3"/>
        <v>3359</v>
      </c>
      <c r="J6" s="1173">
        <f t="shared" si="3"/>
        <v>3105</v>
      </c>
      <c r="K6" s="1173">
        <f t="shared" si="3"/>
        <v>6584</v>
      </c>
      <c r="L6" s="1173">
        <f t="shared" si="3"/>
        <v>3376</v>
      </c>
      <c r="M6" s="1173">
        <f t="shared" si="3"/>
        <v>16429</v>
      </c>
      <c r="N6" s="1173">
        <f t="shared" si="3"/>
        <v>5634</v>
      </c>
      <c r="O6" s="1173">
        <f t="shared" si="3"/>
        <v>4170</v>
      </c>
      <c r="P6" s="1173">
        <f>SUM(D6:O6)</f>
        <v>59842</v>
      </c>
      <c r="Q6" s="1174">
        <f>AVERAGE(D6:O6)</f>
        <v>4986.833333333333</v>
      </c>
      <c r="R6" s="1175">
        <f>R10+R14</f>
        <v>9941</v>
      </c>
      <c r="S6" s="1173">
        <f t="shared" si="1"/>
        <v>8098</v>
      </c>
      <c r="T6" s="1173">
        <f t="shared" si="1"/>
        <v>7287</v>
      </c>
      <c r="U6" s="1173">
        <f t="shared" si="1"/>
        <v>8212</v>
      </c>
      <c r="V6" s="1173">
        <f t="shared" si="1"/>
        <v>8380</v>
      </c>
      <c r="W6" s="1173">
        <f t="shared" si="1"/>
        <v>6260</v>
      </c>
      <c r="X6" s="1173">
        <f t="shared" si="1"/>
        <v>11483</v>
      </c>
      <c r="Y6" s="1173">
        <f t="shared" si="1"/>
        <v>8348</v>
      </c>
      <c r="Z6" s="1173">
        <f t="shared" si="1"/>
        <v>21482</v>
      </c>
      <c r="AA6" s="1173">
        <f t="shared" si="1"/>
        <v>17268</v>
      </c>
      <c r="AB6" s="1173">
        <f t="shared" si="1"/>
        <v>8443</v>
      </c>
      <c r="AC6" s="1173">
        <f t="shared" si="1"/>
        <v>7675</v>
      </c>
      <c r="AD6" s="1173">
        <f t="shared" si="2"/>
        <v>122877</v>
      </c>
      <c r="AE6" s="1597">
        <f>AVERAGE(R6:AC6)</f>
        <v>10239.75</v>
      </c>
      <c r="AF6" s="1173">
        <v>7577</v>
      </c>
      <c r="AG6" s="1173">
        <v>20613</v>
      </c>
      <c r="AH6" s="2218">
        <v>10585</v>
      </c>
      <c r="AI6" s="1173">
        <v>14677</v>
      </c>
      <c r="AJ6" s="1173">
        <v>30183</v>
      </c>
      <c r="AK6" s="1173">
        <f>AK5-AK7</f>
        <v>14907</v>
      </c>
      <c r="AL6" s="1173">
        <v>28122</v>
      </c>
      <c r="AM6" s="1173">
        <v>12693</v>
      </c>
      <c r="AN6" s="1173">
        <v>22535</v>
      </c>
      <c r="AO6" s="1173">
        <v>14239</v>
      </c>
      <c r="AP6" s="1173">
        <v>10704</v>
      </c>
      <c r="AQ6" s="1173">
        <v>11789</v>
      </c>
      <c r="AR6" s="2071">
        <f>SUM(AF6:AQ6)</f>
        <v>198624</v>
      </c>
      <c r="AS6" s="2071">
        <f t="shared" ref="AS6:AS28" si="4">AVERAGE(AF6:AQ6)</f>
        <v>16552</v>
      </c>
      <c r="AT6" s="2071">
        <f>HLOOKUP($C$2,$AF$2:$AQ$39,ROW()-1,0)-HLOOKUP($C$2,$BH$2:$BS$38,ROW()-1,0)</f>
        <v>-2861</v>
      </c>
      <c r="AU6" s="2072">
        <f>IFERROR(HLOOKUP($C$2,$AF$2:$AQ$39,ROW()-1,0)/HLOOKUP($C$2,$BH$2:$BS$38,ROW()-1,0),0)</f>
        <v>0.80470989761092149</v>
      </c>
      <c r="AV6" s="2071">
        <f>HLOOKUP($C$2,$AF$2:$AQ$39,ROW()-1,0)-HLOOKUP($C$2-1,$AF$2:$AQ$39,ROW()-1,1)</f>
        <v>1085</v>
      </c>
      <c r="AW6" s="2071">
        <f>HLOOKUP($C$2,$AF$2:$AQ$39,ROW()-1,0)-HLOOKUP($C$2,$R$2:$AC$39,ROW()-1,0)</f>
        <v>4114</v>
      </c>
      <c r="AX6" s="2071">
        <f t="shared" ref="AX6:AX28" si="5">AR6</f>
        <v>198624</v>
      </c>
      <c r="AY6" s="2202"/>
      <c r="AZ6" s="2203"/>
      <c r="BA6" s="2071">
        <f>AX6-SUM(R6:AC6)</f>
        <v>75747</v>
      </c>
      <c r="BB6" s="2071">
        <f t="shared" ref="BB6:BB18" si="6">AX6/($C$2-0.001)</f>
        <v>16552</v>
      </c>
      <c r="BC6" s="2204">
        <f t="shared" ref="BC6:BC20" si="7">BB6-AE6</f>
        <v>6312.25</v>
      </c>
      <c r="BF6" s="1172"/>
      <c r="BG6" s="1122" t="s">
        <v>314</v>
      </c>
      <c r="BH6" s="1175">
        <v>29500</v>
      </c>
      <c r="BI6" s="1173">
        <v>29500</v>
      </c>
      <c r="BJ6" s="1173">
        <f>BJ5-BJ7</f>
        <v>19500</v>
      </c>
      <c r="BK6" s="1173">
        <v>19850</v>
      </c>
      <c r="BL6" s="1173">
        <v>19850</v>
      </c>
      <c r="BM6" s="1173">
        <f>BM5-BM7</f>
        <v>24800</v>
      </c>
      <c r="BN6" s="1173">
        <f>BN5-BN7</f>
        <v>24800</v>
      </c>
      <c r="BO6" s="1173">
        <v>19840</v>
      </c>
      <c r="BP6" s="1173">
        <v>29660</v>
      </c>
      <c r="BQ6" s="1173">
        <v>19800</v>
      </c>
      <c r="BR6" s="1173">
        <v>16680</v>
      </c>
      <c r="BS6" s="1173">
        <v>14650</v>
      </c>
      <c r="BT6" s="1173">
        <f t="shared" ref="BT6:BT21" si="8">SUM(BH6:BS6)</f>
        <v>268430</v>
      </c>
      <c r="BU6" s="1174">
        <f>BT6/12</f>
        <v>22369.166666666668</v>
      </c>
      <c r="BV6" s="1175">
        <v>19500</v>
      </c>
      <c r="BW6" s="1173"/>
      <c r="BX6" s="1173"/>
      <c r="BY6" s="1173"/>
      <c r="BZ6" s="1173"/>
      <c r="CA6" s="1173"/>
      <c r="CB6" s="1173"/>
      <c r="CC6" s="1173"/>
      <c r="CD6" s="1173"/>
      <c r="CE6" s="1173"/>
      <c r="CF6" s="1173"/>
      <c r="CG6" s="1173"/>
      <c r="CH6" s="1173">
        <f t="shared" ref="CH6:CH7" si="9">SUM(BV6:CG6)</f>
        <v>19500</v>
      </c>
      <c r="CI6" s="1174">
        <f>CH6/12</f>
        <v>1625</v>
      </c>
    </row>
    <row r="7" spans="1:87" ht="21.75" customHeight="1" x14ac:dyDescent="0.55000000000000004">
      <c r="A7" s="1950"/>
      <c r="B7" s="1308"/>
      <c r="C7" s="1123" t="s">
        <v>353</v>
      </c>
      <c r="D7" s="1175">
        <f>D11</f>
        <v>695</v>
      </c>
      <c r="E7" s="1173">
        <f t="shared" ref="E7:O7" si="10">E11</f>
        <v>1803</v>
      </c>
      <c r="F7" s="1173">
        <f t="shared" si="10"/>
        <v>1118</v>
      </c>
      <c r="G7" s="1173">
        <f t="shared" si="10"/>
        <v>880</v>
      </c>
      <c r="H7" s="1173">
        <f t="shared" si="10"/>
        <v>761</v>
      </c>
      <c r="I7" s="1173">
        <f t="shared" si="10"/>
        <v>765</v>
      </c>
      <c r="J7" s="1173">
        <f t="shared" si="10"/>
        <v>676</v>
      </c>
      <c r="K7" s="1173">
        <f t="shared" si="10"/>
        <v>742</v>
      </c>
      <c r="L7" s="1173">
        <f t="shared" si="10"/>
        <v>376</v>
      </c>
      <c r="M7" s="1173">
        <f t="shared" si="10"/>
        <v>787</v>
      </c>
      <c r="N7" s="1173">
        <f t="shared" si="10"/>
        <v>296</v>
      </c>
      <c r="O7" s="1173">
        <f t="shared" si="10"/>
        <v>427</v>
      </c>
      <c r="P7" s="1173">
        <f>SUM(D7:O7)</f>
        <v>9326</v>
      </c>
      <c r="Q7" s="1174">
        <f>AVERAGE(D7:O7)</f>
        <v>777.16666666666663</v>
      </c>
      <c r="R7" s="1175">
        <f>R11</f>
        <v>605</v>
      </c>
      <c r="S7" s="1173">
        <f t="shared" ref="S7:AC7" si="11">S11</f>
        <v>407</v>
      </c>
      <c r="T7" s="1173">
        <f t="shared" si="11"/>
        <v>380</v>
      </c>
      <c r="U7" s="1173">
        <f t="shared" si="11"/>
        <v>411</v>
      </c>
      <c r="V7" s="1173">
        <f t="shared" si="11"/>
        <v>220</v>
      </c>
      <c r="W7" s="1173">
        <f t="shared" si="11"/>
        <v>310</v>
      </c>
      <c r="X7" s="1173">
        <f t="shared" si="11"/>
        <v>7</v>
      </c>
      <c r="Y7" s="1173">
        <f t="shared" si="11"/>
        <v>0</v>
      </c>
      <c r="Z7" s="1173">
        <f t="shared" si="11"/>
        <v>0</v>
      </c>
      <c r="AA7" s="1173">
        <f t="shared" si="11"/>
        <v>0</v>
      </c>
      <c r="AB7" s="1173">
        <f t="shared" si="11"/>
        <v>0</v>
      </c>
      <c r="AC7" s="1173">
        <f t="shared" si="11"/>
        <v>0</v>
      </c>
      <c r="AD7" s="1173">
        <f t="shared" si="2"/>
        <v>2340</v>
      </c>
      <c r="AE7" s="1597">
        <f>AVERAGE(R7:AC7)</f>
        <v>195</v>
      </c>
      <c r="AF7" s="1173">
        <v>11</v>
      </c>
      <c r="AG7" s="1173">
        <v>69</v>
      </c>
      <c r="AH7" s="2218">
        <v>6</v>
      </c>
      <c r="AI7" s="1173">
        <v>10</v>
      </c>
      <c r="AJ7" s="1173">
        <v>52</v>
      </c>
      <c r="AK7" s="1173">
        <v>119</v>
      </c>
      <c r="AL7" s="1173">
        <v>379</v>
      </c>
      <c r="AM7" s="1173">
        <v>563</v>
      </c>
      <c r="AN7" s="1173">
        <v>604</v>
      </c>
      <c r="AO7" s="1173">
        <v>527</v>
      </c>
      <c r="AP7" s="1173">
        <v>434</v>
      </c>
      <c r="AQ7" s="1173">
        <v>389</v>
      </c>
      <c r="AR7" s="2071">
        <f t="shared" ref="AR7:AR28" si="12">SUM(AF7:AQ7)</f>
        <v>3163</v>
      </c>
      <c r="AS7" s="2071">
        <f>AVERAGE(AF7:AQ7)</f>
        <v>263.58333333333331</v>
      </c>
      <c r="AT7" s="2071">
        <f>HLOOKUP($C$2,$AF$2:$AQ$39,ROW()-1,0)-HLOOKUP($C$2,$BH$2:$BS$38,ROW()-1,0)</f>
        <v>39</v>
      </c>
      <c r="AU7" s="2072">
        <f>IFERROR(HLOOKUP($C$2,$AF$2:$AQ$39,ROW()-1,0)/HLOOKUP($C$2,$BH$2:$BS$38,ROW()-1,0),0)</f>
        <v>1.1114285714285714</v>
      </c>
      <c r="AV7" s="2071">
        <f>HLOOKUP($C$2,$AF$2:$AQ$39,ROW()-1,0)-HLOOKUP($C$2-1,$AF$2:$AQ$39,ROW()-1,1)</f>
        <v>-45</v>
      </c>
      <c r="AW7" s="2071">
        <f>HLOOKUP($C$2,$AF$2:$AQ$39,ROW()-1,0)-HLOOKUP($C$2,$R$2:$AC$39,ROW()-1,0)</f>
        <v>389</v>
      </c>
      <c r="AX7" s="2071">
        <f>AR7</f>
        <v>3163</v>
      </c>
      <c r="AY7" s="2202"/>
      <c r="AZ7" s="2203"/>
      <c r="BA7" s="2071">
        <f>AX7-SUM(R7:AC7)</f>
        <v>823</v>
      </c>
      <c r="BB7" s="2071">
        <f t="shared" si="6"/>
        <v>263.58333333333331</v>
      </c>
      <c r="BC7" s="2204">
        <f>BB7-AE7</f>
        <v>68.583333333333314</v>
      </c>
      <c r="BF7" s="1172"/>
      <c r="BG7" s="1122" t="s">
        <v>353</v>
      </c>
      <c r="BH7" s="1175">
        <v>500</v>
      </c>
      <c r="BI7" s="1173">
        <v>500</v>
      </c>
      <c r="BJ7" s="1173">
        <v>500</v>
      </c>
      <c r="BK7" s="1173">
        <v>150</v>
      </c>
      <c r="BL7" s="1173">
        <v>150</v>
      </c>
      <c r="BM7" s="1173">
        <v>200</v>
      </c>
      <c r="BN7" s="1173">
        <v>200</v>
      </c>
      <c r="BO7" s="1173">
        <v>160</v>
      </c>
      <c r="BP7" s="1173">
        <v>340</v>
      </c>
      <c r="BQ7" s="1173">
        <v>200</v>
      </c>
      <c r="BR7" s="1173">
        <v>320</v>
      </c>
      <c r="BS7" s="1173">
        <v>350</v>
      </c>
      <c r="BT7" s="1173">
        <f t="shared" si="8"/>
        <v>3570</v>
      </c>
      <c r="BU7" s="1174">
        <f t="shared" ref="BU7:BU21" si="13">BT7/12</f>
        <v>297.5</v>
      </c>
      <c r="BV7" s="1175">
        <v>500</v>
      </c>
      <c r="BW7" s="1173"/>
      <c r="BX7" s="1173"/>
      <c r="BY7" s="1173"/>
      <c r="BZ7" s="1173"/>
      <c r="CA7" s="1173"/>
      <c r="CB7" s="1173"/>
      <c r="CC7" s="1173"/>
      <c r="CD7" s="1173"/>
      <c r="CE7" s="1173"/>
      <c r="CF7" s="1173"/>
      <c r="CG7" s="1173"/>
      <c r="CH7" s="1173">
        <f t="shared" si="9"/>
        <v>500</v>
      </c>
      <c r="CI7" s="1174">
        <f t="shared" ref="CI7" si="14">CH7/12</f>
        <v>41.666666666666664</v>
      </c>
    </row>
    <row r="8" spans="1:87" ht="21.75" customHeight="1" x14ac:dyDescent="0.55000000000000004">
      <c r="A8" s="1950"/>
      <c r="B8" s="1308"/>
      <c r="C8" s="1123" t="s">
        <v>354</v>
      </c>
      <c r="D8" s="1177">
        <f>D12+D15</f>
        <v>1093</v>
      </c>
      <c r="E8" s="1121">
        <f t="shared" ref="E8:O8" si="15">E12+E15</f>
        <v>1778</v>
      </c>
      <c r="F8" s="1121">
        <f t="shared" si="15"/>
        <v>1230</v>
      </c>
      <c r="G8" s="1121">
        <f t="shared" si="15"/>
        <v>754</v>
      </c>
      <c r="H8" s="1121">
        <f t="shared" si="15"/>
        <v>1312</v>
      </c>
      <c r="I8" s="1121">
        <f t="shared" si="15"/>
        <v>1539</v>
      </c>
      <c r="J8" s="1121">
        <f t="shared" si="15"/>
        <v>1554</v>
      </c>
      <c r="K8" s="1121">
        <f t="shared" si="15"/>
        <v>2158</v>
      </c>
      <c r="L8" s="1121">
        <f t="shared" si="15"/>
        <v>487</v>
      </c>
      <c r="M8" s="1121">
        <f t="shared" si="15"/>
        <v>1000</v>
      </c>
      <c r="N8" s="1121">
        <f t="shared" si="15"/>
        <v>537</v>
      </c>
      <c r="O8" s="1121">
        <f t="shared" si="15"/>
        <v>687</v>
      </c>
      <c r="P8" s="1121">
        <f>SUM(D8:O8)</f>
        <v>14129</v>
      </c>
      <c r="Q8" s="1176">
        <f>AVERAGE(D8:O8)</f>
        <v>1177.4166666666667</v>
      </c>
      <c r="R8" s="1177">
        <f>R12+R15</f>
        <v>1387</v>
      </c>
      <c r="S8" s="1121">
        <f>S12+S15</f>
        <v>1008</v>
      </c>
      <c r="T8" s="1121">
        <f t="shared" ref="T8:AC8" si="16">T12+T15</f>
        <v>1184</v>
      </c>
      <c r="U8" s="1121">
        <f t="shared" si="16"/>
        <v>1455</v>
      </c>
      <c r="V8" s="1121">
        <f t="shared" si="16"/>
        <v>1530</v>
      </c>
      <c r="W8" s="1121">
        <f t="shared" si="16"/>
        <v>907</v>
      </c>
      <c r="X8" s="1121">
        <f t="shared" si="16"/>
        <v>1117</v>
      </c>
      <c r="Y8" s="1121">
        <f t="shared" si="16"/>
        <v>1306</v>
      </c>
      <c r="Z8" s="1121">
        <f t="shared" si="16"/>
        <v>818</v>
      </c>
      <c r="AA8" s="1121">
        <f t="shared" si="16"/>
        <v>820</v>
      </c>
      <c r="AB8" s="1121">
        <f t="shared" si="16"/>
        <v>630</v>
      </c>
      <c r="AC8" s="1121">
        <f t="shared" si="16"/>
        <v>532</v>
      </c>
      <c r="AD8" s="1121">
        <f t="shared" si="2"/>
        <v>12694</v>
      </c>
      <c r="AE8" s="1598">
        <f>AVERAGE(R8:AC8)</f>
        <v>1057.8333333333333</v>
      </c>
      <c r="AF8" s="2132"/>
      <c r="AG8" s="2132"/>
      <c r="AH8" s="2244"/>
      <c r="AI8" s="2132"/>
      <c r="AJ8" s="2132"/>
      <c r="AK8" s="2132"/>
      <c r="AL8" s="2132"/>
      <c r="AM8" s="2132"/>
      <c r="AN8" s="2132"/>
      <c r="AO8" s="2132"/>
      <c r="AP8" s="2132"/>
      <c r="AQ8" s="2132"/>
      <c r="AR8" s="2245"/>
      <c r="AS8" s="2245"/>
      <c r="AT8" s="2245"/>
      <c r="AU8" s="2246"/>
      <c r="AV8" s="2245"/>
      <c r="AW8" s="2245"/>
      <c r="AX8" s="2245"/>
      <c r="AY8" s="2245"/>
      <c r="AZ8" s="2246"/>
      <c r="BA8" s="2245"/>
      <c r="BB8" s="2245"/>
      <c r="BC8" s="2247"/>
      <c r="BD8" s="1590"/>
      <c r="BF8" s="1172"/>
      <c r="BG8" s="1122" t="s">
        <v>354</v>
      </c>
      <c r="BH8" s="2132"/>
      <c r="BI8" s="2132"/>
      <c r="BJ8" s="2244"/>
      <c r="BK8" s="2132"/>
      <c r="BL8" s="2132"/>
      <c r="BM8" s="2132"/>
      <c r="BN8" s="2132"/>
      <c r="BO8" s="2132"/>
      <c r="BP8" s="2132"/>
      <c r="BQ8" s="2132"/>
      <c r="BR8" s="2132"/>
      <c r="BS8" s="2132"/>
      <c r="BT8" s="2245"/>
      <c r="BU8" s="2245"/>
      <c r="BV8" s="2132"/>
      <c r="BW8" s="2132"/>
      <c r="BX8" s="2244"/>
      <c r="BY8" s="2132"/>
      <c r="BZ8" s="2132"/>
      <c r="CA8" s="2132"/>
      <c r="CB8" s="2132"/>
      <c r="CC8" s="2132"/>
      <c r="CD8" s="2132"/>
      <c r="CE8" s="2132"/>
      <c r="CF8" s="2132"/>
      <c r="CG8" s="2132"/>
      <c r="CH8" s="2245"/>
      <c r="CI8" s="2245"/>
    </row>
    <row r="9" spans="1:87" ht="21.55" customHeight="1" x14ac:dyDescent="0.55000000000000004">
      <c r="A9" s="1950"/>
      <c r="B9" s="1953" t="s">
        <v>777</v>
      </c>
      <c r="C9" s="1954"/>
      <c r="D9" s="1589">
        <v>4044</v>
      </c>
      <c r="E9" s="1178">
        <v>6293</v>
      </c>
      <c r="F9" s="1178">
        <v>4082</v>
      </c>
      <c r="G9" s="1178">
        <v>3828</v>
      </c>
      <c r="H9" s="1178">
        <v>5373</v>
      </c>
      <c r="I9" s="1178">
        <v>4861</v>
      </c>
      <c r="J9" s="1178">
        <v>4364</v>
      </c>
      <c r="K9" s="1178">
        <v>7455</v>
      </c>
      <c r="L9" s="1178">
        <v>2693</v>
      </c>
      <c r="M9" s="1178">
        <v>16731</v>
      </c>
      <c r="N9" s="1178">
        <v>4833</v>
      </c>
      <c r="O9" s="1178">
        <v>3634</v>
      </c>
      <c r="P9" s="1178">
        <v>68191</v>
      </c>
      <c r="Q9" s="1179">
        <v>5682.583333333333</v>
      </c>
      <c r="R9" s="1591">
        <v>9400</v>
      </c>
      <c r="S9" s="1178">
        <v>7026</v>
      </c>
      <c r="T9" s="1178">
        <v>5089</v>
      </c>
      <c r="U9" s="1178">
        <v>7031</v>
      </c>
      <c r="V9" s="1178">
        <v>6737</v>
      </c>
      <c r="W9" s="1178">
        <v>4348</v>
      </c>
      <c r="X9" s="1178">
        <v>9529</v>
      </c>
      <c r="Y9" s="1178">
        <v>6899</v>
      </c>
      <c r="Z9" s="1178">
        <v>20154</v>
      </c>
      <c r="AA9" s="1178">
        <v>15127</v>
      </c>
      <c r="AB9" s="1178">
        <v>6954</v>
      </c>
      <c r="AC9" s="1178">
        <v>6135</v>
      </c>
      <c r="AD9" s="1178">
        <f t="shared" si="2"/>
        <v>104429</v>
      </c>
      <c r="AE9" s="1599">
        <f>AD9/12</f>
        <v>8702.4166666666661</v>
      </c>
      <c r="AF9" s="1178">
        <f>SUM(AF10:AF11)</f>
        <v>5385</v>
      </c>
      <c r="AG9" s="1178">
        <v>16915</v>
      </c>
      <c r="AH9" s="2219">
        <v>7408</v>
      </c>
      <c r="AI9" s="1178">
        <v>7814</v>
      </c>
      <c r="AJ9" s="1178">
        <v>9792</v>
      </c>
      <c r="AK9" s="1178">
        <v>7562</v>
      </c>
      <c r="AL9" s="1178">
        <v>12735</v>
      </c>
      <c r="AM9" s="1178">
        <v>9471</v>
      </c>
      <c r="AN9" s="1178">
        <v>19884</v>
      </c>
      <c r="AO9" s="1178">
        <v>11925</v>
      </c>
      <c r="AP9" s="1178">
        <v>8605</v>
      </c>
      <c r="AQ9" s="1178">
        <v>8793</v>
      </c>
      <c r="AR9" s="2067">
        <f t="shared" si="12"/>
        <v>126289</v>
      </c>
      <c r="AS9" s="2067">
        <f t="shared" si="4"/>
        <v>10524.083333333334</v>
      </c>
      <c r="AT9" s="2067">
        <f>HLOOKUP($C$2,$AF$2:$AQ$39,ROW()-1,0)-HLOOKUP($C$2,$BH$2:$BS$38,ROW()-1,0)</f>
        <v>-3207</v>
      </c>
      <c r="AU9" s="2070">
        <f>IFERROR(HLOOKUP($C$2,$AF$2:$AQ$39,ROW()-1,0)/HLOOKUP($C$2,$BH$2:$BS$38,ROW()-1,0),0)</f>
        <v>0.73275000000000001</v>
      </c>
      <c r="AV9" s="2067">
        <f>HLOOKUP($C$2,$AF$2:$AQ$39,ROW()-1,0)-HLOOKUP($C$2-1,$AF$2:$AQ$39,ROW()-1,1)</f>
        <v>188</v>
      </c>
      <c r="AW9" s="2067">
        <f>HLOOKUP($C$2,$AF$2:$AQ$39,ROW()-1,0)-HLOOKUP($C$2,$R$2:$AC$39,ROW()-1,0)</f>
        <v>2658</v>
      </c>
      <c r="AX9" s="2067">
        <f t="shared" si="5"/>
        <v>126289</v>
      </c>
      <c r="AY9" s="2202"/>
      <c r="AZ9" s="2203"/>
      <c r="BA9" s="2067">
        <f>AX9-SUM(R9:AC9)</f>
        <v>21860</v>
      </c>
      <c r="BB9" s="2067">
        <f t="shared" si="6"/>
        <v>10524.083333333334</v>
      </c>
      <c r="BC9" s="2205">
        <f t="shared" si="7"/>
        <v>1821.6666666666679</v>
      </c>
      <c r="BF9" s="1947" t="s">
        <v>777</v>
      </c>
      <c r="BG9" s="1180"/>
      <c r="BH9" s="519">
        <v>20000</v>
      </c>
      <c r="BI9" s="520">
        <f>SUM(BI10:BI11)</f>
        <v>25000</v>
      </c>
      <c r="BJ9" s="520">
        <v>15000</v>
      </c>
      <c r="BK9" s="520">
        <v>15000</v>
      </c>
      <c r="BL9" s="520">
        <v>15000</v>
      </c>
      <c r="BM9" s="520">
        <v>10000</v>
      </c>
      <c r="BN9" s="520">
        <v>15000</v>
      </c>
      <c r="BO9" s="520">
        <v>15000</v>
      </c>
      <c r="BP9" s="520">
        <v>20000</v>
      </c>
      <c r="BQ9" s="520">
        <v>15000</v>
      </c>
      <c r="BR9" s="520">
        <v>12000</v>
      </c>
      <c r="BS9" s="520">
        <v>12000</v>
      </c>
      <c r="BT9" s="520">
        <f t="shared" si="8"/>
        <v>189000</v>
      </c>
      <c r="BU9" s="1181">
        <f t="shared" si="13"/>
        <v>15750</v>
      </c>
      <c r="BV9" s="519">
        <v>15000</v>
      </c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>
        <f t="shared" ref="CH9:CH11" si="17">SUM(BV9:CG9)</f>
        <v>15000</v>
      </c>
      <c r="CI9" s="1181">
        <f t="shared" ref="CI9:CI11" si="18">CH9/12</f>
        <v>1250</v>
      </c>
    </row>
    <row r="10" spans="1:87" ht="21.75" customHeight="1" x14ac:dyDescent="0.55000000000000004">
      <c r="A10" s="1950"/>
      <c r="B10" s="1308"/>
      <c r="C10" s="1123" t="s">
        <v>314</v>
      </c>
      <c r="D10" s="1175">
        <v>2256</v>
      </c>
      <c r="E10" s="1173">
        <v>2712</v>
      </c>
      <c r="F10" s="1173">
        <v>1734</v>
      </c>
      <c r="G10" s="1173">
        <v>2194</v>
      </c>
      <c r="H10" s="1173">
        <v>3300</v>
      </c>
      <c r="I10" s="1173">
        <v>2558</v>
      </c>
      <c r="J10" s="1173">
        <v>2134</v>
      </c>
      <c r="K10" s="1173">
        <v>4555</v>
      </c>
      <c r="L10" s="1173">
        <v>1830</v>
      </c>
      <c r="M10" s="1173">
        <v>14944</v>
      </c>
      <c r="N10" s="1173">
        <v>4000</v>
      </c>
      <c r="O10" s="1173">
        <v>2520</v>
      </c>
      <c r="P10" s="1173">
        <v>44737</v>
      </c>
      <c r="Q10" s="1174">
        <v>3728.0833333333335</v>
      </c>
      <c r="R10" s="1592">
        <v>7410</v>
      </c>
      <c r="S10" s="1173">
        <v>5611</v>
      </c>
      <c r="T10" s="1173">
        <v>3529</v>
      </c>
      <c r="U10" s="1173">
        <v>5237</v>
      </c>
      <c r="V10" s="1173">
        <v>5041</v>
      </c>
      <c r="W10" s="1173">
        <v>3190</v>
      </c>
      <c r="X10" s="1173">
        <v>8450</v>
      </c>
      <c r="Y10" s="1173">
        <v>5618</v>
      </c>
      <c r="Z10" s="1173">
        <v>19347</v>
      </c>
      <c r="AA10" s="1173">
        <v>14326</v>
      </c>
      <c r="AB10" s="1173">
        <v>6358</v>
      </c>
      <c r="AC10" s="1173">
        <v>5644</v>
      </c>
      <c r="AD10" s="1173">
        <f t="shared" si="2"/>
        <v>89761</v>
      </c>
      <c r="AE10" s="1597">
        <f t="shared" ref="AE10:AE28" si="19">AD10/12</f>
        <v>7480.083333333333</v>
      </c>
      <c r="AF10" s="1173">
        <v>5374</v>
      </c>
      <c r="AG10" s="1173">
        <f>AG9-AG11</f>
        <v>16846</v>
      </c>
      <c r="AH10" s="2218">
        <v>7402</v>
      </c>
      <c r="AI10" s="1173">
        <v>7804</v>
      </c>
      <c r="AJ10" s="1173">
        <v>9740</v>
      </c>
      <c r="AK10" s="1173">
        <f>AK9-AK11</f>
        <v>7441</v>
      </c>
      <c r="AL10" s="1173">
        <v>12356</v>
      </c>
      <c r="AM10" s="1173">
        <v>8908</v>
      </c>
      <c r="AN10" s="1173">
        <v>19280</v>
      </c>
      <c r="AO10" s="1173">
        <v>11398</v>
      </c>
      <c r="AP10" s="1173">
        <v>8171</v>
      </c>
      <c r="AQ10" s="1173">
        <v>8404</v>
      </c>
      <c r="AR10" s="2071">
        <f t="shared" si="12"/>
        <v>123124</v>
      </c>
      <c r="AS10" s="2071">
        <f t="shared" si="4"/>
        <v>10260.333333333334</v>
      </c>
      <c r="AT10" s="2071">
        <f>HLOOKUP($C$2,$AF$2:$AQ$39,ROW()-1,0)-HLOOKUP($C$2,$BH$2:$BS$38,ROW()-1,0)</f>
        <v>-3246</v>
      </c>
      <c r="AU10" s="2072">
        <f>IFERROR(HLOOKUP($C$2,$AF$2:$AQ$39,ROW()-1,0)/HLOOKUP($C$2,$BH$2:$BS$38,ROW()-1,0),0)</f>
        <v>0.72137339055793992</v>
      </c>
      <c r="AV10" s="2071">
        <f>HLOOKUP($C$2,$AF$2:$AQ$39,ROW()-1,0)-HLOOKUP($C$2-1,$AF$2:$AQ$39,ROW()-1,1)</f>
        <v>233</v>
      </c>
      <c r="AW10" s="2071">
        <f>HLOOKUP($C$2,$AF$2:$AQ$39,ROW()-1,0)-HLOOKUP($C$2,$R$2:$AC$39,ROW()-1,0)</f>
        <v>2760</v>
      </c>
      <c r="AX10" s="2071">
        <f t="shared" si="5"/>
        <v>123124</v>
      </c>
      <c r="AY10" s="2202"/>
      <c r="AZ10" s="2203"/>
      <c r="BA10" s="2071">
        <f>AX10-SUM(R10:AC10)</f>
        <v>33363</v>
      </c>
      <c r="BB10" s="2071">
        <f t="shared" si="6"/>
        <v>10260.333333333334</v>
      </c>
      <c r="BC10" s="2204">
        <f t="shared" si="7"/>
        <v>2780.2500000000009</v>
      </c>
      <c r="BF10" s="1172"/>
      <c r="BG10" s="1122" t="s">
        <v>778</v>
      </c>
      <c r="BH10" s="1182">
        <v>19500</v>
      </c>
      <c r="BI10" s="776">
        <v>24500</v>
      </c>
      <c r="BJ10" s="776">
        <f>BJ9-BJ11</f>
        <v>14500</v>
      </c>
      <c r="BK10" s="776">
        <v>14850</v>
      </c>
      <c r="BL10" s="776">
        <v>14850</v>
      </c>
      <c r="BM10" s="776">
        <f>BM9-BM11</f>
        <v>9800</v>
      </c>
      <c r="BN10" s="776">
        <f>BN9-BN11</f>
        <v>14800</v>
      </c>
      <c r="BO10" s="776">
        <v>14840</v>
      </c>
      <c r="BP10" s="776">
        <v>19660</v>
      </c>
      <c r="BQ10" s="776">
        <v>14800</v>
      </c>
      <c r="BR10" s="776">
        <v>11680</v>
      </c>
      <c r="BS10" s="776">
        <v>11650</v>
      </c>
      <c r="BT10" s="1439">
        <f t="shared" si="8"/>
        <v>185430</v>
      </c>
      <c r="BU10" s="1183">
        <f t="shared" si="13"/>
        <v>15452.5</v>
      </c>
      <c r="BV10" s="1182">
        <v>14500</v>
      </c>
      <c r="BW10" s="776"/>
      <c r="BX10" s="776"/>
      <c r="BY10" s="776"/>
      <c r="BZ10" s="776"/>
      <c r="CA10" s="776"/>
      <c r="CB10" s="776"/>
      <c r="CC10" s="776"/>
      <c r="CD10" s="776"/>
      <c r="CE10" s="776"/>
      <c r="CF10" s="776"/>
      <c r="CG10" s="776"/>
      <c r="CH10" s="1439">
        <f t="shared" si="17"/>
        <v>14500</v>
      </c>
      <c r="CI10" s="1183">
        <f t="shared" si="18"/>
        <v>1208.3333333333333</v>
      </c>
    </row>
    <row r="11" spans="1:87" ht="21.75" customHeight="1" x14ac:dyDescent="0.55000000000000004">
      <c r="A11" s="1950"/>
      <c r="B11" s="1308"/>
      <c r="C11" s="1123" t="s">
        <v>353</v>
      </c>
      <c r="D11" s="1175">
        <v>695</v>
      </c>
      <c r="E11" s="1173">
        <v>1803</v>
      </c>
      <c r="F11" s="1173">
        <v>1118</v>
      </c>
      <c r="G11" s="1173">
        <v>880</v>
      </c>
      <c r="H11" s="1173">
        <v>761</v>
      </c>
      <c r="I11" s="1173">
        <v>765</v>
      </c>
      <c r="J11" s="1173">
        <v>676</v>
      </c>
      <c r="K11" s="1173">
        <v>742</v>
      </c>
      <c r="L11" s="1173">
        <v>376</v>
      </c>
      <c r="M11" s="1173">
        <v>787</v>
      </c>
      <c r="N11" s="1173">
        <v>296</v>
      </c>
      <c r="O11" s="1173">
        <v>427</v>
      </c>
      <c r="P11" s="1173">
        <v>9326</v>
      </c>
      <c r="Q11" s="1174">
        <v>777.16666666666663</v>
      </c>
      <c r="R11" s="1592">
        <v>605</v>
      </c>
      <c r="S11" s="1173">
        <v>407</v>
      </c>
      <c r="T11" s="1173">
        <v>380</v>
      </c>
      <c r="U11" s="1173">
        <v>411</v>
      </c>
      <c r="V11" s="1173">
        <v>220</v>
      </c>
      <c r="W11" s="1173">
        <v>310</v>
      </c>
      <c r="X11" s="1173">
        <v>7</v>
      </c>
      <c r="Y11" s="1173">
        <v>0</v>
      </c>
      <c r="Z11" s="1173">
        <v>0</v>
      </c>
      <c r="AA11" s="1173">
        <v>0</v>
      </c>
      <c r="AB11" s="1173">
        <v>0</v>
      </c>
      <c r="AC11" s="1173">
        <v>0</v>
      </c>
      <c r="AD11" s="1173">
        <f t="shared" si="2"/>
        <v>2340</v>
      </c>
      <c r="AE11" s="1597">
        <f>AD11/12</f>
        <v>195</v>
      </c>
      <c r="AF11" s="1173">
        <v>11</v>
      </c>
      <c r="AG11" s="1173">
        <v>69</v>
      </c>
      <c r="AH11" s="2218">
        <v>6</v>
      </c>
      <c r="AI11" s="1173">
        <v>10</v>
      </c>
      <c r="AJ11" s="1173">
        <v>52</v>
      </c>
      <c r="AK11" s="1173">
        <v>121</v>
      </c>
      <c r="AL11" s="1173">
        <v>379</v>
      </c>
      <c r="AM11" s="1173">
        <v>563</v>
      </c>
      <c r="AN11" s="1173">
        <v>604</v>
      </c>
      <c r="AO11" s="1173">
        <v>527</v>
      </c>
      <c r="AP11" s="1173">
        <v>434</v>
      </c>
      <c r="AQ11" s="1173">
        <v>389</v>
      </c>
      <c r="AR11" s="2071">
        <f t="shared" si="12"/>
        <v>3165</v>
      </c>
      <c r="AS11" s="2071">
        <f t="shared" si="4"/>
        <v>263.75</v>
      </c>
      <c r="AT11" s="2071">
        <f>HLOOKUP($C$2,$AF$2:$AQ$39,ROW()-1,0)-HLOOKUP($C$2,$BH$2:$BS$38,ROW()-1,0)</f>
        <v>39</v>
      </c>
      <c r="AU11" s="2072">
        <f>IFERROR(HLOOKUP($C$2,$AF$2:$AQ$39,ROW()-1,0)/HLOOKUP($C$2,$BH$2:$BS$38,ROW()-1,0),0)</f>
        <v>1.1114285714285714</v>
      </c>
      <c r="AV11" s="2071">
        <f>HLOOKUP($C$2,$AF$2:$AQ$39,ROW()-1,0)-HLOOKUP($C$2-1,$AF$2:$AQ$39,ROW()-1,1)</f>
        <v>-45</v>
      </c>
      <c r="AW11" s="2071">
        <f>HLOOKUP($C$2,$AF$2:$AQ$39,ROW()-1,0)-HLOOKUP($C$2,$R$2:$AC$39,ROW()-1,0)</f>
        <v>389</v>
      </c>
      <c r="AX11" s="2071">
        <f t="shared" si="5"/>
        <v>3165</v>
      </c>
      <c r="AY11" s="2202"/>
      <c r="AZ11" s="2203"/>
      <c r="BA11" s="2071">
        <f>AX11-SUM(R11:AC11)</f>
        <v>825</v>
      </c>
      <c r="BB11" s="2071">
        <f t="shared" si="6"/>
        <v>263.75</v>
      </c>
      <c r="BC11" s="2204">
        <f t="shared" si="7"/>
        <v>68.75</v>
      </c>
      <c r="BF11" s="1172"/>
      <c r="BG11" s="1122" t="s">
        <v>353</v>
      </c>
      <c r="BH11" s="1182">
        <v>500</v>
      </c>
      <c r="BI11" s="776">
        <v>500</v>
      </c>
      <c r="BJ11" s="776">
        <v>500</v>
      </c>
      <c r="BK11" s="776">
        <v>150</v>
      </c>
      <c r="BL11" s="776">
        <v>150</v>
      </c>
      <c r="BM11" s="776">
        <v>200</v>
      </c>
      <c r="BN11" s="776">
        <v>200</v>
      </c>
      <c r="BO11" s="776">
        <v>160</v>
      </c>
      <c r="BP11" s="776">
        <v>340</v>
      </c>
      <c r="BQ11" s="776">
        <v>200</v>
      </c>
      <c r="BR11" s="776">
        <v>320</v>
      </c>
      <c r="BS11" s="776">
        <v>350</v>
      </c>
      <c r="BT11" s="1439">
        <f t="shared" si="8"/>
        <v>3570</v>
      </c>
      <c r="BU11" s="1183">
        <f t="shared" si="13"/>
        <v>297.5</v>
      </c>
      <c r="BV11" s="1182">
        <v>500</v>
      </c>
      <c r="BW11" s="776"/>
      <c r="BX11" s="776"/>
      <c r="BY11" s="776"/>
      <c r="BZ11" s="776"/>
      <c r="CA11" s="776"/>
      <c r="CB11" s="776"/>
      <c r="CC11" s="776"/>
      <c r="CD11" s="776"/>
      <c r="CE11" s="776"/>
      <c r="CF11" s="776"/>
      <c r="CG11" s="776"/>
      <c r="CH11" s="1439">
        <f t="shared" si="17"/>
        <v>500</v>
      </c>
      <c r="CI11" s="1183">
        <f t="shared" si="18"/>
        <v>41.666666666666664</v>
      </c>
    </row>
    <row r="12" spans="1:87" ht="21.75" customHeight="1" x14ac:dyDescent="0.55000000000000004">
      <c r="A12" s="1950"/>
      <c r="B12" s="1308"/>
      <c r="C12" s="1123" t="s">
        <v>354</v>
      </c>
      <c r="D12" s="1177">
        <v>1093</v>
      </c>
      <c r="E12" s="1121">
        <v>1778</v>
      </c>
      <c r="F12" s="1121">
        <v>1230</v>
      </c>
      <c r="G12" s="1121">
        <v>754</v>
      </c>
      <c r="H12" s="1121">
        <v>1312</v>
      </c>
      <c r="I12" s="1121">
        <v>1538</v>
      </c>
      <c r="J12" s="1121">
        <v>1554</v>
      </c>
      <c r="K12" s="1121">
        <v>2158</v>
      </c>
      <c r="L12" s="1121">
        <v>487</v>
      </c>
      <c r="M12" s="1121">
        <v>1000</v>
      </c>
      <c r="N12" s="1121">
        <v>537</v>
      </c>
      <c r="O12" s="1121">
        <v>687</v>
      </c>
      <c r="P12" s="1121">
        <v>14128</v>
      </c>
      <c r="Q12" s="1176">
        <v>1177.3333333333333</v>
      </c>
      <c r="R12" s="1188">
        <v>1385</v>
      </c>
      <c r="S12" s="1121">
        <v>1008</v>
      </c>
      <c r="T12" s="1121">
        <v>1180</v>
      </c>
      <c r="U12" s="1121">
        <v>1383</v>
      </c>
      <c r="V12" s="1121">
        <v>1476</v>
      </c>
      <c r="W12" s="1121">
        <v>848</v>
      </c>
      <c r="X12" s="1121">
        <v>1072</v>
      </c>
      <c r="Y12" s="1121">
        <v>1281</v>
      </c>
      <c r="Z12" s="1121">
        <v>807</v>
      </c>
      <c r="AA12" s="1121">
        <v>801</v>
      </c>
      <c r="AB12" s="1121">
        <v>596</v>
      </c>
      <c r="AC12" s="1121">
        <v>491</v>
      </c>
      <c r="AD12" s="1121">
        <f t="shared" si="2"/>
        <v>12328</v>
      </c>
      <c r="AE12" s="1598">
        <f t="shared" si="19"/>
        <v>1027.3333333333333</v>
      </c>
      <c r="AF12" s="2132"/>
      <c r="AG12" s="2132"/>
      <c r="AH12" s="2244"/>
      <c r="AI12" s="2132"/>
      <c r="AJ12" s="2132"/>
      <c r="AK12" s="2132"/>
      <c r="AL12" s="2132"/>
      <c r="AM12" s="2132"/>
      <c r="AN12" s="2132"/>
      <c r="AO12" s="2132"/>
      <c r="AP12" s="2132"/>
      <c r="AQ12" s="2132"/>
      <c r="AR12" s="2245"/>
      <c r="AS12" s="2245"/>
      <c r="AT12" s="2245"/>
      <c r="AU12" s="2246"/>
      <c r="AV12" s="2245"/>
      <c r="AW12" s="2245"/>
      <c r="AX12" s="2245"/>
      <c r="AY12" s="2245"/>
      <c r="AZ12" s="2246"/>
      <c r="BA12" s="2245"/>
      <c r="BB12" s="2245"/>
      <c r="BC12" s="2247"/>
      <c r="BF12" s="1172"/>
      <c r="BG12" s="1122" t="s">
        <v>779</v>
      </c>
      <c r="BH12" s="2132"/>
      <c r="BI12" s="2132"/>
      <c r="BJ12" s="2244"/>
      <c r="BK12" s="2132"/>
      <c r="BL12" s="2132"/>
      <c r="BM12" s="2132"/>
      <c r="BN12" s="2132"/>
      <c r="BO12" s="2132"/>
      <c r="BP12" s="2132"/>
      <c r="BQ12" s="2132"/>
      <c r="BR12" s="2132"/>
      <c r="BS12" s="2132"/>
      <c r="BT12" s="2245"/>
      <c r="BU12" s="2245"/>
      <c r="BV12" s="2132"/>
      <c r="BW12" s="2132"/>
      <c r="BX12" s="2244"/>
      <c r="BY12" s="2132"/>
      <c r="BZ12" s="2132"/>
      <c r="CA12" s="2132"/>
      <c r="CB12" s="2132"/>
      <c r="CC12" s="2132"/>
      <c r="CD12" s="2132"/>
      <c r="CE12" s="2132"/>
      <c r="CF12" s="2132"/>
      <c r="CG12" s="2132"/>
      <c r="CH12" s="2245"/>
      <c r="CI12" s="2245"/>
    </row>
    <row r="13" spans="1:87" ht="17.149999999999999" customHeight="1" x14ac:dyDescent="0.55000000000000004">
      <c r="A13" s="1950"/>
      <c r="B13" s="1953" t="s">
        <v>357</v>
      </c>
      <c r="C13" s="1954"/>
      <c r="D13" s="1589">
        <v>921</v>
      </c>
      <c r="E13" s="1178">
        <v>1192</v>
      </c>
      <c r="F13" s="1178">
        <v>1144</v>
      </c>
      <c r="G13" s="1178">
        <v>864</v>
      </c>
      <c r="H13" s="1178">
        <v>868</v>
      </c>
      <c r="I13" s="1178">
        <v>802</v>
      </c>
      <c r="J13" s="1178">
        <v>971</v>
      </c>
      <c r="K13" s="1178">
        <v>2029</v>
      </c>
      <c r="L13" s="1178">
        <v>1546</v>
      </c>
      <c r="M13" s="1178">
        <v>1485</v>
      </c>
      <c r="N13" s="1178">
        <v>1634</v>
      </c>
      <c r="O13" s="1178">
        <v>1650</v>
      </c>
      <c r="P13" s="1178">
        <v>15106</v>
      </c>
      <c r="Q13" s="1179">
        <v>1258.8333333333333</v>
      </c>
      <c r="R13" s="1591">
        <v>2533</v>
      </c>
      <c r="S13" s="1178">
        <v>2487</v>
      </c>
      <c r="T13" s="1178">
        <v>3762</v>
      </c>
      <c r="U13" s="1178">
        <v>3047</v>
      </c>
      <c r="V13" s="1178">
        <v>3393</v>
      </c>
      <c r="W13" s="1178">
        <v>3129</v>
      </c>
      <c r="X13" s="1178">
        <v>3078</v>
      </c>
      <c r="Y13" s="1178">
        <v>2755</v>
      </c>
      <c r="Z13" s="1178">
        <v>2146</v>
      </c>
      <c r="AA13" s="1178">
        <v>2961</v>
      </c>
      <c r="AB13" s="1178">
        <v>2119</v>
      </c>
      <c r="AC13" s="1178">
        <v>2072</v>
      </c>
      <c r="AD13" s="1178">
        <f t="shared" si="2"/>
        <v>33482</v>
      </c>
      <c r="AE13" s="1599">
        <f>AD13/12</f>
        <v>2790.1666666666665</v>
      </c>
      <c r="AF13" s="1178">
        <f>SUM(AF14:AF14)</f>
        <v>2203</v>
      </c>
      <c r="AG13" s="1178">
        <v>3767</v>
      </c>
      <c r="AH13" s="2219">
        <v>3183</v>
      </c>
      <c r="AI13" s="1178">
        <v>6874</v>
      </c>
      <c r="AJ13" s="1178">
        <v>20443</v>
      </c>
      <c r="AK13" s="1178">
        <v>7464</v>
      </c>
      <c r="AL13" s="1178">
        <v>15766</v>
      </c>
      <c r="AM13" s="1178">
        <v>3785</v>
      </c>
      <c r="AN13" s="1178">
        <v>3255</v>
      </c>
      <c r="AO13" s="1178">
        <v>2841</v>
      </c>
      <c r="AP13" s="1178">
        <v>2533</v>
      </c>
      <c r="AQ13" s="1178">
        <v>3385</v>
      </c>
      <c r="AR13" s="2067">
        <f>SUM(AF13:AQ13)</f>
        <v>75499</v>
      </c>
      <c r="AS13" s="2067">
        <f>AVERAGE(AF13:AQ13)</f>
        <v>6291.583333333333</v>
      </c>
      <c r="AT13" s="2067">
        <f>HLOOKUP($C$2,$AF$2:$AQ$39,ROW()-1,0)-HLOOKUP($C$2,$BH$2:$BS$38,ROW()-1,0)</f>
        <v>385</v>
      </c>
      <c r="AU13" s="2070">
        <f>IFERROR(HLOOKUP($C$2,$AF$2:$AQ$39,ROW()-1,0)/HLOOKUP($C$2,$BH$2:$BS$38,ROW()-1,0),0)</f>
        <v>1.1283333333333334</v>
      </c>
      <c r="AV13" s="2067">
        <f>HLOOKUP($C$2,$AF$2:$AQ$39,ROW()-1,0)-HLOOKUP($C$2-1,$AF$2:$AQ$39,ROW()-1,1)</f>
        <v>852</v>
      </c>
      <c r="AW13" s="2067">
        <f>HLOOKUP($C$2,$AF$2:$AQ$39,ROW()-1,0)-HLOOKUP($C$2,$R$2:$AC$39,ROW()-1,0)</f>
        <v>1313</v>
      </c>
      <c r="AX13" s="2067">
        <f>AR13</f>
        <v>75499</v>
      </c>
      <c r="AY13" s="1195"/>
      <c r="AZ13" s="1195"/>
      <c r="BA13" s="2067">
        <f>AX13-SUM(R13:AC13)</f>
        <v>42017</v>
      </c>
      <c r="BB13" s="2067">
        <f t="shared" si="6"/>
        <v>6291.583333333333</v>
      </c>
      <c r="BC13" s="2205">
        <f t="shared" si="7"/>
        <v>3501.4166666666665</v>
      </c>
      <c r="BF13" s="1947" t="s">
        <v>357</v>
      </c>
      <c r="BG13" s="1180"/>
      <c r="BH13" s="519">
        <f>BH14</f>
        <v>10000</v>
      </c>
      <c r="BI13" s="1178">
        <f>BI14</f>
        <v>10000</v>
      </c>
      <c r="BJ13" s="1178">
        <v>5000</v>
      </c>
      <c r="BK13" s="1178">
        <v>5000</v>
      </c>
      <c r="BL13" s="1178">
        <v>5000</v>
      </c>
      <c r="BM13" s="1178">
        <v>15000</v>
      </c>
      <c r="BN13" s="1178">
        <v>10000</v>
      </c>
      <c r="BO13" s="1178">
        <v>5000</v>
      </c>
      <c r="BP13" s="1178">
        <v>10000</v>
      </c>
      <c r="BQ13" s="1178">
        <v>5000</v>
      </c>
      <c r="BR13" s="1178">
        <v>5000</v>
      </c>
      <c r="BS13" s="1178">
        <v>3000</v>
      </c>
      <c r="BT13" s="1178">
        <f t="shared" si="8"/>
        <v>88000</v>
      </c>
      <c r="BU13" s="1178">
        <f t="shared" si="13"/>
        <v>7333.333333333333</v>
      </c>
      <c r="BV13" s="519">
        <v>5000</v>
      </c>
      <c r="BW13" s="1178"/>
      <c r="BX13" s="1178"/>
      <c r="BY13" s="1178"/>
      <c r="BZ13" s="1178"/>
      <c r="CA13" s="1178"/>
      <c r="CB13" s="1178"/>
      <c r="CC13" s="1178"/>
      <c r="CD13" s="1178"/>
      <c r="CE13" s="1178"/>
      <c r="CF13" s="1178"/>
      <c r="CG13" s="1178"/>
      <c r="CH13" s="1178">
        <f t="shared" ref="CH13:CH14" si="20">SUM(BV13:CG13)</f>
        <v>5000</v>
      </c>
      <c r="CI13" s="1178">
        <f t="shared" ref="CI13:CI14" si="21">CH13/12</f>
        <v>416.66666666666669</v>
      </c>
    </row>
    <row r="14" spans="1:87" ht="16.5" customHeight="1" x14ac:dyDescent="0.55000000000000004">
      <c r="A14" s="1950"/>
      <c r="B14" s="1308"/>
      <c r="C14" s="1123" t="s">
        <v>314</v>
      </c>
      <c r="D14" s="1175">
        <v>921</v>
      </c>
      <c r="E14" s="1173">
        <v>1192</v>
      </c>
      <c r="F14" s="1173">
        <v>1144</v>
      </c>
      <c r="G14" s="1173">
        <v>864</v>
      </c>
      <c r="H14" s="1173">
        <v>868</v>
      </c>
      <c r="I14" s="1173">
        <v>801</v>
      </c>
      <c r="J14" s="1173">
        <v>971</v>
      </c>
      <c r="K14" s="1173">
        <v>2029</v>
      </c>
      <c r="L14" s="1173">
        <v>1546</v>
      </c>
      <c r="M14" s="1173">
        <v>1485</v>
      </c>
      <c r="N14" s="1173">
        <v>1634</v>
      </c>
      <c r="O14" s="1173">
        <v>1650</v>
      </c>
      <c r="P14" s="1173">
        <v>15105</v>
      </c>
      <c r="Q14" s="1174">
        <v>1258.75</v>
      </c>
      <c r="R14" s="1592">
        <v>2531</v>
      </c>
      <c r="S14" s="1173">
        <v>2487</v>
      </c>
      <c r="T14" s="1173">
        <v>3758</v>
      </c>
      <c r="U14" s="1173">
        <v>2975</v>
      </c>
      <c r="V14" s="1173">
        <v>3339</v>
      </c>
      <c r="W14" s="1173">
        <v>3070</v>
      </c>
      <c r="X14" s="1173">
        <v>3033</v>
      </c>
      <c r="Y14" s="1173">
        <v>2730</v>
      </c>
      <c r="Z14" s="1173">
        <v>2135</v>
      </c>
      <c r="AA14" s="1173">
        <v>2942</v>
      </c>
      <c r="AB14" s="1173">
        <v>2085</v>
      </c>
      <c r="AC14" s="1173">
        <v>2031</v>
      </c>
      <c r="AD14" s="1173">
        <f t="shared" si="2"/>
        <v>33116</v>
      </c>
      <c r="AE14" s="1597">
        <f>AD14/12</f>
        <v>2759.6666666666665</v>
      </c>
      <c r="AF14" s="1173">
        <v>2203</v>
      </c>
      <c r="AG14" s="1173">
        <v>3767</v>
      </c>
      <c r="AH14" s="2218">
        <v>3183</v>
      </c>
      <c r="AI14" s="1173">
        <v>6874</v>
      </c>
      <c r="AJ14" s="1173">
        <v>20443</v>
      </c>
      <c r="AK14" s="1173">
        <f>AK13</f>
        <v>7464</v>
      </c>
      <c r="AL14" s="1173">
        <v>15766</v>
      </c>
      <c r="AM14" s="1173">
        <v>3785</v>
      </c>
      <c r="AN14" s="1173">
        <v>3255</v>
      </c>
      <c r="AO14" s="1173">
        <v>2841</v>
      </c>
      <c r="AP14" s="1173">
        <v>2533</v>
      </c>
      <c r="AQ14" s="1173">
        <v>3385</v>
      </c>
      <c r="AR14" s="2071">
        <f>SUM(AF14:AQ14)</f>
        <v>75499</v>
      </c>
      <c r="AS14" s="2071">
        <f>AVERAGE(AF14:AQ14)</f>
        <v>6291.583333333333</v>
      </c>
      <c r="AT14" s="2071">
        <f>HLOOKUP($C$2,$AF$2:$AQ$39,ROW()-1,0)-HLOOKUP($C$2,$BH$2:$BS$38,ROW()-1,0)</f>
        <v>385</v>
      </c>
      <c r="AU14" s="2072">
        <f>IFERROR(HLOOKUP($C$2,$AF$2:$AQ$39,ROW()-1,0)/HLOOKUP($C$2,$BH$2:$BS$38,ROW()-1,0),0)</f>
        <v>1.1283333333333334</v>
      </c>
      <c r="AV14" s="2071">
        <f>HLOOKUP($C$2,$AF$2:$AQ$39,ROW()-1,0)-HLOOKUP($C$2-1,$AF$2:$AQ$39,ROW()-1,1)</f>
        <v>852</v>
      </c>
      <c r="AW14" s="2071">
        <f>HLOOKUP($C$2,$AF$2:$AQ$39,ROW()-1,0)-HLOOKUP($C$2,$R$2:$AC$39,ROW()-1,0)</f>
        <v>1354</v>
      </c>
      <c r="AX14" s="2071">
        <f>AR14</f>
        <v>75499</v>
      </c>
      <c r="AY14" s="1195"/>
      <c r="AZ14" s="1195"/>
      <c r="BA14" s="2279">
        <f>AX14-SUM(R14:AC14)</f>
        <v>42383</v>
      </c>
      <c r="BB14" s="2071">
        <f t="shared" si="6"/>
        <v>6291.583333333333</v>
      </c>
      <c r="BC14" s="2204">
        <f t="shared" si="7"/>
        <v>3531.9166666666665</v>
      </c>
      <c r="BF14" s="1172"/>
      <c r="BG14" s="1122" t="s">
        <v>314</v>
      </c>
      <c r="BH14" s="1602">
        <v>10000</v>
      </c>
      <c r="BI14" s="1306">
        <v>10000</v>
      </c>
      <c r="BJ14" s="1306">
        <v>5000</v>
      </c>
      <c r="BK14" s="1306">
        <v>5000</v>
      </c>
      <c r="BL14" s="1306">
        <v>5000</v>
      </c>
      <c r="BM14" s="1306">
        <v>15000</v>
      </c>
      <c r="BN14" s="1306">
        <v>10000</v>
      </c>
      <c r="BO14" s="1306">
        <v>5000</v>
      </c>
      <c r="BP14" s="1306">
        <v>10000</v>
      </c>
      <c r="BQ14" s="1306">
        <v>5000</v>
      </c>
      <c r="BR14" s="1306">
        <v>5000</v>
      </c>
      <c r="BS14" s="1306">
        <v>3000</v>
      </c>
      <c r="BT14" s="1306">
        <f t="shared" si="8"/>
        <v>88000</v>
      </c>
      <c r="BU14" s="1183">
        <f t="shared" si="13"/>
        <v>7333.333333333333</v>
      </c>
      <c r="BV14" s="1602">
        <v>5000</v>
      </c>
      <c r="BW14" s="1306"/>
      <c r="BX14" s="1306"/>
      <c r="BY14" s="1306"/>
      <c r="BZ14" s="1306"/>
      <c r="CA14" s="1306"/>
      <c r="CB14" s="1306"/>
      <c r="CC14" s="1306"/>
      <c r="CD14" s="1306"/>
      <c r="CE14" s="1306"/>
      <c r="CF14" s="1306"/>
      <c r="CG14" s="1306"/>
      <c r="CH14" s="1306">
        <f t="shared" si="20"/>
        <v>5000</v>
      </c>
      <c r="CI14" s="1183">
        <f t="shared" si="21"/>
        <v>416.66666666666669</v>
      </c>
    </row>
    <row r="15" spans="1:87" ht="16.5" customHeight="1" x14ac:dyDescent="0.55000000000000004">
      <c r="A15" s="1950"/>
      <c r="B15" s="1308"/>
      <c r="C15" s="1123" t="s">
        <v>354</v>
      </c>
      <c r="D15" s="1177"/>
      <c r="E15" s="1121"/>
      <c r="F15" s="1121"/>
      <c r="G15" s="1121"/>
      <c r="H15" s="1121"/>
      <c r="I15" s="1121">
        <v>1</v>
      </c>
      <c r="J15" s="1121"/>
      <c r="K15" s="1121"/>
      <c r="L15" s="1121"/>
      <c r="M15" s="1121"/>
      <c r="N15" s="1121"/>
      <c r="O15" s="1121"/>
      <c r="P15" s="1121">
        <v>1</v>
      </c>
      <c r="Q15" s="1176">
        <v>1</v>
      </c>
      <c r="R15" s="1188">
        <v>2</v>
      </c>
      <c r="S15" s="1121">
        <v>0</v>
      </c>
      <c r="T15" s="1121">
        <v>4</v>
      </c>
      <c r="U15" s="1121">
        <v>72</v>
      </c>
      <c r="V15" s="1121">
        <v>54</v>
      </c>
      <c r="W15" s="1121">
        <v>59</v>
      </c>
      <c r="X15" s="1121">
        <v>45</v>
      </c>
      <c r="Y15" s="1121">
        <v>25</v>
      </c>
      <c r="Z15" s="1121">
        <v>11</v>
      </c>
      <c r="AA15" s="1121">
        <v>19</v>
      </c>
      <c r="AB15" s="1121">
        <v>34</v>
      </c>
      <c r="AC15" s="1121">
        <v>41</v>
      </c>
      <c r="AD15" s="1121">
        <f t="shared" si="2"/>
        <v>366</v>
      </c>
      <c r="AE15" s="1598">
        <f>AD15/12</f>
        <v>30.5</v>
      </c>
      <c r="AF15" s="2132"/>
      <c r="AG15" s="2132"/>
      <c r="AH15" s="2244"/>
      <c r="AI15" s="2132"/>
      <c r="AJ15" s="2132"/>
      <c r="AK15" s="2132"/>
      <c r="AL15" s="2132"/>
      <c r="AM15" s="2132"/>
      <c r="AN15" s="2132"/>
      <c r="AO15" s="2132"/>
      <c r="AP15" s="2132"/>
      <c r="AQ15" s="2132"/>
      <c r="AR15" s="2245"/>
      <c r="AS15" s="2245"/>
      <c r="AT15" s="2245"/>
      <c r="AU15" s="2246"/>
      <c r="AV15" s="2245"/>
      <c r="AW15" s="2245"/>
      <c r="AX15" s="2245"/>
      <c r="AY15" s="2245"/>
      <c r="AZ15" s="2246"/>
      <c r="BA15" s="2245"/>
      <c r="BB15" s="2245"/>
      <c r="BC15" s="2247"/>
      <c r="BF15" s="1172"/>
      <c r="BG15" s="1122" t="s">
        <v>354</v>
      </c>
      <c r="BH15" s="2132"/>
      <c r="BI15" s="2132"/>
      <c r="BJ15" s="2244"/>
      <c r="BK15" s="2132"/>
      <c r="BL15" s="2132"/>
      <c r="BM15" s="2132"/>
      <c r="BN15" s="2132"/>
      <c r="BO15" s="2132"/>
      <c r="BP15" s="2132"/>
      <c r="BQ15" s="2132"/>
      <c r="BR15" s="2132"/>
      <c r="BS15" s="2132"/>
      <c r="BT15" s="2245"/>
      <c r="BU15" s="2245"/>
      <c r="BV15" s="2132"/>
      <c r="BW15" s="2132"/>
      <c r="BX15" s="2244"/>
      <c r="BY15" s="2132"/>
      <c r="BZ15" s="2132"/>
      <c r="CA15" s="2132"/>
      <c r="CB15" s="2132"/>
      <c r="CC15" s="2132"/>
      <c r="CD15" s="2132"/>
      <c r="CE15" s="2132"/>
      <c r="CF15" s="2132"/>
      <c r="CG15" s="2132"/>
      <c r="CH15" s="2245"/>
      <c r="CI15" s="2245"/>
    </row>
    <row r="16" spans="1:87" ht="21.55" customHeight="1" x14ac:dyDescent="0.55000000000000004">
      <c r="A16" s="1950"/>
      <c r="B16" s="1953" t="s">
        <v>442</v>
      </c>
      <c r="C16" s="1954"/>
      <c r="D16" s="519">
        <v>26</v>
      </c>
      <c r="E16" s="520">
        <v>32</v>
      </c>
      <c r="F16" s="520">
        <v>18</v>
      </c>
      <c r="G16" s="520">
        <v>8</v>
      </c>
      <c r="H16" s="520">
        <v>27</v>
      </c>
      <c r="I16" s="520">
        <v>33</v>
      </c>
      <c r="J16" s="520">
        <v>19</v>
      </c>
      <c r="K16" s="520">
        <v>30</v>
      </c>
      <c r="L16" s="520">
        <v>34</v>
      </c>
      <c r="M16" s="520">
        <v>60</v>
      </c>
      <c r="N16" s="520">
        <v>27</v>
      </c>
      <c r="O16" s="520">
        <v>27</v>
      </c>
      <c r="P16" s="520">
        <v>341</v>
      </c>
      <c r="Q16" s="1181">
        <v>28.416666666666668</v>
      </c>
      <c r="R16" s="1591">
        <v>86</v>
      </c>
      <c r="S16" s="1178">
        <v>52</v>
      </c>
      <c r="T16" s="1178">
        <v>145</v>
      </c>
      <c r="U16" s="1178">
        <v>161</v>
      </c>
      <c r="V16" s="1178">
        <v>261</v>
      </c>
      <c r="W16" s="1178">
        <v>196</v>
      </c>
      <c r="X16" s="1178">
        <v>103</v>
      </c>
      <c r="Y16" s="1178">
        <v>108</v>
      </c>
      <c r="Z16" s="1178">
        <v>63</v>
      </c>
      <c r="AA16" s="1178">
        <v>52</v>
      </c>
      <c r="AB16" s="1178">
        <v>69</v>
      </c>
      <c r="AC16" s="1178">
        <v>89</v>
      </c>
      <c r="AD16" s="1178">
        <f t="shared" ref="AD16:AD38" si="22">SUM(R16:AC16)</f>
        <v>1385</v>
      </c>
      <c r="AE16" s="1600">
        <f>AD16/12</f>
        <v>115.41666666666667</v>
      </c>
      <c r="AF16" s="1178">
        <f>SUM(AF17:AF18)</f>
        <v>38</v>
      </c>
      <c r="AG16" s="1178">
        <f>SUM(AG17:AG18)</f>
        <v>34</v>
      </c>
      <c r="AH16" s="2219">
        <v>124</v>
      </c>
      <c r="AI16" s="1178">
        <v>186</v>
      </c>
      <c r="AJ16" s="1178">
        <v>524</v>
      </c>
      <c r="AK16" s="1178">
        <v>316</v>
      </c>
      <c r="AL16" s="1178">
        <v>516</v>
      </c>
      <c r="AM16" s="1178">
        <v>200</v>
      </c>
      <c r="AN16" s="1178">
        <v>277</v>
      </c>
      <c r="AO16" s="1178">
        <v>190</v>
      </c>
      <c r="AP16" s="1178">
        <v>270</v>
      </c>
      <c r="AQ16" s="1178">
        <v>242</v>
      </c>
      <c r="AR16" s="2067">
        <f t="shared" si="12"/>
        <v>2917</v>
      </c>
      <c r="AS16" s="2067">
        <f t="shared" si="4"/>
        <v>243.08333333333334</v>
      </c>
      <c r="AT16" s="2067">
        <f>HLOOKUP($C$2,$AF$2:$AQ$39,ROW()-1,0)-HLOOKUP($C$2,$BH$2:$BS$38,ROW()-1,0)</f>
        <v>-8</v>
      </c>
      <c r="AU16" s="2070">
        <f>IFERROR(HLOOKUP($C$2,$AF$2:$AQ$39,ROW()-1,0)/HLOOKUP($C$2,$BH$2:$BS$38,ROW()-1,0),0)</f>
        <v>0.96799999999999997</v>
      </c>
      <c r="AV16" s="2067">
        <f>HLOOKUP($C$2,$AF$2:$AQ$39,ROW()-1,0)-HLOOKUP($C$2-1,$AF$2:$AQ$39,ROW()-1,1)</f>
        <v>-28</v>
      </c>
      <c r="AW16" s="2067">
        <f>HLOOKUP($C$2,$AF$2:$AQ$39,ROW()-1,0)-HLOOKUP($C$2,$R$2:$AC$39,ROW()-1,0)</f>
        <v>153</v>
      </c>
      <c r="AX16" s="2067">
        <f t="shared" si="5"/>
        <v>2917</v>
      </c>
      <c r="AY16" s="2202"/>
      <c r="AZ16" s="2203"/>
      <c r="BA16" s="2067">
        <f>AX16-SUM(R16:AC16)</f>
        <v>1532</v>
      </c>
      <c r="BB16" s="2067">
        <f t="shared" si="6"/>
        <v>243.08333333333334</v>
      </c>
      <c r="BC16" s="2205">
        <f t="shared" si="7"/>
        <v>127.66666666666667</v>
      </c>
      <c r="BF16" s="1947" t="s">
        <v>442</v>
      </c>
      <c r="BG16" s="1180"/>
      <c r="BH16" s="519">
        <v>200</v>
      </c>
      <c r="BI16" s="520">
        <v>100</v>
      </c>
      <c r="BJ16" s="520">
        <v>100</v>
      </c>
      <c r="BK16" s="520">
        <v>100</v>
      </c>
      <c r="BL16" s="520">
        <v>300</v>
      </c>
      <c r="BM16" s="520">
        <v>500</v>
      </c>
      <c r="BN16" s="520">
        <v>700</v>
      </c>
      <c r="BO16" s="520">
        <v>500</v>
      </c>
      <c r="BP16" s="520">
        <v>500</v>
      </c>
      <c r="BQ16" s="520">
        <v>500</v>
      </c>
      <c r="BR16" s="520">
        <v>250</v>
      </c>
      <c r="BS16" s="520">
        <v>250</v>
      </c>
      <c r="BT16" s="520">
        <f t="shared" si="8"/>
        <v>4000</v>
      </c>
      <c r="BU16" s="1181">
        <f t="shared" si="13"/>
        <v>333.33333333333331</v>
      </c>
      <c r="BV16" s="519">
        <v>1000</v>
      </c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>
        <f t="shared" ref="CH16:CH18" si="23">SUM(BV16:CG16)</f>
        <v>1000</v>
      </c>
      <c r="CI16" s="1181">
        <f t="shared" ref="CI16:CI18" si="24">CH16/12</f>
        <v>83.333333333333329</v>
      </c>
    </row>
    <row r="17" spans="1:87" ht="21.55" customHeight="1" x14ac:dyDescent="0.55000000000000004">
      <c r="A17" s="1950"/>
      <c r="B17" s="1415"/>
      <c r="C17" s="1605" t="s">
        <v>87</v>
      </c>
      <c r="D17" s="2128"/>
      <c r="E17" s="2129"/>
      <c r="F17" s="2129"/>
      <c r="G17" s="2129"/>
      <c r="H17" s="2129"/>
      <c r="I17" s="2129"/>
      <c r="J17" s="2129"/>
      <c r="K17" s="2129"/>
      <c r="L17" s="2129"/>
      <c r="M17" s="2129"/>
      <c r="N17" s="2129"/>
      <c r="O17" s="2129"/>
      <c r="P17" s="2129"/>
      <c r="Q17" s="2130"/>
      <c r="R17" s="1604">
        <v>5</v>
      </c>
      <c r="S17" s="1306">
        <v>1</v>
      </c>
      <c r="T17" s="1306">
        <v>6</v>
      </c>
      <c r="U17" s="1306">
        <v>20</v>
      </c>
      <c r="V17" s="1306">
        <v>26</v>
      </c>
      <c r="W17" s="1306">
        <v>14</v>
      </c>
      <c r="X17" s="1306">
        <v>12</v>
      </c>
      <c r="Y17" s="1306">
        <v>9</v>
      </c>
      <c r="Z17" s="1306">
        <v>3</v>
      </c>
      <c r="AA17" s="1306">
        <v>8</v>
      </c>
      <c r="AB17" s="1306">
        <v>14</v>
      </c>
      <c r="AC17" s="1306">
        <v>29.999999999999996</v>
      </c>
      <c r="AD17" s="1306">
        <f>SUM(R17:AC17)</f>
        <v>148</v>
      </c>
      <c r="AE17" s="1606">
        <f>AVERAGE(R17:AC17)</f>
        <v>12.333333333333334</v>
      </c>
      <c r="AF17" s="1306">
        <v>22</v>
      </c>
      <c r="AG17" s="1306">
        <v>19</v>
      </c>
      <c r="AH17" s="2220">
        <v>81</v>
      </c>
      <c r="AI17" s="1306">
        <v>124</v>
      </c>
      <c r="AJ17" s="1306">
        <v>311</v>
      </c>
      <c r="AK17" s="1306">
        <v>197</v>
      </c>
      <c r="AL17" s="1306">
        <v>293</v>
      </c>
      <c r="AM17" s="1306">
        <v>112</v>
      </c>
      <c r="AN17" s="1306">
        <v>151</v>
      </c>
      <c r="AO17" s="1306">
        <v>112</v>
      </c>
      <c r="AP17" s="1306">
        <v>145</v>
      </c>
      <c r="AQ17" s="1306">
        <v>130</v>
      </c>
      <c r="AR17" s="2068">
        <f t="shared" si="12"/>
        <v>1697</v>
      </c>
      <c r="AS17" s="2068">
        <f t="shared" si="4"/>
        <v>141.41666666666666</v>
      </c>
      <c r="AT17" s="2068">
        <f>HLOOKUP($C$2,$AF$2:$AQ$39,ROW()-1,0)-HLOOKUP($C$2,$BH$2:$BS$38,ROW()-1,0)</f>
        <v>5</v>
      </c>
      <c r="AU17" s="2069">
        <f>IFERROR(HLOOKUP($C$2,$AF$2:$AQ$39,ROW()-1,0)/HLOOKUP($C$2,$BH$2:$BS$38,ROW()-1,0),0)</f>
        <v>1.04</v>
      </c>
      <c r="AV17" s="2068">
        <f>HLOOKUP($C$2,$AF$2:$AQ$39,ROW()-1,0)-HLOOKUP($C$2-1,$AF$2:$AQ$39,ROW()-1,1)</f>
        <v>-15</v>
      </c>
      <c r="AW17" s="2068">
        <f>HLOOKUP($C$2,$AF$2:$AQ$39,ROW()-1,0)-HLOOKUP($C$2,$R$2:$AC$39,ROW()-1,0)</f>
        <v>100</v>
      </c>
      <c r="AX17" s="2068">
        <f t="shared" si="5"/>
        <v>1697</v>
      </c>
      <c r="AY17" s="2202"/>
      <c r="AZ17" s="2203"/>
      <c r="BA17" s="2068">
        <f>AX17-SUM(R17:AC17)</f>
        <v>1549</v>
      </c>
      <c r="BB17" s="2071">
        <f>AX17/($C$2-0.001)</f>
        <v>141.41666666666666</v>
      </c>
      <c r="BC17" s="2206">
        <f t="shared" si="7"/>
        <v>129.08333333333331</v>
      </c>
      <c r="BF17" s="1414"/>
      <c r="BG17" s="1605" t="s">
        <v>87</v>
      </c>
      <c r="BH17" s="1602">
        <v>95</v>
      </c>
      <c r="BI17" s="1439">
        <v>50</v>
      </c>
      <c r="BJ17" s="1439">
        <v>50</v>
      </c>
      <c r="BK17" s="1439">
        <v>50</v>
      </c>
      <c r="BL17" s="1439">
        <v>150</v>
      </c>
      <c r="BM17" s="1439">
        <v>250</v>
      </c>
      <c r="BN17" s="1439">
        <v>350</v>
      </c>
      <c r="BO17" s="1439">
        <v>250</v>
      </c>
      <c r="BP17" s="1439">
        <v>250</v>
      </c>
      <c r="BQ17" s="1439">
        <v>250</v>
      </c>
      <c r="BR17" s="1439">
        <v>125</v>
      </c>
      <c r="BS17" s="1439">
        <v>125</v>
      </c>
      <c r="BT17" s="1439">
        <f t="shared" si="8"/>
        <v>1995</v>
      </c>
      <c r="BU17" s="1603">
        <f t="shared" si="13"/>
        <v>166.25</v>
      </c>
      <c r="BV17" s="1602">
        <v>500</v>
      </c>
      <c r="BW17" s="1439"/>
      <c r="BX17" s="1439"/>
      <c r="BY17" s="1439"/>
      <c r="BZ17" s="1439"/>
      <c r="CA17" s="1439"/>
      <c r="CB17" s="1439"/>
      <c r="CC17" s="1439"/>
      <c r="CD17" s="1439"/>
      <c r="CE17" s="1439"/>
      <c r="CF17" s="1439"/>
      <c r="CG17" s="1439"/>
      <c r="CH17" s="1439">
        <f t="shared" si="23"/>
        <v>500</v>
      </c>
      <c r="CI17" s="1603">
        <f t="shared" si="24"/>
        <v>41.666666666666664</v>
      </c>
    </row>
    <row r="18" spans="1:87" ht="21.55" customHeight="1" x14ac:dyDescent="0.55000000000000004">
      <c r="A18" s="1950"/>
      <c r="B18" s="1415"/>
      <c r="C18" s="1123" t="s">
        <v>88</v>
      </c>
      <c r="D18" s="2128"/>
      <c r="E18" s="2129"/>
      <c r="F18" s="2129"/>
      <c r="G18" s="2129"/>
      <c r="H18" s="2129"/>
      <c r="I18" s="2129"/>
      <c r="J18" s="2129"/>
      <c r="K18" s="2129"/>
      <c r="L18" s="2129"/>
      <c r="M18" s="2129"/>
      <c r="N18" s="2129"/>
      <c r="O18" s="2129"/>
      <c r="P18" s="2129"/>
      <c r="Q18" s="2130"/>
      <c r="R18" s="1604">
        <v>5</v>
      </c>
      <c r="S18" s="1306">
        <v>1</v>
      </c>
      <c r="T18" s="1306">
        <v>5</v>
      </c>
      <c r="U18" s="1306">
        <v>13</v>
      </c>
      <c r="V18" s="1306">
        <v>24</v>
      </c>
      <c r="W18" s="1306">
        <v>14</v>
      </c>
      <c r="X18" s="1306">
        <v>11</v>
      </c>
      <c r="Y18" s="1306">
        <v>7</v>
      </c>
      <c r="Z18" s="1306">
        <v>3</v>
      </c>
      <c r="AA18" s="1306">
        <v>9</v>
      </c>
      <c r="AB18" s="1306">
        <v>12</v>
      </c>
      <c r="AC18" s="1306">
        <v>22</v>
      </c>
      <c r="AD18" s="1306">
        <f>SUM(R18:AC18)</f>
        <v>126</v>
      </c>
      <c r="AE18" s="1606">
        <f>AVERAGE(R18:AC18)</f>
        <v>10.5</v>
      </c>
      <c r="AF18" s="1306">
        <v>16</v>
      </c>
      <c r="AG18" s="1306">
        <v>15</v>
      </c>
      <c r="AH18" s="2220">
        <v>43</v>
      </c>
      <c r="AI18" s="1306">
        <v>62</v>
      </c>
      <c r="AJ18" s="1306">
        <v>213</v>
      </c>
      <c r="AK18" s="1306">
        <v>119</v>
      </c>
      <c r="AL18" s="1306">
        <v>223</v>
      </c>
      <c r="AM18" s="1306">
        <v>88</v>
      </c>
      <c r="AN18" s="1306">
        <v>126</v>
      </c>
      <c r="AO18" s="1306">
        <v>78</v>
      </c>
      <c r="AP18" s="1306">
        <v>125</v>
      </c>
      <c r="AQ18" s="1306">
        <v>112</v>
      </c>
      <c r="AR18" s="2068">
        <f t="shared" si="12"/>
        <v>1220</v>
      </c>
      <c r="AS18" s="2068">
        <f t="shared" si="4"/>
        <v>101.66666666666667</v>
      </c>
      <c r="AT18" s="2068">
        <f>HLOOKUP($C$2,$AF$2:$AQ$39,ROW()-1,0)-HLOOKUP($C$2,$BH$2:$BS$38,ROW()-1,0)</f>
        <v>-13</v>
      </c>
      <c r="AU18" s="2069">
        <f>IFERROR(HLOOKUP($C$2,$AF$2:$AQ$39,ROW()-1,0)/HLOOKUP($C$2,$BH$2:$BS$38,ROW()-1,0),0)</f>
        <v>0.89600000000000002</v>
      </c>
      <c r="AV18" s="2068">
        <f>HLOOKUP($C$2,$AF$2:$AQ$39,ROW()-1,0)-HLOOKUP($C$2-1,$AF$2:$AQ$39,ROW()-1,1)</f>
        <v>-13</v>
      </c>
      <c r="AW18" s="2068">
        <f>HLOOKUP($C$2,$AF$2:$AQ$39,ROW()-1,0)-HLOOKUP($C$2,$R$2:$AC$39,ROW()-1,0)</f>
        <v>90</v>
      </c>
      <c r="AX18" s="2068">
        <f t="shared" si="5"/>
        <v>1220</v>
      </c>
      <c r="AY18" s="2202"/>
      <c r="AZ18" s="2203"/>
      <c r="BA18" s="2068">
        <f>AX18-SUM(R18:AC18)</f>
        <v>1094</v>
      </c>
      <c r="BB18" s="2071">
        <f t="shared" si="6"/>
        <v>101.66666666666667</v>
      </c>
      <c r="BC18" s="2206">
        <f t="shared" si="7"/>
        <v>91.166666666666671</v>
      </c>
      <c r="BF18" s="1414"/>
      <c r="BG18" s="1123" t="s">
        <v>88</v>
      </c>
      <c r="BH18" s="1602">
        <v>105</v>
      </c>
      <c r="BI18" s="1439">
        <v>50</v>
      </c>
      <c r="BJ18" s="1439">
        <v>50</v>
      </c>
      <c r="BK18" s="1439">
        <v>50</v>
      </c>
      <c r="BL18" s="1439">
        <v>150</v>
      </c>
      <c r="BM18" s="1439">
        <v>250</v>
      </c>
      <c r="BN18" s="1439">
        <v>350</v>
      </c>
      <c r="BO18" s="1439">
        <v>250</v>
      </c>
      <c r="BP18" s="1439">
        <v>250</v>
      </c>
      <c r="BQ18" s="1439">
        <v>250</v>
      </c>
      <c r="BR18" s="1439">
        <v>125</v>
      </c>
      <c r="BS18" s="1439">
        <v>125</v>
      </c>
      <c r="BT18" s="1439">
        <f t="shared" si="8"/>
        <v>2005</v>
      </c>
      <c r="BU18" s="1603">
        <f t="shared" si="13"/>
        <v>167.08333333333334</v>
      </c>
      <c r="BV18" s="1602">
        <v>500</v>
      </c>
      <c r="BW18" s="1439"/>
      <c r="BX18" s="1439"/>
      <c r="BY18" s="1439"/>
      <c r="BZ18" s="1439"/>
      <c r="CA18" s="1439"/>
      <c r="CB18" s="1439"/>
      <c r="CC18" s="1439"/>
      <c r="CD18" s="1439"/>
      <c r="CE18" s="1439"/>
      <c r="CF18" s="1439"/>
      <c r="CG18" s="1439"/>
      <c r="CH18" s="1439">
        <f t="shared" si="23"/>
        <v>500</v>
      </c>
      <c r="CI18" s="1603">
        <f t="shared" si="24"/>
        <v>41.666666666666664</v>
      </c>
    </row>
    <row r="19" spans="1:87" ht="21.55" customHeight="1" x14ac:dyDescent="0.55000000000000004">
      <c r="A19" s="1950"/>
      <c r="B19" s="1415"/>
      <c r="C19" s="1605" t="s">
        <v>67</v>
      </c>
      <c r="D19" s="2128"/>
      <c r="E19" s="2129"/>
      <c r="F19" s="2129"/>
      <c r="G19" s="2129"/>
      <c r="H19" s="2129"/>
      <c r="I19" s="2129"/>
      <c r="J19" s="2129"/>
      <c r="K19" s="2129"/>
      <c r="L19" s="2129"/>
      <c r="M19" s="2129"/>
      <c r="N19" s="2129"/>
      <c r="O19" s="2129"/>
      <c r="P19" s="2129"/>
      <c r="Q19" s="2130"/>
      <c r="R19" s="1592">
        <v>0</v>
      </c>
      <c r="S19" s="1173">
        <v>0</v>
      </c>
      <c r="T19" s="1173">
        <v>0</v>
      </c>
      <c r="U19" s="1173">
        <v>0</v>
      </c>
      <c r="V19" s="1173">
        <v>0</v>
      </c>
      <c r="W19" s="1173">
        <v>0</v>
      </c>
      <c r="X19" s="1173">
        <v>0</v>
      </c>
      <c r="Y19" s="1173">
        <v>0</v>
      </c>
      <c r="Z19" s="1173">
        <v>0</v>
      </c>
      <c r="AA19" s="1173">
        <v>0</v>
      </c>
      <c r="AB19" s="1173">
        <v>0</v>
      </c>
      <c r="AC19" s="1173">
        <v>0</v>
      </c>
      <c r="AD19" s="1173">
        <f>SUM(R19:AC19)</f>
        <v>0</v>
      </c>
      <c r="AE19" s="1601">
        <f>AVERAGE(R19:AC19)</f>
        <v>0</v>
      </c>
      <c r="AF19" s="2132"/>
      <c r="AG19" s="2132"/>
      <c r="AH19" s="2244"/>
      <c r="AI19" s="2132"/>
      <c r="AJ19" s="2132"/>
      <c r="AK19" s="2132"/>
      <c r="AL19" s="2132"/>
      <c r="AM19" s="2132"/>
      <c r="AN19" s="2132"/>
      <c r="AO19" s="2132"/>
      <c r="AP19" s="2132"/>
      <c r="AQ19" s="2132"/>
      <c r="AR19" s="2245"/>
      <c r="AS19" s="2245"/>
      <c r="AT19" s="2245"/>
      <c r="AU19" s="2246"/>
      <c r="AV19" s="2245"/>
      <c r="AW19" s="2245"/>
      <c r="AX19" s="2245"/>
      <c r="AY19" s="2245"/>
      <c r="AZ19" s="2246"/>
      <c r="BA19" s="2245"/>
      <c r="BB19" s="2245"/>
      <c r="BC19" s="2247"/>
      <c r="BF19" s="1414"/>
      <c r="BG19" s="1605" t="s">
        <v>67</v>
      </c>
      <c r="BH19" s="2132"/>
      <c r="BI19" s="2132"/>
      <c r="BJ19" s="2244"/>
      <c r="BK19" s="2132"/>
      <c r="BL19" s="2132"/>
      <c r="BM19" s="2132"/>
      <c r="BN19" s="2132"/>
      <c r="BO19" s="2132"/>
      <c r="BP19" s="2132"/>
      <c r="BQ19" s="2132"/>
      <c r="BR19" s="2132"/>
      <c r="BS19" s="2132"/>
      <c r="BT19" s="2245"/>
      <c r="BU19" s="2245"/>
      <c r="BV19" s="2132"/>
      <c r="BW19" s="2132"/>
      <c r="BX19" s="2244"/>
      <c r="BY19" s="2132"/>
      <c r="BZ19" s="2132"/>
      <c r="CA19" s="2132"/>
      <c r="CB19" s="2132"/>
      <c r="CC19" s="2132"/>
      <c r="CD19" s="2132"/>
      <c r="CE19" s="2132"/>
      <c r="CF19" s="2132"/>
      <c r="CG19" s="2132"/>
      <c r="CH19" s="2245"/>
      <c r="CI19" s="2245"/>
    </row>
    <row r="20" spans="1:87" ht="21.75" customHeight="1" x14ac:dyDescent="0.55000000000000004">
      <c r="A20" s="1950"/>
      <c r="B20" s="1308"/>
      <c r="C20" s="1605" t="s">
        <v>1051</v>
      </c>
      <c r="D20" s="1182">
        <v>12</v>
      </c>
      <c r="E20" s="776">
        <v>7</v>
      </c>
      <c r="F20" s="776">
        <v>2</v>
      </c>
      <c r="G20" s="776">
        <v>2</v>
      </c>
      <c r="H20" s="776">
        <v>0</v>
      </c>
      <c r="I20" s="776">
        <v>6</v>
      </c>
      <c r="J20" s="776">
        <v>0</v>
      </c>
      <c r="K20" s="776">
        <v>0</v>
      </c>
      <c r="L20" s="776">
        <v>0</v>
      </c>
      <c r="M20" s="776">
        <v>0</v>
      </c>
      <c r="N20" s="776">
        <v>0</v>
      </c>
      <c r="O20" s="776">
        <v>1</v>
      </c>
      <c r="P20" s="1439">
        <v>30</v>
      </c>
      <c r="Q20" s="1183">
        <v>2.5</v>
      </c>
      <c r="R20" s="1592">
        <v>10</v>
      </c>
      <c r="S20" s="1173">
        <v>2</v>
      </c>
      <c r="T20" s="1173">
        <v>11</v>
      </c>
      <c r="U20" s="1173">
        <v>33</v>
      </c>
      <c r="V20" s="1173">
        <v>50</v>
      </c>
      <c r="W20" s="1173">
        <v>28</v>
      </c>
      <c r="X20" s="1173">
        <v>22</v>
      </c>
      <c r="Y20" s="1173">
        <v>16</v>
      </c>
      <c r="Z20" s="1173">
        <v>6</v>
      </c>
      <c r="AA20" s="1173">
        <v>16</v>
      </c>
      <c r="AB20" s="1173">
        <v>26</v>
      </c>
      <c r="AC20" s="1173">
        <v>52</v>
      </c>
      <c r="AD20" s="1173">
        <f t="shared" si="22"/>
        <v>272</v>
      </c>
      <c r="AE20" s="1601">
        <f t="shared" si="19"/>
        <v>22.666666666666668</v>
      </c>
      <c r="AF20" s="1173">
        <f>AF17+AF18</f>
        <v>38</v>
      </c>
      <c r="AG20" s="1173">
        <f>AG16</f>
        <v>34</v>
      </c>
      <c r="AH20" s="2218">
        <v>124</v>
      </c>
      <c r="AI20" s="1173">
        <v>186</v>
      </c>
      <c r="AJ20" s="1173">
        <v>524</v>
      </c>
      <c r="AK20" s="1173">
        <f>AK16</f>
        <v>316</v>
      </c>
      <c r="AL20" s="1173">
        <v>516</v>
      </c>
      <c r="AM20" s="1173">
        <v>200</v>
      </c>
      <c r="AN20" s="1173">
        <v>277</v>
      </c>
      <c r="AO20" s="1173">
        <v>190</v>
      </c>
      <c r="AP20" s="1173">
        <v>270</v>
      </c>
      <c r="AQ20" s="1173">
        <v>242</v>
      </c>
      <c r="AR20" s="2071">
        <f t="shared" si="12"/>
        <v>2917</v>
      </c>
      <c r="AS20" s="2071">
        <f t="shared" si="4"/>
        <v>243.08333333333334</v>
      </c>
      <c r="AT20" s="2071">
        <f>HLOOKUP($C$2,$AF$2:$AQ$39,ROW()-1,0)-HLOOKUP($C$2,$BH$2:$BS$38,ROW()-1,0)</f>
        <v>-8</v>
      </c>
      <c r="AU20" s="2072">
        <f>IFERROR(HLOOKUP($C$2,$R$2:$AC$39,ROW()-1,0)/HLOOKUP($C$2,$BH$2:$BS$38,ROW()-1,0),0)</f>
        <v>0.20799999999999999</v>
      </c>
      <c r="AV20" s="2071">
        <f>HLOOKUP($C$2,$AF$2:$AQ$39,ROW()-1,0)-HLOOKUP($C$2-1,$AF$2:$AQ$39,ROW()-1,1)</f>
        <v>-28</v>
      </c>
      <c r="AW20" s="2071">
        <f>HLOOKUP($C$2,$AF$2:$AQ$39,ROW()-1,0)-HLOOKUP($C$2,$R$2:$AC$39,ROW()-1,0)</f>
        <v>190</v>
      </c>
      <c r="AX20" s="2071">
        <f t="shared" si="5"/>
        <v>2917</v>
      </c>
      <c r="AY20" s="2202"/>
      <c r="AZ20" s="2203"/>
      <c r="BA20" s="2071">
        <f>AX20-SUM(R20:AC20)</f>
        <v>2645</v>
      </c>
      <c r="BB20" s="2071">
        <f t="shared" ref="BB20:BB39" si="25">AX20/($C$2-0.001)</f>
        <v>243.08333333333334</v>
      </c>
      <c r="BC20" s="2204">
        <f t="shared" si="7"/>
        <v>220.41666666666669</v>
      </c>
      <c r="BF20" s="1172"/>
      <c r="BG20" s="1957" t="s">
        <v>778</v>
      </c>
      <c r="BH20" s="519">
        <f>BH16</f>
        <v>200</v>
      </c>
      <c r="BI20" s="520">
        <f>BI16</f>
        <v>100</v>
      </c>
      <c r="BJ20" s="520">
        <v>100</v>
      </c>
      <c r="BK20" s="520">
        <v>100</v>
      </c>
      <c r="BL20" s="520">
        <v>300</v>
      </c>
      <c r="BM20" s="520">
        <v>500</v>
      </c>
      <c r="BN20" s="520">
        <f>BN16</f>
        <v>700</v>
      </c>
      <c r="BO20" s="520">
        <v>500</v>
      </c>
      <c r="BP20" s="520">
        <v>500</v>
      </c>
      <c r="BQ20" s="520">
        <v>500</v>
      </c>
      <c r="BR20" s="520">
        <v>250</v>
      </c>
      <c r="BS20" s="520">
        <v>250</v>
      </c>
      <c r="BT20" s="520">
        <f t="shared" si="8"/>
        <v>4000</v>
      </c>
      <c r="BU20" s="1181">
        <f t="shared" si="13"/>
        <v>333.33333333333331</v>
      </c>
      <c r="BV20" s="519">
        <v>1000</v>
      </c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>
        <f t="shared" ref="CH20:CH21" si="26">SUM(BV20:CG20)</f>
        <v>1000</v>
      </c>
      <c r="CI20" s="1181">
        <f t="shared" ref="CI20:CI21" si="27">CH20/12</f>
        <v>83.333333333333329</v>
      </c>
    </row>
    <row r="21" spans="1:87" ht="21.75" customHeight="1" x14ac:dyDescent="0.55000000000000004">
      <c r="A21" s="1950"/>
      <c r="B21" s="1308"/>
      <c r="C21" s="1123" t="s">
        <v>779</v>
      </c>
      <c r="D21" s="1182">
        <v>14</v>
      </c>
      <c r="E21" s="776">
        <v>25</v>
      </c>
      <c r="F21" s="776">
        <v>16</v>
      </c>
      <c r="G21" s="776">
        <v>6</v>
      </c>
      <c r="H21" s="776">
        <v>27</v>
      </c>
      <c r="I21" s="776">
        <v>27</v>
      </c>
      <c r="J21" s="776">
        <v>19</v>
      </c>
      <c r="K21" s="776">
        <v>30</v>
      </c>
      <c r="L21" s="776">
        <v>34</v>
      </c>
      <c r="M21" s="776">
        <v>60</v>
      </c>
      <c r="N21" s="776">
        <v>27</v>
      </c>
      <c r="O21" s="776">
        <v>26</v>
      </c>
      <c r="P21" s="1439">
        <v>311</v>
      </c>
      <c r="Q21" s="1183">
        <v>25.916666666666668</v>
      </c>
      <c r="R21" s="1592">
        <v>76</v>
      </c>
      <c r="S21" s="1173">
        <v>50</v>
      </c>
      <c r="T21" s="1173">
        <v>134</v>
      </c>
      <c r="U21" s="1173">
        <v>128</v>
      </c>
      <c r="V21" s="1173">
        <v>211</v>
      </c>
      <c r="W21" s="1173">
        <v>168</v>
      </c>
      <c r="X21" s="1173">
        <v>81</v>
      </c>
      <c r="Y21" s="1173">
        <v>92</v>
      </c>
      <c r="Z21" s="1173">
        <v>57</v>
      </c>
      <c r="AA21" s="1173">
        <v>36</v>
      </c>
      <c r="AB21" s="1173">
        <v>43</v>
      </c>
      <c r="AC21" s="1173">
        <v>37</v>
      </c>
      <c r="AD21" s="1173">
        <f t="shared" si="22"/>
        <v>1113</v>
      </c>
      <c r="AE21" s="1601">
        <f t="shared" si="19"/>
        <v>92.75</v>
      </c>
      <c r="AF21" s="2132"/>
      <c r="AG21" s="2132"/>
      <c r="AH21" s="2244"/>
      <c r="AI21" s="2132"/>
      <c r="AJ21" s="2132"/>
      <c r="AK21" s="2132"/>
      <c r="AL21" s="2132"/>
      <c r="AM21" s="2132"/>
      <c r="AN21" s="2132"/>
      <c r="AO21" s="2132"/>
      <c r="AP21" s="2132"/>
      <c r="AQ21" s="2132"/>
      <c r="AR21" s="2245"/>
      <c r="AS21" s="2245"/>
      <c r="AT21" s="2245"/>
      <c r="AU21" s="2246"/>
      <c r="AV21" s="2245"/>
      <c r="AW21" s="2245"/>
      <c r="AX21" s="2245"/>
      <c r="AY21" s="2245"/>
      <c r="AZ21" s="2246"/>
      <c r="BA21" s="2245"/>
      <c r="BB21" s="2245"/>
      <c r="BC21" s="2247"/>
      <c r="BF21" s="1172"/>
      <c r="BG21" s="1122" t="s">
        <v>779</v>
      </c>
      <c r="BH21" s="1182"/>
      <c r="BI21" s="776"/>
      <c r="BJ21" s="776"/>
      <c r="BK21" s="776"/>
      <c r="BL21" s="776"/>
      <c r="BM21" s="776"/>
      <c r="BN21" s="776"/>
      <c r="BO21" s="776"/>
      <c r="BP21" s="776"/>
      <c r="BQ21" s="776"/>
      <c r="BR21" s="776"/>
      <c r="BS21" s="776"/>
      <c r="BT21" s="1439">
        <f t="shared" si="8"/>
        <v>0</v>
      </c>
      <c r="BU21" s="1183">
        <f t="shared" si="13"/>
        <v>0</v>
      </c>
      <c r="BV21" s="1182"/>
      <c r="BW21" s="776"/>
      <c r="BX21" s="776"/>
      <c r="BY21" s="776"/>
      <c r="BZ21" s="776"/>
      <c r="CA21" s="776"/>
      <c r="CB21" s="776"/>
      <c r="CC21" s="776"/>
      <c r="CD21" s="776"/>
      <c r="CE21" s="776"/>
      <c r="CF21" s="776"/>
      <c r="CG21" s="776"/>
      <c r="CH21" s="1439">
        <f t="shared" si="26"/>
        <v>0</v>
      </c>
      <c r="CI21" s="1183">
        <f t="shared" si="27"/>
        <v>0</v>
      </c>
    </row>
    <row r="22" spans="1:87" ht="21.65" customHeight="1" x14ac:dyDescent="0.55000000000000004">
      <c r="A22" s="1950"/>
      <c r="B22" s="1953" t="s">
        <v>355</v>
      </c>
      <c r="C22" s="1954"/>
      <c r="D22" s="1184">
        <v>81</v>
      </c>
      <c r="E22" s="1185">
        <v>228</v>
      </c>
      <c r="F22" s="1185">
        <v>86</v>
      </c>
      <c r="G22" s="1185">
        <v>67</v>
      </c>
      <c r="H22" s="1185">
        <v>44</v>
      </c>
      <c r="I22" s="1185">
        <v>37</v>
      </c>
      <c r="J22" s="1185">
        <v>31</v>
      </c>
      <c r="K22" s="1185">
        <v>179</v>
      </c>
      <c r="L22" s="1185">
        <v>37</v>
      </c>
      <c r="M22" s="1185">
        <v>5</v>
      </c>
      <c r="N22" s="1185">
        <v>1</v>
      </c>
      <c r="O22" s="1185">
        <v>1</v>
      </c>
      <c r="P22" s="1185">
        <v>797</v>
      </c>
      <c r="Q22" s="1186">
        <v>66.416666666666671</v>
      </c>
      <c r="R22" s="1591">
        <v>71</v>
      </c>
      <c r="S22" s="1178">
        <v>116</v>
      </c>
      <c r="T22" s="1178">
        <v>190</v>
      </c>
      <c r="U22" s="1178">
        <v>96</v>
      </c>
      <c r="V22" s="1178">
        <v>100</v>
      </c>
      <c r="W22" s="1178">
        <v>100</v>
      </c>
      <c r="X22" s="1178">
        <v>44</v>
      </c>
      <c r="Y22" s="1178">
        <v>113</v>
      </c>
      <c r="Z22" s="1178">
        <v>13</v>
      </c>
      <c r="AA22" s="1178">
        <v>4</v>
      </c>
      <c r="AB22" s="1178">
        <v>147</v>
      </c>
      <c r="AC22" s="1178">
        <v>109</v>
      </c>
      <c r="AD22" s="1178">
        <f t="shared" si="22"/>
        <v>1103</v>
      </c>
      <c r="AE22" s="1599">
        <f t="shared" si="19"/>
        <v>91.916666666666671</v>
      </c>
      <c r="AF22" s="2132"/>
      <c r="AG22" s="2132"/>
      <c r="AH22" s="2244"/>
      <c r="AI22" s="2132"/>
      <c r="AJ22" s="2132"/>
      <c r="AK22" s="2132"/>
      <c r="AL22" s="2132"/>
      <c r="AM22" s="2132"/>
      <c r="AN22" s="2132"/>
      <c r="AO22" s="2132"/>
      <c r="AP22" s="2132"/>
      <c r="AQ22" s="2132"/>
      <c r="AR22" s="2245"/>
      <c r="AS22" s="2245"/>
      <c r="AT22" s="2245"/>
      <c r="AU22" s="2246"/>
      <c r="AV22" s="2245"/>
      <c r="AW22" s="2245"/>
      <c r="AX22" s="2245"/>
      <c r="AY22" s="2245"/>
      <c r="AZ22" s="2246"/>
      <c r="BA22" s="2245"/>
      <c r="BB22" s="2245"/>
      <c r="BC22" s="2247"/>
      <c r="BF22" s="1947" t="s">
        <v>355</v>
      </c>
      <c r="BG22" s="1180"/>
      <c r="BH22" s="1438"/>
      <c r="BI22" s="1438"/>
      <c r="BJ22" s="1438"/>
      <c r="BK22" s="1438"/>
      <c r="BL22" s="1438"/>
      <c r="BM22" s="1438"/>
      <c r="BN22" s="1438"/>
      <c r="BO22" s="1438"/>
      <c r="BP22" s="1438"/>
      <c r="BQ22" s="1438"/>
      <c r="BR22" s="1438"/>
      <c r="BS22" s="1438"/>
      <c r="BT22" s="1438"/>
      <c r="BU22" s="1438"/>
      <c r="BV22" s="1438"/>
      <c r="BW22" s="1438"/>
      <c r="BX22" s="1438"/>
      <c r="BY22" s="1438"/>
      <c r="BZ22" s="1438"/>
      <c r="CA22" s="1438"/>
      <c r="CB22" s="1438"/>
      <c r="CC22" s="1438"/>
      <c r="CD22" s="1438"/>
      <c r="CE22" s="1438"/>
      <c r="CF22" s="1438"/>
      <c r="CG22" s="1438"/>
      <c r="CH22" s="1438"/>
      <c r="CI22" s="1438"/>
    </row>
    <row r="23" spans="1:87" ht="21.75" customHeight="1" x14ac:dyDescent="0.55000000000000004">
      <c r="A23" s="1950"/>
      <c r="B23" s="1955" t="s">
        <v>356</v>
      </c>
      <c r="C23" s="1956"/>
      <c r="D23" s="1438"/>
      <c r="E23" s="1438"/>
      <c r="F23" s="1438"/>
      <c r="G23" s="1438"/>
      <c r="H23" s="1438"/>
      <c r="I23" s="1438"/>
      <c r="J23" s="1438"/>
      <c r="K23" s="1438"/>
      <c r="L23" s="1438"/>
      <c r="M23" s="1438"/>
      <c r="N23" s="1438"/>
      <c r="O23" s="1438"/>
      <c r="P23" s="1438"/>
      <c r="Q23" s="1438"/>
      <c r="R23" s="1591">
        <v>3939</v>
      </c>
      <c r="S23" s="1178">
        <v>4644</v>
      </c>
      <c r="T23" s="1178">
        <v>3292</v>
      </c>
      <c r="U23" s="1178">
        <v>2954</v>
      </c>
      <c r="V23" s="1178">
        <v>2871</v>
      </c>
      <c r="W23" s="1178">
        <v>2630</v>
      </c>
      <c r="X23" s="1178">
        <v>4884</v>
      </c>
      <c r="Y23" s="1178">
        <v>2924</v>
      </c>
      <c r="Z23" s="1178">
        <v>4049</v>
      </c>
      <c r="AA23" s="1178">
        <v>3967</v>
      </c>
      <c r="AB23" s="1178">
        <v>2400</v>
      </c>
      <c r="AC23" s="1178">
        <v>1938</v>
      </c>
      <c r="AD23" s="1178">
        <f t="shared" si="22"/>
        <v>40492</v>
      </c>
      <c r="AE23" s="1599">
        <f t="shared" si="19"/>
        <v>3374.3333333333335</v>
      </c>
      <c r="AF23" s="2132"/>
      <c r="AG23" s="2132"/>
      <c r="AH23" s="2244"/>
      <c r="AI23" s="2132"/>
      <c r="AJ23" s="2132"/>
      <c r="AK23" s="2132"/>
      <c r="AL23" s="2132"/>
      <c r="AM23" s="2132"/>
      <c r="AN23" s="2132"/>
      <c r="AO23" s="2132"/>
      <c r="AP23" s="2132"/>
      <c r="AQ23" s="2132"/>
      <c r="AR23" s="2245"/>
      <c r="AS23" s="2245"/>
      <c r="AT23" s="2245"/>
      <c r="AU23" s="2246"/>
      <c r="AV23" s="2245"/>
      <c r="AW23" s="2245"/>
      <c r="AX23" s="2245"/>
      <c r="AY23" s="2245"/>
      <c r="AZ23" s="2246"/>
      <c r="BA23" s="2245"/>
      <c r="BB23" s="2245"/>
      <c r="BC23" s="2247"/>
      <c r="BF23" s="1948" t="s">
        <v>356</v>
      </c>
      <c r="BG23" s="1187"/>
      <c r="BH23" s="1438"/>
      <c r="BI23" s="1438"/>
      <c r="BJ23" s="1438"/>
      <c r="BK23" s="1438"/>
      <c r="BL23" s="1438"/>
      <c r="BM23" s="1438"/>
      <c r="BN23" s="1438"/>
      <c r="BO23" s="1438"/>
      <c r="BP23" s="1438"/>
      <c r="BQ23" s="1438"/>
      <c r="BR23" s="1438"/>
      <c r="BS23" s="1438"/>
      <c r="BT23" s="1438"/>
      <c r="BU23" s="1438"/>
      <c r="BV23" s="1438"/>
      <c r="BW23" s="1438"/>
      <c r="BX23" s="1438"/>
      <c r="BY23" s="1438"/>
      <c r="BZ23" s="1438"/>
      <c r="CA23" s="1438"/>
      <c r="CB23" s="1438"/>
      <c r="CC23" s="1438"/>
      <c r="CD23" s="1438"/>
      <c r="CE23" s="1438"/>
      <c r="CF23" s="1438"/>
      <c r="CG23" s="1438"/>
      <c r="CH23" s="1438"/>
      <c r="CI23" s="1438"/>
    </row>
    <row r="24" spans="1:87" ht="21.75" customHeight="1" x14ac:dyDescent="0.55000000000000004">
      <c r="A24" s="1950"/>
      <c r="B24" s="1308"/>
      <c r="C24" s="1123" t="s">
        <v>263</v>
      </c>
      <c r="D24" s="1438"/>
      <c r="E24" s="1438"/>
      <c r="F24" s="1438"/>
      <c r="G24" s="1438"/>
      <c r="H24" s="1438"/>
      <c r="I24" s="1438"/>
      <c r="J24" s="1438"/>
      <c r="K24" s="1438"/>
      <c r="L24" s="1438"/>
      <c r="M24" s="1438"/>
      <c r="N24" s="1438"/>
      <c r="O24" s="1438"/>
      <c r="P24" s="1438"/>
      <c r="Q24" s="1438"/>
      <c r="R24" s="1188">
        <v>3375</v>
      </c>
      <c r="S24" s="1121">
        <v>3079</v>
      </c>
      <c r="T24" s="1121">
        <v>1393</v>
      </c>
      <c r="U24" s="1121">
        <v>1209</v>
      </c>
      <c r="V24" s="1121">
        <v>915</v>
      </c>
      <c r="W24" s="1121">
        <v>825</v>
      </c>
      <c r="X24" s="1121">
        <v>2743</v>
      </c>
      <c r="Y24" s="1121">
        <v>1072</v>
      </c>
      <c r="Z24" s="1121">
        <v>2649</v>
      </c>
      <c r="AA24" s="1121">
        <v>1918</v>
      </c>
      <c r="AB24" s="1121">
        <v>664</v>
      </c>
      <c r="AC24" s="1121">
        <v>516</v>
      </c>
      <c r="AD24" s="1121">
        <f t="shared" si="22"/>
        <v>20358</v>
      </c>
      <c r="AE24" s="1598">
        <f t="shared" si="19"/>
        <v>1696.5</v>
      </c>
      <c r="AF24" s="2132"/>
      <c r="AG24" s="2132"/>
      <c r="AH24" s="2244"/>
      <c r="AI24" s="2132"/>
      <c r="AJ24" s="2132"/>
      <c r="AK24" s="2132"/>
      <c r="AL24" s="2132"/>
      <c r="AM24" s="2132"/>
      <c r="AN24" s="2132"/>
      <c r="AO24" s="2132"/>
      <c r="AP24" s="2132"/>
      <c r="AQ24" s="2132"/>
      <c r="AR24" s="2245"/>
      <c r="AS24" s="2245"/>
      <c r="AT24" s="2245"/>
      <c r="AU24" s="2246"/>
      <c r="AV24" s="2245"/>
      <c r="AW24" s="2245"/>
      <c r="AX24" s="2245"/>
      <c r="AY24" s="2245"/>
      <c r="AZ24" s="2246"/>
      <c r="BA24" s="2245"/>
      <c r="BB24" s="2245"/>
      <c r="BC24" s="2247"/>
      <c r="BF24" s="1172"/>
      <c r="BG24" s="1122" t="s">
        <v>263</v>
      </c>
      <c r="BH24" s="1438"/>
      <c r="BI24" s="1438"/>
      <c r="BJ24" s="1438"/>
      <c r="BK24" s="1438"/>
      <c r="BL24" s="1438"/>
      <c r="BM24" s="1438"/>
      <c r="BN24" s="1438"/>
      <c r="BO24" s="1438"/>
      <c r="BP24" s="1438"/>
      <c r="BQ24" s="1438"/>
      <c r="BR24" s="1438"/>
      <c r="BS24" s="1438"/>
      <c r="BT24" s="1438"/>
      <c r="BU24" s="1438"/>
      <c r="BV24" s="1438"/>
      <c r="BW24" s="1438"/>
      <c r="BX24" s="1438"/>
      <c r="BY24" s="1438"/>
      <c r="BZ24" s="1438"/>
      <c r="CA24" s="1438"/>
      <c r="CB24" s="1438"/>
      <c r="CC24" s="1438"/>
      <c r="CD24" s="1438"/>
      <c r="CE24" s="1438"/>
      <c r="CF24" s="1438"/>
      <c r="CG24" s="1438"/>
      <c r="CH24" s="1438"/>
      <c r="CI24" s="1438"/>
    </row>
    <row r="25" spans="1:87" ht="21.75" customHeight="1" x14ac:dyDescent="0.55000000000000004">
      <c r="A25" s="1950"/>
      <c r="B25" s="1308"/>
      <c r="C25" s="1123" t="s">
        <v>357</v>
      </c>
      <c r="D25" s="1438"/>
      <c r="E25" s="1438"/>
      <c r="F25" s="1438"/>
      <c r="G25" s="1438"/>
      <c r="H25" s="1438"/>
      <c r="I25" s="1438"/>
      <c r="J25" s="1438"/>
      <c r="K25" s="1438"/>
      <c r="L25" s="1438"/>
      <c r="M25" s="1438"/>
      <c r="N25" s="1438"/>
      <c r="O25" s="1438"/>
      <c r="P25" s="1438"/>
      <c r="Q25" s="1438"/>
      <c r="R25" s="1188">
        <v>564</v>
      </c>
      <c r="S25" s="1121">
        <v>1565</v>
      </c>
      <c r="T25" s="1121">
        <v>1899</v>
      </c>
      <c r="U25" s="1121">
        <v>1745</v>
      </c>
      <c r="V25" s="1121">
        <v>1956</v>
      </c>
      <c r="W25" s="1121">
        <v>1805</v>
      </c>
      <c r="X25" s="1121">
        <v>2141</v>
      </c>
      <c r="Y25" s="1121">
        <v>1852</v>
      </c>
      <c r="Z25" s="1121">
        <v>1400</v>
      </c>
      <c r="AA25" s="1121">
        <v>2049</v>
      </c>
      <c r="AB25" s="1121">
        <v>1736</v>
      </c>
      <c r="AC25" s="1121">
        <v>1422</v>
      </c>
      <c r="AD25" s="1121">
        <f t="shared" si="22"/>
        <v>20134</v>
      </c>
      <c r="AE25" s="1598">
        <f t="shared" si="19"/>
        <v>1677.8333333333333</v>
      </c>
      <c r="AF25" s="2132"/>
      <c r="AG25" s="2132"/>
      <c r="AH25" s="2244"/>
      <c r="AI25" s="2132"/>
      <c r="AJ25" s="2132"/>
      <c r="AK25" s="2132"/>
      <c r="AL25" s="2132"/>
      <c r="AM25" s="2132"/>
      <c r="AN25" s="2132"/>
      <c r="AO25" s="2132"/>
      <c r="AP25" s="2132"/>
      <c r="AQ25" s="2132"/>
      <c r="AR25" s="2245"/>
      <c r="AS25" s="2245"/>
      <c r="AT25" s="2245"/>
      <c r="AU25" s="2246"/>
      <c r="AV25" s="2245"/>
      <c r="AW25" s="2245"/>
      <c r="AX25" s="2245"/>
      <c r="AY25" s="2245"/>
      <c r="AZ25" s="2246"/>
      <c r="BA25" s="2245"/>
      <c r="BB25" s="2245"/>
      <c r="BC25" s="2247"/>
      <c r="BF25" s="1172"/>
      <c r="BG25" s="1122" t="s">
        <v>357</v>
      </c>
      <c r="BH25" s="1438"/>
      <c r="BI25" s="1438"/>
      <c r="BJ25" s="1438"/>
      <c r="BK25" s="1438"/>
      <c r="BL25" s="1438"/>
      <c r="BM25" s="1438"/>
      <c r="BN25" s="1438"/>
      <c r="BO25" s="1438"/>
      <c r="BP25" s="1438"/>
      <c r="BQ25" s="1438"/>
      <c r="BR25" s="1438"/>
      <c r="BS25" s="1438"/>
      <c r="BT25" s="1438"/>
      <c r="BU25" s="1438"/>
      <c r="BV25" s="1438"/>
      <c r="BW25" s="1438"/>
      <c r="BX25" s="1438"/>
      <c r="BY25" s="1438"/>
      <c r="BZ25" s="1438"/>
      <c r="CA25" s="1438"/>
      <c r="CB25" s="1438"/>
      <c r="CC25" s="1438"/>
      <c r="CD25" s="1438"/>
      <c r="CE25" s="1438"/>
      <c r="CF25" s="1438"/>
      <c r="CG25" s="1438"/>
      <c r="CH25" s="1438"/>
      <c r="CI25" s="1438"/>
    </row>
    <row r="26" spans="1:87" ht="16.5" customHeight="1" x14ac:dyDescent="0.55000000000000004">
      <c r="A26" s="1950"/>
      <c r="B26" s="2192" t="s">
        <v>780</v>
      </c>
      <c r="C26" s="1180" t="s">
        <v>474</v>
      </c>
      <c r="D26" s="1438"/>
      <c r="E26" s="1438"/>
      <c r="F26" s="1438"/>
      <c r="G26" s="1438"/>
      <c r="H26" s="1438"/>
      <c r="I26" s="1438"/>
      <c r="J26" s="1438"/>
      <c r="K26" s="1438"/>
      <c r="L26" s="1438"/>
      <c r="M26" s="1438"/>
      <c r="N26" s="1438"/>
      <c r="O26" s="1438"/>
      <c r="P26" s="1438"/>
      <c r="Q26" s="1438"/>
      <c r="R26" s="2131"/>
      <c r="S26" s="2131"/>
      <c r="T26" s="2131"/>
      <c r="U26" s="1178">
        <v>29</v>
      </c>
      <c r="V26" s="1178">
        <v>241</v>
      </c>
      <c r="W26" s="1178">
        <v>31</v>
      </c>
      <c r="X26" s="1178">
        <v>114</v>
      </c>
      <c r="Y26" s="1178">
        <v>13</v>
      </c>
      <c r="Z26" s="1178">
        <v>297</v>
      </c>
      <c r="AA26" s="1178">
        <v>79</v>
      </c>
      <c r="AB26" s="1178">
        <v>374</v>
      </c>
      <c r="AC26" s="1178">
        <v>203</v>
      </c>
      <c r="AD26" s="1178">
        <f t="shared" si="22"/>
        <v>1381</v>
      </c>
      <c r="AE26" s="1599">
        <f t="shared" si="19"/>
        <v>115.08333333333333</v>
      </c>
      <c r="AF26" s="1178">
        <v>235</v>
      </c>
      <c r="AG26" s="1178">
        <v>558</v>
      </c>
      <c r="AH26" s="2219">
        <v>65</v>
      </c>
      <c r="AI26" s="1178">
        <v>206</v>
      </c>
      <c r="AJ26" s="1178">
        <v>115</v>
      </c>
      <c r="AK26" s="1178">
        <v>56</v>
      </c>
      <c r="AL26" s="1178">
        <v>253</v>
      </c>
      <c r="AM26" s="1178">
        <v>220</v>
      </c>
      <c r="AN26" s="1178">
        <v>129</v>
      </c>
      <c r="AO26" s="1178">
        <v>173</v>
      </c>
      <c r="AP26" s="1178">
        <v>534</v>
      </c>
      <c r="AQ26" s="1178">
        <v>592</v>
      </c>
      <c r="AR26" s="2067">
        <f t="shared" si="12"/>
        <v>3136</v>
      </c>
      <c r="AS26" s="2067">
        <f t="shared" si="4"/>
        <v>261.33333333333331</v>
      </c>
      <c r="AT26" s="2067">
        <f>HLOOKUP($C$2,$AF$2:$AQ$39,ROW()-1,0)-HLOOKUP($C$2,$BH$2:$BS$38,ROW()-1,0)</f>
        <v>242</v>
      </c>
      <c r="AU26" s="2070">
        <f>IFERROR(HLOOKUP($C$2,$AF$2:$AQ$39,ROW()-1,0)/HLOOKUP($C$2,$BH$2:$BS$38,ROW()-1,0),0)</f>
        <v>1.6914285714285715</v>
      </c>
      <c r="AV26" s="2067">
        <f>HLOOKUP($C$2,$AF$2:$AQ$39,ROW()-1,0)-HLOOKUP($C$2-1,$AF$2:$AQ$39,ROW()-1,1)</f>
        <v>58</v>
      </c>
      <c r="AW26" s="2067">
        <f>HLOOKUP($C$2,$AF$2:$AQ$39,ROW()-1,0)-HLOOKUP($C$2,$R$2:$AC$39,ROW()-1,0)</f>
        <v>389</v>
      </c>
      <c r="AX26" s="2067">
        <f t="shared" si="5"/>
        <v>3136</v>
      </c>
      <c r="AY26" s="1195"/>
      <c r="AZ26" s="1195"/>
      <c r="BA26" s="2067">
        <f t="shared" ref="BA26:BA41" si="28">AX26-SUM(R26:AC26)</f>
        <v>1755</v>
      </c>
      <c r="BB26" s="2067">
        <f t="shared" si="25"/>
        <v>261.33333333333331</v>
      </c>
      <c r="BC26" s="2205">
        <f>BB26-AE26</f>
        <v>146.25</v>
      </c>
      <c r="BF26" s="1947" t="s">
        <v>780</v>
      </c>
      <c r="BG26" s="1180"/>
      <c r="BH26" s="519">
        <v>1500</v>
      </c>
      <c r="BI26" s="1178">
        <v>1500</v>
      </c>
      <c r="BJ26" s="1178">
        <v>2100</v>
      </c>
      <c r="BK26" s="1178">
        <v>550</v>
      </c>
      <c r="BL26" s="1178">
        <v>550</v>
      </c>
      <c r="BM26" s="1178">
        <v>500</v>
      </c>
      <c r="BN26" s="1178">
        <v>500</v>
      </c>
      <c r="BO26" s="1178">
        <v>400</v>
      </c>
      <c r="BP26" s="1178">
        <v>500</v>
      </c>
      <c r="BQ26" s="1178">
        <v>400</v>
      </c>
      <c r="BR26" s="1178">
        <v>320</v>
      </c>
      <c r="BS26" s="1178">
        <v>350</v>
      </c>
      <c r="BT26" s="1178"/>
      <c r="BU26" s="1178"/>
      <c r="BV26" s="519"/>
      <c r="BW26" s="1178"/>
      <c r="BX26" s="1178"/>
      <c r="BY26" s="1178"/>
      <c r="BZ26" s="1178"/>
      <c r="CA26" s="1178"/>
      <c r="CB26" s="1178"/>
      <c r="CC26" s="1178"/>
      <c r="CD26" s="1178"/>
      <c r="CE26" s="1178"/>
      <c r="CF26" s="1178"/>
      <c r="CG26" s="1178"/>
      <c r="CH26" s="1178"/>
      <c r="CI26" s="1178"/>
    </row>
    <row r="27" spans="1:87" ht="16.5" customHeight="1" x14ac:dyDescent="0.55000000000000004">
      <c r="A27" s="1950"/>
      <c r="B27" s="1308"/>
      <c r="C27" s="1123" t="s">
        <v>781</v>
      </c>
      <c r="D27" s="1438"/>
      <c r="E27" s="1438"/>
      <c r="F27" s="1438"/>
      <c r="G27" s="1438"/>
      <c r="H27" s="1438"/>
      <c r="I27" s="1438"/>
      <c r="J27" s="1438"/>
      <c r="K27" s="1438"/>
      <c r="L27" s="1438"/>
      <c r="M27" s="1438"/>
      <c r="N27" s="1438"/>
      <c r="O27" s="1438"/>
      <c r="P27" s="1438"/>
      <c r="Q27" s="1438"/>
      <c r="R27" s="2131"/>
      <c r="S27" s="2131"/>
      <c r="T27" s="2131"/>
      <c r="U27" s="1173">
        <v>1</v>
      </c>
      <c r="V27" s="1173">
        <v>1</v>
      </c>
      <c r="W27" s="1173">
        <v>1</v>
      </c>
      <c r="X27" s="1173">
        <v>3</v>
      </c>
      <c r="Y27" s="1173">
        <v>1</v>
      </c>
      <c r="Z27" s="1173">
        <v>4</v>
      </c>
      <c r="AA27" s="1173">
        <v>2</v>
      </c>
      <c r="AB27" s="1173">
        <v>10</v>
      </c>
      <c r="AC27" s="1173">
        <v>11</v>
      </c>
      <c r="AD27" s="1173">
        <f t="shared" si="22"/>
        <v>34</v>
      </c>
      <c r="AE27" s="1597">
        <f t="shared" si="19"/>
        <v>2.8333333333333335</v>
      </c>
      <c r="AF27" s="1173">
        <v>12</v>
      </c>
      <c r="AG27" s="1173">
        <v>8</v>
      </c>
      <c r="AH27" s="2218">
        <v>12</v>
      </c>
      <c r="AI27" s="1173">
        <v>10</v>
      </c>
      <c r="AJ27" s="1173">
        <v>9</v>
      </c>
      <c r="AK27" s="1173">
        <v>8</v>
      </c>
      <c r="AL27" s="1173">
        <v>13</v>
      </c>
      <c r="AM27" s="1173">
        <v>8</v>
      </c>
      <c r="AN27" s="1173">
        <v>9</v>
      </c>
      <c r="AO27" s="1173">
        <v>6</v>
      </c>
      <c r="AP27" s="1173">
        <v>8</v>
      </c>
      <c r="AQ27" s="1173">
        <v>8</v>
      </c>
      <c r="AR27" s="2071">
        <f t="shared" si="12"/>
        <v>111</v>
      </c>
      <c r="AS27" s="2071">
        <f t="shared" si="4"/>
        <v>9.25</v>
      </c>
      <c r="AT27" s="2068">
        <f>HLOOKUP($C$2,$AF$2:$AQ$39,ROW()-1,0)-HLOOKUP($C$2,$BH$2:$BS$38,ROW()-1,0)</f>
        <v>8</v>
      </c>
      <c r="AU27" s="2069">
        <f>IFERROR(HLOOKUP($C$2,$AF$2:$AQ$39,ROW()-1,0)/HLOOKUP($C$2,$BH$2:$BS$38,ROW()-1,0),0)</f>
        <v>0</v>
      </c>
      <c r="AV27" s="1309">
        <f>HLOOKUP($C$2,$AF$2:$AQ$39,ROW()-1,0)-HLOOKUP($C$2-1,$AF$2:$AQ$39,ROW()-1,1)</f>
        <v>0</v>
      </c>
      <c r="AW27" s="2068">
        <f>HLOOKUP($C$2,$AF$2:$AQ$39,ROW()-1,0)-HLOOKUP($C$2,$R$2:$AC$39,ROW()-1,0)</f>
        <v>-3</v>
      </c>
      <c r="AX27" s="2071">
        <f t="shared" si="5"/>
        <v>111</v>
      </c>
      <c r="AY27" s="1195"/>
      <c r="AZ27" s="1195"/>
      <c r="BA27" s="2068">
        <f t="shared" si="28"/>
        <v>77</v>
      </c>
      <c r="BB27" s="2071">
        <f t="shared" si="25"/>
        <v>9.25</v>
      </c>
      <c r="BC27" s="2206">
        <f>BB27-AE27</f>
        <v>6.4166666666666661</v>
      </c>
      <c r="BF27" s="1172"/>
      <c r="BG27" s="1122" t="s">
        <v>781</v>
      </c>
      <c r="BH27" s="1438"/>
      <c r="BI27" s="1438"/>
      <c r="BJ27" s="1438"/>
      <c r="BK27" s="1438"/>
      <c r="BL27" s="1438"/>
      <c r="BM27" s="1438"/>
      <c r="BN27" s="1438"/>
      <c r="BO27" s="1438"/>
      <c r="BP27" s="1438"/>
      <c r="BQ27" s="1438"/>
      <c r="BR27" s="1438"/>
      <c r="BS27" s="1438"/>
      <c r="BT27" s="1438"/>
      <c r="BU27" s="1438"/>
      <c r="BV27" s="1438"/>
      <c r="BW27" s="1438"/>
      <c r="BX27" s="1438"/>
      <c r="BY27" s="1438"/>
      <c r="BZ27" s="1438"/>
      <c r="CA27" s="1438"/>
      <c r="CB27" s="1438"/>
      <c r="CC27" s="1438"/>
      <c r="CD27" s="1438"/>
      <c r="CE27" s="1438"/>
      <c r="CF27" s="1438"/>
      <c r="CG27" s="1438"/>
      <c r="CH27" s="1438"/>
      <c r="CI27" s="1438"/>
    </row>
    <row r="28" spans="1:87" ht="16.5" customHeight="1" x14ac:dyDescent="0.55000000000000004">
      <c r="A28" s="1950"/>
      <c r="B28" s="1308"/>
      <c r="C28" s="1123" t="s">
        <v>782</v>
      </c>
      <c r="D28" s="1438"/>
      <c r="E28" s="1438"/>
      <c r="F28" s="1438"/>
      <c r="G28" s="1438"/>
      <c r="H28" s="1438"/>
      <c r="I28" s="1438"/>
      <c r="J28" s="1438"/>
      <c r="K28" s="1438"/>
      <c r="L28" s="1438"/>
      <c r="M28" s="1438"/>
      <c r="N28" s="1438"/>
      <c r="O28" s="1438"/>
      <c r="P28" s="1438"/>
      <c r="Q28" s="1438"/>
      <c r="R28" s="2131"/>
      <c r="S28" s="2131"/>
      <c r="T28" s="2131"/>
      <c r="U28" s="1173">
        <v>79</v>
      </c>
      <c r="V28" s="1173">
        <v>170</v>
      </c>
      <c r="W28" s="1173">
        <v>68</v>
      </c>
      <c r="X28" s="1173">
        <v>110</v>
      </c>
      <c r="Y28" s="1173">
        <v>27</v>
      </c>
      <c r="Z28" s="1173">
        <v>638</v>
      </c>
      <c r="AA28" s="1173">
        <v>79</v>
      </c>
      <c r="AB28" s="1173">
        <v>943</v>
      </c>
      <c r="AC28" s="1173">
        <v>725</v>
      </c>
      <c r="AD28" s="1173">
        <f t="shared" si="22"/>
        <v>2839</v>
      </c>
      <c r="AE28" s="1597">
        <f t="shared" si="19"/>
        <v>236.58333333333334</v>
      </c>
      <c r="AF28" s="1173">
        <v>863</v>
      </c>
      <c r="AG28" s="1173">
        <v>201</v>
      </c>
      <c r="AH28" s="2218">
        <v>170</v>
      </c>
      <c r="AI28" s="1173">
        <v>761</v>
      </c>
      <c r="AJ28" s="1173">
        <v>251</v>
      </c>
      <c r="AK28" s="1173">
        <v>146</v>
      </c>
      <c r="AL28" s="1173">
        <v>137</v>
      </c>
      <c r="AM28" s="1173">
        <v>429</v>
      </c>
      <c r="AN28" s="1173">
        <v>179</v>
      </c>
      <c r="AO28" s="1173">
        <v>283</v>
      </c>
      <c r="AP28" s="1173">
        <v>683</v>
      </c>
      <c r="AQ28" s="1173">
        <v>765</v>
      </c>
      <c r="AR28" s="2071">
        <f t="shared" si="12"/>
        <v>4868</v>
      </c>
      <c r="AS28" s="2071">
        <f t="shared" si="4"/>
        <v>405.66666666666669</v>
      </c>
      <c r="AT28" s="2068">
        <f>HLOOKUP($C$2,$AF$2:$AQ$39,ROW()-1,0)-HLOOKUP($C$2,$BH$2:$BS$38,ROW()-1,0)</f>
        <v>765</v>
      </c>
      <c r="AU28" s="2069">
        <f>IFERROR(HLOOKUP($C$2,$AF$2:$AQ$39,ROW()-1,0)/HLOOKUP($C$2,$BH$2:$BS$38,ROW()-1,0),0)</f>
        <v>0</v>
      </c>
      <c r="AV28" s="1309">
        <f>HLOOKUP($C$2,$AF$2:$AQ$39,ROW()-1,0)-HLOOKUP($C$2-1,$AF$2:$AQ$39,ROW()-1,1)</f>
        <v>82</v>
      </c>
      <c r="AW28" s="2068">
        <f>HLOOKUP($C$2,$AF$2:$AQ$39,ROW()-1,0)-HLOOKUP($C$2,$R$2:$AC$39,ROW()-1,0)</f>
        <v>40</v>
      </c>
      <c r="AX28" s="2071">
        <f t="shared" si="5"/>
        <v>4868</v>
      </c>
      <c r="AY28" s="1195"/>
      <c r="AZ28" s="1307"/>
      <c r="BA28" s="2068">
        <f t="shared" si="28"/>
        <v>2029</v>
      </c>
      <c r="BB28" s="2071">
        <f t="shared" si="25"/>
        <v>405.66666666666669</v>
      </c>
      <c r="BC28" s="2206">
        <f>BB28-AE28</f>
        <v>169.08333333333334</v>
      </c>
      <c r="BF28" s="1172"/>
      <c r="BG28" s="1122" t="s">
        <v>782</v>
      </c>
      <c r="BH28" s="1438"/>
      <c r="BI28" s="1438"/>
      <c r="BJ28" s="1438"/>
      <c r="BK28" s="1438"/>
      <c r="BL28" s="1438"/>
      <c r="BM28" s="1438"/>
      <c r="BN28" s="1438"/>
      <c r="BO28" s="1438"/>
      <c r="BP28" s="1438"/>
      <c r="BQ28" s="1438"/>
      <c r="BR28" s="1438"/>
      <c r="BS28" s="1438"/>
      <c r="BT28" s="1438"/>
      <c r="BU28" s="1438"/>
      <c r="BV28" s="1438"/>
      <c r="BW28" s="1438"/>
      <c r="BX28" s="1438"/>
      <c r="BY28" s="1438"/>
      <c r="BZ28" s="1438"/>
      <c r="CA28" s="1438"/>
      <c r="CB28" s="1438"/>
      <c r="CC28" s="1438"/>
      <c r="CD28" s="1438"/>
      <c r="CE28" s="1438"/>
      <c r="CF28" s="1438"/>
      <c r="CG28" s="1438"/>
      <c r="CH28" s="1438"/>
      <c r="CI28" s="1438"/>
    </row>
    <row r="29" spans="1:87" ht="16.5" customHeight="1" x14ac:dyDescent="0.55000000000000004">
      <c r="A29" s="7234" t="s">
        <v>783</v>
      </c>
      <c r="B29" s="7237" t="s">
        <v>1045</v>
      </c>
      <c r="C29" s="7237"/>
      <c r="D29" s="1627">
        <v>77</v>
      </c>
      <c r="E29" s="1627">
        <v>76</v>
      </c>
      <c r="F29" s="1627">
        <v>75</v>
      </c>
      <c r="G29" s="1627">
        <v>75</v>
      </c>
      <c r="H29" s="1627">
        <v>75</v>
      </c>
      <c r="I29" s="1627">
        <v>75</v>
      </c>
      <c r="J29" s="1627">
        <v>72</v>
      </c>
      <c r="K29" s="1627">
        <v>69</v>
      </c>
      <c r="L29" s="1627">
        <v>72</v>
      </c>
      <c r="M29" s="1627">
        <v>71</v>
      </c>
      <c r="N29" s="1627">
        <v>72</v>
      </c>
      <c r="O29" s="1627">
        <v>75</v>
      </c>
      <c r="P29" s="1627">
        <v>884</v>
      </c>
      <c r="Q29" s="1627">
        <v>73.666666666666671</v>
      </c>
      <c r="R29" s="1628">
        <v>81</v>
      </c>
      <c r="S29" s="2282">
        <v>79</v>
      </c>
      <c r="T29" s="2282">
        <v>77</v>
      </c>
      <c r="U29" s="2282">
        <v>75</v>
      </c>
      <c r="V29" s="2282">
        <v>76</v>
      </c>
      <c r="W29" s="2282">
        <v>76</v>
      </c>
      <c r="X29" s="2282">
        <v>91</v>
      </c>
      <c r="Y29" s="2282">
        <v>103</v>
      </c>
      <c r="Z29" s="2282">
        <v>107</v>
      </c>
      <c r="AA29" s="2282">
        <v>99</v>
      </c>
      <c r="AB29" s="2282">
        <v>112</v>
      </c>
      <c r="AC29" s="1628">
        <f>SUM(AC31:AC38)</f>
        <v>57</v>
      </c>
      <c r="AD29" s="1628">
        <f t="shared" si="22"/>
        <v>1033</v>
      </c>
      <c r="AE29" s="1628">
        <f>AVERAGE(R29:AC29)</f>
        <v>86.083333333333329</v>
      </c>
      <c r="AF29" s="2232">
        <f>SUM(AF30:AF39)</f>
        <v>117</v>
      </c>
      <c r="AG29" s="2282">
        <f>SUM(AG30:AG39)</f>
        <v>121</v>
      </c>
      <c r="AH29" s="2282">
        <v>136</v>
      </c>
      <c r="AI29" s="2282">
        <v>137</v>
      </c>
      <c r="AJ29" s="2282">
        <v>139</v>
      </c>
      <c r="AK29" s="2282">
        <f>SUM(AK30:AK41)</f>
        <v>150</v>
      </c>
      <c r="AL29" s="2282">
        <v>137</v>
      </c>
      <c r="AM29" s="2367">
        <v>142</v>
      </c>
      <c r="AN29" s="2379">
        <v>139</v>
      </c>
      <c r="AO29" s="2396">
        <v>138</v>
      </c>
      <c r="AP29" s="2413">
        <v>135</v>
      </c>
      <c r="AQ29" s="1628">
        <v>136</v>
      </c>
      <c r="AR29" s="1628">
        <f>INDEX($AF29:$AQ29, 1, MATCH(0, $AF29:$AQ29, -1))</f>
        <v>136</v>
      </c>
      <c r="AS29" s="1629"/>
      <c r="AT29" s="1630"/>
      <c r="AU29" s="1630"/>
      <c r="AV29" s="1629"/>
      <c r="AW29" s="1629"/>
      <c r="AX29" s="1628">
        <f>SUM(AF29:AQ29)</f>
        <v>1627</v>
      </c>
      <c r="AY29" s="1630"/>
      <c r="AZ29" s="1630"/>
      <c r="BA29" s="1628">
        <f t="shared" si="28"/>
        <v>594</v>
      </c>
      <c r="BB29" s="1628">
        <f t="shared" si="25"/>
        <v>135.58333333333334</v>
      </c>
      <c r="BC29" s="2193">
        <f t="shared" ref="BC29:BC39" si="29">BB29-AE29</f>
        <v>49.500000000000014</v>
      </c>
      <c r="BD29" s="1590"/>
      <c r="BE29" s="1590"/>
      <c r="BF29" s="1590"/>
      <c r="BG29" s="1590"/>
      <c r="BH29" s="1590"/>
      <c r="BI29" s="1590"/>
      <c r="BJ29" s="1590"/>
      <c r="BK29" s="1590"/>
      <c r="BL29" s="1590"/>
      <c r="BM29" s="1590"/>
      <c r="BN29" s="1590"/>
      <c r="BO29" s="1590"/>
      <c r="BP29" s="1590"/>
      <c r="BQ29" s="1590"/>
      <c r="BR29" s="1590"/>
      <c r="BS29" s="1590"/>
      <c r="BT29" s="1590"/>
      <c r="BU29" s="1590"/>
      <c r="BW29" s="1590"/>
      <c r="BX29" s="1590"/>
    </row>
    <row r="30" spans="1:87" ht="16.5" customHeight="1" x14ac:dyDescent="0.55000000000000004">
      <c r="A30" s="7235"/>
      <c r="B30" s="1415"/>
      <c r="C30" s="1605" t="s">
        <v>1046</v>
      </c>
      <c r="D30" s="1607"/>
      <c r="E30" s="1607"/>
      <c r="F30" s="1607"/>
      <c r="G30" s="1607"/>
      <c r="H30" s="1607"/>
      <c r="I30" s="1607"/>
      <c r="J30" s="1607"/>
      <c r="K30" s="1607"/>
      <c r="L30" s="1607"/>
      <c r="M30" s="1607"/>
      <c r="N30" s="1607"/>
      <c r="O30" s="1607"/>
      <c r="P30" s="1607"/>
      <c r="Q30" s="1607"/>
      <c r="R30" s="1608"/>
      <c r="S30" s="1415"/>
      <c r="T30" s="1415"/>
      <c r="U30" s="1415"/>
      <c r="V30" s="1415"/>
      <c r="W30" s="1415"/>
      <c r="X30" s="1415"/>
      <c r="Y30" s="1415"/>
      <c r="Z30" s="1415"/>
      <c r="AA30" s="1415"/>
      <c r="AB30" s="1415"/>
      <c r="AC30" s="1608"/>
      <c r="AD30" s="1608"/>
      <c r="AE30" s="1608"/>
      <c r="AF30" s="2233">
        <v>1</v>
      </c>
      <c r="AG30" s="1605">
        <v>1</v>
      </c>
      <c r="AH30" s="1415">
        <v>1</v>
      </c>
      <c r="AI30" s="1415">
        <v>1</v>
      </c>
      <c r="AJ30" s="1415">
        <v>1</v>
      </c>
      <c r="AK30" s="1415">
        <v>1</v>
      </c>
      <c r="AL30" s="1415">
        <v>1</v>
      </c>
      <c r="AM30" s="1415">
        <v>1</v>
      </c>
      <c r="AN30" s="1415">
        <v>1</v>
      </c>
      <c r="AO30" s="1415">
        <v>1</v>
      </c>
      <c r="AP30" s="1415">
        <v>1</v>
      </c>
      <c r="AQ30" s="1608">
        <v>1</v>
      </c>
      <c r="AR30" s="1309">
        <f t="shared" ref="AR30:AR39" si="30">INDEX($AF30:$AQ30, 1, MATCH(0, $AF30:$AQ30, -1))</f>
        <v>1</v>
      </c>
      <c r="AS30" s="1307"/>
      <c r="AT30" s="1195"/>
      <c r="AU30" s="1195"/>
      <c r="AV30" s="1307"/>
      <c r="AW30" s="1307"/>
      <c r="AX30" s="1608">
        <f t="shared" ref="AX30:AX41" si="31">SUM(AF30:AQ30)</f>
        <v>12</v>
      </c>
      <c r="AY30" s="1195"/>
      <c r="AZ30" s="1195"/>
      <c r="BA30" s="2313">
        <f t="shared" si="28"/>
        <v>12</v>
      </c>
      <c r="BB30" s="1608">
        <f t="shared" si="25"/>
        <v>1</v>
      </c>
      <c r="BC30" s="2194">
        <f t="shared" si="29"/>
        <v>1</v>
      </c>
      <c r="BD30" s="1590"/>
      <c r="BE30" s="1590"/>
      <c r="BF30" s="1590"/>
      <c r="BG30" s="1590"/>
      <c r="BH30" s="1590"/>
      <c r="BI30" s="1590"/>
      <c r="BJ30" s="1590"/>
      <c r="BK30" s="1590"/>
      <c r="BL30" s="1590"/>
      <c r="BM30" s="1590"/>
      <c r="BN30" s="1590"/>
      <c r="BO30" s="1590"/>
      <c r="BP30" s="1590"/>
      <c r="BQ30" s="1590"/>
      <c r="BR30" s="1590"/>
      <c r="BS30" s="1590"/>
      <c r="BT30" s="1590"/>
      <c r="BU30" s="1590"/>
      <c r="BW30" s="1590"/>
      <c r="BX30" s="1590"/>
    </row>
    <row r="31" spans="1:87" ht="16.5" customHeight="1" x14ac:dyDescent="0.55000000000000004">
      <c r="A31" s="7235"/>
      <c r="B31" s="1308"/>
      <c r="C31" s="1123" t="s">
        <v>1048</v>
      </c>
      <c r="D31" s="1121"/>
      <c r="E31" s="1121"/>
      <c r="F31" s="1121"/>
      <c r="G31" s="1121"/>
      <c r="H31" s="1121"/>
      <c r="I31" s="1121"/>
      <c r="J31" s="1121"/>
      <c r="K31" s="1121"/>
      <c r="L31" s="1121"/>
      <c r="M31" s="1121"/>
      <c r="N31" s="1121"/>
      <c r="O31" s="1121"/>
      <c r="P31" s="1121"/>
      <c r="Q31" s="1121"/>
      <c r="R31" s="130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2234">
        <v>6</v>
      </c>
      <c r="AG31" s="1309">
        <v>6</v>
      </c>
      <c r="AH31" s="1309">
        <v>6</v>
      </c>
      <c r="AI31" s="1309">
        <v>6</v>
      </c>
      <c r="AJ31" s="1309">
        <v>7</v>
      </c>
      <c r="AK31" s="1309">
        <v>8</v>
      </c>
      <c r="AL31" s="1309">
        <v>5</v>
      </c>
      <c r="AM31" s="1309">
        <v>8</v>
      </c>
      <c r="AN31" s="1309">
        <v>6</v>
      </c>
      <c r="AO31" s="1309">
        <v>6</v>
      </c>
      <c r="AP31" s="1309">
        <v>6</v>
      </c>
      <c r="AQ31" s="1309">
        <v>6</v>
      </c>
      <c r="AR31" s="1309">
        <f t="shared" si="30"/>
        <v>6</v>
      </c>
      <c r="AS31" s="1307"/>
      <c r="AT31" s="1195"/>
      <c r="AU31" s="1195"/>
      <c r="AV31" s="1307"/>
      <c r="AW31" s="1307"/>
      <c r="AX31" s="1309">
        <f t="shared" si="31"/>
        <v>76</v>
      </c>
      <c r="AY31" s="1307"/>
      <c r="AZ31" s="1307"/>
      <c r="BA31" s="2279">
        <f t="shared" si="28"/>
        <v>76</v>
      </c>
      <c r="BB31" s="1309">
        <f t="shared" si="25"/>
        <v>6.333333333333333</v>
      </c>
      <c r="BC31" s="2195">
        <f t="shared" si="29"/>
        <v>6.333333333333333</v>
      </c>
      <c r="BD31" s="1590"/>
      <c r="BE31" s="1590"/>
      <c r="BF31" s="1590"/>
      <c r="BG31" s="1590"/>
      <c r="BH31" s="1590"/>
      <c r="BI31" s="1590"/>
      <c r="BJ31" s="1590"/>
      <c r="BK31" s="1590"/>
      <c r="BL31" s="1590"/>
      <c r="BM31" s="1590"/>
      <c r="BN31" s="1590"/>
      <c r="BO31" s="1590"/>
      <c r="BP31" s="1590"/>
      <c r="BQ31" s="1590"/>
      <c r="BR31" s="1590"/>
      <c r="BS31" s="1590"/>
      <c r="BT31" s="1590"/>
      <c r="BU31" s="1590"/>
      <c r="BW31" s="1590"/>
      <c r="BX31" s="1590"/>
    </row>
    <row r="32" spans="1:87" ht="16.5" customHeight="1" x14ac:dyDescent="0.55000000000000004">
      <c r="A32" s="7235"/>
      <c r="B32" s="1308"/>
      <c r="C32" s="1123" t="s">
        <v>786</v>
      </c>
      <c r="D32" s="1121">
        <v>8</v>
      </c>
      <c r="E32" s="1121">
        <v>8</v>
      </c>
      <c r="F32" s="1121">
        <v>7</v>
      </c>
      <c r="G32" s="1121">
        <v>7</v>
      </c>
      <c r="H32" s="1121">
        <v>7</v>
      </c>
      <c r="I32" s="1121">
        <v>7</v>
      </c>
      <c r="J32" s="1121">
        <v>7</v>
      </c>
      <c r="K32" s="1121">
        <v>7</v>
      </c>
      <c r="L32" s="1121">
        <v>7</v>
      </c>
      <c r="M32" s="1121">
        <v>7</v>
      </c>
      <c r="N32" s="1121">
        <v>7</v>
      </c>
      <c r="O32" s="1121">
        <v>7</v>
      </c>
      <c r="P32" s="1121">
        <v>86</v>
      </c>
      <c r="Q32" s="1121">
        <v>7.166666666666667</v>
      </c>
      <c r="R32" s="1309">
        <v>10</v>
      </c>
      <c r="S32" s="1309">
        <v>10</v>
      </c>
      <c r="T32" s="1309">
        <v>10</v>
      </c>
      <c r="U32" s="1309">
        <v>10</v>
      </c>
      <c r="V32" s="1309">
        <v>10</v>
      </c>
      <c r="W32" s="1309">
        <v>10</v>
      </c>
      <c r="X32" s="1309">
        <v>10</v>
      </c>
      <c r="Y32" s="1309">
        <v>10</v>
      </c>
      <c r="Z32" s="1309">
        <v>10</v>
      </c>
      <c r="AA32" s="1309">
        <v>10</v>
      </c>
      <c r="AB32" s="1309">
        <v>10</v>
      </c>
      <c r="AC32" s="1309">
        <v>1</v>
      </c>
      <c r="AD32" s="1309">
        <f t="shared" si="22"/>
        <v>111</v>
      </c>
      <c r="AE32" s="1309">
        <f t="shared" ref="AE32:AE39" si="32">AVERAGE(R32:AC32)</f>
        <v>9.25</v>
      </c>
      <c r="AF32" s="2234">
        <v>9</v>
      </c>
      <c r="AG32" s="1309">
        <v>9</v>
      </c>
      <c r="AH32" s="1309">
        <v>9</v>
      </c>
      <c r="AI32" s="1309">
        <v>9</v>
      </c>
      <c r="AJ32" s="1309">
        <v>9</v>
      </c>
      <c r="AK32" s="1309">
        <v>10</v>
      </c>
      <c r="AL32" s="1309">
        <v>9</v>
      </c>
      <c r="AM32" s="1309">
        <v>9</v>
      </c>
      <c r="AN32" s="1309">
        <v>9</v>
      </c>
      <c r="AO32" s="1309">
        <v>9</v>
      </c>
      <c r="AP32" s="1309">
        <v>9</v>
      </c>
      <c r="AQ32" s="1309">
        <v>9</v>
      </c>
      <c r="AR32" s="1309">
        <f t="shared" si="30"/>
        <v>9</v>
      </c>
      <c r="AS32" s="1307"/>
      <c r="AT32" s="1195"/>
      <c r="AU32" s="1195"/>
      <c r="AV32" s="1307"/>
      <c r="AW32" s="1307"/>
      <c r="AX32" s="1309">
        <f t="shared" si="31"/>
        <v>109</v>
      </c>
      <c r="AY32" s="1307"/>
      <c r="AZ32" s="1307"/>
      <c r="BA32" s="2279">
        <f t="shared" si="28"/>
        <v>-2</v>
      </c>
      <c r="BB32" s="1309">
        <f t="shared" si="25"/>
        <v>9.0833333333333339</v>
      </c>
      <c r="BC32" s="2195">
        <f t="shared" si="29"/>
        <v>-0.16666666666666607</v>
      </c>
      <c r="BD32" s="1590"/>
      <c r="BE32" s="1590"/>
      <c r="BF32" s="1590"/>
      <c r="BG32" s="1590"/>
      <c r="BH32" s="1590"/>
      <c r="BI32" s="1590"/>
      <c r="BJ32" s="1590"/>
      <c r="BK32" s="1590"/>
      <c r="BL32" s="1590"/>
      <c r="BM32" s="1590"/>
      <c r="BN32" s="1590"/>
      <c r="BO32" s="1590"/>
      <c r="BP32" s="1590"/>
      <c r="BQ32" s="1590"/>
      <c r="BR32" s="1590"/>
      <c r="BS32" s="1590"/>
      <c r="BT32" s="1590"/>
      <c r="BU32" s="1590"/>
      <c r="BW32" s="1590"/>
      <c r="BX32" s="1590"/>
    </row>
    <row r="33" spans="1:76" ht="16.5" customHeight="1" x14ac:dyDescent="0.55000000000000004">
      <c r="A33" s="7235"/>
      <c r="B33" s="1308"/>
      <c r="C33" s="1122" t="s">
        <v>1156</v>
      </c>
      <c r="D33" s="1121">
        <v>7</v>
      </c>
      <c r="E33" s="1121">
        <v>7</v>
      </c>
      <c r="F33" s="1121">
        <v>7</v>
      </c>
      <c r="G33" s="1121">
        <v>6</v>
      </c>
      <c r="H33" s="1121">
        <v>6</v>
      </c>
      <c r="I33" s="1121">
        <v>6</v>
      </c>
      <c r="J33" s="1121">
        <v>6</v>
      </c>
      <c r="K33" s="1121">
        <v>6</v>
      </c>
      <c r="L33" s="1121">
        <v>7</v>
      </c>
      <c r="M33" s="1121">
        <v>7</v>
      </c>
      <c r="N33" s="1121">
        <v>7</v>
      </c>
      <c r="O33" s="1121">
        <v>7</v>
      </c>
      <c r="P33" s="1121">
        <v>79</v>
      </c>
      <c r="Q33" s="1121">
        <v>6.583333333333333</v>
      </c>
      <c r="R33" s="1309">
        <v>17</v>
      </c>
      <c r="S33" s="1309">
        <v>17</v>
      </c>
      <c r="T33" s="1309">
        <v>17</v>
      </c>
      <c r="U33" s="1309">
        <v>18</v>
      </c>
      <c r="V33" s="1309">
        <v>18</v>
      </c>
      <c r="W33" s="1309">
        <v>18</v>
      </c>
      <c r="X33" s="1309">
        <v>19</v>
      </c>
      <c r="Y33" s="1309">
        <v>19</v>
      </c>
      <c r="Z33" s="1309">
        <v>19</v>
      </c>
      <c r="AA33" s="1309">
        <v>18</v>
      </c>
      <c r="AB33" s="1309">
        <v>26</v>
      </c>
      <c r="AC33" s="1309">
        <v>11</v>
      </c>
      <c r="AD33" s="1309">
        <f t="shared" si="22"/>
        <v>217</v>
      </c>
      <c r="AE33" s="1309">
        <f t="shared" si="32"/>
        <v>18.083333333333332</v>
      </c>
      <c r="AF33" s="2234">
        <v>25</v>
      </c>
      <c r="AG33" s="1309">
        <v>28</v>
      </c>
      <c r="AH33" s="1309">
        <v>34</v>
      </c>
      <c r="AI33" s="1309">
        <v>32</v>
      </c>
      <c r="AJ33" s="1309">
        <v>35</v>
      </c>
      <c r="AK33" s="1309">
        <v>37</v>
      </c>
      <c r="AL33" s="1309">
        <v>16</v>
      </c>
      <c r="AM33" s="1309">
        <v>17</v>
      </c>
      <c r="AN33" s="1309">
        <v>18</v>
      </c>
      <c r="AO33" s="1309">
        <v>16</v>
      </c>
      <c r="AP33" s="1309">
        <v>15</v>
      </c>
      <c r="AQ33" s="1309">
        <v>15</v>
      </c>
      <c r="AR33" s="1309">
        <f t="shared" si="30"/>
        <v>15</v>
      </c>
      <c r="AS33" s="1307"/>
      <c r="AT33" s="1195"/>
      <c r="AU33" s="1195"/>
      <c r="AV33" s="1307"/>
      <c r="AW33" s="1307"/>
      <c r="AX33" s="1309">
        <f t="shared" si="31"/>
        <v>288</v>
      </c>
      <c r="AY33" s="1307"/>
      <c r="AZ33" s="1307"/>
      <c r="BA33" s="2279">
        <f t="shared" si="28"/>
        <v>71</v>
      </c>
      <c r="BB33" s="1309">
        <f t="shared" si="25"/>
        <v>24</v>
      </c>
      <c r="BC33" s="2195">
        <f t="shared" si="29"/>
        <v>5.9166666666666679</v>
      </c>
      <c r="BD33" s="1590"/>
      <c r="BE33" s="1590"/>
      <c r="BF33" s="1590"/>
      <c r="BG33" s="1590"/>
      <c r="BH33" s="1590"/>
      <c r="BI33" s="1590"/>
      <c r="BJ33" s="1590"/>
      <c r="BK33" s="1590"/>
      <c r="BL33" s="1590"/>
      <c r="BM33" s="1590"/>
      <c r="BN33" s="1590"/>
      <c r="BO33" s="1590"/>
      <c r="BP33" s="1590"/>
      <c r="BQ33" s="1590"/>
      <c r="BR33" s="1590"/>
      <c r="BS33" s="1590"/>
      <c r="BT33" s="1590"/>
      <c r="BU33" s="1590"/>
      <c r="BW33" s="1590"/>
      <c r="BX33" s="1590"/>
    </row>
    <row r="34" spans="1:76" ht="16.5" customHeight="1" x14ac:dyDescent="0.55000000000000004">
      <c r="A34" s="7235"/>
      <c r="B34" s="1308"/>
      <c r="C34" s="1122" t="s">
        <v>1157</v>
      </c>
      <c r="D34" s="1121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309"/>
      <c r="S34" s="1309"/>
      <c r="T34" s="1309"/>
      <c r="U34" s="1309"/>
      <c r="V34" s="1309"/>
      <c r="W34" s="1309"/>
      <c r="X34" s="1309"/>
      <c r="Y34" s="1309"/>
      <c r="Z34" s="1309"/>
      <c r="AA34" s="1309"/>
      <c r="AB34" s="1309"/>
      <c r="AC34" s="1309"/>
      <c r="AD34" s="1309"/>
      <c r="AE34" s="1309"/>
      <c r="AF34" s="2370"/>
      <c r="AG34" s="2371"/>
      <c r="AH34" s="2371"/>
      <c r="AI34" s="2371"/>
      <c r="AJ34" s="2371"/>
      <c r="AK34" s="2371"/>
      <c r="AL34" s="2371"/>
      <c r="AM34" s="1309">
        <v>17</v>
      </c>
      <c r="AN34" s="1309">
        <v>15</v>
      </c>
      <c r="AO34" s="1309">
        <v>15</v>
      </c>
      <c r="AP34" s="1309">
        <v>14</v>
      </c>
      <c r="AQ34" s="1309">
        <v>15</v>
      </c>
      <c r="AR34" s="1309">
        <f t="shared" si="30"/>
        <v>15</v>
      </c>
      <c r="AS34" s="1307"/>
      <c r="AT34" s="1195"/>
      <c r="AU34" s="1195"/>
      <c r="AV34" s="1307"/>
      <c r="AW34" s="1307"/>
      <c r="AX34" s="1309">
        <f t="shared" si="31"/>
        <v>76</v>
      </c>
      <c r="AY34" s="1307"/>
      <c r="AZ34" s="1307"/>
      <c r="BA34" s="2279">
        <f t="shared" si="28"/>
        <v>76</v>
      </c>
      <c r="BB34" s="1309">
        <f t="shared" ref="BB34" si="33">AX34/($C$2-0.001)</f>
        <v>6.333333333333333</v>
      </c>
      <c r="BC34" s="2195">
        <f t="shared" ref="BC34" si="34">BB34-AE34</f>
        <v>6.333333333333333</v>
      </c>
      <c r="BD34" s="1590"/>
      <c r="BE34" s="1590"/>
      <c r="BF34" s="1590"/>
      <c r="BG34" s="1590"/>
      <c r="BH34" s="1590"/>
      <c r="BI34" s="1590"/>
      <c r="BJ34" s="1590"/>
      <c r="BK34" s="1590"/>
      <c r="BL34" s="1590"/>
      <c r="BM34" s="1590"/>
      <c r="BN34" s="1590"/>
      <c r="BO34" s="1590"/>
      <c r="BP34" s="1590"/>
      <c r="BQ34" s="1590"/>
      <c r="BR34" s="1590"/>
      <c r="BS34" s="1590"/>
      <c r="BT34" s="1590"/>
      <c r="BU34" s="1590"/>
      <c r="BW34" s="1590"/>
      <c r="BX34" s="1590"/>
    </row>
    <row r="35" spans="1:76" ht="16.5" customHeight="1" x14ac:dyDescent="0.55000000000000004">
      <c r="A35" s="7235"/>
      <c r="B35" s="1308"/>
      <c r="C35" s="1123" t="s">
        <v>787</v>
      </c>
      <c r="D35" s="1121">
        <v>11</v>
      </c>
      <c r="E35" s="1121">
        <v>10</v>
      </c>
      <c r="F35" s="1121">
        <v>9</v>
      </c>
      <c r="G35" s="1121">
        <v>9</v>
      </c>
      <c r="H35" s="1121">
        <v>9</v>
      </c>
      <c r="I35" s="1121">
        <v>8</v>
      </c>
      <c r="J35" s="1121">
        <v>8</v>
      </c>
      <c r="K35" s="1121">
        <v>8</v>
      </c>
      <c r="L35" s="1121">
        <v>7</v>
      </c>
      <c r="M35" s="1121">
        <v>6</v>
      </c>
      <c r="N35" s="1121">
        <v>6</v>
      </c>
      <c r="O35" s="1121">
        <v>6</v>
      </c>
      <c r="P35" s="1121">
        <v>97</v>
      </c>
      <c r="Q35" s="1121">
        <v>8.0833333333333339</v>
      </c>
      <c r="R35" s="1309">
        <v>8</v>
      </c>
      <c r="S35" s="1309">
        <v>9</v>
      </c>
      <c r="T35" s="1309">
        <v>7</v>
      </c>
      <c r="U35" s="1309">
        <v>6</v>
      </c>
      <c r="V35" s="1309">
        <v>7</v>
      </c>
      <c r="W35" s="1309">
        <v>7</v>
      </c>
      <c r="X35" s="1309">
        <v>9</v>
      </c>
      <c r="Y35" s="1309">
        <v>9</v>
      </c>
      <c r="Z35" s="1309">
        <v>9</v>
      </c>
      <c r="AA35" s="1309">
        <v>8</v>
      </c>
      <c r="AB35" s="1309">
        <v>9</v>
      </c>
      <c r="AC35" s="1309">
        <v>11</v>
      </c>
      <c r="AD35" s="1309">
        <f t="shared" si="22"/>
        <v>99</v>
      </c>
      <c r="AE35" s="1309">
        <f t="shared" si="32"/>
        <v>8.25</v>
      </c>
      <c r="AF35" s="2234">
        <v>12</v>
      </c>
      <c r="AG35" s="1309">
        <v>12</v>
      </c>
      <c r="AH35" s="1309">
        <v>14</v>
      </c>
      <c r="AI35" s="1309">
        <v>14</v>
      </c>
      <c r="AJ35" s="1309">
        <v>14</v>
      </c>
      <c r="AK35" s="1309">
        <v>15</v>
      </c>
      <c r="AL35" s="1309">
        <v>17</v>
      </c>
      <c r="AM35" s="1309">
        <v>13</v>
      </c>
      <c r="AN35" s="1309">
        <v>13</v>
      </c>
      <c r="AO35" s="1309">
        <v>12</v>
      </c>
      <c r="AP35" s="1309">
        <v>12</v>
      </c>
      <c r="AQ35" s="1309">
        <v>12</v>
      </c>
      <c r="AR35" s="1309">
        <f t="shared" si="30"/>
        <v>12</v>
      </c>
      <c r="AS35" s="1307"/>
      <c r="AT35" s="1195"/>
      <c r="AU35" s="1195"/>
      <c r="AV35" s="1307"/>
      <c r="AW35" s="1307"/>
      <c r="AX35" s="1309">
        <f t="shared" si="31"/>
        <v>160</v>
      </c>
      <c r="AY35" s="1307"/>
      <c r="AZ35" s="1307"/>
      <c r="BA35" s="2279">
        <f t="shared" si="28"/>
        <v>61</v>
      </c>
      <c r="BB35" s="1309">
        <f t="shared" si="25"/>
        <v>13.333333333333334</v>
      </c>
      <c r="BC35" s="2195">
        <f>BB35-AE35</f>
        <v>5.0833333333333339</v>
      </c>
      <c r="BD35" s="1590"/>
      <c r="BE35" s="1590"/>
      <c r="BF35" s="1590"/>
      <c r="BG35" s="1590"/>
      <c r="BH35" s="1590"/>
      <c r="BI35" s="1590"/>
      <c r="BJ35" s="1590"/>
      <c r="BK35" s="1590"/>
      <c r="BL35" s="1590"/>
      <c r="BM35" s="1590"/>
      <c r="BN35" s="1590"/>
      <c r="BO35" s="1590"/>
      <c r="BP35" s="1590"/>
      <c r="BQ35" s="1590"/>
      <c r="BR35" s="1590"/>
      <c r="BS35" s="1590"/>
      <c r="BT35" s="1590"/>
      <c r="BU35" s="1590"/>
      <c r="BW35" s="1590"/>
      <c r="BX35" s="1590"/>
    </row>
    <row r="36" spans="1:76" ht="17.25" customHeight="1" x14ac:dyDescent="0.55000000000000004">
      <c r="A36" s="7235"/>
      <c r="B36" s="1308"/>
      <c r="C36" s="1123" t="s">
        <v>788</v>
      </c>
      <c r="D36" s="1121">
        <v>12</v>
      </c>
      <c r="E36" s="1121">
        <v>12</v>
      </c>
      <c r="F36" s="1121">
        <v>12</v>
      </c>
      <c r="G36" s="1121">
        <v>12</v>
      </c>
      <c r="H36" s="1121">
        <v>12</v>
      </c>
      <c r="I36" s="1121">
        <v>12</v>
      </c>
      <c r="J36" s="1121">
        <v>12</v>
      </c>
      <c r="K36" s="1121">
        <v>11</v>
      </c>
      <c r="L36" s="1121">
        <v>11</v>
      </c>
      <c r="M36" s="1121">
        <v>11</v>
      </c>
      <c r="N36" s="1121">
        <v>12</v>
      </c>
      <c r="O36" s="1121">
        <v>12</v>
      </c>
      <c r="P36" s="1121">
        <v>141</v>
      </c>
      <c r="Q36" s="1121">
        <v>11.75</v>
      </c>
      <c r="R36" s="1309">
        <v>8</v>
      </c>
      <c r="S36" s="1309">
        <v>8</v>
      </c>
      <c r="T36" s="1309">
        <v>8</v>
      </c>
      <c r="U36" s="1309">
        <v>8</v>
      </c>
      <c r="V36" s="1309">
        <v>8</v>
      </c>
      <c r="W36" s="1309">
        <v>8</v>
      </c>
      <c r="X36" s="1309">
        <v>8</v>
      </c>
      <c r="Y36" s="1309">
        <v>8</v>
      </c>
      <c r="Z36" s="1309">
        <v>8</v>
      </c>
      <c r="AA36" s="1309">
        <v>9</v>
      </c>
      <c r="AB36" s="1309">
        <v>10</v>
      </c>
      <c r="AC36" s="1309">
        <v>12</v>
      </c>
      <c r="AD36" s="1309">
        <f t="shared" si="22"/>
        <v>103</v>
      </c>
      <c r="AE36" s="1309">
        <f t="shared" si="32"/>
        <v>8.5833333333333339</v>
      </c>
      <c r="AF36" s="2234">
        <v>12</v>
      </c>
      <c r="AG36" s="1309">
        <v>12</v>
      </c>
      <c r="AH36" s="1309">
        <v>13</v>
      </c>
      <c r="AI36" s="1309">
        <v>15</v>
      </c>
      <c r="AJ36" s="1309">
        <v>14</v>
      </c>
      <c r="AK36" s="1309">
        <v>14</v>
      </c>
      <c r="AL36" s="1309">
        <v>13</v>
      </c>
      <c r="AM36" s="1309">
        <v>13</v>
      </c>
      <c r="AN36" s="1309">
        <v>13</v>
      </c>
      <c r="AO36" s="1309">
        <v>12</v>
      </c>
      <c r="AP36" s="1309">
        <v>12</v>
      </c>
      <c r="AQ36" s="1309">
        <v>12</v>
      </c>
      <c r="AR36" s="1309">
        <f t="shared" si="30"/>
        <v>12</v>
      </c>
      <c r="AS36" s="1307"/>
      <c r="AT36" s="1195"/>
      <c r="AU36" s="1195"/>
      <c r="AV36" s="1307"/>
      <c r="AW36" s="1307"/>
      <c r="AX36" s="1309">
        <f t="shared" si="31"/>
        <v>155</v>
      </c>
      <c r="AY36" s="1307"/>
      <c r="AZ36" s="1307"/>
      <c r="BA36" s="2279">
        <f t="shared" si="28"/>
        <v>52</v>
      </c>
      <c r="BB36" s="1309">
        <f t="shared" si="25"/>
        <v>12.916666666666666</v>
      </c>
      <c r="BC36" s="2195">
        <f t="shared" si="29"/>
        <v>4.3333333333333321</v>
      </c>
      <c r="BD36" s="1590"/>
      <c r="BE36" s="1590"/>
      <c r="BF36" s="1590"/>
      <c r="BG36" s="1590"/>
      <c r="BH36" s="1590"/>
      <c r="BI36" s="1590"/>
      <c r="BJ36" s="1590"/>
      <c r="BK36" s="1590"/>
      <c r="BL36" s="1590"/>
      <c r="BM36" s="1590"/>
      <c r="BN36" s="1590"/>
      <c r="BO36" s="1590"/>
      <c r="BP36" s="1590"/>
      <c r="BQ36" s="1590"/>
      <c r="BR36" s="1590"/>
      <c r="BS36" s="1590"/>
      <c r="BT36" s="1590"/>
      <c r="BU36" s="1590"/>
      <c r="BW36" s="1590"/>
      <c r="BX36" s="1590"/>
    </row>
    <row r="37" spans="1:76" ht="17.25" customHeight="1" x14ac:dyDescent="0.55000000000000004">
      <c r="A37" s="7235"/>
      <c r="B37" s="1308"/>
      <c r="C37" s="1123" t="s">
        <v>1047</v>
      </c>
      <c r="D37" s="1121"/>
      <c r="E37" s="1121"/>
      <c r="F37" s="1121"/>
      <c r="G37" s="1121"/>
      <c r="H37" s="1121"/>
      <c r="I37" s="1121"/>
      <c r="J37" s="1121"/>
      <c r="K37" s="1121"/>
      <c r="L37" s="1121"/>
      <c r="M37" s="1121"/>
      <c r="N37" s="1121"/>
      <c r="O37" s="1121"/>
      <c r="P37" s="1121"/>
      <c r="Q37" s="1121"/>
      <c r="R37" s="1309"/>
      <c r="S37" s="1309"/>
      <c r="T37" s="1309"/>
      <c r="U37" s="1309"/>
      <c r="V37" s="1309"/>
      <c r="W37" s="1309"/>
      <c r="X37" s="1309"/>
      <c r="Y37" s="1309"/>
      <c r="Z37" s="1309"/>
      <c r="AA37" s="1309"/>
      <c r="AB37" s="1309"/>
      <c r="AC37" s="1309"/>
      <c r="AD37" s="1309"/>
      <c r="AE37" s="1309"/>
      <c r="AF37" s="2234">
        <v>12</v>
      </c>
      <c r="AG37" s="1309">
        <v>13</v>
      </c>
      <c r="AH37" s="1309">
        <v>13</v>
      </c>
      <c r="AI37" s="1309">
        <v>13</v>
      </c>
      <c r="AJ37" s="1309">
        <v>13</v>
      </c>
      <c r="AK37" s="1309">
        <v>13</v>
      </c>
      <c r="AL37" s="1309">
        <v>13</v>
      </c>
      <c r="AM37" s="1309">
        <v>11</v>
      </c>
      <c r="AN37" s="1309">
        <v>12</v>
      </c>
      <c r="AO37" s="1309">
        <v>12</v>
      </c>
      <c r="AP37" s="1309">
        <v>12</v>
      </c>
      <c r="AQ37" s="1309">
        <v>11</v>
      </c>
      <c r="AR37" s="1309">
        <f t="shared" si="30"/>
        <v>11</v>
      </c>
      <c r="AS37" s="1307"/>
      <c r="AT37" s="1195"/>
      <c r="AU37" s="1195"/>
      <c r="AV37" s="1307"/>
      <c r="AW37" s="1307"/>
      <c r="AX37" s="1309">
        <f t="shared" si="31"/>
        <v>148</v>
      </c>
      <c r="AY37" s="1307"/>
      <c r="AZ37" s="1307"/>
      <c r="BA37" s="2279">
        <f t="shared" si="28"/>
        <v>148</v>
      </c>
      <c r="BB37" s="1309">
        <f t="shared" si="25"/>
        <v>12.333333333333334</v>
      </c>
      <c r="BC37" s="2195">
        <f t="shared" si="29"/>
        <v>12.333333333333334</v>
      </c>
      <c r="BD37" s="1590"/>
      <c r="BE37" s="1590"/>
      <c r="BF37" s="1590"/>
      <c r="BG37" s="1590"/>
      <c r="BH37" s="1590"/>
      <c r="BI37" s="1590"/>
      <c r="BJ37" s="1590"/>
      <c r="BK37" s="1590"/>
      <c r="BL37" s="1590"/>
      <c r="BM37" s="1590"/>
      <c r="BN37" s="1590"/>
      <c r="BO37" s="1590"/>
      <c r="BP37" s="1590"/>
      <c r="BQ37" s="1590"/>
      <c r="BR37" s="1590"/>
      <c r="BS37" s="1590"/>
      <c r="BT37" s="1590"/>
      <c r="BU37" s="1590"/>
      <c r="BW37" s="1590"/>
      <c r="BX37" s="1590"/>
    </row>
    <row r="38" spans="1:76" ht="17.25" customHeight="1" x14ac:dyDescent="0.55000000000000004">
      <c r="A38" s="7235"/>
      <c r="B38" s="1609"/>
      <c r="C38" s="1605" t="s">
        <v>790</v>
      </c>
      <c r="D38" s="1124">
        <v>6</v>
      </c>
      <c r="E38" s="1124">
        <v>6</v>
      </c>
      <c r="F38" s="1124">
        <v>6</v>
      </c>
      <c r="G38" s="1124">
        <v>6</v>
      </c>
      <c r="H38" s="1124">
        <v>5</v>
      </c>
      <c r="I38" s="1124">
        <v>5</v>
      </c>
      <c r="J38" s="1124">
        <v>5</v>
      </c>
      <c r="K38" s="1124">
        <v>5</v>
      </c>
      <c r="L38" s="1124">
        <v>6</v>
      </c>
      <c r="M38" s="1124">
        <v>6</v>
      </c>
      <c r="N38" s="1124">
        <v>6</v>
      </c>
      <c r="O38" s="1124">
        <v>6</v>
      </c>
      <c r="P38" s="1124">
        <v>68</v>
      </c>
      <c r="Q38" s="1124">
        <v>5.666666666666667</v>
      </c>
      <c r="R38" s="1594">
        <v>13</v>
      </c>
      <c r="S38" s="1594">
        <v>11</v>
      </c>
      <c r="T38" s="1594">
        <v>13</v>
      </c>
      <c r="U38" s="1594">
        <v>12</v>
      </c>
      <c r="V38" s="1594">
        <v>13</v>
      </c>
      <c r="W38" s="1594">
        <v>13</v>
      </c>
      <c r="X38" s="1594">
        <v>19</v>
      </c>
      <c r="Y38" s="1594">
        <v>27</v>
      </c>
      <c r="Z38" s="1594">
        <v>23</v>
      </c>
      <c r="AA38" s="1594">
        <v>19</v>
      </c>
      <c r="AB38" s="1594">
        <v>22</v>
      </c>
      <c r="AC38" s="1594">
        <v>22</v>
      </c>
      <c r="AD38" s="1594">
        <f t="shared" si="22"/>
        <v>207</v>
      </c>
      <c r="AE38" s="1594">
        <f t="shared" si="32"/>
        <v>17.25</v>
      </c>
      <c r="AF38" s="2235">
        <v>19</v>
      </c>
      <c r="AG38" s="1594">
        <v>20</v>
      </c>
      <c r="AH38" s="1594">
        <v>15</v>
      </c>
      <c r="AI38" s="2068">
        <v>16</v>
      </c>
      <c r="AJ38" s="1594">
        <v>15</v>
      </c>
      <c r="AK38" s="1594">
        <v>17</v>
      </c>
      <c r="AL38" s="1594">
        <v>11</v>
      </c>
      <c r="AM38" s="2068">
        <v>15</v>
      </c>
      <c r="AN38" s="2068">
        <v>14</v>
      </c>
      <c r="AO38" s="2068">
        <v>14</v>
      </c>
      <c r="AP38" s="2068">
        <v>14</v>
      </c>
      <c r="AQ38" s="2068">
        <v>15</v>
      </c>
      <c r="AR38" s="1309">
        <f t="shared" si="30"/>
        <v>15</v>
      </c>
      <c r="AS38" s="1307"/>
      <c r="AT38" s="1610"/>
      <c r="AU38" s="1610"/>
      <c r="AV38" s="1307"/>
      <c r="AW38" s="1307"/>
      <c r="AX38" s="1594">
        <f t="shared" si="31"/>
        <v>185</v>
      </c>
      <c r="AY38" s="1307"/>
      <c r="AZ38" s="1307"/>
      <c r="BA38" s="1594">
        <f t="shared" si="28"/>
        <v>-22</v>
      </c>
      <c r="BB38" s="1594">
        <f t="shared" si="25"/>
        <v>15.416666666666666</v>
      </c>
      <c r="BC38" s="2196">
        <f t="shared" si="29"/>
        <v>-1.8333333333333339</v>
      </c>
      <c r="BD38" s="1590"/>
      <c r="BE38" s="1590"/>
      <c r="BF38" s="1590"/>
      <c r="BG38" s="1590"/>
      <c r="BH38" s="1590"/>
      <c r="BI38" s="1590"/>
      <c r="BJ38" s="1590"/>
      <c r="BK38" s="1590"/>
      <c r="BL38" s="1590"/>
      <c r="BM38" s="1590"/>
      <c r="BN38" s="1590"/>
      <c r="BO38" s="1590"/>
      <c r="BP38" s="1590"/>
      <c r="BQ38" s="1590"/>
      <c r="BR38" s="1590"/>
      <c r="BS38" s="1590"/>
      <c r="BT38" s="1590"/>
      <c r="BU38" s="1590"/>
      <c r="BW38" s="1590"/>
      <c r="BX38" s="1590"/>
    </row>
    <row r="39" spans="1:76" ht="17.25" customHeight="1" x14ac:dyDescent="0.55000000000000004">
      <c r="A39" s="7235"/>
      <c r="B39" s="1308"/>
      <c r="C39" s="1123" t="s">
        <v>789</v>
      </c>
      <c r="D39" s="1121">
        <v>8</v>
      </c>
      <c r="E39" s="1121">
        <v>7</v>
      </c>
      <c r="F39" s="1121">
        <v>10</v>
      </c>
      <c r="G39" s="1121">
        <v>11</v>
      </c>
      <c r="H39" s="1121">
        <v>12</v>
      </c>
      <c r="I39" s="1121">
        <v>12</v>
      </c>
      <c r="J39" s="1121">
        <v>12</v>
      </c>
      <c r="K39" s="1121">
        <v>12</v>
      </c>
      <c r="L39" s="1121">
        <v>11</v>
      </c>
      <c r="M39" s="1121">
        <v>11</v>
      </c>
      <c r="N39" s="1121">
        <v>8</v>
      </c>
      <c r="O39" s="1121">
        <v>8</v>
      </c>
      <c r="P39" s="1121">
        <v>122</v>
      </c>
      <c r="Q39" s="1121">
        <v>10.166666666666666</v>
      </c>
      <c r="R39" s="1309">
        <v>13</v>
      </c>
      <c r="S39" s="1309">
        <v>12</v>
      </c>
      <c r="T39" s="1309">
        <v>12</v>
      </c>
      <c r="U39" s="1309">
        <v>12</v>
      </c>
      <c r="V39" s="1309">
        <v>11</v>
      </c>
      <c r="W39" s="1309">
        <v>11</v>
      </c>
      <c r="X39" s="1309">
        <v>19</v>
      </c>
      <c r="Y39" s="1309">
        <v>23</v>
      </c>
      <c r="Z39" s="1309">
        <v>31</v>
      </c>
      <c r="AA39" s="1309">
        <v>28</v>
      </c>
      <c r="AB39" s="1309">
        <v>21</v>
      </c>
      <c r="AC39" s="1309">
        <v>27</v>
      </c>
      <c r="AD39" s="1309">
        <f>SUM(R39:AC39)</f>
        <v>220</v>
      </c>
      <c r="AE39" s="1309">
        <f t="shared" si="32"/>
        <v>18.333333333333332</v>
      </c>
      <c r="AF39" s="2234">
        <v>21</v>
      </c>
      <c r="AG39" s="1309">
        <v>20</v>
      </c>
      <c r="AH39" s="1309">
        <v>17</v>
      </c>
      <c r="AI39" s="1309">
        <v>18</v>
      </c>
      <c r="AJ39" s="1309">
        <v>18</v>
      </c>
      <c r="AK39" s="1309">
        <v>21</v>
      </c>
      <c r="AL39" s="1309">
        <v>17</v>
      </c>
      <c r="AM39" s="2368">
        <v>19</v>
      </c>
      <c r="AN39" s="1309">
        <v>20</v>
      </c>
      <c r="AO39" s="1309">
        <v>20</v>
      </c>
      <c r="AP39" s="1309">
        <v>20</v>
      </c>
      <c r="AQ39" s="1309">
        <v>20</v>
      </c>
      <c r="AR39" s="1309">
        <f t="shared" si="30"/>
        <v>20</v>
      </c>
      <c r="AS39" s="1307"/>
      <c r="AT39" s="1195"/>
      <c r="AU39" s="1195"/>
      <c r="AV39" s="1307"/>
      <c r="AW39" s="1307"/>
      <c r="AX39" s="1309">
        <f t="shared" si="31"/>
        <v>231</v>
      </c>
      <c r="AY39" s="1307"/>
      <c r="AZ39" s="1307"/>
      <c r="BA39" s="2279">
        <f t="shared" si="28"/>
        <v>11</v>
      </c>
      <c r="BB39" s="1309">
        <f t="shared" si="25"/>
        <v>19.25</v>
      </c>
      <c r="BC39" s="2195">
        <f t="shared" si="29"/>
        <v>0.91666666666666785</v>
      </c>
      <c r="BF39" s="1008"/>
      <c r="BG39" s="1008"/>
      <c r="BH39" s="1008"/>
      <c r="BI39" s="1008"/>
      <c r="BJ39" s="1008"/>
      <c r="BK39" s="1008"/>
      <c r="BL39" s="1008"/>
      <c r="BM39" s="1008"/>
      <c r="BN39" s="1008"/>
      <c r="BO39" s="1008"/>
      <c r="BP39" s="1008"/>
      <c r="BQ39" s="1008"/>
      <c r="BR39" s="1008"/>
      <c r="BS39" s="1008"/>
      <c r="BT39" s="1008"/>
      <c r="BU39" s="1008"/>
    </row>
    <row r="40" spans="1:76" ht="17.25" customHeight="1" x14ac:dyDescent="0.55000000000000004">
      <c r="A40" s="7235"/>
      <c r="B40" s="1308"/>
      <c r="C40" s="1123" t="s">
        <v>1133</v>
      </c>
      <c r="D40" s="1121"/>
      <c r="E40" s="1121"/>
      <c r="F40" s="1121"/>
      <c r="G40" s="1121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309"/>
      <c r="S40" s="1309"/>
      <c r="T40" s="1309"/>
      <c r="U40" s="1309"/>
      <c r="V40" s="1309"/>
      <c r="W40" s="1309"/>
      <c r="X40" s="1309"/>
      <c r="Y40" s="1309"/>
      <c r="Z40" s="1309"/>
      <c r="AA40" s="1309"/>
      <c r="AB40" s="1309"/>
      <c r="AC40" s="1309"/>
      <c r="AD40" s="1309"/>
      <c r="AE40" s="1309"/>
      <c r="AF40" s="2234">
        <v>0</v>
      </c>
      <c r="AG40" s="1309">
        <v>0</v>
      </c>
      <c r="AH40" s="1309">
        <v>14</v>
      </c>
      <c r="AI40" s="1309">
        <v>13</v>
      </c>
      <c r="AJ40" s="1309">
        <v>13</v>
      </c>
      <c r="AK40" s="1309">
        <v>14</v>
      </c>
      <c r="AL40" s="1309">
        <v>18</v>
      </c>
      <c r="AM40" s="1309">
        <v>11</v>
      </c>
      <c r="AN40" s="1309">
        <v>11</v>
      </c>
      <c r="AO40" s="1309">
        <v>12</v>
      </c>
      <c r="AP40" s="1309">
        <v>11</v>
      </c>
      <c r="AQ40" s="1309">
        <v>11</v>
      </c>
      <c r="AR40" s="1309">
        <f>AH40</f>
        <v>14</v>
      </c>
      <c r="AS40" s="1307"/>
      <c r="AT40" s="1195"/>
      <c r="AU40" s="1195"/>
      <c r="AV40" s="1307"/>
      <c r="AW40" s="1307"/>
      <c r="AX40" s="1309">
        <f t="shared" si="31"/>
        <v>128</v>
      </c>
      <c r="AY40" s="1307"/>
      <c r="AZ40" s="1307"/>
      <c r="BA40" s="2279">
        <f t="shared" si="28"/>
        <v>128</v>
      </c>
      <c r="BB40" s="1309">
        <f t="shared" ref="BB40:BB41" si="35">AX40/($C$2-0.001)</f>
        <v>10.666666666666666</v>
      </c>
      <c r="BC40" s="2195">
        <f t="shared" ref="BC40:BC41" si="36">BB40-AE40</f>
        <v>10.666666666666666</v>
      </c>
      <c r="BF40" s="1008"/>
      <c r="BG40" s="1008"/>
      <c r="BH40" s="1008"/>
      <c r="BI40" s="1008"/>
      <c r="BJ40" s="1008"/>
      <c r="BK40" s="1008"/>
      <c r="BL40" s="1008"/>
      <c r="BM40" s="1008"/>
      <c r="BN40" s="1008"/>
      <c r="BO40" s="1008"/>
      <c r="BP40" s="1008"/>
      <c r="BQ40" s="1008"/>
      <c r="BR40" s="1008"/>
      <c r="BS40" s="1008"/>
      <c r="BT40" s="1008"/>
      <c r="BU40" s="1008"/>
    </row>
    <row r="41" spans="1:76" ht="17.149999999999999" customHeight="1" x14ac:dyDescent="0.55000000000000004">
      <c r="A41" s="7236"/>
      <c r="B41" s="2305"/>
      <c r="C41" s="2306" t="s">
        <v>1149</v>
      </c>
      <c r="D41" s="2307"/>
      <c r="E41" s="2307"/>
      <c r="F41" s="2307"/>
      <c r="G41" s="2307"/>
      <c r="H41" s="2307"/>
      <c r="I41" s="2307"/>
      <c r="J41" s="2307"/>
      <c r="K41" s="2307"/>
      <c r="L41" s="2307"/>
      <c r="M41" s="2307"/>
      <c r="N41" s="2307"/>
      <c r="O41" s="2307"/>
      <c r="P41" s="2307"/>
      <c r="Q41" s="2307"/>
      <c r="R41" s="2308"/>
      <c r="S41" s="2308"/>
      <c r="T41" s="2308"/>
      <c r="U41" s="2308"/>
      <c r="V41" s="2308"/>
      <c r="W41" s="2308"/>
      <c r="X41" s="2308"/>
      <c r="Y41" s="2308"/>
      <c r="Z41" s="2308"/>
      <c r="AA41" s="2308"/>
      <c r="AB41" s="2308"/>
      <c r="AC41" s="2308"/>
      <c r="AD41" s="2308"/>
      <c r="AE41" s="2308"/>
      <c r="AF41" s="2309"/>
      <c r="AG41" s="2308"/>
      <c r="AH41" s="2308"/>
      <c r="AI41" s="2308"/>
      <c r="AJ41" s="2308"/>
      <c r="AK41" s="2308"/>
      <c r="AL41" s="2308">
        <v>9</v>
      </c>
      <c r="AM41" s="2308">
        <v>8</v>
      </c>
      <c r="AN41" s="2308">
        <v>7</v>
      </c>
      <c r="AO41" s="2308">
        <v>9</v>
      </c>
      <c r="AP41" s="2308">
        <v>9</v>
      </c>
      <c r="AQ41" s="2308">
        <v>9</v>
      </c>
      <c r="AR41" s="2308">
        <f>AH41</f>
        <v>0</v>
      </c>
      <c r="AS41" s="2310"/>
      <c r="AT41" s="2311"/>
      <c r="AU41" s="2311"/>
      <c r="AV41" s="2310"/>
      <c r="AW41" s="2310"/>
      <c r="AX41" s="2308">
        <f t="shared" si="31"/>
        <v>51</v>
      </c>
      <c r="AY41" s="2310"/>
      <c r="AZ41" s="2310"/>
      <c r="BA41" s="2279">
        <f t="shared" si="28"/>
        <v>51</v>
      </c>
      <c r="BB41" s="2308">
        <f t="shared" si="35"/>
        <v>4.25</v>
      </c>
      <c r="BC41" s="2312">
        <f t="shared" si="36"/>
        <v>4.25</v>
      </c>
      <c r="BF41" s="1008"/>
      <c r="BG41" s="1008"/>
      <c r="BH41" s="1008"/>
      <c r="BI41" s="1008"/>
      <c r="BJ41" s="1008"/>
      <c r="BK41" s="1008"/>
      <c r="BL41" s="1008"/>
      <c r="BM41" s="1008"/>
      <c r="BN41" s="1008"/>
      <c r="BO41" s="1008"/>
      <c r="BP41" s="1008"/>
      <c r="BQ41" s="1008"/>
      <c r="BR41" s="1008"/>
      <c r="BS41" s="1008"/>
      <c r="BT41" s="1008"/>
      <c r="BU41" s="1008"/>
    </row>
    <row r="42" spans="1:76" ht="16.5" customHeight="1" x14ac:dyDescent="0.55000000000000004">
      <c r="A42" s="2228"/>
      <c r="B42" s="2248"/>
      <c r="C42" s="2249" t="s">
        <v>785</v>
      </c>
      <c r="D42" s="2250">
        <v>12</v>
      </c>
      <c r="E42" s="2250">
        <v>13</v>
      </c>
      <c r="F42" s="2250">
        <v>13</v>
      </c>
      <c r="G42" s="2250">
        <v>13</v>
      </c>
      <c r="H42" s="2250">
        <v>13</v>
      </c>
      <c r="I42" s="2250">
        <v>13</v>
      </c>
      <c r="J42" s="2250">
        <v>12</v>
      </c>
      <c r="K42" s="2250">
        <v>11</v>
      </c>
      <c r="L42" s="2250">
        <v>12</v>
      </c>
      <c r="M42" s="2250">
        <v>12</v>
      </c>
      <c r="N42" s="2250">
        <v>15</v>
      </c>
      <c r="O42" s="2250">
        <v>17</v>
      </c>
      <c r="P42" s="2250">
        <v>156</v>
      </c>
      <c r="Q42" s="2250">
        <v>13</v>
      </c>
      <c r="R42" s="2251">
        <v>4</v>
      </c>
      <c r="S42" s="2251">
        <v>3</v>
      </c>
      <c r="T42" s="2251">
        <v>3</v>
      </c>
      <c r="U42" s="2251">
        <v>2</v>
      </c>
      <c r="V42" s="2251">
        <v>2</v>
      </c>
      <c r="W42" s="2251">
        <v>2</v>
      </c>
      <c r="X42" s="2251">
        <v>2</v>
      </c>
      <c r="Y42" s="2251">
        <v>2</v>
      </c>
      <c r="Z42" s="2251">
        <v>2</v>
      </c>
      <c r="AA42" s="2251">
        <v>2</v>
      </c>
      <c r="AB42" s="2251">
        <v>8</v>
      </c>
      <c r="AC42" s="2251">
        <v>10</v>
      </c>
      <c r="AD42" s="2251">
        <f t="shared" ref="AD42:AD43" si="37">SUM(R42:AC42)</f>
        <v>42</v>
      </c>
      <c r="AE42" s="2251">
        <f t="shared" ref="AE42:AE43" si="38">AVERAGE(R42:AC42)</f>
        <v>3.5</v>
      </c>
      <c r="AF42" s="2252"/>
      <c r="AG42" s="2249"/>
      <c r="AH42" s="2251"/>
      <c r="AI42" s="2251"/>
      <c r="AJ42" s="2280"/>
      <c r="AK42" s="2280"/>
      <c r="AL42" s="2280">
        <v>8</v>
      </c>
      <c r="AM42" s="2280"/>
      <c r="AN42" s="2251"/>
      <c r="AO42" s="2251"/>
      <c r="AP42" s="2251"/>
      <c r="AQ42" s="2251"/>
      <c r="AR42" s="2251"/>
      <c r="AS42" s="2253"/>
      <c r="AT42" s="2251"/>
      <c r="AU42" s="2251"/>
      <c r="AV42" s="2253"/>
      <c r="AW42" s="2253"/>
      <c r="AX42" s="2251"/>
      <c r="AY42" s="2253"/>
      <c r="AZ42" s="2253"/>
      <c r="BA42" s="2280"/>
      <c r="BB42" s="2251"/>
      <c r="BC42" s="2254"/>
      <c r="BD42" s="1590"/>
      <c r="BE42" s="1590"/>
      <c r="BF42" s="1590"/>
      <c r="BG42" s="1590"/>
      <c r="BH42" s="1590"/>
      <c r="BI42" s="1590"/>
      <c r="BJ42" s="1590"/>
      <c r="BK42" s="1590"/>
      <c r="BL42" s="1590"/>
      <c r="BM42" s="1590"/>
      <c r="BN42" s="1590"/>
      <c r="BO42" s="1590"/>
      <c r="BP42" s="1590"/>
      <c r="BQ42" s="1590"/>
      <c r="BR42" s="1590"/>
      <c r="BS42" s="1590"/>
      <c r="BT42" s="1590"/>
      <c r="BU42" s="1590"/>
      <c r="BW42" s="1590"/>
      <c r="BX42" s="1590"/>
    </row>
    <row r="43" spans="1:76" ht="16.5" customHeight="1" x14ac:dyDescent="0.55000000000000004">
      <c r="B43" s="2248"/>
      <c r="C43" s="2249"/>
      <c r="D43" s="2250">
        <v>13</v>
      </c>
      <c r="E43" s="2250">
        <v>13</v>
      </c>
      <c r="F43" s="2250">
        <v>11</v>
      </c>
      <c r="G43" s="2250">
        <v>11</v>
      </c>
      <c r="H43" s="2250">
        <v>11</v>
      </c>
      <c r="I43" s="2250">
        <v>12</v>
      </c>
      <c r="J43" s="2250">
        <v>10</v>
      </c>
      <c r="K43" s="2250">
        <v>9</v>
      </c>
      <c r="L43" s="2250">
        <v>11</v>
      </c>
      <c r="M43" s="2250">
        <v>11</v>
      </c>
      <c r="N43" s="2250">
        <v>11</v>
      </c>
      <c r="O43" s="2250">
        <v>12</v>
      </c>
      <c r="P43" s="2250">
        <v>135</v>
      </c>
      <c r="Q43" s="2250">
        <v>11.25</v>
      </c>
      <c r="R43" s="2251">
        <v>8</v>
      </c>
      <c r="S43" s="2251">
        <v>9</v>
      </c>
      <c r="T43" s="2251">
        <v>7</v>
      </c>
      <c r="U43" s="2251">
        <v>7</v>
      </c>
      <c r="V43" s="2251">
        <v>7</v>
      </c>
      <c r="W43" s="2251">
        <v>7</v>
      </c>
      <c r="X43" s="2251">
        <v>5</v>
      </c>
      <c r="Y43" s="2251">
        <v>5</v>
      </c>
      <c r="Z43" s="2251">
        <v>5</v>
      </c>
      <c r="AA43" s="2251">
        <v>5</v>
      </c>
      <c r="AB43" s="2251">
        <v>6</v>
      </c>
      <c r="AC43" s="2251">
        <v>28</v>
      </c>
      <c r="AD43" s="2251">
        <f t="shared" si="37"/>
        <v>99</v>
      </c>
      <c r="AE43" s="2251">
        <f t="shared" si="38"/>
        <v>8.25</v>
      </c>
      <c r="AF43" s="2252"/>
      <c r="AG43" s="2249"/>
      <c r="AH43" s="2251"/>
      <c r="AI43" s="2251"/>
      <c r="AJ43" s="2280"/>
      <c r="AK43" s="2280"/>
      <c r="AL43" s="2280"/>
      <c r="AM43" s="2280"/>
      <c r="AN43" s="2251"/>
      <c r="AO43" s="2251"/>
      <c r="AP43" s="2251"/>
      <c r="AQ43" s="2251"/>
      <c r="AR43" s="2251"/>
      <c r="AS43" s="2253"/>
      <c r="AT43" s="2251"/>
      <c r="AU43" s="2251"/>
      <c r="AV43" s="2253"/>
      <c r="AW43" s="2253"/>
      <c r="AX43" s="2251"/>
      <c r="AY43" s="2253"/>
      <c r="AZ43" s="2253"/>
      <c r="BA43" s="2280"/>
      <c r="BB43" s="2251"/>
      <c r="BC43" s="2254"/>
      <c r="BD43" s="1590"/>
      <c r="BE43" s="1590"/>
      <c r="BF43" s="1590"/>
      <c r="BG43" s="1590"/>
      <c r="BH43" s="1590"/>
      <c r="BI43" s="1590"/>
      <c r="BJ43" s="1590"/>
      <c r="BK43" s="1590"/>
      <c r="BL43" s="1590"/>
      <c r="BM43" s="1590"/>
      <c r="BN43" s="1590"/>
      <c r="BO43" s="1590"/>
      <c r="BP43" s="1590"/>
      <c r="BQ43" s="1590"/>
      <c r="BR43" s="1590"/>
      <c r="BS43" s="1590"/>
      <c r="BT43" s="1590"/>
      <c r="BU43" s="1590"/>
      <c r="BW43" s="1590"/>
      <c r="BX43" s="1590"/>
    </row>
    <row r="44" spans="1:76" x14ac:dyDescent="0.55000000000000004">
      <c r="R44" s="711"/>
      <c r="S44" s="711"/>
      <c r="T44" s="711"/>
      <c r="U44" s="711"/>
      <c r="V44" s="711"/>
      <c r="W44" s="711"/>
      <c r="X44" s="711"/>
      <c r="Y44" s="711"/>
      <c r="Z44" s="711"/>
      <c r="AA44" s="711"/>
      <c r="AF44" s="711"/>
      <c r="AH44" s="711"/>
      <c r="AI44" s="711"/>
      <c r="AJ44" s="711"/>
      <c r="AK44" s="711"/>
      <c r="AL44" s="711"/>
      <c r="AM44" s="2369"/>
      <c r="AN44" s="711"/>
      <c r="AO44" s="711"/>
      <c r="BF44" s="1008"/>
      <c r="BG44" s="1008"/>
      <c r="BH44" s="1008"/>
      <c r="BI44" s="1008"/>
      <c r="BJ44" s="1008"/>
      <c r="BK44" s="1008"/>
      <c r="BL44" s="1008"/>
      <c r="BM44" s="1008"/>
      <c r="BN44" s="1008"/>
      <c r="BO44" s="1008"/>
      <c r="BP44" s="1008"/>
      <c r="BQ44" s="1008"/>
      <c r="BR44" s="1008"/>
      <c r="BS44" s="1008"/>
      <c r="BT44" s="1008"/>
      <c r="BU44" s="1008"/>
    </row>
    <row r="45" spans="1:76" x14ac:dyDescent="0.55000000000000004">
      <c r="AK45" s="711"/>
      <c r="BF45" s="1008"/>
      <c r="BG45" s="1008"/>
      <c r="BH45" s="1008"/>
      <c r="BI45" s="1008"/>
      <c r="BJ45" s="1008"/>
      <c r="BK45" s="1008"/>
      <c r="BL45" s="1008"/>
      <c r="BM45" s="1008"/>
      <c r="BN45" s="1008"/>
      <c r="BO45" s="1008"/>
      <c r="BP45" s="1008"/>
      <c r="BQ45" s="1008"/>
      <c r="BR45" s="1008"/>
      <c r="BS45" s="1008"/>
      <c r="BT45" s="1008"/>
      <c r="BU45" s="1008"/>
    </row>
    <row r="46" spans="1:76" x14ac:dyDescent="0.55000000000000004">
      <c r="BF46" s="1008"/>
      <c r="BG46" s="1008"/>
      <c r="BH46" s="1008"/>
      <c r="BI46" s="1008"/>
      <c r="BJ46" s="1008"/>
      <c r="BK46" s="1008"/>
      <c r="BL46" s="1008"/>
      <c r="BM46" s="1008"/>
      <c r="BN46" s="1008"/>
      <c r="BO46" s="1008"/>
      <c r="BP46" s="1008"/>
      <c r="BQ46" s="1008"/>
      <c r="BR46" s="1008"/>
      <c r="BS46" s="1008"/>
      <c r="BT46" s="1008"/>
      <c r="BU46" s="1008"/>
    </row>
  </sheetData>
  <mergeCells count="8">
    <mergeCell ref="BV3:CI3"/>
    <mergeCell ref="A29:A41"/>
    <mergeCell ref="B29:C29"/>
    <mergeCell ref="AX3:BC3"/>
    <mergeCell ref="AF3:AW3"/>
    <mergeCell ref="BH3:BU3"/>
    <mergeCell ref="D3:Q3"/>
    <mergeCell ref="R3:AE3"/>
  </mergeCells>
  <phoneticPr fontId="1" type="noConversion"/>
  <pageMargins left="0.7" right="0.7" top="0.75" bottom="0.75" header="0.3" footer="0.3"/>
  <pageSetup paperSize="9" scale="1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BE94-BA71-42FB-9D55-15970F2B103C}">
  <sheetPr codeName="Sheet7">
    <pageSetUpPr fitToPage="1"/>
  </sheetPr>
  <dimension ref="A1:BL123"/>
  <sheetViews>
    <sheetView showGridLines="0" view="pageBreakPreview" zoomScale="55" zoomScaleNormal="55" zoomScaleSheetLayoutView="55" workbookViewId="0">
      <pane xSplit="3" topLeftCell="D1" activePane="topRight" state="frozen"/>
      <selection activeCell="AG13" sqref="AG13"/>
      <selection pane="topRight" activeCell="F17" sqref="F17:U17"/>
    </sheetView>
  </sheetViews>
  <sheetFormatPr defaultColWidth="8.5703125" defaultRowHeight="15" x14ac:dyDescent="0.55000000000000004"/>
  <cols>
    <col min="1" max="1" width="11.5" style="2426" customWidth="1"/>
    <col min="2" max="2" width="10.0703125" style="4703" customWidth="1"/>
    <col min="3" max="3" width="15.85546875" style="2989" bestFit="1" customWidth="1"/>
    <col min="4" max="5" width="9.92578125" style="2989" customWidth="1"/>
    <col min="6" max="7" width="8.640625" style="2989" customWidth="1"/>
    <col min="8" max="18" width="9.42578125" style="2989" customWidth="1"/>
    <col min="19" max="19" width="8.640625" style="2989" customWidth="1"/>
    <col min="20" max="20" width="9.42578125" style="2989" bestFit="1" customWidth="1"/>
    <col min="21" max="21" width="11.85546875" style="2989" customWidth="1"/>
    <col min="22" max="22" width="9.42578125" style="2989" bestFit="1" customWidth="1"/>
    <col min="23" max="23" width="10.5" style="2989" hidden="1" customWidth="1"/>
    <col min="24" max="24" width="8.640625" style="2989" hidden="1" customWidth="1"/>
    <col min="25" max="25" width="12.5703125" style="2989" customWidth="1"/>
    <col min="26" max="26" width="8.640625" style="5139" bestFit="1" customWidth="1"/>
    <col min="27" max="27" width="9.42578125" style="2989" bestFit="1" customWidth="1"/>
    <col min="28" max="28" width="8.640625" style="2426" bestFit="1" customWidth="1"/>
    <col min="29" max="33" width="8.5703125" style="2426"/>
    <col min="34" max="46" width="12.42578125" style="2426" customWidth="1"/>
    <col min="47" max="48" width="12.42578125" style="2426" hidden="1" customWidth="1"/>
    <col min="49" max="50" width="12.42578125" style="2426" customWidth="1"/>
    <col min="51" max="16384" width="8.5703125" style="2426"/>
  </cols>
  <sheetData>
    <row r="1" spans="1:62" ht="13.5" customHeight="1" x14ac:dyDescent="0.55000000000000004">
      <c r="D1" s="2989" t="s">
        <v>792</v>
      </c>
      <c r="E1" s="2989" t="s">
        <v>663</v>
      </c>
      <c r="F1" s="2989" t="s">
        <v>664</v>
      </c>
      <c r="G1" s="2989" t="s">
        <v>1080</v>
      </c>
      <c r="H1" s="2989" t="s">
        <v>460</v>
      </c>
      <c r="I1" s="2989" t="s">
        <v>459</v>
      </c>
      <c r="J1" s="2989" t="s">
        <v>461</v>
      </c>
      <c r="K1" s="2989" t="s">
        <v>665</v>
      </c>
      <c r="L1" s="2989" t="s">
        <v>642</v>
      </c>
      <c r="M1" s="2989" t="s">
        <v>650</v>
      </c>
      <c r="N1" s="2989" t="s">
        <v>1151</v>
      </c>
      <c r="O1" s="2989" t="s">
        <v>1154</v>
      </c>
      <c r="P1" s="2989" t="s">
        <v>1165</v>
      </c>
      <c r="Q1" s="2989" t="s">
        <v>737</v>
      </c>
      <c r="R1" s="2989" t="s">
        <v>462</v>
      </c>
      <c r="S1" s="2989" t="s">
        <v>469</v>
      </c>
      <c r="T1" s="2989" t="s">
        <v>1082</v>
      </c>
      <c r="U1" s="2989" t="s">
        <v>738</v>
      </c>
      <c r="V1" s="2989" t="s">
        <v>929</v>
      </c>
      <c r="W1" s="2989" t="s">
        <v>656</v>
      </c>
      <c r="X1" s="2989" t="s">
        <v>657</v>
      </c>
      <c r="Y1" s="2989" t="s">
        <v>472</v>
      </c>
      <c r="Z1" s="5139" t="s">
        <v>927</v>
      </c>
      <c r="AA1" s="2989" t="s">
        <v>740</v>
      </c>
    </row>
    <row r="2" spans="1:62" ht="13.5" customHeight="1" thickBot="1" x14ac:dyDescent="0.6"/>
    <row r="3" spans="1:62" ht="60" customHeight="1" thickTop="1" thickBot="1" x14ac:dyDescent="0.6">
      <c r="A3" s="7255" t="s">
        <v>942</v>
      </c>
      <c r="B3" s="7255"/>
      <c r="C3" s="7255"/>
      <c r="D3" s="7255"/>
      <c r="E3" s="7255"/>
      <c r="F3" s="7255"/>
      <c r="G3" s="7255"/>
      <c r="H3" s="7255"/>
      <c r="I3" s="7255"/>
      <c r="J3" s="7255"/>
      <c r="K3" s="7255"/>
      <c r="L3" s="7255"/>
      <c r="M3" s="7255"/>
      <c r="N3" s="7255"/>
      <c r="O3" s="7255"/>
      <c r="P3" s="7255"/>
      <c r="Q3" s="7255"/>
      <c r="R3" s="7255"/>
      <c r="S3" s="7255"/>
      <c r="T3" s="7255"/>
      <c r="U3" s="7255"/>
      <c r="V3" s="7255"/>
      <c r="W3" s="7255"/>
      <c r="X3" s="7255"/>
      <c r="Y3" s="7255"/>
      <c r="Z3" s="7255"/>
      <c r="AA3" s="7255"/>
    </row>
    <row r="4" spans="1:62" s="2444" customFormat="1" ht="15.55" customHeight="1" thickTop="1" thickBot="1" x14ac:dyDescent="0.6">
      <c r="A4" s="2447"/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F4" s="2449"/>
      <c r="BG4" s="2449"/>
      <c r="BH4" s="2449"/>
      <c r="BI4" s="2449"/>
      <c r="BJ4" s="2449"/>
    </row>
    <row r="5" spans="1:62" ht="27.45" thickBot="1" x14ac:dyDescent="0.6">
      <c r="A5" s="4873"/>
      <c r="B5" s="5140"/>
      <c r="C5" s="5141"/>
      <c r="D5" s="5141"/>
      <c r="E5" s="3313"/>
      <c r="F5" s="7266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60"/>
      <c r="T5" s="7160"/>
      <c r="U5" s="7161"/>
      <c r="V5" s="7087" t="str">
        <f>"연간누적실적(~"&amp;'※ 디지털 세부데이터'!C2-0.001&amp;"월)"</f>
        <v>연간누적실적(~12월)</v>
      </c>
      <c r="W5" s="7087"/>
      <c r="X5" s="7087"/>
      <c r="Y5" s="7087"/>
      <c r="Z5" s="7087"/>
      <c r="AA5" s="7113"/>
      <c r="AB5" s="4705" t="s">
        <v>474</v>
      </c>
    </row>
    <row r="6" spans="1:62" ht="16.75" thickBot="1" x14ac:dyDescent="0.6">
      <c r="A6" s="7263" t="s">
        <v>127</v>
      </c>
      <c r="B6" s="7264"/>
      <c r="C6" s="7265"/>
      <c r="D6" s="5142" t="s">
        <v>906</v>
      </c>
      <c r="E6" s="5143" t="s">
        <v>905</v>
      </c>
      <c r="F6" s="5144" t="str" cm="1">
        <f t="array" aca="1" ref="F6" ca="1">INDIRECT("'※ 디지털 세부데이터'!"&amp;F$1&amp;$AB6, TRUE)</f>
        <v>'25.1월</v>
      </c>
      <c r="G6" s="2460" t="str" cm="1">
        <f t="array" aca="1" ref="G6" ca="1">INDIRECT("'※ 디지털 세부데이터'!"&amp;G$1&amp;$AB6, TRUE)</f>
        <v>'25.2월</v>
      </c>
      <c r="H6" s="2460" t="str" cm="1">
        <f t="array" aca="1" ref="H6" ca="1">INDIRECT("'※ 디지털 세부데이터'!"&amp;H$1&amp;$AB6, TRUE)</f>
        <v>'25.3월</v>
      </c>
      <c r="I6" s="2460" t="str" cm="1">
        <f t="array" aca="1" ref="I6" ca="1">INDIRECT("'※ 디지털 세부데이터'!"&amp;I$1&amp;$AB6, TRUE)</f>
        <v>'25.4월</v>
      </c>
      <c r="J6" s="2460" t="str" cm="1">
        <f t="array" aca="1" ref="J6" ca="1">INDIRECT("'※ 디지털 세부데이터'!"&amp;J$1&amp;$AB6, TRUE)</f>
        <v>'25.5월</v>
      </c>
      <c r="K6" s="2460" t="str" cm="1">
        <f t="array" aca="1" ref="K6" ca="1">INDIRECT("'※ 디지털 세부데이터'!"&amp;K$1&amp;$AB6, TRUE)</f>
        <v>'25.6월</v>
      </c>
      <c r="L6" s="2460" t="str" cm="1">
        <f t="array" aca="1" ref="L6" ca="1">INDIRECT("'※ 디지털 세부데이터'!"&amp;L$1&amp;$AB6, TRUE)</f>
        <v>'25.7월</v>
      </c>
      <c r="M6" s="2460" t="str" cm="1">
        <f t="array" aca="1" ref="M6" ca="1">INDIRECT("'※ 디지털 세부데이터'!"&amp;M$1&amp;$AB6, TRUE)</f>
        <v>'25.8월</v>
      </c>
      <c r="N6" s="2460" t="str" cm="1">
        <f t="array" aca="1" ref="N6" ca="1">INDIRECT("'※ 디지털 세부데이터'!"&amp;N$1&amp;$AB6, TRUE)</f>
        <v>'25.9월</v>
      </c>
      <c r="O6" s="2460" t="str" cm="1">
        <f t="array" aca="1" ref="O6" ca="1">INDIRECT("'※ 디지털 세부데이터'!"&amp;O$1&amp;$AB6, TRUE)</f>
        <v>'25.10월</v>
      </c>
      <c r="P6" s="2460" t="str" cm="1">
        <f t="array" aca="1" ref="P6" ca="1">INDIRECT("'※ 디지털 세부데이터'!"&amp;P$1&amp;$AB6, TRUE)</f>
        <v>'25.11월</v>
      </c>
      <c r="Q6" s="2460" t="str" cm="1">
        <f t="array" aca="1" ref="Q6" ca="1">INDIRECT("'※ 디지털 세부데이터'!"&amp;Q$1&amp;$AB6, TRUE)</f>
        <v>'25.12월</v>
      </c>
      <c r="R6" s="3317" t="s">
        <v>774</v>
      </c>
      <c r="S6" s="3317" t="s">
        <v>775</v>
      </c>
      <c r="T6" s="2997" t="s">
        <v>776</v>
      </c>
      <c r="U6" s="5145" t="s">
        <v>463</v>
      </c>
      <c r="V6" s="5146" t="s">
        <v>45</v>
      </c>
      <c r="W6" s="5147" t="s">
        <v>8</v>
      </c>
      <c r="X6" s="5147" t="s">
        <v>9</v>
      </c>
      <c r="Y6" s="5147" t="s">
        <v>609</v>
      </c>
      <c r="Z6" s="5148" t="s">
        <v>46</v>
      </c>
      <c r="AA6" s="5149" t="s">
        <v>11</v>
      </c>
      <c r="AB6" s="3693">
        <f>ROW('※ 디지털 세부데이터'!L4)</f>
        <v>4</v>
      </c>
    </row>
    <row r="7" spans="1:62" ht="21.75" customHeight="1" x14ac:dyDescent="0.55000000000000004">
      <c r="A7" s="7257" t="s">
        <v>330</v>
      </c>
      <c r="B7" s="7259" t="s">
        <v>1043</v>
      </c>
      <c r="C7" s="7260"/>
      <c r="D7" s="5150" cm="1">
        <f t="array" aca="1" ref="D7" ca="1">INDIRECT("'※ 디지털 세부데이터'!"&amp;D$1&amp;$AB7, TRUE)</f>
        <v>1258.8333333333333</v>
      </c>
      <c r="E7" s="5151" cm="1">
        <f t="array" aca="1" ref="E7" ca="1">INDIRECT("'※ 디지털 세부데이터'!"&amp;E$1&amp;$AB7, TRUE)</f>
        <v>11492.583333333334</v>
      </c>
      <c r="F7" s="5152" cm="1">
        <f t="array" aca="1" ref="F7" ca="1">INDIRECT("'※ 디지털 세부데이터'!"&amp;F$1&amp;$AB7, TRUE)</f>
        <v>7588</v>
      </c>
      <c r="G7" s="5153" cm="1">
        <f t="array" aca="1" ref="G7" ca="1">INDIRECT("'※ 디지털 세부데이터'!"&amp;G$1&amp;$AB7, TRUE)</f>
        <v>20682</v>
      </c>
      <c r="H7" s="5153" cm="1">
        <f t="array" aca="1" ref="H7" ca="1">INDIRECT("'※ 디지털 세부데이터'!"&amp;H$1&amp;$AB7, TRUE)</f>
        <v>10591</v>
      </c>
      <c r="I7" s="5153" cm="1">
        <f t="array" aca="1" ref="I7" ca="1">INDIRECT("'※ 디지털 세부데이터'!"&amp;I$1&amp;$AB7, TRUE)</f>
        <v>14687</v>
      </c>
      <c r="J7" s="5153" cm="1">
        <f t="array" aca="1" ref="J7" ca="1">INDIRECT("'※ 디지털 세부데이터'!"&amp;J$1&amp;$AB7, TRUE)</f>
        <v>30235</v>
      </c>
      <c r="K7" s="5153" cm="1">
        <f t="array" aca="1" ref="K7" ca="1">INDIRECT("'※ 디지털 세부데이터'!"&amp;K$1&amp;$AB7, TRUE)</f>
        <v>15026</v>
      </c>
      <c r="L7" s="5153" cm="1">
        <f t="array" aca="1" ref="L7" ca="1">INDIRECT("'※ 디지털 세부데이터'!"&amp;L$1&amp;$AB7, TRUE)</f>
        <v>28501</v>
      </c>
      <c r="M7" s="5153" cm="1">
        <f t="array" aca="1" ref="M7" ca="1">INDIRECT("'※ 디지털 세부데이터'!"&amp;M$1&amp;$AB7, TRUE)</f>
        <v>13256</v>
      </c>
      <c r="N7" s="5153" cm="1">
        <f t="array" aca="1" ref="N7" ca="1">INDIRECT("'※ 디지털 세부데이터'!"&amp;N$1&amp;$AB7, TRUE)</f>
        <v>23139</v>
      </c>
      <c r="O7" s="5153" cm="1">
        <f t="array" aca="1" ref="O7" ca="1">INDIRECT("'※ 디지털 세부데이터'!"&amp;O$1&amp;$AB7, TRUE)</f>
        <v>14766</v>
      </c>
      <c r="P7" s="5153" cm="1">
        <f t="array" aca="1" ref="P7" ca="1">INDIRECT("'※ 디지털 세부데이터'!"&amp;P$1&amp;$AB7, TRUE)</f>
        <v>11138</v>
      </c>
      <c r="Q7" s="5153" cm="1">
        <f t="array" aca="1" ref="Q7" ca="1">INDIRECT("'※ 디지털 세부데이터'!"&amp;Q$1&amp;$AB7, TRUE)</f>
        <v>12178</v>
      </c>
      <c r="R7" s="5153" cm="1">
        <f t="array" aca="1" ref="R7" ca="1">INDIRECT("'※ 디지털 세부데이터'!"&amp;R$1&amp;$AB7, TRUE)</f>
        <v>-2822</v>
      </c>
      <c r="S7" s="5154" cm="1">
        <f t="array" aca="1" ref="S7" ca="1">INDIRECT("'※ 디지털 세부데이터'!"&amp;S$1&amp;$AB7, TRUE)</f>
        <v>0.81186666666666663</v>
      </c>
      <c r="T7" s="5153" cm="1">
        <f t="array" aca="1" ref="T7" ca="1">INDIRECT("'※ 디지털 세부데이터'!"&amp;T$1&amp;$AB7, TRUE)</f>
        <v>1040</v>
      </c>
      <c r="U7" s="5155" cm="1">
        <f t="array" aca="1" ref="U7" ca="1">INDIRECT("'※ 디지털 세부데이터'!"&amp;U$1&amp;$AB7, TRUE)</f>
        <v>3971</v>
      </c>
      <c r="V7" s="5156" cm="1">
        <f t="array" aca="1" ref="V7" ca="1">INDIRECT("'※ 디지털 세부데이터'!"&amp;V$1&amp;$AB7, TRUE)</f>
        <v>201787</v>
      </c>
      <c r="W7" s="5153" cm="1">
        <f t="array" aca="1" ref="W7" ca="1">INDIRECT("'※ 디지털 세부데이터'!"&amp;W$1&amp;$AB7, TRUE)</f>
        <v>10078</v>
      </c>
      <c r="X7" s="5157" cm="1">
        <f t="array" aca="1" ref="X7" ca="1">INDIRECT("'※ 디지털 세부데이터'!"&amp;X$1&amp;$AB7, TRUE)</f>
        <v>10130</v>
      </c>
      <c r="Y7" s="5153" cm="1">
        <f t="array" aca="1" ref="Y7" ca="1">INDIRECT("'※ 디지털 세부데이터'!"&amp;Y$1&amp;$AB7, TRUE)</f>
        <v>63876</v>
      </c>
      <c r="Z7" s="5153" cm="1">
        <f t="array" aca="1" ref="Z7" ca="1">INDIRECT("'※ 디지털 세부데이터'!"&amp;Z$1&amp;$AB7, TRUE)</f>
        <v>16815.583333333332</v>
      </c>
      <c r="AA7" s="5158" cm="1">
        <f t="array" aca="1" ref="AA7" ca="1">INDIRECT("'※ 디지털 세부데이터'!"&amp;AA$1&amp;$AB7, TRUE)</f>
        <v>5322.9999999999982</v>
      </c>
      <c r="AB7" s="3693">
        <f>ROW('※ 디지털 세부데이터'!L5)</f>
        <v>5</v>
      </c>
    </row>
    <row r="8" spans="1:62" ht="21.75" customHeight="1" x14ac:dyDescent="0.55000000000000004">
      <c r="A8" s="7258"/>
      <c r="B8" s="4684"/>
      <c r="C8" s="5062" t="s">
        <v>314</v>
      </c>
      <c r="D8" s="5159" cm="1">
        <f t="array" aca="1" ref="D8" ca="1">INDIRECT("'※ 디지털 세부데이터'!"&amp;D$1&amp;$AB8, TRUE)</f>
        <v>4986.833333333333</v>
      </c>
      <c r="E8" s="5160" cm="1">
        <f t="array" aca="1" ref="E8" ca="1">INDIRECT("'※ 디지털 세부데이터'!"&amp;E$1&amp;$AB8, TRUE)</f>
        <v>10239.75</v>
      </c>
      <c r="F8" s="5161" cm="1">
        <f t="array" aca="1" ref="F8" ca="1">INDIRECT("'※ 디지털 세부데이터'!"&amp;F$1&amp;$AB8, TRUE)</f>
        <v>7577</v>
      </c>
      <c r="G8" s="5162" cm="1">
        <f t="array" aca="1" ref="G8" ca="1">INDIRECT("'※ 디지털 세부데이터'!"&amp;G$1&amp;$AB8, TRUE)</f>
        <v>20613</v>
      </c>
      <c r="H8" s="5162" cm="1">
        <f t="array" aca="1" ref="H8" ca="1">INDIRECT("'※ 디지털 세부데이터'!"&amp;H$1&amp;$AB8, TRUE)</f>
        <v>10585</v>
      </c>
      <c r="I8" s="5162" cm="1">
        <f t="array" aca="1" ref="I8" ca="1">INDIRECT("'※ 디지털 세부데이터'!"&amp;I$1&amp;$AB8, TRUE)</f>
        <v>14677</v>
      </c>
      <c r="J8" s="5162" cm="1">
        <f t="array" aca="1" ref="J8" ca="1">INDIRECT("'※ 디지털 세부데이터'!"&amp;J$1&amp;$AB8, TRUE)</f>
        <v>30183</v>
      </c>
      <c r="K8" s="5162" cm="1">
        <f t="array" aca="1" ref="K8" ca="1">INDIRECT("'※ 디지털 세부데이터'!"&amp;K$1&amp;$AB8, TRUE)</f>
        <v>14907</v>
      </c>
      <c r="L8" s="5162" cm="1">
        <f t="array" aca="1" ref="L8" ca="1">INDIRECT("'※ 디지털 세부데이터'!"&amp;L$1&amp;$AB8, TRUE)</f>
        <v>28122</v>
      </c>
      <c r="M8" s="5162" cm="1">
        <f t="array" aca="1" ref="M8" ca="1">INDIRECT("'※ 디지털 세부데이터'!"&amp;M$1&amp;$AB8, TRUE)</f>
        <v>12693</v>
      </c>
      <c r="N8" s="5162" cm="1">
        <f t="array" aca="1" ref="N8" ca="1">INDIRECT("'※ 디지털 세부데이터'!"&amp;N$1&amp;$AB8, TRUE)</f>
        <v>22535</v>
      </c>
      <c r="O8" s="5162" cm="1">
        <f t="array" aca="1" ref="O8" ca="1">INDIRECT("'※ 디지털 세부데이터'!"&amp;O$1&amp;$AB8, TRUE)</f>
        <v>14239</v>
      </c>
      <c r="P8" s="5162" cm="1">
        <f t="array" aca="1" ref="P8" ca="1">INDIRECT("'※ 디지털 세부데이터'!"&amp;P$1&amp;$AB8, TRUE)</f>
        <v>10704</v>
      </c>
      <c r="Q8" s="5162" cm="1">
        <f t="array" aca="1" ref="Q8" ca="1">INDIRECT("'※ 디지털 세부데이터'!"&amp;Q$1&amp;$AB8, TRUE)</f>
        <v>11789</v>
      </c>
      <c r="R8" s="5162" cm="1">
        <f t="array" aca="1" ref="R8" ca="1">INDIRECT("'※ 디지털 세부데이터'!"&amp;R$1&amp;$AB8, TRUE)</f>
        <v>-2861</v>
      </c>
      <c r="S8" s="4775" cm="1">
        <f t="array" aca="1" ref="S8" ca="1">INDIRECT("'※ 디지털 세부데이터'!"&amp;S$1&amp;$AB8, TRUE)</f>
        <v>0.80470989761092149</v>
      </c>
      <c r="T8" s="5162" cm="1">
        <f t="array" aca="1" ref="T8" ca="1">INDIRECT("'※ 디지털 세부데이터'!"&amp;T$1&amp;$AB8, TRUE)</f>
        <v>1085</v>
      </c>
      <c r="U8" s="5163" cm="1">
        <f t="array" aca="1" ref="U8" ca="1">INDIRECT("'※ 디지털 세부데이터'!"&amp;U$1&amp;$AB8, TRUE)</f>
        <v>4114</v>
      </c>
      <c r="V8" s="5162" cm="1">
        <f t="array" aca="1" ref="V8" ca="1">INDIRECT("'※ 디지털 세부데이터'!"&amp;V$1&amp;$AB8, TRUE)</f>
        <v>198624</v>
      </c>
      <c r="W8" s="5162" cm="1">
        <f t="array" aca="1" ref="W8" ca="1">INDIRECT("'※ 디지털 세부데이터'!"&amp;W$1&amp;$AB8, TRUE)</f>
        <v>8212</v>
      </c>
      <c r="X8" s="5164" cm="1">
        <f t="array" aca="1" ref="X8" ca="1">INDIRECT("'※ 디지털 세부데이터'!"&amp;X$1&amp;$AB8, TRUE)</f>
        <v>8380</v>
      </c>
      <c r="Y8" s="5162" cm="1">
        <f t="array" aca="1" ref="Y8" ca="1">INDIRECT("'※ 디지털 세부데이터'!"&amp;Y$1&amp;$AB8, TRUE)</f>
        <v>75747</v>
      </c>
      <c r="Z8" s="5162" cm="1">
        <f t="array" aca="1" ref="Z8" ca="1">INDIRECT("'※ 디지털 세부데이터'!"&amp;Z$1&amp;$AB8, TRUE)</f>
        <v>16552</v>
      </c>
      <c r="AA8" s="5165" cm="1">
        <f t="array" aca="1" ref="AA8" ca="1">INDIRECT("'※ 디지털 세부데이터'!"&amp;AA$1&amp;$AB8, TRUE)</f>
        <v>6312.25</v>
      </c>
      <c r="AB8" s="3693">
        <f>ROW('※ 디지털 세부데이터'!L6)</f>
        <v>6</v>
      </c>
    </row>
    <row r="9" spans="1:62" ht="21.75" customHeight="1" x14ac:dyDescent="0.55000000000000004">
      <c r="A9" s="7258"/>
      <c r="B9" s="4684"/>
      <c r="C9" s="5062" t="s">
        <v>353</v>
      </c>
      <c r="D9" s="5159" cm="1">
        <f t="array" aca="1" ref="D9" ca="1">INDIRECT("'※ 디지털 세부데이터'!"&amp;D$1&amp;$AB9, TRUE)</f>
        <v>777.16666666666663</v>
      </c>
      <c r="E9" s="5160" cm="1">
        <f t="array" aca="1" ref="E9" ca="1">INDIRECT("'※ 디지털 세부데이터'!"&amp;E$1&amp;$AB9, TRUE)</f>
        <v>195</v>
      </c>
      <c r="F9" s="5161" cm="1">
        <f t="array" aca="1" ref="F9" ca="1">INDIRECT("'※ 디지털 세부데이터'!"&amp;F$1&amp;$AB9, TRUE)</f>
        <v>11</v>
      </c>
      <c r="G9" s="5162" cm="1">
        <f t="array" aca="1" ref="G9" ca="1">INDIRECT("'※ 디지털 세부데이터'!"&amp;G$1&amp;$AB9, TRUE)</f>
        <v>69</v>
      </c>
      <c r="H9" s="5162" cm="1">
        <f t="array" aca="1" ref="H9" ca="1">INDIRECT("'※ 디지털 세부데이터'!"&amp;H$1&amp;$AB9, TRUE)</f>
        <v>6</v>
      </c>
      <c r="I9" s="5162" cm="1">
        <f t="array" aca="1" ref="I9" ca="1">INDIRECT("'※ 디지털 세부데이터'!"&amp;I$1&amp;$AB9, TRUE)</f>
        <v>10</v>
      </c>
      <c r="J9" s="5162" cm="1">
        <f t="array" aca="1" ref="J9" ca="1">INDIRECT("'※ 디지털 세부데이터'!"&amp;J$1&amp;$AB9, TRUE)</f>
        <v>52</v>
      </c>
      <c r="K9" s="5162" cm="1">
        <f t="array" aca="1" ref="K9" ca="1">INDIRECT("'※ 디지털 세부데이터'!"&amp;K$1&amp;$AB9, TRUE)</f>
        <v>119</v>
      </c>
      <c r="L9" s="5162" cm="1">
        <f t="array" aca="1" ref="L9" ca="1">INDIRECT("'※ 디지털 세부데이터'!"&amp;L$1&amp;$AB9, TRUE)</f>
        <v>379</v>
      </c>
      <c r="M9" s="5162" cm="1">
        <f t="array" aca="1" ref="M9" ca="1">INDIRECT("'※ 디지털 세부데이터'!"&amp;M$1&amp;$AB9, TRUE)</f>
        <v>563</v>
      </c>
      <c r="N9" s="5162" cm="1">
        <f t="array" aca="1" ref="N9" ca="1">INDIRECT("'※ 디지털 세부데이터'!"&amp;N$1&amp;$AB9, TRUE)</f>
        <v>604</v>
      </c>
      <c r="O9" s="5162" cm="1">
        <f t="array" aca="1" ref="O9" ca="1">INDIRECT("'※ 디지털 세부데이터'!"&amp;O$1&amp;$AB9, TRUE)</f>
        <v>527</v>
      </c>
      <c r="P9" s="5162" cm="1">
        <f t="array" aca="1" ref="P9" ca="1">INDIRECT("'※ 디지털 세부데이터'!"&amp;P$1&amp;$AB9, TRUE)</f>
        <v>434</v>
      </c>
      <c r="Q9" s="5162" cm="1">
        <f t="array" aca="1" ref="Q9" ca="1">INDIRECT("'※ 디지털 세부데이터'!"&amp;Q$1&amp;$AB9, TRUE)</f>
        <v>389</v>
      </c>
      <c r="R9" s="5162" cm="1">
        <f t="array" aca="1" ref="R9" ca="1">INDIRECT("'※ 디지털 세부데이터'!"&amp;R$1&amp;$AB9, TRUE)</f>
        <v>39</v>
      </c>
      <c r="S9" s="4775" cm="1">
        <f t="array" aca="1" ref="S9" ca="1">INDIRECT("'※ 디지털 세부데이터'!"&amp;S$1&amp;$AB9, TRUE)</f>
        <v>1.1114285714285714</v>
      </c>
      <c r="T9" s="5162" cm="1">
        <f t="array" aca="1" ref="T9" ca="1">INDIRECT("'※ 디지털 세부데이터'!"&amp;T$1&amp;$AB9, TRUE)</f>
        <v>-45</v>
      </c>
      <c r="U9" s="5163" cm="1">
        <f t="array" aca="1" ref="U9" ca="1">INDIRECT("'※ 디지털 세부데이터'!"&amp;U$1&amp;$AB9, TRUE)</f>
        <v>389</v>
      </c>
      <c r="V9" s="5162" cm="1">
        <f t="array" aca="1" ref="V9" ca="1">INDIRECT("'※ 디지털 세부데이터'!"&amp;V$1&amp;$AB9, TRUE)</f>
        <v>3163</v>
      </c>
      <c r="W9" s="5162" cm="1">
        <f t="array" aca="1" ref="W9" ca="1">INDIRECT("'※ 디지털 세부데이터'!"&amp;W$1&amp;$AB9, TRUE)</f>
        <v>411</v>
      </c>
      <c r="X9" s="5164" cm="1">
        <f t="array" aca="1" ref="X9" ca="1">INDIRECT("'※ 디지털 세부데이터'!"&amp;X$1&amp;$AB9, TRUE)</f>
        <v>220</v>
      </c>
      <c r="Y9" s="5162" cm="1">
        <f t="array" aca="1" ref="Y9" ca="1">INDIRECT("'※ 디지털 세부데이터'!"&amp;Y$1&amp;$AB9, TRUE)</f>
        <v>823</v>
      </c>
      <c r="Z9" s="5162" cm="1">
        <f t="array" aca="1" ref="Z9" ca="1">INDIRECT("'※ 디지털 세부데이터'!"&amp;Z$1&amp;$AB9, TRUE)</f>
        <v>263.58333333333331</v>
      </c>
      <c r="AA9" s="5165" cm="1">
        <f t="array" aca="1" ref="AA9" ca="1">INDIRECT("'※ 디지털 세부데이터'!"&amp;AA$1&amp;$AB9, TRUE)</f>
        <v>68.583333333333314</v>
      </c>
      <c r="AB9" s="3693">
        <f>ROW('※ 디지털 세부데이터'!L7)</f>
        <v>7</v>
      </c>
    </row>
    <row r="10" spans="1:62" ht="21.75" customHeight="1" x14ac:dyDescent="0.55000000000000004">
      <c r="A10" s="7258"/>
      <c r="B10" s="4684"/>
      <c r="C10" s="5062" t="s">
        <v>354</v>
      </c>
      <c r="D10" s="5159" cm="1">
        <f t="array" aca="1" ref="D10" ca="1">INDIRECT("'※ 디지털 세부데이터'!"&amp;D$1&amp;$AB10, TRUE)</f>
        <v>1177.4166666666667</v>
      </c>
      <c r="E10" s="5160" cm="1">
        <f t="array" aca="1" ref="E10" ca="1">INDIRECT("'※ 디지털 세부데이터'!"&amp;E$1&amp;$AB10, TRUE)</f>
        <v>1057.8333333333333</v>
      </c>
      <c r="F10" s="7267" t="s">
        <v>1134</v>
      </c>
      <c r="G10" s="7268"/>
      <c r="H10" s="7268"/>
      <c r="I10" s="7268"/>
      <c r="J10" s="7268"/>
      <c r="K10" s="7268"/>
      <c r="L10" s="7268"/>
      <c r="M10" s="7268"/>
      <c r="N10" s="7268"/>
      <c r="O10" s="7268"/>
      <c r="P10" s="7268"/>
      <c r="Q10" s="7268"/>
      <c r="R10" s="7268"/>
      <c r="S10" s="7268"/>
      <c r="T10" s="7268"/>
      <c r="U10" s="7269"/>
      <c r="V10" s="5166"/>
      <c r="W10" s="5166"/>
      <c r="X10" s="5167"/>
      <c r="Y10" s="5166"/>
      <c r="Z10" s="5166"/>
      <c r="AA10" s="5168"/>
      <c r="AB10" s="3693">
        <f>ROW('※ 디지털 세부데이터'!L8)</f>
        <v>8</v>
      </c>
    </row>
    <row r="11" spans="1:62" ht="21.75" customHeight="1" x14ac:dyDescent="0.55000000000000004">
      <c r="A11" s="7258"/>
      <c r="B11" s="7261" t="s">
        <v>777</v>
      </c>
      <c r="C11" s="7262"/>
      <c r="D11" s="5150" cm="1">
        <f t="array" aca="1" ref="D11" ca="1">INDIRECT("'※ 디지털 세부데이터'!"&amp;D$1&amp;$AB11, TRUE)</f>
        <v>5682.583333333333</v>
      </c>
      <c r="E11" s="5169" cm="1">
        <f t="array" aca="1" ref="E11" ca="1">INDIRECT("'※ 디지털 세부데이터'!"&amp;E$1&amp;$AB11, TRUE)</f>
        <v>8702.4166666666661</v>
      </c>
      <c r="F11" s="5170" cm="1">
        <f t="array" aca="1" ref="F11" ca="1">INDIRECT("'※ 디지털 세부데이터'!"&amp;F$1&amp;$AB11, TRUE)</f>
        <v>5385</v>
      </c>
      <c r="G11" s="5156" cm="1">
        <f t="array" aca="1" ref="G11" ca="1">INDIRECT("'※ 디지털 세부데이터'!"&amp;G$1&amp;$AB11, TRUE)</f>
        <v>16915</v>
      </c>
      <c r="H11" s="5156" cm="1">
        <f t="array" aca="1" ref="H11" ca="1">INDIRECT("'※ 디지털 세부데이터'!"&amp;H$1&amp;$AB11, TRUE)</f>
        <v>7408</v>
      </c>
      <c r="I11" s="5156" cm="1">
        <f t="array" aca="1" ref="I11" ca="1">INDIRECT("'※ 디지털 세부데이터'!"&amp;I$1&amp;$AB11, TRUE)</f>
        <v>7814</v>
      </c>
      <c r="J11" s="5156" cm="1">
        <f t="array" aca="1" ref="J11" ca="1">INDIRECT("'※ 디지털 세부데이터'!"&amp;J$1&amp;$AB11, TRUE)</f>
        <v>9792</v>
      </c>
      <c r="K11" s="5156" cm="1">
        <f t="array" aca="1" ref="K11" ca="1">INDIRECT("'※ 디지털 세부데이터'!"&amp;K$1&amp;$AB11, TRUE)</f>
        <v>7562</v>
      </c>
      <c r="L11" s="5156" cm="1">
        <f t="array" aca="1" ref="L11" ca="1">INDIRECT("'※ 디지털 세부데이터'!"&amp;L$1&amp;$AB11, TRUE)</f>
        <v>12735</v>
      </c>
      <c r="M11" s="5156" cm="1">
        <f t="array" aca="1" ref="M11" ca="1">INDIRECT("'※ 디지털 세부데이터'!"&amp;M$1&amp;$AB11, TRUE)</f>
        <v>9471</v>
      </c>
      <c r="N11" s="5156" cm="1">
        <f t="array" aca="1" ref="N11" ca="1">INDIRECT("'※ 디지털 세부데이터'!"&amp;N$1&amp;$AB11, TRUE)</f>
        <v>19884</v>
      </c>
      <c r="O11" s="5156" cm="1">
        <f t="array" aca="1" ref="O11" ca="1">INDIRECT("'※ 디지털 세부데이터'!"&amp;O$1&amp;$AB11, TRUE)</f>
        <v>11925</v>
      </c>
      <c r="P11" s="5156" cm="1">
        <f t="array" aca="1" ref="P11" ca="1">INDIRECT("'※ 디지털 세부데이터'!"&amp;P$1&amp;$AB11, TRUE)</f>
        <v>8605</v>
      </c>
      <c r="Q11" s="5156" cm="1">
        <f t="array" aca="1" ref="Q11" ca="1">INDIRECT("'※ 디지털 세부데이터'!"&amp;Q$1&amp;$AB11, TRUE)</f>
        <v>8793</v>
      </c>
      <c r="R11" s="5156" cm="1">
        <f t="array" aca="1" ref="R11" ca="1">INDIRECT("'※ 디지털 세부데이터'!"&amp;R$1&amp;$AB11, TRUE)</f>
        <v>-3207</v>
      </c>
      <c r="S11" s="5171" cm="1">
        <f t="array" aca="1" ref="S11" ca="1">INDIRECT("'※ 디지털 세부데이터'!"&amp;S$1&amp;$AB11, TRUE)</f>
        <v>0.73275000000000001</v>
      </c>
      <c r="T11" s="5156" cm="1">
        <f t="array" aca="1" ref="T11" ca="1">INDIRECT("'※ 디지털 세부데이터'!"&amp;T$1&amp;$AB11, TRUE)</f>
        <v>188</v>
      </c>
      <c r="U11" s="5172" cm="1">
        <f t="array" aca="1" ref="U11" ca="1">INDIRECT("'※ 디지털 세부데이터'!"&amp;U$1&amp;$AB11, TRUE)</f>
        <v>2658</v>
      </c>
      <c r="V11" s="5156" cm="1">
        <f t="array" aca="1" ref="V11" ca="1">INDIRECT("'※ 디지털 세부데이터'!"&amp;V$1&amp;$AB11, TRUE)</f>
        <v>126289</v>
      </c>
      <c r="W11" s="5156" cm="1">
        <f t="array" aca="1" ref="W11" ca="1">INDIRECT("'※ 디지털 세부데이터'!"&amp;W$1&amp;$AB11, TRUE)</f>
        <v>7031</v>
      </c>
      <c r="X11" s="5173" cm="1">
        <f t="array" aca="1" ref="X11" ca="1">INDIRECT("'※ 디지털 세부데이터'!"&amp;X$1&amp;$AB11, TRUE)</f>
        <v>6737</v>
      </c>
      <c r="Y11" s="5156" cm="1">
        <f t="array" aca="1" ref="Y11" ca="1">INDIRECT("'※ 디지털 세부데이터'!"&amp;Y$1&amp;$AB11, TRUE)</f>
        <v>21860</v>
      </c>
      <c r="Z11" s="5156" cm="1">
        <f t="array" aca="1" ref="Z11" ca="1">INDIRECT("'※ 디지털 세부데이터'!"&amp;Z$1&amp;$AB11, TRUE)</f>
        <v>10524.083333333334</v>
      </c>
      <c r="AA11" s="5174" cm="1">
        <f t="array" aca="1" ref="AA11" ca="1">INDIRECT("'※ 디지털 세부데이터'!"&amp;AA$1&amp;$AB11, TRUE)</f>
        <v>1821.6666666666679</v>
      </c>
      <c r="AB11" s="3693">
        <f>ROW('※ 디지털 세부데이터'!L9)</f>
        <v>9</v>
      </c>
    </row>
    <row r="12" spans="1:62" ht="21.75" customHeight="1" x14ac:dyDescent="0.55000000000000004">
      <c r="A12" s="7258"/>
      <c r="B12" s="4684"/>
      <c r="C12" s="5062" t="s">
        <v>778</v>
      </c>
      <c r="D12" s="5159" cm="1">
        <f t="array" aca="1" ref="D12" ca="1">INDIRECT("'※ 디지털 세부데이터'!"&amp;D$1&amp;$AB12, TRUE)</f>
        <v>3728.0833333333335</v>
      </c>
      <c r="E12" s="5175" cm="1">
        <f t="array" aca="1" ref="E12" ca="1">INDIRECT("'※ 디지털 세부데이터'!"&amp;E$1&amp;$AB12, TRUE)</f>
        <v>7480.083333333333</v>
      </c>
      <c r="F12" s="5176" cm="1">
        <f t="array" aca="1" ref="F12" ca="1">INDIRECT("'※ 디지털 세부데이터'!"&amp;F$1&amp;$AB12, TRUE)</f>
        <v>5374</v>
      </c>
      <c r="G12" s="5177" cm="1">
        <f t="array" aca="1" ref="G12" ca="1">INDIRECT("'※ 디지털 세부데이터'!"&amp;G$1&amp;$AB12, TRUE)</f>
        <v>16846</v>
      </c>
      <c r="H12" s="5177" cm="1">
        <f t="array" aca="1" ref="H12" ca="1">INDIRECT("'※ 디지털 세부데이터'!"&amp;H$1&amp;$AB12, TRUE)</f>
        <v>7402</v>
      </c>
      <c r="I12" s="5177" cm="1">
        <f t="array" aca="1" ref="I12" ca="1">INDIRECT("'※ 디지털 세부데이터'!"&amp;I$1&amp;$AB12, TRUE)</f>
        <v>7804</v>
      </c>
      <c r="J12" s="5177" cm="1">
        <f t="array" aca="1" ref="J12" ca="1">INDIRECT("'※ 디지털 세부데이터'!"&amp;J$1&amp;$AB12, TRUE)</f>
        <v>9740</v>
      </c>
      <c r="K12" s="5177" cm="1">
        <f t="array" aca="1" ref="K12" ca="1">INDIRECT("'※ 디지털 세부데이터'!"&amp;K$1&amp;$AB12, TRUE)</f>
        <v>7441</v>
      </c>
      <c r="L12" s="5177" cm="1">
        <f t="array" aca="1" ref="L12" ca="1">INDIRECT("'※ 디지털 세부데이터'!"&amp;L$1&amp;$AB12, TRUE)</f>
        <v>12356</v>
      </c>
      <c r="M12" s="5177" cm="1">
        <f t="array" aca="1" ref="M12" ca="1">INDIRECT("'※ 디지털 세부데이터'!"&amp;M$1&amp;$AB12, TRUE)</f>
        <v>8908</v>
      </c>
      <c r="N12" s="5177" cm="1">
        <f t="array" aca="1" ref="N12" ca="1">INDIRECT("'※ 디지털 세부데이터'!"&amp;N$1&amp;$AB12, TRUE)</f>
        <v>19280</v>
      </c>
      <c r="O12" s="5177" cm="1">
        <f t="array" aca="1" ref="O12" ca="1">INDIRECT("'※ 디지털 세부데이터'!"&amp;O$1&amp;$AB12, TRUE)</f>
        <v>11398</v>
      </c>
      <c r="P12" s="5177" cm="1">
        <f t="array" aca="1" ref="P12" ca="1">INDIRECT("'※ 디지털 세부데이터'!"&amp;P$1&amp;$AB12, TRUE)</f>
        <v>8171</v>
      </c>
      <c r="Q12" s="5177" cm="1">
        <f t="array" aca="1" ref="Q12" ca="1">INDIRECT("'※ 디지털 세부데이터'!"&amp;Q$1&amp;$AB12, TRUE)</f>
        <v>8404</v>
      </c>
      <c r="R12" s="5177" cm="1">
        <f t="array" aca="1" ref="R12" ca="1">INDIRECT("'※ 디지털 세부데이터'!"&amp;R$1&amp;$AB12, TRUE)</f>
        <v>-3246</v>
      </c>
      <c r="S12" s="5178" cm="1">
        <f t="array" aca="1" ref="S12" ca="1">INDIRECT("'※ 디지털 세부데이터'!"&amp;S$1&amp;$AB12, TRUE)</f>
        <v>0.72137339055793992</v>
      </c>
      <c r="T12" s="5177" cm="1">
        <f t="array" aca="1" ref="T12" ca="1">INDIRECT("'※ 디지털 세부데이터'!"&amp;T$1&amp;$AB12, TRUE)</f>
        <v>233</v>
      </c>
      <c r="U12" s="5179" cm="1">
        <f t="array" aca="1" ref="U12" ca="1">INDIRECT("'※ 디지털 세부데이터'!"&amp;U$1&amp;$AB12, TRUE)</f>
        <v>2760</v>
      </c>
      <c r="V12" s="5177" cm="1">
        <f t="array" aca="1" ref="V12" ca="1">INDIRECT("'※ 디지털 세부데이터'!"&amp;V$1&amp;$AB12, TRUE)</f>
        <v>123124</v>
      </c>
      <c r="W12" s="5177" cm="1">
        <f t="array" aca="1" ref="W12" ca="1">INDIRECT("'※ 디지털 세부데이터'!"&amp;W$1&amp;$AB12, TRUE)</f>
        <v>5237</v>
      </c>
      <c r="X12" s="5180" cm="1">
        <f t="array" aca="1" ref="X12" ca="1">INDIRECT("'※ 디지털 세부데이터'!"&amp;X$1&amp;$AB12, TRUE)</f>
        <v>5041</v>
      </c>
      <c r="Y12" s="5177" cm="1">
        <f t="array" aca="1" ref="Y12" ca="1">INDIRECT("'※ 디지털 세부데이터'!"&amp;Y$1&amp;$AB12, TRUE)</f>
        <v>33363</v>
      </c>
      <c r="Z12" s="5177" cm="1">
        <f t="array" aca="1" ref="Z12" ca="1">INDIRECT("'※ 디지털 세부데이터'!"&amp;Z$1&amp;$AB12, TRUE)</f>
        <v>10260.333333333334</v>
      </c>
      <c r="AA12" s="5181" cm="1">
        <f t="array" aca="1" ref="AA12" ca="1">INDIRECT("'※ 디지털 세부데이터'!"&amp;AA$1&amp;$AB12, TRUE)</f>
        <v>2780.2500000000009</v>
      </c>
      <c r="AB12" s="3693">
        <f>ROW('※ 디지털 세부데이터'!L10)</f>
        <v>10</v>
      </c>
    </row>
    <row r="13" spans="1:62" ht="21.75" customHeight="1" x14ac:dyDescent="0.55000000000000004">
      <c r="A13" s="7258"/>
      <c r="B13" s="4684"/>
      <c r="C13" s="5062" t="s">
        <v>1091</v>
      </c>
      <c r="D13" s="5159" cm="1">
        <f t="array" aca="1" ref="D13" ca="1">INDIRECT("'※ 디지털 세부데이터'!"&amp;D$1&amp;$AB13, TRUE)</f>
        <v>777.16666666666663</v>
      </c>
      <c r="E13" s="5175" cm="1">
        <f t="array" aca="1" ref="E13" ca="1">INDIRECT("'※ 디지털 세부데이터'!"&amp;E$1&amp;$AB13, TRUE)</f>
        <v>195</v>
      </c>
      <c r="F13" s="5176" cm="1">
        <f t="array" aca="1" ref="F13" ca="1">INDIRECT("'※ 디지털 세부데이터'!"&amp;F$1&amp;$AB13, TRUE)</f>
        <v>11</v>
      </c>
      <c r="G13" s="5177" cm="1">
        <f t="array" aca="1" ref="G13" ca="1">INDIRECT("'※ 디지털 세부데이터'!"&amp;G$1&amp;$AB13, TRUE)</f>
        <v>69</v>
      </c>
      <c r="H13" s="5177" cm="1">
        <f t="array" aca="1" ref="H13" ca="1">INDIRECT("'※ 디지털 세부데이터'!"&amp;H$1&amp;$AB13, TRUE)</f>
        <v>6</v>
      </c>
      <c r="I13" s="5177" cm="1">
        <f t="array" aca="1" ref="I13" ca="1">INDIRECT("'※ 디지털 세부데이터'!"&amp;I$1&amp;$AB13, TRUE)</f>
        <v>10</v>
      </c>
      <c r="J13" s="5177" cm="1">
        <f t="array" aca="1" ref="J13" ca="1">INDIRECT("'※ 디지털 세부데이터'!"&amp;J$1&amp;$AB13, TRUE)</f>
        <v>52</v>
      </c>
      <c r="K13" s="5177" cm="1">
        <f t="array" aca="1" ref="K13" ca="1">INDIRECT("'※ 디지털 세부데이터'!"&amp;K$1&amp;$AB13, TRUE)</f>
        <v>121</v>
      </c>
      <c r="L13" s="5177" cm="1">
        <f t="array" aca="1" ref="L13" ca="1">INDIRECT("'※ 디지털 세부데이터'!"&amp;L$1&amp;$AB13, TRUE)</f>
        <v>379</v>
      </c>
      <c r="M13" s="5177" cm="1">
        <f t="array" aca="1" ref="M13" ca="1">INDIRECT("'※ 디지털 세부데이터'!"&amp;M$1&amp;$AB13, TRUE)</f>
        <v>563</v>
      </c>
      <c r="N13" s="5177" cm="1">
        <f t="array" aca="1" ref="N13" ca="1">INDIRECT("'※ 디지털 세부데이터'!"&amp;N$1&amp;$AB13, TRUE)</f>
        <v>604</v>
      </c>
      <c r="O13" s="5177" cm="1">
        <f t="array" aca="1" ref="O13" ca="1">INDIRECT("'※ 디지털 세부데이터'!"&amp;O$1&amp;$AB13, TRUE)</f>
        <v>527</v>
      </c>
      <c r="P13" s="5177" cm="1">
        <f t="array" aca="1" ref="P13" ca="1">INDIRECT("'※ 디지털 세부데이터'!"&amp;P$1&amp;$AB13, TRUE)</f>
        <v>434</v>
      </c>
      <c r="Q13" s="5177" cm="1">
        <f t="array" aca="1" ref="Q13" ca="1">INDIRECT("'※ 디지털 세부데이터'!"&amp;Q$1&amp;$AB13, TRUE)</f>
        <v>389</v>
      </c>
      <c r="R13" s="5177" cm="1">
        <f t="array" aca="1" ref="R13" ca="1">INDIRECT("'※ 디지털 세부데이터'!"&amp;R$1&amp;$AB13, TRUE)</f>
        <v>39</v>
      </c>
      <c r="S13" s="5178" cm="1">
        <f t="array" aca="1" ref="S13" ca="1">INDIRECT("'※ 디지털 세부데이터'!"&amp;S$1&amp;$AB13, TRUE)</f>
        <v>1.1114285714285714</v>
      </c>
      <c r="T13" s="5177" cm="1">
        <f t="array" aca="1" ref="T13" ca="1">INDIRECT("'※ 디지털 세부데이터'!"&amp;T$1&amp;$AB13, TRUE)</f>
        <v>-45</v>
      </c>
      <c r="U13" s="5179" cm="1">
        <f t="array" aca="1" ref="U13" ca="1">INDIRECT("'※ 디지털 세부데이터'!"&amp;U$1&amp;$AB13, TRUE)</f>
        <v>389</v>
      </c>
      <c r="V13" s="5177" cm="1">
        <f t="array" aca="1" ref="V13" ca="1">INDIRECT("'※ 디지털 세부데이터'!"&amp;V$1&amp;$AB13, TRUE)</f>
        <v>3165</v>
      </c>
      <c r="W13" s="5177" cm="1">
        <f t="array" aca="1" ref="W13" ca="1">INDIRECT("'※ 디지털 세부데이터'!"&amp;W$1&amp;$AB13, TRUE)</f>
        <v>411</v>
      </c>
      <c r="X13" s="5180" cm="1">
        <f t="array" aca="1" ref="X13" ca="1">INDIRECT("'※ 디지털 세부데이터'!"&amp;X$1&amp;$AB13, TRUE)</f>
        <v>220</v>
      </c>
      <c r="Y13" s="5177" cm="1">
        <f t="array" aca="1" ref="Y13" ca="1">INDIRECT("'※ 디지털 세부데이터'!"&amp;Y$1&amp;$AB13, TRUE)</f>
        <v>825</v>
      </c>
      <c r="Z13" s="5177" cm="1">
        <f t="array" aca="1" ref="Z13" ca="1">INDIRECT("'※ 디지털 세부데이터'!"&amp;Z$1&amp;$AB13, TRUE)</f>
        <v>263.75</v>
      </c>
      <c r="AA13" s="5181" cm="1">
        <f t="array" aca="1" ref="AA13" ca="1">INDIRECT("'※ 디지털 세부데이터'!"&amp;AA$1&amp;$AB13, TRUE)</f>
        <v>68.75</v>
      </c>
      <c r="AB13" s="3693">
        <f>ROW('※ 디지털 세부데이터'!L11)</f>
        <v>11</v>
      </c>
    </row>
    <row r="14" spans="1:62" ht="21.75" customHeight="1" x14ac:dyDescent="0.55000000000000004">
      <c r="A14" s="7258"/>
      <c r="B14" s="4684"/>
      <c r="C14" s="5062" t="s">
        <v>354</v>
      </c>
      <c r="D14" s="5159" cm="1">
        <f t="array" aca="1" ref="D14" ca="1">INDIRECT("'※ 디지털 세부데이터'!"&amp;D$1&amp;$AB14, TRUE)</f>
        <v>1177.3333333333333</v>
      </c>
      <c r="E14" s="5160" cm="1">
        <f t="array" aca="1" ref="E14" ca="1">INDIRECT("'※ 디지털 세부데이터'!"&amp;E$1&amp;$AB14, TRUE)</f>
        <v>1027.3333333333333</v>
      </c>
      <c r="F14" s="7267" t="s">
        <v>1134</v>
      </c>
      <c r="G14" s="7268"/>
      <c r="H14" s="7268"/>
      <c r="I14" s="7268"/>
      <c r="J14" s="7268"/>
      <c r="K14" s="7268"/>
      <c r="L14" s="7268"/>
      <c r="M14" s="7268"/>
      <c r="N14" s="7268"/>
      <c r="O14" s="7268"/>
      <c r="P14" s="7268"/>
      <c r="Q14" s="7268"/>
      <c r="R14" s="7268"/>
      <c r="S14" s="7268"/>
      <c r="T14" s="7268"/>
      <c r="U14" s="7269"/>
      <c r="V14" s="5166"/>
      <c r="W14" s="5166"/>
      <c r="X14" s="5167"/>
      <c r="Y14" s="5166"/>
      <c r="Z14" s="5166"/>
      <c r="AA14" s="5168"/>
      <c r="AB14" s="3693">
        <f>ROW('※ 디지털 세부데이터'!L12)</f>
        <v>12</v>
      </c>
    </row>
    <row r="15" spans="1:62" ht="21.75" customHeight="1" x14ac:dyDescent="0.55000000000000004">
      <c r="A15" s="7258"/>
      <c r="B15" s="7261" t="s">
        <v>357</v>
      </c>
      <c r="C15" s="7262"/>
      <c r="D15" s="5150" cm="1">
        <f t="array" aca="1" ref="D15" ca="1">INDIRECT("'※ 디지털 세부데이터'!"&amp;D$1&amp;$AB15, TRUE)</f>
        <v>1258.8333333333333</v>
      </c>
      <c r="E15" s="5169" cm="1">
        <f t="array" aca="1" ref="E15" ca="1">INDIRECT("'※ 디지털 세부데이터'!"&amp;E$1&amp;$AB15, TRUE)</f>
        <v>2790.1666666666665</v>
      </c>
      <c r="F15" s="5170" cm="1">
        <f t="array" aca="1" ref="F15" ca="1">INDIRECT("'※ 디지털 세부데이터'!"&amp;F$1&amp;$AB15, TRUE)</f>
        <v>2203</v>
      </c>
      <c r="G15" s="5156" cm="1">
        <f t="array" aca="1" ref="G15" ca="1">INDIRECT("'※ 디지털 세부데이터'!"&amp;G$1&amp;$AB15, TRUE)</f>
        <v>3767</v>
      </c>
      <c r="H15" s="5156" cm="1">
        <f t="array" aca="1" ref="H15" ca="1">INDIRECT("'※ 디지털 세부데이터'!"&amp;H$1&amp;$AB15, TRUE)</f>
        <v>3183</v>
      </c>
      <c r="I15" s="5156" cm="1">
        <f t="array" aca="1" ref="I15" ca="1">INDIRECT("'※ 디지털 세부데이터'!"&amp;I$1&amp;$AB15, TRUE)</f>
        <v>6874</v>
      </c>
      <c r="J15" s="5156" cm="1">
        <f t="array" aca="1" ref="J15" ca="1">INDIRECT("'※ 디지털 세부데이터'!"&amp;J$1&amp;$AB15, TRUE)</f>
        <v>20443</v>
      </c>
      <c r="K15" s="5156" cm="1">
        <f t="array" aca="1" ref="K15" ca="1">INDIRECT("'※ 디지털 세부데이터'!"&amp;K$1&amp;$AB15, TRUE)</f>
        <v>7464</v>
      </c>
      <c r="L15" s="5156" cm="1">
        <f t="array" aca="1" ref="L15" ca="1">INDIRECT("'※ 디지털 세부데이터'!"&amp;L$1&amp;$AB15, TRUE)</f>
        <v>15766</v>
      </c>
      <c r="M15" s="5156" cm="1">
        <f t="array" aca="1" ref="M15" ca="1">INDIRECT("'※ 디지털 세부데이터'!"&amp;M$1&amp;$AB15, TRUE)</f>
        <v>3785</v>
      </c>
      <c r="N15" s="5156" cm="1">
        <f t="array" aca="1" ref="N15" ca="1">INDIRECT("'※ 디지털 세부데이터'!"&amp;N$1&amp;$AB15, TRUE)</f>
        <v>3255</v>
      </c>
      <c r="O15" s="5156" cm="1">
        <f t="array" aca="1" ref="O15" ca="1">INDIRECT("'※ 디지털 세부데이터'!"&amp;O$1&amp;$AB15, TRUE)</f>
        <v>2841</v>
      </c>
      <c r="P15" s="5156" cm="1">
        <f t="array" aca="1" ref="P15" ca="1">INDIRECT("'※ 디지털 세부데이터'!"&amp;P$1&amp;$AB15, TRUE)</f>
        <v>2533</v>
      </c>
      <c r="Q15" s="5156" cm="1">
        <f t="array" aca="1" ref="Q15" ca="1">INDIRECT("'※ 디지털 세부데이터'!"&amp;Q$1&amp;$AB15, TRUE)</f>
        <v>3385</v>
      </c>
      <c r="R15" s="5156" cm="1">
        <f t="array" aca="1" ref="R15" ca="1">INDIRECT("'※ 디지털 세부데이터'!"&amp;R$1&amp;$AB15, TRUE)</f>
        <v>385</v>
      </c>
      <c r="S15" s="5171" cm="1">
        <f t="array" aca="1" ref="S15" ca="1">INDIRECT("'※ 디지털 세부데이터'!"&amp;S$1&amp;$AB15, TRUE)</f>
        <v>1.1283333333333334</v>
      </c>
      <c r="T15" s="5156" cm="1">
        <f t="array" aca="1" ref="T15" ca="1">INDIRECT("'※ 디지털 세부데이터'!"&amp;T$1&amp;$AB15, TRUE)</f>
        <v>852</v>
      </c>
      <c r="U15" s="5172" cm="1">
        <f t="array" aca="1" ref="U15" ca="1">INDIRECT("'※ 디지털 세부데이터'!"&amp;U$1&amp;$AB15, TRUE)</f>
        <v>1313</v>
      </c>
      <c r="V15" s="5156" cm="1">
        <f t="array" aca="1" ref="V15" ca="1">INDIRECT("'※ 디지털 세부데이터'!"&amp;V$1&amp;$AB15, TRUE)</f>
        <v>75499</v>
      </c>
      <c r="W15" s="5156" cm="1">
        <f t="array" aca="1" ref="W15" ca="1">INDIRECT("'※ 디지털 세부데이터'!"&amp;W$1&amp;$AB15, TRUE)</f>
        <v>3047</v>
      </c>
      <c r="X15" s="5173" cm="1">
        <f t="array" aca="1" ref="X15" ca="1">INDIRECT("'※ 디지털 세부데이터'!"&amp;X$1&amp;$AB15, TRUE)</f>
        <v>3393</v>
      </c>
      <c r="Y15" s="5156" cm="1">
        <f t="array" aca="1" ref="Y15" ca="1">INDIRECT("'※ 디지털 세부데이터'!"&amp;Y$1&amp;$AB15, TRUE)</f>
        <v>42017</v>
      </c>
      <c r="Z15" s="5156" cm="1">
        <f t="array" aca="1" ref="Z15" ca="1">INDIRECT("'※ 디지털 세부데이터'!"&amp;Z$1&amp;$AB15, TRUE)</f>
        <v>6291.583333333333</v>
      </c>
      <c r="AA15" s="5174" cm="1">
        <f t="array" aca="1" ref="AA15" ca="1">INDIRECT("'※ 디지털 세부데이터'!"&amp;AA$1&amp;$AB15, TRUE)</f>
        <v>3501.4166666666665</v>
      </c>
      <c r="AB15" s="3693">
        <f>ROW('※ 디지털 세부데이터'!L13)</f>
        <v>13</v>
      </c>
    </row>
    <row r="16" spans="1:62" ht="21.75" customHeight="1" x14ac:dyDescent="0.55000000000000004">
      <c r="A16" s="7258"/>
      <c r="B16" s="4684"/>
      <c r="C16" s="5062" t="s">
        <v>778</v>
      </c>
      <c r="D16" s="5159" cm="1">
        <f t="array" aca="1" ref="D16" ca="1">INDIRECT("'※ 디지털 세부데이터'!"&amp;D$1&amp;$AB16, TRUE)</f>
        <v>1258.75</v>
      </c>
      <c r="E16" s="5175" cm="1">
        <f t="array" aca="1" ref="E16" ca="1">INDIRECT("'※ 디지털 세부데이터'!"&amp;E$1&amp;$AB16, TRUE)</f>
        <v>2759.6666666666665</v>
      </c>
      <c r="F16" s="5176" cm="1">
        <f t="array" aca="1" ref="F16" ca="1">INDIRECT("'※ 디지털 세부데이터'!"&amp;F$1&amp;$AB16, TRUE)</f>
        <v>2203</v>
      </c>
      <c r="G16" s="5177" cm="1">
        <f t="array" aca="1" ref="G16" ca="1">INDIRECT("'※ 디지털 세부데이터'!"&amp;G$1&amp;$AB16, TRUE)</f>
        <v>3767</v>
      </c>
      <c r="H16" s="5177" cm="1">
        <f t="array" aca="1" ref="H16" ca="1">INDIRECT("'※ 디지털 세부데이터'!"&amp;H$1&amp;$AB16, TRUE)</f>
        <v>3183</v>
      </c>
      <c r="I16" s="5177" cm="1">
        <f t="array" aca="1" ref="I16" ca="1">INDIRECT("'※ 디지털 세부데이터'!"&amp;I$1&amp;$AB16, TRUE)</f>
        <v>6874</v>
      </c>
      <c r="J16" s="5177" cm="1">
        <f t="array" aca="1" ref="J16" ca="1">INDIRECT("'※ 디지털 세부데이터'!"&amp;J$1&amp;$AB16, TRUE)</f>
        <v>20443</v>
      </c>
      <c r="K16" s="5177" cm="1">
        <f t="array" aca="1" ref="K16" ca="1">INDIRECT("'※ 디지털 세부데이터'!"&amp;K$1&amp;$AB16, TRUE)</f>
        <v>7464</v>
      </c>
      <c r="L16" s="5177" cm="1">
        <f t="array" aca="1" ref="L16" ca="1">INDIRECT("'※ 디지털 세부데이터'!"&amp;L$1&amp;$AB16, TRUE)</f>
        <v>15766</v>
      </c>
      <c r="M16" s="5177" cm="1">
        <f t="array" aca="1" ref="M16" ca="1">INDIRECT("'※ 디지털 세부데이터'!"&amp;M$1&amp;$AB16, TRUE)</f>
        <v>3785</v>
      </c>
      <c r="N16" s="5177" cm="1">
        <f t="array" aca="1" ref="N16" ca="1">INDIRECT("'※ 디지털 세부데이터'!"&amp;N$1&amp;$AB16, TRUE)</f>
        <v>3255</v>
      </c>
      <c r="O16" s="5177" cm="1">
        <f t="array" aca="1" ref="O16" ca="1">INDIRECT("'※ 디지털 세부데이터'!"&amp;O$1&amp;$AB16, TRUE)</f>
        <v>2841</v>
      </c>
      <c r="P16" s="5177" cm="1">
        <f t="array" aca="1" ref="P16" ca="1">INDIRECT("'※ 디지털 세부데이터'!"&amp;P$1&amp;$AB16, TRUE)</f>
        <v>2533</v>
      </c>
      <c r="Q16" s="5177" cm="1">
        <f t="array" aca="1" ref="Q16" ca="1">INDIRECT("'※ 디지털 세부데이터'!"&amp;Q$1&amp;$AB16, TRUE)</f>
        <v>3385</v>
      </c>
      <c r="R16" s="5177" cm="1">
        <f t="array" aca="1" ref="R16" ca="1">INDIRECT("'※ 디지털 세부데이터'!"&amp;R$1&amp;$AB16, TRUE)</f>
        <v>385</v>
      </c>
      <c r="S16" s="5178" cm="1">
        <f t="array" aca="1" ref="S16" ca="1">INDIRECT("'※ 디지털 세부데이터'!"&amp;S$1&amp;$AB16, TRUE)</f>
        <v>1.1283333333333334</v>
      </c>
      <c r="T16" s="5177" cm="1">
        <f t="array" aca="1" ref="T16" ca="1">INDIRECT("'※ 디지털 세부데이터'!"&amp;T$1&amp;$AB16, TRUE)</f>
        <v>852</v>
      </c>
      <c r="U16" s="5179" cm="1">
        <f t="array" aca="1" ref="U16" ca="1">INDIRECT("'※ 디지털 세부데이터'!"&amp;U$1&amp;$AB16, TRUE)</f>
        <v>1354</v>
      </c>
      <c r="V16" s="5177" cm="1">
        <f t="array" aca="1" ref="V16" ca="1">INDIRECT("'※ 디지털 세부데이터'!"&amp;V$1&amp;$AB16, TRUE)</f>
        <v>75499</v>
      </c>
      <c r="W16" s="5177" cm="1">
        <f t="array" aca="1" ref="W16" ca="1">INDIRECT("'※ 디지털 세부데이터'!"&amp;W$1&amp;$AB16, TRUE)</f>
        <v>2975</v>
      </c>
      <c r="X16" s="5180" cm="1">
        <f t="array" aca="1" ref="X16" ca="1">INDIRECT("'※ 디지털 세부데이터'!"&amp;X$1&amp;$AB16, TRUE)</f>
        <v>3339</v>
      </c>
      <c r="Y16" s="5177" cm="1">
        <f t="array" aca="1" ref="Y16" ca="1">INDIRECT("'※ 디지털 세부데이터'!"&amp;Y$1&amp;$AB16, TRUE)</f>
        <v>42383</v>
      </c>
      <c r="Z16" s="5177" cm="1">
        <f t="array" aca="1" ref="Z16" ca="1">INDIRECT("'※ 디지털 세부데이터'!"&amp;Z$1&amp;$AB16, TRUE)</f>
        <v>6291.583333333333</v>
      </c>
      <c r="AA16" s="5181" cm="1">
        <f t="array" aca="1" ref="AA16" ca="1">INDIRECT("'※ 디지털 세부데이터'!"&amp;AA$1&amp;$AB16, TRUE)</f>
        <v>3531.9166666666665</v>
      </c>
      <c r="AB16" s="3693">
        <f>ROW('※ 디지털 세부데이터'!L14)</f>
        <v>14</v>
      </c>
    </row>
    <row r="17" spans="1:28" ht="21.75" customHeight="1" x14ac:dyDescent="0.55000000000000004">
      <c r="A17" s="7258"/>
      <c r="B17" s="4684"/>
      <c r="C17" s="5062" t="s">
        <v>354</v>
      </c>
      <c r="D17" s="5159" cm="1">
        <f t="array" aca="1" ref="D17" ca="1">INDIRECT("'※ 디지털 세부데이터'!"&amp;D$1&amp;$AB17, TRUE)</f>
        <v>1</v>
      </c>
      <c r="E17" s="5160" cm="1">
        <f t="array" aca="1" ref="E17" ca="1">INDIRECT("'※ 디지털 세부데이터'!"&amp;E$1&amp;$AB17, TRUE)</f>
        <v>30.5</v>
      </c>
      <c r="F17" s="7267" t="s">
        <v>1134</v>
      </c>
      <c r="G17" s="7268"/>
      <c r="H17" s="7268"/>
      <c r="I17" s="7268"/>
      <c r="J17" s="7268"/>
      <c r="K17" s="7268"/>
      <c r="L17" s="7268"/>
      <c r="M17" s="7268"/>
      <c r="N17" s="7268"/>
      <c r="O17" s="7268"/>
      <c r="P17" s="7268"/>
      <c r="Q17" s="7268"/>
      <c r="R17" s="7268"/>
      <c r="S17" s="7268"/>
      <c r="T17" s="7268"/>
      <c r="U17" s="7269"/>
      <c r="V17" s="5166"/>
      <c r="W17" s="5166"/>
      <c r="X17" s="5167"/>
      <c r="Y17" s="5166"/>
      <c r="Z17" s="5166"/>
      <c r="AA17" s="5168"/>
      <c r="AB17" s="3693">
        <f>ROW('※ 디지털 세부데이터'!L15)</f>
        <v>15</v>
      </c>
    </row>
    <row r="18" spans="1:28" ht="17.149999999999999" customHeight="1" x14ac:dyDescent="0.55000000000000004">
      <c r="A18" s="7258"/>
      <c r="B18" s="7261" t="s">
        <v>1089</v>
      </c>
      <c r="C18" s="7262"/>
      <c r="D18" s="5150" cm="1">
        <f t="array" aca="1" ref="D18" ca="1">INDIRECT("'※ 디지털 세부데이터'!"&amp;D$1&amp;$AB18, TRUE)</f>
        <v>28.416666666666668</v>
      </c>
      <c r="E18" s="5169" cm="1">
        <f t="array" aca="1" ref="E18" ca="1">INDIRECT("'※ 디지털 세부데이터'!"&amp;E$1&amp;$AB18, TRUE)</f>
        <v>115.41666666666667</v>
      </c>
      <c r="F18" s="5170" cm="1">
        <f t="array" aca="1" ref="F18" ca="1">INDIRECT("'※ 디지털 세부데이터'!"&amp;F$1&amp;$AB18, TRUE)</f>
        <v>38</v>
      </c>
      <c r="G18" s="5156" cm="1">
        <f t="array" aca="1" ref="G18" ca="1">INDIRECT("'※ 디지털 세부데이터'!"&amp;G$1&amp;$AB18, TRUE)</f>
        <v>34</v>
      </c>
      <c r="H18" s="5156" cm="1">
        <f t="array" aca="1" ref="H18" ca="1">INDIRECT("'※ 디지털 세부데이터'!"&amp;H$1&amp;$AB18, TRUE)</f>
        <v>124</v>
      </c>
      <c r="I18" s="5156" cm="1">
        <f t="array" aca="1" ref="I18" ca="1">INDIRECT("'※ 디지털 세부데이터'!"&amp;I$1&amp;$AB18, TRUE)</f>
        <v>186</v>
      </c>
      <c r="J18" s="5156" cm="1">
        <f t="array" aca="1" ref="J18" ca="1">INDIRECT("'※ 디지털 세부데이터'!"&amp;J$1&amp;$AB18, TRUE)</f>
        <v>524</v>
      </c>
      <c r="K18" s="5156" cm="1">
        <f t="array" aca="1" ref="K18" ca="1">INDIRECT("'※ 디지털 세부데이터'!"&amp;K$1&amp;$AB18, TRUE)</f>
        <v>316</v>
      </c>
      <c r="L18" s="5156" cm="1">
        <f t="array" aca="1" ref="L18" ca="1">INDIRECT("'※ 디지털 세부데이터'!"&amp;L$1&amp;$AB18, TRUE)</f>
        <v>516</v>
      </c>
      <c r="M18" s="5156" cm="1">
        <f t="array" aca="1" ref="M18" ca="1">INDIRECT("'※ 디지털 세부데이터'!"&amp;M$1&amp;$AB18, TRUE)</f>
        <v>200</v>
      </c>
      <c r="N18" s="5156" cm="1">
        <f t="array" aca="1" ref="N18" ca="1">INDIRECT("'※ 디지털 세부데이터'!"&amp;N$1&amp;$AB18, TRUE)</f>
        <v>277</v>
      </c>
      <c r="O18" s="5156" cm="1">
        <f t="array" aca="1" ref="O18" ca="1">INDIRECT("'※ 디지털 세부데이터'!"&amp;O$1&amp;$AB18, TRUE)</f>
        <v>190</v>
      </c>
      <c r="P18" s="5156" cm="1">
        <f t="array" aca="1" ref="P18" ca="1">INDIRECT("'※ 디지털 세부데이터'!"&amp;P$1&amp;$AB18, TRUE)</f>
        <v>270</v>
      </c>
      <c r="Q18" s="5156" cm="1">
        <f t="array" aca="1" ref="Q18" ca="1">INDIRECT("'※ 디지털 세부데이터'!"&amp;Q$1&amp;$AB18, TRUE)</f>
        <v>242</v>
      </c>
      <c r="R18" s="5156" cm="1">
        <f t="array" aca="1" ref="R18" ca="1">INDIRECT("'※ 디지털 세부데이터'!"&amp;R$1&amp;$AB18, TRUE)</f>
        <v>-8</v>
      </c>
      <c r="S18" s="5171" cm="1">
        <f t="array" aca="1" ref="S18" ca="1">INDIRECT("'※ 디지털 세부데이터'!"&amp;S$1&amp;$AB18, TRUE)</f>
        <v>0.96799999999999997</v>
      </c>
      <c r="T18" s="5156" cm="1">
        <f t="array" aca="1" ref="T18" ca="1">INDIRECT("'※ 디지털 세부데이터'!"&amp;T$1&amp;$AB18, TRUE)</f>
        <v>-28</v>
      </c>
      <c r="U18" s="5172" cm="1">
        <f t="array" aca="1" ref="U18" ca="1">INDIRECT("'※ 디지털 세부데이터'!"&amp;U$1&amp;$AB18, TRUE)</f>
        <v>153</v>
      </c>
      <c r="V18" s="5156" cm="1">
        <f t="array" aca="1" ref="V18" ca="1">INDIRECT("'※ 디지털 세부데이터'!"&amp;V$1&amp;$AB18, TRUE)</f>
        <v>2917</v>
      </c>
      <c r="W18" s="5182"/>
      <c r="X18" s="5182"/>
      <c r="Y18" s="5156" cm="1">
        <f t="array" aca="1" ref="Y18" ca="1">INDIRECT("'※ 디지털 세부데이터'!"&amp;Y$1&amp;$AB18, TRUE)</f>
        <v>1532</v>
      </c>
      <c r="Z18" s="5156" cm="1">
        <f t="array" aca="1" ref="Z18" ca="1">INDIRECT("'※ 디지털 세부데이터'!"&amp;Z$1&amp;$AB18, TRUE)</f>
        <v>243.08333333333334</v>
      </c>
      <c r="AA18" s="5174" cm="1">
        <f t="array" aca="1" ref="AA18" ca="1">INDIRECT("'※ 디지털 세부데이터'!"&amp;AA$1&amp;$AB18, TRUE)</f>
        <v>127.66666666666667</v>
      </c>
      <c r="AB18" s="3693">
        <f>ROW('※ 디지털 세부데이터'!L16)</f>
        <v>16</v>
      </c>
    </row>
    <row r="19" spans="1:28" ht="16.5" customHeight="1" x14ac:dyDescent="0.55000000000000004">
      <c r="A19" s="7258"/>
      <c r="B19" s="4684"/>
      <c r="C19" s="5062" t="s">
        <v>87</v>
      </c>
      <c r="D19" s="5183"/>
      <c r="E19" s="5175" cm="1">
        <f t="array" aca="1" ref="E19" ca="1">INDIRECT("'※ 디지털 세부데이터'!"&amp;E$1&amp;$AB19, TRUE)</f>
        <v>12.333333333333334</v>
      </c>
      <c r="F19" s="5176" cm="1">
        <f t="array" aca="1" ref="F19" ca="1">INDIRECT("'※ 디지털 세부데이터'!"&amp;F$1&amp;$AB19, TRUE)</f>
        <v>22</v>
      </c>
      <c r="G19" s="5177" cm="1">
        <f t="array" aca="1" ref="G19" ca="1">INDIRECT("'※ 디지털 세부데이터'!"&amp;G$1&amp;$AB19, TRUE)</f>
        <v>19</v>
      </c>
      <c r="H19" s="5177" cm="1">
        <f t="array" aca="1" ref="H19" ca="1">INDIRECT("'※ 디지털 세부데이터'!"&amp;H$1&amp;$AB19, TRUE)</f>
        <v>81</v>
      </c>
      <c r="I19" s="5177" cm="1">
        <f t="array" aca="1" ref="I19" ca="1">INDIRECT("'※ 디지털 세부데이터'!"&amp;I$1&amp;$AB19, TRUE)</f>
        <v>124</v>
      </c>
      <c r="J19" s="5177" cm="1">
        <f t="array" aca="1" ref="J19" ca="1">INDIRECT("'※ 디지털 세부데이터'!"&amp;J$1&amp;$AB19, TRUE)</f>
        <v>311</v>
      </c>
      <c r="K19" s="5177" cm="1">
        <f t="array" aca="1" ref="K19" ca="1">INDIRECT("'※ 디지털 세부데이터'!"&amp;K$1&amp;$AB19, TRUE)</f>
        <v>197</v>
      </c>
      <c r="L19" s="5177" cm="1">
        <f t="array" aca="1" ref="L19" ca="1">INDIRECT("'※ 디지털 세부데이터'!"&amp;L$1&amp;$AB19, TRUE)</f>
        <v>293</v>
      </c>
      <c r="M19" s="5177" cm="1">
        <f t="array" aca="1" ref="M19" ca="1">INDIRECT("'※ 디지털 세부데이터'!"&amp;M$1&amp;$AB19, TRUE)</f>
        <v>112</v>
      </c>
      <c r="N19" s="5177" cm="1">
        <f t="array" aca="1" ref="N19" ca="1">INDIRECT("'※ 디지털 세부데이터'!"&amp;N$1&amp;$AB19, TRUE)</f>
        <v>151</v>
      </c>
      <c r="O19" s="5177" cm="1">
        <f t="array" aca="1" ref="O19" ca="1">INDIRECT("'※ 디지털 세부데이터'!"&amp;O$1&amp;$AB19, TRUE)</f>
        <v>112</v>
      </c>
      <c r="P19" s="5177" cm="1">
        <f t="array" aca="1" ref="P19" ca="1">INDIRECT("'※ 디지털 세부데이터'!"&amp;P$1&amp;$AB19, TRUE)</f>
        <v>145</v>
      </c>
      <c r="Q19" s="5177" cm="1">
        <f t="array" aca="1" ref="Q19" ca="1">INDIRECT("'※ 디지털 세부데이터'!"&amp;Q$1&amp;$AB19, TRUE)</f>
        <v>130</v>
      </c>
      <c r="R19" s="5177" cm="1">
        <f t="array" aca="1" ref="R19" ca="1">INDIRECT("'※ 디지털 세부데이터'!"&amp;R$1&amp;$AB19, TRUE)</f>
        <v>5</v>
      </c>
      <c r="S19" s="5178" cm="1">
        <f t="array" aca="1" ref="S19" ca="1">INDIRECT("'※ 디지털 세부데이터'!"&amp;S$1&amp;$AB19, TRUE)</f>
        <v>1.04</v>
      </c>
      <c r="T19" s="5184" cm="1">
        <f t="array" aca="1" ref="T19" ca="1">INDIRECT("'※ 디지털 세부데이터'!"&amp;T$1&amp;$AB19, TRUE)</f>
        <v>-15</v>
      </c>
      <c r="U19" s="5179" cm="1">
        <f t="array" aca="1" ref="U19" ca="1">INDIRECT("'※ 디지털 세부데이터'!"&amp;U$1&amp;$AB19, TRUE)</f>
        <v>100</v>
      </c>
      <c r="V19" s="5177" cm="1">
        <f t="array" aca="1" ref="V19" ca="1">INDIRECT("'※ 디지털 세부데이터'!"&amp;V$1&amp;$AB19, TRUE)</f>
        <v>1697</v>
      </c>
      <c r="W19" s="5182"/>
      <c r="X19" s="5182"/>
      <c r="Y19" s="5184" cm="1">
        <f t="array" aca="1" ref="Y19" ca="1">INDIRECT("'※ 디지털 세부데이터'!"&amp;Y$1&amp;$AB19, TRUE)</f>
        <v>1549</v>
      </c>
      <c r="Z19" s="5177" cm="1">
        <f t="array" aca="1" ref="Z19" ca="1">INDIRECT("'※ 디지털 세부데이터'!"&amp;Z$1&amp;$AB19, TRUE)</f>
        <v>141.41666666666666</v>
      </c>
      <c r="AA19" s="5181" cm="1">
        <f t="array" aca="1" ref="AA19" ca="1">INDIRECT("'※ 디지털 세부데이터'!"&amp;AA$1&amp;$AB19, TRUE)</f>
        <v>129.08333333333331</v>
      </c>
      <c r="AB19" s="3693">
        <f>ROW('※ 디지털 세부데이터'!L17)</f>
        <v>17</v>
      </c>
    </row>
    <row r="20" spans="1:28" ht="16.5" customHeight="1" x14ac:dyDescent="0.55000000000000004">
      <c r="A20" s="7258"/>
      <c r="B20" s="4684"/>
      <c r="C20" s="5062" t="s">
        <v>88</v>
      </c>
      <c r="D20" s="5183"/>
      <c r="E20" s="5175" cm="1">
        <f t="array" aca="1" ref="E20" ca="1">INDIRECT("'※ 디지털 세부데이터'!"&amp;E$1&amp;$AB20, TRUE)</f>
        <v>10.5</v>
      </c>
      <c r="F20" s="5176" cm="1">
        <f t="array" aca="1" ref="F20" ca="1">INDIRECT("'※ 디지털 세부데이터'!"&amp;F$1&amp;$AB20, TRUE)</f>
        <v>16</v>
      </c>
      <c r="G20" s="5177" cm="1">
        <f t="array" aca="1" ref="G20" ca="1">INDIRECT("'※ 디지털 세부데이터'!"&amp;G$1&amp;$AB20, TRUE)</f>
        <v>15</v>
      </c>
      <c r="H20" s="5177" cm="1">
        <f t="array" aca="1" ref="H20" ca="1">INDIRECT("'※ 디지털 세부데이터'!"&amp;H$1&amp;$AB20, TRUE)</f>
        <v>43</v>
      </c>
      <c r="I20" s="5177" cm="1">
        <f t="array" aca="1" ref="I20" ca="1">INDIRECT("'※ 디지털 세부데이터'!"&amp;I$1&amp;$AB20, TRUE)</f>
        <v>62</v>
      </c>
      <c r="J20" s="5177" cm="1">
        <f t="array" aca="1" ref="J20" ca="1">INDIRECT("'※ 디지털 세부데이터'!"&amp;J$1&amp;$AB20, TRUE)</f>
        <v>213</v>
      </c>
      <c r="K20" s="5177" cm="1">
        <f t="array" aca="1" ref="K20" ca="1">INDIRECT("'※ 디지털 세부데이터'!"&amp;K$1&amp;$AB20, TRUE)</f>
        <v>119</v>
      </c>
      <c r="L20" s="5177" cm="1">
        <f t="array" aca="1" ref="L20" ca="1">INDIRECT("'※ 디지털 세부데이터'!"&amp;L$1&amp;$AB20, TRUE)</f>
        <v>223</v>
      </c>
      <c r="M20" s="5177" cm="1">
        <f t="array" aca="1" ref="M20" ca="1">INDIRECT("'※ 디지털 세부데이터'!"&amp;M$1&amp;$AB20, TRUE)</f>
        <v>88</v>
      </c>
      <c r="N20" s="5177" cm="1">
        <f t="array" aca="1" ref="N20" ca="1">INDIRECT("'※ 디지털 세부데이터'!"&amp;N$1&amp;$AB20, TRUE)</f>
        <v>126</v>
      </c>
      <c r="O20" s="5177" cm="1">
        <f t="array" aca="1" ref="O20" ca="1">INDIRECT("'※ 디지털 세부데이터'!"&amp;O$1&amp;$AB20, TRUE)</f>
        <v>78</v>
      </c>
      <c r="P20" s="5177" cm="1">
        <f t="array" aca="1" ref="P20" ca="1">INDIRECT("'※ 디지털 세부데이터'!"&amp;P$1&amp;$AB20, TRUE)</f>
        <v>125</v>
      </c>
      <c r="Q20" s="5177" cm="1">
        <f t="array" aca="1" ref="Q20" ca="1">INDIRECT("'※ 디지털 세부데이터'!"&amp;Q$1&amp;$AB20, TRUE)</f>
        <v>112</v>
      </c>
      <c r="R20" s="5177" cm="1">
        <f t="array" aca="1" ref="R20" ca="1">INDIRECT("'※ 디지털 세부데이터'!"&amp;R$1&amp;$AB20, TRUE)</f>
        <v>-13</v>
      </c>
      <c r="S20" s="5178" cm="1">
        <f t="array" aca="1" ref="S20" ca="1">INDIRECT("'※ 디지털 세부데이터'!"&amp;S$1&amp;$AB20, TRUE)</f>
        <v>0.89600000000000002</v>
      </c>
      <c r="T20" s="5184" cm="1">
        <f t="array" aca="1" ref="T20" ca="1">INDIRECT("'※ 디지털 세부데이터'!"&amp;T$1&amp;$AB20, TRUE)</f>
        <v>-13</v>
      </c>
      <c r="U20" s="5179" cm="1">
        <f t="array" aca="1" ref="U20" ca="1">INDIRECT("'※ 디지털 세부데이터'!"&amp;U$1&amp;$AB20, TRUE)</f>
        <v>90</v>
      </c>
      <c r="V20" s="5177" cm="1">
        <f t="array" aca="1" ref="V20" ca="1">INDIRECT("'※ 디지털 세부데이터'!"&amp;V$1&amp;$AB20, TRUE)</f>
        <v>1220</v>
      </c>
      <c r="W20" s="5182"/>
      <c r="X20" s="5182"/>
      <c r="Y20" s="5184" cm="1">
        <f t="array" aca="1" ref="Y20" ca="1">INDIRECT("'※ 디지털 세부데이터'!"&amp;Y$1&amp;$AB20, TRUE)</f>
        <v>1094</v>
      </c>
      <c r="Z20" s="5177" cm="1">
        <f t="array" aca="1" ref="Z20" ca="1">INDIRECT("'※ 디지털 세부데이터'!"&amp;Z$1&amp;$AB20, TRUE)</f>
        <v>101.66666666666667</v>
      </c>
      <c r="AA20" s="5181" cm="1">
        <f t="array" aca="1" ref="AA20" ca="1">INDIRECT("'※ 디지털 세부데이터'!"&amp;AA$1&amp;$AB20, TRUE)</f>
        <v>91.166666666666671</v>
      </c>
      <c r="AB20" s="3693">
        <f>ROW('※ 디지털 세부데이터'!L18)</f>
        <v>18</v>
      </c>
    </row>
    <row r="21" spans="1:28" ht="16.5" customHeight="1" x14ac:dyDescent="0.55000000000000004">
      <c r="A21" s="7258"/>
      <c r="B21" s="4684"/>
      <c r="C21" s="5062" t="s">
        <v>354</v>
      </c>
      <c r="D21" s="5159" cm="1">
        <f t="array" aca="1" ref="D21" ca="1">INDIRECT("'※ 디지털 세부데이터'!"&amp;D$1&amp;$AB21, TRUE)</f>
        <v>25.916666666666668</v>
      </c>
      <c r="E21" s="5160" cm="1">
        <f t="array" aca="1" ref="E21" ca="1">INDIRECT("'※ 디지털 세부데이터'!"&amp;E$1&amp;$AB21, TRUE)</f>
        <v>92.75</v>
      </c>
      <c r="F21" s="7267" t="s">
        <v>1134</v>
      </c>
      <c r="G21" s="7268"/>
      <c r="H21" s="7268"/>
      <c r="I21" s="7268"/>
      <c r="J21" s="7268"/>
      <c r="K21" s="7268"/>
      <c r="L21" s="7268"/>
      <c r="M21" s="7268"/>
      <c r="N21" s="7268"/>
      <c r="O21" s="7268"/>
      <c r="P21" s="7268"/>
      <c r="Q21" s="7268"/>
      <c r="R21" s="7268"/>
      <c r="S21" s="7268"/>
      <c r="T21" s="7268"/>
      <c r="U21" s="7269"/>
      <c r="V21" s="5166"/>
      <c r="W21" s="5166"/>
      <c r="X21" s="5167"/>
      <c r="Y21" s="5166"/>
      <c r="Z21" s="5166"/>
      <c r="AA21" s="5168"/>
      <c r="AB21" s="3693">
        <f>ROW('※ 디지털 세부데이터'!L21)</f>
        <v>21</v>
      </c>
    </row>
    <row r="22" spans="1:28" ht="18" customHeight="1" x14ac:dyDescent="0.55000000000000004">
      <c r="A22" s="7258"/>
      <c r="B22" s="5185" t="s">
        <v>780</v>
      </c>
      <c r="C22" s="5186" t="s">
        <v>474</v>
      </c>
      <c r="D22" s="5183"/>
      <c r="E22" s="5169" cm="1">
        <f t="array" aca="1" ref="E22" ca="1">INDIRECT("'※ 디지털 세부데이터'!"&amp;E$1&amp;$AB22, TRUE)</f>
        <v>115.08333333333333</v>
      </c>
      <c r="F22" s="5170" cm="1">
        <f t="array" aca="1" ref="F22" ca="1">INDIRECT("'※ 디지털 세부데이터'!"&amp;F$1&amp;$AB22, TRUE)</f>
        <v>235</v>
      </c>
      <c r="G22" s="5156" cm="1">
        <f t="array" aca="1" ref="G22" ca="1">INDIRECT("'※ 디지털 세부데이터'!"&amp;G$1&amp;$AB22, TRUE)</f>
        <v>558</v>
      </c>
      <c r="H22" s="5156" cm="1">
        <f t="array" aca="1" ref="H22" ca="1">INDIRECT("'※ 디지털 세부데이터'!"&amp;H$1&amp;$AB22, TRUE)</f>
        <v>65</v>
      </c>
      <c r="I22" s="5156" cm="1">
        <f t="array" aca="1" ref="I22" ca="1">INDIRECT("'※ 디지털 세부데이터'!"&amp;I$1&amp;$AB22, TRUE)</f>
        <v>206</v>
      </c>
      <c r="J22" s="5156" cm="1">
        <f t="array" aca="1" ref="J22" ca="1">INDIRECT("'※ 디지털 세부데이터'!"&amp;J$1&amp;$AB22, TRUE)</f>
        <v>115</v>
      </c>
      <c r="K22" s="5156" cm="1">
        <f t="array" aca="1" ref="K22" ca="1">INDIRECT("'※ 디지털 세부데이터'!"&amp;K$1&amp;$AB22, TRUE)</f>
        <v>56</v>
      </c>
      <c r="L22" s="5156" cm="1">
        <f t="array" aca="1" ref="L22" ca="1">INDIRECT("'※ 디지털 세부데이터'!"&amp;L$1&amp;$AB22, TRUE)</f>
        <v>253</v>
      </c>
      <c r="M22" s="5156" cm="1">
        <f t="array" aca="1" ref="M22" ca="1">INDIRECT("'※ 디지털 세부데이터'!"&amp;M$1&amp;$AB22, TRUE)</f>
        <v>220</v>
      </c>
      <c r="N22" s="5156" cm="1">
        <f t="array" aca="1" ref="N22" ca="1">INDIRECT("'※ 디지털 세부데이터'!"&amp;N$1&amp;$AB22, TRUE)</f>
        <v>129</v>
      </c>
      <c r="O22" s="5156" cm="1">
        <f t="array" aca="1" ref="O22" ca="1">INDIRECT("'※ 디지털 세부데이터'!"&amp;O$1&amp;$AB22, TRUE)</f>
        <v>173</v>
      </c>
      <c r="P22" s="5156" cm="1">
        <f t="array" aca="1" ref="P22" ca="1">INDIRECT("'※ 디지털 세부데이터'!"&amp;P$1&amp;$AB22, TRUE)</f>
        <v>534</v>
      </c>
      <c r="Q22" s="5156" cm="1">
        <f t="array" aca="1" ref="Q22" ca="1">INDIRECT("'※ 디지털 세부데이터'!"&amp;Q$1&amp;$AB22, TRUE)</f>
        <v>592</v>
      </c>
      <c r="R22" s="5156" cm="1">
        <f t="array" aca="1" ref="R22" ca="1">INDIRECT("'※ 디지털 세부데이터'!"&amp;R$1&amp;$AB22, TRUE)</f>
        <v>242</v>
      </c>
      <c r="S22" s="5171" cm="1">
        <f t="array" aca="1" ref="S22" ca="1">INDIRECT("'※ 디지털 세부데이터'!"&amp;S$1&amp;$AB22, TRUE)</f>
        <v>1.6914285714285715</v>
      </c>
      <c r="T22" s="5156" cm="1">
        <f t="array" aca="1" ref="T22" ca="1">INDIRECT("'※ 디지털 세부데이터'!"&amp;T$1&amp;$AB22, TRUE)</f>
        <v>58</v>
      </c>
      <c r="U22" s="5172" cm="1">
        <f t="array" aca="1" ref="U22" ca="1">INDIRECT("'※ 디지털 세부데이터'!"&amp;U$1&amp;$AB22, TRUE)</f>
        <v>389</v>
      </c>
      <c r="V22" s="5156" cm="1">
        <f t="array" aca="1" ref="V22" ca="1">INDIRECT("'※ 디지털 세부데이터'!"&amp;V$1&amp;$AB22, TRUE)</f>
        <v>3136</v>
      </c>
      <c r="W22" s="5156" cm="1">
        <f t="array" aca="1" ref="W22" ca="1">INDIRECT("'※ 디지털 세부데이터'!"&amp;W$1&amp;$AB22, TRUE)</f>
        <v>29</v>
      </c>
      <c r="X22" s="5156" cm="1">
        <f t="array" aca="1" ref="X22" ca="1">INDIRECT("'※ 디지털 세부데이터'!"&amp;X$1&amp;$AB22, TRUE)</f>
        <v>241</v>
      </c>
      <c r="Y22" s="5156" cm="1">
        <f t="array" aca="1" ref="Y22" ca="1">INDIRECT("'※ 디지털 세부데이터'!"&amp;Y$1&amp;$AB22, TRUE)</f>
        <v>1755</v>
      </c>
      <c r="Z22" s="5156" cm="1">
        <f t="array" aca="1" ref="Z22" ca="1">INDIRECT("'※ 디지털 세부데이터'!"&amp;Z$1&amp;$AB22, TRUE)</f>
        <v>261.33333333333331</v>
      </c>
      <c r="AA22" s="5174" cm="1">
        <f t="array" aca="1" ref="AA22" ca="1">INDIRECT("'※ 디지털 세부데이터'!"&amp;AA$1&amp;$AB22, TRUE)</f>
        <v>146.25</v>
      </c>
      <c r="AB22" s="3693">
        <f>ROW('※ 디지털 세부데이터'!L26)</f>
        <v>26</v>
      </c>
    </row>
    <row r="23" spans="1:28" ht="18" customHeight="1" x14ac:dyDescent="0.55000000000000004">
      <c r="A23" s="7258"/>
      <c r="B23" s="4684"/>
      <c r="C23" s="5062" t="s">
        <v>781</v>
      </c>
      <c r="D23" s="5183"/>
      <c r="E23" s="5175" cm="1">
        <f t="array" aca="1" ref="E23" ca="1">INDIRECT("'※ 디지털 세부데이터'!"&amp;E$1&amp;$AB23, TRUE)</f>
        <v>2.8333333333333335</v>
      </c>
      <c r="F23" s="5176" cm="1">
        <f t="array" aca="1" ref="F23" ca="1">INDIRECT("'※ 디지털 세부데이터'!"&amp;F$1&amp;$AB23, TRUE)</f>
        <v>12</v>
      </c>
      <c r="G23" s="5177" cm="1">
        <f t="array" aca="1" ref="G23" ca="1">INDIRECT("'※ 디지털 세부데이터'!"&amp;G$1&amp;$AB23, TRUE)</f>
        <v>8</v>
      </c>
      <c r="H23" s="5177" cm="1">
        <f t="array" aca="1" ref="H23" ca="1">INDIRECT("'※ 디지털 세부데이터'!"&amp;H$1&amp;$AB23, TRUE)</f>
        <v>12</v>
      </c>
      <c r="I23" s="5177" cm="1">
        <f t="array" aca="1" ref="I23" ca="1">INDIRECT("'※ 디지털 세부데이터'!"&amp;I$1&amp;$AB23, TRUE)</f>
        <v>10</v>
      </c>
      <c r="J23" s="5177" cm="1">
        <f t="array" aca="1" ref="J23" ca="1">INDIRECT("'※ 디지털 세부데이터'!"&amp;J$1&amp;$AB23, TRUE)</f>
        <v>9</v>
      </c>
      <c r="K23" s="5177" cm="1">
        <f t="array" aca="1" ref="K23" ca="1">INDIRECT("'※ 디지털 세부데이터'!"&amp;K$1&amp;$AB23, TRUE)</f>
        <v>8</v>
      </c>
      <c r="L23" s="5177" cm="1">
        <f t="array" aca="1" ref="L23" ca="1">INDIRECT("'※ 디지털 세부데이터'!"&amp;L$1&amp;$AB23, TRUE)</f>
        <v>13</v>
      </c>
      <c r="M23" s="5177" cm="1">
        <f t="array" aca="1" ref="M23" ca="1">INDIRECT("'※ 디지털 세부데이터'!"&amp;M$1&amp;$AB23, TRUE)</f>
        <v>8</v>
      </c>
      <c r="N23" s="5177" cm="1">
        <f t="array" aca="1" ref="N23" ca="1">INDIRECT("'※ 디지털 세부데이터'!"&amp;N$1&amp;$AB23, TRUE)</f>
        <v>9</v>
      </c>
      <c r="O23" s="5177" cm="1">
        <f t="array" aca="1" ref="O23" ca="1">INDIRECT("'※ 디지털 세부데이터'!"&amp;O$1&amp;$AB23, TRUE)</f>
        <v>6</v>
      </c>
      <c r="P23" s="5177" cm="1">
        <f t="array" aca="1" ref="P23" ca="1">INDIRECT("'※ 디지털 세부데이터'!"&amp;P$1&amp;$AB23, TRUE)</f>
        <v>8</v>
      </c>
      <c r="Q23" s="5177" cm="1">
        <f t="array" aca="1" ref="Q23" ca="1">INDIRECT("'※ 디지털 세부데이터'!"&amp;Q$1&amp;$AB23, TRUE)</f>
        <v>8</v>
      </c>
      <c r="R23" s="5177" cm="1">
        <f t="array" aca="1" ref="R23" ca="1">INDIRECT("'※ 디지털 세부데이터'!"&amp;R$1&amp;$AB23, TRUE)</f>
        <v>8</v>
      </c>
      <c r="S23" s="5178" cm="1">
        <f t="array" aca="1" ref="S23" ca="1">INDIRECT("'※ 디지털 세부데이터'!"&amp;S$1&amp;$AB23, TRUE)</f>
        <v>0</v>
      </c>
      <c r="T23" s="5184" cm="1">
        <f t="array" aca="1" ref="T23" ca="1">INDIRECT("'※ 디지털 세부데이터'!"&amp;T$1&amp;$AB23, TRUE)</f>
        <v>0</v>
      </c>
      <c r="U23" s="5179" cm="1">
        <f t="array" aca="1" ref="U23" ca="1">INDIRECT("'※ 디지털 세부데이터'!"&amp;U$1&amp;$AB23, TRUE)</f>
        <v>-3</v>
      </c>
      <c r="V23" s="5177" cm="1">
        <f t="array" aca="1" ref="V23" ca="1">INDIRECT("'※ 디지털 세부데이터'!"&amp;V$1&amp;$AB23, TRUE)</f>
        <v>111</v>
      </c>
      <c r="W23" s="5177" cm="1">
        <f t="array" aca="1" ref="W23" ca="1">INDIRECT("'※ 디지털 세부데이터'!"&amp;W$1&amp;$AB23, TRUE)</f>
        <v>1</v>
      </c>
      <c r="X23" s="5177" cm="1">
        <f t="array" aca="1" ref="X23" ca="1">INDIRECT("'※ 디지털 세부데이터'!"&amp;X$1&amp;$AB23, TRUE)</f>
        <v>1</v>
      </c>
      <c r="Y23" s="5177" cm="1">
        <f t="array" aca="1" ref="Y23" ca="1">INDIRECT("'※ 디지털 세부데이터'!"&amp;Y$1&amp;$AB23, TRUE)</f>
        <v>77</v>
      </c>
      <c r="Z23" s="5177" cm="1">
        <f t="array" aca="1" ref="Z23" ca="1">INDIRECT("'※ 디지털 세부데이터'!"&amp;Z$1&amp;$AB23, TRUE)</f>
        <v>9.25</v>
      </c>
      <c r="AA23" s="5181" cm="1">
        <f t="array" aca="1" ref="AA23" ca="1">INDIRECT("'※ 디지털 세부데이터'!"&amp;AA$1&amp;$AB23, TRUE)</f>
        <v>6.4166666666666661</v>
      </c>
      <c r="AB23" s="3693">
        <f>ROW('※ 디지털 세부데이터'!L27)</f>
        <v>27</v>
      </c>
    </row>
    <row r="24" spans="1:28" ht="18" customHeight="1" x14ac:dyDescent="0.55000000000000004">
      <c r="A24" s="7258"/>
      <c r="B24" s="4684"/>
      <c r="C24" s="5062" t="s">
        <v>782</v>
      </c>
      <c r="D24" s="5183"/>
      <c r="E24" s="5175" cm="1">
        <f t="array" aca="1" ref="E24" ca="1">INDIRECT("'※ 디지털 세부데이터'!"&amp;E$1&amp;$AB24, TRUE)</f>
        <v>236.58333333333334</v>
      </c>
      <c r="F24" s="5176" cm="1">
        <f t="array" aca="1" ref="F24" ca="1">INDIRECT("'※ 디지털 세부데이터'!"&amp;F$1&amp;$AB24, TRUE)</f>
        <v>863</v>
      </c>
      <c r="G24" s="5177" cm="1">
        <f t="array" aca="1" ref="G24" ca="1">INDIRECT("'※ 디지털 세부데이터'!"&amp;G$1&amp;$AB24, TRUE)</f>
        <v>201</v>
      </c>
      <c r="H24" s="5177" cm="1">
        <f t="array" aca="1" ref="H24" ca="1">INDIRECT("'※ 디지털 세부데이터'!"&amp;H$1&amp;$AB24, TRUE)</f>
        <v>170</v>
      </c>
      <c r="I24" s="5177" cm="1">
        <f t="array" aca="1" ref="I24" ca="1">INDIRECT("'※ 디지털 세부데이터'!"&amp;I$1&amp;$AB24, TRUE)</f>
        <v>761</v>
      </c>
      <c r="J24" s="5177" cm="1">
        <f t="array" aca="1" ref="J24" ca="1">INDIRECT("'※ 디지털 세부데이터'!"&amp;J$1&amp;$AB24, TRUE)</f>
        <v>251</v>
      </c>
      <c r="K24" s="5177" cm="1">
        <f t="array" aca="1" ref="K24" ca="1">INDIRECT("'※ 디지털 세부데이터'!"&amp;K$1&amp;$AB24, TRUE)</f>
        <v>146</v>
      </c>
      <c r="L24" s="5177" cm="1">
        <f t="array" aca="1" ref="L24" ca="1">INDIRECT("'※ 디지털 세부데이터'!"&amp;L$1&amp;$AB24, TRUE)</f>
        <v>137</v>
      </c>
      <c r="M24" s="5177" cm="1">
        <f t="array" aca="1" ref="M24" ca="1">INDIRECT("'※ 디지털 세부데이터'!"&amp;M$1&amp;$AB24, TRUE)</f>
        <v>429</v>
      </c>
      <c r="N24" s="5177" cm="1">
        <f t="array" aca="1" ref="N24" ca="1">INDIRECT("'※ 디지털 세부데이터'!"&amp;N$1&amp;$AB24, TRUE)</f>
        <v>179</v>
      </c>
      <c r="O24" s="5177" cm="1">
        <f t="array" aca="1" ref="O24" ca="1">INDIRECT("'※ 디지털 세부데이터'!"&amp;O$1&amp;$AB24, TRUE)</f>
        <v>283</v>
      </c>
      <c r="P24" s="5177" cm="1">
        <f t="array" aca="1" ref="P24" ca="1">INDIRECT("'※ 디지털 세부데이터'!"&amp;P$1&amp;$AB24, TRUE)</f>
        <v>683</v>
      </c>
      <c r="Q24" s="5177" cm="1">
        <f t="array" aca="1" ref="Q24" ca="1">INDIRECT("'※ 디지털 세부데이터'!"&amp;Q$1&amp;$AB24, TRUE)</f>
        <v>765</v>
      </c>
      <c r="R24" s="5177" cm="1">
        <f t="array" aca="1" ref="R24" ca="1">INDIRECT("'※ 디지털 세부데이터'!"&amp;R$1&amp;$AB24, TRUE)</f>
        <v>765</v>
      </c>
      <c r="S24" s="5178" cm="1">
        <f t="array" aca="1" ref="S24" ca="1">INDIRECT("'※ 디지털 세부데이터'!"&amp;S$1&amp;$AB24, TRUE)</f>
        <v>0</v>
      </c>
      <c r="T24" s="5184" cm="1">
        <f t="array" aca="1" ref="T24" ca="1">INDIRECT("'※ 디지털 세부데이터'!"&amp;T$1&amp;$AB24, TRUE)</f>
        <v>82</v>
      </c>
      <c r="U24" s="5179" cm="1">
        <f t="array" aca="1" ref="U24" ca="1">INDIRECT("'※ 디지털 세부데이터'!"&amp;U$1&amp;$AB24, TRUE)</f>
        <v>40</v>
      </c>
      <c r="V24" s="5177" cm="1">
        <f t="array" aca="1" ref="V24" ca="1">INDIRECT("'※ 디지털 세부데이터'!"&amp;V$1&amp;$AB24, TRUE)</f>
        <v>4868</v>
      </c>
      <c r="W24" s="5177" cm="1">
        <f t="array" aca="1" ref="W24" ca="1">INDIRECT("'※ 디지털 세부데이터'!"&amp;W$1&amp;$AB24, TRUE)</f>
        <v>79</v>
      </c>
      <c r="X24" s="5177" cm="1">
        <f t="array" aca="1" ref="X24" ca="1">INDIRECT("'※ 디지털 세부데이터'!"&amp;X$1&amp;$AB24, TRUE)</f>
        <v>170</v>
      </c>
      <c r="Y24" s="5177" cm="1">
        <f t="array" aca="1" ref="Y24" ca="1">INDIRECT("'※ 디지털 세부데이터'!"&amp;Y$1&amp;$AB24, TRUE)</f>
        <v>2029</v>
      </c>
      <c r="Z24" s="5177" cm="1">
        <f t="array" aca="1" ref="Z24" ca="1">INDIRECT("'※ 디지털 세부데이터'!"&amp;Z$1&amp;$AB24, TRUE)</f>
        <v>405.66666666666669</v>
      </c>
      <c r="AA24" s="5181" cm="1">
        <f t="array" aca="1" ref="AA24" ca="1">INDIRECT("'※ 디지털 세부데이터'!"&amp;AA$1&amp;$AB24, TRUE)</f>
        <v>169.08333333333334</v>
      </c>
      <c r="AB24" s="3693">
        <f>ROW('※ 디지털 세부데이터'!L28)</f>
        <v>28</v>
      </c>
    </row>
    <row r="25" spans="1:28" ht="18" customHeight="1" x14ac:dyDescent="0.55000000000000004">
      <c r="A25" s="7252" t="s">
        <v>783</v>
      </c>
      <c r="B25" s="7256" t="s">
        <v>1045</v>
      </c>
      <c r="C25" s="7256"/>
      <c r="D25" s="5187" cm="1">
        <f t="array" aca="1" ref="D25" ca="1">INDIRECT("'※ 디지털 세부데이터'!"&amp;D$1&amp;$AB25, TRUE)</f>
        <v>73.666666666666671</v>
      </c>
      <c r="E25" s="5188" cm="1">
        <f t="array" aca="1" ref="E25" ca="1">INDIRECT("'※ 디지털 세부데이터'!"&amp;E$1&amp;$AB25, TRUE)</f>
        <v>86.083333333333329</v>
      </c>
      <c r="F25" s="5189" cm="1">
        <f t="array" aca="1" ref="F25" ca="1">INDIRECT("'※ 디지털 세부데이터'!"&amp;F$1&amp;$AB25, TRUE)</f>
        <v>117</v>
      </c>
      <c r="G25" s="5190" cm="1">
        <f t="array" aca="1" ref="G25" ca="1">INDIRECT("'※ 디지털 세부데이터'!"&amp;G$1&amp;$AB25, TRUE)</f>
        <v>121</v>
      </c>
      <c r="H25" s="5190" cm="1">
        <f t="array" aca="1" ref="H25" ca="1">INDIRECT("'※ 디지털 세부데이터'!"&amp;H$1&amp;$AB25, TRUE)</f>
        <v>136</v>
      </c>
      <c r="I25" s="5190" cm="1">
        <f t="array" aca="1" ref="I25" ca="1">INDIRECT("'※ 디지털 세부데이터'!"&amp;I$1&amp;$AB25, TRUE)</f>
        <v>137</v>
      </c>
      <c r="J25" s="5190" cm="1">
        <f t="array" aca="1" ref="J25" ca="1">INDIRECT("'※ 디지털 세부데이터'!"&amp;J$1&amp;$AB25, TRUE)</f>
        <v>139</v>
      </c>
      <c r="K25" s="5190" cm="1">
        <f t="array" aca="1" ref="K25" ca="1">INDIRECT("'※ 디지털 세부데이터'!"&amp;K$1&amp;$AB25, TRUE)</f>
        <v>150</v>
      </c>
      <c r="L25" s="5190" cm="1">
        <f t="array" aca="1" ref="L25" ca="1">INDIRECT("'※ 디지털 세부데이터'!"&amp;L$1&amp;$AB25, TRUE)</f>
        <v>137</v>
      </c>
      <c r="M25" s="5190" cm="1">
        <f t="array" aca="1" ref="M25" ca="1">INDIRECT("'※ 디지털 세부데이터'!"&amp;M$1&amp;$AB25, TRUE)</f>
        <v>142</v>
      </c>
      <c r="N25" s="5190" cm="1">
        <f t="array" aca="1" ref="N25" ca="1">INDIRECT("'※ 디지털 세부데이터'!"&amp;N$1&amp;$AB25, TRUE)</f>
        <v>139</v>
      </c>
      <c r="O25" s="5190" cm="1">
        <f t="array" aca="1" ref="O25" ca="1">INDIRECT("'※ 디지털 세부데이터'!"&amp;O$1&amp;$AB25, TRUE)</f>
        <v>138</v>
      </c>
      <c r="P25" s="5190" cm="1">
        <f t="array" aca="1" ref="P25" ca="1">INDIRECT("'※ 디지털 세부데이터'!"&amp;P$1&amp;$AB25, TRUE)</f>
        <v>135</v>
      </c>
      <c r="Q25" s="5190" cm="1">
        <f t="array" aca="1" ref="Q25" ca="1">INDIRECT("'※ 디지털 세부데이터'!"&amp;Q$1&amp;$AB25, TRUE)</f>
        <v>136</v>
      </c>
      <c r="R25" s="5191"/>
      <c r="S25" s="5191"/>
      <c r="T25" s="5192"/>
      <c r="U25" s="5192"/>
      <c r="V25" s="5190" cm="1">
        <f t="array" aca="1" ref="V25" ca="1">INDIRECT("'※ 디지털 세부데이터'!"&amp;V$1&amp;$AB25, TRUE)</f>
        <v>136</v>
      </c>
      <c r="W25" s="5190" cm="1">
        <f t="array" aca="1" ref="W25" ca="1">INDIRECT("'※ 디지털 세부데이터'!"&amp;W$1&amp;$AB25, TRUE)</f>
        <v>75</v>
      </c>
      <c r="X25" s="5190" cm="1">
        <f t="array" aca="1" ref="X25" ca="1">INDIRECT("'※ 디지털 세부데이터'!"&amp;X$1&amp;$AB25, TRUE)</f>
        <v>76</v>
      </c>
      <c r="Y25" s="5190" cm="1">
        <f t="array" aca="1" ref="Y25" ca="1">INDIRECT("'※ 디지털 세부데이터'!"&amp;Y$1&amp;$AB25, TRUE)</f>
        <v>594</v>
      </c>
      <c r="Z25" s="5193" cm="1">
        <f t="array" aca="1" ref="Z25" ca="1">INDIRECT("'※ 디지털 세부데이터'!"&amp;Z$1&amp;$AB25, TRUE)</f>
        <v>135.58333333333334</v>
      </c>
      <c r="AA25" s="5194" cm="1">
        <f t="array" aca="1" ref="AA25" ca="1">INDIRECT("'※ 디지털 세부데이터'!"&amp;AA$1&amp;$AB25, TRUE)</f>
        <v>49.500000000000014</v>
      </c>
      <c r="AB25" s="3693">
        <f>ROW('※ 디지털 세부데이터'!L29)</f>
        <v>29</v>
      </c>
    </row>
    <row r="26" spans="1:28" ht="18" customHeight="1" x14ac:dyDescent="0.55000000000000004">
      <c r="A26" s="7253"/>
      <c r="B26" s="2610"/>
      <c r="C26" s="5195" t="s">
        <v>1046</v>
      </c>
      <c r="D26" s="5196" cm="1">
        <f t="array" aca="1" ref="D26" ca="1">INDIRECT("'※ 디지털 세부데이터'!"&amp;D$1&amp;$AB26, TRUE)</f>
        <v>0</v>
      </c>
      <c r="E26" s="5197" cm="1">
        <f t="array" aca="1" ref="E26" ca="1">INDIRECT("'※ 디지털 세부데이터'!"&amp;E$1&amp;$AB26, TRUE)</f>
        <v>0</v>
      </c>
      <c r="F26" s="5198" cm="1">
        <f t="array" aca="1" ref="F26" ca="1">INDIRECT("'※ 디지털 세부데이터'!"&amp;F$1&amp;$AB26, TRUE)</f>
        <v>1</v>
      </c>
      <c r="G26" s="5184" cm="1">
        <f t="array" aca="1" ref="G26" ca="1">INDIRECT("'※ 디지털 세부데이터'!"&amp;G$1&amp;$AB26, TRUE)</f>
        <v>1</v>
      </c>
      <c r="H26" s="5184" cm="1">
        <f t="array" aca="1" ref="H26" ca="1">INDIRECT("'※ 디지털 세부데이터'!"&amp;H$1&amp;$AB26, TRUE)</f>
        <v>1</v>
      </c>
      <c r="I26" s="5184" cm="1">
        <f t="array" aca="1" ref="I26" ca="1">INDIRECT("'※ 디지털 세부데이터'!"&amp;I$1&amp;$AB26, TRUE)</f>
        <v>1</v>
      </c>
      <c r="J26" s="5184" cm="1">
        <f t="array" aca="1" ref="J26" ca="1">INDIRECT("'※ 디지털 세부데이터'!"&amp;J$1&amp;$AB26, TRUE)</f>
        <v>1</v>
      </c>
      <c r="K26" s="5184" cm="1">
        <f t="array" aca="1" ref="K26" ca="1">INDIRECT("'※ 디지털 세부데이터'!"&amp;K$1&amp;$AB26, TRUE)</f>
        <v>1</v>
      </c>
      <c r="L26" s="5184" cm="1">
        <f t="array" aca="1" ref="L26" ca="1">INDIRECT("'※ 디지털 세부데이터'!"&amp;L$1&amp;$AB26, TRUE)</f>
        <v>1</v>
      </c>
      <c r="M26" s="5184" cm="1">
        <f t="array" aca="1" ref="M26" ca="1">INDIRECT("'※ 디지털 세부데이터'!"&amp;M$1&amp;$AB26, TRUE)</f>
        <v>1</v>
      </c>
      <c r="N26" s="5184" cm="1">
        <f t="array" aca="1" ref="N26" ca="1">INDIRECT("'※ 디지털 세부데이터'!"&amp;N$1&amp;$AB26, TRUE)</f>
        <v>1</v>
      </c>
      <c r="O26" s="5184" cm="1">
        <f t="array" aca="1" ref="O26" ca="1">INDIRECT("'※ 디지털 세부데이터'!"&amp;O$1&amp;$AB26, TRUE)</f>
        <v>1</v>
      </c>
      <c r="P26" s="5184" cm="1">
        <f t="array" aca="1" ref="P26" ca="1">INDIRECT("'※ 디지털 세부데이터'!"&amp;P$1&amp;$AB26, TRUE)</f>
        <v>1</v>
      </c>
      <c r="Q26" s="5184" cm="1">
        <f t="array" aca="1" ref="Q26" ca="1">INDIRECT("'※ 디지털 세부데이터'!"&amp;Q$1&amp;$AB26, TRUE)</f>
        <v>1</v>
      </c>
      <c r="R26" s="5182"/>
      <c r="S26" s="5182"/>
      <c r="T26" s="5182"/>
      <c r="U26" s="5199"/>
      <c r="V26" s="5184" cm="1">
        <f t="array" aca="1" ref="V26" ca="1">INDIRECT("'※ 디지털 세부데이터'!"&amp;V$1&amp;$AB26, TRUE)</f>
        <v>1</v>
      </c>
      <c r="W26" s="5184" cm="1">
        <f t="array" aca="1" ref="W26" ca="1">INDIRECT("'※ 디지털 세부데이터'!"&amp;W$1&amp;$AB26, TRUE)</f>
        <v>0</v>
      </c>
      <c r="X26" s="5184" cm="1">
        <f t="array" aca="1" ref="X26" ca="1">INDIRECT("'※ 디지털 세부데이터'!"&amp;X$1&amp;$AB26, TRUE)</f>
        <v>0</v>
      </c>
      <c r="Y26" s="5184" cm="1">
        <f t="array" aca="1" ref="Y26" ca="1">INDIRECT("'※ 디지털 세부데이터'!"&amp;Y$1&amp;$AB26, TRUE)</f>
        <v>12</v>
      </c>
      <c r="Z26" s="5184" cm="1">
        <f t="array" aca="1" ref="Z26" ca="1">INDIRECT("'※ 디지털 세부데이터'!"&amp;Z$1&amp;$AB26, TRUE)</f>
        <v>1</v>
      </c>
      <c r="AA26" s="5200" cm="1">
        <f t="array" aca="1" ref="AA26" ca="1">INDIRECT("'※ 디지털 세부데이터'!"&amp;AA$1&amp;$AB26, TRUE)</f>
        <v>1</v>
      </c>
      <c r="AB26" s="3693">
        <f>ROW('※ 디지털 세부데이터'!L30)</f>
        <v>30</v>
      </c>
    </row>
    <row r="27" spans="1:28" ht="18" hidden="1" customHeight="1" x14ac:dyDescent="0.55000000000000004">
      <c r="A27" s="7253"/>
      <c r="B27" s="4684"/>
      <c r="C27" s="3045" t="s">
        <v>785</v>
      </c>
      <c r="D27" s="5196" t="e" cm="1">
        <f t="array" aca="1" ref="D27" ca="1">INDIRECT("'※ 디지털 세부데이터'!"&amp;D$1&amp;$AB27, TRUE)</f>
        <v>#REF!</v>
      </c>
      <c r="E27" s="5197" t="e" cm="1">
        <f t="array" aca="1" ref="E27" ca="1">INDIRECT("'※ 디지털 세부데이터'!"&amp;E$1&amp;$AB27, TRUE)</f>
        <v>#REF!</v>
      </c>
      <c r="F27" s="5198" t="e" cm="1">
        <f t="array" aca="1" ref="F27" ca="1">INDIRECT("'※ 디지털 세부데이터'!"&amp;F$1&amp;$AB27, TRUE)</f>
        <v>#REF!</v>
      </c>
      <c r="G27" s="5184" t="e" cm="1">
        <f t="array" aca="1" ref="G27" ca="1">INDIRECT("'※ 디지털 세부데이터'!"&amp;G$1&amp;$AB27, TRUE)</f>
        <v>#REF!</v>
      </c>
      <c r="H27" s="5184" t="e" cm="1">
        <f t="array" aca="1" ref="H27" ca="1">INDIRECT("'※ 디지털 세부데이터'!"&amp;H$1&amp;$AB27, TRUE)</f>
        <v>#REF!</v>
      </c>
      <c r="I27" s="5184" t="e" cm="1">
        <f t="array" aca="1" ref="I27" ca="1">INDIRECT("'※ 디지털 세부데이터'!"&amp;I$1&amp;$AB27, TRUE)</f>
        <v>#REF!</v>
      </c>
      <c r="J27" s="5184" t="e" cm="1">
        <f t="array" aca="1" ref="J27" ca="1">INDIRECT("'※ 디지털 세부데이터'!"&amp;J$1&amp;$AB27, TRUE)</f>
        <v>#REF!</v>
      </c>
      <c r="K27" s="5184" t="e" cm="1">
        <f t="array" aca="1" ref="K27" ca="1">INDIRECT("'※ 디지털 세부데이터'!"&amp;K$1&amp;$AB27, TRUE)</f>
        <v>#REF!</v>
      </c>
      <c r="L27" s="5184" t="e" cm="1">
        <f t="array" aca="1" ref="L27" ca="1">INDIRECT("'※ 디지털 세부데이터'!"&amp;L$1&amp;$AB27, TRUE)</f>
        <v>#REF!</v>
      </c>
      <c r="M27" s="5184" t="e" cm="1">
        <f t="array" aca="1" ref="M27" ca="1">INDIRECT("'※ 디지털 세부데이터'!"&amp;M$1&amp;$AB27, TRUE)</f>
        <v>#REF!</v>
      </c>
      <c r="N27" s="5184" t="e" cm="1">
        <f t="array" aca="1" ref="N27" ca="1">INDIRECT("'※ 디지털 세부데이터'!"&amp;N$1&amp;$AB27, TRUE)</f>
        <v>#REF!</v>
      </c>
      <c r="O27" s="5184" t="e" cm="1">
        <f t="array" aca="1" ref="O27" ca="1">INDIRECT("'※ 디지털 세부데이터'!"&amp;O$1&amp;$AB27, TRUE)</f>
        <v>#REF!</v>
      </c>
      <c r="P27" s="5184" t="e" cm="1">
        <f t="array" aca="1" ref="P27" ca="1">INDIRECT("'※ 디지털 세부데이터'!"&amp;P$1&amp;$AB27, TRUE)</f>
        <v>#REF!</v>
      </c>
      <c r="Q27" s="5184" t="e" cm="1">
        <f t="array" aca="1" ref="Q27" ca="1">INDIRECT("'※ 디지털 세부데이터'!"&amp;Q$1&amp;$AB27, TRUE)</f>
        <v>#REF!</v>
      </c>
      <c r="R27" s="5182"/>
      <c r="S27" s="5182"/>
      <c r="T27" s="5182"/>
      <c r="U27" s="5199"/>
      <c r="V27" s="5184" t="e" cm="1">
        <f t="array" aca="1" ref="V27" ca="1">INDIRECT("'※ 디지털 세부데이터'!"&amp;V$1&amp;$AB27, TRUE)</f>
        <v>#REF!</v>
      </c>
      <c r="W27" s="5184" t="e" cm="1">
        <f t="array" aca="1" ref="W27" ca="1">INDIRECT("'※ 디지털 세부데이터'!"&amp;W$1&amp;$AB27, TRUE)</f>
        <v>#REF!</v>
      </c>
      <c r="X27" s="5184" t="e" cm="1">
        <f t="array" aca="1" ref="X27" ca="1">INDIRECT("'※ 디지털 세부데이터'!"&amp;X$1&amp;$AB27, TRUE)</f>
        <v>#REF!</v>
      </c>
      <c r="Y27" s="5184" t="e" cm="1">
        <f t="array" aca="1" ref="Y27" ca="1">INDIRECT("'※ 디지털 세부데이터'!"&amp;Y$1&amp;$AB27, TRUE)</f>
        <v>#REF!</v>
      </c>
      <c r="Z27" s="5184" t="e" cm="1">
        <f t="array" aca="1" ref="Z27" ca="1">INDIRECT("'※ 디지털 세부데이터'!"&amp;Z$1&amp;$AB27, TRUE)</f>
        <v>#REF!</v>
      </c>
      <c r="AA27" s="5200" t="e" cm="1">
        <f t="array" aca="1" ref="AA27" ca="1">INDIRECT("'※ 디지털 세부데이터'!"&amp;AA$1&amp;$AB27, TRUE)</f>
        <v>#REF!</v>
      </c>
      <c r="AB27" s="3693" t="e">
        <f>ROW('※ 디지털 세부데이터'!#REF!)</f>
        <v>#REF!</v>
      </c>
    </row>
    <row r="28" spans="1:28" ht="18" customHeight="1" x14ac:dyDescent="0.55000000000000004">
      <c r="A28" s="7253"/>
      <c r="B28" s="4684"/>
      <c r="C28" s="3045" t="s">
        <v>1048</v>
      </c>
      <c r="D28" s="5196" cm="1">
        <f t="array" aca="1" ref="D28" ca="1">INDIRECT("'※ 디지털 세부데이터'!"&amp;D$1&amp;$AB28, TRUE)</f>
        <v>0</v>
      </c>
      <c r="E28" s="5197" cm="1">
        <f t="array" aca="1" ref="E28" ca="1">INDIRECT("'※ 디지털 세부데이터'!"&amp;E$1&amp;$AB28, TRUE)</f>
        <v>0</v>
      </c>
      <c r="F28" s="5198" cm="1">
        <f t="array" aca="1" ref="F28" ca="1">INDIRECT("'※ 디지털 세부데이터'!"&amp;F$1&amp;$AB28, TRUE)</f>
        <v>6</v>
      </c>
      <c r="G28" s="5184" cm="1">
        <f t="array" aca="1" ref="G28" ca="1">INDIRECT("'※ 디지털 세부데이터'!"&amp;G$1&amp;$AB28, TRUE)</f>
        <v>6</v>
      </c>
      <c r="H28" s="5184" cm="1">
        <f t="array" aca="1" ref="H28" ca="1">INDIRECT("'※ 디지털 세부데이터'!"&amp;H$1&amp;$AB28, TRUE)</f>
        <v>6</v>
      </c>
      <c r="I28" s="5184" cm="1">
        <f t="array" aca="1" ref="I28" ca="1">INDIRECT("'※ 디지털 세부데이터'!"&amp;I$1&amp;$AB28, TRUE)</f>
        <v>6</v>
      </c>
      <c r="J28" s="5184" cm="1">
        <f t="array" aca="1" ref="J28" ca="1">INDIRECT("'※ 디지털 세부데이터'!"&amp;J$1&amp;$AB28, TRUE)</f>
        <v>7</v>
      </c>
      <c r="K28" s="5184" cm="1">
        <f t="array" aca="1" ref="K28" ca="1">INDIRECT("'※ 디지털 세부데이터'!"&amp;K$1&amp;$AB28, TRUE)</f>
        <v>8</v>
      </c>
      <c r="L28" s="5184" cm="1">
        <f t="array" aca="1" ref="L28" ca="1">INDIRECT("'※ 디지털 세부데이터'!"&amp;L$1&amp;$AB28, TRUE)</f>
        <v>5</v>
      </c>
      <c r="M28" s="5184" cm="1">
        <f t="array" aca="1" ref="M28" ca="1">INDIRECT("'※ 디지털 세부데이터'!"&amp;M$1&amp;$AB28, TRUE)</f>
        <v>8</v>
      </c>
      <c r="N28" s="5184" cm="1">
        <f t="array" aca="1" ref="N28" ca="1">INDIRECT("'※ 디지털 세부데이터'!"&amp;N$1&amp;$AB28, TRUE)</f>
        <v>6</v>
      </c>
      <c r="O28" s="5184" cm="1">
        <f t="array" aca="1" ref="O28" ca="1">INDIRECT("'※ 디지털 세부데이터'!"&amp;O$1&amp;$AB28, TRUE)</f>
        <v>6</v>
      </c>
      <c r="P28" s="5184" cm="1">
        <f t="array" aca="1" ref="P28" ca="1">INDIRECT("'※ 디지털 세부데이터'!"&amp;P$1&amp;$AB28, TRUE)</f>
        <v>6</v>
      </c>
      <c r="Q28" s="5184" cm="1">
        <f t="array" aca="1" ref="Q28" ca="1">INDIRECT("'※ 디지털 세부데이터'!"&amp;Q$1&amp;$AB28, TRUE)</f>
        <v>6</v>
      </c>
      <c r="R28" s="5182"/>
      <c r="S28" s="5182"/>
      <c r="T28" s="5182"/>
      <c r="U28" s="5199"/>
      <c r="V28" s="5184" cm="1">
        <f t="array" aca="1" ref="V28" ca="1">INDIRECT("'※ 디지털 세부데이터'!"&amp;V$1&amp;$AB28, TRUE)</f>
        <v>6</v>
      </c>
      <c r="W28" s="5184" cm="1">
        <f t="array" aca="1" ref="W28" ca="1">INDIRECT("'※ 디지털 세부데이터'!"&amp;W$1&amp;$AB28, TRUE)</f>
        <v>0</v>
      </c>
      <c r="X28" s="5184" cm="1">
        <f t="array" aca="1" ref="X28" ca="1">INDIRECT("'※ 디지털 세부데이터'!"&amp;X$1&amp;$AB28, TRUE)</f>
        <v>0</v>
      </c>
      <c r="Y28" s="5184" cm="1">
        <f t="array" aca="1" ref="Y28" ca="1">INDIRECT("'※ 디지털 세부데이터'!"&amp;Y$1&amp;$AB28, TRUE)</f>
        <v>76</v>
      </c>
      <c r="Z28" s="5184" cm="1">
        <f t="array" aca="1" ref="Z28" ca="1">INDIRECT("'※ 디지털 세부데이터'!"&amp;Z$1&amp;$AB28, TRUE)</f>
        <v>6.333333333333333</v>
      </c>
      <c r="AA28" s="5200" cm="1">
        <f t="array" aca="1" ref="AA28" ca="1">INDIRECT("'※ 디지털 세부데이터'!"&amp;AA$1&amp;$AB28, TRUE)</f>
        <v>6.333333333333333</v>
      </c>
      <c r="AB28" s="3693">
        <f>ROW('※ 디지털 세부데이터'!L31)</f>
        <v>31</v>
      </c>
    </row>
    <row r="29" spans="1:28" ht="18" customHeight="1" x14ac:dyDescent="0.55000000000000004">
      <c r="A29" s="7253"/>
      <c r="B29" s="4684"/>
      <c r="C29" s="3045" t="s">
        <v>786</v>
      </c>
      <c r="D29" s="5196" cm="1">
        <f t="array" aca="1" ref="D29" ca="1">INDIRECT("'※ 디지털 세부데이터'!"&amp;D$1&amp;$AB29, TRUE)</f>
        <v>7.166666666666667</v>
      </c>
      <c r="E29" s="5197" cm="1">
        <f t="array" aca="1" ref="E29" ca="1">INDIRECT("'※ 디지털 세부데이터'!"&amp;E$1&amp;$AB29, TRUE)</f>
        <v>9.25</v>
      </c>
      <c r="F29" s="5198" cm="1">
        <f t="array" aca="1" ref="F29" ca="1">INDIRECT("'※ 디지털 세부데이터'!"&amp;F$1&amp;$AB29, TRUE)</f>
        <v>9</v>
      </c>
      <c r="G29" s="5184" cm="1">
        <f t="array" aca="1" ref="G29" ca="1">INDIRECT("'※ 디지털 세부데이터'!"&amp;G$1&amp;$AB29, TRUE)</f>
        <v>9</v>
      </c>
      <c r="H29" s="5184" cm="1">
        <f t="array" aca="1" ref="H29" ca="1">INDIRECT("'※ 디지털 세부데이터'!"&amp;H$1&amp;$AB29, TRUE)</f>
        <v>9</v>
      </c>
      <c r="I29" s="5184" cm="1">
        <f t="array" aca="1" ref="I29" ca="1">INDIRECT("'※ 디지털 세부데이터'!"&amp;I$1&amp;$AB29, TRUE)</f>
        <v>9</v>
      </c>
      <c r="J29" s="5184" cm="1">
        <f t="array" aca="1" ref="J29" ca="1">INDIRECT("'※ 디지털 세부데이터'!"&amp;J$1&amp;$AB29, TRUE)</f>
        <v>9</v>
      </c>
      <c r="K29" s="5184" cm="1">
        <f t="array" aca="1" ref="K29" ca="1">INDIRECT("'※ 디지털 세부데이터'!"&amp;K$1&amp;$AB29, TRUE)</f>
        <v>10</v>
      </c>
      <c r="L29" s="5184" cm="1">
        <f t="array" aca="1" ref="L29" ca="1">INDIRECT("'※ 디지털 세부데이터'!"&amp;L$1&amp;$AB29, TRUE)</f>
        <v>9</v>
      </c>
      <c r="M29" s="5184" cm="1">
        <f t="array" aca="1" ref="M29" ca="1">INDIRECT("'※ 디지털 세부데이터'!"&amp;M$1&amp;$AB29, TRUE)</f>
        <v>9</v>
      </c>
      <c r="N29" s="5184" cm="1">
        <f t="array" aca="1" ref="N29" ca="1">INDIRECT("'※ 디지털 세부데이터'!"&amp;N$1&amp;$AB29, TRUE)</f>
        <v>9</v>
      </c>
      <c r="O29" s="5184" cm="1">
        <f t="array" aca="1" ref="O29" ca="1">INDIRECT("'※ 디지털 세부데이터'!"&amp;O$1&amp;$AB29, TRUE)</f>
        <v>9</v>
      </c>
      <c r="P29" s="5184" cm="1">
        <f t="array" aca="1" ref="P29" ca="1">INDIRECT("'※ 디지털 세부데이터'!"&amp;P$1&amp;$AB29, TRUE)</f>
        <v>9</v>
      </c>
      <c r="Q29" s="5184" cm="1">
        <f t="array" aca="1" ref="Q29" ca="1">INDIRECT("'※ 디지털 세부데이터'!"&amp;Q$1&amp;$AB29, TRUE)</f>
        <v>9</v>
      </c>
      <c r="R29" s="5182"/>
      <c r="S29" s="5182"/>
      <c r="T29" s="5182"/>
      <c r="U29" s="5199"/>
      <c r="V29" s="5184" cm="1">
        <f t="array" aca="1" ref="V29" ca="1">INDIRECT("'※ 디지털 세부데이터'!"&amp;V$1&amp;$AB29, TRUE)</f>
        <v>9</v>
      </c>
      <c r="W29" s="5184" cm="1">
        <f t="array" aca="1" ref="W29" ca="1">INDIRECT("'※ 디지털 세부데이터'!"&amp;W$1&amp;$AB29, TRUE)</f>
        <v>10</v>
      </c>
      <c r="X29" s="5184" cm="1">
        <f t="array" aca="1" ref="X29" ca="1">INDIRECT("'※ 디지털 세부데이터'!"&amp;X$1&amp;$AB29, TRUE)</f>
        <v>10</v>
      </c>
      <c r="Y29" s="5184" cm="1">
        <f t="array" aca="1" ref="Y29" ca="1">INDIRECT("'※ 디지털 세부데이터'!"&amp;Y$1&amp;$AB29, TRUE)</f>
        <v>-2</v>
      </c>
      <c r="Z29" s="5184" cm="1">
        <f t="array" aca="1" ref="Z29" ca="1">INDIRECT("'※ 디지털 세부데이터'!"&amp;Z$1&amp;$AB29, TRUE)</f>
        <v>9.0833333333333339</v>
      </c>
      <c r="AA29" s="5200" cm="1">
        <f t="array" aca="1" ref="AA29" ca="1">INDIRECT("'※ 디지털 세부데이터'!"&amp;AA$1&amp;$AB29, TRUE)</f>
        <v>-0.16666666666666607</v>
      </c>
      <c r="AB29" s="3693">
        <f>ROW('※ 디지털 세부데이터'!L32)</f>
        <v>32</v>
      </c>
    </row>
    <row r="30" spans="1:28" ht="18" hidden="1" customHeight="1" x14ac:dyDescent="0.55000000000000004">
      <c r="A30" s="7253"/>
      <c r="B30" s="4684"/>
      <c r="C30" s="3045"/>
      <c r="D30" s="5196" t="e" cm="1">
        <f t="array" aca="1" ref="D30" ca="1">INDIRECT("'※ 디지털 세부데이터'!"&amp;D$1&amp;$AB30, TRUE)</f>
        <v>#REF!</v>
      </c>
      <c r="E30" s="5197" t="e" cm="1">
        <f t="array" aca="1" ref="E30" ca="1">INDIRECT("'※ 디지털 세부데이터'!"&amp;E$1&amp;$AB30, TRUE)</f>
        <v>#REF!</v>
      </c>
      <c r="F30" s="5198" t="e" cm="1">
        <f t="array" aca="1" ref="F30" ca="1">INDIRECT("'※ 디지털 세부데이터'!"&amp;F$1&amp;$AB30, TRUE)</f>
        <v>#REF!</v>
      </c>
      <c r="G30" s="5184" t="e" cm="1">
        <f t="array" aca="1" ref="G30" ca="1">INDIRECT("'※ 디지털 세부데이터'!"&amp;G$1&amp;$AB30, TRUE)</f>
        <v>#REF!</v>
      </c>
      <c r="H30" s="5184" t="e" cm="1">
        <f t="array" aca="1" ref="H30" ca="1">INDIRECT("'※ 디지털 세부데이터'!"&amp;H$1&amp;$AB30, TRUE)</f>
        <v>#REF!</v>
      </c>
      <c r="I30" s="5184" t="e" cm="1">
        <f t="array" aca="1" ref="I30" ca="1">INDIRECT("'※ 디지털 세부데이터'!"&amp;I$1&amp;$AB30, TRUE)</f>
        <v>#REF!</v>
      </c>
      <c r="J30" s="5184" t="e" cm="1">
        <f t="array" aca="1" ref="J30" ca="1">INDIRECT("'※ 디지털 세부데이터'!"&amp;J$1&amp;$AB30, TRUE)</f>
        <v>#REF!</v>
      </c>
      <c r="K30" s="5184" t="e" cm="1">
        <f t="array" aca="1" ref="K30" ca="1">INDIRECT("'※ 디지털 세부데이터'!"&amp;K$1&amp;$AB30, TRUE)</f>
        <v>#REF!</v>
      </c>
      <c r="L30" s="5184" t="e" cm="1">
        <f t="array" aca="1" ref="L30" ca="1">INDIRECT("'※ 디지털 세부데이터'!"&amp;L$1&amp;$AB30, TRUE)</f>
        <v>#REF!</v>
      </c>
      <c r="M30" s="5184" t="e" cm="1">
        <f t="array" aca="1" ref="M30" ca="1">INDIRECT("'※ 디지털 세부데이터'!"&amp;M$1&amp;$AB30, TRUE)</f>
        <v>#REF!</v>
      </c>
      <c r="N30" s="5184" t="e" cm="1">
        <f t="array" aca="1" ref="N30" ca="1">INDIRECT("'※ 디지털 세부데이터'!"&amp;N$1&amp;$AB30, TRUE)</f>
        <v>#REF!</v>
      </c>
      <c r="O30" s="5184" t="e" cm="1">
        <f t="array" aca="1" ref="O30" ca="1">INDIRECT("'※ 디지털 세부데이터'!"&amp;O$1&amp;$AB30, TRUE)</f>
        <v>#REF!</v>
      </c>
      <c r="P30" s="5184" t="e" cm="1">
        <f t="array" aca="1" ref="P30" ca="1">INDIRECT("'※ 디지털 세부데이터'!"&amp;P$1&amp;$AB30, TRUE)</f>
        <v>#REF!</v>
      </c>
      <c r="Q30" s="5184" t="e" cm="1">
        <f t="array" aca="1" ref="Q30" ca="1">INDIRECT("'※ 디지털 세부데이터'!"&amp;Q$1&amp;$AB30, TRUE)</f>
        <v>#REF!</v>
      </c>
      <c r="R30" s="5182"/>
      <c r="S30" s="5182"/>
      <c r="T30" s="5182"/>
      <c r="U30" s="5199"/>
      <c r="V30" s="5184" t="e" cm="1">
        <f t="array" aca="1" ref="V30" ca="1">INDIRECT("'※ 디지털 세부데이터'!"&amp;V$1&amp;$AB30, TRUE)</f>
        <v>#REF!</v>
      </c>
      <c r="W30" s="5184" t="e" cm="1">
        <f t="array" aca="1" ref="W30" ca="1">INDIRECT("'※ 디지털 세부데이터'!"&amp;W$1&amp;$AB30, TRUE)</f>
        <v>#REF!</v>
      </c>
      <c r="X30" s="5184" t="e" cm="1">
        <f t="array" aca="1" ref="X30" ca="1">INDIRECT("'※ 디지털 세부데이터'!"&amp;X$1&amp;$AB30, TRUE)</f>
        <v>#REF!</v>
      </c>
      <c r="Y30" s="5184" t="e" cm="1">
        <f t="array" aca="1" ref="Y30" ca="1">INDIRECT("'※ 디지털 세부데이터'!"&amp;Y$1&amp;$AB30, TRUE)</f>
        <v>#REF!</v>
      </c>
      <c r="Z30" s="5184" t="e" cm="1">
        <f t="array" aca="1" ref="Z30" ca="1">INDIRECT("'※ 디지털 세부데이터'!"&amp;Z$1&amp;$AB30, TRUE)</f>
        <v>#REF!</v>
      </c>
      <c r="AA30" s="5200" t="e" cm="1">
        <f t="array" aca="1" ref="AA30" ca="1">INDIRECT("'※ 디지털 세부데이터'!"&amp;AA$1&amp;$AB30, TRUE)</f>
        <v>#REF!</v>
      </c>
      <c r="AB30" s="3693" t="e">
        <f>ROW('※ 디지털 세부데이터'!#REF!)</f>
        <v>#REF!</v>
      </c>
    </row>
    <row r="31" spans="1:28" ht="18" customHeight="1" x14ac:dyDescent="0.55000000000000004">
      <c r="A31" s="7253"/>
      <c r="B31" s="4684"/>
      <c r="C31" s="2467" t="s">
        <v>1156</v>
      </c>
      <c r="D31" s="5196" cm="1">
        <f t="array" aca="1" ref="D31" ca="1">INDIRECT("'※ 디지털 세부데이터'!"&amp;D$1&amp;$AB31, TRUE)</f>
        <v>6.583333333333333</v>
      </c>
      <c r="E31" s="5197" cm="1">
        <f t="array" aca="1" ref="E31" ca="1">INDIRECT("'※ 디지털 세부데이터'!"&amp;E$1&amp;$AB31, TRUE)</f>
        <v>18.083333333333332</v>
      </c>
      <c r="F31" s="5198" cm="1">
        <f t="array" aca="1" ref="F31" ca="1">INDIRECT("'※ 디지털 세부데이터'!"&amp;F$1&amp;$AB31, TRUE)</f>
        <v>25</v>
      </c>
      <c r="G31" s="5184" cm="1">
        <f t="array" aca="1" ref="G31" ca="1">INDIRECT("'※ 디지털 세부데이터'!"&amp;G$1&amp;$AB31, TRUE)</f>
        <v>28</v>
      </c>
      <c r="H31" s="5184" cm="1">
        <f t="array" aca="1" ref="H31" ca="1">INDIRECT("'※ 디지털 세부데이터'!"&amp;H$1&amp;$AB31, TRUE)</f>
        <v>34</v>
      </c>
      <c r="I31" s="5184" cm="1">
        <f t="array" aca="1" ref="I31" ca="1">INDIRECT("'※ 디지털 세부데이터'!"&amp;I$1&amp;$AB31, TRUE)</f>
        <v>32</v>
      </c>
      <c r="J31" s="5184" cm="1">
        <f t="array" aca="1" ref="J31" ca="1">INDIRECT("'※ 디지털 세부데이터'!"&amp;J$1&amp;$AB31, TRUE)</f>
        <v>35</v>
      </c>
      <c r="K31" s="5184" cm="1">
        <f t="array" aca="1" ref="K31" ca="1">INDIRECT("'※ 디지털 세부데이터'!"&amp;K$1&amp;$AB31, TRUE)</f>
        <v>37</v>
      </c>
      <c r="L31" s="5184" cm="1">
        <f t="array" aca="1" ref="L31" ca="1">INDIRECT("'※ 디지털 세부데이터'!"&amp;L$1&amp;$AB31, TRUE)</f>
        <v>16</v>
      </c>
      <c r="M31" s="5184" cm="1">
        <f t="array" aca="1" ref="M31" ca="1">INDIRECT("'※ 디지털 세부데이터'!"&amp;M$1&amp;$AB31, TRUE)</f>
        <v>17</v>
      </c>
      <c r="N31" s="5184" cm="1">
        <f t="array" aca="1" ref="N31" ca="1">INDIRECT("'※ 디지털 세부데이터'!"&amp;N$1&amp;$AB31, TRUE)</f>
        <v>18</v>
      </c>
      <c r="O31" s="5184" cm="1">
        <f t="array" aca="1" ref="O31" ca="1">INDIRECT("'※ 디지털 세부데이터'!"&amp;O$1&amp;$AB31, TRUE)</f>
        <v>16</v>
      </c>
      <c r="P31" s="5184" cm="1">
        <f t="array" aca="1" ref="P31" ca="1">INDIRECT("'※ 디지털 세부데이터'!"&amp;P$1&amp;$AB31, TRUE)</f>
        <v>15</v>
      </c>
      <c r="Q31" s="5184" cm="1">
        <f t="array" aca="1" ref="Q31" ca="1">INDIRECT("'※ 디지털 세부데이터'!"&amp;Q$1&amp;$AB31, TRUE)</f>
        <v>15</v>
      </c>
      <c r="R31" s="5182"/>
      <c r="S31" s="5182"/>
      <c r="T31" s="5182"/>
      <c r="U31" s="5199"/>
      <c r="V31" s="5184" cm="1">
        <f t="array" aca="1" ref="V31" ca="1">INDIRECT("'※ 디지털 세부데이터'!"&amp;V$1&amp;$AB31, TRUE)</f>
        <v>15</v>
      </c>
      <c r="W31" s="5184" cm="1">
        <f t="array" aca="1" ref="W31" ca="1">INDIRECT("'※ 디지털 세부데이터'!"&amp;W$1&amp;$AB31, TRUE)</f>
        <v>18</v>
      </c>
      <c r="X31" s="5184" cm="1">
        <f t="array" aca="1" ref="X31" ca="1">INDIRECT("'※ 디지털 세부데이터'!"&amp;X$1&amp;$AB31, TRUE)</f>
        <v>18</v>
      </c>
      <c r="Y31" s="5184" cm="1">
        <f t="array" aca="1" ref="Y31" ca="1">INDIRECT("'※ 디지털 세부데이터'!"&amp;Y$1&amp;$AB31, TRUE)</f>
        <v>71</v>
      </c>
      <c r="Z31" s="5184" cm="1">
        <f t="array" aca="1" ref="Z31" ca="1">INDIRECT("'※ 디지털 세부데이터'!"&amp;Z$1&amp;$AB31, TRUE)</f>
        <v>24</v>
      </c>
      <c r="AA31" s="5200" cm="1">
        <f t="array" aca="1" ref="AA31" ca="1">INDIRECT("'※ 디지털 세부데이터'!"&amp;AA$1&amp;$AB31, TRUE)</f>
        <v>5.9166666666666679</v>
      </c>
      <c r="AB31" s="3693">
        <f>ROW('※ 디지털 세부데이터'!L33)</f>
        <v>33</v>
      </c>
    </row>
    <row r="32" spans="1:28" ht="18" customHeight="1" x14ac:dyDescent="0.55000000000000004">
      <c r="A32" s="7253"/>
      <c r="B32" s="4684"/>
      <c r="C32" s="2467" t="s">
        <v>1157</v>
      </c>
      <c r="D32" s="5201"/>
      <c r="E32" s="4008"/>
      <c r="F32" s="5201"/>
      <c r="G32" s="4008"/>
      <c r="H32" s="4008"/>
      <c r="I32" s="4008"/>
      <c r="J32" s="4008"/>
      <c r="K32" s="4008"/>
      <c r="L32" s="4008"/>
      <c r="M32" s="5184" cm="1">
        <f t="array" aca="1" ref="M32" ca="1">INDIRECT("'※ 디지털 세부데이터'!"&amp;M$1&amp;$AB32, TRUE)</f>
        <v>17</v>
      </c>
      <c r="N32" s="5184" cm="1">
        <f t="array" aca="1" ref="N32" ca="1">INDIRECT("'※ 디지털 세부데이터'!"&amp;N$1&amp;$AB32, TRUE)</f>
        <v>15</v>
      </c>
      <c r="O32" s="5184" cm="1">
        <f t="array" aca="1" ref="O32" ca="1">INDIRECT("'※ 디지털 세부데이터'!"&amp;O$1&amp;$AB32, TRUE)</f>
        <v>15</v>
      </c>
      <c r="P32" s="5184" cm="1">
        <f t="array" aca="1" ref="P32" ca="1">INDIRECT("'※ 디지털 세부데이터'!"&amp;P$1&amp;$AB32, TRUE)</f>
        <v>14</v>
      </c>
      <c r="Q32" s="5184" cm="1">
        <f t="array" aca="1" ref="Q32" ca="1">INDIRECT("'※ 디지털 세부데이터'!"&amp;Q$1&amp;$AB32, TRUE)</f>
        <v>15</v>
      </c>
      <c r="R32" s="5182"/>
      <c r="S32" s="5182"/>
      <c r="T32" s="5182"/>
      <c r="U32" s="5199"/>
      <c r="V32" s="5184" cm="1">
        <f t="array" aca="1" ref="V32" ca="1">INDIRECT("'※ 디지털 세부데이터'!"&amp;V$1&amp;$AB32, TRUE)</f>
        <v>15</v>
      </c>
      <c r="W32" s="5184" cm="1">
        <f t="array" aca="1" ref="W32" ca="1">INDIRECT("'※ 디지털 세부데이터'!"&amp;W$1&amp;$AB32, TRUE)</f>
        <v>0</v>
      </c>
      <c r="X32" s="5184" cm="1">
        <f t="array" aca="1" ref="X32" ca="1">INDIRECT("'※ 디지털 세부데이터'!"&amp;X$1&amp;$AB32, TRUE)</f>
        <v>0</v>
      </c>
      <c r="Y32" s="5184" cm="1">
        <f t="array" aca="1" ref="Y32" ca="1">INDIRECT("'※ 디지털 세부데이터'!"&amp;Y$1&amp;$AB32, TRUE)</f>
        <v>76</v>
      </c>
      <c r="Z32" s="5184" cm="1">
        <f t="array" aca="1" ref="Z32" ca="1">INDIRECT("'※ 디지털 세부데이터'!"&amp;Z$1&amp;$AB32, TRUE)</f>
        <v>6.333333333333333</v>
      </c>
      <c r="AA32" s="5200" cm="1">
        <f t="array" aca="1" ref="AA32" ca="1">INDIRECT("'※ 디지털 세부데이터'!"&amp;AA$1&amp;$AB32, TRUE)</f>
        <v>6.333333333333333</v>
      </c>
      <c r="AB32" s="3693">
        <f>ROW('※ 디지털 세부데이터'!L34)</f>
        <v>34</v>
      </c>
    </row>
    <row r="33" spans="1:64" ht="18" customHeight="1" x14ac:dyDescent="0.55000000000000004">
      <c r="A33" s="7253"/>
      <c r="B33" s="4684"/>
      <c r="C33" s="3045" t="s">
        <v>787</v>
      </c>
      <c r="D33" s="5196" cm="1">
        <f t="array" aca="1" ref="D33" ca="1">INDIRECT("'※ 디지털 세부데이터'!"&amp;D$1&amp;$AB33, TRUE)</f>
        <v>8.0833333333333339</v>
      </c>
      <c r="E33" s="5197" cm="1">
        <f t="array" aca="1" ref="E33" ca="1">INDIRECT("'※ 디지털 세부데이터'!"&amp;E$1&amp;$AB33, TRUE)</f>
        <v>8.25</v>
      </c>
      <c r="F33" s="5198" cm="1">
        <f t="array" aca="1" ref="F33" ca="1">INDIRECT("'※ 디지털 세부데이터'!"&amp;F$1&amp;$AB33, TRUE)</f>
        <v>12</v>
      </c>
      <c r="G33" s="5184" cm="1">
        <f t="array" aca="1" ref="G33" ca="1">INDIRECT("'※ 디지털 세부데이터'!"&amp;G$1&amp;$AB33, TRUE)</f>
        <v>12</v>
      </c>
      <c r="H33" s="5184" cm="1">
        <f t="array" aca="1" ref="H33" ca="1">INDIRECT("'※ 디지털 세부데이터'!"&amp;H$1&amp;$AB33, TRUE)</f>
        <v>14</v>
      </c>
      <c r="I33" s="5184" cm="1">
        <f t="array" aca="1" ref="I33" ca="1">INDIRECT("'※ 디지털 세부데이터'!"&amp;I$1&amp;$AB33, TRUE)</f>
        <v>14</v>
      </c>
      <c r="J33" s="5184" cm="1">
        <f t="array" aca="1" ref="J33" ca="1">INDIRECT("'※ 디지털 세부데이터'!"&amp;J$1&amp;$AB33, TRUE)</f>
        <v>14</v>
      </c>
      <c r="K33" s="5184" cm="1">
        <f t="array" aca="1" ref="K33" ca="1">INDIRECT("'※ 디지털 세부데이터'!"&amp;K$1&amp;$AB33, TRUE)</f>
        <v>15</v>
      </c>
      <c r="L33" s="5184" cm="1">
        <f t="array" aca="1" ref="L33" ca="1">INDIRECT("'※ 디지털 세부데이터'!"&amp;L$1&amp;$AB33, TRUE)</f>
        <v>17</v>
      </c>
      <c r="M33" s="5184" cm="1">
        <f t="array" aca="1" ref="M33" ca="1">INDIRECT("'※ 디지털 세부데이터'!"&amp;M$1&amp;$AB33, TRUE)</f>
        <v>13</v>
      </c>
      <c r="N33" s="5184" cm="1">
        <f t="array" aca="1" ref="N33" ca="1">INDIRECT("'※ 디지털 세부데이터'!"&amp;N$1&amp;$AB33, TRUE)</f>
        <v>13</v>
      </c>
      <c r="O33" s="5184" cm="1">
        <f t="array" aca="1" ref="O33" ca="1">INDIRECT("'※ 디지털 세부데이터'!"&amp;O$1&amp;$AB33, TRUE)</f>
        <v>12</v>
      </c>
      <c r="P33" s="5184" cm="1">
        <f t="array" aca="1" ref="P33" ca="1">INDIRECT("'※ 디지털 세부데이터'!"&amp;P$1&amp;$AB33, TRUE)</f>
        <v>12</v>
      </c>
      <c r="Q33" s="5184" cm="1">
        <f t="array" aca="1" ref="Q33" ca="1">INDIRECT("'※ 디지털 세부데이터'!"&amp;Q$1&amp;$AB33, TRUE)</f>
        <v>12</v>
      </c>
      <c r="R33" s="5182"/>
      <c r="S33" s="5182"/>
      <c r="T33" s="5182"/>
      <c r="U33" s="5199"/>
      <c r="V33" s="5184" cm="1">
        <f t="array" aca="1" ref="V33" ca="1">INDIRECT("'※ 디지털 세부데이터'!"&amp;V$1&amp;$AB33, TRUE)</f>
        <v>12</v>
      </c>
      <c r="W33" s="5184" cm="1">
        <f t="array" aca="1" ref="W33" ca="1">INDIRECT("'※ 디지털 세부데이터'!"&amp;W$1&amp;$AB33, TRUE)</f>
        <v>6</v>
      </c>
      <c r="X33" s="5184" cm="1">
        <f t="array" aca="1" ref="X33" ca="1">INDIRECT("'※ 디지털 세부데이터'!"&amp;X$1&amp;$AB33, TRUE)</f>
        <v>7</v>
      </c>
      <c r="Y33" s="5184" cm="1">
        <f t="array" aca="1" ref="Y33" ca="1">INDIRECT("'※ 디지털 세부데이터'!"&amp;Y$1&amp;$AB33, TRUE)</f>
        <v>61</v>
      </c>
      <c r="Z33" s="5184" cm="1">
        <f t="array" aca="1" ref="Z33" ca="1">INDIRECT("'※ 디지털 세부데이터'!"&amp;Z$1&amp;$AB33, TRUE)</f>
        <v>13.333333333333334</v>
      </c>
      <c r="AA33" s="5200" cm="1">
        <f t="array" aca="1" ref="AA33" ca="1">INDIRECT("'※ 디지털 세부데이터'!"&amp;AA$1&amp;$AB33, TRUE)</f>
        <v>5.0833333333333339</v>
      </c>
      <c r="AB33" s="3693">
        <f>ROW('※ 디지털 세부데이터'!L35)</f>
        <v>35</v>
      </c>
    </row>
    <row r="34" spans="1:64" ht="18" customHeight="1" x14ac:dyDescent="0.55000000000000004">
      <c r="A34" s="7253"/>
      <c r="B34" s="4684"/>
      <c r="C34" s="3045" t="s">
        <v>788</v>
      </c>
      <c r="D34" s="5196" cm="1">
        <f t="array" aca="1" ref="D34" ca="1">INDIRECT("'※ 디지털 세부데이터'!"&amp;D$1&amp;$AB34, TRUE)</f>
        <v>11.75</v>
      </c>
      <c r="E34" s="5197" cm="1">
        <f t="array" aca="1" ref="E34" ca="1">INDIRECT("'※ 디지털 세부데이터'!"&amp;E$1&amp;$AB34, TRUE)</f>
        <v>8.5833333333333339</v>
      </c>
      <c r="F34" s="5198" cm="1">
        <f t="array" aca="1" ref="F34" ca="1">INDIRECT("'※ 디지털 세부데이터'!"&amp;F$1&amp;$AB34, TRUE)</f>
        <v>12</v>
      </c>
      <c r="G34" s="5184" cm="1">
        <f t="array" aca="1" ref="G34" ca="1">INDIRECT("'※ 디지털 세부데이터'!"&amp;G$1&amp;$AB34, TRUE)</f>
        <v>12</v>
      </c>
      <c r="H34" s="5184" cm="1">
        <f t="array" aca="1" ref="H34" ca="1">INDIRECT("'※ 디지털 세부데이터'!"&amp;H$1&amp;$AB34, TRUE)</f>
        <v>13</v>
      </c>
      <c r="I34" s="5184" cm="1">
        <f t="array" aca="1" ref="I34" ca="1">INDIRECT("'※ 디지털 세부데이터'!"&amp;I$1&amp;$AB34, TRUE)</f>
        <v>15</v>
      </c>
      <c r="J34" s="5184" cm="1">
        <f t="array" aca="1" ref="J34" ca="1">INDIRECT("'※ 디지털 세부데이터'!"&amp;J$1&amp;$AB34, TRUE)</f>
        <v>14</v>
      </c>
      <c r="K34" s="5184" cm="1">
        <f t="array" aca="1" ref="K34" ca="1">INDIRECT("'※ 디지털 세부데이터'!"&amp;K$1&amp;$AB34, TRUE)</f>
        <v>14</v>
      </c>
      <c r="L34" s="5184" cm="1">
        <f t="array" aca="1" ref="L34" ca="1">INDIRECT("'※ 디지털 세부데이터'!"&amp;L$1&amp;$AB34, TRUE)</f>
        <v>13</v>
      </c>
      <c r="M34" s="5184" cm="1">
        <f t="array" aca="1" ref="M34" ca="1">INDIRECT("'※ 디지털 세부데이터'!"&amp;M$1&amp;$AB34, TRUE)</f>
        <v>13</v>
      </c>
      <c r="N34" s="5184" cm="1">
        <f t="array" aca="1" ref="N34" ca="1">INDIRECT("'※ 디지털 세부데이터'!"&amp;N$1&amp;$AB34, TRUE)</f>
        <v>13</v>
      </c>
      <c r="O34" s="5184" cm="1">
        <f t="array" aca="1" ref="O34" ca="1">INDIRECT("'※ 디지털 세부데이터'!"&amp;O$1&amp;$AB34, TRUE)</f>
        <v>12</v>
      </c>
      <c r="P34" s="5184" cm="1">
        <f t="array" aca="1" ref="P34" ca="1">INDIRECT("'※ 디지털 세부데이터'!"&amp;P$1&amp;$AB34, TRUE)</f>
        <v>12</v>
      </c>
      <c r="Q34" s="5184" cm="1">
        <f t="array" aca="1" ref="Q34" ca="1">INDIRECT("'※ 디지털 세부데이터'!"&amp;Q$1&amp;$AB34, TRUE)</f>
        <v>12</v>
      </c>
      <c r="R34" s="5182"/>
      <c r="S34" s="5182"/>
      <c r="T34" s="5182"/>
      <c r="U34" s="5199"/>
      <c r="V34" s="5184" cm="1">
        <f t="array" aca="1" ref="V34" ca="1">INDIRECT("'※ 디지털 세부데이터'!"&amp;V$1&amp;$AB34, TRUE)</f>
        <v>12</v>
      </c>
      <c r="W34" s="5184" cm="1">
        <f t="array" aca="1" ref="W34" ca="1">INDIRECT("'※ 디지털 세부데이터'!"&amp;W$1&amp;$AB34, TRUE)</f>
        <v>8</v>
      </c>
      <c r="X34" s="5184" cm="1">
        <f t="array" aca="1" ref="X34" ca="1">INDIRECT("'※ 디지털 세부데이터'!"&amp;X$1&amp;$AB34, TRUE)</f>
        <v>8</v>
      </c>
      <c r="Y34" s="5184" cm="1">
        <f t="array" aca="1" ref="Y34" ca="1">INDIRECT("'※ 디지털 세부데이터'!"&amp;Y$1&amp;$AB34, TRUE)</f>
        <v>52</v>
      </c>
      <c r="Z34" s="5184" cm="1">
        <f t="array" aca="1" ref="Z34" ca="1">INDIRECT("'※ 디지털 세부데이터'!"&amp;Z$1&amp;$AB34, TRUE)</f>
        <v>12.916666666666666</v>
      </c>
      <c r="AA34" s="5200" cm="1">
        <f t="array" aca="1" ref="AA34" ca="1">INDIRECT("'※ 디지털 세부데이터'!"&amp;AA$1&amp;$AB34, TRUE)</f>
        <v>4.3333333333333321</v>
      </c>
      <c r="AB34" s="3693">
        <f>ROW('※ 디지털 세부데이터'!L36)</f>
        <v>36</v>
      </c>
    </row>
    <row r="35" spans="1:64" ht="18" customHeight="1" x14ac:dyDescent="0.55000000000000004">
      <c r="A35" s="7253"/>
      <c r="B35" s="4684"/>
      <c r="C35" s="3045" t="s">
        <v>1047</v>
      </c>
      <c r="D35" s="5196" cm="1">
        <f t="array" aca="1" ref="D35" ca="1">INDIRECT("'※ 디지털 세부데이터'!"&amp;D$1&amp;$AB35, TRUE)</f>
        <v>0</v>
      </c>
      <c r="E35" s="5197" cm="1">
        <f t="array" aca="1" ref="E35" ca="1">INDIRECT("'※ 디지털 세부데이터'!"&amp;E$1&amp;$AB35, TRUE)</f>
        <v>0</v>
      </c>
      <c r="F35" s="5198" cm="1">
        <f t="array" aca="1" ref="F35" ca="1">INDIRECT("'※ 디지털 세부데이터'!"&amp;F$1&amp;$AB35, TRUE)</f>
        <v>12</v>
      </c>
      <c r="G35" s="5184" cm="1">
        <f t="array" aca="1" ref="G35" ca="1">INDIRECT("'※ 디지털 세부데이터'!"&amp;G$1&amp;$AB35, TRUE)</f>
        <v>13</v>
      </c>
      <c r="H35" s="5184" cm="1">
        <f t="array" aca="1" ref="H35" ca="1">INDIRECT("'※ 디지털 세부데이터'!"&amp;H$1&amp;$AB35, TRUE)</f>
        <v>13</v>
      </c>
      <c r="I35" s="5184" cm="1">
        <f t="array" aca="1" ref="I35" ca="1">INDIRECT("'※ 디지털 세부데이터'!"&amp;I$1&amp;$AB35, TRUE)</f>
        <v>13</v>
      </c>
      <c r="J35" s="5184" cm="1">
        <f t="array" aca="1" ref="J35" ca="1">INDIRECT("'※ 디지털 세부데이터'!"&amp;J$1&amp;$AB35, TRUE)</f>
        <v>13</v>
      </c>
      <c r="K35" s="5184" cm="1">
        <f t="array" aca="1" ref="K35" ca="1">INDIRECT("'※ 디지털 세부데이터'!"&amp;K$1&amp;$AB35, TRUE)</f>
        <v>13</v>
      </c>
      <c r="L35" s="5184" cm="1">
        <f t="array" aca="1" ref="L35" ca="1">INDIRECT("'※ 디지털 세부데이터'!"&amp;L$1&amp;$AB35, TRUE)</f>
        <v>13</v>
      </c>
      <c r="M35" s="5184" cm="1">
        <f t="array" aca="1" ref="M35" ca="1">INDIRECT("'※ 디지털 세부데이터'!"&amp;M$1&amp;$AB35, TRUE)</f>
        <v>11</v>
      </c>
      <c r="N35" s="5184" cm="1">
        <f t="array" aca="1" ref="N35" ca="1">INDIRECT("'※ 디지털 세부데이터'!"&amp;N$1&amp;$AB35, TRUE)</f>
        <v>12</v>
      </c>
      <c r="O35" s="5184" cm="1">
        <f t="array" aca="1" ref="O35" ca="1">INDIRECT("'※ 디지털 세부데이터'!"&amp;O$1&amp;$AB35, TRUE)</f>
        <v>12</v>
      </c>
      <c r="P35" s="5184" cm="1">
        <f t="array" aca="1" ref="P35" ca="1">INDIRECT("'※ 디지털 세부데이터'!"&amp;P$1&amp;$AB35, TRUE)</f>
        <v>12</v>
      </c>
      <c r="Q35" s="5184" cm="1">
        <f t="array" aca="1" ref="Q35" ca="1">INDIRECT("'※ 디지털 세부데이터'!"&amp;Q$1&amp;$AB35, TRUE)</f>
        <v>11</v>
      </c>
      <c r="R35" s="5182"/>
      <c r="S35" s="5182"/>
      <c r="T35" s="5182"/>
      <c r="U35" s="5199"/>
      <c r="V35" s="5184" cm="1">
        <f t="array" aca="1" ref="V35" ca="1">INDIRECT("'※ 디지털 세부데이터'!"&amp;V$1&amp;$AB35, TRUE)</f>
        <v>11</v>
      </c>
      <c r="W35" s="5184" cm="1">
        <f t="array" aca="1" ref="W35" ca="1">INDIRECT("'※ 디지털 세부데이터'!"&amp;W$1&amp;$AB35, TRUE)</f>
        <v>0</v>
      </c>
      <c r="X35" s="5184" cm="1">
        <f t="array" aca="1" ref="X35" ca="1">INDIRECT("'※ 디지털 세부데이터'!"&amp;X$1&amp;$AB35, TRUE)</f>
        <v>0</v>
      </c>
      <c r="Y35" s="5184" cm="1">
        <f t="array" aca="1" ref="Y35" ca="1">INDIRECT("'※ 디지털 세부데이터'!"&amp;Y$1&amp;$AB35, TRUE)</f>
        <v>148</v>
      </c>
      <c r="Z35" s="5184" cm="1">
        <f t="array" aca="1" ref="Z35" ca="1">INDIRECT("'※ 디지털 세부데이터'!"&amp;Z$1&amp;$AB35, TRUE)</f>
        <v>12.333333333333334</v>
      </c>
      <c r="AA35" s="5200" cm="1">
        <f t="array" aca="1" ref="AA35" ca="1">INDIRECT("'※ 디지털 세부데이터'!"&amp;AA$1&amp;$AB35, TRUE)</f>
        <v>12.333333333333334</v>
      </c>
      <c r="AB35" s="3693">
        <f>ROW('※ 디지털 세부데이터'!L37)</f>
        <v>37</v>
      </c>
    </row>
    <row r="36" spans="1:64" ht="18" customHeight="1" x14ac:dyDescent="0.55000000000000004">
      <c r="A36" s="7253"/>
      <c r="B36" s="2575"/>
      <c r="C36" s="5195" t="s">
        <v>790</v>
      </c>
      <c r="D36" s="5196" cm="1">
        <f t="array" aca="1" ref="D36" ca="1">INDIRECT("'※ 디지털 세부데이터'!"&amp;D$1&amp;$AB36, TRUE)</f>
        <v>5.666666666666667</v>
      </c>
      <c r="E36" s="5197" cm="1">
        <f t="array" aca="1" ref="E36" ca="1">INDIRECT("'※ 디지털 세부데이터'!"&amp;E$1&amp;$AB36, TRUE)</f>
        <v>17.25</v>
      </c>
      <c r="F36" s="5198" cm="1">
        <f t="array" aca="1" ref="F36" ca="1">INDIRECT("'※ 디지털 세부데이터'!"&amp;F$1&amp;$AB36, TRUE)</f>
        <v>19</v>
      </c>
      <c r="G36" s="5184" cm="1">
        <f t="array" aca="1" ref="G36" ca="1">INDIRECT("'※ 디지털 세부데이터'!"&amp;G$1&amp;$AB36, TRUE)</f>
        <v>20</v>
      </c>
      <c r="H36" s="5184" cm="1">
        <f t="array" aca="1" ref="H36" ca="1">INDIRECT("'※ 디지털 세부데이터'!"&amp;H$1&amp;$AB36, TRUE)</f>
        <v>15</v>
      </c>
      <c r="I36" s="5184" cm="1">
        <f t="array" aca="1" ref="I36" ca="1">INDIRECT("'※ 디지털 세부데이터'!"&amp;I$1&amp;$AB36, TRUE)</f>
        <v>16</v>
      </c>
      <c r="J36" s="5184" cm="1">
        <f t="array" aca="1" ref="J36" ca="1">INDIRECT("'※ 디지털 세부데이터'!"&amp;J$1&amp;$AB36, TRUE)</f>
        <v>15</v>
      </c>
      <c r="K36" s="5184" cm="1">
        <f t="array" aca="1" ref="K36" ca="1">INDIRECT("'※ 디지털 세부데이터'!"&amp;K$1&amp;$AB36, TRUE)</f>
        <v>17</v>
      </c>
      <c r="L36" s="5184" cm="1">
        <f t="array" aca="1" ref="L36" ca="1">INDIRECT("'※ 디지털 세부데이터'!"&amp;L$1&amp;$AB36, TRUE)</f>
        <v>11</v>
      </c>
      <c r="M36" s="5184" cm="1">
        <f t="array" aca="1" ref="M36" ca="1">INDIRECT("'※ 디지털 세부데이터'!"&amp;M$1&amp;$AB36, TRUE)</f>
        <v>15</v>
      </c>
      <c r="N36" s="5184" cm="1">
        <f t="array" aca="1" ref="N36" ca="1">INDIRECT("'※ 디지털 세부데이터'!"&amp;N$1&amp;$AB36, TRUE)</f>
        <v>14</v>
      </c>
      <c r="O36" s="5184" cm="1">
        <f t="array" aca="1" ref="O36" ca="1">INDIRECT("'※ 디지털 세부데이터'!"&amp;O$1&amp;$AB36, TRUE)</f>
        <v>14</v>
      </c>
      <c r="P36" s="5184" cm="1">
        <f t="array" aca="1" ref="P36" ca="1">INDIRECT("'※ 디지털 세부데이터'!"&amp;P$1&amp;$AB36, TRUE)</f>
        <v>14</v>
      </c>
      <c r="Q36" s="5184" cm="1">
        <f t="array" aca="1" ref="Q36" ca="1">INDIRECT("'※ 디지털 세부데이터'!"&amp;Q$1&amp;$AB36, TRUE)</f>
        <v>15</v>
      </c>
      <c r="R36" s="5182"/>
      <c r="S36" s="5182"/>
      <c r="T36" s="5182"/>
      <c r="U36" s="5199"/>
      <c r="V36" s="5184" cm="1">
        <f t="array" aca="1" ref="V36" ca="1">INDIRECT("'※ 디지털 세부데이터'!"&amp;V$1&amp;$AB36, TRUE)</f>
        <v>15</v>
      </c>
      <c r="W36" s="5184" cm="1">
        <f t="array" aca="1" ref="W36" ca="1">INDIRECT("'※ 디지털 세부데이터'!"&amp;W$1&amp;$AB36, TRUE)</f>
        <v>12</v>
      </c>
      <c r="X36" s="5184" cm="1">
        <f t="array" aca="1" ref="X36" ca="1">INDIRECT("'※ 디지털 세부데이터'!"&amp;X$1&amp;$AB36, TRUE)</f>
        <v>13</v>
      </c>
      <c r="Y36" s="5184" cm="1">
        <f t="array" aca="1" ref="Y36" ca="1">INDIRECT("'※ 디지털 세부데이터'!"&amp;Y$1&amp;$AB36, TRUE)</f>
        <v>-22</v>
      </c>
      <c r="Z36" s="5184" cm="1">
        <f t="array" aca="1" ref="Z36" ca="1">INDIRECT("'※ 디지털 세부데이터'!"&amp;Z$1&amp;$AB36, TRUE)</f>
        <v>15.416666666666666</v>
      </c>
      <c r="AA36" s="5200" cm="1">
        <f t="array" aca="1" ref="AA36" ca="1">INDIRECT("'※ 디지털 세부데이터'!"&amp;AA$1&amp;$AB36, TRUE)</f>
        <v>-1.8333333333333339</v>
      </c>
      <c r="AB36" s="3693">
        <f>ROW('※ 디지털 세부데이터'!L38)</f>
        <v>38</v>
      </c>
    </row>
    <row r="37" spans="1:64" ht="18" customHeight="1" x14ac:dyDescent="0.55000000000000004">
      <c r="A37" s="7253"/>
      <c r="B37" s="2575"/>
      <c r="C37" s="3045" t="s">
        <v>789</v>
      </c>
      <c r="D37" s="5196" cm="1">
        <f t="array" aca="1" ref="D37" ca="1">INDIRECT("'※ 디지털 세부데이터'!"&amp;D$1&amp;$AB37, TRUE)</f>
        <v>10.166666666666666</v>
      </c>
      <c r="E37" s="5197" cm="1">
        <f t="array" aca="1" ref="E37" ca="1">INDIRECT("'※ 디지털 세부데이터'!"&amp;E$1&amp;$AB37, TRUE)</f>
        <v>18.333333333333332</v>
      </c>
      <c r="F37" s="5198" cm="1">
        <f t="array" aca="1" ref="F37" ca="1">INDIRECT("'※ 디지털 세부데이터'!"&amp;F$1&amp;$AB37, TRUE)</f>
        <v>21</v>
      </c>
      <c r="G37" s="5184" cm="1">
        <f t="array" aca="1" ref="G37" ca="1">INDIRECT("'※ 디지털 세부데이터'!"&amp;G$1&amp;$AB37, TRUE)</f>
        <v>20</v>
      </c>
      <c r="H37" s="5184" cm="1">
        <f t="array" aca="1" ref="H37" ca="1">INDIRECT("'※ 디지털 세부데이터'!"&amp;H$1&amp;$AB37, TRUE)</f>
        <v>17</v>
      </c>
      <c r="I37" s="5184" cm="1">
        <f t="array" aca="1" ref="I37" ca="1">INDIRECT("'※ 디지털 세부데이터'!"&amp;I$1&amp;$AB37, TRUE)</f>
        <v>18</v>
      </c>
      <c r="J37" s="5184" cm="1">
        <f t="array" aca="1" ref="J37" ca="1">INDIRECT("'※ 디지털 세부데이터'!"&amp;J$1&amp;$AB37, TRUE)</f>
        <v>18</v>
      </c>
      <c r="K37" s="5184" cm="1">
        <f t="array" aca="1" ref="K37" ca="1">INDIRECT("'※ 디지털 세부데이터'!"&amp;K$1&amp;$AB37, TRUE)</f>
        <v>21</v>
      </c>
      <c r="L37" s="5184" cm="1">
        <f t="array" aca="1" ref="L37" ca="1">INDIRECT("'※ 디지털 세부데이터'!"&amp;L$1&amp;$AB37, TRUE)</f>
        <v>17</v>
      </c>
      <c r="M37" s="5184" cm="1">
        <f t="array" aca="1" ref="M37" ca="1">INDIRECT("'※ 디지털 세부데이터'!"&amp;M$1&amp;$AB37, TRUE)</f>
        <v>19</v>
      </c>
      <c r="N37" s="5184" cm="1">
        <f t="array" aca="1" ref="N37" ca="1">INDIRECT("'※ 디지털 세부데이터'!"&amp;N$1&amp;$AB37, TRUE)</f>
        <v>20</v>
      </c>
      <c r="O37" s="5184" cm="1">
        <f t="array" aca="1" ref="O37" ca="1">INDIRECT("'※ 디지털 세부데이터'!"&amp;O$1&amp;$AB37, TRUE)</f>
        <v>20</v>
      </c>
      <c r="P37" s="5184" cm="1">
        <f t="array" aca="1" ref="P37" ca="1">INDIRECT("'※ 디지털 세부데이터'!"&amp;P$1&amp;$AB37, TRUE)</f>
        <v>20</v>
      </c>
      <c r="Q37" s="5184" cm="1">
        <f t="array" aca="1" ref="Q37" ca="1">INDIRECT("'※ 디지털 세부데이터'!"&amp;Q$1&amp;$AB37, TRUE)</f>
        <v>20</v>
      </c>
      <c r="R37" s="5182"/>
      <c r="S37" s="5182"/>
      <c r="T37" s="5182"/>
      <c r="U37" s="5199"/>
      <c r="V37" s="5184" cm="1">
        <f t="array" aca="1" ref="V37" ca="1">INDIRECT("'※ 디지털 세부데이터'!"&amp;V$1&amp;$AB37, TRUE)</f>
        <v>20</v>
      </c>
      <c r="W37" s="5184" cm="1">
        <f t="array" aca="1" ref="W37" ca="1">INDIRECT("'※ 디지털 세부데이터'!"&amp;W$1&amp;$AB37, TRUE)</f>
        <v>12</v>
      </c>
      <c r="X37" s="5184" cm="1">
        <f t="array" aca="1" ref="X37" ca="1">INDIRECT("'※ 디지털 세부데이터'!"&amp;X$1&amp;$AB37, TRUE)</f>
        <v>11</v>
      </c>
      <c r="Y37" s="5184" cm="1">
        <f t="array" aca="1" ref="Y37" ca="1">INDIRECT("'※ 디지털 세부데이터'!"&amp;Y$1&amp;$AB37, TRUE)</f>
        <v>11</v>
      </c>
      <c r="Z37" s="5184" cm="1">
        <f t="array" aca="1" ref="Z37" ca="1">INDIRECT("'※ 디지털 세부데이터'!"&amp;Z$1&amp;$AB37, TRUE)</f>
        <v>19.25</v>
      </c>
      <c r="AA37" s="5200" cm="1">
        <f t="array" aca="1" ref="AA37" ca="1">INDIRECT("'※ 디지털 세부데이터'!"&amp;AA$1&amp;$AB37, TRUE)</f>
        <v>0.91666666666666785</v>
      </c>
      <c r="AB37" s="3693">
        <f>ROW('※ 디지털 세부데이터'!L39)</f>
        <v>39</v>
      </c>
    </row>
    <row r="38" spans="1:64" s="2989" customFormat="1" ht="18" customHeight="1" x14ac:dyDescent="0.55000000000000004">
      <c r="A38" s="7253"/>
      <c r="B38" s="4684"/>
      <c r="C38" s="3045" t="s">
        <v>1133</v>
      </c>
      <c r="D38" s="5201"/>
      <c r="E38" s="5202"/>
      <c r="F38" s="5203"/>
      <c r="G38" s="4008"/>
      <c r="H38" s="5204" cm="1">
        <f t="array" aca="1" ref="H38" ca="1">INDIRECT("'※ 디지털 세부데이터'!"&amp;H$1&amp;$AB38, TRUE)</f>
        <v>14</v>
      </c>
      <c r="I38" s="5204" cm="1">
        <f t="array" aca="1" ref="I38" ca="1">INDIRECT("'※ 디지털 세부데이터'!"&amp;I$1&amp;$AB38, TRUE)</f>
        <v>13</v>
      </c>
      <c r="J38" s="5204" cm="1">
        <f t="array" aca="1" ref="J38" ca="1">INDIRECT("'※ 디지털 세부데이터'!"&amp;J$1&amp;$AB38, TRUE)</f>
        <v>13</v>
      </c>
      <c r="K38" s="5204" cm="1">
        <f t="array" aca="1" ref="K38" ca="1">INDIRECT("'※ 디지털 세부데이터'!"&amp;K$1&amp;$AB38, TRUE)</f>
        <v>14</v>
      </c>
      <c r="L38" s="5204" cm="1">
        <f t="array" aca="1" ref="L38" ca="1">INDIRECT("'※ 디지털 세부데이터'!"&amp;L$1&amp;$AB38, TRUE)</f>
        <v>18</v>
      </c>
      <c r="M38" s="5204" cm="1">
        <f t="array" aca="1" ref="M38" ca="1">INDIRECT("'※ 디지털 세부데이터'!"&amp;M$1&amp;$AB38, TRUE)</f>
        <v>11</v>
      </c>
      <c r="N38" s="5204" cm="1">
        <f t="array" aca="1" ref="N38" ca="1">INDIRECT("'※ 디지털 세부데이터'!"&amp;N$1&amp;$AB38, TRUE)</f>
        <v>11</v>
      </c>
      <c r="O38" s="5204" cm="1">
        <f t="array" aca="1" ref="O38" ca="1">INDIRECT("'※ 디지털 세부데이터'!"&amp;O$1&amp;$AB38, TRUE)</f>
        <v>12</v>
      </c>
      <c r="P38" s="5204" cm="1">
        <f t="array" aca="1" ref="P38" ca="1">INDIRECT("'※ 디지털 세부데이터'!"&amp;P$1&amp;$AB38, TRUE)</f>
        <v>11</v>
      </c>
      <c r="Q38" s="5204" cm="1">
        <f t="array" aca="1" ref="Q38" ca="1">INDIRECT("'※ 디지털 세부데이터'!"&amp;Q$1&amp;$AB38, TRUE)</f>
        <v>11</v>
      </c>
      <c r="R38" s="5205"/>
      <c r="S38" s="5205"/>
      <c r="T38" s="5199"/>
      <c r="U38" s="5199"/>
      <c r="V38" s="5204" cm="1">
        <f t="array" aca="1" ref="V38" ca="1">INDIRECT("'※ 디지털 세부데이터'!"&amp;V$1&amp;$AB38, TRUE)</f>
        <v>14</v>
      </c>
      <c r="W38" s="5204" cm="1">
        <f t="array" aca="1" ref="W38" ca="1">INDIRECT("'※ 디지털 세부데이터'!"&amp;W$1&amp;$AB38, TRUE)</f>
        <v>0</v>
      </c>
      <c r="X38" s="5204" cm="1">
        <f t="array" aca="1" ref="X38" ca="1">INDIRECT("'※ 디지털 세부데이터'!"&amp;X$1&amp;$AB38, TRUE)</f>
        <v>0</v>
      </c>
      <c r="Y38" s="5204" cm="1">
        <f t="array" aca="1" ref="Y38" ca="1">INDIRECT("'※ 디지털 세부데이터'!"&amp;Y$1&amp;$AB38, TRUE)</f>
        <v>128</v>
      </c>
      <c r="Z38" s="5204" cm="1">
        <f t="array" aca="1" ref="Z38" ca="1">INDIRECT("'※ 디지털 세부데이터'!"&amp;Z$1&amp;$AB38, TRUE)</f>
        <v>10.666666666666666</v>
      </c>
      <c r="AA38" s="5206" cm="1">
        <f t="array" aca="1" ref="AA38" ca="1">INDIRECT("'※ 디지털 세부데이터'!"&amp;AA$1&amp;$AB38, TRUE)</f>
        <v>10.666666666666666</v>
      </c>
      <c r="AB38" s="3693">
        <f>ROW('※ 디지털 세부데이터'!L40)</f>
        <v>40</v>
      </c>
      <c r="AC38" s="2426"/>
      <c r="AD38" s="2426"/>
      <c r="AE38" s="2426"/>
      <c r="AF38" s="2426"/>
      <c r="AG38" s="2426"/>
      <c r="AH38" s="2426"/>
      <c r="AI38" s="2426"/>
      <c r="AJ38" s="2426"/>
      <c r="AK38" s="2426"/>
      <c r="AL38" s="2426"/>
      <c r="AM38" s="2426"/>
      <c r="AN38" s="2426"/>
      <c r="AO38" s="2426"/>
      <c r="AP38" s="2426"/>
      <c r="AQ38" s="2426"/>
      <c r="AR38" s="2426"/>
      <c r="AS38" s="2426"/>
      <c r="AT38" s="2426"/>
      <c r="AU38" s="2426"/>
      <c r="AV38" s="2426"/>
      <c r="AW38" s="2426"/>
      <c r="AX38" s="2426"/>
      <c r="AY38" s="2426"/>
      <c r="AZ38" s="2426"/>
      <c r="BA38" s="2426"/>
      <c r="BB38" s="2426"/>
      <c r="BC38" s="2426"/>
      <c r="BD38" s="2426"/>
      <c r="BE38" s="2426"/>
      <c r="BF38" s="2426"/>
      <c r="BG38" s="2426"/>
      <c r="BH38" s="2426"/>
      <c r="BI38" s="2426"/>
      <c r="BJ38" s="2426"/>
      <c r="BK38" s="2426"/>
      <c r="BL38" s="2426"/>
    </row>
    <row r="39" spans="1:64" s="2989" customFormat="1" ht="18" customHeight="1" x14ac:dyDescent="0.55000000000000004">
      <c r="A39" s="7254"/>
      <c r="B39" s="5207"/>
      <c r="C39" s="5208" t="s">
        <v>1149</v>
      </c>
      <c r="D39" s="5209"/>
      <c r="E39" s="5210"/>
      <c r="F39" s="5211"/>
      <c r="G39" s="5212"/>
      <c r="H39" s="5212"/>
      <c r="I39" s="5212"/>
      <c r="J39" s="5212"/>
      <c r="K39" s="5212"/>
      <c r="L39" s="5213" cm="1">
        <f t="array" aca="1" ref="L39" ca="1">INDIRECT("'※ 디지털 세부데이터'!"&amp;L$1&amp;$AB39, TRUE)</f>
        <v>9</v>
      </c>
      <c r="M39" s="5213" cm="1">
        <f t="array" aca="1" ref="M39" ca="1">INDIRECT("'※ 디지털 세부데이터'!"&amp;M$1&amp;$AB39, TRUE)</f>
        <v>8</v>
      </c>
      <c r="N39" s="5213" cm="1">
        <f t="array" aca="1" ref="N39" ca="1">INDIRECT("'※ 디지털 세부데이터'!"&amp;N$1&amp;$AB39, TRUE)</f>
        <v>7</v>
      </c>
      <c r="O39" s="5213" cm="1">
        <f t="array" aca="1" ref="O39" ca="1">INDIRECT("'※ 디지털 세부데이터'!"&amp;O$1&amp;$AB39, TRUE)</f>
        <v>9</v>
      </c>
      <c r="P39" s="5213" cm="1">
        <f t="array" aca="1" ref="P39" ca="1">INDIRECT("'※ 디지털 세부데이터'!"&amp;P$1&amp;$AB39, TRUE)</f>
        <v>9</v>
      </c>
      <c r="Q39" s="5213" cm="1">
        <f t="array" aca="1" ref="Q39" ca="1">INDIRECT("'※ 디지털 세부데이터'!"&amp;Q$1&amp;$AB39, TRUE)</f>
        <v>9</v>
      </c>
      <c r="R39" s="5214"/>
      <c r="S39" s="5214"/>
      <c r="T39" s="5215"/>
      <c r="U39" s="5215"/>
      <c r="V39" s="5213" cm="1">
        <f t="array" aca="1" ref="V39" ca="1">INDIRECT("'※ 디지털 세부데이터'!"&amp;V$1&amp;$AB39, TRUE)</f>
        <v>0</v>
      </c>
      <c r="W39" s="5213" cm="1">
        <f t="array" aca="1" ref="W39" ca="1">INDIRECT("'※ 디지털 세부데이터'!"&amp;W$1&amp;$AB39, TRUE)</f>
        <v>0</v>
      </c>
      <c r="X39" s="5213" cm="1">
        <f t="array" aca="1" ref="X39" ca="1">INDIRECT("'※ 디지털 세부데이터'!"&amp;X$1&amp;$AB39, TRUE)</f>
        <v>0</v>
      </c>
      <c r="Y39" s="5213" cm="1">
        <f t="array" aca="1" ref="Y39" ca="1">INDIRECT("'※ 디지털 세부데이터'!"&amp;Y$1&amp;$AB39, TRUE)</f>
        <v>51</v>
      </c>
      <c r="Z39" s="5213" cm="1">
        <f t="array" aca="1" ref="Z39" ca="1">INDIRECT("'※ 디지털 세부데이터'!"&amp;Z$1&amp;$AB39, TRUE)</f>
        <v>4.25</v>
      </c>
      <c r="AA39" s="5216" cm="1">
        <f t="array" aca="1" ref="AA39" ca="1">INDIRECT("'※ 디지털 세부데이터'!"&amp;AA$1&amp;$AB39, TRUE)</f>
        <v>4.25</v>
      </c>
      <c r="AB39" s="3693">
        <f>ROW('※ 디지털 세부데이터'!L41)</f>
        <v>41</v>
      </c>
      <c r="AC39" s="2426"/>
      <c r="AD39" s="2426"/>
      <c r="AE39" s="2426"/>
      <c r="AF39" s="2426"/>
      <c r="AG39" s="2426"/>
      <c r="AH39" s="2426"/>
      <c r="AI39" s="2426"/>
      <c r="AJ39" s="2426"/>
      <c r="AK39" s="2426"/>
      <c r="AL39" s="2426"/>
      <c r="AM39" s="2426"/>
      <c r="AN39" s="2426"/>
      <c r="AO39" s="2426"/>
      <c r="AP39" s="2426"/>
      <c r="AQ39" s="2426"/>
      <c r="AR39" s="2426"/>
      <c r="AS39" s="2426"/>
      <c r="AT39" s="2426"/>
      <c r="AU39" s="2426"/>
      <c r="AV39" s="2426"/>
      <c r="AW39" s="2426"/>
      <c r="AX39" s="2426"/>
      <c r="AY39" s="2426"/>
      <c r="AZ39" s="2426"/>
      <c r="BA39" s="2426"/>
      <c r="BB39" s="2426"/>
      <c r="BC39" s="2426"/>
      <c r="BD39" s="2426"/>
      <c r="BE39" s="2426"/>
      <c r="BF39" s="2426"/>
      <c r="BG39" s="2426"/>
      <c r="BH39" s="2426"/>
      <c r="BI39" s="2426"/>
      <c r="BJ39" s="2426"/>
      <c r="BK39" s="2426"/>
      <c r="BL39" s="2426"/>
    </row>
    <row r="41" spans="1:64" ht="18" customHeight="1" x14ac:dyDescent="0.55000000000000004"/>
    <row r="42" spans="1:64" ht="18" customHeight="1" x14ac:dyDescent="0.55000000000000004"/>
    <row r="43" spans="1:64" ht="18" customHeight="1" x14ac:dyDescent="0.55000000000000004"/>
    <row r="44" spans="1:64" ht="18" customHeight="1" x14ac:dyDescent="0.55000000000000004"/>
    <row r="45" spans="1:64" ht="18" customHeight="1" x14ac:dyDescent="0.55000000000000004"/>
    <row r="47" spans="1:64" ht="18" customHeight="1" x14ac:dyDescent="0.55000000000000004"/>
    <row r="48" spans="1:64" ht="18" hidden="1" customHeight="1" x14ac:dyDescent="0.55000000000000004"/>
    <row r="49" spans="2:25" ht="18" hidden="1" customHeight="1" x14ac:dyDescent="0.55000000000000004"/>
    <row r="50" spans="2:25" ht="18" hidden="1" customHeight="1" x14ac:dyDescent="0.55000000000000004"/>
    <row r="51" spans="2:25" ht="18" hidden="1" customHeight="1" x14ac:dyDescent="0.55000000000000004"/>
    <row r="52" spans="2:25" ht="18" hidden="1" customHeight="1" x14ac:dyDescent="0.55000000000000004">
      <c r="B52" s="4868"/>
      <c r="C52" s="4871"/>
      <c r="D52" s="4871"/>
      <c r="E52" s="4871"/>
      <c r="F52" s="4871"/>
      <c r="G52" s="4871"/>
      <c r="H52" s="4871"/>
      <c r="I52" s="4871"/>
      <c r="J52" s="4871"/>
      <c r="K52" s="4871"/>
      <c r="L52" s="4871"/>
      <c r="M52" s="4871"/>
      <c r="N52" s="4871"/>
      <c r="O52" s="4871"/>
      <c r="P52" s="4871"/>
      <c r="Q52" s="4871"/>
      <c r="R52" s="4871"/>
      <c r="S52" s="4871"/>
      <c r="T52" s="4871"/>
      <c r="U52" s="4871"/>
      <c r="V52" s="4871"/>
      <c r="W52" s="4871"/>
      <c r="X52" s="4871"/>
      <c r="Y52" s="4871"/>
    </row>
    <row r="53" spans="2:25" ht="18" hidden="1" customHeight="1" x14ac:dyDescent="0.55000000000000004">
      <c r="B53" s="4868"/>
      <c r="C53" s="4871"/>
      <c r="D53" s="4871"/>
      <c r="E53" s="4871"/>
      <c r="F53" s="4871"/>
      <c r="G53" s="4871"/>
      <c r="H53" s="4871"/>
      <c r="I53" s="4871"/>
      <c r="J53" s="4871"/>
      <c r="K53" s="4871"/>
      <c r="L53" s="4871"/>
      <c r="M53" s="4871"/>
      <c r="N53" s="4871"/>
      <c r="O53" s="4871"/>
      <c r="P53" s="4871"/>
      <c r="Q53" s="4871"/>
      <c r="R53" s="4871"/>
      <c r="S53" s="4871"/>
      <c r="T53" s="4871"/>
      <c r="U53" s="4871"/>
      <c r="V53" s="4871"/>
      <c r="W53" s="4871"/>
      <c r="X53" s="4871"/>
      <c r="Y53" s="4871"/>
    </row>
    <row r="54" spans="2:25" ht="18" customHeight="1" x14ac:dyDescent="0.55000000000000004">
      <c r="B54" s="4868"/>
      <c r="C54" s="4871"/>
      <c r="D54" s="4871"/>
      <c r="E54" s="4871"/>
      <c r="F54" s="4871"/>
      <c r="G54" s="4871"/>
      <c r="H54" s="4871"/>
      <c r="I54" s="4871"/>
      <c r="J54" s="4871"/>
      <c r="K54" s="4871"/>
      <c r="L54" s="4871"/>
      <c r="M54" s="4871"/>
      <c r="N54" s="4871"/>
      <c r="O54" s="4871"/>
      <c r="P54" s="4871"/>
      <c r="Q54" s="4871"/>
      <c r="R54" s="4871"/>
      <c r="S54" s="4871"/>
      <c r="T54" s="4871"/>
      <c r="U54" s="4871"/>
      <c r="V54" s="4871"/>
      <c r="W54" s="4871"/>
      <c r="X54" s="4871"/>
      <c r="Y54" s="4871"/>
    </row>
    <row r="55" spans="2:25" ht="18" customHeight="1" x14ac:dyDescent="0.55000000000000004">
      <c r="B55" s="4868"/>
      <c r="C55" s="4871"/>
      <c r="D55" s="4871"/>
      <c r="E55" s="4871"/>
      <c r="F55" s="4871"/>
      <c r="G55" s="4871"/>
      <c r="H55" s="4871"/>
      <c r="I55" s="4871"/>
      <c r="J55" s="4871"/>
      <c r="K55" s="4871"/>
      <c r="L55" s="4871"/>
      <c r="M55" s="4871"/>
      <c r="N55" s="4871"/>
      <c r="O55" s="4871"/>
      <c r="P55" s="4871"/>
      <c r="Q55" s="4871"/>
      <c r="R55" s="4871"/>
      <c r="S55" s="4871"/>
      <c r="T55" s="4871"/>
      <c r="U55" s="4871"/>
      <c r="V55" s="4871"/>
      <c r="W55" s="4871"/>
      <c r="X55" s="4871"/>
      <c r="Y55" s="4871"/>
    </row>
    <row r="56" spans="2:25" ht="18" customHeight="1" x14ac:dyDescent="0.55000000000000004">
      <c r="B56" s="4868"/>
      <c r="C56" s="4871"/>
      <c r="D56" s="4871"/>
      <c r="E56" s="4871"/>
      <c r="F56" s="4871"/>
      <c r="G56" s="4871"/>
      <c r="H56" s="4871"/>
      <c r="I56" s="4871"/>
      <c r="J56" s="4871"/>
      <c r="K56" s="4871"/>
      <c r="L56" s="4871"/>
      <c r="M56" s="4871"/>
      <c r="N56" s="4871"/>
      <c r="O56" s="4871"/>
      <c r="P56" s="4871"/>
      <c r="Q56" s="4871"/>
      <c r="R56" s="4871"/>
      <c r="S56" s="4871"/>
      <c r="T56" s="4871"/>
      <c r="U56" s="4871"/>
      <c r="V56" s="4871"/>
      <c r="W56" s="4871"/>
      <c r="X56" s="4871"/>
      <c r="Y56" s="4871"/>
    </row>
    <row r="57" spans="2:25" ht="18" customHeight="1" x14ac:dyDescent="0.55000000000000004">
      <c r="B57" s="4868"/>
      <c r="C57" s="4871"/>
      <c r="D57" s="4871"/>
      <c r="E57" s="4871"/>
      <c r="F57" s="4871"/>
      <c r="G57" s="4871"/>
      <c r="H57" s="4871"/>
      <c r="I57" s="4871"/>
      <c r="J57" s="4871"/>
      <c r="K57" s="4871"/>
      <c r="L57" s="4871"/>
      <c r="M57" s="4871"/>
      <c r="N57" s="4871"/>
      <c r="O57" s="4871"/>
      <c r="P57" s="4871"/>
      <c r="Q57" s="4871"/>
      <c r="R57" s="4871"/>
      <c r="S57" s="4871"/>
      <c r="T57" s="4871"/>
      <c r="U57" s="4871"/>
      <c r="V57" s="4871"/>
      <c r="W57" s="4871"/>
      <c r="X57" s="4871"/>
      <c r="Y57" s="4871"/>
    </row>
    <row r="58" spans="2:25" ht="18" customHeight="1" x14ac:dyDescent="0.55000000000000004">
      <c r="B58" s="4868"/>
      <c r="C58" s="4871"/>
      <c r="D58" s="4871"/>
      <c r="E58" s="4871"/>
      <c r="F58" s="4871"/>
      <c r="G58" s="4871"/>
      <c r="H58" s="4871"/>
      <c r="I58" s="4871"/>
      <c r="J58" s="4871"/>
      <c r="K58" s="4871"/>
      <c r="L58" s="4871"/>
      <c r="M58" s="4871"/>
      <c r="N58" s="4871"/>
      <c r="O58" s="4871"/>
      <c r="P58" s="4871"/>
      <c r="Q58" s="4871"/>
      <c r="R58" s="4871"/>
      <c r="S58" s="4871"/>
      <c r="T58" s="4871"/>
      <c r="U58" s="4871"/>
      <c r="V58" s="4871"/>
      <c r="W58" s="4871"/>
      <c r="X58" s="4871"/>
      <c r="Y58" s="4871"/>
    </row>
    <row r="59" spans="2:25" ht="18" customHeight="1" x14ac:dyDescent="0.55000000000000004">
      <c r="B59" s="4868"/>
      <c r="C59" s="4871"/>
      <c r="D59" s="4871"/>
      <c r="E59" s="4871"/>
      <c r="F59" s="4871"/>
      <c r="G59" s="4871"/>
      <c r="H59" s="4871"/>
      <c r="I59" s="4871"/>
      <c r="J59" s="4871"/>
      <c r="K59" s="4871"/>
      <c r="L59" s="4871"/>
      <c r="M59" s="4871"/>
      <c r="N59" s="4871"/>
      <c r="O59" s="4871"/>
      <c r="P59" s="4871"/>
      <c r="Q59" s="4871"/>
      <c r="R59" s="4871"/>
      <c r="S59" s="4871"/>
      <c r="T59" s="4871"/>
      <c r="U59" s="4871"/>
      <c r="V59" s="4871"/>
      <c r="W59" s="4871"/>
      <c r="X59" s="4871"/>
      <c r="Y59" s="4871"/>
    </row>
    <row r="60" spans="2:25" x14ac:dyDescent="0.55000000000000004">
      <c r="B60" s="4868"/>
      <c r="C60" s="4871"/>
      <c r="D60" s="4871"/>
      <c r="E60" s="4871"/>
      <c r="F60" s="4871"/>
      <c r="G60" s="4871"/>
      <c r="H60" s="4871"/>
      <c r="I60" s="4871"/>
      <c r="J60" s="4871"/>
      <c r="K60" s="4871"/>
      <c r="L60" s="4871"/>
      <c r="M60" s="4871"/>
      <c r="N60" s="4871"/>
      <c r="O60" s="4871"/>
      <c r="P60" s="4871"/>
      <c r="Q60" s="4871"/>
      <c r="R60" s="4871"/>
      <c r="S60" s="4871"/>
      <c r="T60" s="4871"/>
      <c r="U60" s="4871"/>
      <c r="V60" s="4871"/>
      <c r="W60" s="4871"/>
      <c r="X60" s="4871"/>
      <c r="Y60" s="4871"/>
    </row>
    <row r="61" spans="2:25" ht="18" customHeight="1" x14ac:dyDescent="0.55000000000000004">
      <c r="B61" s="4868"/>
      <c r="C61" s="4871"/>
      <c r="D61" s="4871"/>
      <c r="E61" s="4871"/>
      <c r="F61" s="4871"/>
      <c r="G61" s="4871"/>
      <c r="H61" s="4871"/>
      <c r="I61" s="4871"/>
      <c r="J61" s="4871"/>
      <c r="K61" s="4871"/>
      <c r="L61" s="4871"/>
      <c r="M61" s="4871"/>
      <c r="N61" s="4871"/>
      <c r="O61" s="4871"/>
      <c r="P61" s="4871"/>
      <c r="Q61" s="4871"/>
      <c r="R61" s="4871"/>
      <c r="S61" s="4871"/>
      <c r="T61" s="4871"/>
      <c r="U61" s="4871"/>
      <c r="V61" s="4871"/>
      <c r="W61" s="4871"/>
      <c r="X61" s="4871"/>
      <c r="Y61" s="4871"/>
    </row>
    <row r="62" spans="2:25" ht="18" customHeight="1" x14ac:dyDescent="0.55000000000000004">
      <c r="B62" s="4868"/>
      <c r="C62" s="4871"/>
      <c r="D62" s="4871"/>
      <c r="E62" s="4871"/>
      <c r="F62" s="4871"/>
      <c r="G62" s="4871"/>
      <c r="H62" s="4871"/>
      <c r="I62" s="4871"/>
      <c r="J62" s="4871"/>
      <c r="K62" s="4871"/>
      <c r="L62" s="4871"/>
      <c r="M62" s="4871"/>
      <c r="N62" s="4871"/>
      <c r="O62" s="4871"/>
      <c r="P62" s="4871"/>
      <c r="Q62" s="4871"/>
      <c r="R62" s="4871"/>
      <c r="S62" s="4871"/>
      <c r="T62" s="4871"/>
      <c r="U62" s="4871"/>
      <c r="V62" s="4871"/>
      <c r="W62" s="4871"/>
      <c r="X62" s="4871"/>
      <c r="Y62" s="4871"/>
    </row>
    <row r="63" spans="2:25" ht="18" customHeight="1" x14ac:dyDescent="0.55000000000000004">
      <c r="B63" s="4868"/>
      <c r="C63" s="4871"/>
      <c r="D63" s="4871"/>
      <c r="E63" s="4871"/>
      <c r="F63" s="4871"/>
      <c r="G63" s="4871"/>
      <c r="H63" s="4871"/>
      <c r="I63" s="4871"/>
      <c r="J63" s="4871"/>
      <c r="K63" s="4871"/>
      <c r="L63" s="4871"/>
      <c r="M63" s="4871"/>
      <c r="N63" s="4871"/>
      <c r="O63" s="4871"/>
      <c r="P63" s="4871"/>
      <c r="Q63" s="4871"/>
      <c r="R63" s="4871"/>
      <c r="S63" s="4871"/>
      <c r="T63" s="4871"/>
      <c r="U63" s="4871"/>
      <c r="V63" s="4871"/>
      <c r="W63" s="4871"/>
      <c r="X63" s="4871"/>
      <c r="Y63" s="4871"/>
    </row>
    <row r="64" spans="2:25" ht="18" customHeight="1" x14ac:dyDescent="0.55000000000000004">
      <c r="B64" s="4868"/>
      <c r="C64" s="4871"/>
      <c r="D64" s="4871"/>
      <c r="E64" s="4871"/>
      <c r="F64" s="4871"/>
      <c r="G64" s="4871"/>
      <c r="H64" s="4871"/>
      <c r="I64" s="4871"/>
      <c r="J64" s="4871"/>
      <c r="K64" s="4871"/>
      <c r="L64" s="4871"/>
      <c r="M64" s="4871"/>
      <c r="N64" s="4871"/>
      <c r="O64" s="4871"/>
      <c r="P64" s="4871"/>
      <c r="Q64" s="4871"/>
      <c r="R64" s="4871"/>
      <c r="S64" s="4871"/>
      <c r="T64" s="4871"/>
      <c r="U64" s="4871"/>
      <c r="V64" s="4871"/>
      <c r="W64" s="4871"/>
      <c r="X64" s="4871"/>
      <c r="Y64" s="4871"/>
    </row>
    <row r="65" spans="2:25" ht="18" customHeight="1" x14ac:dyDescent="0.55000000000000004">
      <c r="B65" s="4868"/>
      <c r="C65" s="4871"/>
      <c r="D65" s="4871"/>
      <c r="E65" s="4871"/>
      <c r="F65" s="4871"/>
      <c r="G65" s="4871"/>
      <c r="H65" s="4871"/>
      <c r="I65" s="4871"/>
      <c r="J65" s="4871"/>
      <c r="K65" s="4871"/>
      <c r="L65" s="4871"/>
      <c r="M65" s="4871"/>
      <c r="N65" s="4871"/>
      <c r="O65" s="4871"/>
      <c r="P65" s="4871"/>
      <c r="Q65" s="4871"/>
      <c r="R65" s="4871"/>
      <c r="S65" s="4871"/>
      <c r="T65" s="4871"/>
      <c r="U65" s="4871"/>
      <c r="V65" s="4871"/>
      <c r="W65" s="4871"/>
      <c r="X65" s="4871"/>
      <c r="Y65" s="4871"/>
    </row>
    <row r="66" spans="2:25" ht="18" customHeight="1" x14ac:dyDescent="0.55000000000000004">
      <c r="B66" s="4868"/>
      <c r="C66" s="4871"/>
      <c r="D66" s="4871"/>
      <c r="E66" s="4871"/>
      <c r="F66" s="4871"/>
      <c r="G66" s="4871"/>
      <c r="H66" s="4871"/>
      <c r="I66" s="4871"/>
      <c r="J66" s="4871"/>
      <c r="K66" s="4871"/>
      <c r="L66" s="4871"/>
      <c r="M66" s="4871"/>
      <c r="N66" s="4871"/>
      <c r="O66" s="4871"/>
      <c r="P66" s="4871"/>
      <c r="Q66" s="4871"/>
      <c r="R66" s="4871"/>
      <c r="S66" s="4871"/>
      <c r="T66" s="4871"/>
      <c r="U66" s="4871"/>
      <c r="V66" s="4871"/>
      <c r="W66" s="4871"/>
      <c r="X66" s="4871"/>
      <c r="Y66" s="4871"/>
    </row>
    <row r="67" spans="2:25" ht="18" customHeight="1" x14ac:dyDescent="0.55000000000000004">
      <c r="B67" s="4868"/>
      <c r="C67" s="4871"/>
      <c r="D67" s="4871"/>
      <c r="E67" s="4871"/>
      <c r="F67" s="4871"/>
      <c r="G67" s="4871"/>
      <c r="H67" s="4871"/>
      <c r="I67" s="4871"/>
      <c r="J67" s="4871"/>
      <c r="K67" s="4871"/>
      <c r="L67" s="4871"/>
      <c r="M67" s="4871"/>
      <c r="N67" s="4871"/>
      <c r="O67" s="4871"/>
      <c r="P67" s="4871"/>
      <c r="Q67" s="4871"/>
      <c r="R67" s="4871"/>
      <c r="S67" s="4871"/>
      <c r="T67" s="4871"/>
      <c r="U67" s="4871"/>
      <c r="V67" s="4871"/>
      <c r="W67" s="4871"/>
      <c r="X67" s="4871"/>
      <c r="Y67" s="4871"/>
    </row>
    <row r="68" spans="2:25" ht="18" customHeight="1" x14ac:dyDescent="0.55000000000000004"/>
    <row r="69" spans="2:25" ht="18" customHeight="1" x14ac:dyDescent="0.55000000000000004">
      <c r="B69" s="4868"/>
      <c r="C69" s="4871"/>
      <c r="D69" s="4871"/>
      <c r="E69" s="4871"/>
      <c r="F69" s="4871"/>
      <c r="G69" s="4871"/>
      <c r="H69" s="4871"/>
      <c r="I69" s="4871"/>
      <c r="J69" s="4871"/>
      <c r="K69" s="4871"/>
      <c r="L69" s="4871"/>
      <c r="M69" s="4871"/>
      <c r="N69" s="4871"/>
      <c r="O69" s="4871"/>
      <c r="P69" s="4871"/>
      <c r="Q69" s="4871"/>
      <c r="R69" s="4871"/>
      <c r="S69" s="4871"/>
      <c r="T69" s="4871"/>
      <c r="U69" s="4871"/>
      <c r="V69" s="4871"/>
      <c r="W69" s="4871"/>
      <c r="X69" s="4871"/>
      <c r="Y69" s="4871"/>
    </row>
    <row r="70" spans="2:25" ht="18" customHeight="1" x14ac:dyDescent="0.55000000000000004">
      <c r="B70" s="4868"/>
      <c r="C70" s="4871"/>
      <c r="D70" s="4871"/>
      <c r="E70" s="4871"/>
      <c r="F70" s="4871"/>
      <c r="G70" s="4871"/>
      <c r="H70" s="4871"/>
      <c r="I70" s="4871"/>
      <c r="J70" s="4871"/>
      <c r="K70" s="4871"/>
      <c r="L70" s="4871"/>
      <c r="M70" s="4871"/>
      <c r="N70" s="4871"/>
      <c r="O70" s="4871"/>
      <c r="P70" s="4871"/>
      <c r="Q70" s="4871"/>
      <c r="R70" s="4871"/>
      <c r="S70" s="4871"/>
      <c r="T70" s="4871"/>
      <c r="U70" s="4871"/>
      <c r="V70" s="4871"/>
      <c r="W70" s="4871"/>
      <c r="X70" s="4871"/>
      <c r="Y70" s="4871"/>
    </row>
    <row r="71" spans="2:25" ht="18" customHeight="1" x14ac:dyDescent="0.55000000000000004">
      <c r="B71" s="4868"/>
      <c r="C71" s="4871"/>
      <c r="D71" s="4871"/>
      <c r="E71" s="4871"/>
      <c r="F71" s="4871"/>
      <c r="G71" s="4871"/>
      <c r="H71" s="4871"/>
      <c r="I71" s="4871"/>
      <c r="J71" s="4871"/>
      <c r="K71" s="4871"/>
      <c r="L71" s="4871"/>
      <c r="M71" s="4871"/>
      <c r="N71" s="4871"/>
      <c r="O71" s="4871"/>
      <c r="P71" s="4871"/>
      <c r="Q71" s="4871"/>
      <c r="R71" s="4871"/>
      <c r="S71" s="4871"/>
      <c r="T71" s="4871"/>
      <c r="U71" s="4871"/>
      <c r="V71" s="4871"/>
      <c r="W71" s="4871"/>
      <c r="X71" s="4871"/>
      <c r="Y71" s="4871"/>
    </row>
    <row r="72" spans="2:25" ht="18" customHeight="1" x14ac:dyDescent="0.55000000000000004">
      <c r="B72" s="4868"/>
      <c r="C72" s="4871"/>
      <c r="D72" s="4871"/>
      <c r="E72" s="4871"/>
      <c r="F72" s="4871"/>
      <c r="G72" s="4871"/>
      <c r="H72" s="4871"/>
      <c r="I72" s="4871"/>
      <c r="J72" s="4871"/>
      <c r="K72" s="4871"/>
      <c r="L72" s="4871"/>
      <c r="M72" s="4871"/>
      <c r="N72" s="4871"/>
      <c r="O72" s="4871"/>
      <c r="P72" s="4871"/>
      <c r="Q72" s="4871"/>
      <c r="R72" s="4871"/>
      <c r="S72" s="4871"/>
      <c r="T72" s="4871"/>
      <c r="U72" s="4871"/>
      <c r="V72" s="4871"/>
      <c r="W72" s="4871"/>
      <c r="X72" s="4871"/>
      <c r="Y72" s="4871"/>
    </row>
    <row r="73" spans="2:25" ht="18" customHeight="1" x14ac:dyDescent="0.55000000000000004">
      <c r="B73" s="4868"/>
      <c r="C73" s="4871"/>
      <c r="D73" s="4871"/>
      <c r="E73" s="4871"/>
      <c r="F73" s="4871"/>
      <c r="G73" s="4871"/>
      <c r="H73" s="4871"/>
      <c r="I73" s="4871"/>
      <c r="J73" s="4871"/>
      <c r="K73" s="4871"/>
      <c r="L73" s="4871"/>
      <c r="M73" s="4871"/>
      <c r="N73" s="4871"/>
      <c r="O73" s="4871"/>
      <c r="P73" s="4871"/>
      <c r="Q73" s="4871"/>
      <c r="R73" s="4871"/>
      <c r="S73" s="4871"/>
      <c r="T73" s="4871"/>
      <c r="U73" s="4871"/>
      <c r="V73" s="4871"/>
      <c r="W73" s="4871"/>
      <c r="X73" s="4871"/>
      <c r="Y73" s="4871"/>
    </row>
    <row r="74" spans="2:25" ht="18" customHeight="1" x14ac:dyDescent="0.55000000000000004">
      <c r="B74" s="4868"/>
      <c r="C74" s="4871"/>
      <c r="D74" s="4871"/>
      <c r="E74" s="4871"/>
      <c r="F74" s="4871"/>
      <c r="G74" s="4871"/>
      <c r="H74" s="4871"/>
      <c r="I74" s="4871"/>
      <c r="J74" s="4871"/>
      <c r="K74" s="4871"/>
      <c r="L74" s="4871"/>
      <c r="M74" s="4871"/>
      <c r="N74" s="4871"/>
      <c r="O74" s="4871"/>
      <c r="P74" s="4871"/>
      <c r="Q74" s="4871"/>
      <c r="R74" s="4871"/>
      <c r="S74" s="4871"/>
      <c r="T74" s="4871"/>
      <c r="U74" s="4871"/>
      <c r="V74" s="4871"/>
      <c r="W74" s="4871"/>
      <c r="X74" s="4871"/>
      <c r="Y74" s="4871"/>
    </row>
    <row r="75" spans="2:25" ht="18" customHeight="1" x14ac:dyDescent="0.55000000000000004">
      <c r="B75" s="4868"/>
      <c r="C75" s="4871"/>
      <c r="D75" s="4871"/>
      <c r="E75" s="4871"/>
      <c r="F75" s="4871"/>
      <c r="G75" s="4871"/>
      <c r="H75" s="4871"/>
      <c r="I75" s="4871"/>
      <c r="J75" s="4871"/>
      <c r="K75" s="4871"/>
      <c r="L75" s="4871"/>
      <c r="M75" s="4871"/>
      <c r="N75" s="4871"/>
      <c r="O75" s="4871"/>
      <c r="P75" s="4871"/>
      <c r="Q75" s="4871"/>
      <c r="R75" s="4871"/>
      <c r="S75" s="4871"/>
      <c r="T75" s="4871"/>
      <c r="U75" s="4871"/>
      <c r="V75" s="4871"/>
      <c r="W75" s="4871"/>
      <c r="X75" s="4871"/>
      <c r="Y75" s="4871"/>
    </row>
    <row r="76" spans="2:25" ht="18" customHeight="1" x14ac:dyDescent="0.55000000000000004">
      <c r="B76" s="4868"/>
      <c r="C76" s="4871"/>
      <c r="D76" s="4871"/>
      <c r="E76" s="4871"/>
      <c r="F76" s="4871"/>
      <c r="G76" s="4871"/>
      <c r="H76" s="4871"/>
      <c r="I76" s="4871"/>
      <c r="J76" s="4871"/>
      <c r="K76" s="4871"/>
      <c r="L76" s="4871"/>
      <c r="M76" s="4871"/>
      <c r="N76" s="4871"/>
      <c r="O76" s="4871"/>
      <c r="P76" s="4871"/>
      <c r="Q76" s="4871"/>
      <c r="R76" s="4871"/>
      <c r="S76" s="4871"/>
      <c r="T76" s="4871"/>
      <c r="U76" s="4871"/>
      <c r="V76" s="4871"/>
      <c r="W76" s="4871"/>
      <c r="X76" s="4871"/>
      <c r="Y76" s="4871"/>
    </row>
    <row r="77" spans="2:25" ht="18" customHeight="1" x14ac:dyDescent="0.55000000000000004">
      <c r="B77" s="4868"/>
      <c r="C77" s="4871"/>
      <c r="D77" s="4871"/>
      <c r="E77" s="4871"/>
      <c r="F77" s="4871"/>
      <c r="G77" s="4871"/>
      <c r="H77" s="4871"/>
      <c r="I77" s="4871"/>
      <c r="J77" s="4871"/>
      <c r="K77" s="4871"/>
      <c r="L77" s="4871"/>
      <c r="M77" s="4871"/>
      <c r="N77" s="4871"/>
      <c r="O77" s="4871"/>
      <c r="P77" s="4871"/>
      <c r="Q77" s="4871"/>
      <c r="R77" s="4871"/>
      <c r="S77" s="4871"/>
      <c r="T77" s="4871"/>
      <c r="U77" s="4871"/>
      <c r="V77" s="4871"/>
      <c r="W77" s="4871"/>
      <c r="X77" s="4871"/>
      <c r="Y77" s="4871"/>
    </row>
    <row r="78" spans="2:25" ht="18" customHeight="1" x14ac:dyDescent="0.55000000000000004">
      <c r="B78" s="4868"/>
      <c r="C78" s="4871"/>
      <c r="D78" s="4871"/>
      <c r="E78" s="4871"/>
      <c r="F78" s="4871"/>
      <c r="G78" s="4871"/>
      <c r="H78" s="4871"/>
      <c r="I78" s="4871"/>
      <c r="J78" s="4871"/>
      <c r="K78" s="4871"/>
      <c r="L78" s="4871"/>
      <c r="M78" s="4871"/>
      <c r="N78" s="4871"/>
      <c r="O78" s="4871"/>
      <c r="P78" s="4871"/>
      <c r="Q78" s="4871"/>
      <c r="R78" s="4871"/>
      <c r="S78" s="4871"/>
      <c r="T78" s="4871"/>
      <c r="U78" s="4871"/>
      <c r="V78" s="4871"/>
      <c r="W78" s="4871"/>
      <c r="X78" s="4871"/>
      <c r="Y78" s="4871"/>
    </row>
    <row r="79" spans="2:25" ht="18" customHeight="1" x14ac:dyDescent="0.55000000000000004">
      <c r="B79" s="4868"/>
      <c r="C79" s="4871"/>
      <c r="D79" s="4871"/>
      <c r="E79" s="4871"/>
      <c r="F79" s="4871"/>
      <c r="G79" s="4871"/>
      <c r="H79" s="4871"/>
      <c r="I79" s="4871"/>
      <c r="J79" s="4871"/>
      <c r="K79" s="4871"/>
      <c r="L79" s="4871"/>
      <c r="M79" s="4871"/>
      <c r="N79" s="4871"/>
      <c r="O79" s="4871"/>
      <c r="P79" s="4871"/>
      <c r="Q79" s="4871"/>
      <c r="R79" s="4871"/>
      <c r="S79" s="4871"/>
      <c r="T79" s="4871"/>
      <c r="U79" s="4871"/>
      <c r="V79" s="4871"/>
      <c r="W79" s="4871"/>
      <c r="X79" s="4871"/>
      <c r="Y79" s="4871"/>
    </row>
    <row r="80" spans="2:25" ht="18" customHeight="1" x14ac:dyDescent="0.55000000000000004">
      <c r="B80" s="4868"/>
      <c r="C80" s="4871"/>
      <c r="D80" s="4871"/>
      <c r="E80" s="4871"/>
      <c r="F80" s="4871"/>
      <c r="G80" s="4871"/>
      <c r="H80" s="4871"/>
      <c r="I80" s="4871"/>
      <c r="J80" s="4871"/>
      <c r="K80" s="4871"/>
      <c r="L80" s="4871"/>
      <c r="M80" s="4871"/>
      <c r="N80" s="4871"/>
      <c r="O80" s="4871"/>
      <c r="P80" s="4871"/>
      <c r="Q80" s="4871"/>
      <c r="R80" s="4871"/>
      <c r="S80" s="4871"/>
      <c r="T80" s="4871"/>
      <c r="U80" s="4871"/>
      <c r="V80" s="4871"/>
      <c r="W80" s="4871"/>
      <c r="X80" s="4871"/>
      <c r="Y80" s="4871"/>
    </row>
    <row r="81" spans="2:25" ht="18" customHeight="1" x14ac:dyDescent="0.55000000000000004">
      <c r="B81" s="4868"/>
      <c r="C81" s="4871"/>
      <c r="D81" s="4871"/>
      <c r="E81" s="4871"/>
      <c r="F81" s="4871"/>
      <c r="G81" s="4871"/>
      <c r="H81" s="4871"/>
      <c r="I81" s="4871"/>
      <c r="J81" s="4871"/>
      <c r="K81" s="4871"/>
      <c r="L81" s="4871"/>
      <c r="M81" s="4871"/>
      <c r="N81" s="4871"/>
      <c r="O81" s="4871"/>
      <c r="P81" s="4871"/>
      <c r="Q81" s="4871"/>
      <c r="R81" s="4871"/>
      <c r="S81" s="4871"/>
      <c r="T81" s="4871"/>
      <c r="U81" s="4871"/>
      <c r="V81" s="4871"/>
      <c r="W81" s="4871"/>
      <c r="X81" s="4871"/>
      <c r="Y81" s="4871"/>
    </row>
    <row r="82" spans="2:25" ht="18" customHeight="1" x14ac:dyDescent="0.55000000000000004">
      <c r="B82" s="4868"/>
      <c r="C82" s="4871"/>
      <c r="D82" s="4871"/>
      <c r="E82" s="4871"/>
      <c r="F82" s="4871"/>
      <c r="G82" s="4871"/>
      <c r="H82" s="4871"/>
      <c r="I82" s="4871"/>
      <c r="J82" s="4871"/>
      <c r="K82" s="4871"/>
      <c r="L82" s="4871"/>
      <c r="M82" s="4871"/>
      <c r="N82" s="4871"/>
      <c r="O82" s="4871"/>
      <c r="P82" s="4871"/>
      <c r="Q82" s="4871"/>
      <c r="R82" s="4871"/>
      <c r="S82" s="4871"/>
      <c r="T82" s="4871"/>
      <c r="U82" s="4871"/>
      <c r="V82" s="4871"/>
      <c r="W82" s="4871"/>
      <c r="X82" s="4871"/>
      <c r="Y82" s="4871"/>
    </row>
    <row r="83" spans="2:25" ht="18" customHeight="1" x14ac:dyDescent="0.55000000000000004">
      <c r="B83" s="4868"/>
      <c r="C83" s="4871"/>
      <c r="D83" s="4871"/>
      <c r="E83" s="4871"/>
      <c r="F83" s="4871"/>
      <c r="G83" s="4871"/>
      <c r="H83" s="4871"/>
      <c r="I83" s="4871"/>
      <c r="J83" s="4871"/>
      <c r="K83" s="4871"/>
      <c r="L83" s="4871"/>
      <c r="M83" s="4871"/>
      <c r="N83" s="4871"/>
      <c r="O83" s="4871"/>
      <c r="P83" s="4871"/>
      <c r="Q83" s="4871"/>
      <c r="R83" s="4871"/>
      <c r="S83" s="4871"/>
      <c r="T83" s="4871"/>
      <c r="U83" s="4871"/>
      <c r="V83" s="4871"/>
      <c r="W83" s="4871"/>
      <c r="X83" s="4871"/>
      <c r="Y83" s="4871"/>
    </row>
    <row r="84" spans="2:25" ht="18" customHeight="1" x14ac:dyDescent="0.55000000000000004">
      <c r="B84" s="4868"/>
      <c r="C84" s="4871"/>
      <c r="D84" s="4871"/>
      <c r="E84" s="4871"/>
      <c r="F84" s="4871"/>
      <c r="G84" s="4871"/>
      <c r="H84" s="4871"/>
      <c r="I84" s="4871"/>
      <c r="J84" s="4871"/>
      <c r="K84" s="4871"/>
      <c r="L84" s="4871"/>
      <c r="M84" s="4871"/>
      <c r="N84" s="4871"/>
      <c r="O84" s="4871"/>
      <c r="P84" s="4871"/>
      <c r="Q84" s="4871"/>
      <c r="R84" s="4871"/>
      <c r="S84" s="4871"/>
      <c r="T84" s="4871"/>
      <c r="U84" s="4871"/>
      <c r="V84" s="4871"/>
      <c r="W84" s="4871"/>
      <c r="X84" s="4871"/>
      <c r="Y84" s="4871"/>
    </row>
    <row r="85" spans="2:25" ht="18" customHeight="1" x14ac:dyDescent="0.55000000000000004">
      <c r="B85" s="4868"/>
      <c r="C85" s="4871"/>
      <c r="D85" s="4871"/>
      <c r="E85" s="4871"/>
      <c r="F85" s="4871"/>
      <c r="G85" s="4871"/>
      <c r="H85" s="4871"/>
      <c r="I85" s="4871"/>
      <c r="J85" s="4871"/>
      <c r="K85" s="4871"/>
      <c r="L85" s="4871"/>
      <c r="M85" s="4871"/>
      <c r="N85" s="4871"/>
      <c r="O85" s="4871"/>
      <c r="P85" s="4871"/>
      <c r="Q85" s="4871"/>
      <c r="R85" s="4871"/>
      <c r="S85" s="4871"/>
      <c r="T85" s="4871"/>
      <c r="U85" s="4871"/>
      <c r="V85" s="4871"/>
      <c r="W85" s="4871"/>
      <c r="X85" s="4871"/>
      <c r="Y85" s="4871"/>
    </row>
    <row r="86" spans="2:25" ht="18" customHeight="1" x14ac:dyDescent="0.55000000000000004">
      <c r="B86" s="4868"/>
      <c r="C86" s="4871"/>
      <c r="D86" s="4871"/>
      <c r="E86" s="4871"/>
      <c r="F86" s="4871"/>
      <c r="G86" s="4871"/>
      <c r="H86" s="4871"/>
      <c r="I86" s="4871"/>
      <c r="J86" s="4871"/>
      <c r="K86" s="4871"/>
      <c r="L86" s="4871"/>
      <c r="M86" s="4871"/>
      <c r="N86" s="4871"/>
      <c r="O86" s="4871"/>
      <c r="P86" s="4871"/>
      <c r="Q86" s="4871"/>
      <c r="R86" s="4871"/>
      <c r="S86" s="4871"/>
      <c r="T86" s="4871"/>
      <c r="U86" s="4871"/>
      <c r="V86" s="4871"/>
      <c r="W86" s="4871"/>
      <c r="X86" s="4871"/>
      <c r="Y86" s="4871"/>
    </row>
    <row r="87" spans="2:25" ht="18" customHeight="1" x14ac:dyDescent="0.55000000000000004">
      <c r="B87" s="4868"/>
      <c r="C87" s="4871"/>
      <c r="D87" s="4871"/>
      <c r="E87" s="4871"/>
      <c r="F87" s="4871"/>
      <c r="G87" s="4871"/>
      <c r="H87" s="4871"/>
      <c r="I87" s="4871"/>
      <c r="J87" s="4871"/>
      <c r="K87" s="4871"/>
      <c r="L87" s="4871"/>
      <c r="M87" s="4871"/>
      <c r="N87" s="4871"/>
      <c r="O87" s="4871"/>
      <c r="P87" s="4871"/>
      <c r="Q87" s="4871"/>
      <c r="R87" s="4871"/>
      <c r="S87" s="4871"/>
      <c r="T87" s="4871"/>
      <c r="U87" s="4871"/>
      <c r="V87" s="4871"/>
      <c r="W87" s="4871"/>
      <c r="X87" s="4871"/>
      <c r="Y87" s="4871"/>
    </row>
    <row r="88" spans="2:25" ht="18" customHeight="1" x14ac:dyDescent="0.55000000000000004">
      <c r="B88" s="4868"/>
      <c r="C88" s="4871"/>
      <c r="D88" s="4871"/>
      <c r="E88" s="4871"/>
      <c r="F88" s="4871"/>
      <c r="G88" s="4871"/>
      <c r="H88" s="4871"/>
      <c r="I88" s="4871"/>
      <c r="J88" s="4871"/>
      <c r="K88" s="4871"/>
      <c r="L88" s="4871"/>
      <c r="M88" s="4871"/>
      <c r="N88" s="4871"/>
      <c r="O88" s="4871"/>
      <c r="P88" s="4871"/>
      <c r="Q88" s="4871"/>
      <c r="R88" s="4871"/>
      <c r="S88" s="4871"/>
      <c r="T88" s="4871"/>
      <c r="U88" s="4871"/>
      <c r="V88" s="4871"/>
      <c r="W88" s="4871"/>
      <c r="X88" s="4871"/>
      <c r="Y88" s="4871"/>
    </row>
    <row r="89" spans="2:25" ht="18" customHeight="1" x14ac:dyDescent="0.55000000000000004">
      <c r="B89" s="4868"/>
      <c r="C89" s="4871"/>
      <c r="D89" s="4871"/>
      <c r="E89" s="4871"/>
      <c r="F89" s="4871"/>
      <c r="G89" s="4871"/>
      <c r="H89" s="4871"/>
      <c r="I89" s="4871"/>
      <c r="J89" s="4871"/>
      <c r="K89" s="4871"/>
      <c r="L89" s="4871"/>
      <c r="M89" s="4871"/>
      <c r="N89" s="4871"/>
      <c r="O89" s="4871"/>
      <c r="P89" s="4871"/>
      <c r="Q89" s="4871"/>
      <c r="R89" s="4871"/>
      <c r="S89" s="4871"/>
      <c r="T89" s="4871"/>
      <c r="U89" s="4871"/>
      <c r="V89" s="4871"/>
      <c r="W89" s="4871"/>
      <c r="X89" s="4871"/>
      <c r="Y89" s="4871"/>
    </row>
    <row r="90" spans="2:25" ht="18" customHeight="1" x14ac:dyDescent="0.55000000000000004">
      <c r="B90" s="4868"/>
      <c r="C90" s="4871"/>
      <c r="D90" s="4871"/>
      <c r="E90" s="4871"/>
      <c r="F90" s="4871"/>
      <c r="G90" s="4871"/>
      <c r="H90" s="4871"/>
      <c r="I90" s="4871"/>
      <c r="J90" s="4871"/>
      <c r="K90" s="4871"/>
      <c r="L90" s="4871"/>
      <c r="M90" s="4871"/>
      <c r="N90" s="4871"/>
      <c r="O90" s="4871"/>
      <c r="P90" s="4871"/>
      <c r="Q90" s="4871"/>
      <c r="R90" s="4871"/>
      <c r="S90" s="4871"/>
      <c r="T90" s="4871"/>
      <c r="U90" s="4871"/>
      <c r="V90" s="4871"/>
      <c r="W90" s="4871"/>
      <c r="X90" s="4871"/>
      <c r="Y90" s="4871"/>
    </row>
    <row r="91" spans="2:25" ht="18" customHeight="1" x14ac:dyDescent="0.55000000000000004">
      <c r="B91" s="4868"/>
      <c r="C91" s="4871"/>
      <c r="D91" s="4871"/>
      <c r="E91" s="4871"/>
      <c r="F91" s="4871"/>
      <c r="G91" s="4871"/>
      <c r="H91" s="4871"/>
      <c r="I91" s="4871"/>
      <c r="J91" s="4871"/>
      <c r="K91" s="4871"/>
      <c r="L91" s="4871"/>
      <c r="M91" s="4871"/>
      <c r="N91" s="4871"/>
      <c r="O91" s="4871"/>
      <c r="P91" s="4871"/>
      <c r="Q91" s="4871"/>
      <c r="R91" s="4871"/>
      <c r="S91" s="4871"/>
      <c r="T91" s="4871"/>
      <c r="U91" s="4871"/>
      <c r="V91" s="4871"/>
      <c r="W91" s="4871"/>
      <c r="X91" s="4871"/>
      <c r="Y91" s="4871"/>
    </row>
    <row r="92" spans="2:25" x14ac:dyDescent="0.55000000000000004">
      <c r="B92" s="4868"/>
      <c r="C92" s="4871"/>
      <c r="D92" s="4871"/>
      <c r="E92" s="4871"/>
      <c r="F92" s="4871"/>
      <c r="G92" s="4871"/>
      <c r="H92" s="4871"/>
      <c r="I92" s="4871"/>
      <c r="J92" s="4871"/>
      <c r="K92" s="4871"/>
      <c r="L92" s="4871"/>
      <c r="M92" s="4871"/>
      <c r="N92" s="4871"/>
      <c r="O92" s="4871"/>
      <c r="P92" s="4871"/>
      <c r="Q92" s="4871"/>
      <c r="R92" s="4871"/>
      <c r="S92" s="4871"/>
      <c r="T92" s="4871"/>
      <c r="U92" s="4871"/>
      <c r="V92" s="4871"/>
      <c r="W92" s="4871"/>
      <c r="X92" s="4871"/>
      <c r="Y92" s="4871"/>
    </row>
    <row r="93" spans="2:25" ht="18" customHeight="1" x14ac:dyDescent="0.55000000000000004">
      <c r="B93" s="4868"/>
      <c r="C93" s="4871"/>
      <c r="D93" s="4871"/>
      <c r="E93" s="4871"/>
      <c r="F93" s="4871"/>
      <c r="G93" s="4871"/>
      <c r="H93" s="4871"/>
      <c r="I93" s="4871"/>
      <c r="J93" s="4871"/>
      <c r="K93" s="4871"/>
      <c r="L93" s="4871"/>
      <c r="M93" s="4871"/>
      <c r="N93" s="4871"/>
      <c r="O93" s="4871"/>
      <c r="P93" s="4871"/>
      <c r="Q93" s="4871"/>
      <c r="R93" s="4871"/>
      <c r="S93" s="4871"/>
      <c r="T93" s="4871"/>
      <c r="U93" s="4871"/>
      <c r="V93" s="4871"/>
      <c r="W93" s="4871"/>
      <c r="X93" s="4871"/>
      <c r="Y93" s="4871"/>
    </row>
    <row r="94" spans="2:25" ht="18" customHeight="1" x14ac:dyDescent="0.55000000000000004">
      <c r="B94" s="4868"/>
      <c r="C94" s="4871"/>
      <c r="D94" s="4871"/>
      <c r="E94" s="4871"/>
      <c r="F94" s="4871"/>
      <c r="G94" s="4871"/>
      <c r="H94" s="4871"/>
      <c r="I94" s="4871"/>
      <c r="J94" s="4871"/>
      <c r="K94" s="4871"/>
      <c r="L94" s="4871"/>
      <c r="M94" s="4871"/>
      <c r="N94" s="4871"/>
      <c r="O94" s="4871"/>
      <c r="P94" s="4871"/>
      <c r="Q94" s="4871"/>
      <c r="R94" s="4871"/>
      <c r="S94" s="4871"/>
      <c r="T94" s="4871"/>
      <c r="U94" s="4871"/>
      <c r="V94" s="4871"/>
      <c r="W94" s="4871"/>
      <c r="X94" s="4871"/>
      <c r="Y94" s="4871"/>
    </row>
    <row r="95" spans="2:25" ht="18" customHeight="1" x14ac:dyDescent="0.55000000000000004">
      <c r="B95" s="4868"/>
      <c r="C95" s="4871"/>
      <c r="D95" s="4871"/>
      <c r="E95" s="4871"/>
      <c r="F95" s="4871"/>
      <c r="G95" s="4871"/>
      <c r="H95" s="4871"/>
      <c r="I95" s="4871"/>
      <c r="J95" s="4871"/>
      <c r="K95" s="4871"/>
      <c r="L95" s="4871"/>
      <c r="M95" s="4871"/>
      <c r="N95" s="4871"/>
      <c r="O95" s="4871"/>
      <c r="P95" s="4871"/>
      <c r="Q95" s="4871"/>
      <c r="R95" s="4871"/>
      <c r="S95" s="4871"/>
      <c r="T95" s="4871"/>
      <c r="U95" s="4871"/>
      <c r="V95" s="4871"/>
      <c r="W95" s="4871"/>
      <c r="X95" s="4871"/>
      <c r="Y95" s="4871"/>
    </row>
    <row r="96" spans="2:25" ht="18" customHeight="1" x14ac:dyDescent="0.55000000000000004">
      <c r="B96" s="4868"/>
      <c r="C96" s="4871"/>
      <c r="D96" s="4871"/>
      <c r="E96" s="4871"/>
      <c r="F96" s="4871"/>
      <c r="G96" s="4871"/>
      <c r="H96" s="4871"/>
      <c r="I96" s="4871"/>
      <c r="J96" s="4871"/>
      <c r="K96" s="4871"/>
      <c r="L96" s="4871"/>
      <c r="M96" s="4871"/>
      <c r="N96" s="4871"/>
      <c r="O96" s="4871"/>
      <c r="P96" s="4871"/>
      <c r="Q96" s="4871"/>
      <c r="R96" s="4871"/>
      <c r="S96" s="4871"/>
      <c r="T96" s="4871"/>
      <c r="U96" s="4871"/>
      <c r="V96" s="4871"/>
      <c r="W96" s="4871"/>
      <c r="X96" s="4871"/>
      <c r="Y96" s="4871"/>
    </row>
    <row r="97" spans="2:25" ht="18" customHeight="1" x14ac:dyDescent="0.55000000000000004">
      <c r="B97" s="4868"/>
      <c r="C97" s="4871"/>
      <c r="D97" s="4871"/>
      <c r="E97" s="4871"/>
      <c r="F97" s="4871"/>
      <c r="G97" s="4871"/>
      <c r="H97" s="4871"/>
      <c r="I97" s="4871"/>
      <c r="J97" s="4871"/>
      <c r="K97" s="4871"/>
      <c r="L97" s="4871"/>
      <c r="M97" s="4871"/>
      <c r="N97" s="4871"/>
      <c r="O97" s="4871"/>
      <c r="P97" s="4871"/>
      <c r="Q97" s="4871"/>
      <c r="R97" s="4871"/>
      <c r="S97" s="4871"/>
      <c r="T97" s="4871"/>
      <c r="U97" s="4871"/>
      <c r="V97" s="4871"/>
      <c r="W97" s="4871"/>
      <c r="X97" s="4871"/>
      <c r="Y97" s="4871"/>
    </row>
    <row r="98" spans="2:25" ht="18" customHeight="1" x14ac:dyDescent="0.55000000000000004">
      <c r="B98" s="4868"/>
      <c r="C98" s="4871"/>
      <c r="D98" s="4871"/>
      <c r="E98" s="4871"/>
      <c r="F98" s="4871"/>
      <c r="G98" s="4871"/>
      <c r="H98" s="4871"/>
      <c r="I98" s="4871"/>
      <c r="J98" s="4871"/>
      <c r="K98" s="4871"/>
      <c r="L98" s="4871"/>
      <c r="M98" s="4871"/>
      <c r="N98" s="4871"/>
      <c r="O98" s="4871"/>
      <c r="P98" s="4871"/>
      <c r="Q98" s="4871"/>
      <c r="R98" s="4871"/>
      <c r="S98" s="4871"/>
      <c r="T98" s="4871"/>
      <c r="U98" s="4871"/>
      <c r="V98" s="4871"/>
      <c r="W98" s="4871"/>
      <c r="X98" s="4871"/>
      <c r="Y98" s="4871"/>
    </row>
    <row r="99" spans="2:25" ht="18" customHeight="1" x14ac:dyDescent="0.55000000000000004">
      <c r="B99" s="4868"/>
      <c r="C99" s="4871"/>
      <c r="D99" s="4871"/>
      <c r="E99" s="4871"/>
      <c r="F99" s="4871"/>
      <c r="G99" s="4871"/>
      <c r="H99" s="4871"/>
      <c r="I99" s="4871"/>
      <c r="J99" s="4871"/>
      <c r="K99" s="4871"/>
      <c r="L99" s="4871"/>
      <c r="M99" s="4871"/>
      <c r="N99" s="4871"/>
      <c r="O99" s="4871"/>
      <c r="P99" s="4871"/>
      <c r="Q99" s="4871"/>
      <c r="R99" s="4871"/>
      <c r="S99" s="4871"/>
      <c r="T99" s="4871"/>
      <c r="U99" s="4871"/>
      <c r="V99" s="4871"/>
      <c r="W99" s="4871"/>
      <c r="X99" s="4871"/>
      <c r="Y99" s="4871"/>
    </row>
    <row r="100" spans="2:25" ht="18" customHeight="1" x14ac:dyDescent="0.55000000000000004">
      <c r="B100" s="4868"/>
      <c r="C100" s="4871"/>
      <c r="D100" s="4871"/>
      <c r="E100" s="4871"/>
      <c r="F100" s="4871"/>
      <c r="G100" s="4871"/>
      <c r="H100" s="4871"/>
      <c r="I100" s="4871"/>
      <c r="J100" s="4871"/>
      <c r="K100" s="4871"/>
      <c r="L100" s="4871"/>
      <c r="M100" s="4871"/>
      <c r="N100" s="4871"/>
      <c r="O100" s="4871"/>
      <c r="P100" s="4871"/>
      <c r="Q100" s="4871"/>
      <c r="R100" s="4871"/>
      <c r="S100" s="4871"/>
      <c r="T100" s="4871"/>
      <c r="U100" s="4871"/>
      <c r="V100" s="4871"/>
      <c r="W100" s="4871"/>
      <c r="X100" s="4871"/>
      <c r="Y100" s="4871"/>
    </row>
    <row r="101" spans="2:25" ht="18" customHeight="1" x14ac:dyDescent="0.55000000000000004">
      <c r="B101" s="4868"/>
      <c r="C101" s="4871"/>
      <c r="D101" s="4871"/>
      <c r="E101" s="4871"/>
      <c r="F101" s="4871"/>
      <c r="G101" s="4871"/>
      <c r="H101" s="4871"/>
      <c r="I101" s="4871"/>
      <c r="J101" s="4871"/>
      <c r="K101" s="4871"/>
      <c r="L101" s="4871"/>
      <c r="M101" s="4871"/>
      <c r="N101" s="4871"/>
      <c r="O101" s="4871"/>
      <c r="P101" s="4871"/>
      <c r="Q101" s="4871"/>
      <c r="R101" s="4871"/>
      <c r="S101" s="4871"/>
      <c r="T101" s="4871"/>
      <c r="U101" s="4871"/>
      <c r="V101" s="4871"/>
      <c r="W101" s="4871"/>
      <c r="X101" s="4871"/>
      <c r="Y101" s="4871"/>
    </row>
    <row r="102" spans="2:25" x14ac:dyDescent="0.55000000000000004">
      <c r="B102" s="4868"/>
      <c r="C102" s="4871"/>
      <c r="D102" s="4871"/>
      <c r="E102" s="4871"/>
      <c r="F102" s="4871"/>
      <c r="G102" s="4871"/>
      <c r="H102" s="4871"/>
      <c r="I102" s="4871"/>
      <c r="J102" s="4871"/>
      <c r="K102" s="4871"/>
      <c r="L102" s="4871"/>
      <c r="M102" s="4871"/>
      <c r="N102" s="4871"/>
      <c r="O102" s="4871"/>
      <c r="P102" s="4871"/>
      <c r="Q102" s="4871"/>
      <c r="R102" s="4871"/>
      <c r="S102" s="4871"/>
      <c r="T102" s="4871"/>
      <c r="U102" s="4871"/>
      <c r="V102" s="4871"/>
      <c r="W102" s="4871"/>
      <c r="X102" s="4871"/>
      <c r="Y102" s="4871"/>
    </row>
    <row r="103" spans="2:25" x14ac:dyDescent="0.55000000000000004">
      <c r="B103" s="4868"/>
      <c r="C103" s="4871"/>
      <c r="D103" s="4871"/>
      <c r="E103" s="4871"/>
      <c r="F103" s="4871"/>
      <c r="G103" s="4871"/>
      <c r="H103" s="4871"/>
      <c r="I103" s="4871"/>
      <c r="J103" s="4871"/>
      <c r="K103" s="4871"/>
      <c r="L103" s="4871"/>
      <c r="M103" s="4871"/>
      <c r="N103" s="4871"/>
      <c r="O103" s="4871"/>
      <c r="P103" s="4871"/>
      <c r="Q103" s="4871"/>
      <c r="R103" s="4871"/>
      <c r="S103" s="4871"/>
      <c r="T103" s="4871"/>
      <c r="U103" s="4871"/>
      <c r="V103" s="4871"/>
      <c r="W103" s="4871"/>
      <c r="X103" s="4871"/>
      <c r="Y103" s="4871"/>
    </row>
    <row r="104" spans="2:25" x14ac:dyDescent="0.55000000000000004">
      <c r="B104" s="4868"/>
      <c r="C104" s="4871"/>
      <c r="D104" s="4871"/>
      <c r="E104" s="4871"/>
      <c r="F104" s="4871"/>
      <c r="G104" s="4871"/>
      <c r="H104" s="4871"/>
      <c r="I104" s="4871"/>
      <c r="J104" s="4871"/>
      <c r="K104" s="4871"/>
      <c r="L104" s="4871"/>
      <c r="M104" s="4871"/>
      <c r="N104" s="4871"/>
      <c r="O104" s="4871"/>
      <c r="P104" s="4871"/>
      <c r="Q104" s="4871"/>
      <c r="R104" s="4871"/>
      <c r="S104" s="4871"/>
      <c r="T104" s="4871"/>
      <c r="U104" s="4871"/>
      <c r="V104" s="4871"/>
      <c r="W104" s="4871"/>
      <c r="X104" s="4871"/>
      <c r="Y104" s="4871"/>
    </row>
    <row r="105" spans="2:25" x14ac:dyDescent="0.55000000000000004">
      <c r="B105" s="4868"/>
      <c r="C105" s="4871"/>
      <c r="D105" s="4871"/>
      <c r="E105" s="4871"/>
      <c r="F105" s="4871"/>
      <c r="G105" s="4871"/>
      <c r="H105" s="4871"/>
      <c r="I105" s="4871"/>
      <c r="J105" s="4871"/>
      <c r="K105" s="4871"/>
      <c r="L105" s="4871"/>
      <c r="M105" s="4871"/>
      <c r="N105" s="4871"/>
      <c r="O105" s="4871"/>
      <c r="P105" s="4871"/>
      <c r="Q105" s="4871"/>
      <c r="R105" s="4871"/>
      <c r="S105" s="4871"/>
      <c r="T105" s="4871"/>
      <c r="U105" s="4871"/>
      <c r="V105" s="4871"/>
      <c r="W105" s="4871"/>
      <c r="X105" s="4871"/>
      <c r="Y105" s="4871"/>
    </row>
    <row r="106" spans="2:25" x14ac:dyDescent="0.55000000000000004">
      <c r="B106" s="4868"/>
      <c r="C106" s="4871"/>
      <c r="D106" s="4871"/>
      <c r="E106" s="4871"/>
      <c r="F106" s="4871"/>
      <c r="G106" s="4871"/>
      <c r="H106" s="4871"/>
      <c r="I106" s="4871"/>
      <c r="J106" s="4871"/>
      <c r="K106" s="4871"/>
      <c r="L106" s="4871"/>
      <c r="M106" s="4871"/>
      <c r="N106" s="4871"/>
      <c r="O106" s="4871"/>
      <c r="P106" s="4871"/>
      <c r="Q106" s="4871"/>
      <c r="R106" s="4871"/>
      <c r="S106" s="4871"/>
      <c r="T106" s="4871"/>
      <c r="U106" s="4871"/>
      <c r="V106" s="4871"/>
      <c r="W106" s="4871"/>
      <c r="X106" s="4871"/>
      <c r="Y106" s="4871"/>
    </row>
    <row r="107" spans="2:25" x14ac:dyDescent="0.55000000000000004">
      <c r="B107" s="4868"/>
      <c r="C107" s="4871"/>
      <c r="D107" s="4871"/>
      <c r="E107" s="4871"/>
      <c r="F107" s="4871"/>
      <c r="G107" s="4871"/>
      <c r="H107" s="4871"/>
      <c r="I107" s="4871"/>
      <c r="J107" s="4871"/>
      <c r="K107" s="4871"/>
      <c r="L107" s="4871"/>
      <c r="M107" s="4871"/>
      <c r="N107" s="4871"/>
      <c r="O107" s="4871"/>
      <c r="P107" s="4871"/>
      <c r="Q107" s="4871"/>
      <c r="R107" s="4871"/>
      <c r="S107" s="4871"/>
      <c r="T107" s="4871"/>
      <c r="U107" s="4871"/>
      <c r="V107" s="4871"/>
      <c r="W107" s="4871"/>
      <c r="X107" s="4871"/>
      <c r="Y107" s="4871"/>
    </row>
    <row r="108" spans="2:25" x14ac:dyDescent="0.55000000000000004">
      <c r="B108" s="4868"/>
      <c r="C108" s="4871"/>
      <c r="D108" s="4871"/>
      <c r="E108" s="4871"/>
      <c r="F108" s="4871"/>
      <c r="G108" s="4871"/>
      <c r="H108" s="4871"/>
      <c r="I108" s="4871"/>
      <c r="J108" s="4871"/>
      <c r="K108" s="4871"/>
      <c r="L108" s="4871"/>
      <c r="M108" s="4871"/>
      <c r="N108" s="4871"/>
      <c r="O108" s="4871"/>
      <c r="P108" s="4871"/>
      <c r="Q108" s="4871"/>
      <c r="R108" s="4871"/>
      <c r="S108" s="4871"/>
      <c r="T108" s="4871"/>
      <c r="U108" s="4871"/>
      <c r="V108" s="4871"/>
      <c r="W108" s="4871"/>
      <c r="X108" s="4871"/>
      <c r="Y108" s="4871"/>
    </row>
    <row r="109" spans="2:25" x14ac:dyDescent="0.55000000000000004">
      <c r="B109" s="4868"/>
      <c r="C109" s="4871"/>
      <c r="D109" s="4871"/>
      <c r="E109" s="4871"/>
      <c r="F109" s="4871"/>
      <c r="G109" s="4871"/>
      <c r="H109" s="4871"/>
      <c r="I109" s="4871"/>
      <c r="J109" s="4871"/>
      <c r="K109" s="4871"/>
      <c r="L109" s="4871"/>
      <c r="M109" s="4871"/>
      <c r="N109" s="4871"/>
      <c r="O109" s="4871"/>
      <c r="P109" s="4871"/>
      <c r="Q109" s="4871"/>
      <c r="R109" s="4871"/>
      <c r="S109" s="4871"/>
      <c r="T109" s="4871"/>
      <c r="U109" s="4871"/>
      <c r="V109" s="4871"/>
      <c r="W109" s="4871"/>
      <c r="X109" s="4871"/>
      <c r="Y109" s="4871"/>
    </row>
    <row r="110" spans="2:25" x14ac:dyDescent="0.55000000000000004">
      <c r="B110" s="4868"/>
      <c r="C110" s="4871"/>
      <c r="D110" s="4871"/>
      <c r="E110" s="4871"/>
      <c r="F110" s="4871"/>
      <c r="G110" s="4871"/>
      <c r="H110" s="4871"/>
      <c r="I110" s="4871"/>
      <c r="J110" s="4871"/>
      <c r="K110" s="4871"/>
      <c r="L110" s="4871"/>
      <c r="M110" s="4871"/>
      <c r="N110" s="4871"/>
      <c r="O110" s="4871"/>
      <c r="P110" s="4871"/>
      <c r="Q110" s="4871"/>
      <c r="R110" s="4871"/>
      <c r="S110" s="4871"/>
      <c r="T110" s="4871"/>
      <c r="U110" s="4871"/>
      <c r="V110" s="4871"/>
      <c r="W110" s="4871"/>
      <c r="X110" s="4871"/>
      <c r="Y110" s="4871"/>
    </row>
    <row r="111" spans="2:25" x14ac:dyDescent="0.55000000000000004">
      <c r="B111" s="4868"/>
      <c r="C111" s="4871"/>
      <c r="D111" s="4871"/>
      <c r="E111" s="4871"/>
      <c r="F111" s="4871"/>
      <c r="G111" s="4871"/>
      <c r="H111" s="4871"/>
      <c r="I111" s="4871"/>
      <c r="J111" s="4871"/>
      <c r="K111" s="4871"/>
      <c r="L111" s="4871"/>
      <c r="M111" s="4871"/>
      <c r="N111" s="4871"/>
      <c r="O111" s="4871"/>
      <c r="P111" s="4871"/>
      <c r="Q111" s="4871"/>
      <c r="R111" s="4871"/>
      <c r="S111" s="4871"/>
      <c r="T111" s="4871"/>
      <c r="U111" s="4871"/>
      <c r="V111" s="4871"/>
      <c r="W111" s="4871"/>
      <c r="X111" s="4871"/>
      <c r="Y111" s="4871"/>
    </row>
    <row r="112" spans="2:25" x14ac:dyDescent="0.55000000000000004">
      <c r="B112" s="4868"/>
      <c r="C112" s="4871"/>
      <c r="D112" s="4871"/>
      <c r="E112" s="4871"/>
      <c r="F112" s="4871"/>
      <c r="G112" s="4871"/>
      <c r="H112" s="4871"/>
      <c r="I112" s="4871"/>
      <c r="J112" s="4871"/>
      <c r="K112" s="4871"/>
      <c r="L112" s="4871"/>
      <c r="M112" s="4871"/>
      <c r="N112" s="4871"/>
      <c r="O112" s="4871"/>
      <c r="P112" s="4871"/>
      <c r="Q112" s="4871"/>
      <c r="R112" s="4871"/>
      <c r="S112" s="4871"/>
      <c r="T112" s="4871"/>
      <c r="U112" s="4871"/>
      <c r="V112" s="4871"/>
      <c r="W112" s="4871"/>
      <c r="X112" s="4871"/>
      <c r="Y112" s="4871"/>
    </row>
    <row r="113" spans="2:25" x14ac:dyDescent="0.55000000000000004">
      <c r="B113" s="4868"/>
      <c r="C113" s="4871"/>
      <c r="D113" s="4871"/>
      <c r="E113" s="4871"/>
      <c r="F113" s="4871"/>
      <c r="G113" s="4871"/>
      <c r="H113" s="4871"/>
      <c r="I113" s="4871"/>
      <c r="J113" s="4871"/>
      <c r="K113" s="4871"/>
      <c r="L113" s="4871"/>
      <c r="M113" s="4871"/>
      <c r="N113" s="4871"/>
      <c r="O113" s="4871"/>
      <c r="P113" s="4871"/>
      <c r="Q113" s="4871"/>
      <c r="R113" s="4871"/>
      <c r="S113" s="4871"/>
      <c r="T113" s="4871"/>
      <c r="U113" s="4871"/>
      <c r="V113" s="4871"/>
      <c r="W113" s="4871"/>
      <c r="X113" s="4871"/>
      <c r="Y113" s="4871"/>
    </row>
    <row r="114" spans="2:25" x14ac:dyDescent="0.55000000000000004">
      <c r="B114" s="4868"/>
      <c r="C114" s="4871"/>
      <c r="D114" s="4871"/>
      <c r="E114" s="4871"/>
      <c r="F114" s="4871"/>
      <c r="G114" s="4871"/>
      <c r="H114" s="4871"/>
      <c r="I114" s="4871"/>
      <c r="J114" s="4871"/>
      <c r="K114" s="4871"/>
      <c r="L114" s="4871"/>
      <c r="M114" s="4871"/>
      <c r="N114" s="4871"/>
      <c r="O114" s="4871"/>
      <c r="P114" s="4871"/>
      <c r="Q114" s="4871"/>
      <c r="R114" s="4871"/>
      <c r="S114" s="4871"/>
      <c r="T114" s="4871"/>
      <c r="U114" s="4871"/>
      <c r="V114" s="4871"/>
      <c r="W114" s="4871"/>
      <c r="X114" s="4871"/>
      <c r="Y114" s="4871"/>
    </row>
    <row r="115" spans="2:25" x14ac:dyDescent="0.55000000000000004">
      <c r="B115" s="4868"/>
      <c r="C115" s="4871"/>
      <c r="D115" s="4871"/>
      <c r="E115" s="4871"/>
      <c r="F115" s="4871"/>
      <c r="G115" s="4871"/>
      <c r="H115" s="4871"/>
      <c r="I115" s="4871"/>
      <c r="J115" s="4871"/>
      <c r="K115" s="4871"/>
      <c r="L115" s="4871"/>
      <c r="M115" s="4871"/>
      <c r="N115" s="4871"/>
      <c r="O115" s="4871"/>
      <c r="P115" s="4871"/>
      <c r="Q115" s="4871"/>
      <c r="R115" s="4871"/>
      <c r="S115" s="4871"/>
      <c r="T115" s="4871"/>
      <c r="U115" s="4871"/>
      <c r="V115" s="4871"/>
      <c r="W115" s="4871"/>
      <c r="X115" s="4871"/>
      <c r="Y115" s="4871"/>
    </row>
    <row r="116" spans="2:25" x14ac:dyDescent="0.55000000000000004">
      <c r="B116" s="4868"/>
      <c r="C116" s="4871"/>
      <c r="D116" s="4871"/>
      <c r="E116" s="4871"/>
      <c r="F116" s="4871"/>
      <c r="G116" s="4871"/>
      <c r="H116" s="4871"/>
      <c r="I116" s="4871"/>
      <c r="J116" s="4871"/>
      <c r="K116" s="4871"/>
      <c r="L116" s="4871"/>
      <c r="M116" s="4871"/>
      <c r="N116" s="4871"/>
      <c r="O116" s="4871"/>
      <c r="P116" s="4871"/>
      <c r="Q116" s="4871"/>
      <c r="R116" s="4871"/>
      <c r="S116" s="4871"/>
      <c r="T116" s="4871"/>
      <c r="U116" s="4871"/>
      <c r="V116" s="4871"/>
      <c r="W116" s="4871"/>
      <c r="X116" s="4871"/>
      <c r="Y116" s="4871"/>
    </row>
    <row r="117" spans="2:25" x14ac:dyDescent="0.55000000000000004">
      <c r="B117" s="4868"/>
      <c r="C117" s="4871"/>
      <c r="D117" s="4871"/>
      <c r="E117" s="4871"/>
      <c r="F117" s="4871"/>
      <c r="G117" s="4871"/>
      <c r="H117" s="4871"/>
      <c r="I117" s="4871"/>
      <c r="J117" s="4871"/>
      <c r="K117" s="4871"/>
      <c r="L117" s="4871"/>
      <c r="M117" s="4871"/>
      <c r="N117" s="4871"/>
      <c r="O117" s="4871"/>
      <c r="P117" s="4871"/>
      <c r="Q117" s="4871"/>
      <c r="R117" s="4871"/>
      <c r="S117" s="4871"/>
      <c r="T117" s="4871"/>
      <c r="U117" s="4871"/>
      <c r="V117" s="4871"/>
      <c r="W117" s="4871"/>
      <c r="X117" s="4871"/>
      <c r="Y117" s="4871"/>
    </row>
    <row r="118" spans="2:25" x14ac:dyDescent="0.55000000000000004">
      <c r="B118" s="4868"/>
      <c r="C118" s="4871"/>
      <c r="D118" s="4871"/>
      <c r="E118" s="4871"/>
      <c r="F118" s="4871"/>
      <c r="G118" s="4871"/>
      <c r="H118" s="4871"/>
      <c r="I118" s="4871"/>
      <c r="J118" s="4871"/>
      <c r="K118" s="4871"/>
      <c r="L118" s="4871"/>
      <c r="M118" s="4871"/>
      <c r="N118" s="4871"/>
      <c r="O118" s="4871"/>
      <c r="P118" s="4871"/>
      <c r="Q118" s="4871"/>
      <c r="R118" s="4871"/>
      <c r="S118" s="4871"/>
      <c r="T118" s="4871"/>
      <c r="U118" s="4871"/>
      <c r="V118" s="4871"/>
      <c r="W118" s="4871"/>
      <c r="X118" s="4871"/>
      <c r="Y118" s="4871"/>
    </row>
    <row r="119" spans="2:25" x14ac:dyDescent="0.55000000000000004">
      <c r="B119" s="4868"/>
      <c r="C119" s="4871"/>
      <c r="D119" s="4871"/>
      <c r="E119" s="4871"/>
      <c r="F119" s="4871"/>
      <c r="G119" s="4871"/>
      <c r="H119" s="4871"/>
      <c r="I119" s="4871"/>
      <c r="J119" s="4871"/>
      <c r="K119" s="4871"/>
      <c r="L119" s="4871"/>
      <c r="M119" s="4871"/>
      <c r="N119" s="4871"/>
      <c r="O119" s="4871"/>
      <c r="P119" s="4871"/>
      <c r="Q119" s="4871"/>
      <c r="R119" s="4871"/>
      <c r="S119" s="4871"/>
      <c r="T119" s="4871"/>
      <c r="U119" s="4871"/>
      <c r="V119" s="4871"/>
      <c r="W119" s="4871"/>
      <c r="X119" s="4871"/>
      <c r="Y119" s="4871"/>
    </row>
    <row r="120" spans="2:25" x14ac:dyDescent="0.55000000000000004">
      <c r="B120" s="4868"/>
      <c r="C120" s="4871"/>
      <c r="D120" s="4871"/>
      <c r="E120" s="4871"/>
      <c r="F120" s="4871"/>
      <c r="G120" s="4871"/>
      <c r="H120" s="4871"/>
      <c r="I120" s="4871"/>
      <c r="J120" s="4871"/>
      <c r="K120" s="4871"/>
      <c r="L120" s="4871"/>
      <c r="M120" s="4871"/>
      <c r="N120" s="4871"/>
      <c r="O120" s="4871"/>
      <c r="P120" s="4871"/>
      <c r="Q120" s="4871"/>
      <c r="R120" s="4871"/>
      <c r="S120" s="4871"/>
      <c r="T120" s="4871"/>
      <c r="U120" s="4871"/>
      <c r="V120" s="4871"/>
      <c r="W120" s="4871"/>
      <c r="X120" s="4871"/>
      <c r="Y120" s="4871"/>
    </row>
    <row r="121" spans="2:25" x14ac:dyDescent="0.55000000000000004">
      <c r="B121" s="4868"/>
      <c r="C121" s="4871"/>
      <c r="D121" s="4871"/>
      <c r="E121" s="4871"/>
      <c r="F121" s="4871"/>
      <c r="G121" s="4871"/>
      <c r="H121" s="4871"/>
      <c r="I121" s="4871"/>
      <c r="J121" s="4871"/>
      <c r="K121" s="4871"/>
      <c r="L121" s="4871"/>
      <c r="M121" s="4871"/>
      <c r="N121" s="4871"/>
      <c r="O121" s="4871"/>
      <c r="P121" s="4871"/>
      <c r="Q121" s="4871"/>
      <c r="R121" s="4871"/>
      <c r="S121" s="4871"/>
      <c r="T121" s="4871"/>
      <c r="U121" s="4871"/>
      <c r="V121" s="4871"/>
      <c r="W121" s="4871"/>
      <c r="X121" s="4871"/>
      <c r="Y121" s="4871"/>
    </row>
    <row r="122" spans="2:25" x14ac:dyDescent="0.55000000000000004">
      <c r="B122" s="4868"/>
      <c r="C122" s="4871"/>
      <c r="D122" s="4871"/>
      <c r="E122" s="4871"/>
      <c r="F122" s="4871"/>
      <c r="G122" s="4871"/>
      <c r="H122" s="4871"/>
      <c r="I122" s="4871"/>
      <c r="J122" s="4871"/>
      <c r="K122" s="4871"/>
      <c r="L122" s="4871"/>
      <c r="M122" s="4871"/>
      <c r="N122" s="4871"/>
      <c r="O122" s="4871"/>
      <c r="P122" s="4871"/>
      <c r="Q122" s="4871"/>
      <c r="R122" s="4871"/>
      <c r="S122" s="4871"/>
      <c r="T122" s="4871"/>
      <c r="U122" s="4871"/>
      <c r="V122" s="4871"/>
      <c r="W122" s="4871"/>
      <c r="X122" s="4871"/>
      <c r="Y122" s="4871"/>
    </row>
    <row r="123" spans="2:25" x14ac:dyDescent="0.55000000000000004">
      <c r="B123" s="4868"/>
      <c r="C123" s="4871"/>
      <c r="D123" s="4871"/>
      <c r="E123" s="4871"/>
      <c r="F123" s="4871"/>
      <c r="G123" s="4871"/>
      <c r="H123" s="4871"/>
      <c r="I123" s="4871"/>
      <c r="J123" s="4871"/>
      <c r="K123" s="4871"/>
      <c r="L123" s="4871"/>
      <c r="M123" s="4871"/>
      <c r="N123" s="4871"/>
      <c r="O123" s="4871"/>
      <c r="P123" s="4871"/>
      <c r="Q123" s="4871"/>
      <c r="R123" s="4871"/>
      <c r="S123" s="4871"/>
      <c r="T123" s="4871"/>
      <c r="U123" s="4871"/>
      <c r="V123" s="4871"/>
      <c r="W123" s="4871"/>
      <c r="X123" s="4871"/>
      <c r="Y123" s="4871"/>
    </row>
  </sheetData>
  <mergeCells count="15">
    <mergeCell ref="A25:A39"/>
    <mergeCell ref="A3:AA3"/>
    <mergeCell ref="B25:C25"/>
    <mergeCell ref="V5:AA5"/>
    <mergeCell ref="A7:A24"/>
    <mergeCell ref="B7:C7"/>
    <mergeCell ref="B15:C15"/>
    <mergeCell ref="B18:C18"/>
    <mergeCell ref="A6:C6"/>
    <mergeCell ref="F5:U5"/>
    <mergeCell ref="B11:C11"/>
    <mergeCell ref="F10:U10"/>
    <mergeCell ref="F14:U14"/>
    <mergeCell ref="F17:U17"/>
    <mergeCell ref="F21:U21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3" fitToHeight="0" orientation="landscape" r:id="rId1"/>
  <headerFooter scaleWithDoc="0">
    <oddFooter>&amp;R&amp;"-,기울임꼴"&amp;8&amp;P &amp; 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pageSetUpPr fitToPage="1"/>
  </sheetPr>
  <dimension ref="A1:BF119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AG13" sqref="AG13"/>
    </sheetView>
  </sheetViews>
  <sheetFormatPr defaultRowHeight="15" outlineLevelCol="1" x14ac:dyDescent="0.55000000000000004"/>
  <cols>
    <col min="1" max="1" width="14" style="2441" customWidth="1"/>
    <col min="2" max="2" width="8.2109375" style="2441" customWidth="1"/>
    <col min="3" max="3" width="10.35546875" style="2441" customWidth="1"/>
    <col min="4" max="5" width="12.7109375" style="2441" customWidth="1"/>
    <col min="6" max="6" width="11.35546875" style="2441" customWidth="1"/>
    <col min="7" max="7" width="11.35546875" style="2441" customWidth="1" outlineLevel="1"/>
    <col min="8" max="17" width="10.640625" style="2441" customWidth="1" outlineLevel="1"/>
    <col min="18" max="20" width="12.640625" style="5138" customWidth="1"/>
    <col min="21" max="22" width="10.640625" style="5138" hidden="1" customWidth="1"/>
    <col min="23" max="25" width="12.640625" style="5138" customWidth="1"/>
    <col min="26" max="27" width="8.640625" style="2441" customWidth="1"/>
    <col min="28" max="29" width="9.140625" style="2441"/>
    <col min="30" max="42" width="12.42578125" style="2441" customWidth="1"/>
    <col min="43" max="44" width="12.42578125" style="2441" hidden="1" customWidth="1"/>
    <col min="45" max="46" width="12.42578125" style="2441" customWidth="1"/>
    <col min="47" max="16384" width="9.140625" style="2441"/>
  </cols>
  <sheetData>
    <row r="1" spans="1:58" x14ac:dyDescent="0.55000000000000004">
      <c r="C1" s="2987"/>
      <c r="D1" s="2987" t="s">
        <v>791</v>
      </c>
      <c r="E1" s="2987" t="s">
        <v>663</v>
      </c>
      <c r="F1" s="2987" t="s">
        <v>460</v>
      </c>
      <c r="G1" s="2987" t="s">
        <v>459</v>
      </c>
      <c r="H1" s="2987" t="s">
        <v>461</v>
      </c>
      <c r="I1" s="2987" t="s">
        <v>665</v>
      </c>
      <c r="J1" s="2987" t="s">
        <v>642</v>
      </c>
      <c r="K1" s="2987" t="s">
        <v>650</v>
      </c>
      <c r="L1" s="2987" t="s">
        <v>1151</v>
      </c>
      <c r="M1" s="2987" t="s">
        <v>1154</v>
      </c>
      <c r="N1" s="2987" t="s">
        <v>1165</v>
      </c>
      <c r="O1" s="2987" t="s">
        <v>737</v>
      </c>
      <c r="P1" s="2987" t="s">
        <v>929</v>
      </c>
      <c r="Q1" s="2987" t="s">
        <v>1190</v>
      </c>
      <c r="R1" s="2987" t="s">
        <v>468</v>
      </c>
      <c r="S1" s="2987" t="s">
        <v>738</v>
      </c>
      <c r="T1" s="2987" t="s">
        <v>462</v>
      </c>
      <c r="U1" s="2987" t="s">
        <v>665</v>
      </c>
      <c r="V1" s="2987" t="s">
        <v>642</v>
      </c>
      <c r="W1" s="2987" t="s">
        <v>467</v>
      </c>
      <c r="X1" s="2987" t="s">
        <v>469</v>
      </c>
      <c r="Y1" s="2987" t="s">
        <v>466</v>
      </c>
      <c r="Z1" s="2991" t="s">
        <v>474</v>
      </c>
      <c r="AA1" s="4872"/>
    </row>
    <row r="2" spans="1:58" ht="15.45" thickBot="1" x14ac:dyDescent="0.6">
      <c r="C2" s="2987"/>
      <c r="D2" s="2987"/>
      <c r="E2" s="2987"/>
      <c r="F2" s="2987" t="s">
        <v>460</v>
      </c>
      <c r="G2" s="2987" t="s">
        <v>459</v>
      </c>
      <c r="H2" s="2987" t="s">
        <v>461</v>
      </c>
      <c r="I2" s="2987" t="s">
        <v>665</v>
      </c>
      <c r="J2" s="2987" t="s">
        <v>642</v>
      </c>
      <c r="K2" s="2987" t="s">
        <v>650</v>
      </c>
      <c r="L2" s="2987" t="s">
        <v>1151</v>
      </c>
      <c r="M2" s="2987" t="s">
        <v>1154</v>
      </c>
      <c r="N2" s="2987" t="s">
        <v>1165</v>
      </c>
      <c r="O2" s="2987" t="s">
        <v>737</v>
      </c>
      <c r="P2" s="2987" t="s">
        <v>929</v>
      </c>
      <c r="Q2" s="2987" t="s">
        <v>1190</v>
      </c>
      <c r="R2" s="2987" t="s">
        <v>468</v>
      </c>
      <c r="S2" s="2987" t="s">
        <v>738</v>
      </c>
      <c r="T2" s="2987" t="s">
        <v>663</v>
      </c>
      <c r="U2" s="2987" t="s">
        <v>665</v>
      </c>
      <c r="V2" s="2987" t="s">
        <v>642</v>
      </c>
      <c r="W2" s="2987" t="s">
        <v>467</v>
      </c>
      <c r="X2" s="2987" t="s">
        <v>469</v>
      </c>
      <c r="Y2" s="2987" t="s">
        <v>466</v>
      </c>
    </row>
    <row r="3" spans="1:58" s="2444" customFormat="1" ht="60" customHeight="1" thickTop="1" thickBot="1" x14ac:dyDescent="0.6">
      <c r="A3" s="7255" t="s">
        <v>943</v>
      </c>
      <c r="B3" s="7255"/>
      <c r="C3" s="7255"/>
      <c r="D3" s="7255"/>
      <c r="E3" s="7255"/>
      <c r="F3" s="7255"/>
      <c r="G3" s="7255"/>
      <c r="H3" s="7255"/>
      <c r="I3" s="7255"/>
      <c r="J3" s="7255"/>
      <c r="K3" s="7255"/>
      <c r="L3" s="7255"/>
      <c r="M3" s="7255"/>
      <c r="N3" s="7255"/>
      <c r="O3" s="7255"/>
      <c r="P3" s="7255"/>
      <c r="Q3" s="7255"/>
      <c r="R3" s="7255"/>
      <c r="S3" s="7255"/>
      <c r="T3" s="7255"/>
      <c r="U3" s="7255"/>
      <c r="V3" s="7255"/>
      <c r="W3" s="7255"/>
      <c r="X3" s="7255"/>
      <c r="Y3" s="7255"/>
      <c r="Z3" s="6951"/>
      <c r="AA3" s="6951"/>
    </row>
    <row r="4" spans="1:58" s="2444" customFormat="1" ht="15.55" customHeight="1" thickTop="1" thickBot="1" x14ac:dyDescent="0.6">
      <c r="A4" s="2447"/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AC4" s="2445"/>
      <c r="AE4" s="2445"/>
      <c r="AF4" s="2445"/>
      <c r="AG4" s="2446"/>
      <c r="AI4" s="2445"/>
      <c r="AJ4" s="2446"/>
      <c r="BB4" s="2449"/>
      <c r="BC4" s="2449"/>
      <c r="BD4" s="2449"/>
      <c r="BE4" s="2449"/>
      <c r="BF4" s="2449"/>
    </row>
    <row r="5" spans="1:58" ht="19.75" customHeight="1" thickBot="1" x14ac:dyDescent="0.6">
      <c r="A5" s="4873"/>
      <c r="B5" s="2450"/>
      <c r="C5" s="2450"/>
      <c r="D5" s="2450"/>
      <c r="E5" s="3313" t="str">
        <f>"(~"&amp;'※ 소상공인 세부데이터'!A1-0.001&amp;"월)"</f>
        <v>(~12월)</v>
      </c>
      <c r="F5" s="7266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93"/>
      <c r="T5" s="7086" t="str">
        <f>"연간누적실적(~"&amp;'※ 소상공인 세부데이터'!A1-0.001&amp;"월)"</f>
        <v>연간누적실적(~12월)</v>
      </c>
      <c r="U5" s="7087"/>
      <c r="V5" s="7087"/>
      <c r="W5" s="7087"/>
      <c r="X5" s="7087"/>
      <c r="Y5" s="7113"/>
    </row>
    <row r="6" spans="1:58" ht="17.399999999999999" customHeight="1" thickBot="1" x14ac:dyDescent="0.6">
      <c r="A6" s="7286" t="s">
        <v>127</v>
      </c>
      <c r="B6" s="7287"/>
      <c r="C6" s="7287"/>
      <c r="D6" s="4874" t="s">
        <v>888</v>
      </c>
      <c r="E6" s="4875" t="s">
        <v>889</v>
      </c>
      <c r="F6" s="4418" t="str" cm="1">
        <f t="array" aca="1" ref="F6" ca="1">INDIRECT("'※ 소상공인 세부데이터'!"&amp;F$1&amp;$Z6, TRUE)</f>
        <v>'25.1월</v>
      </c>
      <c r="G6" s="4876" t="str" cm="1">
        <f t="array" aca="1" ref="G6" ca="1">INDIRECT("'※ 소상공인 세부데이터'!"&amp;G$1&amp;$Z6, TRUE)</f>
        <v>'25.2월</v>
      </c>
      <c r="H6" s="2429" t="str" cm="1">
        <f t="array" aca="1" ref="H6" ca="1">INDIRECT("'※ 소상공인 세부데이터'!"&amp;H$1&amp;$Z6, TRUE)</f>
        <v>'25.3월</v>
      </c>
      <c r="I6" s="2429" t="str" cm="1">
        <f t="array" aca="1" ref="I6" ca="1">INDIRECT("'※ 소상공인 세부데이터'!"&amp;I$1&amp;$Z6, TRUE)</f>
        <v>'25.4월</v>
      </c>
      <c r="J6" s="2429" t="str" cm="1">
        <f t="array" aca="1" ref="J6" ca="1">INDIRECT("'※ 소상공인 세부데이터'!"&amp;J$1&amp;$Z6, TRUE)</f>
        <v>'25.5월</v>
      </c>
      <c r="K6" s="2429" t="str" cm="1">
        <f t="array" aca="1" ref="K6" ca="1">INDIRECT("'※ 소상공인 세부데이터'!"&amp;K$1&amp;$Z6, TRUE)</f>
        <v>'25.6월</v>
      </c>
      <c r="L6" s="2429" t="str" cm="1">
        <f t="array" aca="1" ref="L6" ca="1">INDIRECT("'※ 소상공인 세부데이터'!"&amp;L$1&amp;$Z6, TRUE)</f>
        <v>'25.7월</v>
      </c>
      <c r="M6" s="2429" t="str" cm="1">
        <f t="array" aca="1" ref="M6" ca="1">INDIRECT("'※ 소상공인 세부데이터'!"&amp;M$1&amp;$Z6, TRUE)</f>
        <v>'25.8월</v>
      </c>
      <c r="N6" s="2429" t="str" cm="1">
        <f t="array" aca="1" ref="N6" ca="1">INDIRECT("'※ 소상공인 세부데이터'!"&amp;N$1&amp;$Z6, TRUE)</f>
        <v>'25.9월</v>
      </c>
      <c r="O6" s="2429" t="str" cm="1">
        <f t="array" aca="1" ref="O6" ca="1">INDIRECT("'※ 소상공인 세부데이터'!"&amp;O$1&amp;$Z6, TRUE)</f>
        <v>'25.10월</v>
      </c>
      <c r="P6" s="2429" t="str" cm="1">
        <f t="array" aca="1" ref="P6" ca="1">INDIRECT("'※ 소상공인 세부데이터'!"&amp;P$1&amp;$Z6, TRUE)</f>
        <v>'25.11월</v>
      </c>
      <c r="Q6" s="2429" t="str" cm="1">
        <f t="array" aca="1" ref="Q6" ca="1">INDIRECT("'※ 소상공인 세부데이터'!"&amp;Q$1&amp;$Z6, TRUE)</f>
        <v>'25.12월</v>
      </c>
      <c r="R6" s="2997" t="s">
        <v>133</v>
      </c>
      <c r="S6" s="2998" t="s">
        <v>464</v>
      </c>
      <c r="T6" s="2999" t="s">
        <v>45</v>
      </c>
      <c r="U6" s="2993" t="s">
        <v>8</v>
      </c>
      <c r="V6" s="2993" t="s">
        <v>9</v>
      </c>
      <c r="W6" s="2993" t="s">
        <v>609</v>
      </c>
      <c r="X6" s="3000" t="s">
        <v>46</v>
      </c>
      <c r="Y6" s="4877" t="s">
        <v>11</v>
      </c>
      <c r="Z6" s="3693">
        <f>ROW('※ 소상공인 세부데이터'!J3)</f>
        <v>3</v>
      </c>
      <c r="AA6" s="2455"/>
      <c r="AB6" s="2455"/>
      <c r="AC6" s="2455"/>
      <c r="AD6" s="2455"/>
      <c r="AE6" s="2455"/>
      <c r="AF6" s="2455"/>
      <c r="AG6" s="2455"/>
      <c r="AH6" s="2455"/>
      <c r="AI6" s="2455"/>
      <c r="AJ6" s="2455"/>
      <c r="AK6" s="2455"/>
      <c r="AL6" s="2455"/>
      <c r="AM6" s="2455"/>
    </row>
    <row r="7" spans="1:58" x14ac:dyDescent="0.55000000000000004">
      <c r="A7" s="7274" t="s">
        <v>169</v>
      </c>
      <c r="B7" s="4878" t="s">
        <v>1043</v>
      </c>
      <c r="C7" s="4879"/>
      <c r="D7" s="4880" cm="1">
        <f t="array" aca="1" ref="D7" ca="1">INDIRECT("'※ 소상공인 세부데이터'!"&amp;D$1&amp;$Z7, TRUE)</f>
        <v>6770</v>
      </c>
      <c r="E7" s="4881" cm="1">
        <f t="array" aca="1" ref="E7" ca="1">INDIRECT("'※ 소상공인 세부데이터'!"&amp;E$1&amp;$Z7, TRUE)</f>
        <v>3192</v>
      </c>
      <c r="F7" s="4882" cm="1">
        <f t="array" aca="1" ref="F7" ca="1">INDIRECT("'※ 소상공인 세부데이터'!"&amp;F$1&amp;$Z7, TRUE)</f>
        <v>154</v>
      </c>
      <c r="G7" s="4880" cm="1">
        <f t="array" aca="1" ref="G7" ca="1">INDIRECT("'※ 소상공인 세부데이터'!"&amp;G$1&amp;$Z7, TRUE)</f>
        <v>399</v>
      </c>
      <c r="H7" s="4880" cm="1">
        <f t="array" aca="1" ref="H7" ca="1">INDIRECT("'※ 소상공인 세부데이터'!"&amp;H$1&amp;$Z7, TRUE)</f>
        <v>169</v>
      </c>
      <c r="I7" s="4880" cm="1">
        <f t="array" aca="1" ref="I7" ca="1">INDIRECT("'※ 소상공인 세부데이터'!"&amp;I$1&amp;$Z7, TRUE)</f>
        <v>287</v>
      </c>
      <c r="J7" s="4880" cm="1">
        <f t="array" aca="1" ref="J7" ca="1">INDIRECT("'※ 소상공인 세부데이터'!"&amp;J$1&amp;$Z7, TRUE)</f>
        <v>431</v>
      </c>
      <c r="K7" s="4880" cm="1">
        <f t="array" aca="1" ref="K7" ca="1">INDIRECT("'※ 소상공인 세부데이터'!"&amp;K$1&amp;$Z7, TRUE)</f>
        <v>191</v>
      </c>
      <c r="L7" s="4880" cm="1">
        <f t="array" aca="1" ref="L7" ca="1">INDIRECT("'※ 소상공인 세부데이터'!"&amp;L$1&amp;$Z7, TRUE)</f>
        <v>638</v>
      </c>
      <c r="M7" s="4880" cm="1">
        <f t="array" aca="1" ref="M7" ca="1">INDIRECT("'※ 소상공인 세부데이터'!"&amp;M$1&amp;$Z7, TRUE)</f>
        <v>196</v>
      </c>
      <c r="N7" s="4880" cm="1">
        <f t="array" aca="1" ref="N7" ca="1">INDIRECT("'※ 소상공인 세부데이터'!"&amp;N$1&amp;$Z7, TRUE)</f>
        <v>309</v>
      </c>
      <c r="O7" s="4880" cm="1">
        <f t="array" aca="1" ref="O7" ca="1">INDIRECT("'※ 소상공인 세부데이터'!"&amp;O$1&amp;$Z7, TRUE)</f>
        <v>259</v>
      </c>
      <c r="P7" s="4880" cm="1">
        <f t="array" aca="1" ref="P7" ca="1">INDIRECT("'※ 소상공인 세부데이터'!"&amp;P$1&amp;$Z7, TRUE)</f>
        <v>194</v>
      </c>
      <c r="Q7" s="4880" cm="1">
        <f t="array" aca="1" ref="Q7" ca="1">INDIRECT("'※ 소상공인 세부데이터'!"&amp;Q$1&amp;$Z7, TRUE)</f>
        <v>103</v>
      </c>
      <c r="R7" s="4883" cm="1">
        <f t="array" aca="1" ref="R7" ca="1">INDIRECT("'※ 소상공인 세부데이터'!"&amp;R$1&amp;$Z7, TRUE)</f>
        <v>-91</v>
      </c>
      <c r="S7" s="4884" cm="1">
        <f t="array" aca="1" ref="S7" ca="1">INDIRECT("'※ 소상공인 세부데이터'!"&amp;S$1&amp;$Z7, TRUE)</f>
        <v>-8</v>
      </c>
      <c r="T7" s="4885" cm="1">
        <f t="array" aca="1" ref="T7" ca="1">INDIRECT("'※ 소상공인 세부데이터'!"&amp;T$1&amp;$Z7, TRUE)</f>
        <v>3330</v>
      </c>
      <c r="U7" s="4886">
        <v>-1312</v>
      </c>
      <c r="V7" s="4886">
        <v>0.45333333333333331</v>
      </c>
      <c r="W7" s="4886" cm="1">
        <f t="array" aca="1" ref="W7" ca="1">INDIRECT("'※ 소상공인 세부데이터'!"&amp;W$1&amp;$Z7, TRUE)</f>
        <v>138</v>
      </c>
      <c r="X7" s="4887" cm="1">
        <f t="array" aca="1" ref="X7" ca="1">INDIRECT("'※ 소상공인 세부데이터'!"&amp;X$1&amp;$Z7, TRUE)</f>
        <v>277.5</v>
      </c>
      <c r="Y7" s="4888" cm="1">
        <f t="array" aca="1" ref="Y7" ca="1">INDIRECT("'※ 소상공인 세부데이터'!"&amp;Y$1&amp;$Z7, TRUE)</f>
        <v>20.833333333333314</v>
      </c>
      <c r="Z7" s="3693">
        <f>ROW('※ 소상공인 세부데이터'!J77)</f>
        <v>77</v>
      </c>
      <c r="AA7" s="3053"/>
    </row>
    <row r="8" spans="1:58" x14ac:dyDescent="0.55000000000000004">
      <c r="A8" s="7275"/>
      <c r="B8" s="3033" t="s">
        <v>777</v>
      </c>
      <c r="C8" s="4889"/>
      <c r="D8" s="4890" cm="1">
        <f t="array" aca="1" ref="D8" ca="1">INDIRECT("'※ 소상공인 세부데이터'!"&amp;D$1&amp;$Z8, TRUE)</f>
        <v>5058</v>
      </c>
      <c r="E8" s="4891" cm="1">
        <f t="array" aca="1" ref="E8" ca="1">INDIRECT("'※ 소상공인 세부데이터'!"&amp;E$1&amp;$Z8, TRUE)</f>
        <v>2508</v>
      </c>
      <c r="F8" s="4892" cm="1">
        <f t="array" aca="1" ref="F8" ca="1">INDIRECT("'※ 소상공인 세부데이터'!"&amp;F$1&amp;$Z8, TRUE)</f>
        <v>111</v>
      </c>
      <c r="G8" s="4890" cm="1">
        <f t="array" aca="1" ref="G8" ca="1">INDIRECT("'※ 소상공인 세부데이터'!"&amp;G$1&amp;$Z8, TRUE)</f>
        <v>343</v>
      </c>
      <c r="H8" s="4890" cm="1">
        <f t="array" aca="1" ref="H8" ca="1">INDIRECT("'※ 소상공인 세부데이터'!"&amp;H$1&amp;$Z8, TRUE)</f>
        <v>117</v>
      </c>
      <c r="I8" s="4890" cm="1">
        <f t="array" aca="1" ref="I8" ca="1">INDIRECT("'※ 소상공인 세부데이터'!"&amp;I$1&amp;$Z8, TRUE)</f>
        <v>122</v>
      </c>
      <c r="J8" s="4890" cm="1">
        <f t="array" aca="1" ref="J8" ca="1">INDIRECT("'※ 소상공인 세부데이터'!"&amp;J$1&amp;$Z8, TRUE)</f>
        <v>172</v>
      </c>
      <c r="K8" s="4890" cm="1">
        <f t="array" aca="1" ref="K8" ca="1">INDIRECT("'※ 소상공인 세부데이터'!"&amp;K$1&amp;$Z8, TRUE)</f>
        <v>123</v>
      </c>
      <c r="L8" s="4890" cm="1">
        <f t="array" aca="1" ref="L8" ca="1">INDIRECT("'※ 소상공인 세부데이터'!"&amp;L$1&amp;$Z8, TRUE)</f>
        <v>276</v>
      </c>
      <c r="M8" s="4890" cm="1">
        <f t="array" aca="1" ref="M8" ca="1">INDIRECT("'※ 소상공인 세부데이터'!"&amp;M$1&amp;$Z8, TRUE)</f>
        <v>99</v>
      </c>
      <c r="N8" s="4890" cm="1">
        <f t="array" aca="1" ref="N8" ca="1">INDIRECT("'※ 소상공인 세부데이터'!"&amp;N$1&amp;$Z8, TRUE)</f>
        <v>200</v>
      </c>
      <c r="O8" s="4890" cm="1">
        <f t="array" aca="1" ref="O8" ca="1">INDIRECT("'※ 소상공인 세부데이터'!"&amp;O$1&amp;$Z8, TRUE)</f>
        <v>186</v>
      </c>
      <c r="P8" s="4890" cm="1">
        <f t="array" aca="1" ref="P8" ca="1">INDIRECT("'※ 소상공인 세부데이터'!"&amp;P$1&amp;$Z8, TRUE)</f>
        <v>131</v>
      </c>
      <c r="Q8" s="4890" cm="1">
        <f t="array" aca="1" ref="Q8" ca="1">INDIRECT("'※ 소상공인 세부데이터'!"&amp;Q$1&amp;$Z8, TRUE)</f>
        <v>74</v>
      </c>
      <c r="R8" s="3064" cm="1">
        <f t="array" aca="1" ref="R8" ca="1">INDIRECT("'※ 소상공인 세부데이터'!"&amp;R$1&amp;$Z8, TRUE)</f>
        <v>-57</v>
      </c>
      <c r="S8" s="3065" cm="1">
        <f t="array" aca="1" ref="S8" ca="1">INDIRECT("'※ 소상공인 세부데이터'!"&amp;S$1&amp;$Z8, TRUE)</f>
        <v>-18</v>
      </c>
      <c r="T8" s="4893" cm="1">
        <f t="array" aca="1" ref="T8" ca="1">INDIRECT("'※ 소상공인 세부데이터'!"&amp;T$1&amp;$Z8, TRUE)</f>
        <v>1954</v>
      </c>
      <c r="U8" s="3067">
        <v>-1312</v>
      </c>
      <c r="V8" s="3067">
        <v>0.45333333333333331</v>
      </c>
      <c r="W8" s="3067" cm="1">
        <f t="array" aca="1" ref="W8" ca="1">INDIRECT("'※ 소상공인 세부데이터'!"&amp;W$1&amp;$Z8, TRUE)</f>
        <v>-554</v>
      </c>
      <c r="X8" s="4894" cm="1">
        <f t="array" aca="1" ref="X8" ca="1">INDIRECT("'※ 소상공인 세부데이터'!"&amp;X$1&amp;$Z8, TRUE)</f>
        <v>162.83333333333334</v>
      </c>
      <c r="Y8" s="4895" cm="1">
        <f t="array" aca="1" ref="Y8" ca="1">INDIRECT("'※ 소상공인 세부데이터'!"&amp;Y$1&amp;$Z8, TRUE)</f>
        <v>-18.5</v>
      </c>
      <c r="Z8" s="3693">
        <f>ROW('※ 소상공인 세부데이터'!J78)</f>
        <v>78</v>
      </c>
      <c r="AA8" s="3053"/>
    </row>
    <row r="9" spans="1:58" x14ac:dyDescent="0.55000000000000004">
      <c r="A9" s="7275"/>
      <c r="B9" s="3033" t="s">
        <v>164</v>
      </c>
      <c r="C9" s="4889"/>
      <c r="D9" s="4890" cm="1">
        <f t="array" aca="1" ref="D9" ca="1">INDIRECT("'※ 소상공인 세부데이터'!"&amp;D$1&amp;$Z9, TRUE)</f>
        <v>8419</v>
      </c>
      <c r="E9" s="4891" cm="1">
        <f t="array" aca="1" ref="E9" ca="1">INDIRECT("'※ 소상공인 세부데이터'!"&amp;E$1&amp;$Z9, TRUE)</f>
        <v>8850</v>
      </c>
      <c r="F9" s="4892" cm="1">
        <f t="array" aca="1" ref="F9" ca="1">INDIRECT("'※ 소상공인 세부데이터'!"&amp;F$1&amp;$Z9, TRUE)</f>
        <v>551</v>
      </c>
      <c r="G9" s="4890" cm="1">
        <f t="array" aca="1" ref="G9" ca="1">INDIRECT("'※ 소상공인 세부데이터'!"&amp;G$1&amp;$Z9, TRUE)</f>
        <v>529</v>
      </c>
      <c r="H9" s="4890" cm="1">
        <f t="array" aca="1" ref="H9" ca="1">INDIRECT("'※ 소상공인 세부데이터'!"&amp;H$1&amp;$Z9, TRUE)</f>
        <v>775</v>
      </c>
      <c r="I9" s="4890" cm="1">
        <f t="array" aca="1" ref="I9" ca="1">INDIRECT("'※ 소상공인 세부데이터'!"&amp;I$1&amp;$Z9, TRUE)</f>
        <v>791</v>
      </c>
      <c r="J9" s="4890" cm="1">
        <f t="array" aca="1" ref="J9" ca="1">INDIRECT("'※ 소상공인 세부데이터'!"&amp;J$1&amp;$Z9, TRUE)</f>
        <v>958</v>
      </c>
      <c r="K9" s="4890" cm="1">
        <f t="array" aca="1" ref="K9" ca="1">INDIRECT("'※ 소상공인 세부데이터'!"&amp;K$1&amp;$Z9, TRUE)</f>
        <v>807</v>
      </c>
      <c r="L9" s="4890" cm="1">
        <f t="array" aca="1" ref="L9" ca="1">INDIRECT("'※ 소상공인 세부데이터'!"&amp;L$1&amp;$Z9, TRUE)</f>
        <v>1071</v>
      </c>
      <c r="M9" s="4890" cm="1">
        <f t="array" aca="1" ref="M9" ca="1">INDIRECT("'※ 소상공인 세부데이터'!"&amp;M$1&amp;$Z9, TRUE)</f>
        <v>830</v>
      </c>
      <c r="N9" s="4890" cm="1">
        <f t="array" aca="1" ref="N9" ca="1">INDIRECT("'※ 소상공인 세부데이터'!"&amp;N$1&amp;$Z9, TRUE)</f>
        <v>887</v>
      </c>
      <c r="O9" s="4890" cm="1">
        <f t="array" aca="1" ref="O9" ca="1">INDIRECT("'※ 소상공인 세부데이터'!"&amp;O$1&amp;$Z9, TRUE)</f>
        <v>578</v>
      </c>
      <c r="P9" s="4890" cm="1">
        <f t="array" aca="1" ref="P9" ca="1">INDIRECT("'※ 소상공인 세부데이터'!"&amp;P$1&amp;$Z9, TRUE)</f>
        <v>487</v>
      </c>
      <c r="Q9" s="4890" cm="1">
        <f t="array" aca="1" ref="Q9" ca="1">INDIRECT("'※ 소상공인 세부데이터'!"&amp;Q$1&amp;$Z9, TRUE)</f>
        <v>381</v>
      </c>
      <c r="R9" s="3064" cm="1">
        <f t="array" aca="1" ref="R9" ca="1">INDIRECT("'※ 소상공인 세부데이터'!"&amp;R$1&amp;$Z9, TRUE)</f>
        <v>-106</v>
      </c>
      <c r="S9" s="3065" cm="1">
        <f t="array" aca="1" ref="S9" ca="1">INDIRECT("'※ 소상공인 세부데이터'!"&amp;S$1&amp;$Z9, TRUE)</f>
        <v>-152</v>
      </c>
      <c r="T9" s="4893" cm="1">
        <f t="array" aca="1" ref="T9" ca="1">INDIRECT("'※ 소상공인 세부데이터'!"&amp;T$1&amp;$Z9, TRUE)</f>
        <v>8645</v>
      </c>
      <c r="U9" s="3067">
        <v>-629</v>
      </c>
      <c r="V9" s="3067">
        <v>0.87671501372010974</v>
      </c>
      <c r="W9" s="3067" cm="1">
        <f t="array" aca="1" ref="W9" ca="1">INDIRECT("'※ 소상공인 세부데이터'!"&amp;W$1&amp;$Z9, TRUE)</f>
        <v>-205</v>
      </c>
      <c r="X9" s="4894" cm="1">
        <f t="array" aca="1" ref="X9" ca="1">INDIRECT("'※ 소상공인 세부데이터'!"&amp;X$1&amp;$Z9, TRUE)</f>
        <v>720.41666666666663</v>
      </c>
      <c r="Y9" s="4895" cm="1">
        <f t="array" aca="1" ref="Y9" ca="1">INDIRECT("'※ 소상공인 세부데이터'!"&amp;Y$1&amp;$Z9, TRUE)</f>
        <v>-25.083333333333371</v>
      </c>
      <c r="Z9" s="3693">
        <f>ROW('※ 소상공인 세부데이터'!J79)</f>
        <v>79</v>
      </c>
      <c r="AA9" s="3053"/>
    </row>
    <row r="10" spans="1:58" x14ac:dyDescent="0.55000000000000004">
      <c r="A10" s="7275"/>
      <c r="B10" s="3033" t="s">
        <v>165</v>
      </c>
      <c r="C10" s="4889"/>
      <c r="D10" s="4890" cm="1">
        <f t="array" aca="1" ref="D10" ca="1">INDIRECT("'※ 소상공인 세부데이터'!"&amp;D$1&amp;$Z10, TRUE)</f>
        <v>10334</v>
      </c>
      <c r="E10" s="4891" cm="1">
        <f t="array" aca="1" ref="E10" ca="1">INDIRECT("'※ 소상공인 세부데이터'!"&amp;E$1&amp;$Z10, TRUE)</f>
        <v>9959</v>
      </c>
      <c r="F10" s="4892" cm="1">
        <f t="array" aca="1" ref="F10" ca="1">INDIRECT("'※ 소상공인 세부데이터'!"&amp;F$1&amp;$Z10, TRUE)</f>
        <v>592</v>
      </c>
      <c r="G10" s="4890" cm="1">
        <f t="array" aca="1" ref="G10" ca="1">INDIRECT("'※ 소상공인 세부데이터'!"&amp;G$1&amp;$Z10, TRUE)</f>
        <v>662</v>
      </c>
      <c r="H10" s="4890" cm="1">
        <f t="array" aca="1" ref="H10" ca="1">INDIRECT("'※ 소상공인 세부데이터'!"&amp;H$1&amp;$Z10, TRUE)</f>
        <v>750</v>
      </c>
      <c r="I10" s="4890" cm="1">
        <f t="array" aca="1" ref="I10" ca="1">INDIRECT("'※ 소상공인 세부데이터'!"&amp;I$1&amp;$Z10, TRUE)</f>
        <v>845</v>
      </c>
      <c r="J10" s="4890" cm="1">
        <f t="array" aca="1" ref="J10" ca="1">INDIRECT("'※ 소상공인 세부데이터'!"&amp;J$1&amp;$Z10, TRUE)</f>
        <v>731</v>
      </c>
      <c r="K10" s="4890" cm="1">
        <f t="array" aca="1" ref="K10" ca="1">INDIRECT("'※ 소상공인 세부데이터'!"&amp;K$1&amp;$Z10, TRUE)</f>
        <v>987</v>
      </c>
      <c r="L10" s="4890" cm="1">
        <f t="array" aca="1" ref="L10" ca="1">INDIRECT("'※ 소상공인 세부데이터'!"&amp;L$1&amp;$Z10, TRUE)</f>
        <v>1307</v>
      </c>
      <c r="M10" s="4890" cm="1">
        <f t="array" aca="1" ref="M10" ca="1">INDIRECT("'※ 소상공인 세부데이터'!"&amp;M$1&amp;$Z10, TRUE)</f>
        <v>1446</v>
      </c>
      <c r="N10" s="4890" cm="1">
        <f t="array" aca="1" ref="N10" ca="1">INDIRECT("'※ 소상공인 세부데이터'!"&amp;N$1&amp;$Z10, TRUE)</f>
        <v>1370</v>
      </c>
      <c r="O10" s="4890" cm="1">
        <f t="array" aca="1" ref="O10" ca="1">INDIRECT("'※ 소상공인 세부데이터'!"&amp;O$1&amp;$Z10, TRUE)</f>
        <v>1339</v>
      </c>
      <c r="P10" s="4890" cm="1">
        <f t="array" aca="1" ref="P10" ca="1">INDIRECT("'※ 소상공인 세부데이터'!"&amp;P$1&amp;$Z10, TRUE)</f>
        <v>826</v>
      </c>
      <c r="Q10" s="4890" cm="1">
        <f t="array" aca="1" ref="Q10" ca="1">INDIRECT("'※ 소상공인 세부데이터'!"&amp;Q$1&amp;$Z10, TRUE)</f>
        <v>505</v>
      </c>
      <c r="R10" s="3064" cm="1">
        <f t="array" aca="1" ref="R10" ca="1">INDIRECT("'※ 소상공인 세부데이터'!"&amp;R$1&amp;$Z10, TRUE)</f>
        <v>-321</v>
      </c>
      <c r="S10" s="3065" cm="1">
        <f t="array" aca="1" ref="S10" ca="1">INDIRECT("'※ 소상공인 세부데이터'!"&amp;S$1&amp;$Z10, TRUE)</f>
        <v>-159</v>
      </c>
      <c r="T10" s="4893" cm="1">
        <f t="array" aca="1" ref="T10" ca="1">INDIRECT("'※ 소상공인 세부데이터'!"&amp;T$1&amp;$Z10, TRUE)</f>
        <v>11360</v>
      </c>
      <c r="U10" s="3067">
        <v>-850</v>
      </c>
      <c r="V10" s="3067">
        <v>0.84212481426448738</v>
      </c>
      <c r="W10" s="3067" cm="1">
        <f t="array" aca="1" ref="W10" ca="1">INDIRECT("'※ 소상공인 세부데이터'!"&amp;W$1&amp;$Z10, TRUE)</f>
        <v>1401</v>
      </c>
      <c r="X10" s="4894" cm="1">
        <f t="array" aca="1" ref="X10" ca="1">INDIRECT("'※ 소상공인 세부데이터'!"&amp;X$1&amp;$Z10, TRUE)</f>
        <v>946.66666666666663</v>
      </c>
      <c r="Y10" s="4895" cm="1">
        <f t="array" aca="1" ref="Y10" ca="1">INDIRECT("'※ 소상공인 세부데이터'!"&amp;Y$1&amp;$Z10, TRUE)</f>
        <v>191.16666666666663</v>
      </c>
      <c r="Z10" s="3693">
        <f>ROW('※ 소상공인 세부데이터'!J80)</f>
        <v>80</v>
      </c>
      <c r="AA10" s="3053"/>
    </row>
    <row r="11" spans="1:58" x14ac:dyDescent="0.55000000000000004">
      <c r="A11" s="7275"/>
      <c r="B11" s="3033"/>
      <c r="C11" s="4896" t="s">
        <v>541</v>
      </c>
      <c r="D11" s="4890" cm="1">
        <f t="array" aca="1" ref="D11" ca="1">INDIRECT("'※ 소상공인 세부데이터'!"&amp;D$1&amp;$Z11, TRUE)</f>
        <v>3719</v>
      </c>
      <c r="E11" s="4891" cm="1">
        <f t="array" aca="1" ref="E11" ca="1">INDIRECT("'※ 소상공인 세부데이터'!"&amp;E$1&amp;$Z11, TRUE)</f>
        <v>4511</v>
      </c>
      <c r="F11" s="4892" cm="1">
        <f t="array" aca="1" ref="F11" ca="1">INDIRECT("'※ 소상공인 세부데이터'!"&amp;F$1&amp;$Z11, TRUE)</f>
        <v>276</v>
      </c>
      <c r="G11" s="4890" cm="1">
        <f t="array" aca="1" ref="G11" ca="1">INDIRECT("'※ 소상공인 세부데이터'!"&amp;G$1&amp;$Z11, TRUE)</f>
        <v>282</v>
      </c>
      <c r="H11" s="4890" cm="1">
        <f t="array" aca="1" ref="H11" ca="1">INDIRECT("'※ 소상공인 세부데이터'!"&amp;H$1&amp;$Z11, TRUE)</f>
        <v>347</v>
      </c>
      <c r="I11" s="4890" cm="1">
        <f t="array" aca="1" ref="I11" ca="1">INDIRECT("'※ 소상공인 세부데이터'!"&amp;I$1&amp;$Z11, TRUE)</f>
        <v>403</v>
      </c>
      <c r="J11" s="4890" cm="1">
        <f t="array" aca="1" ref="J11" ca="1">INDIRECT("'※ 소상공인 세부데이터'!"&amp;J$1&amp;$Z11, TRUE)</f>
        <v>527</v>
      </c>
      <c r="K11" s="4890" cm="1">
        <f t="array" aca="1" ref="K11" ca="1">INDIRECT("'※ 소상공인 세부데이터'!"&amp;K$1&amp;$Z11, TRUE)</f>
        <v>356</v>
      </c>
      <c r="L11" s="4890" cm="1">
        <f t="array" aca="1" ref="L11" ca="1">INDIRECT("'※ 소상공인 세부데이터'!"&amp;L$1&amp;$Z11, TRUE)</f>
        <v>648</v>
      </c>
      <c r="M11" s="4890" cm="1">
        <f t="array" aca="1" ref="M11" ca="1">INDIRECT("'※ 소상공인 세부데이터'!"&amp;M$1&amp;$Z11, TRUE)</f>
        <v>349</v>
      </c>
      <c r="N11" s="4890" cm="1">
        <f t="array" aca="1" ref="N11" ca="1">INDIRECT("'※ 소상공인 세부데이터'!"&amp;N$1&amp;$Z11, TRUE)</f>
        <v>373</v>
      </c>
      <c r="O11" s="4890" cm="1">
        <f t="array" aca="1" ref="O11" ca="1">INDIRECT("'※ 소상공인 세부데이터'!"&amp;O$1&amp;$Z11, TRUE)</f>
        <v>191</v>
      </c>
      <c r="P11" s="4890" cm="1">
        <f t="array" aca="1" ref="P11" ca="1">INDIRECT("'※ 소상공인 세부데이터'!"&amp;P$1&amp;$Z11, TRUE)</f>
        <v>161</v>
      </c>
      <c r="Q11" s="4890" cm="1">
        <f t="array" aca="1" ref="Q11" ca="1">INDIRECT("'※ 소상공인 세부데이터'!"&amp;Q$1&amp;$Z11, TRUE)</f>
        <v>128</v>
      </c>
      <c r="R11" s="3064" cm="1">
        <f t="array" aca="1" ref="R11" ca="1">INDIRECT("'※ 소상공인 세부데이터'!"&amp;R$1&amp;$Z11, TRUE)</f>
        <v>-33</v>
      </c>
      <c r="S11" s="3065" cm="1">
        <f t="array" aca="1" ref="S11" ca="1">INDIRECT("'※ 소상공인 세부데이터'!"&amp;S$1&amp;$Z11, TRUE)</f>
        <v>-137</v>
      </c>
      <c r="T11" s="4893" cm="1">
        <f t="array" aca="1" ref="T11" ca="1">INDIRECT("'※ 소상공인 세부데이터'!"&amp;T$1&amp;$Z11, TRUE)</f>
        <v>4041</v>
      </c>
      <c r="U11" s="3067">
        <v>-495</v>
      </c>
      <c r="V11" s="3067">
        <v>0.77842435094001794</v>
      </c>
      <c r="W11" s="3067" cm="1">
        <f t="array" aca="1" ref="W11" ca="1">INDIRECT("'※ 소상공인 세부데이터'!"&amp;W$1&amp;$Z11, TRUE)</f>
        <v>-470</v>
      </c>
      <c r="X11" s="4894" cm="1">
        <f t="array" aca="1" ref="X11" ca="1">INDIRECT("'※ 소상공인 세부데이터'!"&amp;X$1&amp;$Z11, TRUE)</f>
        <v>336.75</v>
      </c>
      <c r="Y11" s="4895" cm="1">
        <f t="array" aca="1" ref="Y11" ca="1">INDIRECT("'※ 소상공인 세부데이터'!"&amp;Y$1&amp;$Z11, TRUE)</f>
        <v>47.083333333333314</v>
      </c>
      <c r="Z11" s="3693">
        <f>ROW('※ 소상공인 세부데이터'!J81)</f>
        <v>81</v>
      </c>
      <c r="AA11" s="3053"/>
    </row>
    <row r="12" spans="1:58" x14ac:dyDescent="0.55000000000000004">
      <c r="A12" s="7275"/>
      <c r="B12" s="3033"/>
      <c r="C12" s="4896" t="s">
        <v>542</v>
      </c>
      <c r="D12" s="4890" cm="1">
        <f t="array" aca="1" ref="D12" ca="1">INDIRECT("'※ 소상공인 세부데이터'!"&amp;D$1&amp;$Z12, TRUE)</f>
        <v>6615</v>
      </c>
      <c r="E12" s="4891" cm="1">
        <f t="array" aca="1" ref="E12" ca="1">INDIRECT("'※ 소상공인 세부데이터'!"&amp;E$1&amp;$Z12, TRUE)</f>
        <v>5448</v>
      </c>
      <c r="F12" s="4892" cm="1">
        <f t="array" aca="1" ref="F12" ca="1">INDIRECT("'※ 소상공인 세부데이터'!"&amp;F$1&amp;$Z12, TRUE)</f>
        <v>316</v>
      </c>
      <c r="G12" s="4890" cm="1">
        <f t="array" aca="1" ref="G12" ca="1">INDIRECT("'※ 소상공인 세부데이터'!"&amp;G$1&amp;$Z12, TRUE)</f>
        <v>380</v>
      </c>
      <c r="H12" s="4890" cm="1">
        <f t="array" aca="1" ref="H12" ca="1">INDIRECT("'※ 소상공인 세부데이터'!"&amp;H$1&amp;$Z12, TRUE)</f>
        <v>403</v>
      </c>
      <c r="I12" s="4890" cm="1">
        <f t="array" aca="1" ref="I12" ca="1">INDIRECT("'※ 소상공인 세부데이터'!"&amp;I$1&amp;$Z12, TRUE)</f>
        <v>442</v>
      </c>
      <c r="J12" s="4890" cm="1">
        <f t="array" aca="1" ref="J12" ca="1">INDIRECT("'※ 소상공인 세부데이터'!"&amp;J$1&amp;$Z12, TRUE)</f>
        <v>204</v>
      </c>
      <c r="K12" s="4890" cm="1">
        <f t="array" aca="1" ref="K12" ca="1">INDIRECT("'※ 소상공인 세부데이터'!"&amp;K$1&amp;$Z12, TRUE)</f>
        <v>631</v>
      </c>
      <c r="L12" s="4890" cm="1">
        <f t="array" aca="1" ref="L12" ca="1">INDIRECT("'※ 소상공인 세부데이터'!"&amp;L$1&amp;$Z12, TRUE)</f>
        <v>659</v>
      </c>
      <c r="M12" s="4890" cm="1">
        <f t="array" aca="1" ref="M12" ca="1">INDIRECT("'※ 소상공인 세부데이터'!"&amp;M$1&amp;$Z12, TRUE)</f>
        <v>1097</v>
      </c>
      <c r="N12" s="4890" cm="1">
        <f t="array" aca="1" ref="N12" ca="1">INDIRECT("'※ 소상공인 세부데이터'!"&amp;N$1&amp;$Z12, TRUE)</f>
        <v>997</v>
      </c>
      <c r="O12" s="4890" cm="1">
        <f t="array" aca="1" ref="O12" ca="1">INDIRECT("'※ 소상공인 세부데이터'!"&amp;O$1&amp;$Z12, TRUE)</f>
        <v>1148</v>
      </c>
      <c r="P12" s="4890" cm="1">
        <f t="array" aca="1" ref="P12" ca="1">INDIRECT("'※ 소상공인 세부데이터'!"&amp;P$1&amp;$Z12, TRUE)</f>
        <v>665</v>
      </c>
      <c r="Q12" s="4890" cm="1">
        <f t="array" aca="1" ref="Q12" ca="1">INDIRECT("'※ 소상공인 세부데이터'!"&amp;Q$1&amp;$Z12, TRUE)</f>
        <v>377</v>
      </c>
      <c r="R12" s="3064" cm="1">
        <f t="array" aca="1" ref="R12" ca="1">INDIRECT("'※ 소상공인 세부데이터'!"&amp;R$1&amp;$Z12, TRUE)</f>
        <v>-288</v>
      </c>
      <c r="S12" s="3065" cm="1">
        <f t="array" aca="1" ref="S12" ca="1">INDIRECT("'※ 소상공인 세부데이터'!"&amp;S$1&amp;$Z12, TRUE)</f>
        <v>-22</v>
      </c>
      <c r="T12" s="4893" cm="1">
        <f t="array" aca="1" ref="T12" ca="1">INDIRECT("'※ 소상공인 세부데이터'!"&amp;T$1&amp;$Z12, TRUE)</f>
        <v>7319</v>
      </c>
      <c r="U12" s="3067">
        <v>-355</v>
      </c>
      <c r="V12" s="3067">
        <v>0.88730158730158726</v>
      </c>
      <c r="W12" s="3067" cm="1">
        <f t="array" aca="1" ref="W12" ca="1">INDIRECT("'※ 소상공인 세부데이터'!"&amp;W$1&amp;$Z12, TRUE)</f>
        <v>1871</v>
      </c>
      <c r="X12" s="4894" cm="1">
        <f t="array" aca="1" ref="X12" ca="1">INDIRECT("'※ 소상공인 세부데이터'!"&amp;X$1&amp;$Z12, TRUE)</f>
        <v>609.91666666666663</v>
      </c>
      <c r="Y12" s="4895" cm="1">
        <f t="array" aca="1" ref="Y12" ca="1">INDIRECT("'※ 소상공인 세부데이터'!"&amp;Y$1&amp;$Z12, TRUE)</f>
        <v>144.08333333333331</v>
      </c>
      <c r="Z12" s="3693">
        <f>ROW('※ 소상공인 세부데이터'!J82)</f>
        <v>82</v>
      </c>
      <c r="AA12" s="3053"/>
    </row>
    <row r="13" spans="1:58" x14ac:dyDescent="0.55000000000000004">
      <c r="A13" s="7275"/>
      <c r="B13" s="4897" t="s">
        <v>166</v>
      </c>
      <c r="C13" s="4898"/>
      <c r="D13" s="4899" t="s">
        <v>483</v>
      </c>
      <c r="E13" s="4900" cm="1">
        <f t="array" aca="1" ref="E13" ca="1">INDIRECT("'※ 소상공인 세부데이터'!"&amp;E$1&amp;$Z13, TRUE)</f>
        <v>985</v>
      </c>
      <c r="F13" s="4901" cm="1">
        <f t="array" aca="1" ref="F13" ca="1">INDIRECT("'※ 소상공인 세부데이터'!"&amp;F$1&amp;$Z13, TRUE)</f>
        <v>28</v>
      </c>
      <c r="G13" s="4899" cm="1">
        <f t="array" aca="1" ref="G13" ca="1">INDIRECT("'※ 소상공인 세부데이터'!"&amp;G$1&amp;$Z13, TRUE)</f>
        <v>93</v>
      </c>
      <c r="H13" s="4899" cm="1">
        <f t="array" aca="1" ref="H13" ca="1">INDIRECT("'※ 소상공인 세부데이터'!"&amp;H$1&amp;$Z13, TRUE)</f>
        <v>84</v>
      </c>
      <c r="I13" s="4899" cm="1">
        <f t="array" aca="1" ref="I13" ca="1">INDIRECT("'※ 소상공인 세부데이터'!"&amp;I$1&amp;$Z13, TRUE)</f>
        <v>87</v>
      </c>
      <c r="J13" s="4899" cm="1">
        <f t="array" aca="1" ref="J13" ca="1">INDIRECT("'※ 소상공인 세부데이터'!"&amp;J$1&amp;$Z13, TRUE)</f>
        <v>147</v>
      </c>
      <c r="K13" s="4899" cm="1">
        <f t="array" aca="1" ref="K13" ca="1">INDIRECT("'※ 소상공인 세부데이터'!"&amp;K$1&amp;$Z13, TRUE)</f>
        <v>83</v>
      </c>
      <c r="L13" s="4899" cm="1">
        <f t="array" aca="1" ref="L13" ca="1">INDIRECT("'※ 소상공인 세부데이터'!"&amp;L$1&amp;$Z13, TRUE)</f>
        <v>261</v>
      </c>
      <c r="M13" s="4899" cm="1">
        <f t="array" aca="1" ref="M13" ca="1">INDIRECT("'※ 소상공인 세부데이터'!"&amp;M$1&amp;$Z13, TRUE)</f>
        <v>80</v>
      </c>
      <c r="N13" s="4899" cm="1">
        <f t="array" aca="1" ref="N13" ca="1">INDIRECT("'※ 소상공인 세부데이터'!"&amp;N$1&amp;$Z13, TRUE)</f>
        <v>94</v>
      </c>
      <c r="O13" s="4899" cm="1">
        <f t="array" aca="1" ref="O13" ca="1">INDIRECT("'※ 소상공인 세부데이터'!"&amp;O$1&amp;$Z13, TRUE)</f>
        <v>101</v>
      </c>
      <c r="P13" s="4899" cm="1">
        <f t="array" aca="1" ref="P13" ca="1">INDIRECT("'※ 소상공인 세부데이터'!"&amp;P$1&amp;$Z13, TRUE)</f>
        <v>65</v>
      </c>
      <c r="Q13" s="4899" cm="1">
        <f t="array" aca="1" ref="Q13" ca="1">INDIRECT("'※ 소상공인 세부데이터'!"&amp;Q$1&amp;$Z13, TRUE)</f>
        <v>24</v>
      </c>
      <c r="R13" s="4902" cm="1">
        <f t="array" aca="1" ref="R13" ca="1">INDIRECT("'※ 소상공인 세부데이터'!"&amp;R$1&amp;$Z13, TRUE)</f>
        <v>-41</v>
      </c>
      <c r="S13" s="4903" cm="1">
        <f t="array" aca="1" ref="S13" ca="1">INDIRECT("'※ 소상공인 세부데이터'!"&amp;S$1&amp;$Z13, TRUE)</f>
        <v>-5</v>
      </c>
      <c r="T13" s="4904" cm="1">
        <f t="array" aca="1" ref="T13" ca="1">INDIRECT("'※ 소상공인 세부데이터'!"&amp;T$1&amp;$Z13, TRUE)</f>
        <v>1147</v>
      </c>
      <c r="U13" s="4905"/>
      <c r="V13" s="4905"/>
      <c r="W13" s="4906" cm="1">
        <f t="array" aca="1" ref="W13" ca="1">INDIRECT("'※ 소상공인 세부데이터'!"&amp;W$1&amp;$Z13, TRUE)</f>
        <v>162</v>
      </c>
      <c r="X13" s="4907" cm="1">
        <f t="array" aca="1" ref="X13" ca="1">INDIRECT("'※ 소상공인 세부데이터'!"&amp;X$1&amp;$Z13, TRUE)</f>
        <v>95.583333333333329</v>
      </c>
      <c r="Y13" s="4908" cm="1">
        <f t="array" aca="1" ref="Y13" ca="1">INDIRECT("'※ 소상공인 세부데이터'!"&amp;Y$1&amp;$Z13, TRUE)</f>
        <v>3.5833333333333286</v>
      </c>
      <c r="Z13" s="3693">
        <f>ROW('※ 소상공인 세부데이터'!J83)</f>
        <v>83</v>
      </c>
      <c r="AA13" s="3053"/>
    </row>
    <row r="14" spans="1:58" x14ac:dyDescent="0.55000000000000004">
      <c r="A14" s="7275"/>
      <c r="B14" s="3033" t="s">
        <v>957</v>
      </c>
      <c r="C14" s="4889"/>
      <c r="D14" s="4890" cm="1">
        <f t="array" aca="1" ref="D14" ca="1">INDIRECT("'※ 소상공인 세부데이터'!"&amp;D$1&amp;$Z14, TRUE)</f>
        <v>111</v>
      </c>
      <c r="E14" s="4891" cm="1">
        <f t="array" aca="1" ref="E14" ca="1">INDIRECT("'※ 소상공인 세부데이터'!"&amp;E$1&amp;$Z14, TRUE)</f>
        <v>484</v>
      </c>
      <c r="F14" s="4892" cm="1">
        <f t="array" aca="1" ref="F14" ca="1">INDIRECT("'※ 소상공인 세부데이터'!"&amp;F$1&amp;$Z14, TRUE)</f>
        <v>21</v>
      </c>
      <c r="G14" s="4890" cm="1">
        <f t="array" aca="1" ref="G14" ca="1">INDIRECT("'※ 소상공인 세부데이터'!"&amp;G$1&amp;$Z14, TRUE)</f>
        <v>41</v>
      </c>
      <c r="H14" s="4890" cm="1">
        <f t="array" aca="1" ref="H14" ca="1">INDIRECT("'※ 소상공인 세부데이터'!"&amp;H$1&amp;$Z14, TRUE)</f>
        <v>49</v>
      </c>
      <c r="I14" s="4890" cm="1">
        <f t="array" aca="1" ref="I14" ca="1">INDIRECT("'※ 소상공인 세부데이터'!"&amp;I$1&amp;$Z14, TRUE)</f>
        <v>84</v>
      </c>
      <c r="J14" s="4890" cm="1">
        <f t="array" aca="1" ref="J14" ca="1">INDIRECT("'※ 소상공인 세부데이터'!"&amp;J$1&amp;$Z14, TRUE)</f>
        <v>70</v>
      </c>
      <c r="K14" s="4890" cm="1">
        <f t="array" aca="1" ref="K14" ca="1">INDIRECT("'※ 소상공인 세부데이터'!"&amp;K$1&amp;$Z14, TRUE)</f>
        <v>56</v>
      </c>
      <c r="L14" s="4890" cm="1">
        <f t="array" aca="1" ref="L14" ca="1">INDIRECT("'※ 소상공인 세부데이터'!"&amp;L$1&amp;$Z14, TRUE)</f>
        <v>50</v>
      </c>
      <c r="M14" s="4890" cm="1">
        <f t="array" aca="1" ref="M14" ca="1">INDIRECT("'※ 소상공인 세부데이터'!"&amp;M$1&amp;$Z14, TRUE)</f>
        <v>49</v>
      </c>
      <c r="N14" s="4890" cm="1">
        <f t="array" aca="1" ref="N14" ca="1">INDIRECT("'※ 소상공인 세부데이터'!"&amp;N$1&amp;$Z14, TRUE)</f>
        <v>77</v>
      </c>
      <c r="O14" s="4890" cm="1">
        <f t="array" aca="1" ref="O14" ca="1">INDIRECT("'※ 소상공인 세부데이터'!"&amp;O$1&amp;$Z14, TRUE)</f>
        <v>51</v>
      </c>
      <c r="P14" s="4890" cm="1">
        <f t="array" aca="1" ref="P14" ca="1">INDIRECT("'※ 소상공인 세부데이터'!"&amp;P$1&amp;$Z14, TRUE)</f>
        <v>41</v>
      </c>
      <c r="Q14" s="4890" cm="1">
        <f t="array" aca="1" ref="Q14" ca="1">INDIRECT("'※ 소상공인 세부데이터'!"&amp;Q$1&amp;$Z14, TRUE)</f>
        <v>34</v>
      </c>
      <c r="R14" s="3064" cm="1">
        <f t="array" aca="1" ref="R14" ca="1">INDIRECT("'※ 소상공인 세부데이터'!"&amp;R$1&amp;$Z14, TRUE)</f>
        <v>-7</v>
      </c>
      <c r="S14" s="3065" cm="1">
        <f t="array" aca="1" ref="S14" ca="1">INDIRECT("'※ 소상공인 세부데이터'!"&amp;S$1&amp;$Z14, TRUE)</f>
        <v>-1</v>
      </c>
      <c r="T14" s="4893" cm="1">
        <f t="array" aca="1" ref="T14" ca="1">INDIRECT("'※ 소상공인 세부데이터'!"&amp;T$1&amp;$Z14, TRUE)</f>
        <v>623</v>
      </c>
      <c r="U14" s="4909"/>
      <c r="V14" s="4909"/>
      <c r="W14" s="3067" cm="1">
        <f t="array" aca="1" ref="W14" ca="1">INDIRECT("'※ 소상공인 세부데이터'!"&amp;W$1&amp;$Z14, TRUE)</f>
        <v>139</v>
      </c>
      <c r="X14" s="4894" cm="1">
        <f t="array" aca="1" ref="X14" ca="1">INDIRECT("'※ 소상공인 세부데이터'!"&amp;X$1&amp;$Z14, TRUE)</f>
        <v>51.916666666666664</v>
      </c>
      <c r="Y14" s="4895" cm="1">
        <f t="array" aca="1" ref="Y14" ca="1">INDIRECT("'※ 소상공인 세부데이터'!"&amp;Y$1&amp;$Z14, TRUE)</f>
        <v>20.583333333333332</v>
      </c>
      <c r="Z14" s="3693">
        <f>ROW('※ 소상공인 세부데이터'!J84)</f>
        <v>84</v>
      </c>
      <c r="AA14" s="3053"/>
    </row>
    <row r="15" spans="1:58" x14ac:dyDescent="0.55000000000000004">
      <c r="A15" s="7275"/>
      <c r="B15" s="3033"/>
      <c r="C15" s="4896" t="s">
        <v>543</v>
      </c>
      <c r="D15" s="4890" cm="1">
        <f t="array" aca="1" ref="D15" ca="1">INDIRECT("'※ 소상공인 세부데이터'!"&amp;D$1&amp;$Z15, TRUE)</f>
        <v>1888</v>
      </c>
      <c r="E15" s="4891" cm="1">
        <f t="array" aca="1" ref="E15" ca="1">INDIRECT("'※ 소상공인 세부데이터'!"&amp;E$1&amp;$Z15, TRUE)</f>
        <v>7002</v>
      </c>
      <c r="F15" s="4892" cm="1">
        <f t="array" aca="1" ref="F15" ca="1">INDIRECT("'※ 소상공인 세부데이터'!"&amp;F$1&amp;$Z15, TRUE)</f>
        <v>313</v>
      </c>
      <c r="G15" s="4890" cm="1">
        <f t="array" aca="1" ref="G15" ca="1">INDIRECT("'※ 소상공인 세부데이터'!"&amp;G$1&amp;$Z15, TRUE)</f>
        <v>669</v>
      </c>
      <c r="H15" s="4890" cm="1">
        <f t="array" aca="1" ref="H15" ca="1">INDIRECT("'※ 소상공인 세부데이터'!"&amp;H$1&amp;$Z15, TRUE)</f>
        <v>803</v>
      </c>
      <c r="I15" s="4890" cm="1">
        <f t="array" aca="1" ref="I15" ca="1">INDIRECT("'※ 소상공인 세부데이터'!"&amp;I$1&amp;$Z15, TRUE)</f>
        <v>1178</v>
      </c>
      <c r="J15" s="4890" cm="1">
        <f t="array" aca="1" ref="J15" ca="1">INDIRECT("'※ 소상공인 세부데이터'!"&amp;J$1&amp;$Z15, TRUE)</f>
        <v>1081</v>
      </c>
      <c r="K15" s="4890" cm="1">
        <f t="array" aca="1" ref="K15" ca="1">INDIRECT("'※ 소상공인 세부데이터'!"&amp;K$1&amp;$Z15, TRUE)</f>
        <v>883</v>
      </c>
      <c r="L15" s="4890" cm="1">
        <f t="array" aca="1" ref="L15" ca="1">INDIRECT("'※ 소상공인 세부데이터'!"&amp;L$1&amp;$Z15, TRUE)</f>
        <v>768</v>
      </c>
      <c r="M15" s="4890" cm="1">
        <f t="array" aca="1" ref="M15" ca="1">INDIRECT("'※ 소상공인 세부데이터'!"&amp;M$1&amp;$Z15, TRUE)</f>
        <v>661</v>
      </c>
      <c r="N15" s="4890" cm="1">
        <f t="array" aca="1" ref="N15" ca="1">INDIRECT("'※ 소상공인 세부데이터'!"&amp;N$1&amp;$Z15, TRUE)</f>
        <v>1263</v>
      </c>
      <c r="O15" s="4890" cm="1">
        <f t="array" aca="1" ref="O15" ca="1">INDIRECT("'※ 소상공인 세부데이터'!"&amp;O$1&amp;$Z15, TRUE)</f>
        <v>748</v>
      </c>
      <c r="P15" s="4890" cm="1">
        <f t="array" aca="1" ref="P15" ca="1">INDIRECT("'※ 소상공인 세부데이터'!"&amp;P$1&amp;$Z15, TRUE)</f>
        <v>591</v>
      </c>
      <c r="Q15" s="4890" cm="1">
        <f t="array" aca="1" ref="Q15" ca="1">INDIRECT("'※ 소상공인 세부데이터'!"&amp;Q$1&amp;$Z15, TRUE)</f>
        <v>543</v>
      </c>
      <c r="R15" s="3064" cm="1">
        <f t="array" aca="1" ref="R15" ca="1">INDIRECT("'※ 소상공인 세부데이터'!"&amp;R$1&amp;$Z15, TRUE)</f>
        <v>-48</v>
      </c>
      <c r="S15" s="3065" cm="1">
        <f t="array" aca="1" ref="S15" ca="1">INDIRECT("'※ 소상공인 세부데이터'!"&amp;S$1&amp;$Z15, TRUE)</f>
        <v>88</v>
      </c>
      <c r="T15" s="4893" cm="1">
        <f t="array" aca="1" ref="T15" ca="1">INDIRECT("'※ 소상공인 세부데이터'!"&amp;T$1&amp;$Z15, TRUE)</f>
        <v>9501</v>
      </c>
      <c r="U15" s="4910">
        <v>1454</v>
      </c>
      <c r="V15" s="4911">
        <v>2.1073876618431076</v>
      </c>
      <c r="W15" s="3067" cm="1">
        <f t="array" aca="1" ref="W15" ca="1">INDIRECT("'※ 소상공인 세부데이터'!"&amp;W$1&amp;$Z15, TRUE)</f>
        <v>2499</v>
      </c>
      <c r="X15" s="4894" cm="1">
        <f t="array" aca="1" ref="X15" ca="1">INDIRECT("'※ 소상공인 세부데이터'!"&amp;X$1&amp;$Z15, TRUE)</f>
        <v>791.75</v>
      </c>
      <c r="Y15" s="4895" cm="1">
        <f t="array" aca="1" ref="Y15" ca="1">INDIRECT("'※ 소상공인 세부데이터'!"&amp;Y$1&amp;$Z15, TRUE)</f>
        <v>330.58333333333331</v>
      </c>
      <c r="Z15" s="3693">
        <f>ROW('※ 소상공인 세부데이터'!J85)</f>
        <v>85</v>
      </c>
      <c r="AA15" s="3053"/>
    </row>
    <row r="16" spans="1:58" x14ac:dyDescent="0.55000000000000004">
      <c r="A16" s="7275"/>
      <c r="B16" s="3033" t="s">
        <v>167</v>
      </c>
      <c r="C16" s="4889"/>
      <c r="D16" s="4890" cm="1">
        <f t="array" aca="1" ref="D16" ca="1">INDIRECT("'※ 소상공인 세부데이터'!"&amp;D$1&amp;$Z16, TRUE)</f>
        <v>15</v>
      </c>
      <c r="E16" s="4891" cm="1">
        <f t="array" aca="1" ref="E16" ca="1">INDIRECT("'※ 소상공인 세부데이터'!"&amp;E$1&amp;$Z16, TRUE)</f>
        <v>64</v>
      </c>
      <c r="F16" s="4892" cm="1">
        <f t="array" aca="1" ref="F16" ca="1">INDIRECT("'※ 소상공인 세부데이터'!"&amp;F$1&amp;$Z16, TRUE)</f>
        <v>1</v>
      </c>
      <c r="G16" s="4890" cm="1">
        <f t="array" aca="1" ref="G16" ca="1">INDIRECT("'※ 소상공인 세부데이터'!"&amp;G$1&amp;$Z16, TRUE)</f>
        <v>2</v>
      </c>
      <c r="H16" s="4890" cm="1">
        <f t="array" aca="1" ref="H16" ca="1">INDIRECT("'※ 소상공인 세부데이터'!"&amp;H$1&amp;$Z16, TRUE)</f>
        <v>8</v>
      </c>
      <c r="I16" s="4890" cm="1">
        <f t="array" aca="1" ref="I16" ca="1">INDIRECT("'※ 소상공인 세부데이터'!"&amp;I$1&amp;$Z16, TRUE)</f>
        <v>3</v>
      </c>
      <c r="J16" s="4890" cm="1">
        <f t="array" aca="1" ref="J16" ca="1">INDIRECT("'※ 소상공인 세부데이터'!"&amp;J$1&amp;$Z16, TRUE)</f>
        <v>15</v>
      </c>
      <c r="K16" s="4890" cm="1">
        <f t="array" aca="1" ref="K16" ca="1">INDIRECT("'※ 소상공인 세부데이터'!"&amp;K$1&amp;$Z16, TRUE)</f>
        <v>0</v>
      </c>
      <c r="L16" s="4890" cm="1">
        <f t="array" aca="1" ref="L16" ca="1">INDIRECT("'※ 소상공인 세부데이터'!"&amp;L$1&amp;$Z16, TRUE)</f>
        <v>1</v>
      </c>
      <c r="M16" s="4890" cm="1">
        <f t="array" aca="1" ref="M16" ca="1">INDIRECT("'※ 소상공인 세부데이터'!"&amp;M$1&amp;$Z16, TRUE)</f>
        <v>3</v>
      </c>
      <c r="N16" s="4890" cm="1">
        <f t="array" aca="1" ref="N16" ca="1">INDIRECT("'※ 소상공인 세부데이터'!"&amp;N$1&amp;$Z16, TRUE)</f>
        <v>3</v>
      </c>
      <c r="O16" s="4890" cm="1">
        <f t="array" aca="1" ref="O16" ca="1">INDIRECT("'※ 소상공인 세부데이터'!"&amp;O$1&amp;$Z16, TRUE)</f>
        <v>0</v>
      </c>
      <c r="P16" s="4890" cm="1">
        <f t="array" aca="1" ref="P16" ca="1">INDIRECT("'※ 소상공인 세부데이터'!"&amp;P$1&amp;$Z16, TRUE)</f>
        <v>2</v>
      </c>
      <c r="Q16" s="4890" cm="1">
        <f t="array" aca="1" ref="Q16" ca="1">INDIRECT("'※ 소상공인 세부데이터'!"&amp;Q$1&amp;$Z16, TRUE)</f>
        <v>0</v>
      </c>
      <c r="R16" s="3064" cm="1">
        <f t="array" aca="1" ref="R16" ca="1">INDIRECT("'※ 소상공인 세부데이터'!"&amp;R$1&amp;$Z16, TRUE)</f>
        <v>-2</v>
      </c>
      <c r="S16" s="3065" cm="1">
        <f t="array" aca="1" ref="S16" ca="1">INDIRECT("'※ 소상공인 세부데이터'!"&amp;S$1&amp;$Z16, TRUE)</f>
        <v>0</v>
      </c>
      <c r="T16" s="4893" cm="1">
        <f t="array" aca="1" ref="T16" ca="1">INDIRECT("'※ 소상공인 세부데이터'!"&amp;T$1&amp;$Z16, TRUE)</f>
        <v>38</v>
      </c>
      <c r="U16" s="4909"/>
      <c r="V16" s="4909"/>
      <c r="W16" s="3067" cm="1">
        <f t="array" aca="1" ref="W16" ca="1">INDIRECT("'※ 소상공인 세부데이터'!"&amp;W$1&amp;$Z16, TRUE)</f>
        <v>-26</v>
      </c>
      <c r="X16" s="4894" cm="1">
        <f t="array" aca="1" ref="X16" ca="1">INDIRECT("'※ 소상공인 세부데이터'!"&amp;X$1&amp;$Z16, TRUE)</f>
        <v>3.1666666666666665</v>
      </c>
      <c r="Y16" s="4895" cm="1">
        <f t="array" aca="1" ref="Y16" ca="1">INDIRECT("'※ 소상공인 세부데이터'!"&amp;Y$1&amp;$Z16, TRUE)</f>
        <v>-0.33333333333333348</v>
      </c>
      <c r="Z16" s="3693">
        <f>ROW('※ 소상공인 세부데이터'!J86)</f>
        <v>86</v>
      </c>
      <c r="AA16" s="3053"/>
    </row>
    <row r="17" spans="1:27" ht="18" customHeight="1" x14ac:dyDescent="0.55000000000000004">
      <c r="A17" s="7276"/>
      <c r="B17" s="4912" t="s">
        <v>168</v>
      </c>
      <c r="C17" s="4913"/>
      <c r="D17" s="4914" t="s">
        <v>483</v>
      </c>
      <c r="E17" s="4915" cm="1">
        <f t="array" aca="1" ref="E17" ca="1">INDIRECT("'※ 소상공인 세부데이터'!"&amp;E$1&amp;$Z17, TRUE)</f>
        <v>3467</v>
      </c>
      <c r="F17" s="4916" cm="1">
        <f t="array" aca="1" ref="F17" ca="1">INDIRECT("'※ 소상공인 세부데이터'!"&amp;F$1&amp;$Z17, TRUE)</f>
        <v>145</v>
      </c>
      <c r="G17" s="4914" cm="1">
        <f t="array" aca="1" ref="G17" ca="1">INDIRECT("'※ 소상공인 세부데이터'!"&amp;G$1&amp;$Z17, TRUE)</f>
        <v>538</v>
      </c>
      <c r="H17" s="4914" cm="1">
        <f t="array" aca="1" ref="H17" ca="1">INDIRECT("'※ 소상공인 세부데이터'!"&amp;H$1&amp;$Z17, TRUE)</f>
        <v>1274</v>
      </c>
      <c r="I17" s="4914" cm="1">
        <f t="array" aca="1" ref="I17" ca="1">INDIRECT("'※ 소상공인 세부데이터'!"&amp;I$1&amp;$Z17, TRUE)</f>
        <v>1344</v>
      </c>
      <c r="J17" s="4914" cm="1">
        <f t="array" aca="1" ref="J17" ca="1">INDIRECT("'※ 소상공인 세부데이터'!"&amp;J$1&amp;$Z17, TRUE)</f>
        <v>1234</v>
      </c>
      <c r="K17" s="4914" cm="1">
        <f t="array" aca="1" ref="K17" ca="1">INDIRECT("'※ 소상공인 세부데이터'!"&amp;K$1&amp;$Z17, TRUE)</f>
        <v>1278</v>
      </c>
      <c r="L17" s="4914" cm="1">
        <f t="array" aca="1" ref="L17" ca="1">INDIRECT("'※ 소상공인 세부데이터'!"&amp;L$1&amp;$Z17, TRUE)</f>
        <v>1983</v>
      </c>
      <c r="M17" s="4914" cm="1">
        <f t="array" aca="1" ref="M17" ca="1">INDIRECT("'※ 소상공인 세부데이터'!"&amp;M$1&amp;$Z17, TRUE)</f>
        <v>1534</v>
      </c>
      <c r="N17" s="4914" cm="1">
        <f t="array" aca="1" ref="N17" ca="1">INDIRECT("'※ 소상공인 세부데이터'!"&amp;N$1&amp;$Z17, TRUE)</f>
        <v>2433</v>
      </c>
      <c r="O17" s="4914" cm="1">
        <f t="array" aca="1" ref="O17" ca="1">INDIRECT("'※ 소상공인 세부데이터'!"&amp;O$1&amp;$Z17, TRUE)</f>
        <v>1995</v>
      </c>
      <c r="P17" s="4914" cm="1">
        <f t="array" aca="1" ref="P17" ca="1">INDIRECT("'※ 소상공인 세부데이터'!"&amp;P$1&amp;$Z17, TRUE)</f>
        <v>1903</v>
      </c>
      <c r="Q17" s="4914" cm="1">
        <f t="array" aca="1" ref="Q17" ca="1">INDIRECT("'※ 소상공인 세부데이터'!"&amp;Q$1&amp;$Z17, TRUE)</f>
        <v>1379</v>
      </c>
      <c r="R17" s="4917" cm="1">
        <f t="array" aca="1" ref="R17" ca="1">INDIRECT("'※ 소상공인 세부데이터'!"&amp;R$1&amp;$Z17, TRUE)</f>
        <v>-524</v>
      </c>
      <c r="S17" s="4918" cm="1">
        <f t="array" aca="1" ref="S17" ca="1">INDIRECT("'※ 소상공인 세부데이터'!"&amp;S$1&amp;$Z17, TRUE)</f>
        <v>1096</v>
      </c>
      <c r="T17" s="4919" cm="1">
        <f t="array" aca="1" ref="T17" ca="1">INDIRECT("'※ 소상공인 세부데이터'!"&amp;T$1&amp;$Z17, TRUE)</f>
        <v>17040</v>
      </c>
      <c r="U17" s="4920">
        <v>86</v>
      </c>
      <c r="V17" s="4920">
        <v>1.0448617631716224</v>
      </c>
      <c r="W17" s="4921" cm="1">
        <f t="array" aca="1" ref="W17" ca="1">INDIRECT("'※ 소상공인 세부데이터'!"&amp;W$1&amp;$Z17, TRUE)</f>
        <v>13573</v>
      </c>
      <c r="X17" s="4922" cm="1">
        <f t="array" aca="1" ref="X17" ca="1">INDIRECT("'※ 소상공인 세부데이터'!"&amp;X$1&amp;$Z17, TRUE)</f>
        <v>1420</v>
      </c>
      <c r="Y17" s="4923" cm="1">
        <f t="array" aca="1" ref="Y17" ca="1">INDIRECT("'※ 소상공인 세부데이터'!"&amp;Y$1&amp;$Z17, TRUE)</f>
        <v>1086.1666666666667</v>
      </c>
      <c r="Z17" s="3693">
        <f>ROW('※ 소상공인 세부데이터'!J87)</f>
        <v>87</v>
      </c>
      <c r="AA17" s="3053"/>
    </row>
    <row r="18" spans="1:27" ht="2.0499999999999998" customHeight="1" x14ac:dyDescent="0.55000000000000004">
      <c r="A18" s="4924"/>
      <c r="B18" s="3033"/>
      <c r="C18" s="4889"/>
      <c r="D18" s="4890"/>
      <c r="E18" s="4891"/>
      <c r="F18" s="4892"/>
      <c r="G18" s="4890"/>
      <c r="H18" s="4890"/>
      <c r="I18" s="4890"/>
      <c r="J18" s="4890"/>
      <c r="K18" s="4890"/>
      <c r="L18" s="4890"/>
      <c r="M18" s="4890"/>
      <c r="N18" s="4890"/>
      <c r="O18" s="4890"/>
      <c r="P18" s="4890"/>
      <c r="Q18" s="4890"/>
      <c r="R18" s="3064"/>
      <c r="S18" s="3065"/>
      <c r="T18" s="4893"/>
      <c r="U18" s="2836"/>
      <c r="V18" s="2836"/>
      <c r="W18" s="2836"/>
      <c r="X18" s="4894"/>
      <c r="Y18" s="4925"/>
      <c r="Z18" s="3693">
        <f>ROW('※ 소상공인 세부데이터'!J88)</f>
        <v>88</v>
      </c>
      <c r="AA18" s="3053"/>
    </row>
    <row r="19" spans="1:27" ht="18" customHeight="1" x14ac:dyDescent="0.55000000000000004">
      <c r="A19" s="7289" t="s">
        <v>1062</v>
      </c>
      <c r="B19" s="4926" t="s">
        <v>68</v>
      </c>
      <c r="C19" s="4927"/>
      <c r="D19" s="4928" cm="1">
        <f t="array" aca="1" ref="D19" ca="1">INDIRECT("'※ 소상공인 세부데이터'!"&amp;D$1&amp;$Z19, TRUE)</f>
        <v>872</v>
      </c>
      <c r="E19" s="4929" cm="1">
        <f t="array" aca="1" ref="E19" ca="1">INDIRECT("'※ 소상공인 세부데이터'!"&amp;E$1&amp;$Z19, TRUE)</f>
        <v>714</v>
      </c>
      <c r="F19" s="4930" cm="1">
        <f t="array" aca="1" ref="F19" ca="1">INDIRECT("'※ 소상공인 세부데이터'!"&amp;F$1&amp;$Z19, TRUE)</f>
        <v>35</v>
      </c>
      <c r="G19" s="4928" cm="1">
        <f t="array" aca="1" ref="G19" ca="1">INDIRECT("'※ 소상공인 세부데이터'!"&amp;G$1&amp;$Z19, TRUE)</f>
        <v>99</v>
      </c>
      <c r="H19" s="4928" cm="1">
        <f t="array" aca="1" ref="H19" ca="1">INDIRECT("'※ 소상공인 세부데이터'!"&amp;H$1&amp;$Z19, TRUE)</f>
        <v>31</v>
      </c>
      <c r="I19" s="4928" cm="1">
        <f t="array" aca="1" ref="I19" ca="1">INDIRECT("'※ 소상공인 세부데이터'!"&amp;I$1&amp;$Z19, TRUE)</f>
        <v>83</v>
      </c>
      <c r="J19" s="4928" cm="1">
        <f t="array" aca="1" ref="J19" ca="1">INDIRECT("'※ 소상공인 세부데이터'!"&amp;J$1&amp;$Z19, TRUE)</f>
        <v>106</v>
      </c>
      <c r="K19" s="4928" cm="1">
        <f t="array" aca="1" ref="K19" ca="1">INDIRECT("'※ 소상공인 세부데이터'!"&amp;K$1&amp;$Z19, TRUE)</f>
        <v>50</v>
      </c>
      <c r="L19" s="4928" cm="1">
        <f t="array" aca="1" ref="L19" ca="1">INDIRECT("'※ 소상공인 세부데이터'!"&amp;L$1&amp;$Z19, TRUE)</f>
        <v>114</v>
      </c>
      <c r="M19" s="4928" cm="1">
        <f t="array" aca="1" ref="M19" ca="1">INDIRECT("'※ 소상공인 세부데이터'!"&amp;M$1&amp;$Z19, TRUE)</f>
        <v>46</v>
      </c>
      <c r="N19" s="4928" cm="1">
        <f t="array" aca="1" ref="N19" ca="1">INDIRECT("'※ 소상공인 세부데이터'!"&amp;N$1&amp;$Z19, TRUE)</f>
        <v>70</v>
      </c>
      <c r="O19" s="4928" cm="1">
        <f t="array" aca="1" ref="O19" ca="1">INDIRECT("'※ 소상공인 세부데이터'!"&amp;O$1&amp;$Z19, TRUE)</f>
        <v>71</v>
      </c>
      <c r="P19" s="4928" cm="1">
        <f t="array" aca="1" ref="P19" ca="1">INDIRECT("'※ 소상공인 세부데이터'!"&amp;P$1&amp;$Z19, TRUE)</f>
        <v>36</v>
      </c>
      <c r="Q19" s="4928" cm="1">
        <f t="array" aca="1" ref="Q19" ca="1">INDIRECT("'※ 소상공인 세부데이터'!"&amp;Q$1&amp;$Z19, TRUE)</f>
        <v>24</v>
      </c>
      <c r="R19" s="4931" cm="1">
        <f t="array" aca="1" ref="R19" ca="1">INDIRECT("'※ 소상공인 세부데이터'!"&amp;R$1&amp;$Z19, TRUE)</f>
        <v>-12</v>
      </c>
      <c r="S19" s="4932" cm="1">
        <f t="array" aca="1" ref="S19" ca="1">INDIRECT("'※ 소상공인 세부데이터'!"&amp;S$1&amp;$Z19, TRUE)</f>
        <v>-1</v>
      </c>
      <c r="T19" s="4932" cm="1">
        <f t="array" aca="1" ref="T19" ca="1">INDIRECT("'※ 소상공인 세부데이터'!"&amp;T$1&amp;$Z19, TRUE)</f>
        <v>765</v>
      </c>
      <c r="U19" s="4933">
        <v>-125</v>
      </c>
      <c r="V19" s="4933">
        <v>0.67700258397932822</v>
      </c>
      <c r="W19" s="4933" cm="1">
        <f t="array" aca="1" ref="W19" ca="1">INDIRECT("'※ 소상공인 세부데이터'!"&amp;W$1&amp;$Z19, TRUE)</f>
        <v>51</v>
      </c>
      <c r="X19" s="4934" cm="1">
        <f t="array" aca="1" ref="X19" ca="1">INDIRECT("'※ 소상공인 세부데이터'!"&amp;X$1&amp;$Z19, TRUE)</f>
        <v>63.75</v>
      </c>
      <c r="Y19" s="4935" cm="1">
        <f t="array" aca="1" ref="Y19" ca="1">INDIRECT("'※ 소상공인 세부데이터'!"&amp;Y$1&amp;$Z19, TRUE)</f>
        <v>4.25</v>
      </c>
      <c r="Z19" s="3693">
        <f>ROW('※ 소상공인 세부데이터'!J89)</f>
        <v>89</v>
      </c>
      <c r="AA19" s="3053"/>
    </row>
    <row r="20" spans="1:27" ht="18" customHeight="1" x14ac:dyDescent="0.55000000000000004">
      <c r="A20" s="7284"/>
      <c r="B20" s="2884" t="s">
        <v>69</v>
      </c>
      <c r="C20" s="4936"/>
      <c r="D20" s="4937" cm="1">
        <f t="array" aca="1" ref="D20" ca="1">INDIRECT("'※ 소상공인 세부데이터'!"&amp;D$1&amp;$Z20, TRUE)</f>
        <v>940</v>
      </c>
      <c r="E20" s="4938" cm="1">
        <f t="array" aca="1" ref="E20" ca="1">INDIRECT("'※ 소상공인 세부데이터'!"&amp;E$1&amp;$Z20, TRUE)</f>
        <v>490</v>
      </c>
      <c r="F20" s="4939" cm="1">
        <f t="array" aca="1" ref="F20" ca="1">INDIRECT("'※ 소상공인 세부데이터'!"&amp;F$1&amp;$Z20, TRUE)</f>
        <v>7</v>
      </c>
      <c r="G20" s="4937" cm="1">
        <f t="array" aca="1" ref="G20" ca="1">INDIRECT("'※ 소상공인 세부데이터'!"&amp;G$1&amp;$Z20, TRUE)</f>
        <v>47</v>
      </c>
      <c r="H20" s="4937" cm="1">
        <f t="array" aca="1" ref="H20" ca="1">INDIRECT("'※ 소상공인 세부데이터'!"&amp;H$1&amp;$Z20, TRUE)</f>
        <v>17</v>
      </c>
      <c r="I20" s="4937" cm="1">
        <f t="array" aca="1" ref="I20" ca="1">INDIRECT("'※ 소상공인 세부데이터'!"&amp;I$1&amp;$Z20, TRUE)</f>
        <v>23</v>
      </c>
      <c r="J20" s="4937" cm="1">
        <f t="array" aca="1" ref="J20" ca="1">INDIRECT("'※ 소상공인 세부데이터'!"&amp;J$1&amp;$Z20, TRUE)</f>
        <v>63</v>
      </c>
      <c r="K20" s="4937" cm="1">
        <f t="array" aca="1" ref="K20" ca="1">INDIRECT("'※ 소상공인 세부데이터'!"&amp;K$1&amp;$Z20, TRUE)</f>
        <v>14</v>
      </c>
      <c r="L20" s="4937" cm="1">
        <f t="array" aca="1" ref="L20" ca="1">INDIRECT("'※ 소상공인 세부데이터'!"&amp;L$1&amp;$Z20, TRUE)</f>
        <v>54</v>
      </c>
      <c r="M20" s="4937" cm="1">
        <f t="array" aca="1" ref="M20" ca="1">INDIRECT("'※ 소상공인 세부데이터'!"&amp;M$1&amp;$Z20, TRUE)</f>
        <v>16</v>
      </c>
      <c r="N20" s="4937" cm="1">
        <f t="array" aca="1" ref="N20" ca="1">INDIRECT("'※ 소상공인 세부데이터'!"&amp;N$1&amp;$Z20, TRUE)</f>
        <v>18</v>
      </c>
      <c r="O20" s="4937" cm="1">
        <f t="array" aca="1" ref="O20" ca="1">INDIRECT("'※ 소상공인 세부데이터'!"&amp;O$1&amp;$Z20, TRUE)</f>
        <v>25</v>
      </c>
      <c r="P20" s="4937" cm="1">
        <f t="array" aca="1" ref="P20" ca="1">INDIRECT("'※ 소상공인 세부데이터'!"&amp;P$1&amp;$Z20, TRUE)</f>
        <v>12</v>
      </c>
      <c r="Q20" s="4937" cm="1">
        <f t="array" aca="1" ref="Q20" ca="1">INDIRECT("'※ 소상공인 세부데이터'!"&amp;Q$1&amp;$Z20, TRUE)</f>
        <v>10</v>
      </c>
      <c r="R20" s="4940" cm="1">
        <f t="array" aca="1" ref="R20" ca="1">INDIRECT("'※ 소상공인 세부데이터'!"&amp;R$1&amp;$Z20, TRUE)</f>
        <v>-2</v>
      </c>
      <c r="S20" s="4941" cm="1">
        <f t="array" aca="1" ref="S20" ca="1">INDIRECT("'※ 소상공인 세부데이터'!"&amp;S$1&amp;$Z20, TRUE)</f>
        <v>1</v>
      </c>
      <c r="T20" s="4942" cm="1">
        <f t="array" aca="1" ref="T20" ca="1">INDIRECT("'※ 소상공인 세부데이터'!"&amp;T$1&amp;$Z20, TRUE)</f>
        <v>306</v>
      </c>
      <c r="U20" s="4943">
        <v>-197</v>
      </c>
      <c r="V20" s="4943">
        <v>0.44972067039106145</v>
      </c>
      <c r="W20" s="4943" cm="1">
        <f t="array" aca="1" ref="W20" ca="1">INDIRECT("'※ 소상공인 세부데이터'!"&amp;W$1&amp;$Z20, TRUE)</f>
        <v>-184</v>
      </c>
      <c r="X20" s="4944" cm="1">
        <f t="array" aca="1" ref="X20" ca="1">INDIRECT("'※ 소상공인 세부데이터'!"&amp;X$1&amp;$Z20, TRUE)</f>
        <v>25.5</v>
      </c>
      <c r="Y20" s="4945" cm="1">
        <f t="array" aca="1" ref="Y20" ca="1">INDIRECT("'※ 소상공인 세부데이터'!"&amp;Y$1&amp;$Z20, TRUE)</f>
        <v>-15.333333333333336</v>
      </c>
      <c r="Z20" s="3693">
        <f>ROW('※ 소상공인 세부데이터'!J90)</f>
        <v>90</v>
      </c>
      <c r="AA20" s="3053"/>
    </row>
    <row r="21" spans="1:27" ht="18" customHeight="1" x14ac:dyDescent="0.55000000000000004">
      <c r="A21" s="7284"/>
      <c r="B21" s="2884" t="s">
        <v>70</v>
      </c>
      <c r="C21" s="4936"/>
      <c r="D21" s="4937" cm="1">
        <f t="array" aca="1" ref="D21" ca="1">INDIRECT("'※ 소상공인 세부데이터'!"&amp;D$1&amp;$Z21, TRUE)</f>
        <v>1334</v>
      </c>
      <c r="E21" s="4938" cm="1">
        <f t="array" aca="1" ref="E21" ca="1">INDIRECT("'※ 소상공인 세부데이터'!"&amp;E$1&amp;$Z21, TRUE)</f>
        <v>393</v>
      </c>
      <c r="F21" s="4939" cm="1">
        <f t="array" aca="1" ref="F21" ca="1">INDIRECT("'※ 소상공인 세부데이터'!"&amp;F$1&amp;$Z21, TRUE)</f>
        <v>22</v>
      </c>
      <c r="G21" s="4937" cm="1">
        <f t="array" aca="1" ref="G21" ca="1">INDIRECT("'※ 소상공인 세부데이터'!"&amp;G$1&amp;$Z21, TRUE)</f>
        <v>39</v>
      </c>
      <c r="H21" s="4937" cm="1">
        <f t="array" aca="1" ref="H21" ca="1">INDIRECT("'※ 소상공인 세부데이터'!"&amp;H$1&amp;$Z21, TRUE)</f>
        <v>15</v>
      </c>
      <c r="I21" s="4937" cm="1">
        <f t="array" aca="1" ref="I21" ca="1">INDIRECT("'※ 소상공인 세부데이터'!"&amp;I$1&amp;$Z21, TRUE)</f>
        <v>62</v>
      </c>
      <c r="J21" s="4937" cm="1">
        <f t="array" aca="1" ref="J21" ca="1">INDIRECT("'※ 소상공인 세부데이터'!"&amp;J$1&amp;$Z21, TRUE)</f>
        <v>63</v>
      </c>
      <c r="K21" s="4937" cm="1">
        <f t="array" aca="1" ref="K21" ca="1">INDIRECT("'※ 소상공인 세부데이터'!"&amp;K$1&amp;$Z21, TRUE)</f>
        <v>26</v>
      </c>
      <c r="L21" s="4937" cm="1">
        <f t="array" aca="1" ref="L21" ca="1">INDIRECT("'※ 소상공인 세부데이터'!"&amp;L$1&amp;$Z21, TRUE)</f>
        <v>86</v>
      </c>
      <c r="M21" s="4937" cm="1">
        <f t="array" aca="1" ref="M21" ca="1">INDIRECT("'※ 소상공인 세부데이터'!"&amp;M$1&amp;$Z21, TRUE)</f>
        <v>28</v>
      </c>
      <c r="N21" s="4937" cm="1">
        <f t="array" aca="1" ref="N21" ca="1">INDIRECT("'※ 소상공인 세부데이터'!"&amp;N$1&amp;$Z21, TRUE)</f>
        <v>51</v>
      </c>
      <c r="O21" s="4937" cm="1">
        <f t="array" aca="1" ref="O21" ca="1">INDIRECT("'※ 소상공인 세부데이터'!"&amp;O$1&amp;$Z21, TRUE)</f>
        <v>37</v>
      </c>
      <c r="P21" s="4937" cm="1">
        <f t="array" aca="1" ref="P21" ca="1">INDIRECT("'※ 소상공인 세부데이터'!"&amp;P$1&amp;$Z21, TRUE)</f>
        <v>18</v>
      </c>
      <c r="Q21" s="4937" cm="1">
        <f t="array" aca="1" ref="Q21" ca="1">INDIRECT("'※ 소상공인 세부데이터'!"&amp;Q$1&amp;$Z21, TRUE)</f>
        <v>26</v>
      </c>
      <c r="R21" s="4940" cm="1">
        <f t="array" aca="1" ref="R21" ca="1">INDIRECT("'※ 소상공인 세부데이터'!"&amp;R$1&amp;$Z21, TRUE)</f>
        <v>8</v>
      </c>
      <c r="S21" s="4941" cm="1">
        <f t="array" aca="1" ref="S21" ca="1">INDIRECT("'※ 소상공인 세부데이터'!"&amp;S$1&amp;$Z21, TRUE)</f>
        <v>8</v>
      </c>
      <c r="T21" s="4942" cm="1">
        <f t="array" aca="1" ref="T21" ca="1">INDIRECT("'※ 소상공인 세부데이터'!"&amp;T$1&amp;$Z21, TRUE)</f>
        <v>473</v>
      </c>
      <c r="U21" s="4943">
        <v>-343</v>
      </c>
      <c r="V21" s="4943">
        <v>0.27021276595744681</v>
      </c>
      <c r="W21" s="4943" cm="1">
        <f t="array" aca="1" ref="W21" ca="1">INDIRECT("'※ 소상공인 세부데이터'!"&amp;W$1&amp;$Z21, TRUE)</f>
        <v>80</v>
      </c>
      <c r="X21" s="4944" cm="1">
        <f t="array" aca="1" ref="X21" ca="1">INDIRECT("'※ 소상공인 세부데이터'!"&amp;X$1&amp;$Z21, TRUE)</f>
        <v>39.416666666666664</v>
      </c>
      <c r="Y21" s="4945" cm="1">
        <f t="array" aca="1" ref="Y21" ca="1">INDIRECT("'※ 소상공인 세부데이터'!"&amp;Y$1&amp;$Z21, TRUE)</f>
        <v>6.6666666666666643</v>
      </c>
      <c r="Z21" s="3693">
        <f>ROW('※ 소상공인 세부데이터'!J91)</f>
        <v>91</v>
      </c>
      <c r="AA21" s="3053"/>
    </row>
    <row r="22" spans="1:27" ht="18" customHeight="1" x14ac:dyDescent="0.55000000000000004">
      <c r="A22" s="7284"/>
      <c r="B22" s="2884" t="s">
        <v>176</v>
      </c>
      <c r="C22" s="4936"/>
      <c r="D22" s="4937" cm="1">
        <f t="array" aca="1" ref="D22" ca="1">INDIRECT("'※ 소상공인 세부데이터'!"&amp;D$1&amp;$Z22, TRUE)</f>
        <v>2052</v>
      </c>
      <c r="E22" s="4938" cm="1">
        <f t="array" aca="1" ref="E22" ca="1">INDIRECT("'※ 소상공인 세부데이터'!"&amp;E$1&amp;$Z22, TRUE)</f>
        <v>934</v>
      </c>
      <c r="F22" s="4939" cm="1">
        <f t="array" aca="1" ref="F22" ca="1">INDIRECT("'※ 소상공인 세부데이터'!"&amp;F$1&amp;$Z22, TRUE)</f>
        <v>49</v>
      </c>
      <c r="G22" s="4937" cm="1">
        <f t="array" aca="1" ref="G22" ca="1">INDIRECT("'※ 소상공인 세부데이터'!"&amp;G$1&amp;$Z22, TRUE)</f>
        <v>118</v>
      </c>
      <c r="H22" s="4937" cm="1">
        <f t="array" aca="1" ref="H22" ca="1">INDIRECT("'※ 소상공인 세부데이터'!"&amp;H$1&amp;$Z22, TRUE)</f>
        <v>66</v>
      </c>
      <c r="I22" s="4937" cm="1">
        <f t="array" aca="1" ref="I22" ca="1">INDIRECT("'※ 소상공인 세부데이터'!"&amp;I$1&amp;$Z22, TRUE)</f>
        <v>51</v>
      </c>
      <c r="J22" s="4937" cm="1">
        <f t="array" aca="1" ref="J22" ca="1">INDIRECT("'※ 소상공인 세부데이터'!"&amp;J$1&amp;$Z22, TRUE)</f>
        <v>77</v>
      </c>
      <c r="K22" s="4937" cm="1">
        <f t="array" aca="1" ref="K22" ca="1">INDIRECT("'※ 소상공인 세부데이터'!"&amp;K$1&amp;$Z22, TRUE)</f>
        <v>46</v>
      </c>
      <c r="L22" s="4937" cm="1">
        <f t="array" aca="1" ref="L22" ca="1">INDIRECT("'※ 소상공인 세부데이터'!"&amp;L$1&amp;$Z22, TRUE)</f>
        <v>131</v>
      </c>
      <c r="M22" s="4937" cm="1">
        <f t="array" aca="1" ref="M22" ca="1">INDIRECT("'※ 소상공인 세부데이터'!"&amp;M$1&amp;$Z22, TRUE)</f>
        <v>43</v>
      </c>
      <c r="N22" s="4937" cm="1">
        <f t="array" aca="1" ref="N22" ca="1">INDIRECT("'※ 소상공인 세부데이터'!"&amp;N$1&amp;$Z22, TRUE)</f>
        <v>67</v>
      </c>
      <c r="O22" s="4937" cm="1">
        <f t="array" aca="1" ref="O22" ca="1">INDIRECT("'※ 소상공인 세부데이터'!"&amp;O$1&amp;$Z22, TRUE)</f>
        <v>62</v>
      </c>
      <c r="P22" s="4937" cm="1">
        <f t="array" aca="1" ref="P22" ca="1">INDIRECT("'※ 소상공인 세부데이터'!"&amp;P$1&amp;$Z22, TRUE)</f>
        <v>69</v>
      </c>
      <c r="Q22" s="4937" cm="1">
        <f t="array" aca="1" ref="Q22" ca="1">INDIRECT("'※ 소상공인 세부데이터'!"&amp;Q$1&amp;$Z22, TRUE)</f>
        <v>15</v>
      </c>
      <c r="R22" s="4940" cm="1">
        <f t="array" aca="1" ref="R22" ca="1">INDIRECT("'※ 소상공인 세부데이터'!"&amp;R$1&amp;$Z22, TRUE)</f>
        <v>-54</v>
      </c>
      <c r="S22" s="4941" cm="1">
        <f t="array" aca="1" ref="S22" ca="1">INDIRECT("'※ 소상공인 세부데이터'!"&amp;S$1&amp;$Z22, TRUE)</f>
        <v>-23</v>
      </c>
      <c r="T22" s="4942" cm="1">
        <f t="array" aca="1" ref="T22" ca="1">INDIRECT("'※ 소상공인 세부데이터'!"&amp;T$1&amp;$Z22, TRUE)</f>
        <v>794</v>
      </c>
      <c r="U22" s="4943">
        <v>-312</v>
      </c>
      <c r="V22" s="4943">
        <v>0.52439024390243905</v>
      </c>
      <c r="W22" s="4943" cm="1">
        <f t="array" aca="1" ref="W22" ca="1">INDIRECT("'※ 소상공인 세부데이터'!"&amp;W$1&amp;$Z22, TRUE)</f>
        <v>-140</v>
      </c>
      <c r="X22" s="4944" cm="1">
        <f t="array" aca="1" ref="X22" ca="1">INDIRECT("'※ 소상공인 세부데이터'!"&amp;X$1&amp;$Z22, TRUE)</f>
        <v>66.166666666666671</v>
      </c>
      <c r="Y22" s="4945" cm="1">
        <f t="array" aca="1" ref="Y22" ca="1">INDIRECT("'※ 소상공인 세부데이터'!"&amp;Y$1&amp;$Z22, TRUE)</f>
        <v>-11.666666666666657</v>
      </c>
      <c r="Z22" s="3693">
        <f>ROW('※ 소상공인 세부데이터'!J92)</f>
        <v>92</v>
      </c>
      <c r="AA22" s="3053"/>
    </row>
    <row r="23" spans="1:27" ht="18" customHeight="1" x14ac:dyDescent="0.55000000000000004">
      <c r="A23" s="7284"/>
      <c r="B23" s="2884" t="s">
        <v>177</v>
      </c>
      <c r="C23" s="4936"/>
      <c r="D23" s="4937" cm="1">
        <f t="array" aca="1" ref="D23" ca="1">INDIRECT("'※ 소상공인 세부데이터'!"&amp;D$1&amp;$Z23, TRUE)</f>
        <v>1572</v>
      </c>
      <c r="E23" s="4938" cm="1">
        <f t="array" aca="1" ref="E23" ca="1">INDIRECT("'※ 소상공인 세부데이터'!"&amp;E$1&amp;$Z23, TRUE)</f>
        <v>661</v>
      </c>
      <c r="F23" s="4939" cm="1">
        <f t="array" aca="1" ref="F23" ca="1">INDIRECT("'※ 소상공인 세부데이터'!"&amp;F$1&amp;$Z23, TRUE)</f>
        <v>41</v>
      </c>
      <c r="G23" s="4937" cm="1">
        <f t="array" aca="1" ref="G23" ca="1">INDIRECT("'※ 소상공인 세부데이터'!"&amp;G$1&amp;$Z23, TRUE)</f>
        <v>96</v>
      </c>
      <c r="H23" s="4937" cm="1">
        <f t="array" aca="1" ref="H23" ca="1">INDIRECT("'※ 소상공인 세부데이터'!"&amp;H$1&amp;$Z23, TRUE)</f>
        <v>40</v>
      </c>
      <c r="I23" s="4937" cm="1">
        <f t="array" aca="1" ref="I23" ca="1">INDIRECT("'※ 소상공인 세부데이터'!"&amp;I$1&amp;$Z23, TRUE)</f>
        <v>68</v>
      </c>
      <c r="J23" s="4937" cm="1">
        <f t="array" aca="1" ref="J23" ca="1">INDIRECT("'※ 소상공인 세부데이터'!"&amp;J$1&amp;$Z23, TRUE)</f>
        <v>122</v>
      </c>
      <c r="K23" s="4937" cm="1">
        <f t="array" aca="1" ref="K23" ca="1">INDIRECT("'※ 소상공인 세부데이터'!"&amp;K$1&amp;$Z23, TRUE)</f>
        <v>55</v>
      </c>
      <c r="L23" s="4937" cm="1">
        <f t="array" aca="1" ref="L23" ca="1">INDIRECT("'※ 소상공인 세부데이터'!"&amp;L$1&amp;$Z23, TRUE)</f>
        <v>252.5</v>
      </c>
      <c r="M23" s="4937" cm="1">
        <f t="array" aca="1" ref="M23" ca="1">INDIRECT("'※ 소상공인 세부데이터'!"&amp;M$1&amp;$Z23, TRUE)</f>
        <v>63</v>
      </c>
      <c r="N23" s="4937" cm="1">
        <f t="array" aca="1" ref="N23" ca="1">INDIRECT("'※ 소상공인 세부데이터'!"&amp;N$1&amp;$Z23, TRUE)</f>
        <v>102.5</v>
      </c>
      <c r="O23" s="4937" cm="1">
        <f t="array" aca="1" ref="O23" ca="1">INDIRECT("'※ 소상공인 세부데이터'!"&amp;O$1&amp;$Z23, TRUE)</f>
        <v>64</v>
      </c>
      <c r="P23" s="4937" cm="1">
        <f t="array" aca="1" ref="P23" ca="1">INDIRECT("'※ 소상공인 세부데이터'!"&amp;P$1&amp;$Z23, TRUE)</f>
        <v>59</v>
      </c>
      <c r="Q23" s="4937" cm="1">
        <f t="array" aca="1" ref="Q23" ca="1">INDIRECT("'※ 소상공인 세부데이터'!"&amp;Q$1&amp;$Z23, TRUE)</f>
        <v>28</v>
      </c>
      <c r="R23" s="4940" cm="1">
        <f t="array" aca="1" ref="R23" ca="1">INDIRECT("'※ 소상공인 세부데이터'!"&amp;R$1&amp;$Z23, TRUE)</f>
        <v>-31</v>
      </c>
      <c r="S23" s="4941" cm="1">
        <f t="array" aca="1" ref="S23" ca="1">INDIRECT("'※ 소상공인 세부데이터'!"&amp;S$1&amp;$Z23, TRUE)</f>
        <v>7</v>
      </c>
      <c r="T23" s="4942" cm="1">
        <f t="array" aca="1" ref="T23" ca="1">INDIRECT("'※ 소상공인 세부데이터'!"&amp;T$1&amp;$Z23, TRUE)</f>
        <v>991</v>
      </c>
      <c r="U23" s="4943">
        <v>-335</v>
      </c>
      <c r="V23" s="4943">
        <v>0.3667296786389414</v>
      </c>
      <c r="W23" s="4943" cm="1">
        <f t="array" aca="1" ref="W23" ca="1">INDIRECT("'※ 소상공인 세부데이터'!"&amp;W$1&amp;$Z23, TRUE)</f>
        <v>330</v>
      </c>
      <c r="X23" s="4944" cm="1">
        <f t="array" aca="1" ref="X23" ca="1">INDIRECT("'※ 소상공인 세부데이터'!"&amp;X$1&amp;$Z23, TRUE)</f>
        <v>82.583333333333329</v>
      </c>
      <c r="Y23" s="4945" cm="1">
        <f t="array" aca="1" ref="Y23" ca="1">INDIRECT("'※ 소상공인 세부데이터'!"&amp;Y$1&amp;$Z23, TRUE)</f>
        <v>27.499999999999993</v>
      </c>
      <c r="Z23" s="3693">
        <f>ROW('※ 소상공인 세부데이터'!J93)</f>
        <v>93</v>
      </c>
      <c r="AA23" s="3053"/>
    </row>
    <row r="24" spans="1:27" ht="18" customHeight="1" x14ac:dyDescent="0.55000000000000004">
      <c r="A24" s="7277" t="s">
        <v>1078</v>
      </c>
      <c r="B24" s="4946" t="s">
        <v>143</v>
      </c>
      <c r="C24" s="4947"/>
      <c r="D24" s="4948" cm="1">
        <f t="array" aca="1" ref="D24" ca="1">INDIRECT("'※ 소상공인 세부데이터'!"&amp;D$1&amp;$Z24, TRUE)</f>
        <v>678</v>
      </c>
      <c r="E24" s="4949" cm="1">
        <f t="array" aca="1" ref="E24" ca="1">INDIRECT("'※ 소상공인 세부데이터'!"&amp;E$1&amp;$Z24, TRUE)</f>
        <v>553</v>
      </c>
      <c r="F24" s="4950" cm="1">
        <f t="array" aca="1" ref="F24" ca="1">INDIRECT("'※ 소상공인 세부데이터'!"&amp;F$1&amp;$Z24, TRUE)</f>
        <v>29</v>
      </c>
      <c r="G24" s="4948" cm="1">
        <f t="array" aca="1" ref="G24" ca="1">INDIRECT("'※ 소상공인 세부데이터'!"&amp;G$1&amp;$Z24, TRUE)</f>
        <v>89</v>
      </c>
      <c r="H24" s="4948" cm="1">
        <f t="array" aca="1" ref="H24" ca="1">INDIRECT("'※ 소상공인 세부데이터'!"&amp;H$1&amp;$Z24, TRUE)</f>
        <v>24</v>
      </c>
      <c r="I24" s="4948" cm="1">
        <f t="array" aca="1" ref="I24" ca="1">INDIRECT("'※ 소상공인 세부데이터'!"&amp;I$1&amp;$Z24, TRUE)</f>
        <v>34</v>
      </c>
      <c r="J24" s="4948" cm="1">
        <f t="array" aca="1" ref="J24" ca="1">INDIRECT("'※ 소상공인 세부데이터'!"&amp;J$1&amp;$Z24, TRUE)</f>
        <v>50</v>
      </c>
      <c r="K24" s="4948" cm="1">
        <f t="array" aca="1" ref="K24" ca="1">INDIRECT("'※ 소상공인 세부데이터'!"&amp;K$1&amp;$Z24, TRUE)</f>
        <v>41</v>
      </c>
      <c r="L24" s="4948" cm="1">
        <f t="array" aca="1" ref="L24" ca="1">INDIRECT("'※ 소상공인 세부데이터'!"&amp;L$1&amp;$Z24, TRUE)</f>
        <v>66</v>
      </c>
      <c r="M24" s="4948" cm="1">
        <f t="array" aca="1" ref="M24" ca="1">INDIRECT("'※ 소상공인 세부데이터'!"&amp;M$1&amp;$Z24, TRUE)</f>
        <v>27</v>
      </c>
      <c r="N24" s="4948" cm="1">
        <f t="array" aca="1" ref="N24" ca="1">INDIRECT("'※ 소상공인 세부데이터'!"&amp;N$1&amp;$Z24, TRUE)</f>
        <v>42</v>
      </c>
      <c r="O24" s="4948" cm="1">
        <f t="array" aca="1" ref="O24" ca="1">INDIRECT("'※ 소상공인 세부데이터'!"&amp;O$1&amp;$Z24, TRUE)</f>
        <v>64</v>
      </c>
      <c r="P24" s="4948" cm="1">
        <f t="array" aca="1" ref="P24" ca="1">INDIRECT("'※ 소상공인 세부데이터'!"&amp;P$1&amp;$Z24, TRUE)</f>
        <v>20</v>
      </c>
      <c r="Q24" s="4948" cm="1">
        <f t="array" aca="1" ref="Q24" ca="1">INDIRECT("'※ 소상공인 세부데이터'!"&amp;Q$1&amp;$Z24, TRUE)</f>
        <v>18</v>
      </c>
      <c r="R24" s="4951" cm="1">
        <f t="array" aca="1" ref="R24" ca="1">INDIRECT("'※ 소상공인 세부데이터'!"&amp;R$1&amp;$Z24, TRUE)</f>
        <v>-2</v>
      </c>
      <c r="S24" s="4952" cm="1">
        <f t="array" aca="1" ref="S24" ca="1">INDIRECT("'※ 소상공인 세부데이터'!"&amp;S$1&amp;$Z24, TRUE)</f>
        <v>-3</v>
      </c>
      <c r="T24" s="4952" cm="1">
        <f t="array" aca="1" ref="T24" ca="1">INDIRECT("'※ 소상공인 세부데이터'!"&amp;T$1&amp;$Z24, TRUE)</f>
        <v>504</v>
      </c>
      <c r="U24" s="4953">
        <v>-125</v>
      </c>
      <c r="V24" s="4953">
        <v>0.67700258397932822</v>
      </c>
      <c r="W24" s="4953" cm="1">
        <f t="array" aca="1" ref="W24" ca="1">INDIRECT("'※ 소상공인 세부데이터'!"&amp;W$1&amp;$Z24, TRUE)</f>
        <v>-49</v>
      </c>
      <c r="X24" s="4954" cm="1">
        <f t="array" aca="1" ref="X24" ca="1">INDIRECT("'※ 소상공인 세부데이터'!"&amp;X$1&amp;$Z24, TRUE)</f>
        <v>42</v>
      </c>
      <c r="Y24" s="4955" cm="1">
        <f t="array" aca="1" ref="Y24" ca="1">INDIRECT("'※ 소상공인 세부데이터'!"&amp;Y$1&amp;$Z24, TRUE)</f>
        <v>-4.0833333333333357</v>
      </c>
      <c r="Z24" s="3693">
        <f>ROW('※ 소상공인 세부데이터'!J94)</f>
        <v>94</v>
      </c>
      <c r="AA24" s="3053"/>
    </row>
    <row r="25" spans="1:27" ht="18" customHeight="1" x14ac:dyDescent="0.55000000000000004">
      <c r="A25" s="7278"/>
      <c r="B25" s="3033" t="s">
        <v>145</v>
      </c>
      <c r="C25" s="4889"/>
      <c r="D25" s="4890" cm="1">
        <f t="array" aca="1" ref="D25" ca="1">INDIRECT("'※ 소상공인 세부데이터'!"&amp;D$1&amp;$Z25, TRUE)</f>
        <v>653</v>
      </c>
      <c r="E25" s="4891" cm="1">
        <f t="array" aca="1" ref="E25" ca="1">INDIRECT("'※ 소상공인 세부데이터'!"&amp;E$1&amp;$Z25, TRUE)</f>
        <v>341</v>
      </c>
      <c r="F25" s="4892" cm="1">
        <f t="array" aca="1" ref="F25" ca="1">INDIRECT("'※ 소상공인 세부데이터'!"&amp;F$1&amp;$Z25, TRUE)</f>
        <v>2</v>
      </c>
      <c r="G25" s="4890" cm="1">
        <f t="array" aca="1" ref="G25" ca="1">INDIRECT("'※ 소상공인 세부데이터'!"&amp;G$1&amp;$Z25, TRUE)</f>
        <v>38</v>
      </c>
      <c r="H25" s="4890" cm="1">
        <f t="array" aca="1" ref="H25" ca="1">INDIRECT("'※ 소상공인 세부데이터'!"&amp;H$1&amp;$Z25, TRUE)</f>
        <v>14</v>
      </c>
      <c r="I25" s="4890" cm="1">
        <f t="array" aca="1" ref="I25" ca="1">INDIRECT("'※ 소상공인 세부데이터'!"&amp;I$1&amp;$Z25, TRUE)</f>
        <v>12</v>
      </c>
      <c r="J25" s="4890" cm="1">
        <f t="array" aca="1" ref="J25" ca="1">INDIRECT("'※ 소상공인 세부데이터'!"&amp;J$1&amp;$Z25, TRUE)</f>
        <v>15</v>
      </c>
      <c r="K25" s="4890" cm="1">
        <f t="array" aca="1" ref="K25" ca="1">INDIRECT("'※ 소상공인 세부데이터'!"&amp;K$1&amp;$Z25, TRUE)</f>
        <v>9</v>
      </c>
      <c r="L25" s="4890" cm="1">
        <f t="array" aca="1" ref="L25" ca="1">INDIRECT("'※ 소상공인 세부데이터'!"&amp;L$1&amp;$Z25, TRUE)</f>
        <v>29</v>
      </c>
      <c r="M25" s="4890" cm="1">
        <f t="array" aca="1" ref="M25" ca="1">INDIRECT("'※ 소상공인 세부데이터'!"&amp;M$1&amp;$Z25, TRUE)</f>
        <v>9</v>
      </c>
      <c r="N25" s="4890" cm="1">
        <f t="array" aca="1" ref="N25" ca="1">INDIRECT("'※ 소상공인 세부데이터'!"&amp;N$1&amp;$Z25, TRUE)</f>
        <v>16</v>
      </c>
      <c r="O25" s="4890" cm="1">
        <f t="array" aca="1" ref="O25" ca="1">INDIRECT("'※ 소상공인 세부데이터'!"&amp;O$1&amp;$Z25, TRUE)</f>
        <v>17</v>
      </c>
      <c r="P25" s="4890" cm="1">
        <f t="array" aca="1" ref="P25" ca="1">INDIRECT("'※ 소상공인 세부데이터'!"&amp;P$1&amp;$Z25, TRUE)</f>
        <v>5</v>
      </c>
      <c r="Q25" s="4890" cm="1">
        <f t="array" aca="1" ref="Q25" ca="1">INDIRECT("'※ 소상공인 세부데이터'!"&amp;Q$1&amp;$Z25, TRUE)</f>
        <v>8</v>
      </c>
      <c r="R25" s="3064" cm="1">
        <f t="array" aca="1" ref="R25" ca="1">INDIRECT("'※ 소상공인 세부데이터'!"&amp;R$1&amp;$Z25, TRUE)</f>
        <v>3</v>
      </c>
      <c r="S25" s="3065" cm="1">
        <f t="array" aca="1" ref="S25" ca="1">INDIRECT("'※ 소상공인 세부데이터'!"&amp;S$1&amp;$Z25, TRUE)</f>
        <v>0</v>
      </c>
      <c r="T25" s="4893" cm="1">
        <f t="array" aca="1" ref="T25" ca="1">INDIRECT("'※ 소상공인 세부데이터'!"&amp;T$1&amp;$Z25, TRUE)</f>
        <v>174</v>
      </c>
      <c r="U25" s="2836">
        <v>-197</v>
      </c>
      <c r="V25" s="2836">
        <v>0.44972067039106145</v>
      </c>
      <c r="W25" s="2836" cm="1">
        <f t="array" aca="1" ref="W25" ca="1">INDIRECT("'※ 소상공인 세부데이터'!"&amp;W$1&amp;$Z25, TRUE)</f>
        <v>-167</v>
      </c>
      <c r="X25" s="4894" cm="1">
        <f t="array" aca="1" ref="X25" ca="1">INDIRECT("'※ 소상공인 세부데이터'!"&amp;X$1&amp;$Z25, TRUE)</f>
        <v>14.5</v>
      </c>
      <c r="Y25" s="4895" cm="1">
        <f t="array" aca="1" ref="Y25" ca="1">INDIRECT("'※ 소상공인 세부데이터'!"&amp;Y$1&amp;$Z25, TRUE)</f>
        <v>-13.916666666666668</v>
      </c>
      <c r="Z25" s="3693">
        <f>ROW('※ 소상공인 세부데이터'!J95)</f>
        <v>95</v>
      </c>
      <c r="AA25" s="3053"/>
    </row>
    <row r="26" spans="1:27" ht="18" customHeight="1" x14ac:dyDescent="0.55000000000000004">
      <c r="A26" s="7278"/>
      <c r="B26" s="3033" t="s">
        <v>147</v>
      </c>
      <c r="C26" s="4889"/>
      <c r="D26" s="4890" cm="1">
        <f t="array" aca="1" ref="D26" ca="1">INDIRECT("'※ 소상공인 세부데이터'!"&amp;D$1&amp;$Z26, TRUE)</f>
        <v>1016</v>
      </c>
      <c r="E26" s="4891" cm="1">
        <f t="array" aca="1" ref="E26" ca="1">INDIRECT("'※ 소상공인 세부데이터'!"&amp;E$1&amp;$Z26, TRUE)</f>
        <v>316</v>
      </c>
      <c r="F26" s="4892" cm="1">
        <f t="array" aca="1" ref="F26" ca="1">INDIRECT("'※ 소상공인 세부데이터'!"&amp;F$1&amp;$Z26, TRUE)</f>
        <v>14</v>
      </c>
      <c r="G26" s="4890" cm="1">
        <f t="array" aca="1" ref="G26" ca="1">INDIRECT("'※ 소상공인 세부데이터'!"&amp;G$1&amp;$Z26, TRUE)</f>
        <v>30</v>
      </c>
      <c r="H26" s="4890" cm="1">
        <f t="array" aca="1" ref="H26" ca="1">INDIRECT("'※ 소상공인 세부데이터'!"&amp;H$1&amp;$Z26, TRUE)</f>
        <v>9</v>
      </c>
      <c r="I26" s="4890" cm="1">
        <f t="array" aca="1" ref="I26" ca="1">INDIRECT("'※ 소상공인 세부데이터'!"&amp;I$1&amp;$Z26, TRUE)</f>
        <v>15</v>
      </c>
      <c r="J26" s="4890" cm="1">
        <f t="array" aca="1" ref="J26" ca="1">INDIRECT("'※ 소상공인 세부데이터'!"&amp;J$1&amp;$Z26, TRUE)</f>
        <v>26</v>
      </c>
      <c r="K26" s="4890" cm="1">
        <f t="array" aca="1" ref="K26" ca="1">INDIRECT("'※ 소상공인 세부데이터'!"&amp;K$1&amp;$Z26, TRUE)</f>
        <v>20</v>
      </c>
      <c r="L26" s="4890" cm="1">
        <f t="array" aca="1" ref="L26" ca="1">INDIRECT("'※ 소상공인 세부데이터'!"&amp;L$1&amp;$Z26, TRUE)</f>
        <v>50</v>
      </c>
      <c r="M26" s="4890" cm="1">
        <f t="array" aca="1" ref="M26" ca="1">INDIRECT("'※ 소상공인 세부데이터'!"&amp;M$1&amp;$Z26, TRUE)</f>
        <v>13</v>
      </c>
      <c r="N26" s="4890" cm="1">
        <f t="array" aca="1" ref="N26" ca="1">INDIRECT("'※ 소상공인 세부데이터'!"&amp;N$1&amp;$Z26, TRUE)</f>
        <v>30</v>
      </c>
      <c r="O26" s="4890" cm="1">
        <f t="array" aca="1" ref="O26" ca="1">INDIRECT("'※ 소상공인 세부데이터'!"&amp;O$1&amp;$Z26, TRUE)</f>
        <v>19</v>
      </c>
      <c r="P26" s="4890" cm="1">
        <f t="array" aca="1" ref="P26" ca="1">INDIRECT("'※ 소상공인 세부데이터'!"&amp;P$1&amp;$Z26, TRUE)</f>
        <v>9</v>
      </c>
      <c r="Q26" s="4890" cm="1">
        <f t="array" aca="1" ref="Q26" ca="1">INDIRECT("'※ 소상공인 세부데이터'!"&amp;Q$1&amp;$Z26, TRUE)</f>
        <v>16</v>
      </c>
      <c r="R26" s="3064" cm="1">
        <f t="array" aca="1" ref="R26" ca="1">INDIRECT("'※ 소상공인 세부데이터'!"&amp;R$1&amp;$Z26, TRUE)</f>
        <v>7</v>
      </c>
      <c r="S26" s="3065" cm="1">
        <f t="array" aca="1" ref="S26" ca="1">INDIRECT("'※ 소상공인 세부데이터'!"&amp;S$1&amp;$Z26, TRUE)</f>
        <v>4</v>
      </c>
      <c r="T26" s="4893" cm="1">
        <f t="array" aca="1" ref="T26" ca="1">INDIRECT("'※ 소상공인 세부데이터'!"&amp;T$1&amp;$Z26, TRUE)</f>
        <v>251</v>
      </c>
      <c r="U26" s="2836">
        <v>-343</v>
      </c>
      <c r="V26" s="2836">
        <v>0.27021276595744681</v>
      </c>
      <c r="W26" s="2836" cm="1">
        <f t="array" aca="1" ref="W26" ca="1">INDIRECT("'※ 소상공인 세부데이터'!"&amp;W$1&amp;$Z26, TRUE)</f>
        <v>-65</v>
      </c>
      <c r="X26" s="4894" cm="1">
        <f t="array" aca="1" ref="X26" ca="1">INDIRECT("'※ 소상공인 세부데이터'!"&amp;X$1&amp;$Z26, TRUE)</f>
        <v>20.916666666666668</v>
      </c>
      <c r="Y26" s="4895" cm="1">
        <f t="array" aca="1" ref="Y26" ca="1">INDIRECT("'※ 소상공인 세부데이터'!"&amp;Y$1&amp;$Z26, TRUE)</f>
        <v>-5.4166666666666643</v>
      </c>
      <c r="Z26" s="3693">
        <f>ROW('※ 소상공인 세부데이터'!J96)</f>
        <v>96</v>
      </c>
      <c r="AA26" s="3053"/>
    </row>
    <row r="27" spans="1:27" ht="18" customHeight="1" x14ac:dyDescent="0.55000000000000004">
      <c r="A27" s="7278"/>
      <c r="B27" s="3033" t="s">
        <v>176</v>
      </c>
      <c r="C27" s="4889"/>
      <c r="D27" s="4890" cm="1">
        <f t="array" aca="1" ref="D27" ca="1">INDIRECT("'※ 소상공인 세부데이터'!"&amp;D$1&amp;$Z27, TRUE)</f>
        <v>1655</v>
      </c>
      <c r="E27" s="4891" cm="1">
        <f t="array" aca="1" ref="E27" ca="1">INDIRECT("'※ 소상공인 세부데이터'!"&amp;E$1&amp;$Z27, TRUE)</f>
        <v>785</v>
      </c>
      <c r="F27" s="4892" cm="1">
        <f t="array" aca="1" ref="F27" ca="1">INDIRECT("'※ 소상공인 세부데이터'!"&amp;F$1&amp;$Z27, TRUE)</f>
        <v>40</v>
      </c>
      <c r="G27" s="4890" cm="1">
        <f t="array" aca="1" ref="G27" ca="1">INDIRECT("'※ 소상공인 세부데이터'!"&amp;G$1&amp;$Z27, TRUE)</f>
        <v>109</v>
      </c>
      <c r="H27" s="4890" cm="1">
        <f t="array" aca="1" ref="H27" ca="1">INDIRECT("'※ 소상공인 세부데이터'!"&amp;H$1&amp;$Z27, TRUE)</f>
        <v>53</v>
      </c>
      <c r="I27" s="4890" cm="1">
        <f t="array" aca="1" ref="I27" ca="1">INDIRECT("'※ 소상공인 세부데이터'!"&amp;I$1&amp;$Z27, TRUE)</f>
        <v>30</v>
      </c>
      <c r="J27" s="4890" cm="1">
        <f t="array" aca="1" ref="J27" ca="1">INDIRECT("'※ 소상공인 세부데이터'!"&amp;J$1&amp;$Z27, TRUE)</f>
        <v>45</v>
      </c>
      <c r="K27" s="4890" cm="1">
        <f t="array" aca="1" ref="K27" ca="1">INDIRECT("'※ 소상공인 세부데이터'!"&amp;K$1&amp;$Z27, TRUE)</f>
        <v>24</v>
      </c>
      <c r="L27" s="4890" cm="1">
        <f t="array" aca="1" ref="L27" ca="1">INDIRECT("'※ 소상공인 세부데이터'!"&amp;L$1&amp;$Z27, TRUE)</f>
        <v>65</v>
      </c>
      <c r="M27" s="4890" cm="1">
        <f t="array" aca="1" ref="M27" ca="1">INDIRECT("'※ 소상공인 세부데이터'!"&amp;M$1&amp;$Z27, TRUE)</f>
        <v>21</v>
      </c>
      <c r="N27" s="4890" cm="1">
        <f t="array" aca="1" ref="N27" ca="1">INDIRECT("'※ 소상공인 세부데이터'!"&amp;N$1&amp;$Z27, TRUE)</f>
        <v>46</v>
      </c>
      <c r="O27" s="4890" cm="1">
        <f t="array" aca="1" ref="O27" ca="1">INDIRECT("'※ 소상공인 세부데이터'!"&amp;O$1&amp;$Z27, TRUE)</f>
        <v>54</v>
      </c>
      <c r="P27" s="4890" cm="1">
        <f t="array" aca="1" ref="P27" ca="1">INDIRECT("'※ 소상공인 세부데이터'!"&amp;P$1&amp;$Z27, TRUE)</f>
        <v>66</v>
      </c>
      <c r="Q27" s="4890" cm="1">
        <f t="array" aca="1" ref="Q27" ca="1">INDIRECT("'※ 소상공인 세부데이터'!"&amp;Q$1&amp;$Z27, TRUE)</f>
        <v>13</v>
      </c>
      <c r="R27" s="3064" cm="1">
        <f t="array" aca="1" ref="R27" ca="1">INDIRECT("'※ 소상공인 세부데이터'!"&amp;R$1&amp;$Z27, TRUE)</f>
        <v>-53</v>
      </c>
      <c r="S27" s="3065" cm="1">
        <f t="array" aca="1" ref="S27" ca="1">INDIRECT("'※ 소상공인 세부데이터'!"&amp;S$1&amp;$Z27, TRUE)</f>
        <v>-20</v>
      </c>
      <c r="T27" s="4893" cm="1">
        <f t="array" aca="1" ref="T27" ca="1">INDIRECT("'※ 소상공인 세부데이터'!"&amp;T$1&amp;$Z27, TRUE)</f>
        <v>566</v>
      </c>
      <c r="U27" s="2836">
        <v>-312</v>
      </c>
      <c r="V27" s="2836">
        <v>0.52439024390243905</v>
      </c>
      <c r="W27" s="2836" cm="1">
        <f t="array" aca="1" ref="W27" ca="1">INDIRECT("'※ 소상공인 세부데이터'!"&amp;W$1&amp;$Z27, TRUE)</f>
        <v>-219</v>
      </c>
      <c r="X27" s="4894" cm="1">
        <f t="array" aca="1" ref="X27" ca="1">INDIRECT("'※ 소상공인 세부데이터'!"&amp;X$1&amp;$Z27, TRUE)</f>
        <v>47.166666666666664</v>
      </c>
      <c r="Y27" s="4895" cm="1">
        <f t="array" aca="1" ref="Y27" ca="1">INDIRECT("'※ 소상공인 세부데이터'!"&amp;Y$1&amp;$Z27, TRUE)</f>
        <v>-18.250000000000007</v>
      </c>
      <c r="Z27" s="3693">
        <f>ROW('※ 소상공인 세부데이터'!J97)</f>
        <v>97</v>
      </c>
      <c r="AA27" s="3053"/>
    </row>
    <row r="28" spans="1:27" ht="18" customHeight="1" x14ac:dyDescent="0.55000000000000004">
      <c r="A28" s="7278"/>
      <c r="B28" s="3033" t="s">
        <v>177</v>
      </c>
      <c r="C28" s="4889"/>
      <c r="D28" s="4890" cm="1">
        <f t="array" aca="1" ref="D28" ca="1">INDIRECT("'※ 소상공인 세부데이터'!"&amp;D$1&amp;$Z28, TRUE)</f>
        <v>1056</v>
      </c>
      <c r="E28" s="4891" cm="1">
        <f t="array" aca="1" ref="E28" ca="1">INDIRECT("'※ 소상공인 세부데이터'!"&amp;E$1&amp;$Z28, TRUE)</f>
        <v>513</v>
      </c>
      <c r="F28" s="4892" cm="1">
        <f t="array" aca="1" ref="F28" ca="1">INDIRECT("'※ 소상공인 세부데이터'!"&amp;F$1&amp;$Z28, TRUE)</f>
        <v>26</v>
      </c>
      <c r="G28" s="4890" cm="1">
        <f t="array" aca="1" ref="G28" ca="1">INDIRECT("'※ 소상공인 세부데이터'!"&amp;G$1&amp;$Z28, TRUE)</f>
        <v>77</v>
      </c>
      <c r="H28" s="4890" cm="1">
        <f t="array" aca="1" ref="H28" ca="1">INDIRECT("'※ 소상공인 세부데이터'!"&amp;H$1&amp;$Z28, TRUE)</f>
        <v>17</v>
      </c>
      <c r="I28" s="4890" cm="1">
        <f t="array" aca="1" ref="I28" ca="1">INDIRECT("'※ 소상공인 세부데이터'!"&amp;I$1&amp;$Z28, TRUE)</f>
        <v>31</v>
      </c>
      <c r="J28" s="4890" cm="1">
        <f t="array" aca="1" ref="J28" ca="1">INDIRECT("'※ 소상공인 세부데이터'!"&amp;J$1&amp;$Z28, TRUE)</f>
        <v>36</v>
      </c>
      <c r="K28" s="4890" cm="1">
        <f t="array" aca="1" ref="K28" ca="1">INDIRECT("'※ 소상공인 세부데이터'!"&amp;K$1&amp;$Z28, TRUE)</f>
        <v>29</v>
      </c>
      <c r="L28" s="4890" cm="1">
        <f t="array" aca="1" ref="L28" ca="1">INDIRECT("'※ 소상공인 세부데이터'!"&amp;L$1&amp;$Z28, TRUE)</f>
        <v>65.5</v>
      </c>
      <c r="M28" s="4890" cm="1">
        <f t="array" aca="1" ref="M28" ca="1">INDIRECT("'※ 소상공인 세부데이터'!"&amp;M$1&amp;$Z28, TRUE)</f>
        <v>29</v>
      </c>
      <c r="N28" s="4890" cm="1">
        <f t="array" aca="1" ref="N28" ca="1">INDIRECT("'※ 소상공인 세부데이터'!"&amp;N$1&amp;$Z28, TRUE)</f>
        <v>65.5</v>
      </c>
      <c r="O28" s="4890" cm="1">
        <f t="array" aca="1" ref="O28" ca="1">INDIRECT("'※ 소상공인 세부데이터'!"&amp;O$1&amp;$Z28, TRUE)</f>
        <v>32</v>
      </c>
      <c r="P28" s="4890" cm="1">
        <f t="array" aca="1" ref="P28" ca="1">INDIRECT("'※ 소상공인 세부데이터'!"&amp;P$1&amp;$Z28, TRUE)</f>
        <v>31</v>
      </c>
      <c r="Q28" s="4890" cm="1">
        <f t="array" aca="1" ref="Q28" ca="1">INDIRECT("'※ 소상공인 세부데이터'!"&amp;Q$1&amp;$Z28, TRUE)</f>
        <v>19</v>
      </c>
      <c r="R28" s="3064" cm="1">
        <f t="array" aca="1" ref="R28" ca="1">INDIRECT("'※ 소상공인 세부데이터'!"&amp;R$1&amp;$Z28, TRUE)</f>
        <v>-12</v>
      </c>
      <c r="S28" s="3065" cm="1">
        <f t="array" aca="1" ref="S28" ca="1">INDIRECT("'※ 소상공인 세부데이터'!"&amp;S$1&amp;$Z28, TRUE)</f>
        <v>1</v>
      </c>
      <c r="T28" s="4893" cm="1">
        <f t="array" aca="1" ref="T28" ca="1">INDIRECT("'※ 소상공인 세부데이터'!"&amp;T$1&amp;$Z28, TRUE)</f>
        <v>458</v>
      </c>
      <c r="U28" s="2836">
        <v>-335</v>
      </c>
      <c r="V28" s="2836">
        <v>0.3667296786389414</v>
      </c>
      <c r="W28" s="2836" cm="1">
        <f t="array" aca="1" ref="W28" ca="1">INDIRECT("'※ 소상공인 세부데이터'!"&amp;W$1&amp;$Z28, TRUE)</f>
        <v>-55</v>
      </c>
      <c r="X28" s="4894" cm="1">
        <f t="array" aca="1" ref="X28" ca="1">INDIRECT("'※ 소상공인 세부데이터'!"&amp;X$1&amp;$Z28, TRUE)</f>
        <v>38.166666666666664</v>
      </c>
      <c r="Y28" s="4895" cm="1">
        <f t="array" aca="1" ref="Y28" ca="1">INDIRECT("'※ 소상공인 세부데이터'!"&amp;Y$1&amp;$Z28, TRUE)</f>
        <v>-4.5833333333333357</v>
      </c>
      <c r="Z28" s="3693">
        <f>ROW('※ 소상공인 세부데이터'!J98)</f>
        <v>98</v>
      </c>
      <c r="AA28" s="3053"/>
    </row>
    <row r="29" spans="1:27" ht="18" customHeight="1" x14ac:dyDescent="0.55000000000000004">
      <c r="A29" s="7283" t="s">
        <v>179</v>
      </c>
      <c r="B29" s="4956" t="s">
        <v>143</v>
      </c>
      <c r="C29" s="4957"/>
      <c r="D29" s="4958" cm="1">
        <f t="array" aca="1" ref="D29" ca="1">INDIRECT("'※ 소상공인 세부데이터'!"&amp;D$1&amp;$Z29, TRUE)</f>
        <v>1587</v>
      </c>
      <c r="E29" s="4959" cm="1">
        <f t="array" aca="1" ref="E29" ca="1">INDIRECT("'※ 소상공인 세부데이터'!"&amp;E$1&amp;$Z29, TRUE)</f>
        <v>1599</v>
      </c>
      <c r="F29" s="4960" cm="1">
        <f t="array" aca="1" ref="F29" ca="1">INDIRECT("'※ 소상공인 세부데이터'!"&amp;F$1&amp;$Z29, TRUE)</f>
        <v>87</v>
      </c>
      <c r="G29" s="4958" cm="1">
        <f t="array" aca="1" ref="G29" ca="1">INDIRECT("'※ 소상공인 세부데이터'!"&amp;G$1&amp;$Z29, TRUE)</f>
        <v>97</v>
      </c>
      <c r="H29" s="4958" cm="1">
        <f t="array" aca="1" ref="H29" ca="1">INDIRECT("'※ 소상공인 세부데이터'!"&amp;H$1&amp;$Z29, TRUE)</f>
        <v>130</v>
      </c>
      <c r="I29" s="4958" cm="1">
        <f t="array" aca="1" ref="I29" ca="1">INDIRECT("'※ 소상공인 세부데이터'!"&amp;I$1&amp;$Z29, TRUE)</f>
        <v>148</v>
      </c>
      <c r="J29" s="4958" cm="1">
        <f t="array" aca="1" ref="J29" ca="1">INDIRECT("'※ 소상공인 세부데이터'!"&amp;J$1&amp;$Z29, TRUE)</f>
        <v>236</v>
      </c>
      <c r="K29" s="4958" cm="1">
        <f t="array" aca="1" ref="K29" ca="1">INDIRECT("'※ 소상공인 세부데이터'!"&amp;K$1&amp;$Z29, TRUE)</f>
        <v>164</v>
      </c>
      <c r="L29" s="4958" cm="1">
        <f t="array" aca="1" ref="L29" ca="1">INDIRECT("'※ 소상공인 세부데이터'!"&amp;L$1&amp;$Z29, TRUE)</f>
        <v>186</v>
      </c>
      <c r="M29" s="4958" cm="1">
        <f t="array" aca="1" ref="M29" ca="1">INDIRECT("'※ 소상공인 세부데이터'!"&amp;M$1&amp;$Z29, TRUE)</f>
        <v>206</v>
      </c>
      <c r="N29" s="4958" cm="1">
        <f t="array" aca="1" ref="N29" ca="1">INDIRECT("'※ 소상공인 세부데이터'!"&amp;N$1&amp;$Z29, TRUE)</f>
        <v>179</v>
      </c>
      <c r="O29" s="4958" cm="1">
        <f t="array" aca="1" ref="O29" ca="1">INDIRECT("'※ 소상공인 세부데이터'!"&amp;O$1&amp;$Z29, TRUE)</f>
        <v>173</v>
      </c>
      <c r="P29" s="4958" cm="1">
        <f t="array" aca="1" ref="P29" ca="1">INDIRECT("'※ 소상공인 세부데이터'!"&amp;P$1&amp;$Z29, TRUE)</f>
        <v>116</v>
      </c>
      <c r="Q29" s="4958" cm="1">
        <f t="array" aca="1" ref="Q29" ca="1">INDIRECT("'※ 소상공인 세부데이터'!"&amp;Q$1&amp;$Z29, TRUE)</f>
        <v>82</v>
      </c>
      <c r="R29" s="4961" cm="1">
        <f t="array" aca="1" ref="R29" ca="1">INDIRECT("'※ 소상공인 세부데이터'!"&amp;R$1&amp;$Z29, TRUE)</f>
        <v>-34</v>
      </c>
      <c r="S29" s="4962" cm="1">
        <f t="array" aca="1" ref="S29" ca="1">INDIRECT("'※ 소상공인 세부데이터'!"&amp;S$1&amp;$Z29, TRUE)</f>
        <v>-45</v>
      </c>
      <c r="T29" s="4963" cm="1">
        <f t="array" aca="1" ref="T29" ca="1">INDIRECT("'※ 소상공인 세부데이터'!"&amp;T$1&amp;$Z29, TRUE)</f>
        <v>1804</v>
      </c>
      <c r="U29" s="4964">
        <v>-107</v>
      </c>
      <c r="V29" s="4964">
        <v>0.88163716814159288</v>
      </c>
      <c r="W29" s="4964" cm="1">
        <f t="array" aca="1" ref="W29" ca="1">INDIRECT("'※ 소상공인 세부데이터'!"&amp;W$1&amp;$Z29, TRUE)</f>
        <v>205</v>
      </c>
      <c r="X29" s="4965" cm="1">
        <f t="array" aca="1" ref="X29" ca="1">INDIRECT("'※ 소상공인 세부데이터'!"&amp;X$1&amp;$Z29, TRUE)</f>
        <v>150.33333333333334</v>
      </c>
      <c r="Y29" s="4966" cm="1">
        <f t="array" aca="1" ref="Y29" ca="1">INDIRECT("'※ 소상공인 세부데이터'!"&amp;Y$1&amp;$Z29, TRUE)</f>
        <v>17.083333333333343</v>
      </c>
      <c r="Z29" s="3693">
        <f>ROW('※ 소상공인 세부데이터'!J99)</f>
        <v>99</v>
      </c>
      <c r="AA29" s="3053"/>
    </row>
    <row r="30" spans="1:27" ht="18" customHeight="1" x14ac:dyDescent="0.55000000000000004">
      <c r="A30" s="7284"/>
      <c r="B30" s="2884" t="s">
        <v>145</v>
      </c>
      <c r="C30" s="4936"/>
      <c r="D30" s="4937" cm="1">
        <f t="array" aca="1" ref="D30" ca="1">INDIRECT("'※ 소상공인 세부데이터'!"&amp;D$1&amp;$Z30, TRUE)</f>
        <v>1603</v>
      </c>
      <c r="E30" s="4938" cm="1">
        <f t="array" aca="1" ref="E30" ca="1">INDIRECT("'※ 소상공인 세부데이터'!"&amp;E$1&amp;$Z30, TRUE)</f>
        <v>1449</v>
      </c>
      <c r="F30" s="4939" cm="1">
        <f t="array" aca="1" ref="F30" ca="1">INDIRECT("'※ 소상공인 세부데이터'!"&amp;F$1&amp;$Z30, TRUE)</f>
        <v>67</v>
      </c>
      <c r="G30" s="4937" cm="1">
        <f t="array" aca="1" ref="G30" ca="1">INDIRECT("'※ 소상공인 세부데이터'!"&amp;G$1&amp;$Z30, TRUE)</f>
        <v>88</v>
      </c>
      <c r="H30" s="4937" cm="1">
        <f t="array" aca="1" ref="H30" ca="1">INDIRECT("'※ 소상공인 세부데이터'!"&amp;H$1&amp;$Z30, TRUE)</f>
        <v>90</v>
      </c>
      <c r="I30" s="4937" cm="1">
        <f t="array" aca="1" ref="I30" ca="1">INDIRECT("'※ 소상공인 세부데이터'!"&amp;I$1&amp;$Z30, TRUE)</f>
        <v>90</v>
      </c>
      <c r="J30" s="4937" cm="1">
        <f t="array" aca="1" ref="J30" ca="1">INDIRECT("'※ 소상공인 세부데이터'!"&amp;J$1&amp;$Z30, TRUE)</f>
        <v>196</v>
      </c>
      <c r="K30" s="4937" cm="1">
        <f t="array" aca="1" ref="K30" ca="1">INDIRECT("'※ 소상공인 세부데이터'!"&amp;K$1&amp;$Z30, TRUE)</f>
        <v>65</v>
      </c>
      <c r="L30" s="4937" cm="1">
        <f t="array" aca="1" ref="L30" ca="1">INDIRECT("'※ 소상공인 세부데이터'!"&amp;L$1&amp;$Z30, TRUE)</f>
        <v>101</v>
      </c>
      <c r="M30" s="4937" cm="1">
        <f t="array" aca="1" ref="M30" ca="1">INDIRECT("'※ 소상공인 세부데이터'!"&amp;M$1&amp;$Z30, TRUE)</f>
        <v>71</v>
      </c>
      <c r="N30" s="4937" cm="1">
        <f t="array" aca="1" ref="N30" ca="1">INDIRECT("'※ 소상공인 세부데이터'!"&amp;N$1&amp;$Z30, TRUE)</f>
        <v>103</v>
      </c>
      <c r="O30" s="4937" cm="1">
        <f t="array" aca="1" ref="O30" ca="1">INDIRECT("'※ 소상공인 세부데이터'!"&amp;O$1&amp;$Z30, TRUE)</f>
        <v>96</v>
      </c>
      <c r="P30" s="4937" cm="1">
        <f t="array" aca="1" ref="P30" ca="1">INDIRECT("'※ 소상공인 세부데이터'!"&amp;P$1&amp;$Z30, TRUE)</f>
        <v>85</v>
      </c>
      <c r="Q30" s="4937" cm="1">
        <f t="array" aca="1" ref="Q30" ca="1">INDIRECT("'※ 소상공인 세부데이터'!"&amp;Q$1&amp;$Z30, TRUE)</f>
        <v>55</v>
      </c>
      <c r="R30" s="4940" cm="1">
        <f t="array" aca="1" ref="R30" ca="1">INDIRECT("'※ 소상공인 세부데이터'!"&amp;R$1&amp;$Z30, TRUE)</f>
        <v>-30</v>
      </c>
      <c r="S30" s="4941" cm="1">
        <f t="array" aca="1" ref="S30" ca="1">INDIRECT("'※ 소상공인 세부데이터'!"&amp;S$1&amp;$Z30, TRUE)</f>
        <v>-31</v>
      </c>
      <c r="T30" s="4942" cm="1">
        <f t="array" aca="1" ref="T30" ca="1">INDIRECT("'※ 소상공인 세부데이터'!"&amp;T$1&amp;$Z30, TRUE)</f>
        <v>1107</v>
      </c>
      <c r="U30" s="4943">
        <v>-26</v>
      </c>
      <c r="V30" s="4943">
        <v>0.96852300242130751</v>
      </c>
      <c r="W30" s="4943" cm="1">
        <f t="array" aca="1" ref="W30" ca="1">INDIRECT("'※ 소상공인 세부데이터'!"&amp;W$1&amp;$Z30, TRUE)</f>
        <v>-342</v>
      </c>
      <c r="X30" s="4944" cm="1">
        <f t="array" aca="1" ref="X30" ca="1">INDIRECT("'※ 소상공인 세부데이터'!"&amp;X$1&amp;$Z30, TRUE)</f>
        <v>92.25</v>
      </c>
      <c r="Y30" s="4945" cm="1">
        <f t="array" aca="1" ref="Y30" ca="1">INDIRECT("'※ 소상공인 세부데이터'!"&amp;Y$1&amp;$Z30, TRUE)</f>
        <v>-28.5</v>
      </c>
      <c r="Z30" s="3693">
        <f>ROW('※ 소상공인 세부데이터'!J100)</f>
        <v>100</v>
      </c>
      <c r="AA30" s="3053"/>
    </row>
    <row r="31" spans="1:27" ht="18" customHeight="1" x14ac:dyDescent="0.55000000000000004">
      <c r="A31" s="7284"/>
      <c r="B31" s="2884" t="s">
        <v>147</v>
      </c>
      <c r="C31" s="4936"/>
      <c r="D31" s="4937" cm="1">
        <f t="array" aca="1" ref="D31" ca="1">INDIRECT("'※ 소상공인 세부데이터'!"&amp;D$1&amp;$Z31, TRUE)</f>
        <v>1355</v>
      </c>
      <c r="E31" s="4938" cm="1">
        <f t="array" aca="1" ref="E31" ca="1">INDIRECT("'※ 소상공인 세부데이터'!"&amp;E$1&amp;$Z31, TRUE)</f>
        <v>1401</v>
      </c>
      <c r="F31" s="4939" cm="1">
        <f t="array" aca="1" ref="F31" ca="1">INDIRECT("'※ 소상공인 세부데이터'!"&amp;F$1&amp;$Z31, TRUE)</f>
        <v>167</v>
      </c>
      <c r="G31" s="4937" cm="1">
        <f t="array" aca="1" ref="G31" ca="1">INDIRECT("'※ 소상공인 세부데이터'!"&amp;G$1&amp;$Z31, TRUE)</f>
        <v>94</v>
      </c>
      <c r="H31" s="4937" cm="1">
        <f t="array" aca="1" ref="H31" ca="1">INDIRECT("'※ 소상공인 세부데이터'!"&amp;H$1&amp;$Z31, TRUE)</f>
        <v>116</v>
      </c>
      <c r="I31" s="4937" cm="1">
        <f t="array" aca="1" ref="I31" ca="1">INDIRECT("'※ 소상공인 세부데이터'!"&amp;I$1&amp;$Z31, TRUE)</f>
        <v>110</v>
      </c>
      <c r="J31" s="4937" cm="1">
        <f t="array" aca="1" ref="J31" ca="1">INDIRECT("'※ 소상공인 세부데이터'!"&amp;J$1&amp;$Z31, TRUE)</f>
        <v>140</v>
      </c>
      <c r="K31" s="4937" cm="1">
        <f t="array" aca="1" ref="K31" ca="1">INDIRECT("'※ 소상공인 세부데이터'!"&amp;K$1&amp;$Z31, TRUE)</f>
        <v>104</v>
      </c>
      <c r="L31" s="4937" cm="1">
        <f t="array" aca="1" ref="L31" ca="1">INDIRECT("'※ 소상공인 세부데이터'!"&amp;L$1&amp;$Z31, TRUE)</f>
        <v>130</v>
      </c>
      <c r="M31" s="4937" cm="1">
        <f t="array" aca="1" ref="M31" ca="1">INDIRECT("'※ 소상공인 세부데이터'!"&amp;M$1&amp;$Z31, TRUE)</f>
        <v>126</v>
      </c>
      <c r="N31" s="4937" cm="1">
        <f t="array" aca="1" ref="N31" ca="1">INDIRECT("'※ 소상공인 세부데이터'!"&amp;N$1&amp;$Z31, TRUE)</f>
        <v>120</v>
      </c>
      <c r="O31" s="4937" cm="1">
        <f t="array" aca="1" ref="O31" ca="1">INDIRECT("'※ 소상공인 세부데이터'!"&amp;O$1&amp;$Z31, TRUE)</f>
        <v>56</v>
      </c>
      <c r="P31" s="4937" cm="1">
        <f t="array" aca="1" ref="P31" ca="1">INDIRECT("'※ 소상공인 세부데이터'!"&amp;P$1&amp;$Z31, TRUE)</f>
        <v>95</v>
      </c>
      <c r="Q31" s="4937" cm="1">
        <f t="array" aca="1" ref="Q31" ca="1">INDIRECT("'※ 소상공인 세부데이터'!"&amp;Q$1&amp;$Z31, TRUE)</f>
        <v>67</v>
      </c>
      <c r="R31" s="4940" cm="1">
        <f t="array" aca="1" ref="R31" ca="1">INDIRECT("'※ 소상공인 세부데이터'!"&amp;R$1&amp;$Z31, TRUE)</f>
        <v>-28</v>
      </c>
      <c r="S31" s="4941" cm="1">
        <f t="array" aca="1" ref="S31" ca="1">INDIRECT("'※ 소상공인 세부데이터'!"&amp;S$1&amp;$Z31, TRUE)</f>
        <v>-13</v>
      </c>
      <c r="T31" s="4942" cm="1">
        <f t="array" aca="1" ref="T31" ca="1">INDIRECT("'※ 소상공인 세부데이터'!"&amp;T$1&amp;$Z31, TRUE)</f>
        <v>1325</v>
      </c>
      <c r="U31" s="4943">
        <v>-168</v>
      </c>
      <c r="V31" s="4943">
        <v>0.79078455790784563</v>
      </c>
      <c r="W31" s="4943" cm="1">
        <f t="array" aca="1" ref="W31" ca="1">INDIRECT("'※ 소상공인 세부데이터'!"&amp;W$1&amp;$Z31, TRUE)</f>
        <v>-76</v>
      </c>
      <c r="X31" s="4944" cm="1">
        <f t="array" aca="1" ref="X31" ca="1">INDIRECT("'※ 소상공인 세부데이터'!"&amp;X$1&amp;$Z31, TRUE)</f>
        <v>110.41666666666667</v>
      </c>
      <c r="Y31" s="4945" cm="1">
        <f t="array" aca="1" ref="Y31" ca="1">INDIRECT("'※ 소상공인 세부데이터'!"&amp;Y$1&amp;$Z31, TRUE)</f>
        <v>-6.3333333333333286</v>
      </c>
      <c r="Z31" s="3693">
        <f>ROW('※ 소상공인 세부데이터'!J101)</f>
        <v>101</v>
      </c>
      <c r="AA31" s="3053"/>
    </row>
    <row r="32" spans="1:27" ht="18" customHeight="1" x14ac:dyDescent="0.55000000000000004">
      <c r="A32" s="7284"/>
      <c r="B32" s="2884" t="s">
        <v>176</v>
      </c>
      <c r="C32" s="4936"/>
      <c r="D32" s="4937" cm="1">
        <f t="array" aca="1" ref="D32" ca="1">INDIRECT("'※ 소상공인 세부데이터'!"&amp;D$1&amp;$Z32, TRUE)</f>
        <v>1858</v>
      </c>
      <c r="E32" s="4938" cm="1">
        <f t="array" aca="1" ref="E32" ca="1">INDIRECT("'※ 소상공인 세부데이터'!"&amp;E$1&amp;$Z32, TRUE)</f>
        <v>1867</v>
      </c>
      <c r="F32" s="4939" cm="1">
        <f t="array" aca="1" ref="F32" ca="1">INDIRECT("'※ 소상공인 세부데이터'!"&amp;F$1&amp;$Z32, TRUE)</f>
        <v>125</v>
      </c>
      <c r="G32" s="4937" cm="1">
        <f t="array" aca="1" ref="G32" ca="1">INDIRECT("'※ 소상공인 세부데이터'!"&amp;G$1&amp;$Z32, TRUE)</f>
        <v>102</v>
      </c>
      <c r="H32" s="4937" cm="1">
        <f t="array" aca="1" ref="H32" ca="1">INDIRECT("'※ 소상공인 세부데이터'!"&amp;H$1&amp;$Z32, TRUE)</f>
        <v>167</v>
      </c>
      <c r="I32" s="4937" cm="1">
        <f t="array" aca="1" ref="I32" ca="1">INDIRECT("'※ 소상공인 세부데이터'!"&amp;I$1&amp;$Z32, TRUE)</f>
        <v>303</v>
      </c>
      <c r="J32" s="4937" cm="1">
        <f t="array" aca="1" ref="J32" ca="1">INDIRECT("'※ 소상공인 세부데이터'!"&amp;J$1&amp;$Z32, TRUE)</f>
        <v>257</v>
      </c>
      <c r="K32" s="4937" cm="1">
        <f t="array" aca="1" ref="K32" ca="1">INDIRECT("'※ 소상공인 세부데이터'!"&amp;K$1&amp;$Z32, TRUE)</f>
        <v>179</v>
      </c>
      <c r="L32" s="4937" cm="1">
        <f t="array" aca="1" ref="L32" ca="1">INDIRECT("'※ 소상공인 세부데이터'!"&amp;L$1&amp;$Z32, TRUE)</f>
        <v>417</v>
      </c>
      <c r="M32" s="4937" cm="1">
        <f t="array" aca="1" ref="M32" ca="1">INDIRECT("'※ 소상공인 세부데이터'!"&amp;M$1&amp;$Z32, TRUE)</f>
        <v>228</v>
      </c>
      <c r="N32" s="4937" cm="1">
        <f t="array" aca="1" ref="N32" ca="1">INDIRECT("'※ 소상공인 세부데이터'!"&amp;N$1&amp;$Z32, TRUE)</f>
        <v>235</v>
      </c>
      <c r="O32" s="4937" cm="1">
        <f t="array" aca="1" ref="O32" ca="1">INDIRECT("'※ 소상공인 세부데이터'!"&amp;O$1&amp;$Z32, TRUE)</f>
        <v>111</v>
      </c>
      <c r="P32" s="4937" cm="1">
        <f t="array" aca="1" ref="P32" ca="1">INDIRECT("'※ 소상공인 세부데이터'!"&amp;P$1&amp;$Z32, TRUE)</f>
        <v>72</v>
      </c>
      <c r="Q32" s="4937" cm="1">
        <f t="array" aca="1" ref="Q32" ca="1">INDIRECT("'※ 소상공인 세부데이터'!"&amp;Q$1&amp;$Z32, TRUE)</f>
        <v>74</v>
      </c>
      <c r="R32" s="4940" cm="1">
        <f t="array" aca="1" ref="R32" ca="1">INDIRECT("'※ 소상공인 세부데이터'!"&amp;R$1&amp;$Z32, TRUE)</f>
        <v>2</v>
      </c>
      <c r="S32" s="4941" cm="1">
        <f t="array" aca="1" ref="S32" ca="1">INDIRECT("'※ 소상공인 세부데이터'!"&amp;S$1&amp;$Z32, TRUE)</f>
        <v>-31</v>
      </c>
      <c r="T32" s="4942" cm="1">
        <f t="array" aca="1" ref="T32" ca="1">INDIRECT("'※ 소상공인 세부데이터'!"&amp;T$1&amp;$Z32, TRUE)</f>
        <v>2270</v>
      </c>
      <c r="U32" s="4943">
        <v>-52</v>
      </c>
      <c r="V32" s="4943">
        <v>0.95140186915887848</v>
      </c>
      <c r="W32" s="4943" cm="1">
        <f t="array" aca="1" ref="W32" ca="1">INDIRECT("'※ 소상공인 세부데이터'!"&amp;W$1&amp;$Z32, TRUE)</f>
        <v>403</v>
      </c>
      <c r="X32" s="4944" cm="1">
        <f t="array" aca="1" ref="X32" ca="1">INDIRECT("'※ 소상공인 세부데이터'!"&amp;X$1&amp;$Z32, TRUE)</f>
        <v>189.16666666666666</v>
      </c>
      <c r="Y32" s="4945" cm="1">
        <f t="array" aca="1" ref="Y32" ca="1">INDIRECT("'※ 소상공인 세부데이터'!"&amp;Y$1&amp;$Z32, TRUE)</f>
        <v>33.583333333333314</v>
      </c>
      <c r="Z32" s="3693">
        <f>ROW('※ 소상공인 세부데이터'!J102)</f>
        <v>102</v>
      </c>
      <c r="AA32" s="3053"/>
    </row>
    <row r="33" spans="1:39" ht="18" customHeight="1" x14ac:dyDescent="0.55000000000000004">
      <c r="A33" s="7285"/>
      <c r="B33" s="4967" t="s">
        <v>177</v>
      </c>
      <c r="C33" s="4968"/>
      <c r="D33" s="4969" cm="1">
        <f t="array" aca="1" ref="D33" ca="1">INDIRECT("'※ 소상공인 세부데이터'!"&amp;D$1&amp;$Z33, TRUE)</f>
        <v>2016</v>
      </c>
      <c r="E33" s="4970" cm="1">
        <f t="array" aca="1" ref="E33" ca="1">INDIRECT("'※ 소상공인 세부데이터'!"&amp;E$1&amp;$Z33, TRUE)</f>
        <v>2554</v>
      </c>
      <c r="F33" s="4971" cm="1">
        <f t="array" aca="1" ref="F33" ca="1">INDIRECT("'※ 소상공인 세부데이터'!"&amp;F$1&amp;$Z33, TRUE)</f>
        <v>105</v>
      </c>
      <c r="G33" s="4969" cm="1">
        <f t="array" aca="1" ref="G33" ca="1">INDIRECT("'※ 소상공인 세부데이터'!"&amp;G$1&amp;$Z33, TRUE)</f>
        <v>148</v>
      </c>
      <c r="H33" s="4969" cm="1">
        <f t="array" aca="1" ref="H33" ca="1">INDIRECT("'※ 소상공인 세부데이터'!"&amp;H$1&amp;$Z33, TRUE)</f>
        <v>272</v>
      </c>
      <c r="I33" s="4969" cm="1">
        <f t="array" aca="1" ref="I33" ca="1">INDIRECT("'※ 소상공인 세부데이터'!"&amp;I$1&amp;$Z33, TRUE)</f>
        <v>140</v>
      </c>
      <c r="J33" s="4969" cm="1">
        <f t="array" aca="1" ref="J33" ca="1">INDIRECT("'※ 소상공인 세부데이터'!"&amp;J$1&amp;$Z33, TRUE)</f>
        <v>129</v>
      </c>
      <c r="K33" s="4969" cm="1">
        <f t="array" aca="1" ref="K33" ca="1">INDIRECT("'※ 소상공인 세부데이터'!"&amp;K$1&amp;$Z33, TRUE)</f>
        <v>295</v>
      </c>
      <c r="L33" s="4969" cm="1">
        <f t="array" aca="1" ref="L33" ca="1">INDIRECT("'※ 소상공인 세부데이터'!"&amp;L$1&amp;$Z33, TRUE)</f>
        <v>237</v>
      </c>
      <c r="M33" s="4969" cm="1">
        <f t="array" aca="1" ref="M33" ca="1">INDIRECT("'※ 소상공인 세부데이터'!"&amp;M$1&amp;$Z33, TRUE)</f>
        <v>199</v>
      </c>
      <c r="N33" s="4969" cm="1">
        <f t="array" aca="1" ref="N33" ca="1">INDIRECT("'※ 소상공인 세부데이터'!"&amp;N$1&amp;$Z33, TRUE)</f>
        <v>250</v>
      </c>
      <c r="O33" s="4969" cm="1">
        <f t="array" aca="1" ref="O33" ca="1">INDIRECT("'※ 소상공인 세부데이터'!"&amp;O$1&amp;$Z33, TRUE)</f>
        <v>142</v>
      </c>
      <c r="P33" s="4969" cm="1">
        <f t="array" aca="1" ref="P33" ca="1">INDIRECT("'※ 소상공인 세부데이터'!"&amp;P$1&amp;$Z33, TRUE)</f>
        <v>119</v>
      </c>
      <c r="Q33" s="4969" cm="1">
        <f t="array" aca="1" ref="Q33" ca="1">INDIRECT("'※ 소상공인 세부데이터'!"&amp;Q$1&amp;$Z33, TRUE)</f>
        <v>103</v>
      </c>
      <c r="R33" s="4972" cm="1">
        <f t="array" aca="1" ref="R33" ca="1">INDIRECT("'※ 소상공인 세부데이터'!"&amp;R$1&amp;$Z33, TRUE)</f>
        <v>-16</v>
      </c>
      <c r="S33" s="4973" cm="1">
        <f t="array" aca="1" ref="S33" ca="1">INDIRECT("'※ 소상공인 세부데이터'!"&amp;S$1&amp;$Z33, TRUE)</f>
        <v>-52</v>
      </c>
      <c r="T33" s="4974" cm="1">
        <f t="array" aca="1" ref="T33" ca="1">INDIRECT("'※ 소상공인 세부데이터'!"&amp;T$1&amp;$Z33, TRUE)</f>
        <v>2139</v>
      </c>
      <c r="U33" s="4975">
        <v>124</v>
      </c>
      <c r="V33" s="4975">
        <v>1.1128298453139218</v>
      </c>
      <c r="W33" s="4975" cm="1">
        <f t="array" aca="1" ref="W33" ca="1">INDIRECT("'※ 소상공인 세부데이터'!"&amp;W$1&amp;$Z33, TRUE)</f>
        <v>-415</v>
      </c>
      <c r="X33" s="4976" cm="1">
        <f t="array" aca="1" ref="X33" ca="1">INDIRECT("'※ 소상공인 세부데이터'!"&amp;X$1&amp;$Z33, TRUE)</f>
        <v>178.25</v>
      </c>
      <c r="Y33" s="4977" cm="1">
        <f t="array" aca="1" ref="Y33" ca="1">INDIRECT("'※ 소상공인 세부데이터'!"&amp;Y$1&amp;$Z33, TRUE)</f>
        <v>-34.583333333333343</v>
      </c>
      <c r="Z33" s="3693">
        <f>ROW('※ 소상공인 세부데이터'!J103)</f>
        <v>103</v>
      </c>
      <c r="AA33" s="3053"/>
    </row>
    <row r="34" spans="1:39" ht="18" customHeight="1" x14ac:dyDescent="0.55000000000000004">
      <c r="A34" s="7278" t="s">
        <v>180</v>
      </c>
      <c r="B34" s="3033" t="s">
        <v>143</v>
      </c>
      <c r="C34" s="4889"/>
      <c r="D34" s="4890" cm="1">
        <f t="array" aca="1" ref="D34" ca="1">INDIRECT("'※ 소상공인 세부데이터'!"&amp;D$1&amp;$Z34, TRUE)</f>
        <v>1918</v>
      </c>
      <c r="E34" s="4891" cm="1">
        <f t="array" aca="1" ref="E34" ca="1">INDIRECT("'※ 소상공인 세부데이터'!"&amp;E$1&amp;$Z34, TRUE)</f>
        <v>1782</v>
      </c>
      <c r="F34" s="4892" cm="1">
        <f t="array" aca="1" ref="F34" ca="1">INDIRECT("'※ 소상공인 세부데이터'!"&amp;F$1&amp;$Z34, TRUE)</f>
        <v>107</v>
      </c>
      <c r="G34" s="4890" cm="1">
        <f t="array" aca="1" ref="G34" ca="1">INDIRECT("'※ 소상공인 세부데이터'!"&amp;G$1&amp;$Z34, TRUE)</f>
        <v>145</v>
      </c>
      <c r="H34" s="4890" cm="1">
        <f t="array" aca="1" ref="H34" ca="1">INDIRECT("'※ 소상공인 세부데이터'!"&amp;H$1&amp;$Z34, TRUE)</f>
        <v>108</v>
      </c>
      <c r="I34" s="4890" cm="1">
        <f t="array" aca="1" ref="I34" ca="1">INDIRECT("'※ 소상공인 세부데이터'!"&amp;I$1&amp;$Z34, TRUE)</f>
        <v>160</v>
      </c>
      <c r="J34" s="4890" cm="1">
        <f t="array" aca="1" ref="J34" ca="1">INDIRECT("'※ 소상공인 세부데이터'!"&amp;J$1&amp;$Z34, TRUE)</f>
        <v>176</v>
      </c>
      <c r="K34" s="4890" cm="1">
        <f t="array" aca="1" ref="K34" ca="1">INDIRECT("'※ 소상공인 세부데이터'!"&amp;K$1&amp;$Z34, TRUE)</f>
        <v>150</v>
      </c>
      <c r="L34" s="4890" cm="1">
        <f t="array" aca="1" ref="L34" ca="1">INDIRECT("'※ 소상공인 세부데이터'!"&amp;L$1&amp;$Z34, TRUE)</f>
        <v>358</v>
      </c>
      <c r="M34" s="4890" cm="1">
        <f t="array" aca="1" ref="M34" ca="1">INDIRECT("'※ 소상공인 세부데이터'!"&amp;M$1&amp;$Z34, TRUE)</f>
        <v>513</v>
      </c>
      <c r="N34" s="4890" cm="1">
        <f t="array" aca="1" ref="N34" ca="1">INDIRECT("'※ 소상공인 세부데이터'!"&amp;N$1&amp;$Z34, TRUE)</f>
        <v>275</v>
      </c>
      <c r="O34" s="4890" cm="1">
        <f t="array" aca="1" ref="O34" ca="1">INDIRECT("'※ 소상공인 세부데이터'!"&amp;O$1&amp;$Z34, TRUE)</f>
        <v>505</v>
      </c>
      <c r="P34" s="4890" cm="1">
        <f t="array" aca="1" ref="P34" ca="1">INDIRECT("'※ 소상공인 세부데이터'!"&amp;P$1&amp;$Z34, TRUE)</f>
        <v>148</v>
      </c>
      <c r="Q34" s="4890" cm="1">
        <f t="array" aca="1" ref="Q34" ca="1">INDIRECT("'※ 소상공인 세부데이터'!"&amp;Q$1&amp;$Z34, TRUE)</f>
        <v>66</v>
      </c>
      <c r="R34" s="3064" cm="1">
        <f t="array" aca="1" ref="R34" ca="1">INDIRECT("'※ 소상공인 세부데이터'!"&amp;R$1&amp;$Z34, TRUE)</f>
        <v>-82</v>
      </c>
      <c r="S34" s="3065" cm="1">
        <f t="array" aca="1" ref="S34" ca="1">INDIRECT("'※ 소상공인 세부데이터'!"&amp;S$1&amp;$Z34, TRUE)</f>
        <v>-31</v>
      </c>
      <c r="T34" s="4893" cm="1">
        <f t="array" aca="1" ref="T34" ca="1">INDIRECT("'※ 소상공인 세부데이터'!"&amp;T$1&amp;$Z34, TRUE)</f>
        <v>2711</v>
      </c>
      <c r="U34" s="2836">
        <v>-68</v>
      </c>
      <c r="V34" s="2836">
        <v>0.93352883675464315</v>
      </c>
      <c r="W34" s="2836" cm="1">
        <f t="array" aca="1" ref="W34" ca="1">INDIRECT("'※ 소상공인 세부데이터'!"&amp;W$1&amp;$Z34, TRUE)</f>
        <v>929</v>
      </c>
      <c r="X34" s="4894" cm="1">
        <f t="array" aca="1" ref="X34" ca="1">INDIRECT("'※ 소상공인 세부데이터'!"&amp;X$1&amp;$Z34, TRUE)</f>
        <v>225.91666666666666</v>
      </c>
      <c r="Y34" s="4895" cm="1">
        <f t="array" aca="1" ref="Y34" ca="1">INDIRECT("'※ 소상공인 세부데이터'!"&amp;Y$1&amp;$Z34, TRUE)</f>
        <v>77.416666666666657</v>
      </c>
      <c r="Z34" s="3693">
        <f>ROW('※ 소상공인 세부데이터'!J104)</f>
        <v>104</v>
      </c>
      <c r="AA34" s="3053"/>
    </row>
    <row r="35" spans="1:39" ht="18" customHeight="1" x14ac:dyDescent="0.55000000000000004">
      <c r="A35" s="7278"/>
      <c r="B35" s="3033" t="s">
        <v>145</v>
      </c>
      <c r="C35" s="4889"/>
      <c r="D35" s="4890" cm="1">
        <f t="array" aca="1" ref="D35" ca="1">INDIRECT("'※ 소상공인 세부데이터'!"&amp;D$1&amp;$Z35, TRUE)</f>
        <v>1857</v>
      </c>
      <c r="E35" s="4891" cm="1">
        <f t="array" aca="1" ref="E35" ca="1">INDIRECT("'※ 소상공인 세부데이터'!"&amp;E$1&amp;$Z35, TRUE)</f>
        <v>1204</v>
      </c>
      <c r="F35" s="4892" cm="1">
        <f t="array" aca="1" ref="F35" ca="1">INDIRECT("'※ 소상공인 세부데이터'!"&amp;F$1&amp;$Z35, TRUE)</f>
        <v>24</v>
      </c>
      <c r="G35" s="4890" cm="1">
        <f t="array" aca="1" ref="G35" ca="1">INDIRECT("'※ 소상공인 세부데이터'!"&amp;G$1&amp;$Z35, TRUE)</f>
        <v>50</v>
      </c>
      <c r="H35" s="4890" cm="1">
        <f t="array" aca="1" ref="H35" ca="1">INDIRECT("'※ 소상공인 세부데이터'!"&amp;H$1&amp;$Z35, TRUE)</f>
        <v>46</v>
      </c>
      <c r="I35" s="4890" cm="1">
        <f t="array" aca="1" ref="I35" ca="1">INDIRECT("'※ 소상공인 세부데이터'!"&amp;I$1&amp;$Z35, TRUE)</f>
        <v>50</v>
      </c>
      <c r="J35" s="4890" cm="1">
        <f t="array" aca="1" ref="J35" ca="1">INDIRECT("'※ 소상공인 세부데이터'!"&amp;J$1&amp;$Z35, TRUE)</f>
        <v>78</v>
      </c>
      <c r="K35" s="4890" cm="1">
        <f t="array" aca="1" ref="K35" ca="1">INDIRECT("'※ 소상공인 세부데이터'!"&amp;K$1&amp;$Z35, TRUE)</f>
        <v>19</v>
      </c>
      <c r="L35" s="4890" cm="1">
        <f t="array" aca="1" ref="L35" ca="1">INDIRECT("'※ 소상공인 세부데이터'!"&amp;L$1&amp;$Z35, TRUE)</f>
        <v>108</v>
      </c>
      <c r="M35" s="4890" cm="1">
        <f t="array" aca="1" ref="M35" ca="1">INDIRECT("'※ 소상공인 세부데이터'!"&amp;M$1&amp;$Z35, TRUE)</f>
        <v>65</v>
      </c>
      <c r="N35" s="4890" cm="1">
        <f t="array" aca="1" ref="N35" ca="1">INDIRECT("'※ 소상공인 세부데이터'!"&amp;N$1&amp;$Z35, TRUE)</f>
        <v>118</v>
      </c>
      <c r="O35" s="4890" cm="1">
        <f t="array" aca="1" ref="O35" ca="1">INDIRECT("'※ 소상공인 세부데이터'!"&amp;O$1&amp;$Z35, TRUE)</f>
        <v>135</v>
      </c>
      <c r="P35" s="4890" cm="1">
        <f t="array" aca="1" ref="P35" ca="1">INDIRECT("'※ 소상공인 세부데이터'!"&amp;P$1&amp;$Z35, TRUE)</f>
        <v>104</v>
      </c>
      <c r="Q35" s="4890" cm="1">
        <f t="array" aca="1" ref="Q35" ca="1">INDIRECT("'※ 소상공인 세부데이터'!"&amp;Q$1&amp;$Z35, TRUE)</f>
        <v>91</v>
      </c>
      <c r="R35" s="3064" cm="1">
        <f t="array" aca="1" ref="R35" ca="1">INDIRECT("'※ 소상공인 세부데이터'!"&amp;R$1&amp;$Z35, TRUE)</f>
        <v>-13</v>
      </c>
      <c r="S35" s="3065" cm="1">
        <f t="array" aca="1" ref="S35" ca="1">INDIRECT("'※ 소상공인 세부데이터'!"&amp;S$1&amp;$Z35, TRUE)</f>
        <v>33</v>
      </c>
      <c r="T35" s="4893" cm="1">
        <f t="array" aca="1" ref="T35" ca="1">INDIRECT("'※ 소상공인 세부데이터'!"&amp;T$1&amp;$Z35, TRUE)</f>
        <v>888</v>
      </c>
      <c r="U35" s="2836">
        <v>-313</v>
      </c>
      <c r="V35" s="2836">
        <v>0.65222222222222226</v>
      </c>
      <c r="W35" s="2836" cm="1">
        <f t="array" aca="1" ref="W35" ca="1">INDIRECT("'※ 소상공인 세부데이터'!"&amp;W$1&amp;$Z35, TRUE)</f>
        <v>-316</v>
      </c>
      <c r="X35" s="4894" cm="1">
        <f t="array" aca="1" ref="X35" ca="1">INDIRECT("'※ 소상공인 세부데이터'!"&amp;X$1&amp;$Z35, TRUE)</f>
        <v>74</v>
      </c>
      <c r="Y35" s="4895" cm="1">
        <f t="array" aca="1" ref="Y35" ca="1">INDIRECT("'※ 소상공인 세부데이터'!"&amp;Y$1&amp;$Z35, TRUE)</f>
        <v>-26.333333333333329</v>
      </c>
      <c r="Z35" s="3693">
        <f>ROW('※ 소상공인 세부데이터'!J105)</f>
        <v>105</v>
      </c>
      <c r="AA35" s="3053"/>
    </row>
    <row r="36" spans="1:39" ht="18" customHeight="1" x14ac:dyDescent="0.55000000000000004">
      <c r="A36" s="7278"/>
      <c r="B36" s="3033" t="s">
        <v>147</v>
      </c>
      <c r="C36" s="4889"/>
      <c r="D36" s="4890" cm="1">
        <f t="array" aca="1" ref="D36" ca="1">INDIRECT("'※ 소상공인 세부데이터'!"&amp;D$1&amp;$Z36, TRUE)</f>
        <v>2428</v>
      </c>
      <c r="E36" s="4891" cm="1">
        <f t="array" aca="1" ref="E36" ca="1">INDIRECT("'※ 소상공인 세부데이터'!"&amp;E$1&amp;$Z36, TRUE)</f>
        <v>1896</v>
      </c>
      <c r="F36" s="4892" cm="1">
        <f t="array" aca="1" ref="F36" ca="1">INDIRECT("'※ 소상공인 세부데이터'!"&amp;F$1&amp;$Z36, TRUE)</f>
        <v>147</v>
      </c>
      <c r="G36" s="4890" cm="1">
        <f t="array" aca="1" ref="G36" ca="1">INDIRECT("'※ 소상공인 세부데이터'!"&amp;G$1&amp;$Z36, TRUE)</f>
        <v>61</v>
      </c>
      <c r="H36" s="4890" cm="1">
        <f t="array" aca="1" ref="H36" ca="1">INDIRECT("'※ 소상공인 세부데이터'!"&amp;H$1&amp;$Z36, TRUE)</f>
        <v>133</v>
      </c>
      <c r="I36" s="4890" cm="1">
        <f t="array" aca="1" ref="I36" ca="1">INDIRECT("'※ 소상공인 세부데이터'!"&amp;I$1&amp;$Z36, TRUE)</f>
        <v>87</v>
      </c>
      <c r="J36" s="4890" cm="1">
        <f t="array" aca="1" ref="J36" ca="1">INDIRECT("'※ 소상공인 세부데이터'!"&amp;J$1&amp;$Z36, TRUE)</f>
        <v>136</v>
      </c>
      <c r="K36" s="4890" cm="1">
        <f t="array" aca="1" ref="K36" ca="1">INDIRECT("'※ 소상공인 세부데이터'!"&amp;K$1&amp;$Z36, TRUE)</f>
        <v>123</v>
      </c>
      <c r="L36" s="4890" cm="1">
        <f t="array" aca="1" ref="L36" ca="1">INDIRECT("'※ 소상공인 세부데이터'!"&amp;L$1&amp;$Z36, TRUE)</f>
        <v>99</v>
      </c>
      <c r="M36" s="4890" cm="1">
        <f t="array" aca="1" ref="M36" ca="1">INDIRECT("'※ 소상공인 세부데이터'!"&amp;M$1&amp;$Z36, TRUE)</f>
        <v>194</v>
      </c>
      <c r="N36" s="4890" cm="1">
        <f t="array" aca="1" ref="N36" ca="1">INDIRECT("'※ 소상공인 세부데이터'!"&amp;N$1&amp;$Z36, TRUE)</f>
        <v>137</v>
      </c>
      <c r="O36" s="4890" cm="1">
        <f t="array" aca="1" ref="O36" ca="1">INDIRECT("'※ 소상공인 세부데이터'!"&amp;O$1&amp;$Z36, TRUE)</f>
        <v>33</v>
      </c>
      <c r="P36" s="4890" cm="1">
        <f t="array" aca="1" ref="P36" ca="1">INDIRECT("'※ 소상공인 세부데이터'!"&amp;P$1&amp;$Z36, TRUE)</f>
        <v>138</v>
      </c>
      <c r="Q36" s="4890" cm="1">
        <f t="array" aca="1" ref="Q36" ca="1">INDIRECT("'※ 소상공인 세부데이터'!"&amp;Q$1&amp;$Z36, TRUE)</f>
        <v>134</v>
      </c>
      <c r="R36" s="3064" cm="1">
        <f t="array" aca="1" ref="R36" ca="1">INDIRECT("'※ 소상공인 세부데이터'!"&amp;R$1&amp;$Z36, TRUE)</f>
        <v>-4</v>
      </c>
      <c r="S36" s="3065" cm="1">
        <f t="array" aca="1" ref="S36" ca="1">INDIRECT("'※ 소상공인 세부데이터'!"&amp;S$1&amp;$Z36, TRUE)</f>
        <v>50</v>
      </c>
      <c r="T36" s="4893" cm="1">
        <f t="array" aca="1" ref="T36" ca="1">INDIRECT("'※ 소상공인 세부데이터'!"&amp;T$1&amp;$Z36, TRUE)</f>
        <v>1422</v>
      </c>
      <c r="U36" s="2836">
        <v>-157</v>
      </c>
      <c r="V36" s="2836">
        <v>0.84268537074148298</v>
      </c>
      <c r="W36" s="2836" cm="1">
        <f t="array" aca="1" ref="W36" ca="1">INDIRECT("'※ 소상공인 세부데이터'!"&amp;W$1&amp;$Z36, TRUE)</f>
        <v>-474</v>
      </c>
      <c r="X36" s="4894" cm="1">
        <f t="array" aca="1" ref="X36" ca="1">INDIRECT("'※ 소상공인 세부데이터'!"&amp;X$1&amp;$Z36, TRUE)</f>
        <v>118.5</v>
      </c>
      <c r="Y36" s="4895" cm="1">
        <f t="array" aca="1" ref="Y36" ca="1">INDIRECT("'※ 소상공인 세부데이터'!"&amp;Y$1&amp;$Z36, TRUE)</f>
        <v>-39.5</v>
      </c>
      <c r="Z36" s="3693">
        <f>ROW('※ 소상공인 세부데이터'!J106)</f>
        <v>106</v>
      </c>
      <c r="AA36" s="3053"/>
    </row>
    <row r="37" spans="1:39" ht="18" customHeight="1" x14ac:dyDescent="0.55000000000000004">
      <c r="A37" s="7278"/>
      <c r="B37" s="3033" t="s">
        <v>176</v>
      </c>
      <c r="C37" s="4889"/>
      <c r="D37" s="4890" cm="1">
        <f t="array" aca="1" ref="D37" ca="1">INDIRECT("'※ 소상공인 세부데이터'!"&amp;D$1&amp;$Z37, TRUE)</f>
        <v>1882</v>
      </c>
      <c r="E37" s="4891" cm="1">
        <f t="array" aca="1" ref="E37" ca="1">INDIRECT("'※ 소상공인 세부데이터'!"&amp;E$1&amp;$Z37, TRUE)</f>
        <v>2037</v>
      </c>
      <c r="F37" s="4892" cm="1">
        <f t="array" aca="1" ref="F37" ca="1">INDIRECT("'※ 소상공인 세부데이터'!"&amp;F$1&amp;$Z37, TRUE)</f>
        <v>92</v>
      </c>
      <c r="G37" s="4890" cm="1">
        <f t="array" aca="1" ref="G37" ca="1">INDIRECT("'※ 소상공인 세부데이터'!"&amp;G$1&amp;$Z37, TRUE)</f>
        <v>231</v>
      </c>
      <c r="H37" s="4890" cm="1">
        <f t="array" aca="1" ref="H37" ca="1">INDIRECT("'※ 소상공인 세부데이터'!"&amp;H$1&amp;$Z37, TRUE)</f>
        <v>217</v>
      </c>
      <c r="I37" s="4890" cm="1">
        <f t="array" aca="1" ref="I37" ca="1">INDIRECT("'※ 소상공인 세부데이터'!"&amp;I$1&amp;$Z37, TRUE)</f>
        <v>405</v>
      </c>
      <c r="J37" s="4890" cm="1">
        <f t="array" aca="1" ref="J37" ca="1">INDIRECT("'※ 소상공인 세부데이터'!"&amp;J$1&amp;$Z37, TRUE)</f>
        <v>247</v>
      </c>
      <c r="K37" s="4890" cm="1">
        <f t="array" aca="1" ref="K37" ca="1">INDIRECT("'※ 소상공인 세부데이터'!"&amp;K$1&amp;$Z37, TRUE)</f>
        <v>197</v>
      </c>
      <c r="L37" s="4890" cm="1">
        <f t="array" aca="1" ref="L37" ca="1">INDIRECT("'※ 소상공인 세부데이터'!"&amp;L$1&amp;$Z37, TRUE)</f>
        <v>390</v>
      </c>
      <c r="M37" s="4890" cm="1">
        <f t="array" aca="1" ref="M37" ca="1">INDIRECT("'※ 소상공인 세부데이터'!"&amp;M$1&amp;$Z37, TRUE)</f>
        <v>332</v>
      </c>
      <c r="N37" s="4890" cm="1">
        <f t="array" aca="1" ref="N37" ca="1">INDIRECT("'※ 소상공인 세부데이터'!"&amp;N$1&amp;$Z37, TRUE)</f>
        <v>473</v>
      </c>
      <c r="O37" s="4890" cm="1">
        <f t="array" aca="1" ref="O37" ca="1">INDIRECT("'※ 소상공인 세부데이터'!"&amp;O$1&amp;$Z37, TRUE)</f>
        <v>308</v>
      </c>
      <c r="P37" s="4890" cm="1">
        <f t="array" aca="1" ref="P37" ca="1">INDIRECT("'※ 소상공인 세부데이터'!"&amp;P$1&amp;$Z37, TRUE)</f>
        <v>111</v>
      </c>
      <c r="Q37" s="4890" cm="1">
        <f t="array" aca="1" ref="Q37" ca="1">INDIRECT("'※ 소상공인 세부데이터'!"&amp;Q$1&amp;$Z37, TRUE)</f>
        <v>78</v>
      </c>
      <c r="R37" s="3064" cm="1">
        <f t="array" aca="1" ref="R37" ca="1">INDIRECT("'※ 소상공인 세부데이터'!"&amp;R$1&amp;$Z37, TRUE)</f>
        <v>-33</v>
      </c>
      <c r="S37" s="3065" cm="1">
        <f t="array" aca="1" ref="S37" ca="1">INDIRECT("'※ 소상공인 세부데이터'!"&amp;S$1&amp;$Z37, TRUE)</f>
        <v>-20</v>
      </c>
      <c r="T37" s="4893" cm="1">
        <f t="array" aca="1" ref="T37" ca="1">INDIRECT("'※ 소상공인 세부데이터'!"&amp;T$1&amp;$Z37, TRUE)</f>
        <v>3081</v>
      </c>
      <c r="U37" s="2836">
        <v>-232</v>
      </c>
      <c r="V37" s="2836">
        <v>0.81184103811841035</v>
      </c>
      <c r="W37" s="2836" cm="1">
        <f t="array" aca="1" ref="W37" ca="1">INDIRECT("'※ 소상공인 세부데이터'!"&amp;W$1&amp;$Z37, TRUE)</f>
        <v>1044</v>
      </c>
      <c r="X37" s="4894" cm="1">
        <f t="array" aca="1" ref="X37" ca="1">INDIRECT("'※ 소상공인 세부데이터'!"&amp;X$1&amp;$Z37, TRUE)</f>
        <v>256.75</v>
      </c>
      <c r="Y37" s="4895" cm="1">
        <f t="array" aca="1" ref="Y37" ca="1">INDIRECT("'※ 소상공인 세부데이터'!"&amp;Y$1&amp;$Z37, TRUE)</f>
        <v>87</v>
      </c>
      <c r="Z37" s="3693">
        <f>ROW('※ 소상공인 세부데이터'!J107)</f>
        <v>107</v>
      </c>
      <c r="AA37" s="3053"/>
    </row>
    <row r="38" spans="1:39" ht="18" customHeight="1" x14ac:dyDescent="0.55000000000000004">
      <c r="A38" s="7278"/>
      <c r="B38" s="3033" t="s">
        <v>181</v>
      </c>
      <c r="C38" s="4889"/>
      <c r="D38" s="4890" cm="1">
        <f t="array" aca="1" ref="D38" ca="1">INDIRECT("'※ 소상공인 세부데이터'!"&amp;D$1&amp;$Z38, TRUE)</f>
        <v>2249</v>
      </c>
      <c r="E38" s="4891" cm="1">
        <f t="array" aca="1" ref="E38" ca="1">INDIRECT("'※ 소상공인 세부데이터'!"&amp;E$1&amp;$Z38, TRUE)</f>
        <v>3041</v>
      </c>
      <c r="F38" s="4892" cm="1">
        <f t="array" aca="1" ref="F38" ca="1">INDIRECT("'※ 소상공인 세부데이터'!"&amp;F$1&amp;$Z38, TRUE)</f>
        <v>222</v>
      </c>
      <c r="G38" s="4890" cm="1">
        <f t="array" aca="1" ref="G38" ca="1">INDIRECT("'※ 소상공인 세부데이터'!"&amp;G$1&amp;$Z38, TRUE)</f>
        <v>175</v>
      </c>
      <c r="H38" s="4890" cm="1">
        <f t="array" aca="1" ref="H38" ca="1">INDIRECT("'※ 소상공인 세부데이터'!"&amp;H$1&amp;$Z38, TRUE)</f>
        <v>246</v>
      </c>
      <c r="I38" s="4890" cm="1">
        <f t="array" aca="1" ref="I38" ca="1">INDIRECT("'※ 소상공인 세부데이터'!"&amp;I$1&amp;$Z38, TRUE)</f>
        <v>143</v>
      </c>
      <c r="J38" s="4890" cm="1">
        <f t="array" aca="1" ref="J38" ca="1">INDIRECT("'※ 소상공인 세부데이터'!"&amp;J$1&amp;$Z38, TRUE)</f>
        <v>94</v>
      </c>
      <c r="K38" s="4890" cm="1">
        <f t="array" aca="1" ref="K38" ca="1">INDIRECT("'※ 소상공인 세부데이터'!"&amp;K$1&amp;$Z38, TRUE)</f>
        <v>498</v>
      </c>
      <c r="L38" s="4890" cm="1">
        <f t="array" aca="1" ref="L38" ca="1">INDIRECT("'※ 소상공인 세부데이터'!"&amp;L$1&amp;$Z38, TRUE)</f>
        <v>351.5</v>
      </c>
      <c r="M38" s="4890" cm="1">
        <f t="array" aca="1" ref="M38" ca="1">INDIRECT("'※ 소상공인 세부데이터'!"&amp;M$1&amp;$Z38, TRUE)</f>
        <v>342</v>
      </c>
      <c r="N38" s="4890" cm="1">
        <f t="array" aca="1" ref="N38" ca="1">INDIRECT("'※ 소상공인 세부데이터'!"&amp;N$1&amp;$Z38, TRUE)</f>
        <v>367</v>
      </c>
      <c r="O38" s="4890" cm="1">
        <f t="array" aca="1" ref="O38" ca="1">INDIRECT("'※ 소상공인 세부데이터'!"&amp;O$1&amp;$Z38, TRUE)</f>
        <v>358</v>
      </c>
      <c r="P38" s="4890" cm="1">
        <f t="array" aca="1" ref="P38" ca="1">INDIRECT("'※ 소상공인 세부데이터'!"&amp;P$1&amp;$Z38, TRUE)</f>
        <v>325</v>
      </c>
      <c r="Q38" s="4890" cm="1">
        <f t="array" aca="1" ref="Q38" ca="1">INDIRECT("'※ 소상공인 세부데이터'!"&amp;Q$1&amp;$Z38, TRUE)</f>
        <v>136</v>
      </c>
      <c r="R38" s="3064" cm="1">
        <f t="array" aca="1" ref="R38" ca="1">INDIRECT("'※ 소상공인 세부데이터'!"&amp;R$1&amp;$Z38, TRUE)</f>
        <v>-189</v>
      </c>
      <c r="S38" s="3065" cm="1">
        <f t="array" aca="1" ref="S38" ca="1">INDIRECT("'※ 소상공인 세부데이터'!"&amp;S$1&amp;$Z38, TRUE)</f>
        <v>-191</v>
      </c>
      <c r="T38" s="4893" cm="1">
        <f t="array" aca="1" ref="T38" ca="1">INDIRECT("'※ 소상공인 세부데이터'!"&amp;T$1&amp;$Z38, TRUE)</f>
        <v>3257.5</v>
      </c>
      <c r="U38" s="2836">
        <v>-80</v>
      </c>
      <c r="V38" s="2836">
        <v>0.93495934959349591</v>
      </c>
      <c r="W38" s="2836" cm="1">
        <f t="array" aca="1" ref="W38" ca="1">INDIRECT("'※ 소상공인 세부데이터'!"&amp;W$1&amp;$Z38, TRUE)</f>
        <v>216.5</v>
      </c>
      <c r="X38" s="4894" cm="1">
        <f t="array" aca="1" ref="X38" ca="1">INDIRECT("'※ 소상공인 세부데이터'!"&amp;X$1&amp;$Z38, TRUE)</f>
        <v>271.45833333333331</v>
      </c>
      <c r="Y38" s="4895" cm="1">
        <f t="array" aca="1" ref="Y38" ca="1">INDIRECT("'※ 소상공인 세부데이터'!"&amp;Y$1&amp;$Z38, TRUE)</f>
        <v>18.041666666666657</v>
      </c>
      <c r="Z38" s="3693">
        <f>ROW('※ 소상공인 세부데이터'!J108)</f>
        <v>108</v>
      </c>
      <c r="AA38" s="3053"/>
    </row>
    <row r="39" spans="1:39" ht="18" customHeight="1" x14ac:dyDescent="0.55000000000000004">
      <c r="A39" s="7278"/>
      <c r="B39" s="2884" t="s">
        <v>182</v>
      </c>
      <c r="C39" s="4936" t="s">
        <v>184</v>
      </c>
      <c r="D39" s="4937" cm="1">
        <f t="array" aca="1" ref="D39" ca="1">INDIRECT("'※ 소상공인 세부데이터'!"&amp;D$1&amp;$Z39, TRUE)</f>
        <v>1285</v>
      </c>
      <c r="E39" s="4938" cm="1">
        <f t="array" aca="1" ref="E39" ca="1">INDIRECT("'※ 소상공인 세부데이터'!"&amp;E$1&amp;$Z39, TRUE)</f>
        <v>976</v>
      </c>
      <c r="F39" s="4939" cm="1">
        <f t="array" aca="1" ref="F39" ca="1">INDIRECT("'※ 소상공인 세부데이터'!"&amp;F$1&amp;$Z39, TRUE)</f>
        <v>63</v>
      </c>
      <c r="G39" s="4937" cm="1">
        <f t="array" aca="1" ref="G39" ca="1">INDIRECT("'※ 소상공인 세부데이터'!"&amp;G$1&amp;$Z39, TRUE)</f>
        <v>79</v>
      </c>
      <c r="H39" s="4937" cm="1">
        <f t="array" aca="1" ref="H39" ca="1">INDIRECT("'※ 소상공인 세부데이터'!"&amp;H$1&amp;$Z39, TRUE)</f>
        <v>59</v>
      </c>
      <c r="I39" s="4937" cm="1">
        <f t="array" aca="1" ref="I39" ca="1">INDIRECT("'※ 소상공인 세부데이터'!"&amp;I$1&amp;$Z39, TRUE)</f>
        <v>105</v>
      </c>
      <c r="J39" s="4937" cm="1">
        <f t="array" aca="1" ref="J39" ca="1">INDIRECT("'※ 소상공인 세부데이터'!"&amp;J$1&amp;$Z39, TRUE)</f>
        <v>80</v>
      </c>
      <c r="K39" s="4937" cm="1">
        <f t="array" aca="1" ref="K39" ca="1">INDIRECT("'※ 소상공인 세부데이터'!"&amp;K$1&amp;$Z39, TRUE)</f>
        <v>95</v>
      </c>
      <c r="L39" s="4937" cm="1">
        <f t="array" aca="1" ref="L39" ca="1">INDIRECT("'※ 소상공인 세부데이터'!"&amp;L$1&amp;$Z39, TRUE)</f>
        <v>281</v>
      </c>
      <c r="M39" s="4937" cm="1">
        <f t="array" aca="1" ref="M39" ca="1">INDIRECT("'※ 소상공인 세부데이터'!"&amp;M$1&amp;$Z39, TRUE)</f>
        <v>466</v>
      </c>
      <c r="N39" s="4937" cm="1">
        <f t="array" aca="1" ref="N39" ca="1">INDIRECT("'※ 소상공인 세부데이터'!"&amp;N$1&amp;$Z39, TRUE)</f>
        <v>225</v>
      </c>
      <c r="O39" s="4937" cm="1">
        <f t="array" aca="1" ref="O39" ca="1">INDIRECT("'※ 소상공인 세부데이터'!"&amp;O$1&amp;$Z39, TRUE)</f>
        <v>443</v>
      </c>
      <c r="P39" s="4937" cm="1">
        <f t="array" aca="1" ref="P39" ca="1">INDIRECT("'※ 소상공인 세부데이터'!"&amp;P$1&amp;$Z39, TRUE)</f>
        <v>103</v>
      </c>
      <c r="Q39" s="4937" cm="1">
        <f t="array" aca="1" ref="Q39" ca="1">INDIRECT("'※ 소상공인 세부데이터'!"&amp;Q$1&amp;$Z39, TRUE)</f>
        <v>27</v>
      </c>
      <c r="R39" s="4940" cm="1">
        <f t="array" aca="1" ref="R39" ca="1">INDIRECT("'※ 소상공인 세부데이터'!"&amp;R$1&amp;$Z39, TRUE)</f>
        <v>-76</v>
      </c>
      <c r="S39" s="4941" cm="1">
        <f t="array" aca="1" ref="S39" ca="1">INDIRECT("'※ 소상공인 세부데이터'!"&amp;S$1&amp;$Z39, TRUE)</f>
        <v>-13</v>
      </c>
      <c r="T39" s="4942" cm="1">
        <f t="array" aca="1" ref="T39" ca="1">INDIRECT("'※ 소상공인 세부데이터'!"&amp;T$1&amp;$Z39, TRUE)</f>
        <v>2026</v>
      </c>
      <c r="U39" s="4978"/>
      <c r="V39" s="4978"/>
      <c r="W39" s="4943" cm="1">
        <f t="array" aca="1" ref="W39" ca="1">INDIRECT("'※ 소상공인 세부데이터'!"&amp;W$1&amp;$Z39, TRUE)</f>
        <v>1050</v>
      </c>
      <c r="X39" s="4944" cm="1">
        <f t="array" aca="1" ref="X39" ca="1">INDIRECT("'※ 소상공인 세부데이터'!"&amp;X$1&amp;$Z39, TRUE)</f>
        <v>168.83333333333334</v>
      </c>
      <c r="Y39" s="4945" cm="1">
        <f t="array" aca="1" ref="Y39" ca="1">INDIRECT("'※ 소상공인 세부데이터'!"&amp;Y$1&amp;$Z39, TRUE)</f>
        <v>87.500000000000014</v>
      </c>
      <c r="Z39" s="3693">
        <f>ROW('※ 소상공인 세부데이터'!J109)</f>
        <v>109</v>
      </c>
      <c r="AA39" s="3053"/>
    </row>
    <row r="40" spans="1:39" ht="18" customHeight="1" x14ac:dyDescent="0.55000000000000004">
      <c r="A40" s="7278"/>
      <c r="B40" s="2884"/>
      <c r="C40" s="4936" t="s">
        <v>145</v>
      </c>
      <c r="D40" s="4937" cm="1">
        <f t="array" aca="1" ref="D40" ca="1">INDIRECT("'※ 소상공인 세부데이터'!"&amp;D$1&amp;$Z40, TRUE)</f>
        <v>1216</v>
      </c>
      <c r="E40" s="4938" cm="1">
        <f t="array" aca="1" ref="E40" ca="1">INDIRECT("'※ 소상공인 세부데이터'!"&amp;E$1&amp;$Z40, TRUE)</f>
        <v>676</v>
      </c>
      <c r="F40" s="4939" cm="1">
        <f t="array" aca="1" ref="F40" ca="1">INDIRECT("'※ 소상공인 세부데이터'!"&amp;F$1&amp;$Z40, TRUE)</f>
        <v>4</v>
      </c>
      <c r="G40" s="4937" cm="1">
        <f t="array" aca="1" ref="G40" ca="1">INDIRECT("'※ 소상공인 세부데이터'!"&amp;G$1&amp;$Z40, TRUE)</f>
        <v>8</v>
      </c>
      <c r="H40" s="4937" cm="1">
        <f t="array" aca="1" ref="H40" ca="1">INDIRECT("'※ 소상공인 세부데이터'!"&amp;H$1&amp;$Z40, TRUE)</f>
        <v>12</v>
      </c>
      <c r="I40" s="4937" cm="1">
        <f t="array" aca="1" ref="I40" ca="1">INDIRECT("'※ 소상공인 세부데이터'!"&amp;I$1&amp;$Z40, TRUE)</f>
        <v>18</v>
      </c>
      <c r="J40" s="4937" cm="1">
        <f t="array" aca="1" ref="J40" ca="1">INDIRECT("'※ 소상공인 세부데이터'!"&amp;J$1&amp;$Z40, TRUE)</f>
        <v>23</v>
      </c>
      <c r="K40" s="4937" cm="1">
        <f t="array" aca="1" ref="K40" ca="1">INDIRECT("'※ 소상공인 세부데이터'!"&amp;K$1&amp;$Z40, TRUE)</f>
        <v>1</v>
      </c>
      <c r="L40" s="4937" cm="1">
        <f t="array" aca="1" ref="L40" ca="1">INDIRECT("'※ 소상공인 세부데이터'!"&amp;L$1&amp;$Z40, TRUE)</f>
        <v>85</v>
      </c>
      <c r="M40" s="4937" cm="1">
        <f t="array" aca="1" ref="M40" ca="1">INDIRECT("'※ 소상공인 세부데이터'!"&amp;M$1&amp;$Z40, TRUE)</f>
        <v>48</v>
      </c>
      <c r="N40" s="4937" cm="1">
        <f t="array" aca="1" ref="N40" ca="1">INDIRECT("'※ 소상공인 세부데이터'!"&amp;N$1&amp;$Z40, TRUE)</f>
        <v>96</v>
      </c>
      <c r="O40" s="4937" cm="1">
        <f t="array" aca="1" ref="O40" ca="1">INDIRECT("'※ 소상공인 세부데이터'!"&amp;O$1&amp;$Z40, TRUE)</f>
        <v>120</v>
      </c>
      <c r="P40" s="4937" cm="1">
        <f t="array" aca="1" ref="P40" ca="1">INDIRECT("'※ 소상공인 세부데이터'!"&amp;P$1&amp;$Z40, TRUE)</f>
        <v>87</v>
      </c>
      <c r="Q40" s="4937" cm="1">
        <f t="array" aca="1" ref="Q40" ca="1">INDIRECT("'※ 소상공인 세부데이터'!"&amp;Q$1&amp;$Z40, TRUE)</f>
        <v>82</v>
      </c>
      <c r="R40" s="4940" cm="1">
        <f t="array" aca="1" ref="R40" ca="1">INDIRECT("'※ 소상공인 세부데이터'!"&amp;R$1&amp;$Z40, TRUE)</f>
        <v>-5</v>
      </c>
      <c r="S40" s="4941" cm="1">
        <f t="array" aca="1" ref="S40" ca="1">INDIRECT("'※ 소상공인 세부데이터'!"&amp;S$1&amp;$Z40, TRUE)</f>
        <v>62</v>
      </c>
      <c r="T40" s="4942" cm="1">
        <f t="array" aca="1" ref="T40" ca="1">INDIRECT("'※ 소상공인 세부데이터'!"&amp;T$1&amp;$Z40, TRUE)</f>
        <v>584</v>
      </c>
      <c r="U40" s="4978"/>
      <c r="V40" s="4978"/>
      <c r="W40" s="4943" cm="1">
        <f t="array" aca="1" ref="W40" ca="1">INDIRECT("'※ 소상공인 세부데이터'!"&amp;W$1&amp;$Z40, TRUE)</f>
        <v>-92</v>
      </c>
      <c r="X40" s="4944" cm="1">
        <f t="array" aca="1" ref="X40" ca="1">INDIRECT("'※ 소상공인 세부데이터'!"&amp;X$1&amp;$Z40, TRUE)</f>
        <v>48.666666666666664</v>
      </c>
      <c r="Y40" s="4945" cm="1">
        <f t="array" aca="1" ref="Y40" ca="1">INDIRECT("'※ 소상공인 세부데이터'!"&amp;Y$1&amp;$Z40, TRUE)</f>
        <v>-7.6666666666666714</v>
      </c>
      <c r="Z40" s="3693">
        <f>ROW('※ 소상공인 세부데이터'!J110)</f>
        <v>110</v>
      </c>
      <c r="AA40" s="3053"/>
    </row>
    <row r="41" spans="1:39" ht="18" customHeight="1" x14ac:dyDescent="0.55000000000000004">
      <c r="A41" s="7278"/>
      <c r="B41" s="2884"/>
      <c r="C41" s="4936" t="s">
        <v>147</v>
      </c>
      <c r="D41" s="4937" cm="1">
        <f t="array" aca="1" ref="D41" ca="1">INDIRECT("'※ 소상공인 세부데이터'!"&amp;D$1&amp;$Z41, TRUE)</f>
        <v>2018</v>
      </c>
      <c r="E41" s="4938" cm="1">
        <f t="array" aca="1" ref="E41" ca="1">INDIRECT("'※ 소상공인 세부데이터'!"&amp;E$1&amp;$Z41, TRUE)</f>
        <v>1359</v>
      </c>
      <c r="F41" s="4939" cm="1">
        <f t="array" aca="1" ref="F41" ca="1">INDIRECT("'※ 소상공인 세부데이터'!"&amp;F$1&amp;$Z41, TRUE)</f>
        <v>71</v>
      </c>
      <c r="G41" s="4937" cm="1">
        <f t="array" aca="1" ref="G41" ca="1">INDIRECT("'※ 소상공인 세부데이터'!"&amp;G$1&amp;$Z41, TRUE)</f>
        <v>8</v>
      </c>
      <c r="H41" s="4937" cm="1">
        <f t="array" aca="1" ref="H41" ca="1">INDIRECT("'※ 소상공인 세부데이터'!"&amp;H$1&amp;$Z41, TRUE)</f>
        <v>96</v>
      </c>
      <c r="I41" s="4937" cm="1">
        <f t="array" aca="1" ref="I41" ca="1">INDIRECT("'※ 소상공인 세부데이터'!"&amp;I$1&amp;$Z41, TRUE)</f>
        <v>51</v>
      </c>
      <c r="J41" s="4937" cm="1">
        <f t="array" aca="1" ref="J41" ca="1">INDIRECT("'※ 소상공인 세부데이터'!"&amp;J$1&amp;$Z41, TRUE)</f>
        <v>70</v>
      </c>
      <c r="K41" s="4937" cm="1">
        <f t="array" aca="1" ref="K41" ca="1">INDIRECT("'※ 소상공인 세부데이터'!"&amp;K$1&amp;$Z41, TRUE)</f>
        <v>88</v>
      </c>
      <c r="L41" s="4937" cm="1">
        <f t="array" aca="1" ref="L41" ca="1">INDIRECT("'※ 소상공인 세부데이터'!"&amp;L$1&amp;$Z41, TRUE)</f>
        <v>59</v>
      </c>
      <c r="M41" s="4937" cm="1">
        <f t="array" aca="1" ref="M41" ca="1">INDIRECT("'※ 소상공인 세부데이터'!"&amp;M$1&amp;$Z41, TRUE)</f>
        <v>158</v>
      </c>
      <c r="N41" s="4937" cm="1">
        <f t="array" aca="1" ref="N41" ca="1">INDIRECT("'※ 소상공인 세부데이터'!"&amp;N$1&amp;$Z41, TRUE)</f>
        <v>100</v>
      </c>
      <c r="O41" s="4937" cm="1">
        <f t="array" aca="1" ref="O41" ca="1">INDIRECT("'※ 소상공인 세부데이터'!"&amp;O$1&amp;$Z41, TRUE)</f>
        <v>16</v>
      </c>
      <c r="P41" s="4937" cm="1">
        <f t="array" aca="1" ref="P41" ca="1">INDIRECT("'※ 소상공인 세부데이터'!"&amp;P$1&amp;$Z41, TRUE)</f>
        <v>123</v>
      </c>
      <c r="Q41" s="4937" cm="1">
        <f t="array" aca="1" ref="Q41" ca="1">INDIRECT("'※ 소상공인 세부데이터'!"&amp;Q$1&amp;$Z41, TRUE)</f>
        <v>123</v>
      </c>
      <c r="R41" s="4940" cm="1">
        <f t="array" aca="1" ref="R41" ca="1">INDIRECT("'※ 소상공인 세부데이터'!"&amp;R$1&amp;$Z41, TRUE)</f>
        <v>0</v>
      </c>
      <c r="S41" s="4941" cm="1">
        <f t="array" aca="1" ref="S41" ca="1">INDIRECT("'※ 소상공인 세부데이터'!"&amp;S$1&amp;$Z41, TRUE)</f>
        <v>79</v>
      </c>
      <c r="T41" s="4942" cm="1">
        <f t="array" aca="1" ref="T41" ca="1">INDIRECT("'※ 소상공인 세부데이터'!"&amp;T$1&amp;$Z41, TRUE)</f>
        <v>963</v>
      </c>
      <c r="U41" s="4978"/>
      <c r="V41" s="4978"/>
      <c r="W41" s="4943" cm="1">
        <f t="array" aca="1" ref="W41" ca="1">INDIRECT("'※ 소상공인 세부데이터'!"&amp;W$1&amp;$Z41, TRUE)</f>
        <v>-396</v>
      </c>
      <c r="X41" s="4944" cm="1">
        <f t="array" aca="1" ref="X41" ca="1">INDIRECT("'※ 소상공인 세부데이터'!"&amp;X$1&amp;$Z41, TRUE)</f>
        <v>80.25</v>
      </c>
      <c r="Y41" s="4945" cm="1">
        <f t="array" aca="1" ref="Y41" ca="1">INDIRECT("'※ 소상공인 세부데이터'!"&amp;Y$1&amp;$Z41, TRUE)</f>
        <v>-33</v>
      </c>
      <c r="Z41" s="3693">
        <f>ROW('※ 소상공인 세부데이터'!J111)</f>
        <v>111</v>
      </c>
      <c r="AA41" s="3053"/>
    </row>
    <row r="42" spans="1:39" x14ac:dyDescent="0.55000000000000004">
      <c r="A42" s="7278"/>
      <c r="B42" s="2884"/>
      <c r="C42" s="4936" t="s">
        <v>176</v>
      </c>
      <c r="D42" s="4937" cm="1">
        <f t="array" aca="1" ref="D42" ca="1">INDIRECT("'※ 소상공인 세부데이터'!"&amp;D$1&amp;$Z42, TRUE)</f>
        <v>889</v>
      </c>
      <c r="E42" s="4938" cm="1">
        <f t="array" aca="1" ref="E42" ca="1">INDIRECT("'※ 소상공인 세부데이터'!"&amp;E$1&amp;$Z42, TRUE)</f>
        <v>823</v>
      </c>
      <c r="F42" s="4939" cm="1">
        <f t="array" aca="1" ref="F42" ca="1">INDIRECT("'※ 소상공인 세부데이터'!"&amp;F$1&amp;$Z42, TRUE)</f>
        <v>8</v>
      </c>
      <c r="G42" s="4937" cm="1">
        <f t="array" aca="1" ref="G42" ca="1">INDIRECT("'※ 소상공인 세부데이터'!"&amp;G$1&amp;$Z42, TRUE)</f>
        <v>183</v>
      </c>
      <c r="H42" s="4937" cm="1">
        <f t="array" aca="1" ref="H42" ca="1">INDIRECT("'※ 소상공인 세부데이터'!"&amp;H$1&amp;$Z42, TRUE)</f>
        <v>117</v>
      </c>
      <c r="I42" s="4937" cm="1">
        <f t="array" aca="1" ref="I42" ca="1">INDIRECT("'※ 소상공인 세부데이터'!"&amp;I$1&amp;$Z42, TRUE)</f>
        <v>192</v>
      </c>
      <c r="J42" s="4937" cm="1">
        <f t="array" aca="1" ref="J42" ca="1">INDIRECT("'※ 소상공인 세부데이터'!"&amp;J$1&amp;$Z42, TRUE)</f>
        <v>18</v>
      </c>
      <c r="K42" s="4937" cm="1">
        <f t="array" aca="1" ref="K42" ca="1">INDIRECT("'※ 소상공인 세부데이터'!"&amp;K$1&amp;$Z42, TRUE)</f>
        <v>98</v>
      </c>
      <c r="L42" s="4937" cm="1">
        <f t="array" aca="1" ref="L42" ca="1">INDIRECT("'※ 소상공인 세부데이터'!"&amp;L$1&amp;$Z42, TRUE)</f>
        <v>28</v>
      </c>
      <c r="M42" s="4937" cm="1">
        <f t="array" aca="1" ref="M42" ca="1">INDIRECT("'※ 소상공인 세부데이터'!"&amp;M$1&amp;$Z42, TRUE)</f>
        <v>178</v>
      </c>
      <c r="N42" s="4937" cm="1">
        <f t="array" aca="1" ref="N42" ca="1">INDIRECT("'※ 소상공인 세부데이터'!"&amp;N$1&amp;$Z42, TRUE)</f>
        <v>315</v>
      </c>
      <c r="O42" s="4937" cm="1">
        <f t="array" aca="1" ref="O42" ca="1">INDIRECT("'※ 소상공인 세부데이터'!"&amp;O$1&amp;$Z42, TRUE)</f>
        <v>273</v>
      </c>
      <c r="P42" s="4937" cm="1">
        <f t="array" aca="1" ref="P42" ca="1">INDIRECT("'※ 소상공인 세부데이터'!"&amp;P$1&amp;$Z42, TRUE)</f>
        <v>72</v>
      </c>
      <c r="Q42" s="4937" cm="1">
        <f t="array" aca="1" ref="Q42" ca="1">INDIRECT("'※ 소상공인 세부데이터'!"&amp;Q$1&amp;$Z42, TRUE)</f>
        <v>47</v>
      </c>
      <c r="R42" s="4940" cm="1">
        <f t="array" aca="1" ref="R42" ca="1">INDIRECT("'※ 소상공인 세부데이터'!"&amp;R$1&amp;$Z42, TRUE)</f>
        <v>-25</v>
      </c>
      <c r="S42" s="4941" cm="1">
        <f t="array" aca="1" ref="S42" ca="1">INDIRECT("'※ 소상공인 세부데이터'!"&amp;S$1&amp;$Z42, TRUE)</f>
        <v>10</v>
      </c>
      <c r="T42" s="4942" cm="1">
        <f t="array" aca="1" ref="T42" ca="1">INDIRECT("'※ 소상공인 세부데이터'!"&amp;T$1&amp;$Z42, TRUE)</f>
        <v>1529</v>
      </c>
      <c r="U42" s="4978"/>
      <c r="V42" s="4978"/>
      <c r="W42" s="4943" cm="1">
        <f t="array" aca="1" ref="W42" ca="1">INDIRECT("'※ 소상공인 세부데이터'!"&amp;W$1&amp;$Z42, TRUE)</f>
        <v>706</v>
      </c>
      <c r="X42" s="4944" cm="1">
        <f t="array" aca="1" ref="X42" ca="1">INDIRECT("'※ 소상공인 세부데이터'!"&amp;X$1&amp;$Z42, TRUE)</f>
        <v>127.41666666666667</v>
      </c>
      <c r="Y42" s="4945" cm="1">
        <f t="array" aca="1" ref="Y42" ca="1">INDIRECT("'※ 소상공인 세부데이터'!"&amp;Y$1&amp;$Z42, TRUE)</f>
        <v>58.833333333333343</v>
      </c>
      <c r="Z42" s="3693">
        <f>ROW('※ 소상공인 세부데이터'!J112)</f>
        <v>112</v>
      </c>
      <c r="AA42" s="3053"/>
    </row>
    <row r="43" spans="1:39" ht="18" customHeight="1" thickBot="1" x14ac:dyDescent="0.6">
      <c r="A43" s="7288"/>
      <c r="B43" s="4979"/>
      <c r="C43" s="4980" t="s">
        <v>183</v>
      </c>
      <c r="D43" s="4981" cm="1">
        <f t="array" aca="1" ref="D43" ca="1">INDIRECT("'※ 소상공인 세부데이터'!"&amp;D$1&amp;$Z43, TRUE)</f>
        <v>1207</v>
      </c>
      <c r="E43" s="4982" cm="1">
        <f t="array" aca="1" ref="E43" ca="1">INDIRECT("'※ 소상공인 세부데이터'!"&amp;E$1&amp;$Z43, TRUE)</f>
        <v>1614</v>
      </c>
      <c r="F43" s="4983" cm="1">
        <f t="array" aca="1" ref="F43" ca="1">INDIRECT("'※ 소상공인 세부데이터'!"&amp;F$1&amp;$Z43, TRUE)</f>
        <v>170</v>
      </c>
      <c r="G43" s="4981" cm="1">
        <f t="array" aca="1" ref="G43" ca="1">INDIRECT("'※ 소상공인 세부데이터'!"&amp;G$1&amp;$Z43, TRUE)</f>
        <v>102</v>
      </c>
      <c r="H43" s="4981" cm="1">
        <f t="array" aca="1" ref="H43" ca="1">INDIRECT("'※ 소상공인 세부데이터'!"&amp;H$1&amp;$Z43, TRUE)</f>
        <v>119</v>
      </c>
      <c r="I43" s="4981" cm="1">
        <f t="array" aca="1" ref="I43" ca="1">INDIRECT("'※ 소상공인 세부데이터'!"&amp;I$1&amp;$Z43, TRUE)</f>
        <v>76</v>
      </c>
      <c r="J43" s="4981" cm="1">
        <f t="array" aca="1" ref="J43" ca="1">INDIRECT("'※ 소상공인 세부데이터'!"&amp;J$1&amp;$Z43, TRUE)</f>
        <v>13</v>
      </c>
      <c r="K43" s="4981" cm="1">
        <f t="array" aca="1" ref="K43" ca="1">INDIRECT("'※ 소상공인 세부데이터'!"&amp;K$1&amp;$Z43, TRUE)</f>
        <v>349</v>
      </c>
      <c r="L43" s="4981" cm="1">
        <f t="array" aca="1" ref="L43" ca="1">INDIRECT("'※ 소상공인 세부데이터'!"&amp;L$1&amp;$Z43, TRUE)</f>
        <v>206</v>
      </c>
      <c r="M43" s="4981" cm="1">
        <f t="array" aca="1" ref="M43" ca="1">INDIRECT("'※ 소상공인 세부데이터'!"&amp;M$1&amp;$Z43, TRUE)</f>
        <v>247</v>
      </c>
      <c r="N43" s="4981" cm="1">
        <f t="array" aca="1" ref="N43" ca="1">INDIRECT("'※ 소상공인 세부데이터'!"&amp;N$1&amp;$Z43, TRUE)</f>
        <v>261</v>
      </c>
      <c r="O43" s="4981" cm="1">
        <f t="array" aca="1" ref="O43" ca="1">INDIRECT("'※ 소상공인 세부데이터'!"&amp;O$1&amp;$Z43, TRUE)</f>
        <v>296</v>
      </c>
      <c r="P43" s="4981" cm="1">
        <f t="array" aca="1" ref="P43" ca="1">INDIRECT("'※ 소상공인 세부데이터'!"&amp;P$1&amp;$Z43, TRUE)</f>
        <v>280</v>
      </c>
      <c r="Q43" s="4981" cm="1">
        <f t="array" aca="1" ref="Q43" ca="1">INDIRECT("'※ 소상공인 세부데이터'!"&amp;Q$1&amp;$Z43, TRUE)</f>
        <v>98</v>
      </c>
      <c r="R43" s="4984" cm="1">
        <f t="array" aca="1" ref="R43" ca="1">INDIRECT("'※ 소상공인 세부데이터'!"&amp;R$1&amp;$Z43, TRUE)</f>
        <v>-182</v>
      </c>
      <c r="S43" s="4985" cm="1">
        <f t="array" aca="1" ref="S43" ca="1">INDIRECT("'※ 소상공인 세부데이터'!"&amp;S$1&amp;$Z43, TRUE)</f>
        <v>-160</v>
      </c>
      <c r="T43" s="4986" cm="1">
        <f t="array" aca="1" ref="T43" ca="1">INDIRECT("'※ 소상공인 세부데이터'!"&amp;T$1&amp;$Z43, TRUE)</f>
        <v>2217</v>
      </c>
      <c r="U43" s="4987"/>
      <c r="V43" s="4987"/>
      <c r="W43" s="4988" cm="1">
        <f t="array" aca="1" ref="W43" ca="1">INDIRECT("'※ 소상공인 세부데이터'!"&amp;W$1&amp;$Z43, TRUE)</f>
        <v>603</v>
      </c>
      <c r="X43" s="4989" cm="1">
        <f t="array" aca="1" ref="X43" ca="1">INDIRECT("'※ 소상공인 세부데이터'!"&amp;X$1&amp;$Z43, TRUE)</f>
        <v>184.75</v>
      </c>
      <c r="Y43" s="4990" cm="1">
        <f t="array" aca="1" ref="Y43" ca="1">INDIRECT("'※ 소상공인 세부데이터'!"&amp;Y$1&amp;$Z43, TRUE)</f>
        <v>50.25</v>
      </c>
      <c r="Z43" s="3693">
        <f>ROW('※ 소상공인 세부데이터'!J113)</f>
        <v>113</v>
      </c>
      <c r="AA43" s="3053"/>
    </row>
    <row r="44" spans="1:39" ht="5.05" customHeight="1" thickBot="1" x14ac:dyDescent="0.6">
      <c r="A44" s="4991"/>
      <c r="B44" s="2884"/>
      <c r="C44" s="4936"/>
      <c r="D44" s="4937"/>
      <c r="E44" s="4938"/>
      <c r="F44" s="4939"/>
      <c r="G44" s="4937"/>
      <c r="H44" s="4937"/>
      <c r="I44" s="4937"/>
      <c r="J44" s="4937"/>
      <c r="K44" s="4937"/>
      <c r="L44" s="4937"/>
      <c r="M44" s="4937"/>
      <c r="N44" s="4937"/>
      <c r="O44" s="4937"/>
      <c r="P44" s="4937"/>
      <c r="Q44" s="4937"/>
      <c r="R44" s="4940"/>
      <c r="S44" s="4941"/>
      <c r="T44" s="4942"/>
      <c r="U44" s="2793"/>
      <c r="V44" s="2793"/>
      <c r="W44" s="4992"/>
      <c r="X44" s="4944"/>
      <c r="Y44" s="4992"/>
      <c r="Z44" s="3693"/>
      <c r="AA44" s="3053"/>
    </row>
    <row r="45" spans="1:39" ht="14.05" customHeight="1" x14ac:dyDescent="0.55000000000000004">
      <c r="A45" s="7279" t="s">
        <v>178</v>
      </c>
      <c r="B45" s="4993" t="s">
        <v>163</v>
      </c>
      <c r="C45" s="4994"/>
      <c r="D45" s="4995" cm="1">
        <f t="array" aca="1" ref="D45" ca="1">INDIRECT("'※ 소상공인 세부데이터'!"&amp;D$1&amp;$Z45, TRUE)</f>
        <v>125</v>
      </c>
      <c r="E45" s="4996" cm="1">
        <f t="array" aca="1" ref="E45" ca="1">INDIRECT("'※ 소상공인 세부데이터'!"&amp;E$1&amp;$Z45, TRUE)</f>
        <v>123</v>
      </c>
      <c r="F45" s="4997" cm="1">
        <f t="array" aca="1" ref="F45" ca="1">INDIRECT("'※ 소상공인 세부데이터'!"&amp;F$1&amp;$Z45, TRUE)</f>
        <v>130</v>
      </c>
      <c r="G45" s="4998" cm="1">
        <f t="array" aca="1" ref="G45" ca="1">INDIRECT("'※ 소상공인 세부데이터'!"&amp;G$1&amp;$Z45, TRUE)</f>
        <v>128</v>
      </c>
      <c r="H45" s="4998" cm="1">
        <f t="array" aca="1" ref="H45" ca="1">INDIRECT("'※ 소상공인 세부데이터'!"&amp;H$1&amp;$Z45, TRUE)</f>
        <v>139</v>
      </c>
      <c r="I45" s="4998" cm="1">
        <f t="array" aca="1" ref="I45" ca="1">INDIRECT("'※ 소상공인 세부데이터'!"&amp;I$1&amp;$Z45, TRUE)</f>
        <v>138</v>
      </c>
      <c r="J45" s="4998" cm="1">
        <f t="array" aca="1" ref="J45" ca="1">INDIRECT("'※ 소상공인 세부데이터'!"&amp;J$1&amp;$Z45, TRUE)</f>
        <v>134</v>
      </c>
      <c r="K45" s="4998" cm="1">
        <f t="array" aca="1" ref="K45" ca="1">INDIRECT("'※ 소상공인 세부데이터'!"&amp;K$1&amp;$Z45, TRUE)</f>
        <v>129</v>
      </c>
      <c r="L45" s="4998" cm="1">
        <f t="array" aca="1" ref="L45" ca="1">INDIRECT("'※ 소상공인 세부데이터'!"&amp;L$1&amp;$Z45, TRUE)</f>
        <v>111</v>
      </c>
      <c r="M45" s="4998" cm="1">
        <f t="array" aca="1" ref="M45" ca="1">INDIRECT("'※ 소상공인 세부데이터'!"&amp;M$1&amp;$Z45, TRUE)</f>
        <v>108</v>
      </c>
      <c r="N45" s="4998" cm="1">
        <f t="array" aca="1" ref="N45" ca="1">INDIRECT("'※ 소상공인 세부데이터'!"&amp;N$1&amp;$Z45, TRUE)</f>
        <v>107</v>
      </c>
      <c r="O45" s="4998" cm="1">
        <f t="array" aca="1" ref="O45" ca="1">INDIRECT("'※ 소상공인 세부데이터'!"&amp;O$1&amp;$Z45, TRUE)</f>
        <v>102</v>
      </c>
      <c r="P45" s="4998" cm="1">
        <f t="array" aca="1" ref="P45" ca="1">INDIRECT("'※ 소상공인 세부데이터'!"&amp;P$1&amp;$Z45, TRUE)</f>
        <v>102</v>
      </c>
      <c r="Q45" s="4998" cm="1">
        <f t="array" aca="1" ref="Q45" ca="1">INDIRECT("'※ 소상공인 세부데이터'!"&amp;Q$1&amp;$Z45, TRUE)</f>
        <v>68</v>
      </c>
      <c r="R45" s="4999" cm="1">
        <f t="array" aca="1" ref="R45" ca="1">INDIRECT("'※ 소상공인 세부데이터'!"&amp;R$1&amp;$Z45, TRUE)</f>
        <v>-34</v>
      </c>
      <c r="S45" s="5000" cm="1">
        <f t="array" aca="1" ref="S45" ca="1">INDIRECT("'※ 소상공인 세부데이터'!"&amp;S$1&amp;$Z45, TRUE)</f>
        <v>-55</v>
      </c>
      <c r="T45" s="5001" cm="1">
        <f t="array" aca="1" ref="T45" ca="1">INDIRECT("'※ 소상공인 세부데이터'!"&amp;T$1&amp;$Z45, TRUE)</f>
        <v>68</v>
      </c>
      <c r="U45" s="5002"/>
      <c r="V45" s="5002"/>
      <c r="W45" s="5003" cm="1">
        <f t="array" aca="1" ref="W45" ca="1">INDIRECT("'※ 소상공인 세부데이터'!"&amp;W$1&amp;$Z45, TRUE)</f>
        <v>80</v>
      </c>
      <c r="X45" s="4999" cm="1">
        <f t="array" aca="1" ref="X45" ca="1">INDIRECT("'※ 소상공인 세부데이터'!"&amp;X$1&amp;$Z45, TRUE)</f>
        <v>116.33333333333333</v>
      </c>
      <c r="Y45" s="5004" cm="1">
        <f t="array" aca="1" ref="Y45" ca="1">INDIRECT("'※ 소상공인 세부데이터'!"&amp;Y$1&amp;$Z45, TRUE)</f>
        <v>6.6666666666666572</v>
      </c>
      <c r="Z45" s="3693">
        <f>ROW('※ 소상공인 세부데이터'!J4)</f>
        <v>4</v>
      </c>
      <c r="AA45" s="3053"/>
      <c r="AB45" s="5005"/>
      <c r="AC45" s="5005"/>
      <c r="AD45" s="5005"/>
      <c r="AE45" s="5005"/>
      <c r="AF45" s="5005"/>
      <c r="AG45" s="5005"/>
      <c r="AH45" s="5005"/>
      <c r="AI45" s="5005"/>
      <c r="AJ45" s="5005"/>
      <c r="AK45" s="5005"/>
      <c r="AL45" s="5005"/>
      <c r="AM45" s="5005"/>
    </row>
    <row r="46" spans="1:39" ht="13.5" customHeight="1" x14ac:dyDescent="0.55000000000000004">
      <c r="A46" s="7280"/>
      <c r="B46" s="2639" t="s">
        <v>170</v>
      </c>
      <c r="C46" s="5006" t="s">
        <v>171</v>
      </c>
      <c r="D46" s="5007" cm="1">
        <f t="array" aca="1" ref="D46" ca="1">INDIRECT("'※ 소상공인 세부데이터'!"&amp;D$1&amp;$Z46, TRUE)</f>
        <v>23</v>
      </c>
      <c r="E46" s="5008" cm="1">
        <f t="array" aca="1" ref="E46" ca="1">INDIRECT("'※ 소상공인 세부데이터'!"&amp;E$1&amp;$Z46, TRUE)</f>
        <v>28</v>
      </c>
      <c r="F46" s="5009" cm="1">
        <f t="array" aca="1" ref="F46" ca="1">INDIRECT("'※ 소상공인 세부데이터'!"&amp;F$1&amp;$Z46, TRUE)</f>
        <v>7</v>
      </c>
      <c r="G46" s="5010" cm="1">
        <f t="array" aca="1" ref="G46" ca="1">INDIRECT("'※ 소상공인 세부데이터'!"&amp;G$1&amp;$Z46, TRUE)</f>
        <v>7</v>
      </c>
      <c r="H46" s="5010" cm="1">
        <f t="array" aca="1" ref="H46" ca="1">INDIRECT("'※ 소상공인 세부데이터'!"&amp;H$1&amp;$Z46, TRUE)</f>
        <v>7</v>
      </c>
      <c r="I46" s="5010" cm="1">
        <f t="array" aca="1" ref="I46" ca="1">INDIRECT("'※ 소상공인 세부데이터'!"&amp;I$1&amp;$Z46, TRUE)</f>
        <v>16</v>
      </c>
      <c r="J46" s="5010" cm="1">
        <f t="array" aca="1" ref="J46" ca="1">INDIRECT("'※ 소상공인 세부데이터'!"&amp;J$1&amp;$Z46, TRUE)</f>
        <v>18</v>
      </c>
      <c r="K46" s="5010" cm="1">
        <f t="array" aca="1" ref="K46" ca="1">INDIRECT("'※ 소상공인 세부데이터'!"&amp;K$1&amp;$Z46, TRUE)</f>
        <v>18</v>
      </c>
      <c r="L46" s="5010" cm="1">
        <f t="array" aca="1" ref="L46" ca="1">INDIRECT("'※ 소상공인 세부데이터'!"&amp;L$1&amp;$Z46, TRUE)</f>
        <v>31</v>
      </c>
      <c r="M46" s="5010" cm="1">
        <f t="array" aca="1" ref="M46" ca="1">INDIRECT("'※ 소상공인 세부데이터'!"&amp;M$1&amp;$Z46, TRUE)</f>
        <v>31</v>
      </c>
      <c r="N46" s="5010" cm="1">
        <f t="array" aca="1" ref="N46" ca="1">INDIRECT("'※ 소상공인 세부데이터'!"&amp;N$1&amp;$Z46, TRUE)</f>
        <v>30</v>
      </c>
      <c r="O46" s="5010" cm="1">
        <f t="array" aca="1" ref="O46" ca="1">INDIRECT("'※ 소상공인 세부데이터'!"&amp;O$1&amp;$Z46, TRUE)</f>
        <v>35</v>
      </c>
      <c r="P46" s="5010" cm="1">
        <f t="array" aca="1" ref="P46" ca="1">INDIRECT("'※ 소상공인 세부데이터'!"&amp;P$1&amp;$Z46, TRUE)</f>
        <v>35</v>
      </c>
      <c r="Q46" s="5010" cm="1">
        <f t="array" aca="1" ref="Q46" ca="1">INDIRECT("'※ 소상공인 세부데이터'!"&amp;Q$1&amp;$Z46, TRUE)</f>
        <v>31</v>
      </c>
      <c r="R46" s="3129" cm="1">
        <f t="array" aca="1" ref="R46" ca="1">INDIRECT("'※ 소상공인 세부데이터'!"&amp;R$1&amp;$Z46, TRUE)</f>
        <v>-4</v>
      </c>
      <c r="S46" s="5011" cm="1">
        <f t="array" aca="1" ref="S46" ca="1">INDIRECT("'※ 소상공인 세부데이터'!"&amp;S$1&amp;$Z46, TRUE)</f>
        <v>3</v>
      </c>
      <c r="T46" s="5012" cm="1">
        <f t="array" aca="1" ref="T46" ca="1">INDIRECT("'※ 소상공인 세부데이터'!"&amp;T$1&amp;$Z46, TRUE)</f>
        <v>31</v>
      </c>
      <c r="U46" s="5013"/>
      <c r="V46" s="5013"/>
      <c r="W46" s="5014" cm="1">
        <f t="array" aca="1" ref="W46" ca="1">INDIRECT("'※ 소상공인 세부데이터'!"&amp;W$1&amp;$Z46, TRUE)</f>
        <v>-31</v>
      </c>
      <c r="X46" s="3129" cm="1">
        <f t="array" aca="1" ref="X46" ca="1">INDIRECT("'※ 소상공인 세부데이터'!"&amp;X$1&amp;$Z46, TRUE)</f>
        <v>22.166666666666668</v>
      </c>
      <c r="Y46" s="5015" cm="1">
        <f t="array" aca="1" ref="Y46" ca="1">INDIRECT("'※ 소상공인 세부데이터'!"&amp;Y$1&amp;$Z46, TRUE)</f>
        <v>-2.5833333333333321</v>
      </c>
      <c r="Z46" s="3693">
        <f>ROW('※ 소상공인 세부데이터'!J5)</f>
        <v>5</v>
      </c>
      <c r="AA46" s="3053"/>
      <c r="AB46" s="3015"/>
      <c r="AC46" s="3015"/>
      <c r="AD46" s="3015"/>
      <c r="AE46" s="3015"/>
      <c r="AF46" s="3015"/>
      <c r="AG46" s="3015"/>
      <c r="AH46" s="3015"/>
      <c r="AI46" s="3015"/>
      <c r="AJ46" s="3015"/>
      <c r="AK46" s="3015"/>
      <c r="AL46" s="3015"/>
      <c r="AM46" s="3015"/>
    </row>
    <row r="47" spans="1:39" ht="13.5" customHeight="1" x14ac:dyDescent="0.55000000000000004">
      <c r="A47" s="7280"/>
      <c r="B47" s="2639"/>
      <c r="C47" s="5006" t="s">
        <v>172</v>
      </c>
      <c r="D47" s="5007" cm="1">
        <f t="array" aca="1" ref="D47" ca="1">INDIRECT("'※ 소상공인 세부데이터'!"&amp;D$1&amp;$Z47, TRUE)</f>
        <v>24</v>
      </c>
      <c r="E47" s="5008" cm="1">
        <f t="array" aca="1" ref="E47" ca="1">INDIRECT("'※ 소상공인 세부데이터'!"&amp;E$1&amp;$Z47, TRUE)</f>
        <v>19</v>
      </c>
      <c r="F47" s="5009" cm="1">
        <f t="array" aca="1" ref="F47" ca="1">INDIRECT("'※ 소상공인 세부데이터'!"&amp;F$1&amp;$Z47, TRUE)</f>
        <v>14</v>
      </c>
      <c r="G47" s="5010" cm="1">
        <f t="array" aca="1" ref="G47" ca="1">INDIRECT("'※ 소상공인 세부데이터'!"&amp;G$1&amp;$Z47, TRUE)</f>
        <v>14</v>
      </c>
      <c r="H47" s="5010" cm="1">
        <f t="array" aca="1" ref="H47" ca="1">INDIRECT("'※ 소상공인 세부데이터'!"&amp;H$1&amp;$Z47, TRUE)</f>
        <v>14</v>
      </c>
      <c r="I47" s="5010" cm="1">
        <f t="array" aca="1" ref="I47" ca="1">INDIRECT("'※ 소상공인 세부데이터'!"&amp;I$1&amp;$Z47, TRUE)</f>
        <v>10</v>
      </c>
      <c r="J47" s="5010" cm="1">
        <f t="array" aca="1" ref="J47" ca="1">INDIRECT("'※ 소상공인 세부데이터'!"&amp;J$1&amp;$Z47, TRUE)</f>
        <v>12</v>
      </c>
      <c r="K47" s="5010" cm="1">
        <f t="array" aca="1" ref="K47" ca="1">INDIRECT("'※ 소상공인 세부데이터'!"&amp;K$1&amp;$Z47, TRUE)</f>
        <v>12</v>
      </c>
      <c r="L47" s="5010" cm="1">
        <f t="array" aca="1" ref="L47" ca="1">INDIRECT("'※ 소상공인 세부데이터'!"&amp;L$1&amp;$Z47, TRUE)</f>
        <v>19</v>
      </c>
      <c r="M47" s="5010" cm="1">
        <f t="array" aca="1" ref="M47" ca="1">INDIRECT("'※ 소상공인 세부데이터'!"&amp;M$1&amp;$Z47, TRUE)</f>
        <v>19</v>
      </c>
      <c r="N47" s="5010" cm="1">
        <f t="array" aca="1" ref="N47" ca="1">INDIRECT("'※ 소상공인 세부데이터'!"&amp;N$1&amp;$Z47, TRUE)</f>
        <v>19</v>
      </c>
      <c r="O47" s="5010" cm="1">
        <f t="array" aca="1" ref="O47" ca="1">INDIRECT("'※ 소상공인 세부데이터'!"&amp;O$1&amp;$Z47, TRUE)</f>
        <v>20</v>
      </c>
      <c r="P47" s="5010" cm="1">
        <f t="array" aca="1" ref="P47" ca="1">INDIRECT("'※ 소상공인 세부데이터'!"&amp;P$1&amp;$Z47, TRUE)</f>
        <v>20</v>
      </c>
      <c r="Q47" s="5010" cm="1">
        <f t="array" aca="1" ref="Q47" ca="1">INDIRECT("'※ 소상공인 세부데이터'!"&amp;Q$1&amp;$Z47, TRUE)</f>
        <v>17</v>
      </c>
      <c r="R47" s="3129" cm="1">
        <f t="array" aca="1" ref="R47" ca="1">INDIRECT("'※ 소상공인 세부데이터'!"&amp;R$1&amp;$Z47, TRUE)</f>
        <v>-3</v>
      </c>
      <c r="S47" s="5011" cm="1">
        <f t="array" aca="1" ref="S47" ca="1">INDIRECT("'※ 소상공인 세부데이터'!"&amp;S$1&amp;$Z47, TRUE)</f>
        <v>-2</v>
      </c>
      <c r="T47" s="5012" cm="1">
        <f t="array" aca="1" ref="T47" ca="1">INDIRECT("'※ 소상공인 세부데이터'!"&amp;T$1&amp;$Z47, TRUE)</f>
        <v>17</v>
      </c>
      <c r="U47" s="5013"/>
      <c r="V47" s="5013"/>
      <c r="W47" s="5014" cm="1">
        <f t="array" aca="1" ref="W47" ca="1">INDIRECT("'※ 소상공인 세부데이터'!"&amp;W$1&amp;$Z47, TRUE)</f>
        <v>-71</v>
      </c>
      <c r="X47" s="3129" cm="1">
        <f t="array" aca="1" ref="X47" ca="1">INDIRECT("'※ 소상공인 세부데이터'!"&amp;X$1&amp;$Z47, TRUE)</f>
        <v>15.833333333333334</v>
      </c>
      <c r="Y47" s="5015" cm="1">
        <f t="array" aca="1" ref="Y47" ca="1">INDIRECT("'※ 소상공인 세부데이터'!"&amp;Y$1&amp;$Z47, TRUE)</f>
        <v>-5.9166666666666661</v>
      </c>
      <c r="Z47" s="3693">
        <f>ROW('※ 소상공인 세부데이터'!J6)</f>
        <v>6</v>
      </c>
      <c r="AA47" s="3053"/>
      <c r="AB47" s="3015"/>
      <c r="AC47" s="3015"/>
      <c r="AD47" s="3015"/>
      <c r="AE47" s="3015"/>
      <c r="AF47" s="3015"/>
      <c r="AG47" s="3015"/>
      <c r="AH47" s="3015"/>
      <c r="AI47" s="3015"/>
      <c r="AJ47" s="3015"/>
      <c r="AK47" s="3015"/>
      <c r="AL47" s="3015"/>
      <c r="AM47" s="3015"/>
    </row>
    <row r="48" spans="1:39" ht="13.5" customHeight="1" x14ac:dyDescent="0.55000000000000004">
      <c r="A48" s="7280"/>
      <c r="B48" s="2639"/>
      <c r="C48" s="5006" t="s">
        <v>173</v>
      </c>
      <c r="D48" s="5007" cm="1">
        <f t="array" aca="1" ref="D48" ca="1">INDIRECT("'※ 소상공인 세부데이터'!"&amp;D$1&amp;$Z48, TRUE)</f>
        <v>27</v>
      </c>
      <c r="E48" s="5008" cm="1">
        <f t="array" aca="1" ref="E48" ca="1">INDIRECT("'※ 소상공인 세부데이터'!"&amp;E$1&amp;$Z48, TRUE)</f>
        <v>26</v>
      </c>
      <c r="F48" s="5009" cm="1">
        <f t="array" aca="1" ref="F48" ca="1">INDIRECT("'※ 소상공인 세부데이터'!"&amp;F$1&amp;$Z48, TRUE)</f>
        <v>35</v>
      </c>
      <c r="G48" s="5010" cm="1">
        <f t="array" aca="1" ref="G48" ca="1">INDIRECT("'※ 소상공인 세부데이터'!"&amp;G$1&amp;$Z48, TRUE)</f>
        <v>35</v>
      </c>
      <c r="H48" s="5010" cm="1">
        <f t="array" aca="1" ref="H48" ca="1">INDIRECT("'※ 소상공인 세부데이터'!"&amp;H$1&amp;$Z48, TRUE)</f>
        <v>33</v>
      </c>
      <c r="I48" s="5010" cm="1">
        <f t="array" aca="1" ref="I48" ca="1">INDIRECT("'※ 소상공인 세부데이터'!"&amp;I$1&amp;$Z48, TRUE)</f>
        <v>29</v>
      </c>
      <c r="J48" s="5010" cm="1">
        <f t="array" aca="1" ref="J48" ca="1">INDIRECT("'※ 소상공인 세부데이터'!"&amp;J$1&amp;$Z48, TRUE)</f>
        <v>33</v>
      </c>
      <c r="K48" s="5010" cm="1">
        <f t="array" aca="1" ref="K48" ca="1">INDIRECT("'※ 소상공인 세부데이터'!"&amp;K$1&amp;$Z48, TRUE)</f>
        <v>33</v>
      </c>
      <c r="L48" s="5010" cm="1">
        <f t="array" aca="1" ref="L48" ca="1">INDIRECT("'※ 소상공인 세부데이터'!"&amp;L$1&amp;$Z48, TRUE)</f>
        <v>27</v>
      </c>
      <c r="M48" s="5010" cm="1">
        <f t="array" aca="1" ref="M48" ca="1">INDIRECT("'※ 소상공인 세부데이터'!"&amp;M$1&amp;$Z48, TRUE)</f>
        <v>26</v>
      </c>
      <c r="N48" s="5010" cm="1">
        <f t="array" aca="1" ref="N48" ca="1">INDIRECT("'※ 소상공인 세부데이터'!"&amp;N$1&amp;$Z48, TRUE)</f>
        <v>25</v>
      </c>
      <c r="O48" s="5010" cm="1">
        <f t="array" aca="1" ref="O48" ca="1">INDIRECT("'※ 소상공인 세부데이터'!"&amp;O$1&amp;$Z48, TRUE)</f>
        <v>35</v>
      </c>
      <c r="P48" s="5010" cm="1">
        <f t="array" aca="1" ref="P48" ca="1">INDIRECT("'※ 소상공인 세부데이터'!"&amp;P$1&amp;$Z48, TRUE)</f>
        <v>35</v>
      </c>
      <c r="Q48" s="5010" cm="1">
        <f t="array" aca="1" ref="Q48" ca="1">INDIRECT("'※ 소상공인 세부데이터'!"&amp;Q$1&amp;$Z48, TRUE)</f>
        <v>14</v>
      </c>
      <c r="R48" s="3129" cm="1">
        <f t="array" aca="1" ref="R48" ca="1">INDIRECT("'※ 소상공인 세부데이터'!"&amp;R$1&amp;$Z48, TRUE)</f>
        <v>-21</v>
      </c>
      <c r="S48" s="5011" cm="1">
        <f t="array" aca="1" ref="S48" ca="1">INDIRECT("'※ 소상공인 세부데이터'!"&amp;S$1&amp;$Z48, TRUE)</f>
        <v>-12</v>
      </c>
      <c r="T48" s="5012" cm="1">
        <f t="array" aca="1" ref="T48" ca="1">INDIRECT("'※ 소상공인 세부데이터'!"&amp;T$1&amp;$Z48, TRUE)</f>
        <v>14</v>
      </c>
      <c r="U48" s="5016"/>
      <c r="V48" s="5013"/>
      <c r="W48" s="5014" cm="1">
        <f t="array" aca="1" ref="W48" ca="1">INDIRECT("'※ 소상공인 세부데이터'!"&amp;W$1&amp;$Z48, TRUE)</f>
        <v>72</v>
      </c>
      <c r="X48" s="3129" cm="1">
        <f t="array" aca="1" ref="X48" ca="1">INDIRECT("'※ 소상공인 세부데이터'!"&amp;X$1&amp;$Z48, TRUE)</f>
        <v>30</v>
      </c>
      <c r="Y48" s="5015" cm="1">
        <f t="array" aca="1" ref="Y48" ca="1">INDIRECT("'※ 소상공인 세부데이터'!"&amp;Y$1&amp;$Z48, TRUE)</f>
        <v>6</v>
      </c>
      <c r="Z48" s="3693">
        <f>ROW('※ 소상공인 세부데이터'!J7)</f>
        <v>7</v>
      </c>
      <c r="AA48" s="3053"/>
      <c r="AB48" s="3015"/>
      <c r="AC48" s="3015"/>
      <c r="AD48" s="3015"/>
      <c r="AE48" s="3015"/>
      <c r="AF48" s="3015"/>
      <c r="AG48" s="3015"/>
      <c r="AH48" s="3015"/>
      <c r="AI48" s="3015"/>
      <c r="AJ48" s="3015"/>
      <c r="AK48" s="3015"/>
      <c r="AL48" s="3015"/>
      <c r="AM48" s="3015"/>
    </row>
    <row r="49" spans="1:39" ht="13.5" customHeight="1" x14ac:dyDescent="0.55000000000000004">
      <c r="A49" s="7280"/>
      <c r="B49" s="2639"/>
      <c r="C49" s="5006" t="s">
        <v>538</v>
      </c>
      <c r="D49" s="5007" cm="1">
        <f t="array" aca="1" ref="D49" ca="1">INDIRECT("'※ 소상공인 세부데이터'!"&amp;D$1&amp;$Z49, TRUE)</f>
        <v>34</v>
      </c>
      <c r="E49" s="5008" cm="1">
        <f t="array" aca="1" ref="E49" ca="1">INDIRECT("'※ 소상공인 세부데이터'!"&amp;E$1&amp;$Z49, TRUE)</f>
        <v>50</v>
      </c>
      <c r="F49" s="5009" cm="1">
        <f t="array" aca="1" ref="F49" ca="1">INDIRECT("'※ 소상공인 세부데이터'!"&amp;F$1&amp;$Z49, TRUE)</f>
        <v>74</v>
      </c>
      <c r="G49" s="5010" cm="1">
        <f t="array" aca="1" ref="G49" ca="1">INDIRECT("'※ 소상공인 세부데이터'!"&amp;G$1&amp;$Z49, TRUE)</f>
        <v>72</v>
      </c>
      <c r="H49" s="5010" cm="1">
        <f t="array" aca="1" ref="H49" ca="1">INDIRECT("'※ 소상공인 세부데이터'!"&amp;H$1&amp;$Z49, TRUE)</f>
        <v>85</v>
      </c>
      <c r="I49" s="5010" cm="1">
        <f t="array" aca="1" ref="I49" ca="1">INDIRECT("'※ 소상공인 세부데이터'!"&amp;I$1&amp;$Z49, TRUE)</f>
        <v>71</v>
      </c>
      <c r="J49" s="5010" cm="1">
        <f t="array" aca="1" ref="J49" ca="1">INDIRECT("'※ 소상공인 세부데이터'!"&amp;J$1&amp;$Z49, TRUE)</f>
        <v>71</v>
      </c>
      <c r="K49" s="5010" cm="1">
        <f t="array" aca="1" ref="K49" ca="1">INDIRECT("'※ 소상공인 세부데이터'!"&amp;K$1&amp;$Z49, TRUE)</f>
        <v>66</v>
      </c>
      <c r="L49" s="5010" cm="1">
        <f t="array" aca="1" ref="L49" ca="1">INDIRECT("'※ 소상공인 세부데이터'!"&amp;L$1&amp;$Z49, TRUE)</f>
        <v>34</v>
      </c>
      <c r="M49" s="5010" cm="1">
        <f t="array" aca="1" ref="M49" ca="1">INDIRECT("'※ 소상공인 세부데이터'!"&amp;M$1&amp;$Z49, TRUE)</f>
        <v>32</v>
      </c>
      <c r="N49" s="5010" cm="1">
        <f t="array" aca="1" ref="N49" ca="1">INDIRECT("'※ 소상공인 세부데이터'!"&amp;N$1&amp;$Z49, TRUE)</f>
        <v>33</v>
      </c>
      <c r="O49" s="5010" cm="1">
        <f t="array" aca="1" ref="O49" ca="1">INDIRECT("'※ 소상공인 세부데이터'!"&amp;O$1&amp;$Z49, TRUE)</f>
        <v>12</v>
      </c>
      <c r="P49" s="5010" cm="1">
        <f t="array" aca="1" ref="P49" ca="1">INDIRECT("'※ 소상공인 세부데이터'!"&amp;P$1&amp;$Z49, TRUE)</f>
        <v>12</v>
      </c>
      <c r="Q49" s="5010" cm="1">
        <f t="array" aca="1" ref="Q49" ca="1">INDIRECT("'※ 소상공인 세부데이터'!"&amp;Q$1&amp;$Z49, TRUE)</f>
        <v>6</v>
      </c>
      <c r="R49" s="3129" cm="1">
        <f t="array" aca="1" ref="R49" ca="1">INDIRECT("'※ 소상공인 세부데이터'!"&amp;R$1&amp;$Z49, TRUE)</f>
        <v>-6</v>
      </c>
      <c r="S49" s="5011" cm="1">
        <f t="array" aca="1" ref="S49" ca="1">INDIRECT("'※ 소상공인 세부데이터'!"&amp;S$1&amp;$Z49, TRUE)</f>
        <v>-44</v>
      </c>
      <c r="T49" s="5012" cm="1">
        <f t="array" aca="1" ref="T49" ca="1">INDIRECT("'※ 소상공인 세부데이터'!"&amp;T$1&amp;$Z49, TRUE)</f>
        <v>6</v>
      </c>
      <c r="U49" s="5016"/>
      <c r="V49" s="5013"/>
      <c r="W49" s="5014" cm="1">
        <f t="array" aca="1" ref="W49" ca="1">INDIRECT("'※ 소상공인 세부데이터'!"&amp;W$1&amp;$Z49, TRUE)</f>
        <v>150</v>
      </c>
      <c r="X49" s="3129" cm="1">
        <f t="array" aca="1" ref="X49" ca="1">INDIRECT("'※ 소상공인 세부데이터'!"&amp;X$1&amp;$Z49, TRUE)</f>
        <v>47.333333333333336</v>
      </c>
      <c r="Y49" s="5015" cm="1">
        <f t="array" aca="1" ref="Y49" ca="1">INDIRECT("'※ 소상공인 세부데이터'!"&amp;Y$1&amp;$Z49, TRUE)</f>
        <v>12.5</v>
      </c>
      <c r="Z49" s="3693">
        <f>ROW('※ 소상공인 세부데이터'!J8)</f>
        <v>8</v>
      </c>
      <c r="AA49" s="3053"/>
      <c r="AB49" s="3015"/>
      <c r="AC49" s="3015"/>
      <c r="AD49" s="3015"/>
      <c r="AE49" s="3015"/>
      <c r="AF49" s="3015"/>
      <c r="AG49" s="3015"/>
      <c r="AH49" s="3015"/>
      <c r="AI49" s="3015"/>
      <c r="AJ49" s="3015"/>
      <c r="AK49" s="3015"/>
      <c r="AL49" s="3015"/>
      <c r="AM49" s="3015"/>
    </row>
    <row r="50" spans="1:39" ht="13.5" customHeight="1" x14ac:dyDescent="0.55000000000000004">
      <c r="A50" s="7280"/>
      <c r="B50" s="2639"/>
      <c r="C50" s="5006" t="s">
        <v>540</v>
      </c>
      <c r="D50" s="5007" cm="1">
        <f t="array" aca="1" ref="D50" ca="1">INDIRECT("'※ 소상공인 세부데이터'!"&amp;D$1&amp;$Z50, TRUE)</f>
        <v>17</v>
      </c>
      <c r="E50" s="5008" cm="1">
        <f t="array" aca="1" ref="E50" ca="1">INDIRECT("'※ 소상공인 세부데이터'!"&amp;E$1&amp;$Z50, TRUE)</f>
        <v>0</v>
      </c>
      <c r="F50" s="5009" cm="1">
        <f t="array" aca="1" ref="F50" ca="1">INDIRECT("'※ 소상공인 세부데이터'!"&amp;F$1&amp;$Z50, TRUE)</f>
        <v>0</v>
      </c>
      <c r="G50" s="5010" cm="1">
        <f t="array" aca="1" ref="G50" ca="1">INDIRECT("'※ 소상공인 세부데이터'!"&amp;G$1&amp;$Z50, TRUE)</f>
        <v>0</v>
      </c>
      <c r="H50" s="5010" cm="1">
        <f t="array" aca="1" ref="H50" ca="1">INDIRECT("'※ 소상공인 세부데이터'!"&amp;H$1&amp;$Z50, TRUE)</f>
        <v>0</v>
      </c>
      <c r="I50" s="5010" cm="1">
        <f t="array" aca="1" ref="I50" ca="1">INDIRECT("'※ 소상공인 세부데이터'!"&amp;I$1&amp;$Z50, TRUE)</f>
        <v>0</v>
      </c>
      <c r="J50" s="5010" cm="1">
        <f t="array" aca="1" ref="J50" ca="1">INDIRECT("'※ 소상공인 세부데이터'!"&amp;J$1&amp;$Z50, TRUE)</f>
        <v>0</v>
      </c>
      <c r="K50" s="5010" cm="1">
        <f t="array" aca="1" ref="K50" ca="1">INDIRECT("'※ 소상공인 세부데이터'!"&amp;K$1&amp;$Z50, TRUE)</f>
        <v>0</v>
      </c>
      <c r="L50" s="5010" cm="1">
        <f t="array" aca="1" ref="L50" ca="1">INDIRECT("'※ 소상공인 세부데이터'!"&amp;L$1&amp;$Z50, TRUE)</f>
        <v>0</v>
      </c>
      <c r="M50" s="5010" cm="1">
        <f t="array" aca="1" ref="M50" ca="1">INDIRECT("'※ 소상공인 세부데이터'!"&amp;M$1&amp;$Z50, TRUE)</f>
        <v>0</v>
      </c>
      <c r="N50" s="5010" cm="1">
        <f t="array" aca="1" ref="N50" ca="1">INDIRECT("'※ 소상공인 세부데이터'!"&amp;N$1&amp;$Z50, TRUE)</f>
        <v>0</v>
      </c>
      <c r="O50" s="5010" cm="1">
        <f t="array" aca="1" ref="O50" ca="1">INDIRECT("'※ 소상공인 세부데이터'!"&amp;O$1&amp;$Z50, TRUE)</f>
        <v>0</v>
      </c>
      <c r="P50" s="5010" cm="1">
        <f t="array" aca="1" ref="P50" ca="1">INDIRECT("'※ 소상공인 세부데이터'!"&amp;P$1&amp;$Z50, TRUE)</f>
        <v>0</v>
      </c>
      <c r="Q50" s="5010" cm="1">
        <f t="array" aca="1" ref="Q50" ca="1">INDIRECT("'※ 소상공인 세부데이터'!"&amp;Q$1&amp;$Z50, TRUE)</f>
        <v>0</v>
      </c>
      <c r="R50" s="3129" cm="1">
        <f t="array" aca="1" ref="R50" ca="1">INDIRECT("'※ 소상공인 세부데이터'!"&amp;R$1&amp;$Z50, TRUE)</f>
        <v>0</v>
      </c>
      <c r="S50" s="5011" cm="1">
        <f t="array" aca="1" ref="S50" ca="1">INDIRECT("'※ 소상공인 세부데이터'!"&amp;S$1&amp;$Z50, TRUE)</f>
        <v>0</v>
      </c>
      <c r="T50" s="5012" cm="1">
        <f t="array" aca="1" ref="T50" ca="1">INDIRECT("'※ 소상공인 세부데이터'!"&amp;T$1&amp;$Z50, TRUE)</f>
        <v>0</v>
      </c>
      <c r="U50" s="5016"/>
      <c r="V50" s="5013"/>
      <c r="W50" s="5014" cm="1">
        <f t="array" aca="1" ref="W50" ca="1">INDIRECT("'※ 소상공인 세부데이터'!"&amp;W$1&amp;$Z50, TRUE)</f>
        <v>-52</v>
      </c>
      <c r="X50" s="3129" cm="1">
        <f t="array" aca="1" ref="X50" ca="1">INDIRECT("'※ 소상공인 세부데이터'!"&amp;X$1&amp;$Z50, TRUE)</f>
        <v>0</v>
      </c>
      <c r="Y50" s="5015" cm="1">
        <f t="array" aca="1" ref="Y50" ca="1">INDIRECT("'※ 소상공인 세부데이터'!"&amp;Y$1&amp;$Z50, TRUE)</f>
        <v>-4.333333333333333</v>
      </c>
      <c r="Z50" s="3693">
        <f>ROW('※ 소상공인 세부데이터'!J9)</f>
        <v>9</v>
      </c>
      <c r="AA50" s="3053"/>
      <c r="AB50" s="3015"/>
      <c r="AC50" s="3015"/>
      <c r="AD50" s="3015"/>
      <c r="AE50" s="3015"/>
      <c r="AF50" s="3015"/>
      <c r="AG50" s="3015"/>
      <c r="AH50" s="3015"/>
      <c r="AI50" s="3015"/>
      <c r="AJ50" s="3015"/>
      <c r="AK50" s="3015"/>
      <c r="AL50" s="3015"/>
      <c r="AM50" s="3015"/>
    </row>
    <row r="51" spans="1:39" ht="13.5" customHeight="1" x14ac:dyDescent="0.55000000000000004">
      <c r="A51" s="7280"/>
      <c r="B51" s="5017" t="s">
        <v>186</v>
      </c>
      <c r="C51" s="5018" t="s">
        <v>143</v>
      </c>
      <c r="D51" s="5019" cm="1">
        <f t="array" aca="1" ref="D51" ca="1">INDIRECT("'※ 소상공인 세부데이터'!"&amp;D$1&amp;$Z51, TRUE)</f>
        <v>18</v>
      </c>
      <c r="E51" s="5020" cm="1">
        <f t="array" aca="1" ref="E51" ca="1">INDIRECT("'※ 소상공인 세부데이터'!"&amp;E$1&amp;$Z51, TRUE)</f>
        <v>23</v>
      </c>
      <c r="F51" s="5021" cm="1">
        <f t="array" aca="1" ref="F51" ca="1">INDIRECT("'※ 소상공인 세부데이터'!"&amp;F$1&amp;$Z51, TRUE)</f>
        <v>22</v>
      </c>
      <c r="G51" s="5022" cm="1">
        <f t="array" aca="1" ref="G51" ca="1">INDIRECT("'※ 소상공인 세부데이터'!"&amp;G$1&amp;$Z51, TRUE)</f>
        <v>22</v>
      </c>
      <c r="H51" s="5022" cm="1">
        <f t="array" aca="1" ref="H51" ca="1">INDIRECT("'※ 소상공인 세부데이터'!"&amp;H$1&amp;$Z51, TRUE)</f>
        <v>27</v>
      </c>
      <c r="I51" s="5022" cm="1">
        <f t="array" aca="1" ref="I51" ca="1">INDIRECT("'※ 소상공인 세부데이터'!"&amp;I$1&amp;$Z51, TRUE)</f>
        <v>28</v>
      </c>
      <c r="J51" s="5022" cm="1">
        <f t="array" aca="1" ref="J51" ca="1">INDIRECT("'※ 소상공인 세부데이터'!"&amp;J$1&amp;$Z51, TRUE)</f>
        <v>27</v>
      </c>
      <c r="K51" s="5022" cm="1">
        <f t="array" aca="1" ref="K51" ca="1">INDIRECT("'※ 소상공인 세부데이터'!"&amp;K$1&amp;$Z51, TRUE)</f>
        <v>27</v>
      </c>
      <c r="L51" s="5022" cm="1">
        <f t="array" aca="1" ref="L51" ca="1">INDIRECT("'※ 소상공인 세부데이터'!"&amp;L$1&amp;$Z51, TRUE)</f>
        <v>23</v>
      </c>
      <c r="M51" s="5022" cm="1">
        <f t="array" aca="1" ref="M51" ca="1">INDIRECT("'※ 소상공인 세부데이터'!"&amp;M$1&amp;$Z51, TRUE)</f>
        <v>23</v>
      </c>
      <c r="N51" s="5022" cm="1">
        <f t="array" aca="1" ref="N51" ca="1">INDIRECT("'※ 소상공인 세부데이터'!"&amp;N$1&amp;$Z51, TRUE)</f>
        <v>23</v>
      </c>
      <c r="O51" s="5022" cm="1">
        <f t="array" aca="1" ref="O51" ca="1">INDIRECT("'※ 소상공인 세부데이터'!"&amp;O$1&amp;$Z51, TRUE)</f>
        <v>22</v>
      </c>
      <c r="P51" s="5022" cm="1">
        <f t="array" aca="1" ref="P51" ca="1">INDIRECT("'※ 소상공인 세부데이터'!"&amp;P$1&amp;$Z51, TRUE)</f>
        <v>22</v>
      </c>
      <c r="Q51" s="5022" cm="1">
        <f t="array" aca="1" ref="Q51" ca="1">INDIRECT("'※ 소상공인 세부데이터'!"&amp;Q$1&amp;$Z51, TRUE)</f>
        <v>16</v>
      </c>
      <c r="R51" s="5023" cm="1">
        <f t="array" aca="1" ref="R51" ca="1">INDIRECT("'※ 소상공인 세부데이터'!"&amp;R$1&amp;$Z51, TRUE)</f>
        <v>-6</v>
      </c>
      <c r="S51" s="5024" cm="1">
        <f t="array" aca="1" ref="S51" ca="1">INDIRECT("'※ 소상공인 세부데이터'!"&amp;S$1&amp;$Z51, TRUE)</f>
        <v>-7</v>
      </c>
      <c r="T51" s="5025" cm="1">
        <f t="array" aca="1" ref="T51" ca="1">INDIRECT("'※ 소상공인 세부데이터'!"&amp;T$1&amp;$Z51, TRUE)</f>
        <v>16</v>
      </c>
      <c r="U51" s="5016"/>
      <c r="V51" s="5013"/>
      <c r="W51" s="5026" cm="1">
        <f t="array" aca="1" ref="W51" ca="1">INDIRECT("'※ 소상공인 세부데이터'!"&amp;W$1&amp;$Z51, TRUE)</f>
        <v>63</v>
      </c>
      <c r="X51" s="5023" cm="1">
        <f t="array" aca="1" ref="X51" ca="1">INDIRECT("'※ 소상공인 세부데이터'!"&amp;X$1&amp;$Z51, TRUE)</f>
        <v>23.5</v>
      </c>
      <c r="Y51" s="5027" cm="1">
        <f t="array" aca="1" ref="Y51" ca="1">INDIRECT("'※ 소상공인 세부데이터'!"&amp;Y$1&amp;$Z51, TRUE)</f>
        <v>5.25</v>
      </c>
      <c r="Z51" s="3693">
        <f>ROW('※ 소상공인 세부데이터'!J10)</f>
        <v>10</v>
      </c>
      <c r="AA51" s="3053"/>
      <c r="AB51" s="3015"/>
      <c r="AC51" s="3015"/>
      <c r="AD51" s="3015"/>
      <c r="AE51" s="3015"/>
      <c r="AF51" s="3015"/>
      <c r="AG51" s="3015"/>
      <c r="AH51" s="3015"/>
      <c r="AI51" s="3015"/>
      <c r="AJ51" s="3015"/>
      <c r="AK51" s="3015"/>
      <c r="AL51" s="3015"/>
      <c r="AM51" s="3015"/>
    </row>
    <row r="52" spans="1:39" ht="13.5" customHeight="1" x14ac:dyDescent="0.55000000000000004">
      <c r="A52" s="7280"/>
      <c r="B52" s="2639"/>
      <c r="C52" s="5006" t="s">
        <v>145</v>
      </c>
      <c r="D52" s="5007" cm="1">
        <f t="array" aca="1" ref="D52" ca="1">INDIRECT("'※ 소상공인 세부데이터'!"&amp;D$1&amp;$Z52, TRUE)</f>
        <v>19</v>
      </c>
      <c r="E52" s="5008" cm="1">
        <f t="array" aca="1" ref="E52" ca="1">INDIRECT("'※ 소상공인 세부데이터'!"&amp;E$1&amp;$Z52, TRUE)</f>
        <v>15</v>
      </c>
      <c r="F52" s="5009" cm="1">
        <f t="array" aca="1" ref="F52" ca="1">INDIRECT("'※ 소상공인 세부데이터'!"&amp;F$1&amp;$Z52, TRUE)</f>
        <v>16</v>
      </c>
      <c r="G52" s="5010" cm="1">
        <f t="array" aca="1" ref="G52" ca="1">INDIRECT("'※ 소상공인 세부데이터'!"&amp;G$1&amp;$Z52, TRUE)</f>
        <v>15</v>
      </c>
      <c r="H52" s="5010" cm="1">
        <f t="array" aca="1" ref="H52" ca="1">INDIRECT("'※ 소상공인 세부데이터'!"&amp;H$1&amp;$Z52, TRUE)</f>
        <v>17</v>
      </c>
      <c r="I52" s="5010" cm="1">
        <f t="array" aca="1" ref="I52" ca="1">INDIRECT("'※ 소상공인 세부데이터'!"&amp;I$1&amp;$Z52, TRUE)</f>
        <v>16</v>
      </c>
      <c r="J52" s="5010" cm="1">
        <f t="array" aca="1" ref="J52" ca="1">INDIRECT("'※ 소상공인 세부데이터'!"&amp;J$1&amp;$Z52, TRUE)</f>
        <v>15</v>
      </c>
      <c r="K52" s="5010" cm="1">
        <f t="array" aca="1" ref="K52" ca="1">INDIRECT("'※ 소상공인 세부데이터'!"&amp;K$1&amp;$Z52, TRUE)</f>
        <v>15</v>
      </c>
      <c r="L52" s="5010" cm="1">
        <f t="array" aca="1" ref="L52" ca="1">INDIRECT("'※ 소상공인 세부데이터'!"&amp;L$1&amp;$Z52, TRUE)</f>
        <v>14</v>
      </c>
      <c r="M52" s="5010" cm="1">
        <f t="array" aca="1" ref="M52" ca="1">INDIRECT("'※ 소상공인 세부데이터'!"&amp;M$1&amp;$Z52, TRUE)</f>
        <v>12</v>
      </c>
      <c r="N52" s="5010" cm="1">
        <f t="array" aca="1" ref="N52" ca="1">INDIRECT("'※ 소상공인 세부데이터'!"&amp;N$1&amp;$Z52, TRUE)</f>
        <v>12</v>
      </c>
      <c r="O52" s="5010" cm="1">
        <f t="array" aca="1" ref="O52" ca="1">INDIRECT("'※ 소상공인 세부데이터'!"&amp;O$1&amp;$Z52, TRUE)</f>
        <v>12</v>
      </c>
      <c r="P52" s="5010" cm="1">
        <f t="array" aca="1" ref="P52" ca="1">INDIRECT("'※ 소상공인 세부데이터'!"&amp;P$1&amp;$Z52, TRUE)</f>
        <v>12</v>
      </c>
      <c r="Q52" s="5010" cm="1">
        <f t="array" aca="1" ref="Q52" ca="1">INDIRECT("'※ 소상공인 세부데이터'!"&amp;Q$1&amp;$Z52, TRUE)</f>
        <v>9</v>
      </c>
      <c r="R52" s="3129" cm="1">
        <f t="array" aca="1" ref="R52" ca="1">INDIRECT("'※ 소상공인 세부데이터'!"&amp;R$1&amp;$Z52, TRUE)</f>
        <v>-3</v>
      </c>
      <c r="S52" s="5011" cm="1">
        <f t="array" aca="1" ref="S52" ca="1">INDIRECT("'※ 소상공인 세부데이터'!"&amp;S$1&amp;$Z52, TRUE)</f>
        <v>-6</v>
      </c>
      <c r="T52" s="5012" cm="1">
        <f t="array" aca="1" ref="T52" ca="1">INDIRECT("'※ 소상공인 세부데이터'!"&amp;T$1&amp;$Z52, TRUE)</f>
        <v>9</v>
      </c>
      <c r="U52" s="5016"/>
      <c r="V52" s="5013"/>
      <c r="W52" s="5014" cm="1">
        <f t="array" aca="1" ref="W52" ca="1">INDIRECT("'※ 소상공인 세부데이터'!"&amp;W$1&amp;$Z52, TRUE)</f>
        <v>-9</v>
      </c>
      <c r="X52" s="3129" cm="1">
        <f t="array" aca="1" ref="X52" ca="1">INDIRECT("'※ 소상공인 세부데이터'!"&amp;X$1&amp;$Z52, TRUE)</f>
        <v>13.75</v>
      </c>
      <c r="Y52" s="5015" cm="1">
        <f t="array" aca="1" ref="Y52" ca="1">INDIRECT("'※ 소상공인 세부데이터'!"&amp;Y$1&amp;$Z52, TRUE)</f>
        <v>-0.75</v>
      </c>
      <c r="Z52" s="3693">
        <f>ROW('※ 소상공인 세부데이터'!J11)</f>
        <v>11</v>
      </c>
      <c r="AA52" s="3053"/>
      <c r="AB52" s="3015"/>
      <c r="AC52" s="3015"/>
      <c r="AD52" s="3015"/>
      <c r="AE52" s="3015"/>
      <c r="AF52" s="3015"/>
      <c r="AG52" s="3015"/>
      <c r="AH52" s="3015"/>
      <c r="AI52" s="3015"/>
      <c r="AJ52" s="3015"/>
      <c r="AK52" s="3015"/>
      <c r="AL52" s="3015"/>
      <c r="AM52" s="3015"/>
    </row>
    <row r="53" spans="1:39" ht="13.5" customHeight="1" x14ac:dyDescent="0.55000000000000004">
      <c r="A53" s="7280"/>
      <c r="B53" s="2639"/>
      <c r="C53" s="5006" t="s">
        <v>147</v>
      </c>
      <c r="D53" s="5007" cm="1">
        <f t="array" aca="1" ref="D53" ca="1">INDIRECT("'※ 소상공인 세부데이터'!"&amp;D$1&amp;$Z53, TRUE)</f>
        <v>26</v>
      </c>
      <c r="E53" s="5008" cm="1">
        <f t="array" aca="1" ref="E53" ca="1">INDIRECT("'※ 소상공인 세부데이터'!"&amp;E$1&amp;$Z53, TRUE)</f>
        <v>21</v>
      </c>
      <c r="F53" s="5009" cm="1">
        <f t="array" aca="1" ref="F53" ca="1">INDIRECT("'※ 소상공인 세부데이터'!"&amp;F$1&amp;$Z53, TRUE)</f>
        <v>22</v>
      </c>
      <c r="G53" s="5010" cm="1">
        <f t="array" aca="1" ref="G53" ca="1">INDIRECT("'※ 소상공인 세부데이터'!"&amp;G$1&amp;$Z53, TRUE)</f>
        <v>23</v>
      </c>
      <c r="H53" s="5010" cm="1">
        <f t="array" aca="1" ref="H53" ca="1">INDIRECT("'※ 소상공인 세부데이터'!"&amp;H$1&amp;$Z53, TRUE)</f>
        <v>23</v>
      </c>
      <c r="I53" s="5010" cm="1">
        <f t="array" aca="1" ref="I53" ca="1">INDIRECT("'※ 소상공인 세부데이터'!"&amp;I$1&amp;$Z53, TRUE)</f>
        <v>20</v>
      </c>
      <c r="J53" s="5010" cm="1">
        <f t="array" aca="1" ref="J53" ca="1">INDIRECT("'※ 소상공인 세부데이터'!"&amp;J$1&amp;$Z53, TRUE)</f>
        <v>20</v>
      </c>
      <c r="K53" s="5010" cm="1">
        <f t="array" aca="1" ref="K53" ca="1">INDIRECT("'※ 소상공인 세부데이터'!"&amp;K$1&amp;$Z53, TRUE)</f>
        <v>20</v>
      </c>
      <c r="L53" s="5010" cm="1">
        <f t="array" aca="1" ref="L53" ca="1">INDIRECT("'※ 소상공인 세부데이터'!"&amp;L$1&amp;$Z53, TRUE)</f>
        <v>19</v>
      </c>
      <c r="M53" s="5010" cm="1">
        <f t="array" aca="1" ref="M53" ca="1">INDIRECT("'※ 소상공인 세부데이터'!"&amp;M$1&amp;$Z53, TRUE)</f>
        <v>19</v>
      </c>
      <c r="N53" s="5010" cm="1">
        <f t="array" aca="1" ref="N53" ca="1">INDIRECT("'※ 소상공인 세부데이터'!"&amp;N$1&amp;$Z53, TRUE)</f>
        <v>17</v>
      </c>
      <c r="O53" s="5010" cm="1">
        <f t="array" aca="1" ref="O53" ca="1">INDIRECT("'※ 소상공인 세부데이터'!"&amp;O$1&amp;$Z53, TRUE)</f>
        <v>16</v>
      </c>
      <c r="P53" s="5010" cm="1">
        <f t="array" aca="1" ref="P53" ca="1">INDIRECT("'※ 소상공인 세부데이터'!"&amp;P$1&amp;$Z53, TRUE)</f>
        <v>16</v>
      </c>
      <c r="Q53" s="5010" cm="1">
        <f t="array" aca="1" ref="Q53" ca="1">INDIRECT("'※ 소상공인 세부데이터'!"&amp;Q$1&amp;$Z53, TRUE)</f>
        <v>11</v>
      </c>
      <c r="R53" s="3129" cm="1">
        <f t="array" aca="1" ref="R53" ca="1">INDIRECT("'※ 소상공인 세부데이터'!"&amp;R$1&amp;$Z53, TRUE)</f>
        <v>-5</v>
      </c>
      <c r="S53" s="5011" cm="1">
        <f t="array" aca="1" ref="S53" ca="1">INDIRECT("'※ 소상공인 세부데이터'!"&amp;S$1&amp;$Z53, TRUE)</f>
        <v>-10</v>
      </c>
      <c r="T53" s="5012" cm="1">
        <f t="array" aca="1" ref="T53" ca="1">INDIRECT("'※ 소상공인 세부데이터'!"&amp;T$1&amp;$Z53, TRUE)</f>
        <v>11</v>
      </c>
      <c r="U53" s="5016"/>
      <c r="V53" s="5013"/>
      <c r="W53" s="5014" cm="1">
        <f t="array" aca="1" ref="W53" ca="1">INDIRECT("'※ 소상공인 세부데이터'!"&amp;W$1&amp;$Z53, TRUE)</f>
        <v>-11</v>
      </c>
      <c r="X53" s="3129" cm="1">
        <f t="array" aca="1" ref="X53" ca="1">INDIRECT("'※ 소상공인 세부데이터'!"&amp;X$1&amp;$Z53, TRUE)</f>
        <v>18.833333333333332</v>
      </c>
      <c r="Y53" s="5015" cm="1">
        <f t="array" aca="1" ref="Y53" ca="1">INDIRECT("'※ 소상공인 세부데이터'!"&amp;Y$1&amp;$Z53, TRUE)</f>
        <v>-0.91666666666666785</v>
      </c>
      <c r="Z53" s="3693">
        <f>ROW('※ 소상공인 세부데이터'!J12)</f>
        <v>12</v>
      </c>
      <c r="AA53" s="3053"/>
      <c r="AB53" s="3015"/>
      <c r="AC53" s="3015"/>
      <c r="AD53" s="3015"/>
      <c r="AE53" s="3015"/>
      <c r="AF53" s="3015"/>
      <c r="AG53" s="3015"/>
      <c r="AH53" s="3015"/>
      <c r="AI53" s="3015"/>
      <c r="AJ53" s="3015"/>
      <c r="AK53" s="3015"/>
      <c r="AL53" s="3015"/>
      <c r="AM53" s="3015"/>
    </row>
    <row r="54" spans="1:39" ht="13.5" customHeight="1" x14ac:dyDescent="0.55000000000000004">
      <c r="A54" s="7280"/>
      <c r="B54" s="2639"/>
      <c r="C54" s="5006" t="s">
        <v>176</v>
      </c>
      <c r="D54" s="5007" cm="1">
        <f t="array" aca="1" ref="D54" ca="1">INDIRECT("'※ 소상공인 세부데이터'!"&amp;D$1&amp;$Z54, TRUE)</f>
        <v>36</v>
      </c>
      <c r="E54" s="5008" cm="1">
        <f t="array" aca="1" ref="E54" ca="1">INDIRECT("'※ 소상공인 세부데이터'!"&amp;E$1&amp;$Z54, TRUE)</f>
        <v>29</v>
      </c>
      <c r="F54" s="5009" cm="1">
        <f t="array" aca="1" ref="F54" ca="1">INDIRECT("'※ 소상공인 세부데이터'!"&amp;F$1&amp;$Z54, TRUE)</f>
        <v>29</v>
      </c>
      <c r="G54" s="5010" cm="1">
        <f t="array" aca="1" ref="G54" ca="1">INDIRECT("'※ 소상공인 세부데이터'!"&amp;G$1&amp;$Z54, TRUE)</f>
        <v>29</v>
      </c>
      <c r="H54" s="5010" cm="1">
        <f t="array" aca="1" ref="H54" ca="1">INDIRECT("'※ 소상공인 세부데이터'!"&amp;H$1&amp;$Z54, TRUE)</f>
        <v>29</v>
      </c>
      <c r="I54" s="5010" cm="1">
        <f t="array" aca="1" ref="I54" ca="1">INDIRECT("'※ 소상공인 세부데이터'!"&amp;I$1&amp;$Z54, TRUE)</f>
        <v>30</v>
      </c>
      <c r="J54" s="5010" cm="1">
        <f t="array" aca="1" ref="J54" ca="1">INDIRECT("'※ 소상공인 세부데이터'!"&amp;J$1&amp;$Z54, TRUE)</f>
        <v>29</v>
      </c>
      <c r="K54" s="5010" cm="1">
        <f t="array" aca="1" ref="K54" ca="1">INDIRECT("'※ 소상공인 세부데이터'!"&amp;K$1&amp;$Z54, TRUE)</f>
        <v>29</v>
      </c>
      <c r="L54" s="5010" cm="1">
        <f t="array" aca="1" ref="L54" ca="1">INDIRECT("'※ 소상공인 세부데이터'!"&amp;L$1&amp;$Z54, TRUE)</f>
        <v>27</v>
      </c>
      <c r="M54" s="5010" cm="1">
        <f t="array" aca="1" ref="M54" ca="1">INDIRECT("'※ 소상공인 세부데이터'!"&amp;M$1&amp;$Z54, TRUE)</f>
        <v>26</v>
      </c>
      <c r="N54" s="5010" cm="1">
        <f t="array" aca="1" ref="N54" ca="1">INDIRECT("'※ 소상공인 세부데이터'!"&amp;N$1&amp;$Z54, TRUE)</f>
        <v>26</v>
      </c>
      <c r="O54" s="5010" cm="1">
        <f t="array" aca="1" ref="O54" ca="1">INDIRECT("'※ 소상공인 세부데이터'!"&amp;O$1&amp;$Z54, TRUE)</f>
        <v>25</v>
      </c>
      <c r="P54" s="5010" cm="1">
        <f t="array" aca="1" ref="P54" ca="1">INDIRECT("'※ 소상공인 세부데이터'!"&amp;P$1&amp;$Z54, TRUE)</f>
        <v>25</v>
      </c>
      <c r="Q54" s="5010" cm="1">
        <f t="array" aca="1" ref="Q54" ca="1">INDIRECT("'※ 소상공인 세부데이터'!"&amp;Q$1&amp;$Z54, TRUE)</f>
        <v>15</v>
      </c>
      <c r="R54" s="3129" cm="1">
        <f t="array" aca="1" ref="R54" ca="1">INDIRECT("'※ 소상공인 세부데이터'!"&amp;R$1&amp;$Z54, TRUE)</f>
        <v>-10</v>
      </c>
      <c r="S54" s="5011" cm="1">
        <f t="array" aca="1" ref="S54" ca="1">INDIRECT("'※ 소상공인 세부데이터'!"&amp;S$1&amp;$Z54, TRUE)</f>
        <v>-14</v>
      </c>
      <c r="T54" s="5012" cm="1">
        <f t="array" aca="1" ref="T54" ca="1">INDIRECT("'※ 소상공인 세부데이터'!"&amp;T$1&amp;$Z54, TRUE)</f>
        <v>15</v>
      </c>
      <c r="U54" s="5016"/>
      <c r="V54" s="5013"/>
      <c r="W54" s="5014" cm="1">
        <f t="array" aca="1" ref="W54" ca="1">INDIRECT("'※ 소상공인 세부데이터'!"&amp;W$1&amp;$Z54, TRUE)</f>
        <v>-4</v>
      </c>
      <c r="X54" s="3129" cm="1">
        <f t="array" aca="1" ref="X54" ca="1">INDIRECT("'※ 소상공인 세부데이터'!"&amp;X$1&amp;$Z54, TRUE)</f>
        <v>26.583333333333332</v>
      </c>
      <c r="Y54" s="5015" cm="1">
        <f t="array" aca="1" ref="Y54" ca="1">INDIRECT("'※ 소상공인 세부데이터'!"&amp;Y$1&amp;$Z54, TRUE)</f>
        <v>-0.3333333333333357</v>
      </c>
      <c r="Z54" s="3693">
        <f>ROW('※ 소상공인 세부데이터'!J13)</f>
        <v>13</v>
      </c>
      <c r="AA54" s="3053"/>
      <c r="AB54" s="3015"/>
      <c r="AC54" s="3015"/>
      <c r="AD54" s="3015"/>
      <c r="AE54" s="3015"/>
      <c r="AF54" s="3015"/>
      <c r="AG54" s="3015"/>
      <c r="AH54" s="3015"/>
      <c r="AI54" s="3015"/>
      <c r="AJ54" s="3015"/>
      <c r="AK54" s="3015"/>
      <c r="AL54" s="3015"/>
      <c r="AM54" s="3015"/>
    </row>
    <row r="55" spans="1:39" ht="13.5" customHeight="1" x14ac:dyDescent="0.55000000000000004">
      <c r="A55" s="7280"/>
      <c r="B55" s="5028"/>
      <c r="C55" s="5029" t="s">
        <v>177</v>
      </c>
      <c r="D55" s="5030" cm="1">
        <f t="array" aca="1" ref="D55" ca="1">INDIRECT("'※ 소상공인 세부데이터'!"&amp;D$1&amp;$Z55, TRUE)</f>
        <v>26</v>
      </c>
      <c r="E55" s="5031" cm="1">
        <f t="array" aca="1" ref="E55" ca="1">INDIRECT("'※ 소상공인 세부데이터'!"&amp;E$1&amp;$Z55, TRUE)</f>
        <v>35</v>
      </c>
      <c r="F55" s="5009" cm="1">
        <f t="array" aca="1" ref="F55" ca="1">INDIRECT("'※ 소상공인 세부데이터'!"&amp;F$1&amp;$Z55, TRUE)</f>
        <v>41</v>
      </c>
      <c r="G55" s="5010" cm="1">
        <f t="array" aca="1" ref="G55" ca="1">INDIRECT("'※ 소상공인 세부데이터'!"&amp;G$1&amp;$Z55, TRUE)</f>
        <v>39</v>
      </c>
      <c r="H55" s="5010" cm="1">
        <f t="array" aca="1" ref="H55" ca="1">INDIRECT("'※ 소상공인 세부데이터'!"&amp;H$1&amp;$Z55, TRUE)</f>
        <v>43</v>
      </c>
      <c r="I55" s="5010" cm="1">
        <f t="array" aca="1" ref="I55" ca="1">INDIRECT("'※ 소상공인 세부데이터'!"&amp;I$1&amp;$Z55, TRUE)</f>
        <v>44</v>
      </c>
      <c r="J55" s="5010" cm="1">
        <f t="array" aca="1" ref="J55" ca="1">INDIRECT("'※ 소상공인 세부데이터'!"&amp;J$1&amp;$Z55, TRUE)</f>
        <v>43</v>
      </c>
      <c r="K55" s="5010" cm="1">
        <f t="array" aca="1" ref="K55" ca="1">INDIRECT("'※ 소상공인 세부데이터'!"&amp;K$1&amp;$Z55, TRUE)</f>
        <v>38</v>
      </c>
      <c r="L55" s="5010" cm="1">
        <f t="array" aca="1" ref="L55" ca="1">INDIRECT("'※ 소상공인 세부데이터'!"&amp;L$1&amp;$Z55, TRUE)</f>
        <v>28</v>
      </c>
      <c r="M55" s="5010" cm="1">
        <f t="array" aca="1" ref="M55" ca="1">INDIRECT("'※ 소상공인 세부데이터'!"&amp;M$1&amp;$Z55, TRUE)</f>
        <v>28</v>
      </c>
      <c r="N55" s="5010" cm="1">
        <f t="array" aca="1" ref="N55" ca="1">INDIRECT("'※ 소상공인 세부데이터'!"&amp;N$1&amp;$Z55, TRUE)</f>
        <v>29</v>
      </c>
      <c r="O55" s="5010" cm="1">
        <f t="array" aca="1" ref="O55" ca="1">INDIRECT("'※ 소상공인 세부데이터'!"&amp;O$1&amp;$Z55, TRUE)</f>
        <v>27</v>
      </c>
      <c r="P55" s="5010" cm="1">
        <f t="array" aca="1" ref="P55" ca="1">INDIRECT("'※ 소상공인 세부데이터'!"&amp;P$1&amp;$Z55, TRUE)</f>
        <v>27</v>
      </c>
      <c r="Q55" s="5010" cm="1">
        <f t="array" aca="1" ref="Q55" ca="1">INDIRECT("'※ 소상공인 세부데이터'!"&amp;Q$1&amp;$Z55, TRUE)</f>
        <v>17</v>
      </c>
      <c r="R55" s="5032" cm="1">
        <f t="array" aca="1" ref="R55" ca="1">INDIRECT("'※ 소상공인 세부데이터'!"&amp;R$1&amp;$Z55, TRUE)</f>
        <v>-10</v>
      </c>
      <c r="S55" s="5033" cm="1">
        <f t="array" aca="1" ref="S55" ca="1">INDIRECT("'※ 소상공인 세부데이터'!"&amp;S$1&amp;$Z55, TRUE)</f>
        <v>-18</v>
      </c>
      <c r="T55" s="5034" cm="1">
        <f t="array" aca="1" ref="T55" ca="1">INDIRECT("'※ 소상공인 세부데이터'!"&amp;T$1&amp;$Z55, TRUE)</f>
        <v>17</v>
      </c>
      <c r="U55" s="5016"/>
      <c r="V55" s="5013"/>
      <c r="W55" s="5035" cm="1">
        <f t="array" aca="1" ref="W55" ca="1">INDIRECT("'※ 소상공인 세부데이터'!"&amp;W$1&amp;$Z55, TRUE)</f>
        <v>41</v>
      </c>
      <c r="X55" s="5032" cm="1">
        <f t="array" aca="1" ref="X55" ca="1">INDIRECT("'※ 소상공인 세부데이터'!"&amp;X$1&amp;$Z55, TRUE)</f>
        <v>33.666666666666664</v>
      </c>
      <c r="Y55" s="5036" cm="1">
        <f t="array" aca="1" ref="Y55" ca="1">INDIRECT("'※ 소상공인 세부데이터'!"&amp;Y$1&amp;$Z55, TRUE)</f>
        <v>3.4166666666666643</v>
      </c>
      <c r="Z55" s="3693">
        <f>ROW('※ 소상공인 세부데이터'!J14)</f>
        <v>14</v>
      </c>
      <c r="AA55" s="3053"/>
      <c r="AB55" s="3015"/>
      <c r="AC55" s="3015"/>
      <c r="AD55" s="3015"/>
      <c r="AE55" s="3015"/>
      <c r="AF55" s="3015"/>
      <c r="AG55" s="3015"/>
      <c r="AH55" s="3015"/>
      <c r="AI55" s="3015"/>
      <c r="AJ55" s="3015"/>
      <c r="AK55" s="3015"/>
      <c r="AL55" s="3015"/>
      <c r="AM55" s="3015"/>
    </row>
    <row r="56" spans="1:39" ht="13.5" customHeight="1" x14ac:dyDescent="0.55000000000000004">
      <c r="A56" s="7280"/>
      <c r="B56" s="3780" t="s">
        <v>174</v>
      </c>
      <c r="C56" s="5037" t="s">
        <v>171</v>
      </c>
      <c r="D56" s="5038" cm="1">
        <f t="array" aca="1" ref="D56" ca="1">INDIRECT("'※ 소상공인 세부데이터'!"&amp;D$1&amp;$Z56, TRUE)</f>
        <v>34.531095238095233</v>
      </c>
      <c r="E56" s="5039" cm="1">
        <f t="array" aca="1" ref="E56" ca="1">INDIRECT("'※ 소상공인 세부데이터'!"&amp;E$1&amp;$Z56, TRUE)</f>
        <v>29.6</v>
      </c>
      <c r="F56" s="5040" cm="1">
        <f t="array" aca="1" ref="F56" ca="1">INDIRECT("'※ 소상공인 세부데이터'!"&amp;F$1&amp;$Z56, TRUE)</f>
        <v>61.2</v>
      </c>
      <c r="G56" s="5041" cm="1">
        <f t="array" aca="1" ref="G56" ca="1">INDIRECT("'※ 소상공인 세부데이터'!"&amp;G$1&amp;$Z56, TRUE)</f>
        <v>69.099999999999994</v>
      </c>
      <c r="H56" s="5041" cm="1">
        <f t="array" aca="1" ref="H56" ca="1">INDIRECT("'※ 소상공인 세부데이터'!"&amp;H$1&amp;$Z56, TRUE)</f>
        <v>78.7</v>
      </c>
      <c r="I56" s="5041" cm="1">
        <f t="array" aca="1" ref="I56" ca="1">INDIRECT("'※ 소상공인 세부데이터'!"&amp;I$1&amp;$Z56, TRUE)</f>
        <v>52.3</v>
      </c>
      <c r="J56" s="5041" cm="1">
        <f t="array" aca="1" ref="J56" ca="1">INDIRECT("'※ 소상공인 세부데이터'!"&amp;J$1&amp;$Z56, TRUE)</f>
        <v>55.7</v>
      </c>
      <c r="K56" s="5041" cm="1">
        <f t="array" aca="1" ref="K56" ca="1">INDIRECT("'※ 소상공인 세부데이터'!"&amp;K$1&amp;$Z56, TRUE)</f>
        <v>53.2</v>
      </c>
      <c r="L56" s="5041" cm="1">
        <f t="array" aca="1" ref="L56" ca="1">INDIRECT("'※ 소상공인 세부데이터'!"&amp;L$1&amp;$Z56, TRUE)</f>
        <v>80.400000000000006</v>
      </c>
      <c r="M56" s="5041" cm="1">
        <f t="array" aca="1" ref="M56" ca="1">INDIRECT("'※ 소상공인 세부데이터'!"&amp;M$1&amp;$Z56, TRUE)</f>
        <v>55.5</v>
      </c>
      <c r="N56" s="5041" cm="1">
        <f t="array" aca="1" ref="N56" ca="1">INDIRECT("'※ 소상공인 세부데이터'!"&amp;N$1&amp;$Z56, TRUE)</f>
        <v>68.5</v>
      </c>
      <c r="O56" s="5041" cm="1">
        <f t="array" aca="1" ref="O56" ca="1">INDIRECT("'※ 소상공인 세부데이터'!"&amp;O$1&amp;$Z56, TRUE)</f>
        <v>51</v>
      </c>
      <c r="P56" s="5041" cm="1">
        <f t="array" aca="1" ref="P56" ca="1">INDIRECT("'※ 소상공인 세부데이터'!"&amp;P$1&amp;$Z56, TRUE)</f>
        <v>40.299999999999997</v>
      </c>
      <c r="Q56" s="5041" cm="1">
        <f t="array" aca="1" ref="Q56" ca="1">INDIRECT("'※ 소상공인 세부데이터'!"&amp;Q$1&amp;$Z56, TRUE)</f>
        <v>36.1</v>
      </c>
      <c r="R56" s="5042" cm="1">
        <f t="array" aca="1" ref="R56" ca="1">INDIRECT("'※ 소상공인 세부데이터'!"&amp;R$1&amp;$Z56, TRUE)</f>
        <v>-4.1999999999999957</v>
      </c>
      <c r="S56" s="5043" cm="1">
        <f t="array" aca="1" ref="S56" ca="1">INDIRECT("'※ 소상공인 세부데이터'!"&amp;S$1&amp;$Z56, TRUE)</f>
        <v>6.5</v>
      </c>
      <c r="T56" s="5044" cm="1">
        <f t="array" aca="1" ref="T56" ca="1">INDIRECT("'※ 소상공인 세부데이터'!"&amp;T$1&amp;$Z56, TRUE)</f>
        <v>36.1</v>
      </c>
      <c r="U56" s="5045"/>
      <c r="V56" s="5046"/>
      <c r="W56" s="5047" cm="1">
        <f t="array" aca="1" ref="W56" ca="1">INDIRECT("'※ 소상공인 세부데이터'!"&amp;W$1&amp;$Z56, TRUE)</f>
        <v>-167.40826754385967</v>
      </c>
      <c r="X56" s="5042" cm="1">
        <f t="array" aca="1" ref="X56" ca="1">INDIRECT("'※ 소상공인 세부데이터'!"&amp;X$1&amp;$Z56, TRUE)</f>
        <v>58.5</v>
      </c>
      <c r="Y56" s="5048" cm="1">
        <f t="array" aca="1" ref="Y56" ca="1">INDIRECT("'※ 소상공인 세부데이터'!"&amp;Y$1&amp;$Z56, TRUE)</f>
        <v>-13.950688961988305</v>
      </c>
      <c r="Z56" s="3693">
        <f>ROW('※ 소상공인 세부데이터'!J15)</f>
        <v>15</v>
      </c>
      <c r="AA56" s="3053"/>
      <c r="AB56" s="3015"/>
      <c r="AC56" s="3015"/>
      <c r="AD56" s="3015"/>
      <c r="AE56" s="3015"/>
      <c r="AF56" s="3015"/>
      <c r="AG56" s="3015"/>
      <c r="AH56" s="3015"/>
      <c r="AI56" s="3015"/>
      <c r="AJ56" s="3015"/>
      <c r="AK56" s="3015"/>
      <c r="AL56" s="3015"/>
      <c r="AM56" s="3015"/>
    </row>
    <row r="57" spans="1:39" ht="13.5" customHeight="1" x14ac:dyDescent="0.55000000000000004">
      <c r="A57" s="7280"/>
      <c r="B57" s="3780"/>
      <c r="C57" s="5037" t="s">
        <v>172</v>
      </c>
      <c r="D57" s="5038" cm="1">
        <f t="array" aca="1" ref="D57" ca="1">INDIRECT("'※ 소상공인 세부데이터'!"&amp;D$1&amp;$Z57, TRUE)</f>
        <v>39.661666666666669</v>
      </c>
      <c r="E57" s="5039" cm="1">
        <f t="array" aca="1" ref="E57" ca="1">INDIRECT("'※ 소상공인 세부데이터'!"&amp;E$1&amp;$Z57, TRUE)</f>
        <v>24.1</v>
      </c>
      <c r="F57" s="5049" cm="1">
        <f t="array" aca="1" ref="F57" ca="1">INDIRECT("'※ 소상공인 세부데이터'!"&amp;F$1&amp;$Z57, TRUE)</f>
        <v>27.9</v>
      </c>
      <c r="G57" s="3659" cm="1">
        <f t="array" aca="1" ref="G57" ca="1">INDIRECT("'※ 소상공인 세부데이터'!"&amp;G$1&amp;$Z57, TRUE)</f>
        <v>47.6</v>
      </c>
      <c r="H57" s="3659" cm="1">
        <f t="array" aca="1" ref="H57" ca="1">INDIRECT("'※ 소상공인 세부데이터'!"&amp;H$1&amp;$Z57, TRUE)</f>
        <v>49.8</v>
      </c>
      <c r="I57" s="3659" cm="1">
        <f t="array" aca="1" ref="I57" ca="1">INDIRECT("'※ 소상공인 세부데이터'!"&amp;I$1&amp;$Z57, TRUE)</f>
        <v>49.5</v>
      </c>
      <c r="J57" s="3659" cm="1">
        <f t="array" aca="1" ref="J57" ca="1">INDIRECT("'※ 소상공인 세부데이터'!"&amp;J$1&amp;$Z57, TRUE)</f>
        <v>39</v>
      </c>
      <c r="K57" s="3659" cm="1">
        <f t="array" aca="1" ref="K57" ca="1">INDIRECT("'※ 소상공인 세부데이터'!"&amp;K$1&amp;$Z57, TRUE)</f>
        <v>40.700000000000003</v>
      </c>
      <c r="L57" s="3659" cm="1">
        <f t="array" aca="1" ref="L57" ca="1">INDIRECT("'※ 소상공인 세부데이터'!"&amp;L$1&amp;$Z57, TRUE)</f>
        <v>49.2</v>
      </c>
      <c r="M57" s="3659" cm="1">
        <f t="array" aca="1" ref="M57" ca="1">INDIRECT("'※ 소상공인 세부데이터'!"&amp;M$1&amp;$Z57, TRUE)</f>
        <v>31.1</v>
      </c>
      <c r="N57" s="3659" cm="1">
        <f t="array" aca="1" ref="N57" ca="1">INDIRECT("'※ 소상공인 세부데이터'!"&amp;N$1&amp;$Z57, TRUE)</f>
        <v>56.6</v>
      </c>
      <c r="O57" s="3659" cm="1">
        <f t="array" aca="1" ref="O57" ca="1">INDIRECT("'※ 소상공인 세부데이터'!"&amp;O$1&amp;$Z57, TRUE)</f>
        <v>32.299999999999997</v>
      </c>
      <c r="P57" s="3659" cm="1">
        <f t="array" aca="1" ref="P57" ca="1">INDIRECT("'※ 소상공인 세부데이터'!"&amp;P$1&amp;$Z57, TRUE)</f>
        <v>24</v>
      </c>
      <c r="Q57" s="3659" cm="1">
        <f t="array" aca="1" ref="Q57" ca="1">INDIRECT("'※ 소상공인 세부데이터'!"&amp;Q$1&amp;$Z57, TRUE)</f>
        <v>15.5</v>
      </c>
      <c r="R57" s="5042" cm="1">
        <f t="array" aca="1" ref="R57" ca="1">INDIRECT("'※ 소상공인 세부데이터'!"&amp;R$1&amp;$Z57, TRUE)</f>
        <v>-8.5</v>
      </c>
      <c r="S57" s="5043" cm="1">
        <f t="array" aca="1" ref="S57" ca="1">INDIRECT("'※ 소상공인 세부데이터'!"&amp;S$1&amp;$Z57, TRUE)</f>
        <v>-8.6000000000000014</v>
      </c>
      <c r="T57" s="5044" cm="1">
        <f t="array" aca="1" ref="T57" ca="1">INDIRECT("'※ 소상공인 세부데이터'!"&amp;T$1&amp;$Z57, TRUE)</f>
        <v>15.5</v>
      </c>
      <c r="U57" s="5045"/>
      <c r="V57" s="5046"/>
      <c r="W57" s="5047" cm="1">
        <f t="array" aca="1" ref="W57" ca="1">INDIRECT("'※ 소상공인 세부데이터'!"&amp;W$1&amp;$Z57, TRUE)</f>
        <v>-202.99478571428574</v>
      </c>
      <c r="X57" s="5042" cm="1">
        <f t="array" aca="1" ref="X57" ca="1">INDIRECT("'※ 소상공인 세부데이터'!"&amp;X$1&amp;$Z57, TRUE)</f>
        <v>38.6</v>
      </c>
      <c r="Y57" s="5048" cm="1">
        <f t="array" aca="1" ref="Y57" ca="1">INDIRECT("'※ 소상공인 세부데이터'!"&amp;Y$1&amp;$Z57, TRUE)</f>
        <v>-16.916232142857147</v>
      </c>
      <c r="Z57" s="3693">
        <f>ROW('※ 소상공인 세부데이터'!J16)</f>
        <v>16</v>
      </c>
      <c r="AA57" s="3053"/>
      <c r="AB57" s="3015"/>
      <c r="AC57" s="3015"/>
      <c r="AD57" s="3015"/>
      <c r="AE57" s="3015"/>
      <c r="AF57" s="3015"/>
      <c r="AG57" s="3015"/>
      <c r="AH57" s="3015"/>
      <c r="AI57" s="3015"/>
      <c r="AJ57" s="3015"/>
      <c r="AK57" s="3015"/>
      <c r="AL57" s="3015"/>
      <c r="AM57" s="3015"/>
    </row>
    <row r="58" spans="1:39" ht="13.5" customHeight="1" x14ac:dyDescent="0.55000000000000004">
      <c r="A58" s="7280"/>
      <c r="B58" s="3780"/>
      <c r="C58" s="5037" t="s">
        <v>173</v>
      </c>
      <c r="D58" s="5038" cm="1">
        <f t="array" aca="1" ref="D58" ca="1">INDIRECT("'※ 소상공인 세부데이터'!"&amp;D$1&amp;$Z58, TRUE)</f>
        <v>12.98</v>
      </c>
      <c r="E58" s="5039" cm="1">
        <f t="array" aca="1" ref="E58" ca="1">INDIRECT("'※ 소상공인 세부데이터'!"&amp;E$1&amp;$Z58, TRUE)</f>
        <v>17.5</v>
      </c>
      <c r="F58" s="5049" cm="1">
        <f t="array" aca="1" ref="F58" ca="1">INDIRECT("'※ 소상공인 세부데이터'!"&amp;F$1&amp;$Z58, TRUE)</f>
        <v>20.9</v>
      </c>
      <c r="G58" s="3659" cm="1">
        <f t="array" aca="1" ref="G58" ca="1">INDIRECT("'※ 소상공인 세부데이터'!"&amp;G$1&amp;$Z58, TRUE)</f>
        <v>30.3</v>
      </c>
      <c r="H58" s="3659" cm="1">
        <f t="array" aca="1" ref="H58" ca="1">INDIRECT("'※ 소상공인 세부데이터'!"&amp;H$1&amp;$Z58, TRUE)</f>
        <v>36.799999999999997</v>
      </c>
      <c r="I58" s="3659" cm="1">
        <f t="array" aca="1" ref="I58" ca="1">INDIRECT("'※ 소상공인 세부데이터'!"&amp;I$1&amp;$Z58, TRUE)</f>
        <v>30.3</v>
      </c>
      <c r="J58" s="3659" cm="1">
        <f t="array" aca="1" ref="J58" ca="1">INDIRECT("'※ 소상공인 세부데이터'!"&amp;J$1&amp;$Z58, TRUE)</f>
        <v>38.299999999999997</v>
      </c>
      <c r="K58" s="3659" cm="1">
        <f t="array" aca="1" ref="K58" ca="1">INDIRECT("'※ 소상공인 세부데이터'!"&amp;K$1&amp;$Z58, TRUE)</f>
        <v>29.1</v>
      </c>
      <c r="L58" s="3659" cm="1">
        <f t="array" aca="1" ref="L58" ca="1">INDIRECT("'※ 소상공인 세부데이터'!"&amp;L$1&amp;$Z58, TRUE)</f>
        <v>41.1</v>
      </c>
      <c r="M58" s="3659" cm="1">
        <f t="array" aca="1" ref="M58" ca="1">INDIRECT("'※ 소상공인 세부데이터'!"&amp;M$1&amp;$Z58, TRUE)</f>
        <v>31.3</v>
      </c>
      <c r="N58" s="3659" cm="1">
        <f t="array" aca="1" ref="N58" ca="1">INDIRECT("'※ 소상공인 세부데이터'!"&amp;N$1&amp;$Z58, TRUE)</f>
        <v>33.4</v>
      </c>
      <c r="O58" s="3659" cm="1">
        <f t="array" aca="1" ref="O58" ca="1">INDIRECT("'※ 소상공인 세부데이터'!"&amp;O$1&amp;$Z58, TRUE)</f>
        <v>19.7</v>
      </c>
      <c r="P58" s="3659" cm="1">
        <f t="array" aca="1" ref="P58" ca="1">INDIRECT("'※ 소상공인 세부데이터'!"&amp;P$1&amp;$Z58, TRUE)</f>
        <v>15.4</v>
      </c>
      <c r="Q58" s="3659" cm="1">
        <f t="array" aca="1" ref="Q58" ca="1">INDIRECT("'※ 소상공인 세부데이터'!"&amp;Q$1&amp;$Z58, TRUE)</f>
        <v>13.3</v>
      </c>
      <c r="R58" s="5042" cm="1">
        <f t="array" aca="1" ref="R58" ca="1">INDIRECT("'※ 소상공인 세부데이터'!"&amp;R$1&amp;$Z58, TRUE)</f>
        <v>-2.0999999999999996</v>
      </c>
      <c r="S58" s="5043" cm="1">
        <f t="array" aca="1" ref="S58" ca="1">INDIRECT("'※ 소상공인 세부데이터'!"&amp;S$1&amp;$Z58, TRUE)</f>
        <v>-4.1999999999999993</v>
      </c>
      <c r="T58" s="5044" cm="1">
        <f t="array" aca="1" ref="T58" ca="1">INDIRECT("'※ 소상공인 세부데이터'!"&amp;T$1&amp;$Z58, TRUE)</f>
        <v>13.3</v>
      </c>
      <c r="U58" s="5045"/>
      <c r="V58" s="5046"/>
      <c r="W58" s="5047" cm="1">
        <f t="array" aca="1" ref="W58" ca="1">INDIRECT("'※ 소상공인 세부데이터'!"&amp;W$1&amp;$Z58, TRUE)</f>
        <v>-98.927500000000066</v>
      </c>
      <c r="X58" s="5042" cm="1">
        <f t="array" aca="1" ref="X58" ca="1">INDIRECT("'※ 소상공인 세부데이터'!"&amp;X$1&amp;$Z58, TRUE)</f>
        <v>28.324999999999992</v>
      </c>
      <c r="Y58" s="5048" cm="1">
        <f t="array" aca="1" ref="Y58" ca="1">INDIRECT("'※ 소상공인 세부데이터'!"&amp;Y$1&amp;$Z58, TRUE)</f>
        <v>-8.2439583333333424</v>
      </c>
      <c r="Z58" s="3693">
        <f>ROW('※ 소상공인 세부데이터'!J17)</f>
        <v>17</v>
      </c>
      <c r="AA58" s="3053"/>
      <c r="AB58" s="3015"/>
      <c r="AC58" s="3015"/>
      <c r="AD58" s="3015"/>
      <c r="AE58" s="3015"/>
      <c r="AF58" s="3015"/>
      <c r="AG58" s="3015"/>
      <c r="AH58" s="3015"/>
      <c r="AI58" s="3015"/>
      <c r="AJ58" s="3015"/>
      <c r="AK58" s="3015"/>
      <c r="AL58" s="3015"/>
      <c r="AM58" s="3015"/>
    </row>
    <row r="59" spans="1:39" ht="13.5" customHeight="1" x14ac:dyDescent="0.55000000000000004">
      <c r="A59" s="7280"/>
      <c r="B59" s="3780"/>
      <c r="C59" s="5037" t="s">
        <v>538</v>
      </c>
      <c r="D59" s="5038" cm="1">
        <f t="array" aca="1" ref="D59" ca="1">INDIRECT("'※ 소상공인 세부데이터'!"&amp;D$1&amp;$Z59, TRUE)</f>
        <v>11.370111111111111</v>
      </c>
      <c r="E59" s="5039" cm="1">
        <f t="array" aca="1" ref="E59" ca="1">INDIRECT("'※ 소상공인 세부데이터'!"&amp;E$1&amp;$Z59, TRUE)</f>
        <v>9.1</v>
      </c>
      <c r="F59" s="5049" cm="1">
        <f t="array" aca="1" ref="F59" ca="1">INDIRECT("'※ 소상공인 세부데이터'!"&amp;F$1&amp;$Z59, TRUE)</f>
        <v>11.4</v>
      </c>
      <c r="G59" s="3659" cm="1">
        <f t="array" aca="1" ref="G59" ca="1">INDIRECT("'※ 소상공인 세부데이터'!"&amp;G$1&amp;$Z59, TRUE)</f>
        <v>13.9</v>
      </c>
      <c r="H59" s="3659" cm="1">
        <f t="array" aca="1" ref="H59" ca="1">INDIRECT("'※ 소상공인 세부데이터'!"&amp;H$1&amp;$Z59, TRUE)</f>
        <v>16.399999999999999</v>
      </c>
      <c r="I59" s="3659" cm="1">
        <f t="array" aca="1" ref="I59" ca="1">INDIRECT("'※ 소상공인 세부데이터'!"&amp;I$1&amp;$Z59, TRUE)</f>
        <v>11.1</v>
      </c>
      <c r="J59" s="3659" cm="1">
        <f t="array" aca="1" ref="J59" ca="1">INDIRECT("'※ 소상공인 세부데이터'!"&amp;J$1&amp;$Z59, TRUE)</f>
        <v>15.7</v>
      </c>
      <c r="K59" s="3659" cm="1">
        <f t="array" aca="1" ref="K59" ca="1">INDIRECT("'※ 소상공인 세부데이터'!"&amp;K$1&amp;$Z59, TRUE)</f>
        <v>18.600000000000001</v>
      </c>
      <c r="L59" s="3659" cm="1">
        <f t="array" aca="1" ref="L59" ca="1">INDIRECT("'※ 소상공인 세부데이터'!"&amp;L$1&amp;$Z59, TRUE)</f>
        <v>32.4</v>
      </c>
      <c r="M59" s="3659" cm="1">
        <f t="array" aca="1" ref="M59" ca="1">INDIRECT("'※ 소상공인 세부데이터'!"&amp;M$1&amp;$Z59, TRUE)</f>
        <v>20.9</v>
      </c>
      <c r="N59" s="3659" cm="1">
        <f t="array" aca="1" ref="N59" ca="1">INDIRECT("'※ 소상공인 세부데이터'!"&amp;N$1&amp;$Z59, TRUE)</f>
        <v>24.6</v>
      </c>
      <c r="O59" s="3659" cm="1">
        <f t="array" aca="1" ref="O59" ca="1">INDIRECT("'※ 소상공인 세부데이터'!"&amp;O$1&amp;$Z59, TRUE)</f>
        <v>5.8</v>
      </c>
      <c r="P59" s="3659" cm="1">
        <f t="array" aca="1" ref="P59" ca="1">INDIRECT("'※ 소상공인 세부데이터'!"&amp;P$1&amp;$Z59, TRUE)</f>
        <v>8.1</v>
      </c>
      <c r="Q59" s="3659" cm="1">
        <f t="array" aca="1" ref="Q59" ca="1">INDIRECT("'※ 소상공인 세부데이터'!"&amp;Q$1&amp;$Z59, TRUE)</f>
        <v>9.3000000000000007</v>
      </c>
      <c r="R59" s="5042" cm="1">
        <f t="array" aca="1" ref="R59" ca="1">INDIRECT("'※ 소상공인 세부데이터'!"&amp;R$1&amp;$Z59, TRUE)</f>
        <v>1.2000000000000011</v>
      </c>
      <c r="S59" s="5043" cm="1">
        <f t="array" aca="1" ref="S59" ca="1">INDIRECT("'※ 소상공인 세부데이터'!"&amp;S$1&amp;$Z59, TRUE)</f>
        <v>0.20000000000000107</v>
      </c>
      <c r="T59" s="5044" cm="1">
        <f t="array" aca="1" ref="T59" ca="1">INDIRECT("'※ 소상공인 세부데이터'!"&amp;T$1&amp;$Z59, TRUE)</f>
        <v>9.3000000000000007</v>
      </c>
      <c r="U59" s="5046"/>
      <c r="V59" s="5046"/>
      <c r="W59" s="5047" cm="1">
        <f t="array" aca="1" ref="W59" ca="1">INDIRECT("'※ 소상공인 세부데이터'!"&amp;W$1&amp;$Z59, TRUE)</f>
        <v>-89.787525252525285</v>
      </c>
      <c r="X59" s="5042" cm="1">
        <f t="array" aca="1" ref="X59" ca="1">INDIRECT("'※ 소상공인 세부데이터'!"&amp;X$1&amp;$Z59, TRUE)</f>
        <v>15.683333333333335</v>
      </c>
      <c r="Y59" s="5048" cm="1">
        <f t="array" aca="1" ref="Y59" ca="1">INDIRECT("'※ 소상공인 세부데이터'!"&amp;Y$1&amp;$Z59, TRUE)</f>
        <v>-7.4822937710437731</v>
      </c>
      <c r="Z59" s="3693">
        <f>ROW('※ 소상공인 세부데이터'!J18)</f>
        <v>18</v>
      </c>
      <c r="AA59" s="3053"/>
      <c r="AB59" s="3015"/>
      <c r="AC59" s="3015"/>
      <c r="AD59" s="3015"/>
      <c r="AE59" s="3015"/>
      <c r="AF59" s="3015"/>
      <c r="AG59" s="3015"/>
      <c r="AH59" s="3015"/>
      <c r="AI59" s="3015"/>
      <c r="AJ59" s="3015"/>
      <c r="AK59" s="3015"/>
      <c r="AL59" s="3015"/>
      <c r="AM59" s="3015"/>
    </row>
    <row r="60" spans="1:39" ht="13.5" customHeight="1" thickBot="1" x14ac:dyDescent="0.6">
      <c r="A60" s="7281"/>
      <c r="B60" s="5050"/>
      <c r="C60" s="5051" t="s">
        <v>540</v>
      </c>
      <c r="D60" s="5052" cm="1">
        <f t="array" aca="1" ref="D60" ca="1">INDIRECT("'※ 소상공인 세부데이터'!"&amp;D$1&amp;$Z60, TRUE)</f>
        <v>12.31</v>
      </c>
      <c r="E60" s="5053" cm="1">
        <f t="array" aca="1" ref="E60" ca="1">INDIRECT("'※ 소상공인 세부데이터'!"&amp;E$1&amp;$Z60, TRUE)</f>
        <v>0</v>
      </c>
      <c r="F60" s="5054" cm="1">
        <f t="array" aca="1" ref="F60" ca="1">INDIRECT("'※ 소상공인 세부데이터'!"&amp;F$1&amp;$Z60, TRUE)</f>
        <v>0</v>
      </c>
      <c r="G60" s="5055" cm="1">
        <f t="array" aca="1" ref="G60" ca="1">INDIRECT("'※ 소상공인 세부데이터'!"&amp;G$1&amp;$Z60, TRUE)</f>
        <v>0</v>
      </c>
      <c r="H60" s="5055" cm="1">
        <f t="array" aca="1" ref="H60" ca="1">INDIRECT("'※ 소상공인 세부데이터'!"&amp;H$1&amp;$Z60, TRUE)</f>
        <v>0</v>
      </c>
      <c r="I60" s="5055" cm="1">
        <f t="array" aca="1" ref="I60" ca="1">INDIRECT("'※ 소상공인 세부데이터'!"&amp;I$1&amp;$Z60, TRUE)</f>
        <v>0</v>
      </c>
      <c r="J60" s="5055" cm="1">
        <f t="array" aca="1" ref="J60" ca="1">INDIRECT("'※ 소상공인 세부데이터'!"&amp;J$1&amp;$Z60, TRUE)</f>
        <v>0</v>
      </c>
      <c r="K60" s="5055" cm="1">
        <f t="array" aca="1" ref="K60" ca="1">INDIRECT("'※ 소상공인 세부데이터'!"&amp;K$1&amp;$Z60, TRUE)</f>
        <v>0</v>
      </c>
      <c r="L60" s="5055" cm="1">
        <f t="array" aca="1" ref="L60" ca="1">INDIRECT("'※ 소상공인 세부데이터'!"&amp;L$1&amp;$Z60, TRUE)</f>
        <v>0</v>
      </c>
      <c r="M60" s="5055" cm="1">
        <f t="array" aca="1" ref="M60" ca="1">INDIRECT("'※ 소상공인 세부데이터'!"&amp;M$1&amp;$Z60, TRUE)</f>
        <v>0</v>
      </c>
      <c r="N60" s="5055" cm="1">
        <f t="array" aca="1" ref="N60" ca="1">INDIRECT("'※ 소상공인 세부데이터'!"&amp;N$1&amp;$Z60, TRUE)</f>
        <v>0</v>
      </c>
      <c r="O60" s="5055" cm="1">
        <f t="array" aca="1" ref="O60" ca="1">INDIRECT("'※ 소상공인 세부데이터'!"&amp;O$1&amp;$Z60, TRUE)</f>
        <v>0</v>
      </c>
      <c r="P60" s="5055" cm="1">
        <f t="array" aca="1" ref="P60" ca="1">INDIRECT("'※ 소상공인 세부데이터'!"&amp;P$1&amp;$Z60, TRUE)</f>
        <v>0</v>
      </c>
      <c r="Q60" s="5055" cm="1">
        <f t="array" aca="1" ref="Q60" ca="1">INDIRECT("'※ 소상공인 세부데이터'!"&amp;Q$1&amp;$Z60, TRUE)</f>
        <v>0</v>
      </c>
      <c r="R60" s="5056" cm="1">
        <f t="array" aca="1" ref="R60" ca="1">INDIRECT("'※ 소상공인 세부데이터'!"&amp;R$1&amp;$Z60, TRUE)</f>
        <v>0</v>
      </c>
      <c r="S60" s="5057" cm="1">
        <f t="array" aca="1" ref="S60" ca="1">INDIRECT("'※ 소상공인 세부데이터'!"&amp;S$1&amp;$Z60, TRUE)</f>
        <v>0</v>
      </c>
      <c r="T60" s="5058" cm="1">
        <f t="array" aca="1" ref="T60" ca="1">INDIRECT("'※ 소상공인 세부데이터'!"&amp;T$1&amp;$Z60, TRUE)</f>
        <v>0</v>
      </c>
      <c r="U60" s="5059"/>
      <c r="V60" s="5059"/>
      <c r="W60" s="5060" cm="1">
        <f t="array" aca="1" ref="W60" ca="1">INDIRECT("'※ 소상공인 세부데이터'!"&amp;W$1&amp;$Z60, TRUE)</f>
        <v>-134.23642857142858</v>
      </c>
      <c r="X60" s="5056" cm="1">
        <f t="array" aca="1" ref="X60" ca="1">INDIRECT("'※ 소상공인 세부데이터'!"&amp;X$1&amp;$Z60, TRUE)</f>
        <v>0</v>
      </c>
      <c r="Y60" s="5061" cm="1">
        <f t="array" aca="1" ref="Y60" ca="1">INDIRECT("'※ 소상공인 세부데이터'!"&amp;Y$1&amp;$Z60, TRUE)</f>
        <v>-11.186369047619047</v>
      </c>
      <c r="Z60" s="3693">
        <f>ROW('※ 소상공인 세부데이터'!J19)</f>
        <v>19</v>
      </c>
      <c r="AA60" s="3053"/>
      <c r="AB60" s="3015"/>
      <c r="AC60" s="3015"/>
      <c r="AD60" s="3015"/>
      <c r="AE60" s="3015"/>
      <c r="AF60" s="3015"/>
      <c r="AG60" s="3015"/>
      <c r="AH60" s="3015"/>
      <c r="AI60" s="3015"/>
      <c r="AJ60" s="3015"/>
      <c r="AK60" s="3015"/>
      <c r="AL60" s="3015"/>
      <c r="AM60" s="3015"/>
    </row>
    <row r="61" spans="1:39" s="2493" customFormat="1" ht="4.3" hidden="1" customHeight="1" thickBot="1" x14ac:dyDescent="0.6">
      <c r="A61" s="3228"/>
      <c r="D61" s="3045"/>
      <c r="E61" s="5062"/>
      <c r="F61" s="5063"/>
      <c r="G61" s="5064"/>
      <c r="H61" s="5064"/>
      <c r="I61" s="5064"/>
      <c r="J61" s="5064"/>
      <c r="K61" s="5064"/>
      <c r="L61" s="5064"/>
      <c r="M61" s="5064"/>
      <c r="N61" s="5064"/>
      <c r="O61" s="5064"/>
      <c r="P61" s="5064"/>
      <c r="Q61" s="5064"/>
      <c r="R61" s="3067"/>
      <c r="S61" s="3067"/>
      <c r="T61" s="3067"/>
      <c r="U61" s="3067"/>
      <c r="V61" s="3067"/>
      <c r="W61" s="3067"/>
      <c r="X61" s="3067"/>
      <c r="Y61" s="3067"/>
      <c r="Z61" s="3693"/>
      <c r="AA61" s="3053"/>
      <c r="AB61" s="3015"/>
      <c r="AC61" s="3015"/>
      <c r="AD61" s="3015"/>
      <c r="AE61" s="3015"/>
      <c r="AF61" s="3015"/>
      <c r="AG61" s="3015"/>
      <c r="AH61" s="3015"/>
      <c r="AI61" s="3015"/>
      <c r="AJ61" s="3015"/>
      <c r="AK61" s="3015"/>
      <c r="AL61" s="3015"/>
      <c r="AM61" s="3015"/>
    </row>
    <row r="62" spans="1:39" s="5076" customFormat="1" ht="11.4" customHeight="1" x14ac:dyDescent="0.55000000000000004">
      <c r="A62" s="7282" t="s">
        <v>143</v>
      </c>
      <c r="B62" s="5065" t="s">
        <v>163</v>
      </c>
      <c r="C62" s="5066"/>
      <c r="D62" s="5067" cm="1">
        <f t="array" aca="1" ref="D62" ca="1">INDIRECT("'※ 소상공인 세부데이터'!"&amp;D$1&amp;$Z62, TRUE)</f>
        <v>18</v>
      </c>
      <c r="E62" s="5068" cm="1">
        <f t="array" aca="1" ref="E62" ca="1">INDIRECT("'※ 소상공인 세부데이터'!"&amp;E$1&amp;$Z62, TRUE)</f>
        <v>23</v>
      </c>
      <c r="F62" s="5069" cm="1">
        <f t="array" aca="1" ref="F62" ca="1">INDIRECT("'※ 소상공인 세부데이터'!"&amp;F$1&amp;$Z62, TRUE)</f>
        <v>22</v>
      </c>
      <c r="G62" s="5070" cm="1">
        <f t="array" aca="1" ref="G62" ca="1">INDIRECT("'※ 소상공인 세부데이터'!"&amp;G$1&amp;$Z62, TRUE)</f>
        <v>22</v>
      </c>
      <c r="H62" s="5070" cm="1">
        <f t="array" aca="1" ref="H62" ca="1">INDIRECT("'※ 소상공인 세부데이터'!"&amp;H$1&amp;$Z62, TRUE)</f>
        <v>27</v>
      </c>
      <c r="I62" s="5070" cm="1">
        <f t="array" aca="1" ref="I62" ca="1">INDIRECT("'※ 소상공인 세부데이터'!"&amp;I$1&amp;$Z62, TRUE)</f>
        <v>28</v>
      </c>
      <c r="J62" s="5070" cm="1">
        <f t="array" aca="1" ref="J62" ca="1">INDIRECT("'※ 소상공인 세부데이터'!"&amp;J$1&amp;$Z62, TRUE)</f>
        <v>27</v>
      </c>
      <c r="K62" s="5070" cm="1">
        <f t="array" aca="1" ref="K62" ca="1">INDIRECT("'※ 소상공인 세부데이터'!"&amp;K$1&amp;$Z62, TRUE)</f>
        <v>27</v>
      </c>
      <c r="L62" s="5070" cm="1">
        <f t="array" aca="1" ref="L62" ca="1">INDIRECT("'※ 소상공인 세부데이터'!"&amp;L$1&amp;$Z62, TRUE)</f>
        <v>23</v>
      </c>
      <c r="M62" s="5070" cm="1">
        <f t="array" aca="1" ref="M62" ca="1">INDIRECT("'※ 소상공인 세부데이터'!"&amp;M$1&amp;$Z62, TRUE)</f>
        <v>23</v>
      </c>
      <c r="N62" s="5070" cm="1">
        <f t="array" aca="1" ref="N62" ca="1">INDIRECT("'※ 소상공인 세부데이터'!"&amp;N$1&amp;$Z62, TRUE)</f>
        <v>23</v>
      </c>
      <c r="O62" s="5070" cm="1">
        <f t="array" aca="1" ref="O62" ca="1">INDIRECT("'※ 소상공인 세부데이터'!"&amp;O$1&amp;$Z62, TRUE)</f>
        <v>22</v>
      </c>
      <c r="P62" s="5070" cm="1">
        <f t="array" aca="1" ref="P62" ca="1">INDIRECT("'※ 소상공인 세부데이터'!"&amp;P$1&amp;$Z62, TRUE)</f>
        <v>22</v>
      </c>
      <c r="Q62" s="5070" cm="1">
        <f t="array" aca="1" ref="Q62" ca="1">INDIRECT("'※ 소상공인 세부데이터'!"&amp;Q$1&amp;$Z62, TRUE)</f>
        <v>16</v>
      </c>
      <c r="R62" s="4999" cm="1">
        <f t="array" aca="1" ref="R62" ca="1">INDIRECT("'※ 소상공인 세부데이터'!"&amp;R$1&amp;$Z62, TRUE)</f>
        <v>-6</v>
      </c>
      <c r="S62" s="5071" cm="1">
        <f t="array" aca="1" ref="S62" ca="1">INDIRECT("'※ 소상공인 세부데이터'!"&amp;S$1&amp;$Z62, TRUE)</f>
        <v>-7</v>
      </c>
      <c r="T62" s="5001" cm="1">
        <f t="array" aca="1" ref="T62" ca="1">INDIRECT("'※ 소상공인 세부데이터'!"&amp;T$1&amp;$Z62, TRUE)</f>
        <v>16</v>
      </c>
      <c r="U62" s="5072"/>
      <c r="V62" s="5072"/>
      <c r="W62" s="5073" cm="1">
        <f t="array" aca="1" ref="W62" ca="1">INDIRECT("'※ 소상공인 세부데이터'!"&amp;W$1&amp;$Z62, TRUE)</f>
        <v>64</v>
      </c>
      <c r="X62" s="5074" cm="1">
        <f t="array" aca="1" ref="X62" ca="1">INDIRECT("'※ 소상공인 세부데이터'!"&amp;X$1&amp;$Z62, TRUE)</f>
        <v>23.5</v>
      </c>
      <c r="Y62" s="5075" cm="1">
        <f t="array" aca="1" ref="Y62" ca="1">INDIRECT("'※ 소상공인 세부데이터'!"&amp;Y$1&amp;$Z62, TRUE)</f>
        <v>5.3333333333333321</v>
      </c>
      <c r="Z62" s="3693">
        <f>ROW('※ 소상공인 세부데이터'!J21)</f>
        <v>21</v>
      </c>
      <c r="AA62" s="3053"/>
      <c r="AB62" s="5005"/>
      <c r="AC62" s="5005"/>
      <c r="AD62" s="5005"/>
      <c r="AE62" s="5005"/>
      <c r="AF62" s="5005"/>
      <c r="AG62" s="5005"/>
      <c r="AH62" s="5005"/>
      <c r="AI62" s="5005"/>
      <c r="AJ62" s="5005"/>
      <c r="AK62" s="5005"/>
      <c r="AL62" s="5005"/>
      <c r="AM62" s="5005"/>
    </row>
    <row r="63" spans="1:39" ht="11.4" customHeight="1" x14ac:dyDescent="0.55000000000000004">
      <c r="A63" s="7271"/>
      <c r="B63" s="2639" t="s">
        <v>170</v>
      </c>
      <c r="C63" s="5077" t="s">
        <v>171</v>
      </c>
      <c r="D63" s="5078" cm="1">
        <f t="array" aca="1" ref="D63" ca="1">INDIRECT("'※ 소상공인 세부데이터'!"&amp;D$1&amp;$Z63, TRUE)</f>
        <v>6</v>
      </c>
      <c r="E63" s="5079" cm="1">
        <f t="array" aca="1" ref="E63" ca="1">INDIRECT("'※ 소상공인 세부데이터'!"&amp;E$1&amp;$Z63, TRUE)</f>
        <v>4</v>
      </c>
      <c r="F63" s="5080" cm="1">
        <f t="array" aca="1" ref="F63" ca="1">INDIRECT("'※ 소상공인 세부데이터'!"&amp;F$1&amp;$Z63, TRUE)</f>
        <v>1</v>
      </c>
      <c r="G63" s="3647" cm="1">
        <f t="array" aca="1" ref="G63" ca="1">INDIRECT("'※ 소상공인 세부데이터'!"&amp;G$1&amp;$Z63, TRUE)</f>
        <v>1</v>
      </c>
      <c r="H63" s="3647" cm="1">
        <f t="array" aca="1" ref="H63" ca="1">INDIRECT("'※ 소상공인 세부데이터'!"&amp;H$1&amp;$Z63, TRUE)</f>
        <v>1</v>
      </c>
      <c r="I63" s="3647" cm="1">
        <f t="array" aca="1" ref="I63" ca="1">INDIRECT("'※ 소상공인 세부데이터'!"&amp;I$1&amp;$Z63, TRUE)</f>
        <v>4</v>
      </c>
      <c r="J63" s="3647" cm="1">
        <f t="array" aca="1" ref="J63" ca="1">INDIRECT("'※ 소상공인 세부데이터'!"&amp;J$1&amp;$Z63, TRUE)</f>
        <v>4</v>
      </c>
      <c r="K63" s="3647" cm="1">
        <f t="array" aca="1" ref="K63" ca="1">INDIRECT("'※ 소상공인 세부데이터'!"&amp;K$1&amp;$Z63, TRUE)</f>
        <v>4</v>
      </c>
      <c r="L63" s="3647" cm="1">
        <f t="array" aca="1" ref="L63" ca="1">INDIRECT("'※ 소상공인 세부데이터'!"&amp;L$1&amp;$Z63, TRUE)</f>
        <v>8</v>
      </c>
      <c r="M63" s="3647" cm="1">
        <f t="array" aca="1" ref="M63" ca="1">INDIRECT("'※ 소상공인 세부데이터'!"&amp;M$1&amp;$Z63, TRUE)</f>
        <v>8</v>
      </c>
      <c r="N63" s="3647" cm="1">
        <f t="array" aca="1" ref="N63" ca="1">INDIRECT("'※ 소상공인 세부데이터'!"&amp;N$1&amp;$Z63, TRUE)</f>
        <v>8</v>
      </c>
      <c r="O63" s="3647" cm="1">
        <f t="array" aca="1" ref="O63" ca="1">INDIRECT("'※ 소상공인 세부데이터'!"&amp;O$1&amp;$Z63, TRUE)</f>
        <v>10</v>
      </c>
      <c r="P63" s="3647" cm="1">
        <f t="array" aca="1" ref="P63" ca="1">INDIRECT("'※ 소상공인 세부데이터'!"&amp;P$1&amp;$Z63, TRUE)</f>
        <v>10</v>
      </c>
      <c r="Q63" s="3647" cm="1">
        <f t="array" aca="1" ref="Q63" ca="1">INDIRECT("'※ 소상공인 세부데이터'!"&amp;Q$1&amp;$Z63, TRUE)</f>
        <v>9</v>
      </c>
      <c r="R63" s="5081" cm="1">
        <f t="array" aca="1" ref="R63" ca="1">INDIRECT("'※ 소상공인 세부데이터'!"&amp;R$1&amp;$Z63, TRUE)</f>
        <v>-1</v>
      </c>
      <c r="S63" s="5082" cm="1">
        <f t="array" aca="1" ref="S63" ca="1">INDIRECT("'※ 소상공인 세부데이터'!"&amp;S$1&amp;$Z63, TRUE)</f>
        <v>5</v>
      </c>
      <c r="T63" s="5083" cm="1">
        <f t="array" aca="1" ref="T63" ca="1">INDIRECT("'※ 소상공인 세부데이터'!"&amp;T$1&amp;$Z63, TRUE)</f>
        <v>9</v>
      </c>
      <c r="U63" s="5046"/>
      <c r="V63" s="5046"/>
      <c r="W63" s="5084" cm="1">
        <f t="array" aca="1" ref="W63" ca="1">INDIRECT("'※ 소상공인 세부데이터'!"&amp;W$1&amp;$Z63, TRUE)</f>
        <v>11</v>
      </c>
      <c r="X63" s="5081" cm="1">
        <f t="array" aca="1" ref="X63" ca="1">INDIRECT("'※ 소상공인 세부데이터'!"&amp;X$1&amp;$Z63, TRUE)</f>
        <v>5.666666666666667</v>
      </c>
      <c r="Y63" s="5085" cm="1">
        <f t="array" aca="1" ref="Y63" ca="1">INDIRECT("'※ 소상공인 세부데이터'!"&amp;Y$1&amp;$Z63, TRUE)</f>
        <v>0.91666666666666696</v>
      </c>
      <c r="Z63" s="3693">
        <f>ROW('※ 소상공인 세부데이터'!J22)</f>
        <v>22</v>
      </c>
      <c r="AA63" s="3053"/>
      <c r="AB63" s="3015"/>
      <c r="AC63" s="3015"/>
      <c r="AD63" s="3015"/>
      <c r="AE63" s="3015"/>
      <c r="AF63" s="3015"/>
      <c r="AG63" s="3015"/>
      <c r="AH63" s="3015"/>
      <c r="AI63" s="3015"/>
      <c r="AJ63" s="3015"/>
      <c r="AK63" s="3015"/>
      <c r="AL63" s="3015"/>
      <c r="AM63" s="3015"/>
    </row>
    <row r="64" spans="1:39" ht="11.4" customHeight="1" x14ac:dyDescent="0.55000000000000004">
      <c r="A64" s="7271"/>
      <c r="B64" s="2639"/>
      <c r="C64" s="5077" t="s">
        <v>172</v>
      </c>
      <c r="D64" s="5078" cm="1">
        <f t="array" aca="1" ref="D64" ca="1">INDIRECT("'※ 소상공인 세부데이터'!"&amp;D$1&amp;$Z64, TRUE)</f>
        <v>4</v>
      </c>
      <c r="E64" s="5079" cm="1">
        <f t="array" aca="1" ref="E64" ca="1">INDIRECT("'※ 소상공인 세부데이터'!"&amp;E$1&amp;$Z64, TRUE)</f>
        <v>8</v>
      </c>
      <c r="F64" s="5080" cm="1">
        <f t="array" aca="1" ref="F64" ca="1">INDIRECT("'※ 소상공인 세부데이터'!"&amp;F$1&amp;$Z64, TRUE)</f>
        <v>5</v>
      </c>
      <c r="G64" s="3647" cm="1">
        <f t="array" aca="1" ref="G64" ca="1">INDIRECT("'※ 소상공인 세부데이터'!"&amp;G$1&amp;$Z64, TRUE)</f>
        <v>5</v>
      </c>
      <c r="H64" s="3647" cm="1">
        <f t="array" aca="1" ref="H64" ca="1">INDIRECT("'※ 소상공인 세부데이터'!"&amp;H$1&amp;$Z64, TRUE)</f>
        <v>5</v>
      </c>
      <c r="I64" s="3647" cm="1">
        <f t="array" aca="1" ref="I64" ca="1">INDIRECT("'※ 소상공인 세부데이터'!"&amp;I$1&amp;$Z64, TRUE)</f>
        <v>2</v>
      </c>
      <c r="J64" s="3647" cm="1">
        <f t="array" aca="1" ref="J64" ca="1">INDIRECT("'※ 소상공인 세부데이터'!"&amp;J$1&amp;$Z64, TRUE)</f>
        <v>2</v>
      </c>
      <c r="K64" s="3647" cm="1">
        <f t="array" aca="1" ref="K64" ca="1">INDIRECT("'※ 소상공인 세부데이터'!"&amp;K$1&amp;$Z64, TRUE)</f>
        <v>2</v>
      </c>
      <c r="L64" s="3647" cm="1">
        <f t="array" aca="1" ref="L64" ca="1">INDIRECT("'※ 소상공인 세부데이터'!"&amp;L$1&amp;$Z64, TRUE)</f>
        <v>6</v>
      </c>
      <c r="M64" s="3647" cm="1">
        <f t="array" aca="1" ref="M64" ca="1">INDIRECT("'※ 소상공인 세부데이터'!"&amp;M$1&amp;$Z64, TRUE)</f>
        <v>6</v>
      </c>
      <c r="N64" s="3647" cm="1">
        <f t="array" aca="1" ref="N64" ca="1">INDIRECT("'※ 소상공인 세부데이터'!"&amp;N$1&amp;$Z64, TRUE)</f>
        <v>6</v>
      </c>
      <c r="O64" s="3647" cm="1">
        <f t="array" aca="1" ref="O64" ca="1">INDIRECT("'※ 소상공인 세부데이터'!"&amp;O$1&amp;$Z64, TRUE)</f>
        <v>6</v>
      </c>
      <c r="P64" s="3647" cm="1">
        <f t="array" aca="1" ref="P64" ca="1">INDIRECT("'※ 소상공인 세부데이터'!"&amp;P$1&amp;$Z64, TRUE)</f>
        <v>6</v>
      </c>
      <c r="Q64" s="3647" cm="1">
        <f t="array" aca="1" ref="Q64" ca="1">INDIRECT("'※ 소상공인 세부데이터'!"&amp;Q$1&amp;$Z64, TRUE)</f>
        <v>5</v>
      </c>
      <c r="R64" s="5081" cm="1">
        <f t="array" aca="1" ref="R64" ca="1">INDIRECT("'※ 소상공인 세부데이터'!"&amp;R$1&amp;$Z64, TRUE)</f>
        <v>-1</v>
      </c>
      <c r="S64" s="5082" cm="1">
        <f t="array" aca="1" ref="S64" ca="1">INDIRECT("'※ 소상공인 세부데이터'!"&amp;S$1&amp;$Z64, TRUE)</f>
        <v>-3</v>
      </c>
      <c r="T64" s="5083" cm="1">
        <f t="array" aca="1" ref="T64" ca="1">INDIRECT("'※ 소상공인 세부데이터'!"&amp;T$1&amp;$Z64, TRUE)</f>
        <v>5</v>
      </c>
      <c r="U64" s="5045"/>
      <c r="V64" s="5046"/>
      <c r="W64" s="5084" cm="1">
        <f t="array" aca="1" ref="W64" ca="1">INDIRECT("'※ 소상공인 세부데이터'!"&amp;W$1&amp;$Z64, TRUE)</f>
        <v>-16</v>
      </c>
      <c r="X64" s="5081" cm="1">
        <f t="array" aca="1" ref="X64" ca="1">INDIRECT("'※ 소상공인 세부데이터'!"&amp;X$1&amp;$Z64, TRUE)</f>
        <v>4.666666666666667</v>
      </c>
      <c r="Y64" s="5085" cm="1">
        <f t="array" aca="1" ref="Y64" ca="1">INDIRECT("'※ 소상공인 세부데이터'!"&amp;Y$1&amp;$Z64, TRUE)</f>
        <v>-1.333333333333333</v>
      </c>
      <c r="Z64" s="3693">
        <f>ROW('※ 소상공인 세부데이터'!J23)</f>
        <v>23</v>
      </c>
      <c r="AA64" s="3053"/>
      <c r="AB64" s="3015"/>
      <c r="AC64" s="3015"/>
      <c r="AD64" s="3015"/>
      <c r="AE64" s="3015"/>
      <c r="AF64" s="3015"/>
      <c r="AG64" s="3015"/>
      <c r="AH64" s="3015"/>
      <c r="AI64" s="3015"/>
      <c r="AJ64" s="3015"/>
      <c r="AK64" s="3015"/>
      <c r="AL64" s="3015"/>
      <c r="AM64" s="3015"/>
    </row>
    <row r="65" spans="1:39" ht="11.4" customHeight="1" x14ac:dyDescent="0.55000000000000004">
      <c r="A65" s="7271"/>
      <c r="B65" s="2639"/>
      <c r="C65" s="5077" t="s">
        <v>173</v>
      </c>
      <c r="D65" s="5078" cm="1">
        <f t="array" aca="1" ref="D65" ca="1">INDIRECT("'※ 소상공인 세부데이터'!"&amp;D$1&amp;$Z65, TRUE)</f>
        <v>1</v>
      </c>
      <c r="E65" s="5079" cm="1">
        <f t="array" aca="1" ref="E65" ca="1">INDIRECT("'※ 소상공인 세부데이터'!"&amp;E$1&amp;$Z65, TRUE)</f>
        <v>4</v>
      </c>
      <c r="F65" s="5080" cm="1">
        <f t="array" aca="1" ref="F65" ca="1">INDIRECT("'※ 소상공인 세부데이터'!"&amp;F$1&amp;$Z65, TRUE)</f>
        <v>4</v>
      </c>
      <c r="G65" s="3647" cm="1">
        <f t="array" aca="1" ref="G65" ca="1">INDIRECT("'※ 소상공인 세부데이터'!"&amp;G$1&amp;$Z65, TRUE)</f>
        <v>4</v>
      </c>
      <c r="H65" s="3647" cm="1">
        <f t="array" aca="1" ref="H65" ca="1">INDIRECT("'※ 소상공인 세부데이터'!"&amp;H$1&amp;$Z65, TRUE)</f>
        <v>4</v>
      </c>
      <c r="I65" s="3647" cm="1">
        <f t="array" aca="1" ref="I65" ca="1">INDIRECT("'※ 소상공인 세부데이터'!"&amp;I$1&amp;$Z65, TRUE)</f>
        <v>6</v>
      </c>
      <c r="J65" s="3647" cm="1">
        <f t="array" aca="1" ref="J65" ca="1">INDIRECT("'※ 소상공인 세부데이터'!"&amp;J$1&amp;$Z65, TRUE)</f>
        <v>6</v>
      </c>
      <c r="K65" s="3647" cm="1">
        <f t="array" aca="1" ref="K65" ca="1">INDIRECT("'※ 소상공인 세부데이터'!"&amp;K$1&amp;$Z65, TRUE)</f>
        <v>6</v>
      </c>
      <c r="L65" s="3647" cm="1">
        <f t="array" aca="1" ref="L65" ca="1">INDIRECT("'※ 소상공인 세부데이터'!"&amp;L$1&amp;$Z65, TRUE)</f>
        <v>3</v>
      </c>
      <c r="M65" s="3647" cm="1">
        <f t="array" aca="1" ref="M65" ca="1">INDIRECT("'※ 소상공인 세부데이터'!"&amp;M$1&amp;$Z65, TRUE)</f>
        <v>3</v>
      </c>
      <c r="N65" s="3647" cm="1">
        <f t="array" aca="1" ref="N65" ca="1">INDIRECT("'※ 소상공인 세부데이터'!"&amp;N$1&amp;$Z65, TRUE)</f>
        <v>3</v>
      </c>
      <c r="O65" s="3647" cm="1">
        <f t="array" aca="1" ref="O65" ca="1">INDIRECT("'※ 소상공인 세부데이터'!"&amp;O$1&amp;$Z65, TRUE)</f>
        <v>4</v>
      </c>
      <c r="P65" s="3647" cm="1">
        <f t="array" aca="1" ref="P65" ca="1">INDIRECT("'※ 소상공인 세부데이터'!"&amp;P$1&amp;$Z65, TRUE)</f>
        <v>4</v>
      </c>
      <c r="Q65" s="3647" cm="1">
        <f t="array" aca="1" ref="Q65" ca="1">INDIRECT("'※ 소상공인 세부데이터'!"&amp;Q$1&amp;$Z65, TRUE)</f>
        <v>2</v>
      </c>
      <c r="R65" s="5081" cm="1">
        <f t="array" aca="1" ref="R65" ca="1">INDIRECT("'※ 소상공인 세부데이터'!"&amp;R$1&amp;$Z65, TRUE)</f>
        <v>-2</v>
      </c>
      <c r="S65" s="5082" cm="1">
        <f t="array" aca="1" ref="S65" ca="1">INDIRECT("'※ 소상공인 세부데이터'!"&amp;S$1&amp;$Z65, TRUE)</f>
        <v>-2</v>
      </c>
      <c r="T65" s="5083" cm="1">
        <f t="array" aca="1" ref="T65" ca="1">INDIRECT("'※ 소상공인 세부데이터'!"&amp;T$1&amp;$Z65, TRUE)</f>
        <v>2</v>
      </c>
      <c r="U65" s="5045"/>
      <c r="V65" s="5046"/>
      <c r="W65" s="5084" cm="1">
        <f t="array" aca="1" ref="W65" ca="1">INDIRECT("'※ 소상공인 세부데이터'!"&amp;W$1&amp;$Z65, TRUE)</f>
        <v>14</v>
      </c>
      <c r="X65" s="5081" cm="1">
        <f t="array" aca="1" ref="X65" ca="1">INDIRECT("'※ 소상공인 세부데이터'!"&amp;X$1&amp;$Z65, TRUE)</f>
        <v>4.083333333333333</v>
      </c>
      <c r="Y65" s="5085" cm="1">
        <f t="array" aca="1" ref="Y65" ca="1">INDIRECT("'※ 소상공인 세부데이터'!"&amp;Y$1&amp;$Z65, TRUE)</f>
        <v>1.1666666666666665</v>
      </c>
      <c r="Z65" s="3693">
        <f>ROW('※ 소상공인 세부데이터'!J24)</f>
        <v>24</v>
      </c>
      <c r="AA65" s="3053"/>
      <c r="AB65" s="3015"/>
      <c r="AC65" s="3015"/>
      <c r="AD65" s="3015"/>
      <c r="AE65" s="3015"/>
      <c r="AF65" s="3015"/>
      <c r="AG65" s="3015"/>
      <c r="AH65" s="3015"/>
      <c r="AI65" s="3015"/>
      <c r="AJ65" s="3015"/>
      <c r="AK65" s="3015"/>
      <c r="AL65" s="3015"/>
      <c r="AM65" s="3015"/>
    </row>
    <row r="66" spans="1:39" ht="11.4" customHeight="1" x14ac:dyDescent="0.55000000000000004">
      <c r="A66" s="7271"/>
      <c r="B66" s="2639"/>
      <c r="C66" s="5077" t="s">
        <v>538</v>
      </c>
      <c r="D66" s="5078" cm="1">
        <f t="array" aca="1" ref="D66" ca="1">INDIRECT("'※ 소상공인 세부데이터'!"&amp;D$1&amp;$Z66, TRUE)</f>
        <v>5</v>
      </c>
      <c r="E66" s="5079" cm="1">
        <f t="array" aca="1" ref="E66" ca="1">INDIRECT("'※ 소상공인 세부데이터'!"&amp;E$1&amp;$Z66, TRUE)</f>
        <v>7</v>
      </c>
      <c r="F66" s="5080" cm="1">
        <f t="array" aca="1" ref="F66" ca="1">INDIRECT("'※ 소상공인 세부데이터'!"&amp;F$1&amp;$Z66, TRUE)</f>
        <v>12</v>
      </c>
      <c r="G66" s="3647" cm="1">
        <f t="array" aca="1" ref="G66" ca="1">INDIRECT("'※ 소상공인 세부데이터'!"&amp;G$1&amp;$Z66, TRUE)</f>
        <v>12</v>
      </c>
      <c r="H66" s="3647" cm="1">
        <f t="array" aca="1" ref="H66" ca="1">INDIRECT("'※ 소상공인 세부데이터'!"&amp;H$1&amp;$Z66, TRUE)</f>
        <v>17</v>
      </c>
      <c r="I66" s="3647" cm="1">
        <f t="array" aca="1" ref="I66" ca="1">INDIRECT("'※ 소상공인 세부데이터'!"&amp;I$1&amp;$Z66, TRUE)</f>
        <v>16</v>
      </c>
      <c r="J66" s="3647" cm="1">
        <f t="array" aca="1" ref="J66" ca="1">INDIRECT("'※ 소상공인 세부데이터'!"&amp;J$1&amp;$Z66, TRUE)</f>
        <v>15</v>
      </c>
      <c r="K66" s="3647" cm="1">
        <f t="array" aca="1" ref="K66" ca="1">INDIRECT("'※ 소상공인 세부데이터'!"&amp;K$1&amp;$Z66, TRUE)</f>
        <v>15</v>
      </c>
      <c r="L66" s="3647" cm="1">
        <f t="array" aca="1" ref="L66" ca="1">INDIRECT("'※ 소상공인 세부데이터'!"&amp;L$1&amp;$Z66, TRUE)</f>
        <v>6</v>
      </c>
      <c r="M66" s="3647" cm="1">
        <f t="array" aca="1" ref="M66" ca="1">INDIRECT("'※ 소상공인 세부데이터'!"&amp;M$1&amp;$Z66, TRUE)</f>
        <v>6</v>
      </c>
      <c r="N66" s="3647" cm="1">
        <f t="array" aca="1" ref="N66" ca="1">INDIRECT("'※ 소상공인 세부데이터'!"&amp;N$1&amp;$Z66, TRUE)</f>
        <v>6</v>
      </c>
      <c r="O66" s="3647" cm="1">
        <f t="array" aca="1" ref="O66" ca="1">INDIRECT("'※ 소상공인 세부데이터'!"&amp;O$1&amp;$Z66, TRUE)</f>
        <v>2</v>
      </c>
      <c r="P66" s="3647" cm="1">
        <f t="array" aca="1" ref="P66" ca="1">INDIRECT("'※ 소상공인 세부데이터'!"&amp;P$1&amp;$Z66, TRUE)</f>
        <v>2</v>
      </c>
      <c r="Q66" s="3647" cm="1">
        <f t="array" aca="1" ref="Q66" ca="1">INDIRECT("'※ 소상공인 세부데이터'!"&amp;Q$1&amp;$Z66, TRUE)</f>
        <v>0</v>
      </c>
      <c r="R66" s="5081" cm="1">
        <f t="array" aca="1" ref="R66" ca="1">INDIRECT("'※ 소상공인 세부데이터'!"&amp;R$1&amp;$Z66, TRUE)</f>
        <v>-2</v>
      </c>
      <c r="S66" s="5082" cm="1">
        <f t="array" aca="1" ref="S66" ca="1">INDIRECT("'※ 소상공인 세부데이터'!"&amp;S$1&amp;$Z66, TRUE)</f>
        <v>-7</v>
      </c>
      <c r="T66" s="5083" cm="1">
        <f t="array" aca="1" ref="T66" ca="1">INDIRECT("'※ 소상공인 세부데이터'!"&amp;T$1&amp;$Z66, TRUE)</f>
        <v>0</v>
      </c>
      <c r="U66" s="5045"/>
      <c r="V66" s="5046"/>
      <c r="W66" s="5084" cm="1">
        <f t="array" aca="1" ref="W66" ca="1">INDIRECT("'※ 소상공인 세부데이터'!"&amp;W$1&amp;$Z66, TRUE)</f>
        <v>64</v>
      </c>
      <c r="X66" s="5081" cm="1">
        <f t="array" aca="1" ref="X66" ca="1">INDIRECT("'※ 소상공인 세부데이터'!"&amp;X$1&amp;$Z66, TRUE)</f>
        <v>9.0833333333333339</v>
      </c>
      <c r="Y66" s="5085" cm="1">
        <f t="array" aca="1" ref="Y66" ca="1">INDIRECT("'※ 소상공인 세부데이터'!"&amp;Y$1&amp;$Z66, TRUE)</f>
        <v>5.3333333333333339</v>
      </c>
      <c r="Z66" s="3693">
        <f>ROW('※ 소상공인 세부데이터'!J25)</f>
        <v>25</v>
      </c>
      <c r="AA66" s="3053"/>
      <c r="AB66" s="3015"/>
      <c r="AC66" s="3015"/>
      <c r="AD66" s="3015"/>
      <c r="AE66" s="3015"/>
      <c r="AF66" s="3015"/>
      <c r="AG66" s="3015"/>
      <c r="AH66" s="3015"/>
      <c r="AI66" s="3015"/>
      <c r="AJ66" s="3015"/>
      <c r="AK66" s="3015"/>
      <c r="AL66" s="3015"/>
      <c r="AM66" s="3015"/>
    </row>
    <row r="67" spans="1:39" ht="11.4" customHeight="1" x14ac:dyDescent="0.55000000000000004">
      <c r="A67" s="7271"/>
      <c r="B67" s="2639"/>
      <c r="C67" s="5077" t="s">
        <v>540</v>
      </c>
      <c r="D67" s="5078" cm="1">
        <f t="array" aca="1" ref="D67" ca="1">INDIRECT("'※ 소상공인 세부데이터'!"&amp;D$1&amp;$Z67, TRUE)</f>
        <v>0</v>
      </c>
      <c r="E67" s="5079" cm="1">
        <f t="array" aca="1" ref="E67" ca="1">INDIRECT("'※ 소상공인 세부데이터'!"&amp;E$1&amp;$Z67, TRUE)</f>
        <v>0</v>
      </c>
      <c r="F67" s="5080" cm="1">
        <f t="array" aca="1" ref="F67" ca="1">INDIRECT("'※ 소상공인 세부데이터'!"&amp;F$1&amp;$Z67, TRUE)</f>
        <v>0</v>
      </c>
      <c r="G67" s="3647" cm="1">
        <f t="array" aca="1" ref="G67" ca="1">INDIRECT("'※ 소상공인 세부데이터'!"&amp;G$1&amp;$Z67, TRUE)</f>
        <v>0</v>
      </c>
      <c r="H67" s="3647" cm="1">
        <f t="array" aca="1" ref="H67" ca="1">INDIRECT("'※ 소상공인 세부데이터'!"&amp;H$1&amp;$Z67, TRUE)</f>
        <v>0</v>
      </c>
      <c r="I67" s="3647" cm="1">
        <f t="array" aca="1" ref="I67" ca="1">INDIRECT("'※ 소상공인 세부데이터'!"&amp;I$1&amp;$Z67, TRUE)</f>
        <v>0</v>
      </c>
      <c r="J67" s="3647" cm="1">
        <f t="array" aca="1" ref="J67" ca="1">INDIRECT("'※ 소상공인 세부데이터'!"&amp;J$1&amp;$Z67, TRUE)</f>
        <v>0</v>
      </c>
      <c r="K67" s="3647" cm="1">
        <f t="array" aca="1" ref="K67" ca="1">INDIRECT("'※ 소상공인 세부데이터'!"&amp;K$1&amp;$Z67, TRUE)</f>
        <v>0</v>
      </c>
      <c r="L67" s="3647" cm="1">
        <f t="array" aca="1" ref="L67" ca="1">INDIRECT("'※ 소상공인 세부데이터'!"&amp;L$1&amp;$Z67, TRUE)</f>
        <v>0</v>
      </c>
      <c r="M67" s="3647" cm="1">
        <f t="array" aca="1" ref="M67" ca="1">INDIRECT("'※ 소상공인 세부데이터'!"&amp;M$1&amp;$Z67, TRUE)</f>
        <v>0</v>
      </c>
      <c r="N67" s="3647" cm="1">
        <f t="array" aca="1" ref="N67" ca="1">INDIRECT("'※ 소상공인 세부데이터'!"&amp;N$1&amp;$Z67, TRUE)</f>
        <v>0</v>
      </c>
      <c r="O67" s="3647" cm="1">
        <f t="array" aca="1" ref="O67" ca="1">INDIRECT("'※ 소상공인 세부데이터'!"&amp;O$1&amp;$Z67, TRUE)</f>
        <v>0</v>
      </c>
      <c r="P67" s="3647" cm="1">
        <f t="array" aca="1" ref="P67" ca="1">INDIRECT("'※ 소상공인 세부데이터'!"&amp;P$1&amp;$Z67, TRUE)</f>
        <v>0</v>
      </c>
      <c r="Q67" s="3647" cm="1">
        <f t="array" aca="1" ref="Q67" ca="1">INDIRECT("'※ 소상공인 세부데이터'!"&amp;Q$1&amp;$Z67, TRUE)</f>
        <v>0</v>
      </c>
      <c r="R67" s="5081" cm="1">
        <f t="array" aca="1" ref="R67" ca="1">INDIRECT("'※ 소상공인 세부데이터'!"&amp;R$1&amp;$Z67, TRUE)</f>
        <v>0</v>
      </c>
      <c r="S67" s="5082" cm="1">
        <f t="array" aca="1" ref="S67" ca="1">INDIRECT("'※ 소상공인 세부데이터'!"&amp;S$1&amp;$Z67, TRUE)</f>
        <v>0</v>
      </c>
      <c r="T67" s="5083" cm="1">
        <f t="array" aca="1" ref="T67" ca="1">INDIRECT("'※ 소상공인 세부데이터'!"&amp;T$1&amp;$Z67, TRUE)</f>
        <v>0</v>
      </c>
      <c r="U67" s="5045"/>
      <c r="V67" s="5046"/>
      <c r="W67" s="5084" cm="1">
        <f t="array" aca="1" ref="W67" ca="1">INDIRECT("'※ 소상공인 세부데이터'!"&amp;W$1&amp;$Z67, TRUE)</f>
        <v>-9</v>
      </c>
      <c r="X67" s="5081" cm="1">
        <f t="array" aca="1" ref="X67" ca="1">INDIRECT("'※ 소상공인 세부데이터'!"&amp;X$1&amp;$Z67, TRUE)</f>
        <v>0</v>
      </c>
      <c r="Y67" s="5085" cm="1">
        <f t="array" aca="1" ref="Y67" ca="1">INDIRECT("'※ 소상공인 세부데이터'!"&amp;Y$1&amp;$Z67, TRUE)</f>
        <v>-0.75</v>
      </c>
      <c r="Z67" s="3693">
        <f>ROW('※ 소상공인 세부데이터'!J26)</f>
        <v>26</v>
      </c>
      <c r="AA67" s="3053"/>
      <c r="AB67" s="3015"/>
      <c r="AC67" s="3015"/>
      <c r="AD67" s="3015"/>
      <c r="AE67" s="3015"/>
      <c r="AF67" s="3015"/>
      <c r="AG67" s="3015"/>
      <c r="AH67" s="3015"/>
      <c r="AI67" s="3015"/>
      <c r="AJ67" s="3015"/>
      <c r="AK67" s="3015"/>
      <c r="AL67" s="3015"/>
      <c r="AM67" s="3015"/>
    </row>
    <row r="68" spans="1:39" ht="11.4" customHeight="1" x14ac:dyDescent="0.55000000000000004">
      <c r="A68" s="7271"/>
      <c r="B68" s="3780" t="s">
        <v>174</v>
      </c>
      <c r="C68" s="5086" t="s">
        <v>171</v>
      </c>
      <c r="D68" s="5038" cm="1">
        <f t="array" aca="1" ref="D68" ca="1">INDIRECT("'※ 소상공인 세부데이터'!"&amp;D$1&amp;$Z68, TRUE)</f>
        <v>35.733333333333334</v>
      </c>
      <c r="E68" s="5039" cm="1">
        <f t="array" aca="1" ref="E68" ca="1">INDIRECT("'※ 소상공인 세부데이터'!"&amp;E$1&amp;$Z68, TRUE)</f>
        <v>35.4</v>
      </c>
      <c r="F68" s="5049" cm="1">
        <f t="array" aca="1" ref="F68" ca="1">INDIRECT("'※ 소상공인 세부데이터'!"&amp;F$1&amp;$Z68, TRUE)</f>
        <v>46.5</v>
      </c>
      <c r="G68" s="3659" cm="1">
        <f t="array" aca="1" ref="G68" ca="1">INDIRECT("'※ 소상공인 세부데이터'!"&amp;G$1&amp;$Z68, TRUE)</f>
        <v>52.7</v>
      </c>
      <c r="H68" s="3659" cm="1">
        <f t="array" aca="1" ref="H68" ca="1">INDIRECT("'※ 소상공인 세부데이터'!"&amp;H$1&amp;$Z68, TRUE)</f>
        <v>85.2</v>
      </c>
      <c r="I68" s="3659" cm="1">
        <f t="array" aca="1" ref="I68" ca="1">INDIRECT("'※ 소상공인 세부데이터'!"&amp;I$1&amp;$Z68, TRUE)</f>
        <v>66.45</v>
      </c>
      <c r="J68" s="3659" cm="1">
        <f t="array" aca="1" ref="J68" ca="1">INDIRECT("'※ 소상공인 세부데이터'!"&amp;J$1&amp;$Z68, TRUE)</f>
        <v>80.400000000000006</v>
      </c>
      <c r="K68" s="3659" cm="1">
        <f t="array" aca="1" ref="K68" ca="1">INDIRECT("'※ 소상공인 세부데이터'!"&amp;K$1&amp;$Z68, TRUE)</f>
        <v>67</v>
      </c>
      <c r="L68" s="3659" cm="1">
        <f t="array" aca="1" ref="L68" ca="1">INDIRECT("'※ 소상공인 세부데이터'!"&amp;L$1&amp;$Z68, TRUE)</f>
        <v>77.8</v>
      </c>
      <c r="M68" s="3659" cm="1">
        <f t="array" aca="1" ref="M68" ca="1">INDIRECT("'※ 소상공인 세부데이터'!"&amp;M$1&amp;$Z68, TRUE)</f>
        <v>70.400000000000006</v>
      </c>
      <c r="N68" s="3659" cm="1">
        <f t="array" aca="1" ref="N68" ca="1">INDIRECT("'※ 소상공인 세부데이터'!"&amp;N$1&amp;$Z68, TRUE)</f>
        <v>66.599999999999994</v>
      </c>
      <c r="O68" s="3659" cm="1">
        <f t="array" aca="1" ref="O68" ca="1">INDIRECT("'※ 소상공인 세부데이터'!"&amp;O$1&amp;$Z68, TRUE)</f>
        <v>60.2</v>
      </c>
      <c r="P68" s="3659" cm="1">
        <f t="array" aca="1" ref="P68" ca="1">INDIRECT("'※ 소상공인 세부데이터'!"&amp;P$1&amp;$Z68, TRUE)</f>
        <v>39.5</v>
      </c>
      <c r="Q68" s="3659" cm="1">
        <f t="array" aca="1" ref="Q68" ca="1">INDIRECT("'※ 소상공인 세부데이터'!"&amp;Q$1&amp;$Z68, TRUE)</f>
        <v>29.4</v>
      </c>
      <c r="R68" s="5042" cm="1">
        <f t="array" aca="1" ref="R68" ca="1">INDIRECT("'※ 소상공인 세부데이터'!"&amp;R$1&amp;$Z68, TRUE)</f>
        <v>-10.100000000000001</v>
      </c>
      <c r="S68" s="5043" cm="1">
        <f t="array" aca="1" ref="S68" ca="1">INDIRECT("'※ 소상공인 세부데이터'!"&amp;S$1&amp;$Z68, TRUE)</f>
        <v>-6</v>
      </c>
      <c r="T68" s="5044" cm="1">
        <f t="array" aca="1" ref="T68" ca="1">INDIRECT("'※ 소상공인 세부데이터'!"&amp;T$1&amp;$Z68, TRUE)</f>
        <v>29.4</v>
      </c>
      <c r="U68" s="5045"/>
      <c r="V68" s="5046"/>
      <c r="W68" s="5047" cm="1">
        <f t="array" aca="1" ref="W68" ca="1">INDIRECT("'※ 소상공인 세부데이터'!"&amp;W$1&amp;$Z68, TRUE)</f>
        <v>129.11500000000012</v>
      </c>
      <c r="X68" s="5042" cm="1">
        <f t="array" aca="1" ref="X68" ca="1">INDIRECT("'※ 소상공인 세부데이터'!"&amp;X$1&amp;$Z68, TRUE)</f>
        <v>61.845833333333339</v>
      </c>
      <c r="Y68" s="5087" cm="1">
        <f t="array" aca="1" ref="Y68" ca="1">INDIRECT("'※ 소상공인 세부데이터'!"&amp;Y$1&amp;$Z68, TRUE)</f>
        <v>10.759583333333339</v>
      </c>
      <c r="Z68" s="3693">
        <f>ROW('※ 소상공인 세부데이터'!J27)</f>
        <v>27</v>
      </c>
      <c r="AA68" s="3053"/>
      <c r="AB68" s="3015"/>
      <c r="AC68" s="3015"/>
      <c r="AD68" s="3015"/>
      <c r="AE68" s="3015"/>
      <c r="AF68" s="3015"/>
      <c r="AG68" s="3015"/>
      <c r="AH68" s="3015"/>
      <c r="AI68" s="3015"/>
      <c r="AJ68" s="3015"/>
      <c r="AK68" s="3015"/>
      <c r="AL68" s="3015"/>
      <c r="AM68" s="3015"/>
    </row>
    <row r="69" spans="1:39" ht="11.4" customHeight="1" x14ac:dyDescent="0.55000000000000004">
      <c r="A69" s="7271"/>
      <c r="B69" s="3780"/>
      <c r="C69" s="5086" t="s">
        <v>172</v>
      </c>
      <c r="D69" s="5038" cm="1">
        <f t="array" aca="1" ref="D69" ca="1">INDIRECT("'※ 소상공인 세부데이터'!"&amp;D$1&amp;$Z69, TRUE)</f>
        <v>51.775000000000006</v>
      </c>
      <c r="E69" s="5039" cm="1">
        <f t="array" aca="1" ref="E69" ca="1">INDIRECT("'※ 소상공인 세부데이터'!"&amp;E$1&amp;$Z69, TRUE)</f>
        <v>31.5</v>
      </c>
      <c r="F69" s="5049" cm="1">
        <f t="array" aca="1" ref="F69" ca="1">INDIRECT("'※ 소상공인 세부데이터'!"&amp;F$1&amp;$Z69, TRUE)</f>
        <v>29.7</v>
      </c>
      <c r="G69" s="3659" cm="1">
        <f t="array" aca="1" ref="G69" ca="1">INDIRECT("'※ 소상공인 세부데이터'!"&amp;G$1&amp;$Z69, TRUE)</f>
        <v>53.7</v>
      </c>
      <c r="H69" s="3659" cm="1">
        <f t="array" aca="1" ref="H69" ca="1">INDIRECT("'※ 소상공인 세부데이터'!"&amp;H$1&amp;$Z69, TRUE)</f>
        <v>53.9</v>
      </c>
      <c r="I69" s="3659" cm="1">
        <f t="array" aca="1" ref="I69" ca="1">INDIRECT("'※ 소상공인 세부데이터'!"&amp;I$1&amp;$Z69, TRUE)</f>
        <v>44.6</v>
      </c>
      <c r="J69" s="3659" cm="1">
        <f t="array" aca="1" ref="J69" ca="1">INDIRECT("'※ 소상공인 세부데이터'!"&amp;J$1&amp;$Z69, TRUE)</f>
        <v>48.5</v>
      </c>
      <c r="K69" s="3659" cm="1">
        <f t="array" aca="1" ref="K69" ca="1">INDIRECT("'※ 소상공인 세부데이터'!"&amp;K$1&amp;$Z69, TRUE)</f>
        <v>39.299999999999997</v>
      </c>
      <c r="L69" s="3659" cm="1">
        <f t="array" aca="1" ref="L69" ca="1">INDIRECT("'※ 소상공인 세부데이터'!"&amp;L$1&amp;$Z69, TRUE)</f>
        <v>52.3</v>
      </c>
      <c r="M69" s="3659" cm="1">
        <f t="array" aca="1" ref="M69" ca="1">INDIRECT("'※ 소상공인 세부데이터'!"&amp;M$1&amp;$Z69, TRUE)</f>
        <v>32.5</v>
      </c>
      <c r="N69" s="3659" cm="1">
        <f t="array" aca="1" ref="N69" ca="1">INDIRECT("'※ 소상공인 세부데이터'!"&amp;N$1&amp;$Z69, TRUE)</f>
        <v>43.7</v>
      </c>
      <c r="O69" s="3659" cm="1">
        <f t="array" aca="1" ref="O69" ca="1">INDIRECT("'※ 소상공인 세부데이터'!"&amp;O$1&amp;$Z69, TRUE)</f>
        <v>39.200000000000003</v>
      </c>
      <c r="P69" s="3659" cm="1">
        <f t="array" aca="1" ref="P69" ca="1">INDIRECT("'※ 소상공인 세부데이터'!"&amp;P$1&amp;$Z69, TRUE)</f>
        <v>12.5</v>
      </c>
      <c r="Q69" s="3659" cm="1">
        <f t="array" aca="1" ref="Q69" ca="1">INDIRECT("'※ 소상공인 세부데이터'!"&amp;Q$1&amp;$Z69, TRUE)</f>
        <v>6.2</v>
      </c>
      <c r="R69" s="5042" cm="1">
        <f t="array" aca="1" ref="R69" ca="1">INDIRECT("'※ 소상공인 세부데이터'!"&amp;R$1&amp;$Z69, TRUE)</f>
        <v>-6.3</v>
      </c>
      <c r="S69" s="5043" cm="1">
        <f t="array" aca="1" ref="S69" ca="1">INDIRECT("'※ 소상공인 세부데이터'!"&amp;S$1&amp;$Z69, TRUE)</f>
        <v>-25.3</v>
      </c>
      <c r="T69" s="5044" cm="1">
        <f t="array" aca="1" ref="T69" ca="1">INDIRECT("'※ 소상공인 세부데이터'!"&amp;T$1&amp;$Z69, TRUE)</f>
        <v>6.2</v>
      </c>
      <c r="U69" s="5045"/>
      <c r="V69" s="5046"/>
      <c r="W69" s="5047" cm="1">
        <f t="array" aca="1" ref="W69" ca="1">INDIRECT("'※ 소상공인 세부데이터'!"&amp;W$1&amp;$Z69, TRUE)</f>
        <v>15.375714285714309</v>
      </c>
      <c r="X69" s="5042" cm="1">
        <f t="array" aca="1" ref="X69" ca="1">INDIRECT("'※ 소상공인 세부데이터'!"&amp;X$1&amp;$Z69, TRUE)</f>
        <v>38.008333333333333</v>
      </c>
      <c r="Y69" s="5087" cm="1">
        <f t="array" aca="1" ref="Y69" ca="1">INDIRECT("'※ 소상공인 세부데이터'!"&amp;Y$1&amp;$Z69, TRUE)</f>
        <v>1.2813095238095258</v>
      </c>
      <c r="Z69" s="3693">
        <f>ROW('※ 소상공인 세부데이터'!J28)</f>
        <v>28</v>
      </c>
      <c r="AA69" s="3053"/>
      <c r="AB69" s="3015"/>
      <c r="AC69" s="3015"/>
      <c r="AD69" s="3015"/>
      <c r="AE69" s="3015"/>
      <c r="AF69" s="3015"/>
      <c r="AG69" s="3015"/>
      <c r="AH69" s="3015"/>
      <c r="AI69" s="3015"/>
      <c r="AJ69" s="3015"/>
      <c r="AK69" s="3015"/>
      <c r="AL69" s="3015"/>
      <c r="AM69" s="3015"/>
    </row>
    <row r="70" spans="1:39" ht="11.4" customHeight="1" x14ac:dyDescent="0.55000000000000004">
      <c r="A70" s="7271"/>
      <c r="B70" s="3780"/>
      <c r="C70" s="5086" t="s">
        <v>173</v>
      </c>
      <c r="D70" s="5038" cm="1">
        <f t="array" aca="1" ref="D70" ca="1">INDIRECT("'※ 소상공인 세부데이터'!"&amp;D$1&amp;$Z70, TRUE)</f>
        <v>20.099999999999998</v>
      </c>
      <c r="E70" s="5039" cm="1">
        <f t="array" aca="1" ref="E70" ca="1">INDIRECT("'※ 소상공인 세부데이터'!"&amp;E$1&amp;$Z70, TRUE)</f>
        <v>14.3</v>
      </c>
      <c r="F70" s="5049" cm="1">
        <f t="array" aca="1" ref="F70" ca="1">INDIRECT("'※ 소상공인 세부데이터'!"&amp;F$1&amp;$Z70, TRUE)</f>
        <v>19.2</v>
      </c>
      <c r="G70" s="3659" cm="1">
        <f t="array" aca="1" ref="G70" ca="1">INDIRECT("'※ 소상공인 세부데이터'!"&amp;G$1&amp;$Z70, TRUE)</f>
        <v>30.7</v>
      </c>
      <c r="H70" s="3659" cm="1">
        <f t="array" aca="1" ref="H70" ca="1">INDIRECT("'※ 소상공인 세부데이터'!"&amp;H$1&amp;$Z70, TRUE)</f>
        <v>28.5</v>
      </c>
      <c r="I70" s="3659" cm="1">
        <f t="array" aca="1" ref="I70" ca="1">INDIRECT("'※ 소상공인 세부데이터'!"&amp;I$1&amp;$Z70, TRUE)</f>
        <v>25.616666666666671</v>
      </c>
      <c r="J70" s="3659" cm="1">
        <f t="array" aca="1" ref="J70" ca="1">INDIRECT("'※ 소상공인 세부데이터'!"&amp;J$1&amp;$Z70, TRUE)</f>
        <v>35.1</v>
      </c>
      <c r="K70" s="3659" cm="1">
        <f t="array" aca="1" ref="K70" ca="1">INDIRECT("'※ 소상공인 세부데이터'!"&amp;K$1&amp;$Z70, TRUE)</f>
        <v>36.299999999999997</v>
      </c>
      <c r="L70" s="3659" cm="1">
        <f t="array" aca="1" ref="L70" ca="1">INDIRECT("'※ 소상공인 세부데이터'!"&amp;L$1&amp;$Z70, TRUE)</f>
        <v>27.8</v>
      </c>
      <c r="M70" s="3659" cm="1">
        <f t="array" aca="1" ref="M70" ca="1">INDIRECT("'※ 소상공인 세부데이터'!"&amp;M$1&amp;$Z70, TRUE)</f>
        <v>51.2</v>
      </c>
      <c r="N70" s="3659" cm="1">
        <f t="array" aca="1" ref="N70" ca="1">INDIRECT("'※ 소상공인 세부데이터'!"&amp;N$1&amp;$Z70, TRUE)</f>
        <v>28.5</v>
      </c>
      <c r="O70" s="3659" cm="1">
        <f t="array" aca="1" ref="O70" ca="1">INDIRECT("'※ 소상공인 세부데이터'!"&amp;O$1&amp;$Z70, TRUE)</f>
        <v>26.1</v>
      </c>
      <c r="P70" s="3659" cm="1">
        <f t="array" aca="1" ref="P70" ca="1">INDIRECT("'※ 소상공인 세부데이터'!"&amp;P$1&amp;$Z70, TRUE)</f>
        <v>22.5</v>
      </c>
      <c r="Q70" s="3659" cm="1">
        <f t="array" aca="1" ref="Q70" ca="1">INDIRECT("'※ 소상공인 세부데이터'!"&amp;Q$1&amp;$Z70, TRUE)</f>
        <v>16</v>
      </c>
      <c r="R70" s="5042" cm="1">
        <f t="array" aca="1" ref="R70" ca="1">INDIRECT("'※ 소상공인 세부데이터'!"&amp;R$1&amp;$Z70, TRUE)</f>
        <v>-6.5</v>
      </c>
      <c r="S70" s="5043" cm="1">
        <f t="array" aca="1" ref="S70" ca="1">INDIRECT("'※ 소상공인 세부데이터'!"&amp;S$1&amp;$Z70, TRUE)</f>
        <v>1.6999999999999993</v>
      </c>
      <c r="T70" s="5044" cm="1">
        <f t="array" aca="1" ref="T70" ca="1">INDIRECT("'※ 소상공인 세부데이터'!"&amp;T$1&amp;$Z70, TRUE)</f>
        <v>16</v>
      </c>
      <c r="U70" s="5045"/>
      <c r="V70" s="5046"/>
      <c r="W70" s="5047" cm="1">
        <f t="array" aca="1" ref="W70" ca="1">INDIRECT("'※ 소상공인 세부데이터'!"&amp;W$1&amp;$Z70, TRUE)</f>
        <v>40.991666666666731</v>
      </c>
      <c r="X70" s="5042" cm="1">
        <f t="array" aca="1" ref="X70" ca="1">INDIRECT("'※ 소상공인 세부데이터'!"&amp;X$1&amp;$Z70, TRUE)</f>
        <v>28.959722222222226</v>
      </c>
      <c r="Y70" s="5087" cm="1">
        <f t="array" aca="1" ref="Y70" ca="1">INDIRECT("'※ 소상공인 세부데이터'!"&amp;Y$1&amp;$Z70, TRUE)</f>
        <v>3.4159722222222264</v>
      </c>
      <c r="Z70" s="3693">
        <f>ROW('※ 소상공인 세부데이터'!J29)</f>
        <v>29</v>
      </c>
      <c r="AA70" s="3053"/>
      <c r="AB70" s="3015"/>
      <c r="AC70" s="3015"/>
      <c r="AD70" s="3015"/>
      <c r="AE70" s="3015"/>
      <c r="AF70" s="3015"/>
      <c r="AG70" s="3015"/>
      <c r="AH70" s="3015"/>
      <c r="AI70" s="3015"/>
      <c r="AJ70" s="3015"/>
      <c r="AK70" s="3015"/>
      <c r="AL70" s="3015"/>
      <c r="AM70" s="3015"/>
    </row>
    <row r="71" spans="1:39" ht="11.4" customHeight="1" x14ac:dyDescent="0.55000000000000004">
      <c r="A71" s="7271"/>
      <c r="B71" s="3780"/>
      <c r="C71" s="5086" t="s">
        <v>538</v>
      </c>
      <c r="D71" s="5038" cm="1">
        <f t="array" aca="1" ref="D71" ca="1">INDIRECT("'※ 소상공인 세부데이터'!"&amp;D$1&amp;$Z71, TRUE)</f>
        <v>9.7199999999999989</v>
      </c>
      <c r="E71" s="5039" cm="1">
        <f t="array" aca="1" ref="E71" ca="1">INDIRECT("'※ 소상공인 세부데이터'!"&amp;E$1&amp;$Z71, TRUE)</f>
        <v>6.6</v>
      </c>
      <c r="F71" s="5049" cm="1">
        <f t="array" aca="1" ref="F71" ca="1">INDIRECT("'※ 소상공인 세부데이터'!"&amp;F$1&amp;$Z71, TRUE)</f>
        <v>9.6</v>
      </c>
      <c r="G71" s="3659" cm="1">
        <f t="array" aca="1" ref="G71" ca="1">INDIRECT("'※ 소상공인 세부데이터'!"&amp;G$1&amp;$Z71, TRUE)</f>
        <v>17.3</v>
      </c>
      <c r="H71" s="3659" cm="1">
        <f t="array" aca="1" ref="H71" ca="1">INDIRECT("'※ 소상공인 세부데이터'!"&amp;H$1&amp;$Z71, TRUE)</f>
        <v>14</v>
      </c>
      <c r="I71" s="3659" cm="1">
        <f t="array" aca="1" ref="I71" ca="1">INDIRECT("'※ 소상공인 세부데이터'!"&amp;I$1&amp;$Z71, TRUE)</f>
        <v>10.581249999999999</v>
      </c>
      <c r="J71" s="3659" cm="1">
        <f t="array" aca="1" ref="J71" ca="1">INDIRECT("'※ 소상공인 세부데이터'!"&amp;J$1&amp;$Z71, TRUE)</f>
        <v>26.9</v>
      </c>
      <c r="K71" s="3659" cm="1">
        <f t="array" aca="1" ref="K71" ca="1">INDIRECT("'※ 소상공인 세부데이터'!"&amp;K$1&amp;$Z71, TRUE)</f>
        <v>18.600000000000001</v>
      </c>
      <c r="L71" s="3659" cm="1">
        <f t="array" aca="1" ref="L71" ca="1">INDIRECT("'※ 소상공인 세부데이터'!"&amp;L$1&amp;$Z71, TRUE)</f>
        <v>42.7</v>
      </c>
      <c r="M71" s="3659" cm="1">
        <f t="array" aca="1" ref="M71" ca="1">INDIRECT("'※ 소상공인 세부데이터'!"&amp;M$1&amp;$Z71, TRUE)</f>
        <v>25.3</v>
      </c>
      <c r="N71" s="3659" cm="1">
        <f t="array" aca="1" ref="N71" ca="1">INDIRECT("'※ 소상공인 세부데이터'!"&amp;N$1&amp;$Z71, TRUE)</f>
        <v>20.3</v>
      </c>
      <c r="O71" s="3659" cm="1">
        <f t="array" aca="1" ref="O71" ca="1">INDIRECT("'※ 소상공인 세부데이터'!"&amp;O$1&amp;$Z71, TRUE)</f>
        <v>8</v>
      </c>
      <c r="P71" s="3659" cm="1">
        <f t="array" aca="1" ref="P71" ca="1">INDIRECT("'※ 소상공인 세부데이터'!"&amp;P$1&amp;$Z71, TRUE)</f>
        <v>0.8</v>
      </c>
      <c r="Q71" s="3659" cm="1">
        <f t="array" aca="1" ref="Q71" ca="1">INDIRECT("'※ 소상공인 세부데이터'!"&amp;Q$1&amp;$Z71, TRUE)</f>
        <v>0</v>
      </c>
      <c r="R71" s="5042" cm="1">
        <f t="array" aca="1" ref="R71" ca="1">INDIRECT("'※ 소상공인 세부데이터'!"&amp;R$1&amp;$Z71, TRUE)</f>
        <v>-0.8</v>
      </c>
      <c r="S71" s="5043" cm="1">
        <f t="array" aca="1" ref="S71" ca="1">INDIRECT("'※ 소상공인 세부데이터'!"&amp;S$1&amp;$Z71, TRUE)</f>
        <v>-6.6</v>
      </c>
      <c r="T71" s="5044" cm="1">
        <f t="array" aca="1" ref="T71" ca="1">INDIRECT("'※ 소상공인 세부데이터'!"&amp;T$1&amp;$Z71, TRUE)</f>
        <v>0</v>
      </c>
      <c r="U71" s="5045"/>
      <c r="V71" s="5046"/>
      <c r="W71" s="5047" cm="1">
        <f t="array" aca="1" ref="W71" ca="1">INDIRECT("'※ 소상공인 세부데이터'!"&amp;W$1&amp;$Z71, TRUE)</f>
        <v>30.394583333333372</v>
      </c>
      <c r="X71" s="5042" cm="1">
        <f t="array" aca="1" ref="X71" ca="1">INDIRECT("'※ 소상공인 세부데이터'!"&amp;X$1&amp;$Z71, TRUE)</f>
        <v>16.173437500000002</v>
      </c>
      <c r="Y71" s="5087" cm="1">
        <f t="array" aca="1" ref="Y71" ca="1">INDIRECT("'※ 소상공인 세부데이터'!"&amp;Y$1&amp;$Z71, TRUE)</f>
        <v>2.5328819444444495</v>
      </c>
      <c r="Z71" s="3693">
        <f>ROW('※ 소상공인 세부데이터'!J30)</f>
        <v>30</v>
      </c>
      <c r="AA71" s="3053"/>
      <c r="AB71" s="3015"/>
      <c r="AC71" s="3015"/>
      <c r="AD71" s="3015"/>
      <c r="AE71" s="3015"/>
      <c r="AF71" s="3015"/>
      <c r="AG71" s="3015"/>
      <c r="AH71" s="3015"/>
      <c r="AI71" s="3015"/>
      <c r="AJ71" s="3015"/>
      <c r="AK71" s="3015"/>
      <c r="AL71" s="3015"/>
      <c r="AM71" s="3015"/>
    </row>
    <row r="72" spans="1:39" ht="11.4" customHeight="1" x14ac:dyDescent="0.55000000000000004">
      <c r="A72" s="7272"/>
      <c r="B72" s="5088"/>
      <c r="C72" s="5089" t="s">
        <v>539</v>
      </c>
      <c r="D72" s="5038" cm="1">
        <f t="array" aca="1" ref="D72" ca="1">INDIRECT("'※ 소상공인 세부데이터'!"&amp;D$1&amp;$Z72, TRUE)</f>
        <v>0</v>
      </c>
      <c r="E72" s="5039" cm="1">
        <f t="array" aca="1" ref="E72" ca="1">INDIRECT("'※ 소상공인 세부데이터'!"&amp;E$1&amp;$Z72, TRUE)</f>
        <v>0</v>
      </c>
      <c r="F72" s="5049" cm="1">
        <f t="array" aca="1" ref="F72" ca="1">INDIRECT("'※ 소상공인 세부데이터'!"&amp;F$1&amp;$Z72, TRUE)</f>
        <v>0</v>
      </c>
      <c r="G72" s="3659" cm="1">
        <f t="array" aca="1" ref="G72" ca="1">INDIRECT("'※ 소상공인 세부데이터'!"&amp;G$1&amp;$Z72, TRUE)</f>
        <v>0</v>
      </c>
      <c r="H72" s="3659" cm="1">
        <f t="array" aca="1" ref="H72" ca="1">INDIRECT("'※ 소상공인 세부데이터'!"&amp;H$1&amp;$Z72, TRUE)</f>
        <v>0</v>
      </c>
      <c r="I72" s="3659" cm="1">
        <f t="array" aca="1" ref="I72" ca="1">INDIRECT("'※ 소상공인 세부데이터'!"&amp;I$1&amp;$Z72, TRUE)</f>
        <v>0</v>
      </c>
      <c r="J72" s="3659" cm="1">
        <f t="array" aca="1" ref="J72" ca="1">INDIRECT("'※ 소상공인 세부데이터'!"&amp;J$1&amp;$Z72, TRUE)</f>
        <v>0</v>
      </c>
      <c r="K72" s="3659" cm="1">
        <f t="array" aca="1" ref="K72" ca="1">INDIRECT("'※ 소상공인 세부데이터'!"&amp;K$1&amp;$Z72, TRUE)</f>
        <v>0</v>
      </c>
      <c r="L72" s="3659" cm="1">
        <f t="array" aca="1" ref="L72" ca="1">INDIRECT("'※ 소상공인 세부데이터'!"&amp;L$1&amp;$Z72, TRUE)</f>
        <v>0</v>
      </c>
      <c r="M72" s="3659" cm="1">
        <f t="array" aca="1" ref="M72" ca="1">INDIRECT("'※ 소상공인 세부데이터'!"&amp;M$1&amp;$Z72, TRUE)</f>
        <v>0</v>
      </c>
      <c r="N72" s="3659" cm="1">
        <f t="array" aca="1" ref="N72" ca="1">INDIRECT("'※ 소상공인 세부데이터'!"&amp;N$1&amp;$Z72, TRUE)</f>
        <v>0</v>
      </c>
      <c r="O72" s="3659" cm="1">
        <f t="array" aca="1" ref="O72" ca="1">INDIRECT("'※ 소상공인 세부데이터'!"&amp;O$1&amp;$Z72, TRUE)</f>
        <v>0</v>
      </c>
      <c r="P72" s="3659" cm="1">
        <f t="array" aca="1" ref="P72" ca="1">INDIRECT("'※ 소상공인 세부데이터'!"&amp;P$1&amp;$Z72, TRUE)</f>
        <v>0</v>
      </c>
      <c r="Q72" s="3659" cm="1">
        <f t="array" aca="1" ref="Q72" ca="1">INDIRECT("'※ 소상공인 세부데이터'!"&amp;Q$1&amp;$Z72, TRUE)</f>
        <v>0</v>
      </c>
      <c r="R72" s="5042" cm="1">
        <f t="array" aca="1" ref="R72" ca="1">INDIRECT("'※ 소상공인 세부데이터'!"&amp;R$1&amp;$Z72, TRUE)</f>
        <v>0</v>
      </c>
      <c r="S72" s="5043" cm="1">
        <f t="array" aca="1" ref="S72" ca="1">INDIRECT("'※ 소상공인 세부데이터'!"&amp;S$1&amp;$Z72, TRUE)</f>
        <v>0</v>
      </c>
      <c r="T72" s="5044" cm="1">
        <f t="array" aca="1" ref="T72" ca="1">INDIRECT("'※ 소상공인 세부데이터'!"&amp;T$1&amp;$Z72, TRUE)</f>
        <v>0</v>
      </c>
      <c r="U72" s="5045"/>
      <c r="V72" s="5046"/>
      <c r="W72" s="5047" cm="1">
        <f t="array" aca="1" ref="W72" ca="1">INDIRECT("'※ 소상공인 세부데이터'!"&amp;W$1&amp;$Z72, TRUE)</f>
        <v>-39.56666666666667</v>
      </c>
      <c r="X72" s="5042" cm="1">
        <f t="array" aca="1" ref="X72" ca="1">INDIRECT("'※ 소상공인 세부데이터'!"&amp;X$1&amp;$Z72, TRUE)</f>
        <v>0</v>
      </c>
      <c r="Y72" s="5087" cm="1">
        <f t="array" aca="1" ref="Y72" ca="1">INDIRECT("'※ 소상공인 세부데이터'!"&amp;Y$1&amp;$Z72, TRUE)</f>
        <v>-3.2972222222222225</v>
      </c>
      <c r="Z72" s="3693">
        <f>ROW('※ 소상공인 세부데이터'!J31)</f>
        <v>31</v>
      </c>
      <c r="AA72" s="3053"/>
      <c r="AB72" s="3015"/>
      <c r="AC72" s="3015"/>
      <c r="AD72" s="3015"/>
      <c r="AE72" s="3015"/>
      <c r="AF72" s="3015"/>
      <c r="AG72" s="3015"/>
      <c r="AH72" s="3015"/>
      <c r="AI72" s="3015"/>
      <c r="AJ72" s="3015"/>
      <c r="AK72" s="3015"/>
      <c r="AL72" s="3015"/>
      <c r="AM72" s="3015"/>
    </row>
    <row r="73" spans="1:39" s="5076" customFormat="1" ht="11.4" customHeight="1" x14ac:dyDescent="0.55000000000000004">
      <c r="A73" s="7270" t="s">
        <v>175</v>
      </c>
      <c r="B73" s="5090" t="s">
        <v>163</v>
      </c>
      <c r="C73" s="5091"/>
      <c r="D73" s="5092" cm="1">
        <f t="array" aca="1" ref="D73" ca="1">INDIRECT("'※ 소상공인 세부데이터'!"&amp;D$1&amp;$Z73, TRUE)</f>
        <v>19</v>
      </c>
      <c r="E73" s="5093" cm="1">
        <f t="array" aca="1" ref="E73" ca="1">INDIRECT("'※ 소상공인 세부데이터'!"&amp;E$1&amp;$Z73, TRUE)</f>
        <v>15</v>
      </c>
      <c r="F73" s="5094" cm="1">
        <f t="array" aca="1" ref="F73" ca="1">INDIRECT("'※ 소상공인 세부데이터'!"&amp;F$1&amp;$Z73, TRUE)</f>
        <v>16</v>
      </c>
      <c r="G73" s="5095" cm="1">
        <f t="array" aca="1" ref="G73" ca="1">INDIRECT("'※ 소상공인 세부데이터'!"&amp;G$1&amp;$Z73, TRUE)</f>
        <v>15</v>
      </c>
      <c r="H73" s="5095" cm="1">
        <f t="array" aca="1" ref="H73" ca="1">INDIRECT("'※ 소상공인 세부데이터'!"&amp;H$1&amp;$Z73, TRUE)</f>
        <v>17</v>
      </c>
      <c r="I73" s="5095" cm="1">
        <f t="array" aca="1" ref="I73" ca="1">INDIRECT("'※ 소상공인 세부데이터'!"&amp;I$1&amp;$Z73, TRUE)</f>
        <v>16</v>
      </c>
      <c r="J73" s="5095" cm="1">
        <f t="array" aca="1" ref="J73" ca="1">INDIRECT("'※ 소상공인 세부데이터'!"&amp;J$1&amp;$Z73, TRUE)</f>
        <v>15</v>
      </c>
      <c r="K73" s="5095" cm="1">
        <f t="array" aca="1" ref="K73" ca="1">INDIRECT("'※ 소상공인 세부데이터'!"&amp;K$1&amp;$Z73, TRUE)</f>
        <v>15</v>
      </c>
      <c r="L73" s="5095" cm="1">
        <f t="array" aca="1" ref="L73" ca="1">INDIRECT("'※ 소상공인 세부데이터'!"&amp;L$1&amp;$Z73, TRUE)</f>
        <v>14</v>
      </c>
      <c r="M73" s="5095" cm="1">
        <f t="array" aca="1" ref="M73" ca="1">INDIRECT("'※ 소상공인 세부데이터'!"&amp;M$1&amp;$Z73, TRUE)</f>
        <v>12</v>
      </c>
      <c r="N73" s="5095" cm="1">
        <f t="array" aca="1" ref="N73" ca="1">INDIRECT("'※ 소상공인 세부데이터'!"&amp;N$1&amp;$Z73, TRUE)</f>
        <v>12</v>
      </c>
      <c r="O73" s="5095" cm="1">
        <f t="array" aca="1" ref="O73" ca="1">INDIRECT("'※ 소상공인 세부데이터'!"&amp;O$1&amp;$Z73, TRUE)</f>
        <v>12</v>
      </c>
      <c r="P73" s="5095" cm="1">
        <f t="array" aca="1" ref="P73" ca="1">INDIRECT("'※ 소상공인 세부데이터'!"&amp;P$1&amp;$Z73, TRUE)</f>
        <v>12</v>
      </c>
      <c r="Q73" s="5095" cm="1">
        <f t="array" aca="1" ref="Q73" ca="1">INDIRECT("'※ 소상공인 세부데이터'!"&amp;Q$1&amp;$Z73, TRUE)</f>
        <v>9</v>
      </c>
      <c r="R73" s="5096" cm="1">
        <f t="array" aca="1" ref="R73" ca="1">INDIRECT("'※ 소상공인 세부데이터'!"&amp;R$1&amp;$Z73, TRUE)</f>
        <v>-3</v>
      </c>
      <c r="S73" s="5097" cm="1">
        <f t="array" aca="1" ref="S73" ca="1">INDIRECT("'※ 소상공인 세부데이터'!"&amp;S$1&amp;$Z73, TRUE)</f>
        <v>-6</v>
      </c>
      <c r="T73" s="5098" cm="1">
        <f t="array" aca="1" ref="T73" ca="1">INDIRECT("'※ 소상공인 세부데이터'!"&amp;T$1&amp;$Z73, TRUE)</f>
        <v>9</v>
      </c>
      <c r="U73" s="5045"/>
      <c r="V73" s="5046"/>
      <c r="W73" s="5099" cm="1">
        <f t="array" aca="1" ref="W73" ca="1">INDIRECT("'※ 소상공인 세부데이터'!"&amp;W$1&amp;$Z73, TRUE)</f>
        <v>-9</v>
      </c>
      <c r="X73" s="5096" cm="1">
        <f t="array" aca="1" ref="X73" ca="1">INDIRECT("'※ 소상공인 세부데이터'!"&amp;X$1&amp;$Z73, TRUE)</f>
        <v>13.75</v>
      </c>
      <c r="Y73" s="5100" cm="1">
        <f t="array" aca="1" ref="Y73" ca="1">INDIRECT("'※ 소상공인 세부데이터'!"&amp;Y$1&amp;$Z73, TRUE)</f>
        <v>-0.75</v>
      </c>
      <c r="Z73" s="3693">
        <f>ROW('※ 소상공인 세부데이터'!J32)</f>
        <v>32</v>
      </c>
      <c r="AA73" s="3053"/>
      <c r="AB73" s="5005"/>
      <c r="AC73" s="5005"/>
      <c r="AD73" s="5005"/>
      <c r="AE73" s="5005"/>
      <c r="AF73" s="5005"/>
      <c r="AG73" s="5005"/>
      <c r="AH73" s="5005"/>
      <c r="AI73" s="5005"/>
      <c r="AJ73" s="5005"/>
      <c r="AK73" s="5005"/>
      <c r="AL73" s="5005"/>
      <c r="AM73" s="5005"/>
    </row>
    <row r="74" spans="1:39" ht="11.4" customHeight="1" x14ac:dyDescent="0.55000000000000004">
      <c r="A74" s="7271"/>
      <c r="B74" s="2639" t="s">
        <v>170</v>
      </c>
      <c r="C74" s="5077" t="s">
        <v>171</v>
      </c>
      <c r="D74" s="5078" cm="1">
        <f t="array" aca="1" ref="D74" ca="1">INDIRECT("'※ 소상공인 세부데이터'!"&amp;D$1&amp;$Z74, TRUE)</f>
        <v>5</v>
      </c>
      <c r="E74" s="5079" cm="1">
        <f t="array" aca="1" ref="E74" ca="1">INDIRECT("'※ 소상공인 세부데이터'!"&amp;E$1&amp;$Z74, TRUE)</f>
        <v>5</v>
      </c>
      <c r="F74" s="5080" cm="1">
        <f t="array" aca="1" ref="F74" ca="1">INDIRECT("'※ 소상공인 세부데이터'!"&amp;F$1&amp;$Z74, TRUE)</f>
        <v>3</v>
      </c>
      <c r="G74" s="3647" cm="1">
        <f t="array" aca="1" ref="G74" ca="1">INDIRECT("'※ 소상공인 세부데이터'!"&amp;G$1&amp;$Z74, TRUE)</f>
        <v>3</v>
      </c>
      <c r="H74" s="3647" cm="1">
        <f t="array" aca="1" ref="H74" ca="1">INDIRECT("'※ 소상공인 세부데이터'!"&amp;H$1&amp;$Z74, TRUE)</f>
        <v>3</v>
      </c>
      <c r="I74" s="3647" cm="1">
        <f t="array" aca="1" ref="I74" ca="1">INDIRECT("'※ 소상공인 세부데이터'!"&amp;I$1&amp;$Z74, TRUE)</f>
        <v>2</v>
      </c>
      <c r="J74" s="3647" cm="1">
        <f t="array" aca="1" ref="J74" ca="1">INDIRECT("'※ 소상공인 세부데이터'!"&amp;J$1&amp;$Z74, TRUE)</f>
        <v>2</v>
      </c>
      <c r="K74" s="3647" cm="1">
        <f t="array" aca="1" ref="K74" ca="1">INDIRECT("'※ 소상공인 세부데이터'!"&amp;K$1&amp;$Z74, TRUE)</f>
        <v>2</v>
      </c>
      <c r="L74" s="3647" cm="1">
        <f t="array" aca="1" ref="L74" ca="1">INDIRECT("'※ 소상공인 세부데이터'!"&amp;L$1&amp;$Z74, TRUE)</f>
        <v>4</v>
      </c>
      <c r="M74" s="3647" cm="1">
        <f t="array" aca="1" ref="M74" ca="1">INDIRECT("'※ 소상공인 세부데이터'!"&amp;M$1&amp;$Z74, TRUE)</f>
        <v>4</v>
      </c>
      <c r="N74" s="3647" cm="1">
        <f t="array" aca="1" ref="N74" ca="1">INDIRECT("'※ 소상공인 세부데이터'!"&amp;N$1&amp;$Z74, TRUE)</f>
        <v>3</v>
      </c>
      <c r="O74" s="3647" cm="1">
        <f t="array" aca="1" ref="O74" ca="1">INDIRECT("'※ 소상공인 세부데이터'!"&amp;O$1&amp;$Z74, TRUE)</f>
        <v>4</v>
      </c>
      <c r="P74" s="3647" cm="1">
        <f t="array" aca="1" ref="P74" ca="1">INDIRECT("'※ 소상공인 세부데이터'!"&amp;P$1&amp;$Z74, TRUE)</f>
        <v>4</v>
      </c>
      <c r="Q74" s="3647" cm="1">
        <f t="array" aca="1" ref="Q74" ca="1">INDIRECT("'※ 소상공인 세부데이터'!"&amp;Q$1&amp;$Z74, TRUE)</f>
        <v>4</v>
      </c>
      <c r="R74" s="5081" cm="1">
        <f t="array" aca="1" ref="R74" ca="1">INDIRECT("'※ 소상공인 세부데이터'!"&amp;R$1&amp;$Z74, TRUE)</f>
        <v>0</v>
      </c>
      <c r="S74" s="5082" cm="1">
        <f t="array" aca="1" ref="S74" ca="1">INDIRECT("'※ 소상공인 세부데이터'!"&amp;S$1&amp;$Z74, TRUE)</f>
        <v>-1</v>
      </c>
      <c r="T74" s="5083" cm="1">
        <f t="array" aca="1" ref="T74" ca="1">INDIRECT("'※ 소상공인 세부데이터'!"&amp;T$1&amp;$Z74, TRUE)</f>
        <v>4</v>
      </c>
      <c r="U74" s="5045"/>
      <c r="V74" s="5046"/>
      <c r="W74" s="5084" cm="1">
        <f t="array" aca="1" ref="W74" ca="1">INDIRECT("'※ 소상공인 세부데이터'!"&amp;W$1&amp;$Z74, TRUE)</f>
        <v>-15</v>
      </c>
      <c r="X74" s="5081" cm="1">
        <f t="array" aca="1" ref="X74" ca="1">INDIRECT("'※ 소상공인 세부데이터'!"&amp;X$1&amp;$Z74, TRUE)</f>
        <v>3.1666666666666665</v>
      </c>
      <c r="Y74" s="5085" cm="1">
        <f t="array" aca="1" ref="Y74" ca="1">INDIRECT("'※ 소상공인 세부데이터'!"&amp;Y$1&amp;$Z74, TRUE)</f>
        <v>-1.2500000000000004</v>
      </c>
      <c r="Z74" s="3693">
        <f>ROW('※ 소상공인 세부데이터'!J33)</f>
        <v>33</v>
      </c>
      <c r="AA74" s="3053"/>
      <c r="AB74" s="3015"/>
      <c r="AC74" s="3015"/>
      <c r="AD74" s="3015"/>
      <c r="AE74" s="3015"/>
      <c r="AF74" s="3015"/>
      <c r="AG74" s="3015"/>
      <c r="AH74" s="3015"/>
      <c r="AI74" s="3015"/>
      <c r="AJ74" s="3015"/>
      <c r="AK74" s="3015"/>
      <c r="AL74" s="3015"/>
      <c r="AM74" s="3015"/>
    </row>
    <row r="75" spans="1:39" ht="11.4" customHeight="1" x14ac:dyDescent="0.55000000000000004">
      <c r="A75" s="7271"/>
      <c r="B75" s="2639"/>
      <c r="C75" s="5077" t="s">
        <v>172</v>
      </c>
      <c r="D75" s="5078" cm="1">
        <f t="array" aca="1" ref="D75" ca="1">INDIRECT("'※ 소상공인 세부데이터'!"&amp;D$1&amp;$Z75, TRUE)</f>
        <v>3</v>
      </c>
      <c r="E75" s="5079" cm="1">
        <f t="array" aca="1" ref="E75" ca="1">INDIRECT("'※ 소상공인 세부데이터'!"&amp;E$1&amp;$Z75, TRUE)</f>
        <v>1</v>
      </c>
      <c r="F75" s="5080" cm="1">
        <f t="array" aca="1" ref="F75" ca="1">INDIRECT("'※ 소상공인 세부데이터'!"&amp;F$1&amp;$Z75, TRUE)</f>
        <v>1</v>
      </c>
      <c r="G75" s="3647" cm="1">
        <f t="array" aca="1" ref="G75" ca="1">INDIRECT("'※ 소상공인 세부데이터'!"&amp;G$1&amp;$Z75, TRUE)</f>
        <v>1</v>
      </c>
      <c r="H75" s="3647" cm="1">
        <f t="array" aca="1" ref="H75" ca="1">INDIRECT("'※ 소상공인 세부데이터'!"&amp;H$1&amp;$Z75, TRUE)</f>
        <v>1</v>
      </c>
      <c r="I75" s="3647" cm="1">
        <f t="array" aca="1" ref="I75" ca="1">INDIRECT("'※ 소상공인 세부데이터'!"&amp;I$1&amp;$Z75, TRUE)</f>
        <v>2</v>
      </c>
      <c r="J75" s="3647" cm="1">
        <f t="array" aca="1" ref="J75" ca="1">INDIRECT("'※ 소상공인 세부데이터'!"&amp;J$1&amp;$Z75, TRUE)</f>
        <v>2</v>
      </c>
      <c r="K75" s="3647" cm="1">
        <f t="array" aca="1" ref="K75" ca="1">INDIRECT("'※ 소상공인 세부데이터'!"&amp;K$1&amp;$Z75, TRUE)</f>
        <v>2</v>
      </c>
      <c r="L75" s="3647" cm="1">
        <f t="array" aca="1" ref="L75" ca="1">INDIRECT("'※ 소상공인 세부데이터'!"&amp;L$1&amp;$Z75, TRUE)</f>
        <v>1</v>
      </c>
      <c r="M75" s="3647" cm="1">
        <f t="array" aca="1" ref="M75" ca="1">INDIRECT("'※ 소상공인 세부데이터'!"&amp;M$1&amp;$Z75, TRUE)</f>
        <v>1</v>
      </c>
      <c r="N75" s="3647" cm="1">
        <f t="array" aca="1" ref="N75" ca="1">INDIRECT("'※ 소상공인 세부데이터'!"&amp;N$1&amp;$Z75, TRUE)</f>
        <v>1</v>
      </c>
      <c r="O75" s="3647" cm="1">
        <f t="array" aca="1" ref="O75" ca="1">INDIRECT("'※ 소상공인 세부데이터'!"&amp;O$1&amp;$Z75, TRUE)</f>
        <v>1</v>
      </c>
      <c r="P75" s="3647" cm="1">
        <f t="array" aca="1" ref="P75" ca="1">INDIRECT("'※ 소상공인 세부데이터'!"&amp;P$1&amp;$Z75, TRUE)</f>
        <v>1</v>
      </c>
      <c r="Q75" s="3647" cm="1">
        <f t="array" aca="1" ref="Q75" ca="1">INDIRECT("'※ 소상공인 세부데이터'!"&amp;Q$1&amp;$Z75, TRUE)</f>
        <v>1</v>
      </c>
      <c r="R75" s="5081" cm="1">
        <f t="array" aca="1" ref="R75" ca="1">INDIRECT("'※ 소상공인 세부데이터'!"&amp;R$1&amp;$Z75, TRUE)</f>
        <v>0</v>
      </c>
      <c r="S75" s="5082" cm="1">
        <f t="array" aca="1" ref="S75" ca="1">INDIRECT("'※ 소상공인 세부데이터'!"&amp;S$1&amp;$Z75, TRUE)</f>
        <v>0</v>
      </c>
      <c r="T75" s="5083" cm="1">
        <f t="array" aca="1" ref="T75" ca="1">INDIRECT("'※ 소상공인 세부데이터'!"&amp;T$1&amp;$Z75, TRUE)</f>
        <v>1</v>
      </c>
      <c r="U75" s="5045"/>
      <c r="V75" s="5046"/>
      <c r="W75" s="5084" cm="1">
        <f t="array" aca="1" ref="W75" ca="1">INDIRECT("'※ 소상공인 세부데이터'!"&amp;W$1&amp;$Z75, TRUE)</f>
        <v>-10</v>
      </c>
      <c r="X75" s="5081" cm="1">
        <f t="array" aca="1" ref="X75" ca="1">INDIRECT("'※ 소상공인 세부데이터'!"&amp;X$1&amp;$Z75, TRUE)</f>
        <v>1.25</v>
      </c>
      <c r="Y75" s="5085" cm="1">
        <f t="array" aca="1" ref="Y75" ca="1">INDIRECT("'※ 소상공인 세부데이터'!"&amp;Y$1&amp;$Z75, TRUE)</f>
        <v>-0.83333333333333348</v>
      </c>
      <c r="Z75" s="3693">
        <f>ROW('※ 소상공인 세부데이터'!J34)</f>
        <v>34</v>
      </c>
      <c r="AA75" s="3053"/>
      <c r="AB75" s="3015"/>
      <c r="AC75" s="3015"/>
      <c r="AD75" s="3015"/>
      <c r="AE75" s="3015"/>
      <c r="AF75" s="3015"/>
      <c r="AG75" s="3015"/>
      <c r="AH75" s="3015"/>
      <c r="AI75" s="3015"/>
      <c r="AJ75" s="3015"/>
      <c r="AK75" s="3015"/>
      <c r="AL75" s="3015"/>
      <c r="AM75" s="3015"/>
    </row>
    <row r="76" spans="1:39" ht="11.4" customHeight="1" x14ac:dyDescent="0.55000000000000004">
      <c r="A76" s="7271"/>
      <c r="B76" s="2639"/>
      <c r="C76" s="5077" t="s">
        <v>173</v>
      </c>
      <c r="D76" s="5078" cm="1">
        <f t="array" aca="1" ref="D76" ca="1">INDIRECT("'※ 소상공인 세부데이터'!"&amp;D$1&amp;$Z76, TRUE)</f>
        <v>4</v>
      </c>
      <c r="E76" s="5079" cm="1">
        <f t="array" aca="1" ref="E76" ca="1">INDIRECT("'※ 소상공인 세부데이터'!"&amp;E$1&amp;$Z76, TRUE)</f>
        <v>2</v>
      </c>
      <c r="F76" s="5080" cm="1">
        <f t="array" aca="1" ref="F76" ca="1">INDIRECT("'※ 소상공인 세부데이터'!"&amp;F$1&amp;$Z76, TRUE)</f>
        <v>2</v>
      </c>
      <c r="G76" s="3647" cm="1">
        <f t="array" aca="1" ref="G76" ca="1">INDIRECT("'※ 소상공인 세부데이터'!"&amp;G$1&amp;$Z76, TRUE)</f>
        <v>2</v>
      </c>
      <c r="H76" s="3647" cm="1">
        <f t="array" aca="1" ref="H76" ca="1">INDIRECT("'※ 소상공인 세부데이터'!"&amp;H$1&amp;$Z76, TRUE)</f>
        <v>2</v>
      </c>
      <c r="I76" s="3647" cm="1">
        <f t="array" aca="1" ref="I76" ca="1">INDIRECT("'※ 소상공인 세부데이터'!"&amp;I$1&amp;$Z76, TRUE)</f>
        <v>4</v>
      </c>
      <c r="J76" s="3647" cm="1">
        <f t="array" aca="1" ref="J76" ca="1">INDIRECT("'※ 소상공인 세부데이터'!"&amp;J$1&amp;$Z76, TRUE)</f>
        <v>4</v>
      </c>
      <c r="K76" s="3647" cm="1">
        <f t="array" aca="1" ref="K76" ca="1">INDIRECT("'※ 소상공인 세부데이터'!"&amp;K$1&amp;$Z76, TRUE)</f>
        <v>4</v>
      </c>
      <c r="L76" s="3647" cm="1">
        <f t="array" aca="1" ref="L76" ca="1">INDIRECT("'※ 소상공인 세부데이터'!"&amp;L$1&amp;$Z76, TRUE)</f>
        <v>4</v>
      </c>
      <c r="M76" s="3647" cm="1">
        <f t="array" aca="1" ref="M76" ca="1">INDIRECT("'※ 소상공인 세부데이터'!"&amp;M$1&amp;$Z76, TRUE)</f>
        <v>3</v>
      </c>
      <c r="N76" s="3647" cm="1">
        <f t="array" aca="1" ref="N76" ca="1">INDIRECT("'※ 소상공인 세부데이터'!"&amp;N$1&amp;$Z76, TRUE)</f>
        <v>3</v>
      </c>
      <c r="O76" s="3647" cm="1">
        <f t="array" aca="1" ref="O76" ca="1">INDIRECT("'※ 소상공인 세부데이터'!"&amp;O$1&amp;$Z76, TRUE)</f>
        <v>3</v>
      </c>
      <c r="P76" s="3647" cm="1">
        <f t="array" aca="1" ref="P76" ca="1">INDIRECT("'※ 소상공인 세부데이터'!"&amp;P$1&amp;$Z76, TRUE)</f>
        <v>3</v>
      </c>
      <c r="Q76" s="3647" cm="1">
        <f t="array" aca="1" ref="Q76" ca="1">INDIRECT("'※ 소상공인 세부데이터'!"&amp;Q$1&amp;$Z76, TRUE)</f>
        <v>1</v>
      </c>
      <c r="R76" s="5081" cm="1">
        <f t="array" aca="1" ref="R76" ca="1">INDIRECT("'※ 소상공인 세부데이터'!"&amp;R$1&amp;$Z76, TRUE)</f>
        <v>-2</v>
      </c>
      <c r="S76" s="5082" cm="1">
        <f t="array" aca="1" ref="S76" ca="1">INDIRECT("'※ 소상공인 세부데이터'!"&amp;S$1&amp;$Z76, TRUE)</f>
        <v>-1</v>
      </c>
      <c r="T76" s="5083" cm="1">
        <f t="array" aca="1" ref="T76" ca="1">INDIRECT("'※ 소상공인 세부데이터'!"&amp;T$1&amp;$Z76, TRUE)</f>
        <v>1</v>
      </c>
      <c r="U76" s="5045"/>
      <c r="V76" s="5046"/>
      <c r="W76" s="5084" cm="1">
        <f t="array" aca="1" ref="W76" ca="1">INDIRECT("'※ 소상공인 세부데이터'!"&amp;W$1&amp;$Z76, TRUE)</f>
        <v>4</v>
      </c>
      <c r="X76" s="5081" cm="1">
        <f t="array" aca="1" ref="X76" ca="1">INDIRECT("'※ 소상공인 세부데이터'!"&amp;X$1&amp;$Z76, TRUE)</f>
        <v>2.9166666666666665</v>
      </c>
      <c r="Y76" s="5085" cm="1">
        <f t="array" aca="1" ref="Y76" ca="1">INDIRECT("'※ 소상공인 세부데이터'!"&amp;Y$1&amp;$Z76, TRUE)</f>
        <v>0.33333333333333304</v>
      </c>
      <c r="Z76" s="3693">
        <f>ROW('※ 소상공인 세부데이터'!J35)</f>
        <v>35</v>
      </c>
      <c r="AA76" s="3053"/>
      <c r="AB76" s="3015"/>
      <c r="AC76" s="3015"/>
      <c r="AD76" s="3015"/>
      <c r="AE76" s="3015"/>
      <c r="AF76" s="3015"/>
      <c r="AG76" s="3015"/>
      <c r="AH76" s="3015"/>
      <c r="AI76" s="3015"/>
      <c r="AJ76" s="3015"/>
      <c r="AK76" s="3015"/>
      <c r="AL76" s="3015"/>
      <c r="AM76" s="3015"/>
    </row>
    <row r="77" spans="1:39" ht="11.4" customHeight="1" x14ac:dyDescent="0.55000000000000004">
      <c r="A77" s="7271"/>
      <c r="B77" s="2639"/>
      <c r="C77" s="5077" t="s">
        <v>538</v>
      </c>
      <c r="D77" s="5078" cm="1">
        <f t="array" aca="1" ref="D77" ca="1">INDIRECT("'※ 소상공인 세부데이터'!"&amp;D$1&amp;$Z77, TRUE)</f>
        <v>6</v>
      </c>
      <c r="E77" s="5079" cm="1">
        <f t="array" aca="1" ref="E77" ca="1">INDIRECT("'※ 소상공인 세부데이터'!"&amp;E$1&amp;$Z77, TRUE)</f>
        <v>7</v>
      </c>
      <c r="F77" s="5080" cm="1">
        <f t="array" aca="1" ref="F77" ca="1">INDIRECT("'※ 소상공인 세부데이터'!"&amp;F$1&amp;$Z77, TRUE)</f>
        <v>10</v>
      </c>
      <c r="G77" s="3647" cm="1">
        <f t="array" aca="1" ref="G77" ca="1">INDIRECT("'※ 소상공인 세부데이터'!"&amp;G$1&amp;$Z77, TRUE)</f>
        <v>9</v>
      </c>
      <c r="H77" s="3647" cm="1">
        <f t="array" aca="1" ref="H77" ca="1">INDIRECT("'※ 소상공인 세부데이터'!"&amp;H$1&amp;$Z77, TRUE)</f>
        <v>11</v>
      </c>
      <c r="I77" s="3647" cm="1">
        <f t="array" aca="1" ref="I77" ca="1">INDIRECT("'※ 소상공인 세부데이터'!"&amp;I$1&amp;$Z77, TRUE)</f>
        <v>8</v>
      </c>
      <c r="J77" s="3647" cm="1">
        <f t="array" aca="1" ref="J77" ca="1">INDIRECT("'※ 소상공인 세부데이터'!"&amp;J$1&amp;$Z77, TRUE)</f>
        <v>7</v>
      </c>
      <c r="K77" s="3647" cm="1">
        <f t="array" aca="1" ref="K77" ca="1">INDIRECT("'※ 소상공인 세부데이터'!"&amp;K$1&amp;$Z77, TRUE)</f>
        <v>7</v>
      </c>
      <c r="L77" s="3647" cm="1">
        <f t="array" aca="1" ref="L77" ca="1">INDIRECT("'※ 소상공인 세부데이터'!"&amp;L$1&amp;$Z77, TRUE)</f>
        <v>5</v>
      </c>
      <c r="M77" s="3647" cm="1">
        <f t="array" aca="1" ref="M77" ca="1">INDIRECT("'※ 소상공인 세부데이터'!"&amp;M$1&amp;$Z77, TRUE)</f>
        <v>4</v>
      </c>
      <c r="N77" s="3647" cm="1">
        <f t="array" aca="1" ref="N77" ca="1">INDIRECT("'※ 소상공인 세부데이터'!"&amp;N$1&amp;$Z77, TRUE)</f>
        <v>5</v>
      </c>
      <c r="O77" s="3647" cm="1">
        <f t="array" aca="1" ref="O77" ca="1">INDIRECT("'※ 소상공인 세부데이터'!"&amp;O$1&amp;$Z77, TRUE)</f>
        <v>4</v>
      </c>
      <c r="P77" s="3647" cm="1">
        <f t="array" aca="1" ref="P77" ca="1">INDIRECT("'※ 소상공인 세부데이터'!"&amp;P$1&amp;$Z77, TRUE)</f>
        <v>4</v>
      </c>
      <c r="Q77" s="3647" cm="1">
        <f t="array" aca="1" ref="Q77" ca="1">INDIRECT("'※ 소상공인 세부데이터'!"&amp;Q$1&amp;$Z77, TRUE)</f>
        <v>3</v>
      </c>
      <c r="R77" s="5081" cm="1">
        <f t="array" aca="1" ref="R77" ca="1">INDIRECT("'※ 소상공인 세부데이터'!"&amp;R$1&amp;$Z77, TRUE)</f>
        <v>-1</v>
      </c>
      <c r="S77" s="5082" cm="1">
        <f t="array" aca="1" ref="S77" ca="1">INDIRECT("'※ 소상공인 세부데이터'!"&amp;S$1&amp;$Z77, TRUE)</f>
        <v>-4</v>
      </c>
      <c r="T77" s="5083" cm="1">
        <f t="array" aca="1" ref="T77" ca="1">INDIRECT("'※ 소상공인 세부데이터'!"&amp;T$1&amp;$Z77, TRUE)</f>
        <v>3</v>
      </c>
      <c r="U77" s="5045"/>
      <c r="V77" s="5046"/>
      <c r="W77" s="5084" cm="1">
        <f t="array" aca="1" ref="W77" ca="1">INDIRECT("'※ 소상공인 세부데이터'!"&amp;W$1&amp;$Z77, TRUE)</f>
        <v>15</v>
      </c>
      <c r="X77" s="5081" cm="1">
        <f t="array" aca="1" ref="X77" ca="1">INDIRECT("'※ 소상공인 세부데이터'!"&amp;X$1&amp;$Z77, TRUE)</f>
        <v>6.416666666666667</v>
      </c>
      <c r="Y77" s="5085" cm="1">
        <f t="array" aca="1" ref="Y77" ca="1">INDIRECT("'※ 소상공인 세부데이터'!"&amp;Y$1&amp;$Z77, TRUE)</f>
        <v>1.25</v>
      </c>
      <c r="Z77" s="3693">
        <f>ROW('※ 소상공인 세부데이터'!J36)</f>
        <v>36</v>
      </c>
      <c r="AA77" s="3053"/>
      <c r="AB77" s="3015"/>
      <c r="AC77" s="3015"/>
      <c r="AD77" s="3015"/>
      <c r="AE77" s="3015"/>
      <c r="AF77" s="3015"/>
      <c r="AG77" s="3015"/>
      <c r="AH77" s="3015"/>
      <c r="AI77" s="3015"/>
      <c r="AJ77" s="3015"/>
      <c r="AK77" s="3015"/>
      <c r="AL77" s="3015"/>
      <c r="AM77" s="3015"/>
    </row>
    <row r="78" spans="1:39" ht="11.4" customHeight="1" x14ac:dyDescent="0.55000000000000004">
      <c r="A78" s="7271"/>
      <c r="B78" s="2639"/>
      <c r="C78" s="5077" t="s">
        <v>539</v>
      </c>
      <c r="D78" s="5078" cm="1">
        <f t="array" aca="1" ref="D78" ca="1">INDIRECT("'※ 소상공인 세부데이터'!"&amp;D$1&amp;$Z78, TRUE)</f>
        <v>0</v>
      </c>
      <c r="E78" s="5079" cm="1">
        <f t="array" aca="1" ref="E78" ca="1">INDIRECT("'※ 소상공인 세부데이터'!"&amp;E$1&amp;$Z78, TRUE)</f>
        <v>0</v>
      </c>
      <c r="F78" s="5080" cm="1">
        <f t="array" aca="1" ref="F78" ca="1">INDIRECT("'※ 소상공인 세부데이터'!"&amp;F$1&amp;$Z78, TRUE)</f>
        <v>0</v>
      </c>
      <c r="G78" s="3647" cm="1">
        <f t="array" aca="1" ref="G78" ca="1">INDIRECT("'※ 소상공인 세부데이터'!"&amp;G$1&amp;$Z78, TRUE)</f>
        <v>0</v>
      </c>
      <c r="H78" s="3647" cm="1">
        <f t="array" aca="1" ref="H78" ca="1">INDIRECT("'※ 소상공인 세부데이터'!"&amp;H$1&amp;$Z78, TRUE)</f>
        <v>0</v>
      </c>
      <c r="I78" s="3647" cm="1">
        <f t="array" aca="1" ref="I78" ca="1">INDIRECT("'※ 소상공인 세부데이터'!"&amp;I$1&amp;$Z78, TRUE)</f>
        <v>0</v>
      </c>
      <c r="J78" s="3647" cm="1">
        <f t="array" aca="1" ref="J78" ca="1">INDIRECT("'※ 소상공인 세부데이터'!"&amp;J$1&amp;$Z78, TRUE)</f>
        <v>0</v>
      </c>
      <c r="K78" s="3647" cm="1">
        <f t="array" aca="1" ref="K78" ca="1">INDIRECT("'※ 소상공인 세부데이터'!"&amp;K$1&amp;$Z78, TRUE)</f>
        <v>0</v>
      </c>
      <c r="L78" s="3647" cm="1">
        <f t="array" aca="1" ref="L78" ca="1">INDIRECT("'※ 소상공인 세부데이터'!"&amp;L$1&amp;$Z78, TRUE)</f>
        <v>0</v>
      </c>
      <c r="M78" s="3647" cm="1">
        <f t="array" aca="1" ref="M78" ca="1">INDIRECT("'※ 소상공인 세부데이터'!"&amp;M$1&amp;$Z78, TRUE)</f>
        <v>0</v>
      </c>
      <c r="N78" s="3647" cm="1">
        <f t="array" aca="1" ref="N78" ca="1">INDIRECT("'※ 소상공인 세부데이터'!"&amp;N$1&amp;$Z78, TRUE)</f>
        <v>0</v>
      </c>
      <c r="O78" s="3647" cm="1">
        <f t="array" aca="1" ref="O78" ca="1">INDIRECT("'※ 소상공인 세부데이터'!"&amp;O$1&amp;$Z78, TRUE)</f>
        <v>0</v>
      </c>
      <c r="P78" s="3647" cm="1">
        <f t="array" aca="1" ref="P78" ca="1">INDIRECT("'※ 소상공인 세부데이터'!"&amp;P$1&amp;$Z78, TRUE)</f>
        <v>0</v>
      </c>
      <c r="Q78" s="3647" cm="1">
        <f t="array" aca="1" ref="Q78" ca="1">INDIRECT("'※ 소상공인 세부데이터'!"&amp;Q$1&amp;$Z78, TRUE)</f>
        <v>0</v>
      </c>
      <c r="R78" s="5081" cm="1">
        <f t="array" aca="1" ref="R78" ca="1">INDIRECT("'※ 소상공인 세부데이터'!"&amp;R$1&amp;$Z78, TRUE)</f>
        <v>0</v>
      </c>
      <c r="S78" s="5082" cm="1">
        <f t="array" aca="1" ref="S78" ca="1">INDIRECT("'※ 소상공인 세부데이터'!"&amp;S$1&amp;$Z78, TRUE)</f>
        <v>0</v>
      </c>
      <c r="T78" s="5083" cm="1">
        <f t="array" aca="1" ref="T78" ca="1">INDIRECT("'※ 소상공인 세부데이터'!"&amp;T$1&amp;$Z78, TRUE)</f>
        <v>0</v>
      </c>
      <c r="U78" s="5045"/>
      <c r="V78" s="5046"/>
      <c r="W78" s="5084" cm="1">
        <f t="array" aca="1" ref="W78" ca="1">INDIRECT("'※ 소상공인 세부데이터'!"&amp;W$1&amp;$Z78, TRUE)</f>
        <v>-3</v>
      </c>
      <c r="X78" s="5081" cm="1">
        <f t="array" aca="1" ref="X78" ca="1">INDIRECT("'※ 소상공인 세부데이터'!"&amp;X$1&amp;$Z78, TRUE)</f>
        <v>0</v>
      </c>
      <c r="Y78" s="5085" cm="1">
        <f t="array" aca="1" ref="Y78" ca="1">INDIRECT("'※ 소상공인 세부데이터'!"&amp;Y$1&amp;$Z78, TRUE)</f>
        <v>-0.25</v>
      </c>
      <c r="Z78" s="3693">
        <f>ROW('※ 소상공인 세부데이터'!J37)</f>
        <v>37</v>
      </c>
      <c r="AA78" s="3053"/>
      <c r="AB78" s="3015"/>
      <c r="AC78" s="3015"/>
      <c r="AD78" s="3015"/>
      <c r="AE78" s="3015"/>
      <c r="AF78" s="3015"/>
      <c r="AG78" s="3015"/>
      <c r="AH78" s="3015"/>
      <c r="AI78" s="3015"/>
      <c r="AJ78" s="3015"/>
      <c r="AK78" s="3015"/>
      <c r="AL78" s="3015"/>
      <c r="AM78" s="3015"/>
    </row>
    <row r="79" spans="1:39" ht="11.4" customHeight="1" x14ac:dyDescent="0.55000000000000004">
      <c r="A79" s="7271"/>
      <c r="B79" s="3780" t="s">
        <v>174</v>
      </c>
      <c r="C79" s="5086" t="s">
        <v>171</v>
      </c>
      <c r="D79" s="5038" cm="1">
        <f t="array" aca="1" ref="D79" ca="1">INDIRECT("'※ 소상공인 세부데이터'!"&amp;D$1&amp;$Z79, TRUE)</f>
        <v>39.839999999999996</v>
      </c>
      <c r="E79" s="5039" cm="1">
        <f t="array" aca="1" ref="E79" ca="1">INDIRECT("'※ 소상공인 세부데이터'!"&amp;E$1&amp;$Z79, TRUE)</f>
        <v>20.6</v>
      </c>
      <c r="F79" s="5049" cm="1">
        <f t="array" aca="1" ref="F79" ca="1">INDIRECT("'※ 소상공인 세부데이터'!"&amp;F$1&amp;$Z79, TRUE)</f>
        <v>43.9</v>
      </c>
      <c r="G79" s="3659" cm="1">
        <f t="array" aca="1" ref="G79" ca="1">INDIRECT("'※ 소상공인 세부데이터'!"&amp;G$1&amp;$Z79, TRUE)</f>
        <v>60.4</v>
      </c>
      <c r="H79" s="3659" cm="1">
        <f t="array" aca="1" ref="H79" ca="1">INDIRECT("'※ 소상공인 세부데이터'!"&amp;H$1&amp;$Z79, TRUE)</f>
        <v>59.5</v>
      </c>
      <c r="I79" s="3659" cm="1">
        <f t="array" aca="1" ref="I79" ca="1">INDIRECT("'※ 소상공인 세부데이터'!"&amp;I$1&amp;$Z79, TRUE)</f>
        <v>68.599999999999994</v>
      </c>
      <c r="J79" s="3659" cm="1">
        <f t="array" aca="1" ref="J79" ca="1">INDIRECT("'※ 소상공인 세부데이터'!"&amp;J$1&amp;$Z79, TRUE)</f>
        <v>61.1</v>
      </c>
      <c r="K79" s="3659" cm="1">
        <f t="array" aca="1" ref="K79" ca="1">INDIRECT("'※ 소상공인 세부데이터'!"&amp;K$1&amp;$Z79, TRUE)</f>
        <v>70.7</v>
      </c>
      <c r="L79" s="3659" cm="1">
        <f t="array" aca="1" ref="L79" ca="1">INDIRECT("'※ 소상공인 세부데이터'!"&amp;L$1&amp;$Z79, TRUE)</f>
        <v>73.400000000000006</v>
      </c>
      <c r="M79" s="3659" cm="1">
        <f t="array" aca="1" ref="M79" ca="1">INDIRECT("'※ 소상공인 세부데이터'!"&amp;M$1&amp;$Z79, TRUE)</f>
        <v>41.3</v>
      </c>
      <c r="N79" s="3659" cm="1">
        <f t="array" aca="1" ref="N79" ca="1">INDIRECT("'※ 소상공인 세부데이터'!"&amp;N$1&amp;$Z79, TRUE)</f>
        <v>91.8</v>
      </c>
      <c r="O79" s="3659" cm="1">
        <f t="array" aca="1" ref="O79" ca="1">INDIRECT("'※ 소상공인 세부데이터'!"&amp;O$1&amp;$Z79, TRUE)</f>
        <v>63.1</v>
      </c>
      <c r="P79" s="3659" cm="1">
        <f t="array" aca="1" ref="P79" ca="1">INDIRECT("'※ 소상공인 세부데이터'!"&amp;P$1&amp;$Z79, TRUE)</f>
        <v>43.9</v>
      </c>
      <c r="Q79" s="3659" cm="1">
        <f t="array" aca="1" ref="Q79" ca="1">INDIRECT("'※ 소상공인 세부데이터'!"&amp;Q$1&amp;$Z79, TRUE)</f>
        <v>41.2</v>
      </c>
      <c r="R79" s="5042" cm="1">
        <f t="array" aca="1" ref="R79" ca="1">INDIRECT("'※ 소상공인 세부데이터'!"&amp;R$1&amp;$Z79, TRUE)</f>
        <v>-2.6999999999999957</v>
      </c>
      <c r="S79" s="5043" cm="1">
        <f t="array" aca="1" ref="S79" ca="1">INDIRECT("'※ 소상공인 세부데이터'!"&amp;S$1&amp;$Z79, TRUE)</f>
        <v>20.6</v>
      </c>
      <c r="T79" s="5044" cm="1">
        <f t="array" aca="1" ref="T79" ca="1">INDIRECT("'※ 소상공인 세부데이터'!"&amp;T$1&amp;$Z79, TRUE)</f>
        <v>41.2</v>
      </c>
      <c r="U79" s="5045"/>
      <c r="V79" s="5046"/>
      <c r="W79" s="5047" cm="1">
        <f t="array" aca="1" ref="W79" ca="1">INDIRECT("'※ 소상공인 세부데이터'!"&amp;W$1&amp;$Z79, TRUE)</f>
        <v>122.91000000000008</v>
      </c>
      <c r="X79" s="5042" cm="1">
        <f t="array" aca="1" ref="X79" ca="1">INDIRECT("'※ 소상공인 세부데이터'!"&amp;X$1&amp;$Z79, TRUE)</f>
        <v>59.908333333333339</v>
      </c>
      <c r="Y79" s="5087" cm="1">
        <f t="array" aca="1" ref="Y79" ca="1">INDIRECT("'※ 소상공인 세부데이터'!"&amp;Y$1&amp;$Z79, TRUE)</f>
        <v>10.242500000000007</v>
      </c>
      <c r="Z79" s="3693">
        <f>ROW('※ 소상공인 세부데이터'!J38)</f>
        <v>38</v>
      </c>
      <c r="AA79" s="3053"/>
      <c r="AB79" s="3015"/>
      <c r="AC79" s="3015"/>
      <c r="AD79" s="3015"/>
      <c r="AE79" s="3015"/>
      <c r="AF79" s="3015"/>
      <c r="AG79" s="3015"/>
      <c r="AH79" s="3015"/>
      <c r="AI79" s="3015"/>
      <c r="AJ79" s="3015"/>
      <c r="AK79" s="3015"/>
      <c r="AL79" s="3015"/>
      <c r="AM79" s="3015"/>
    </row>
    <row r="80" spans="1:39" ht="11.4" customHeight="1" x14ac:dyDescent="0.55000000000000004">
      <c r="A80" s="7271"/>
      <c r="B80" s="3780"/>
      <c r="C80" s="5086" t="s">
        <v>172</v>
      </c>
      <c r="D80" s="5038" cm="1">
        <f t="array" aca="1" ref="D80" ca="1">INDIRECT("'※ 소상공인 세부데이터'!"&amp;D$1&amp;$Z80, TRUE)</f>
        <v>48.133333333333333</v>
      </c>
      <c r="E80" s="5039" cm="1">
        <f t="array" aca="1" ref="E80" ca="1">INDIRECT("'※ 소상공인 세부데이터'!"&amp;E$1&amp;$Z80, TRUE)</f>
        <v>5.6</v>
      </c>
      <c r="F80" s="5049" cm="1">
        <f t="array" aca="1" ref="F80" ca="1">INDIRECT("'※ 소상공인 세부데이터'!"&amp;F$1&amp;$Z80, TRUE)</f>
        <v>2</v>
      </c>
      <c r="G80" s="3659" cm="1">
        <f t="array" aca="1" ref="G80" ca="1">INDIRECT("'※ 소상공인 세부데이터'!"&amp;G$1&amp;$Z80, TRUE)</f>
        <v>0</v>
      </c>
      <c r="H80" s="3659" cm="1">
        <f t="array" aca="1" ref="H80" ca="1">INDIRECT("'※ 소상공인 세부데이터'!"&amp;H$1&amp;$Z80, TRUE)</f>
        <v>0</v>
      </c>
      <c r="I80" s="3659" cm="1">
        <f t="array" aca="1" ref="I80" ca="1">INDIRECT("'※ 소상공인 세부데이터'!"&amp;I$1&amp;$Z80, TRUE)</f>
        <v>27.1</v>
      </c>
      <c r="J80" s="3659" cm="1">
        <f t="array" aca="1" ref="J80" ca="1">INDIRECT("'※ 소상공인 세부데이터'!"&amp;J$1&amp;$Z80, TRUE)</f>
        <v>28.9</v>
      </c>
      <c r="K80" s="3659" cm="1">
        <f t="array" aca="1" ref="K80" ca="1">INDIRECT("'※ 소상공인 세부데이터'!"&amp;K$1&amp;$Z80, TRUE)</f>
        <v>31.8</v>
      </c>
      <c r="L80" s="3659" cm="1">
        <f t="array" aca="1" ref="L80" ca="1">INDIRECT("'※ 소상공인 세부데이터'!"&amp;L$1&amp;$Z80, TRUE)</f>
        <v>10</v>
      </c>
      <c r="M80" s="3659" cm="1">
        <f t="array" aca="1" ref="M80" ca="1">INDIRECT("'※ 소상공인 세부데이터'!"&amp;M$1&amp;$Z80, TRUE)</f>
        <v>26.1</v>
      </c>
      <c r="N80" s="3659" cm="1">
        <f t="array" aca="1" ref="N80" ca="1">INDIRECT("'※ 소상공인 세부데이터'!"&amp;N$1&amp;$Z80, TRUE)</f>
        <v>77.599999999999994</v>
      </c>
      <c r="O80" s="3659" cm="1">
        <f t="array" aca="1" ref="O80" ca="1">INDIRECT("'※ 소상공인 세부데이터'!"&amp;O$1&amp;$Z80, TRUE)</f>
        <v>3.6</v>
      </c>
      <c r="P80" s="3659" cm="1">
        <f t="array" aca="1" ref="P80" ca="1">INDIRECT("'※ 소상공인 세부데이터'!"&amp;P$1&amp;$Z80, TRUE)</f>
        <v>39.200000000000003</v>
      </c>
      <c r="Q80" s="3659" cm="1">
        <f t="array" aca="1" ref="Q80" ca="1">INDIRECT("'※ 소상공인 세부데이터'!"&amp;Q$1&amp;$Z80, TRUE)</f>
        <v>25.2</v>
      </c>
      <c r="R80" s="5042" cm="1">
        <f t="array" aca="1" ref="R80" ca="1">INDIRECT("'※ 소상공인 세부데이터'!"&amp;R$1&amp;$Z80, TRUE)</f>
        <v>-14.000000000000004</v>
      </c>
      <c r="S80" s="5043" cm="1">
        <f t="array" aca="1" ref="S80" ca="1">INDIRECT("'※ 소상공인 세부데이터'!"&amp;S$1&amp;$Z80, TRUE)</f>
        <v>19.600000000000001</v>
      </c>
      <c r="T80" s="5044" cm="1">
        <f t="array" aca="1" ref="T80" ca="1">INDIRECT("'※ 소상공인 세부데이터'!"&amp;T$1&amp;$Z80, TRUE)</f>
        <v>0</v>
      </c>
      <c r="U80" s="5045"/>
      <c r="V80" s="5046"/>
      <c r="W80" s="5047" cm="1">
        <f t="array" aca="1" ref="W80" ca="1">INDIRECT("'※ 소상공인 세부데이터'!"&amp;W$1&amp;$Z80, TRUE)</f>
        <v>-148.63333333333338</v>
      </c>
      <c r="X80" s="5042" cm="1">
        <f t="array" aca="1" ref="X80" ca="1">INDIRECT("'※ 소상공인 세부데이터'!"&amp;X$1&amp;$Z80, TRUE)</f>
        <v>22.625</v>
      </c>
      <c r="Y80" s="5087" cm="1">
        <f t="array" aca="1" ref="Y80" ca="1">INDIRECT("'※ 소상공인 세부데이터'!"&amp;Y$1&amp;$Z80, TRUE)</f>
        <v>-12.386111111111113</v>
      </c>
      <c r="Z80" s="3693">
        <f>ROW('※ 소상공인 세부데이터'!J39)</f>
        <v>39</v>
      </c>
      <c r="AA80" s="3053"/>
      <c r="AB80" s="3015"/>
      <c r="AC80" s="3015"/>
      <c r="AD80" s="3015"/>
      <c r="AE80" s="3015"/>
      <c r="AF80" s="3015"/>
      <c r="AG80" s="3015"/>
      <c r="AH80" s="3015"/>
      <c r="AI80" s="3015"/>
      <c r="AJ80" s="3015"/>
      <c r="AK80" s="3015"/>
      <c r="AL80" s="3015"/>
      <c r="AM80" s="3015"/>
    </row>
    <row r="81" spans="1:39" ht="11.4" customHeight="1" x14ac:dyDescent="0.55000000000000004">
      <c r="A81" s="7271"/>
      <c r="B81" s="3780"/>
      <c r="C81" s="5086" t="s">
        <v>173</v>
      </c>
      <c r="D81" s="5038" cm="1">
        <f t="array" aca="1" ref="D81" ca="1">INDIRECT("'※ 소상공인 세부데이터'!"&amp;D$1&amp;$Z81, TRUE)</f>
        <v>11.6</v>
      </c>
      <c r="E81" s="5039" cm="1">
        <f t="array" aca="1" ref="E81" ca="1">INDIRECT("'※ 소상공인 세부데이터'!"&amp;E$1&amp;$Z81, TRUE)</f>
        <v>21.8</v>
      </c>
      <c r="F81" s="5049" cm="1">
        <f t="array" aca="1" ref="F81" ca="1">INDIRECT("'※ 소상공인 세부데이터'!"&amp;F$1&amp;$Z81, TRUE)</f>
        <v>15.8</v>
      </c>
      <c r="G81" s="3659" cm="1">
        <f t="array" aca="1" ref="G81" ca="1">INDIRECT("'※ 소상공인 세부데이터'!"&amp;G$1&amp;$Z81, TRUE)</f>
        <v>67.7</v>
      </c>
      <c r="H81" s="3659" cm="1">
        <f t="array" aca="1" ref="H81" ca="1">INDIRECT("'※ 소상공인 세부데이터'!"&amp;H$1&amp;$Z81, TRUE)</f>
        <v>67.099999999999994</v>
      </c>
      <c r="I81" s="3659" cm="1">
        <f t="array" aca="1" ref="I81" ca="1">INDIRECT("'※ 소상공인 세부데이터'!"&amp;I$1&amp;$Z81, TRUE)</f>
        <v>19</v>
      </c>
      <c r="J81" s="3659" cm="1">
        <f t="array" aca="1" ref="J81" ca="1">INDIRECT("'※ 소상공인 세부데이터'!"&amp;J$1&amp;$Z81, TRUE)</f>
        <v>56.9</v>
      </c>
      <c r="K81" s="3659" cm="1">
        <f t="array" aca="1" ref="K81" ca="1">INDIRECT("'※ 소상공인 세부데이터'!"&amp;K$1&amp;$Z81, TRUE)</f>
        <v>11.7</v>
      </c>
      <c r="L81" s="3659" cm="1">
        <f t="array" aca="1" ref="L81" ca="1">INDIRECT("'※ 소상공인 세부데이터'!"&amp;L$1&amp;$Z81, TRUE)</f>
        <v>36.799999999999997</v>
      </c>
      <c r="M81" s="3659" cm="1">
        <f t="array" aca="1" ref="M81" ca="1">INDIRECT("'※ 소상공인 세부데이터'!"&amp;M$1&amp;$Z81, TRUE)</f>
        <v>48.5</v>
      </c>
      <c r="N81" s="3659" cm="1">
        <f t="array" aca="1" ref="N81" ca="1">INDIRECT("'※ 소상공인 세부데이터'!"&amp;N$1&amp;$Z81, TRUE)</f>
        <v>58.2</v>
      </c>
      <c r="O81" s="3659" cm="1">
        <f t="array" aca="1" ref="O81" ca="1">INDIRECT("'※ 소상공인 세부데이터'!"&amp;O$1&amp;$Z81, TRUE)</f>
        <v>18.8</v>
      </c>
      <c r="P81" s="3659" cm="1">
        <f t="array" aca="1" ref="P81" ca="1">INDIRECT("'※ 소상공인 세부데이터'!"&amp;P$1&amp;$Z81, TRUE)</f>
        <v>25.9</v>
      </c>
      <c r="Q81" s="3659" cm="1">
        <f t="array" aca="1" ref="Q81" ca="1">INDIRECT("'※ 소상공인 세부데이터'!"&amp;Q$1&amp;$Z81, TRUE)</f>
        <v>17.5</v>
      </c>
      <c r="R81" s="5042" cm="1">
        <f t="array" aca="1" ref="R81" ca="1">INDIRECT("'※ 소상공인 세부데이터'!"&amp;R$1&amp;$Z81, TRUE)</f>
        <v>-8.3999999999999986</v>
      </c>
      <c r="S81" s="5043" cm="1">
        <f t="array" aca="1" ref="S81" ca="1">INDIRECT("'※ 소상공인 세부데이터'!"&amp;S$1&amp;$Z81, TRUE)</f>
        <v>-4.3000000000000007</v>
      </c>
      <c r="T81" s="5044" cm="1">
        <f t="array" aca="1" ref="T81" ca="1">INDIRECT("'※ 소상공인 세부데이터'!"&amp;T$1&amp;$Z81, TRUE)</f>
        <v>17.5</v>
      </c>
      <c r="U81" s="5045"/>
      <c r="V81" s="5046"/>
      <c r="W81" s="5047" cm="1">
        <f t="array" aca="1" ref="W81" ca="1">INDIRECT("'※ 소상공인 세부데이터'!"&amp;W$1&amp;$Z81, TRUE)</f>
        <v>111.94166666666666</v>
      </c>
      <c r="X81" s="5042" cm="1">
        <f t="array" aca="1" ref="X81" ca="1">INDIRECT("'※ 소상공인 세부데이터'!"&amp;X$1&amp;$Z81, TRUE)</f>
        <v>36.991666666666667</v>
      </c>
      <c r="Y81" s="5087" cm="1">
        <f t="array" aca="1" ref="Y81" ca="1">INDIRECT("'※ 소상공인 세부데이터'!"&amp;Y$1&amp;$Z81, TRUE)</f>
        <v>9.3284722222222243</v>
      </c>
      <c r="Z81" s="3693">
        <f>ROW('※ 소상공인 세부데이터'!J40)</f>
        <v>40</v>
      </c>
      <c r="AA81" s="3053"/>
      <c r="AB81" s="3015"/>
      <c r="AC81" s="3015"/>
      <c r="AD81" s="3015"/>
      <c r="AE81" s="3015"/>
      <c r="AF81" s="3015"/>
      <c r="AG81" s="3015"/>
      <c r="AH81" s="3015"/>
      <c r="AI81" s="3015"/>
      <c r="AJ81" s="3015"/>
      <c r="AK81" s="3015"/>
      <c r="AL81" s="3015"/>
      <c r="AM81" s="3015"/>
    </row>
    <row r="82" spans="1:39" ht="11.4" customHeight="1" x14ac:dyDescent="0.55000000000000004">
      <c r="A82" s="7271"/>
      <c r="B82" s="3780"/>
      <c r="C82" s="5086" t="s">
        <v>538</v>
      </c>
      <c r="D82" s="5038" cm="1">
        <f t="array" aca="1" ref="D82" ca="1">INDIRECT("'※ 소상공인 세부데이터'!"&amp;D$1&amp;$Z82, TRUE)</f>
        <v>14.916666666666666</v>
      </c>
      <c r="E82" s="5039" cm="1">
        <f t="array" aca="1" ref="E82" ca="1">INDIRECT("'※ 소상공인 세부데이터'!"&amp;E$1&amp;$Z82, TRUE)</f>
        <v>24.8</v>
      </c>
      <c r="F82" s="5049" cm="1">
        <f t="array" aca="1" ref="F82" ca="1">INDIRECT("'※ 소상공인 세부데이터'!"&amp;F$1&amp;$Z82, TRUE)</f>
        <v>9</v>
      </c>
      <c r="G82" s="3659" cm="1">
        <f t="array" aca="1" ref="G82" ca="1">INDIRECT("'※ 소상공인 세부데이터'!"&amp;G$1&amp;$Z82, TRUE)</f>
        <v>13.6</v>
      </c>
      <c r="H82" s="3659" cm="1">
        <f t="array" aca="1" ref="H82" ca="1">INDIRECT("'※ 소상공인 세부데이터'!"&amp;H$1&amp;$Z82, TRUE)</f>
        <v>10</v>
      </c>
      <c r="I82" s="3659" cm="1">
        <f t="array" aca="1" ref="I82" ca="1">INDIRECT("'※ 소상공인 세부데이터'!"&amp;I$1&amp;$Z82, TRUE)</f>
        <v>6.1</v>
      </c>
      <c r="J82" s="3659" cm="1">
        <f t="array" aca="1" ref="J82" ca="1">INDIRECT("'※ 소상공인 세부데이터'!"&amp;J$1&amp;$Z82, TRUE)</f>
        <v>15.9</v>
      </c>
      <c r="K82" s="3659" cm="1">
        <f t="array" aca="1" ref="K82" ca="1">INDIRECT("'※ 소상공인 세부데이터'!"&amp;K$1&amp;$Z82, TRUE)</f>
        <v>6.4</v>
      </c>
      <c r="L82" s="3659" cm="1">
        <f t="array" aca="1" ref="L82" ca="1">INDIRECT("'※ 소상공인 세부데이터'!"&amp;L$1&amp;$Z82, TRUE)</f>
        <v>14.6</v>
      </c>
      <c r="M82" s="3659" cm="1">
        <f t="array" aca="1" ref="M82" ca="1">INDIRECT("'※ 소상공인 세부데이터'!"&amp;M$1&amp;$Z82, TRUE)</f>
        <v>20.2</v>
      </c>
      <c r="N82" s="3659" cm="1">
        <f t="array" aca="1" ref="N82" ca="1">INDIRECT("'※ 소상공인 세부데이터'!"&amp;N$1&amp;$Z82, TRUE)</f>
        <v>14.1</v>
      </c>
      <c r="O82" s="3659" cm="1">
        <f t="array" aca="1" ref="O82" ca="1">INDIRECT("'※ 소상공인 세부데이터'!"&amp;O$1&amp;$Z82, TRUE)</f>
        <v>7.6</v>
      </c>
      <c r="P82" s="3659" cm="1">
        <f t="array" aca="1" ref="P82" ca="1">INDIRECT("'※ 소상공인 세부데이터'!"&amp;P$1&amp;$Z82, TRUE)</f>
        <v>12.1</v>
      </c>
      <c r="Q82" s="3659" cm="1">
        <f t="array" aca="1" ref="Q82" ca="1">INDIRECT("'※ 소상공인 세부데이터'!"&amp;Q$1&amp;$Z82, TRUE)</f>
        <v>3.3</v>
      </c>
      <c r="R82" s="5042" cm="1">
        <f t="array" aca="1" ref="R82" ca="1">INDIRECT("'※ 소상공인 세부데이터'!"&amp;R$1&amp;$Z82, TRUE)</f>
        <v>-8.8000000000000007</v>
      </c>
      <c r="S82" s="5043" cm="1">
        <f t="array" aca="1" ref="S82" ca="1">INDIRECT("'※ 소상공인 세부데이터'!"&amp;S$1&amp;$Z82, TRUE)</f>
        <v>-21.5</v>
      </c>
      <c r="T82" s="5044" cm="1">
        <f t="array" aca="1" ref="T82" ca="1">INDIRECT("'※ 소상공인 세부데이터'!"&amp;T$1&amp;$Z82, TRUE)</f>
        <v>3.3</v>
      </c>
      <c r="U82" s="5045"/>
      <c r="V82" s="5046"/>
      <c r="W82" s="5047" cm="1">
        <f t="array" aca="1" ref="W82" ca="1">INDIRECT("'※ 소상공인 세부데이터'!"&amp;W$1&amp;$Z82, TRUE)</f>
        <v>-52.526666666666671</v>
      </c>
      <c r="X82" s="5042" cm="1">
        <f t="array" aca="1" ref="X82" ca="1">INDIRECT("'※ 소상공인 세부데이터'!"&amp;X$1&amp;$Z82, TRUE)</f>
        <v>11.075000000000001</v>
      </c>
      <c r="Y82" s="5087" cm="1">
        <f t="array" aca="1" ref="Y82" ca="1">INDIRECT("'※ 소상공인 세부데이터'!"&amp;Y$1&amp;$Z82, TRUE)</f>
        <v>-4.3772222222222226</v>
      </c>
      <c r="Z82" s="3693">
        <f>ROW('※ 소상공인 세부데이터'!J41)</f>
        <v>41</v>
      </c>
      <c r="AA82" s="3053"/>
      <c r="AB82" s="3015"/>
      <c r="AC82" s="3015"/>
      <c r="AD82" s="3015"/>
      <c r="AE82" s="3015"/>
      <c r="AF82" s="3015"/>
      <c r="AG82" s="3015"/>
      <c r="AH82" s="3015"/>
      <c r="AI82" s="3015"/>
      <c r="AJ82" s="3015"/>
      <c r="AK82" s="3015"/>
      <c r="AL82" s="3015"/>
      <c r="AM82" s="3015"/>
    </row>
    <row r="83" spans="1:39" ht="11.4" customHeight="1" x14ac:dyDescent="0.55000000000000004">
      <c r="A83" s="7272"/>
      <c r="B83" s="5088"/>
      <c r="C83" s="5089" t="s">
        <v>539</v>
      </c>
      <c r="D83" s="5101" cm="1">
        <f t="array" aca="1" ref="D83" ca="1">INDIRECT("'※ 소상공인 세부데이터'!"&amp;D$1&amp;$Z83, TRUE)</f>
        <v>0</v>
      </c>
      <c r="E83" s="5102" cm="1">
        <f t="array" aca="1" ref="E83" ca="1">INDIRECT("'※ 소상공인 세부데이터'!"&amp;E$1&amp;$Z83, TRUE)</f>
        <v>0</v>
      </c>
      <c r="F83" s="5049" cm="1">
        <f t="array" aca="1" ref="F83" ca="1">INDIRECT("'※ 소상공인 세부데이터'!"&amp;F$1&amp;$Z83, TRUE)</f>
        <v>0</v>
      </c>
      <c r="G83" s="3659" cm="1">
        <f t="array" aca="1" ref="G83" ca="1">INDIRECT("'※ 소상공인 세부데이터'!"&amp;G$1&amp;$Z83, TRUE)</f>
        <v>0</v>
      </c>
      <c r="H83" s="3659" cm="1">
        <f t="array" aca="1" ref="H83" ca="1">INDIRECT("'※ 소상공인 세부데이터'!"&amp;H$1&amp;$Z83, TRUE)</f>
        <v>0</v>
      </c>
      <c r="I83" s="3659" cm="1">
        <f t="array" aca="1" ref="I83" ca="1">INDIRECT("'※ 소상공인 세부데이터'!"&amp;I$1&amp;$Z83, TRUE)</f>
        <v>0</v>
      </c>
      <c r="J83" s="3659" cm="1">
        <f t="array" aca="1" ref="J83" ca="1">INDIRECT("'※ 소상공인 세부데이터'!"&amp;J$1&amp;$Z83, TRUE)</f>
        <v>0</v>
      </c>
      <c r="K83" s="3659" cm="1">
        <f t="array" aca="1" ref="K83" ca="1">INDIRECT("'※ 소상공인 세부데이터'!"&amp;K$1&amp;$Z83, TRUE)</f>
        <v>0</v>
      </c>
      <c r="L83" s="3659" cm="1">
        <f t="array" aca="1" ref="L83" ca="1">INDIRECT("'※ 소상공인 세부데이터'!"&amp;L$1&amp;$Z83, TRUE)</f>
        <v>0</v>
      </c>
      <c r="M83" s="3659" cm="1">
        <f t="array" aca="1" ref="M83" ca="1">INDIRECT("'※ 소상공인 세부데이터'!"&amp;M$1&amp;$Z83, TRUE)</f>
        <v>0</v>
      </c>
      <c r="N83" s="3659" cm="1">
        <f t="array" aca="1" ref="N83" ca="1">INDIRECT("'※ 소상공인 세부데이터'!"&amp;N$1&amp;$Z83, TRUE)</f>
        <v>0</v>
      </c>
      <c r="O83" s="3659" cm="1">
        <f t="array" aca="1" ref="O83" ca="1">INDIRECT("'※ 소상공인 세부데이터'!"&amp;O$1&amp;$Z83, TRUE)</f>
        <v>0</v>
      </c>
      <c r="P83" s="3659" cm="1">
        <f t="array" aca="1" ref="P83" ca="1">INDIRECT("'※ 소상공인 세부데이터'!"&amp;P$1&amp;$Z83, TRUE)</f>
        <v>0</v>
      </c>
      <c r="Q83" s="3659" cm="1">
        <f t="array" aca="1" ref="Q83" ca="1">INDIRECT("'※ 소상공인 세부데이터'!"&amp;Q$1&amp;$Z83, TRUE)</f>
        <v>0</v>
      </c>
      <c r="R83" s="5103" cm="1">
        <f t="array" aca="1" ref="R83" ca="1">INDIRECT("'※ 소상공인 세부데이터'!"&amp;R$1&amp;$Z83, TRUE)</f>
        <v>0</v>
      </c>
      <c r="S83" s="5104" cm="1">
        <f t="array" aca="1" ref="S83" ca="1">INDIRECT("'※ 소상공인 세부데이터'!"&amp;S$1&amp;$Z83, TRUE)</f>
        <v>0</v>
      </c>
      <c r="T83" s="5105" cm="1">
        <f t="array" aca="1" ref="T83" ca="1">INDIRECT("'※ 소상공인 세부데이터'!"&amp;T$1&amp;$Z83, TRUE)</f>
        <v>0</v>
      </c>
      <c r="U83" s="5045"/>
      <c r="V83" s="5046"/>
      <c r="W83" s="5106" cm="1">
        <f t="array" aca="1" ref="W83" ca="1">INDIRECT("'※ 소상공인 세부데이터'!"&amp;W$1&amp;$Z83, TRUE)</f>
        <v>-4</v>
      </c>
      <c r="X83" s="5103" cm="1">
        <f t="array" aca="1" ref="X83" ca="1">INDIRECT("'※ 소상공인 세부데이터'!"&amp;X$1&amp;$Z83, TRUE)</f>
        <v>0</v>
      </c>
      <c r="Y83" s="5107" cm="1">
        <f t="array" aca="1" ref="Y83" ca="1">INDIRECT("'※ 소상공인 세부데이터'!"&amp;Y$1&amp;$Z83, TRUE)</f>
        <v>-0.33333333333333331</v>
      </c>
      <c r="Z83" s="3693">
        <f>ROW('※ 소상공인 세부데이터'!J42)</f>
        <v>42</v>
      </c>
      <c r="AA83" s="3053"/>
      <c r="AB83" s="3015"/>
      <c r="AC83" s="3015"/>
      <c r="AD83" s="3015"/>
      <c r="AE83" s="3015"/>
      <c r="AF83" s="3015"/>
      <c r="AG83" s="3015"/>
      <c r="AH83" s="3015"/>
      <c r="AI83" s="3015"/>
      <c r="AJ83" s="3015"/>
      <c r="AK83" s="3015"/>
      <c r="AL83" s="3015"/>
      <c r="AM83" s="3015"/>
    </row>
    <row r="84" spans="1:39" s="5076" customFormat="1" ht="11.4" customHeight="1" x14ac:dyDescent="0.55000000000000004">
      <c r="A84" s="7270" t="s">
        <v>147</v>
      </c>
      <c r="B84" s="5090" t="s">
        <v>163</v>
      </c>
      <c r="C84" s="5091"/>
      <c r="D84" s="5092" cm="1">
        <f t="array" aca="1" ref="D84" ca="1">INDIRECT("'※ 소상공인 세부데이터'!"&amp;D$1&amp;$Z84, TRUE)</f>
        <v>26</v>
      </c>
      <c r="E84" s="5093" cm="1">
        <f t="array" aca="1" ref="E84" ca="1">INDIRECT("'※ 소상공인 세부데이터'!"&amp;E$1&amp;$Z84, TRUE)</f>
        <v>21</v>
      </c>
      <c r="F84" s="5094" cm="1">
        <f t="array" aca="1" ref="F84" ca="1">INDIRECT("'※ 소상공인 세부데이터'!"&amp;F$1&amp;$Z84, TRUE)</f>
        <v>22</v>
      </c>
      <c r="G84" s="5095" cm="1">
        <f t="array" aca="1" ref="G84" ca="1">INDIRECT("'※ 소상공인 세부데이터'!"&amp;G$1&amp;$Z84, TRUE)</f>
        <v>23</v>
      </c>
      <c r="H84" s="5095" cm="1">
        <f t="array" aca="1" ref="H84" ca="1">INDIRECT("'※ 소상공인 세부데이터'!"&amp;H$1&amp;$Z84, TRUE)</f>
        <v>23</v>
      </c>
      <c r="I84" s="5095" cm="1">
        <f t="array" aca="1" ref="I84" ca="1">INDIRECT("'※ 소상공인 세부데이터'!"&amp;I$1&amp;$Z84, TRUE)</f>
        <v>20</v>
      </c>
      <c r="J84" s="5095" cm="1">
        <f t="array" aca="1" ref="J84" ca="1">INDIRECT("'※ 소상공인 세부데이터'!"&amp;J$1&amp;$Z84, TRUE)</f>
        <v>20</v>
      </c>
      <c r="K84" s="5095" cm="1">
        <f t="array" aca="1" ref="K84" ca="1">INDIRECT("'※ 소상공인 세부데이터'!"&amp;K$1&amp;$Z84, TRUE)</f>
        <v>20</v>
      </c>
      <c r="L84" s="5095" cm="1">
        <f t="array" aca="1" ref="L84" ca="1">INDIRECT("'※ 소상공인 세부데이터'!"&amp;L$1&amp;$Z84, TRUE)</f>
        <v>19</v>
      </c>
      <c r="M84" s="5095" cm="1">
        <f t="array" aca="1" ref="M84" ca="1">INDIRECT("'※ 소상공인 세부데이터'!"&amp;M$1&amp;$Z84, TRUE)</f>
        <v>19</v>
      </c>
      <c r="N84" s="5095" cm="1">
        <f t="array" aca="1" ref="N84" ca="1">INDIRECT("'※ 소상공인 세부데이터'!"&amp;N$1&amp;$Z84, TRUE)</f>
        <v>17</v>
      </c>
      <c r="O84" s="5095" cm="1">
        <f t="array" aca="1" ref="O84" ca="1">INDIRECT("'※ 소상공인 세부데이터'!"&amp;O$1&amp;$Z84, TRUE)</f>
        <v>16</v>
      </c>
      <c r="P84" s="5095" cm="1">
        <f t="array" aca="1" ref="P84" ca="1">INDIRECT("'※ 소상공인 세부데이터'!"&amp;P$1&amp;$Z84, TRUE)</f>
        <v>16</v>
      </c>
      <c r="Q84" s="5095" cm="1">
        <f t="array" aca="1" ref="Q84" ca="1">INDIRECT("'※ 소상공인 세부데이터'!"&amp;Q$1&amp;$Z84, TRUE)</f>
        <v>11</v>
      </c>
      <c r="R84" s="5108" cm="1">
        <f t="array" aca="1" ref="R84" ca="1">INDIRECT("'※ 소상공인 세부데이터'!"&amp;R$1&amp;$Z84, TRUE)</f>
        <v>-5</v>
      </c>
      <c r="S84" s="5109" cm="1">
        <f t="array" aca="1" ref="S84" ca="1">INDIRECT("'※ 소상공인 세부데이터'!"&amp;S$1&amp;$Z84, TRUE)</f>
        <v>-10</v>
      </c>
      <c r="T84" s="5110" cm="1">
        <f t="array" aca="1" ref="T84" ca="1">INDIRECT("'※ 소상공인 세부데이터'!"&amp;T$1&amp;$Z84, TRUE)</f>
        <v>11</v>
      </c>
      <c r="U84" s="5045"/>
      <c r="V84" s="5046"/>
      <c r="W84" s="5111" cm="1">
        <f t="array" aca="1" ref="W84" ca="1">INDIRECT("'※ 소상공인 세부데이터'!"&amp;W$1&amp;$Z84, TRUE)</f>
        <v>-11</v>
      </c>
      <c r="X84" s="5108" cm="1">
        <f t="array" aca="1" ref="X84" ca="1">INDIRECT("'※ 소상공인 세부데이터'!"&amp;X$1&amp;$Z84, TRUE)</f>
        <v>18.833333333333332</v>
      </c>
      <c r="Y84" s="5112" cm="1">
        <f t="array" aca="1" ref="Y84" ca="1">INDIRECT("'※ 소상공인 세부데이터'!"&amp;Y$1&amp;$Z84, TRUE)</f>
        <v>-0.91666666666666785</v>
      </c>
      <c r="Z84" s="3693">
        <f>ROW('※ 소상공인 세부데이터'!J43)</f>
        <v>43</v>
      </c>
      <c r="AA84" s="3053"/>
      <c r="AB84" s="5005"/>
      <c r="AC84" s="5005"/>
      <c r="AD84" s="5005"/>
      <c r="AE84" s="5005"/>
      <c r="AF84" s="5005"/>
      <c r="AG84" s="5005"/>
      <c r="AH84" s="5005"/>
      <c r="AI84" s="5005"/>
      <c r="AJ84" s="5005"/>
      <c r="AK84" s="5005"/>
      <c r="AL84" s="5005"/>
      <c r="AM84" s="5005"/>
    </row>
    <row r="85" spans="1:39" ht="11.4" customHeight="1" x14ac:dyDescent="0.55000000000000004">
      <c r="A85" s="7271"/>
      <c r="B85" s="2639" t="s">
        <v>170</v>
      </c>
      <c r="C85" s="5077" t="s">
        <v>171</v>
      </c>
      <c r="D85" s="5078" cm="1">
        <f t="array" aca="1" ref="D85" ca="1">INDIRECT("'※ 소상공인 세부데이터'!"&amp;D$1&amp;$Z85, TRUE)</f>
        <v>1</v>
      </c>
      <c r="E85" s="5079" cm="1">
        <f t="array" aca="1" ref="E85" ca="1">INDIRECT("'※ 소상공인 세부데이터'!"&amp;E$1&amp;$Z85, TRUE)</f>
        <v>0</v>
      </c>
      <c r="F85" s="5080" cm="1">
        <f t="array" aca="1" ref="F85" ca="1">INDIRECT("'※ 소상공인 세부데이터'!"&amp;F$1&amp;$Z85, TRUE)</f>
        <v>0</v>
      </c>
      <c r="G85" s="3647" cm="1">
        <f t="array" aca="1" ref="G85" ca="1">INDIRECT("'※ 소상공인 세부데이터'!"&amp;G$1&amp;$Z85, TRUE)</f>
        <v>0</v>
      </c>
      <c r="H85" s="3647" cm="1">
        <f t="array" aca="1" ref="H85" ca="1">INDIRECT("'※ 소상공인 세부데이터'!"&amp;H$1&amp;$Z85, TRUE)</f>
        <v>0</v>
      </c>
      <c r="I85" s="3647" cm="1">
        <f t="array" aca="1" ref="I85" ca="1">INDIRECT("'※ 소상공인 세부데이터'!"&amp;I$1&amp;$Z85, TRUE)</f>
        <v>3</v>
      </c>
      <c r="J85" s="3647" cm="1">
        <f t="array" aca="1" ref="J85" ca="1">INDIRECT("'※ 소상공인 세부데이터'!"&amp;J$1&amp;$Z85, TRUE)</f>
        <v>3</v>
      </c>
      <c r="K85" s="3647" cm="1">
        <f t="array" aca="1" ref="K85" ca="1">INDIRECT("'※ 소상공인 세부데이터'!"&amp;K$1&amp;$Z85, TRUE)</f>
        <v>3</v>
      </c>
      <c r="L85" s="3647" cm="1">
        <f t="array" aca="1" ref="L85" ca="1">INDIRECT("'※ 소상공인 세부데이터'!"&amp;L$1&amp;$Z85, TRUE)</f>
        <v>5</v>
      </c>
      <c r="M85" s="3647" cm="1">
        <f t="array" aca="1" ref="M85" ca="1">INDIRECT("'※ 소상공인 세부데이터'!"&amp;M$1&amp;$Z85, TRUE)</f>
        <v>5</v>
      </c>
      <c r="N85" s="3647" cm="1">
        <f t="array" aca="1" ref="N85" ca="1">INDIRECT("'※ 소상공인 세부데이터'!"&amp;N$1&amp;$Z85, TRUE)</f>
        <v>5</v>
      </c>
      <c r="O85" s="3647" cm="1">
        <f t="array" aca="1" ref="O85" ca="1">INDIRECT("'※ 소상공인 세부데이터'!"&amp;O$1&amp;$Z85, TRUE)</f>
        <v>3</v>
      </c>
      <c r="P85" s="3647" cm="1">
        <f t="array" aca="1" ref="P85" ca="1">INDIRECT("'※ 소상공인 세부데이터'!"&amp;P$1&amp;$Z85, TRUE)</f>
        <v>3</v>
      </c>
      <c r="Q85" s="3647" cm="1">
        <f t="array" aca="1" ref="Q85" ca="1">INDIRECT("'※ 소상공인 세부데이터'!"&amp;Q$1&amp;$Z85, TRUE)</f>
        <v>3</v>
      </c>
      <c r="R85" s="5081" cm="1">
        <f t="array" aca="1" ref="R85" ca="1">INDIRECT("'※ 소상공인 세부데이터'!"&amp;R$1&amp;$Z85, TRUE)</f>
        <v>0</v>
      </c>
      <c r="S85" s="5082" cm="1">
        <f t="array" aca="1" ref="S85" ca="1">INDIRECT("'※ 소상공인 세부데이터'!"&amp;S$1&amp;$Z85, TRUE)</f>
        <v>-1</v>
      </c>
      <c r="T85" s="5083" cm="1">
        <f t="array" aca="1" ref="T85" ca="1">INDIRECT("'※ 소상공인 세부데이터'!"&amp;T$1&amp;$Z85, TRUE)</f>
        <v>0</v>
      </c>
      <c r="U85" s="5045"/>
      <c r="V85" s="5046"/>
      <c r="W85" s="5084" cm="1">
        <f t="array" aca="1" ref="W85" ca="1">INDIRECT("'※ 소상공인 세부데이터'!"&amp;W$1&amp;$Z85, TRUE)</f>
        <v>9</v>
      </c>
      <c r="X85" s="5081" cm="1">
        <f t="array" aca="1" ref="X85" ca="1">INDIRECT("'※ 소상공인 세부데이터'!"&amp;X$1&amp;$Z85, TRUE)</f>
        <v>2.75</v>
      </c>
      <c r="Y85" s="5085" cm="1">
        <f t="array" aca="1" ref="Y85" ca="1">INDIRECT("'※ 소상공인 세부데이터'!"&amp;Y$1&amp;$Z85, TRUE)</f>
        <v>0.75</v>
      </c>
      <c r="Z85" s="3693">
        <f>ROW('※ 소상공인 세부데이터'!J44)</f>
        <v>44</v>
      </c>
      <c r="AA85" s="3053"/>
      <c r="AB85" s="3015"/>
      <c r="AC85" s="3015"/>
      <c r="AD85" s="3015"/>
      <c r="AE85" s="3015"/>
      <c r="AF85" s="3015"/>
      <c r="AG85" s="3015"/>
      <c r="AH85" s="3015"/>
      <c r="AI85" s="3015"/>
      <c r="AJ85" s="3015"/>
      <c r="AK85" s="3015"/>
      <c r="AL85" s="3015"/>
      <c r="AM85" s="3015"/>
    </row>
    <row r="86" spans="1:39" ht="11.4" customHeight="1" x14ac:dyDescent="0.55000000000000004">
      <c r="A86" s="7271"/>
      <c r="B86" s="2639"/>
      <c r="C86" s="5077" t="s">
        <v>172</v>
      </c>
      <c r="D86" s="5078" cm="1">
        <f t="array" aca="1" ref="D86" ca="1">INDIRECT("'※ 소상공인 세부데이터'!"&amp;D$1&amp;$Z86, TRUE)</f>
        <v>6</v>
      </c>
      <c r="E86" s="5079" cm="1">
        <f t="array" aca="1" ref="E86" ca="1">INDIRECT("'※ 소상공인 세부데이터'!"&amp;E$1&amp;$Z86, TRUE)</f>
        <v>2</v>
      </c>
      <c r="F86" s="5080" cm="1">
        <f t="array" aca="1" ref="F86" ca="1">INDIRECT("'※ 소상공인 세부데이터'!"&amp;F$1&amp;$Z86, TRUE)</f>
        <v>3</v>
      </c>
      <c r="G86" s="3647" cm="1">
        <f t="array" aca="1" ref="G86" ca="1">INDIRECT("'※ 소상공인 세부데이터'!"&amp;G$1&amp;$Z86, TRUE)</f>
        <v>3</v>
      </c>
      <c r="H86" s="3647" cm="1">
        <f t="array" aca="1" ref="H86" ca="1">INDIRECT("'※ 소상공인 세부데이터'!"&amp;H$1&amp;$Z86, TRUE)</f>
        <v>3</v>
      </c>
      <c r="I86" s="3647" cm="1">
        <f t="array" aca="1" ref="I86" ca="1">INDIRECT("'※ 소상공인 세부데이터'!"&amp;I$1&amp;$Z86, TRUE)</f>
        <v>2</v>
      </c>
      <c r="J86" s="3647" cm="1">
        <f t="array" aca="1" ref="J86" ca="1">INDIRECT("'※ 소상공인 세부데이터'!"&amp;J$1&amp;$Z86, TRUE)</f>
        <v>2</v>
      </c>
      <c r="K86" s="3647" cm="1">
        <f t="array" aca="1" ref="K86" ca="1">INDIRECT("'※ 소상공인 세부데이터'!"&amp;K$1&amp;$Z86, TRUE)</f>
        <v>2</v>
      </c>
      <c r="L86" s="3647" cm="1">
        <f t="array" aca="1" ref="L86" ca="1">INDIRECT("'※ 소상공인 세부데이터'!"&amp;L$1&amp;$Z86, TRUE)</f>
        <v>4</v>
      </c>
      <c r="M86" s="3647" cm="1">
        <f t="array" aca="1" ref="M86" ca="1">INDIRECT("'※ 소상공인 세부데이터'!"&amp;M$1&amp;$Z86, TRUE)</f>
        <v>4</v>
      </c>
      <c r="N86" s="3647" cm="1">
        <f t="array" aca="1" ref="N86" ca="1">INDIRECT("'※ 소상공인 세부데이터'!"&amp;N$1&amp;$Z86, TRUE)</f>
        <v>4</v>
      </c>
      <c r="O86" s="3647" cm="1">
        <f t="array" aca="1" ref="O86" ca="1">INDIRECT("'※ 소상공인 세부데이터'!"&amp;O$1&amp;$Z86, TRUE)</f>
        <v>3</v>
      </c>
      <c r="P86" s="3647" cm="1">
        <f t="array" aca="1" ref="P86" ca="1">INDIRECT("'※ 소상공인 세부데이터'!"&amp;P$1&amp;$Z86, TRUE)</f>
        <v>3</v>
      </c>
      <c r="Q86" s="3647" cm="1">
        <f t="array" aca="1" ref="Q86" ca="1">INDIRECT("'※ 소상공인 세부데이터'!"&amp;Q$1&amp;$Z86, TRUE)</f>
        <v>3</v>
      </c>
      <c r="R86" s="5081" cm="1">
        <f t="array" aca="1" ref="R86" ca="1">INDIRECT("'※ 소상공인 세부데이터'!"&amp;R$1&amp;$Z86, TRUE)</f>
        <v>0</v>
      </c>
      <c r="S86" s="5082" cm="1">
        <f t="array" aca="1" ref="S86" ca="1">INDIRECT("'※ 소상공인 세부데이터'!"&amp;S$1&amp;$Z86, TRUE)</f>
        <v>1</v>
      </c>
      <c r="T86" s="5083" cm="1">
        <f t="array" aca="1" ref="T86" ca="1">INDIRECT("'※ 소상공인 세부데이터'!"&amp;T$1&amp;$Z86, TRUE)</f>
        <v>3</v>
      </c>
      <c r="U86" s="5045"/>
      <c r="V86" s="5046"/>
      <c r="W86" s="5084" cm="1">
        <f t="array" aca="1" ref="W86" ca="1">INDIRECT("'※ 소상공인 세부데이터'!"&amp;W$1&amp;$Z86, TRUE)</f>
        <v>-16</v>
      </c>
      <c r="X86" s="5081" cm="1">
        <f t="array" aca="1" ref="X86" ca="1">INDIRECT("'※ 소상공인 세부데이터'!"&amp;X$1&amp;$Z86, TRUE)</f>
        <v>3</v>
      </c>
      <c r="Y86" s="5085" cm="1">
        <f t="array" aca="1" ref="Y86" ca="1">INDIRECT("'※ 소상공인 세부데이터'!"&amp;Y$1&amp;$Z86, TRUE)</f>
        <v>-1.333333333333333</v>
      </c>
      <c r="Z86" s="3693">
        <f>ROW('※ 소상공인 세부데이터'!J45)</f>
        <v>45</v>
      </c>
      <c r="AA86" s="3053"/>
      <c r="AB86" s="3015"/>
      <c r="AC86" s="3015"/>
      <c r="AD86" s="3015"/>
      <c r="AE86" s="3015"/>
      <c r="AF86" s="3015"/>
      <c r="AG86" s="3015"/>
      <c r="AH86" s="3015"/>
      <c r="AI86" s="3015"/>
      <c r="AJ86" s="3015"/>
      <c r="AK86" s="3015"/>
      <c r="AL86" s="3015"/>
      <c r="AM86" s="3015"/>
    </row>
    <row r="87" spans="1:39" ht="11.4" customHeight="1" x14ac:dyDescent="0.55000000000000004">
      <c r="A87" s="7271"/>
      <c r="B87" s="2639"/>
      <c r="C87" s="5077" t="s">
        <v>173</v>
      </c>
      <c r="D87" s="5078" cm="1">
        <f t="array" aca="1" ref="D87" ca="1">INDIRECT("'※ 소상공인 세부데이터'!"&amp;D$1&amp;$Z87, TRUE)</f>
        <v>0</v>
      </c>
      <c r="E87" s="5079" cm="1">
        <f t="array" aca="1" ref="E87" ca="1">INDIRECT("'※ 소상공인 세부데이터'!"&amp;E$1&amp;$Z87, TRUE)</f>
        <v>9</v>
      </c>
      <c r="F87" s="5080" cm="1">
        <f t="array" aca="1" ref="F87" ca="1">INDIRECT("'※ 소상공인 세부데이터'!"&amp;F$1&amp;$Z87, TRUE)</f>
        <v>8</v>
      </c>
      <c r="G87" s="3647" cm="1">
        <f t="array" aca="1" ref="G87" ca="1">INDIRECT("'※ 소상공인 세부데이터'!"&amp;G$1&amp;$Z87, TRUE)</f>
        <v>8</v>
      </c>
      <c r="H87" s="3647" cm="1">
        <f t="array" aca="1" ref="H87" ca="1">INDIRECT("'※ 소상공인 세부데이터'!"&amp;H$1&amp;$Z87, TRUE)</f>
        <v>8</v>
      </c>
      <c r="I87" s="3647" cm="1">
        <f t="array" aca="1" ref="I87" ca="1">INDIRECT("'※ 소상공인 세부데이터'!"&amp;I$1&amp;$Z87, TRUE)</f>
        <v>7</v>
      </c>
      <c r="J87" s="3647" cm="1">
        <f t="array" aca="1" ref="J87" ca="1">INDIRECT("'※ 소상공인 세부데이터'!"&amp;J$1&amp;$Z87, TRUE)</f>
        <v>7</v>
      </c>
      <c r="K87" s="3647" cm="1">
        <f t="array" aca="1" ref="K87" ca="1">INDIRECT("'※ 소상공인 세부데이터'!"&amp;K$1&amp;$Z87, TRUE)</f>
        <v>7</v>
      </c>
      <c r="L87" s="3647" cm="1">
        <f t="array" aca="1" ref="L87" ca="1">INDIRECT("'※ 소상공인 세부데이터'!"&amp;L$1&amp;$Z87, TRUE)</f>
        <v>3</v>
      </c>
      <c r="M87" s="3647" cm="1">
        <f t="array" aca="1" ref="M87" ca="1">INDIRECT("'※ 소상공인 세부데이터'!"&amp;M$1&amp;$Z87, TRUE)</f>
        <v>3</v>
      </c>
      <c r="N87" s="3647" cm="1">
        <f t="array" aca="1" ref="N87" ca="1">INDIRECT("'※ 소상공인 세부데이터'!"&amp;N$1&amp;$Z87, TRUE)</f>
        <v>2</v>
      </c>
      <c r="O87" s="3647" cm="1">
        <f t="array" aca="1" ref="O87" ca="1">INDIRECT("'※ 소상공인 세부데이터'!"&amp;O$1&amp;$Z87, TRUE)</f>
        <v>8</v>
      </c>
      <c r="P87" s="3647" cm="1">
        <f t="array" aca="1" ref="P87" ca="1">INDIRECT("'※ 소상공인 세부데이터'!"&amp;P$1&amp;$Z87, TRUE)</f>
        <v>8</v>
      </c>
      <c r="Q87" s="3647" cm="1">
        <f t="array" aca="1" ref="Q87" ca="1">INDIRECT("'※ 소상공인 세부데이터'!"&amp;Q$1&amp;$Z87, TRUE)</f>
        <v>4</v>
      </c>
      <c r="R87" s="5081" cm="1">
        <f t="array" aca="1" ref="R87" ca="1">INDIRECT("'※ 소상공인 세부데이터'!"&amp;R$1&amp;$Z87, TRUE)</f>
        <v>-4</v>
      </c>
      <c r="S87" s="5082" cm="1">
        <f t="array" aca="1" ref="S87" ca="1">INDIRECT("'※ 소상공인 세부데이터'!"&amp;S$1&amp;$Z87, TRUE)</f>
        <v>-5</v>
      </c>
      <c r="T87" s="5083" cm="1">
        <f t="array" aca="1" ref="T87" ca="1">INDIRECT("'※ 소상공인 세부데이터'!"&amp;T$1&amp;$Z87, TRUE)</f>
        <v>4</v>
      </c>
      <c r="U87" s="5045"/>
      <c r="V87" s="5046"/>
      <c r="W87" s="5084" cm="1">
        <f t="array" aca="1" ref="W87" ca="1">INDIRECT("'※ 소상공인 세부데이터'!"&amp;W$1&amp;$Z87, TRUE)</f>
        <v>-24</v>
      </c>
      <c r="X87" s="5081" cm="1">
        <f t="array" aca="1" ref="X87" ca="1">INDIRECT("'※ 소상공인 세부데이터'!"&amp;X$1&amp;$Z87, TRUE)</f>
        <v>6.083333333333333</v>
      </c>
      <c r="Y87" s="5085" cm="1">
        <f t="array" aca="1" ref="Y87" ca="1">INDIRECT("'※ 소상공인 세부데이터'!"&amp;Y$1&amp;$Z87, TRUE)</f>
        <v>-2.0000000000000009</v>
      </c>
      <c r="Z87" s="3693">
        <f>ROW('※ 소상공인 세부데이터'!J46)</f>
        <v>46</v>
      </c>
      <c r="AA87" s="3053"/>
      <c r="AB87" s="3015"/>
      <c r="AC87" s="3015"/>
      <c r="AD87" s="3015"/>
      <c r="AE87" s="3015"/>
      <c r="AF87" s="3015"/>
      <c r="AG87" s="3015"/>
      <c r="AH87" s="3015"/>
      <c r="AI87" s="3015"/>
      <c r="AJ87" s="3015"/>
      <c r="AK87" s="3015"/>
      <c r="AL87" s="3015"/>
      <c r="AM87" s="3015"/>
    </row>
    <row r="88" spans="1:39" ht="11.4" customHeight="1" x14ac:dyDescent="0.55000000000000004">
      <c r="A88" s="7271"/>
      <c r="B88" s="2639"/>
      <c r="C88" s="5077" t="s">
        <v>538</v>
      </c>
      <c r="D88" s="5078" cm="1">
        <f t="array" aca="1" ref="D88" ca="1">INDIRECT("'※ 소상공인 세부데이터'!"&amp;D$1&amp;$Z88, TRUE)</f>
        <v>9</v>
      </c>
      <c r="E88" s="5079" cm="1">
        <f t="array" aca="1" ref="E88" ca="1">INDIRECT("'※ 소상공인 세부데이터'!"&amp;E$1&amp;$Z88, TRUE)</f>
        <v>6</v>
      </c>
      <c r="F88" s="5080" cm="1">
        <f t="array" aca="1" ref="F88" ca="1">INDIRECT("'※ 소상공인 세부데이터'!"&amp;F$1&amp;$Z88, TRUE)</f>
        <v>11</v>
      </c>
      <c r="G88" s="3647" cm="1">
        <f t="array" aca="1" ref="G88" ca="1">INDIRECT("'※ 소상공인 세부데이터'!"&amp;G$1&amp;$Z88, TRUE)</f>
        <v>12</v>
      </c>
      <c r="H88" s="3647" cm="1">
        <f t="array" aca="1" ref="H88" ca="1">INDIRECT("'※ 소상공인 세부데이터'!"&amp;H$1&amp;$Z88, TRUE)</f>
        <v>12</v>
      </c>
      <c r="I88" s="3647" cm="1">
        <f t="array" aca="1" ref="I88" ca="1">INDIRECT("'※ 소상공인 세부데이터'!"&amp;I$1&amp;$Z88, TRUE)</f>
        <v>8</v>
      </c>
      <c r="J88" s="3647" cm="1">
        <f t="array" aca="1" ref="J88" ca="1">INDIRECT("'※ 소상공인 세부데이터'!"&amp;J$1&amp;$Z88, TRUE)</f>
        <v>8</v>
      </c>
      <c r="K88" s="3647" cm="1">
        <f t="array" aca="1" ref="K88" ca="1">INDIRECT("'※ 소상공인 세부데이터'!"&amp;K$1&amp;$Z88, TRUE)</f>
        <v>8</v>
      </c>
      <c r="L88" s="3647" cm="1">
        <f t="array" aca="1" ref="L88" ca="1">INDIRECT("'※ 소상공인 세부데이터'!"&amp;L$1&amp;$Z88, TRUE)</f>
        <v>7</v>
      </c>
      <c r="M88" s="3647" cm="1">
        <f t="array" aca="1" ref="M88" ca="1">INDIRECT("'※ 소상공인 세부데이터'!"&amp;M$1&amp;$Z88, TRUE)</f>
        <v>7</v>
      </c>
      <c r="N88" s="3647" cm="1">
        <f t="array" aca="1" ref="N88" ca="1">INDIRECT("'※ 소상공인 세부데이터'!"&amp;N$1&amp;$Z88, TRUE)</f>
        <v>6</v>
      </c>
      <c r="O88" s="3647" cm="1">
        <f t="array" aca="1" ref="O88" ca="1">INDIRECT("'※ 소상공인 세부데이터'!"&amp;O$1&amp;$Z88, TRUE)</f>
        <v>2</v>
      </c>
      <c r="P88" s="3647" cm="1">
        <f t="array" aca="1" ref="P88" ca="1">INDIRECT("'※ 소상공인 세부데이터'!"&amp;P$1&amp;$Z88, TRUE)</f>
        <v>2</v>
      </c>
      <c r="Q88" s="3647" cm="1">
        <f t="array" aca="1" ref="Q88" ca="1">INDIRECT("'※ 소상공인 세부데이터'!"&amp;Q$1&amp;$Z88, TRUE)</f>
        <v>1</v>
      </c>
      <c r="R88" s="5081" cm="1">
        <f t="array" aca="1" ref="R88" ca="1">INDIRECT("'※ 소상공인 세부데이터'!"&amp;R$1&amp;$Z88, TRUE)</f>
        <v>-1</v>
      </c>
      <c r="S88" s="5082" cm="1">
        <f t="array" aca="1" ref="S88" ca="1">INDIRECT("'※ 소상공인 세부데이터'!"&amp;S$1&amp;$Z88, TRUE)</f>
        <v>-5</v>
      </c>
      <c r="T88" s="5083" cm="1">
        <f t="array" aca="1" ref="T88" ca="1">INDIRECT("'※ 소상공인 세부데이터'!"&amp;T$1&amp;$Z88, TRUE)</f>
        <v>1</v>
      </c>
      <c r="U88" s="5045"/>
      <c r="V88" s="5046"/>
      <c r="W88" s="5084" cm="1">
        <f t="array" aca="1" ref="W88" ca="1">INDIRECT("'※ 소상공인 세부데이터'!"&amp;W$1&amp;$Z88, TRUE)</f>
        <v>20</v>
      </c>
      <c r="X88" s="5081" cm="1">
        <f t="array" aca="1" ref="X88" ca="1">INDIRECT("'※ 소상공인 세부데이터'!"&amp;X$1&amp;$Z88, TRUE)</f>
        <v>7</v>
      </c>
      <c r="Y88" s="5085" cm="1">
        <f t="array" aca="1" ref="Y88" ca="1">INDIRECT("'※ 소상공인 세부데이터'!"&amp;Y$1&amp;$Z88, TRUE)</f>
        <v>1.666666666666667</v>
      </c>
      <c r="Z88" s="3693">
        <f>ROW('※ 소상공인 세부데이터'!J47)</f>
        <v>47</v>
      </c>
      <c r="AA88" s="3053"/>
      <c r="AB88" s="3015"/>
      <c r="AC88" s="3015"/>
      <c r="AD88" s="3015"/>
      <c r="AE88" s="3015"/>
      <c r="AF88" s="3015"/>
      <c r="AG88" s="3015"/>
      <c r="AH88" s="3015"/>
      <c r="AI88" s="3015"/>
      <c r="AJ88" s="3015"/>
      <c r="AK88" s="3015"/>
      <c r="AL88" s="3015"/>
      <c r="AM88" s="3015"/>
    </row>
    <row r="89" spans="1:39" ht="11.4" customHeight="1" x14ac:dyDescent="0.55000000000000004">
      <c r="A89" s="7271"/>
      <c r="B89" s="2639"/>
      <c r="C89" s="5077" t="s">
        <v>539</v>
      </c>
      <c r="D89" s="5078" cm="1">
        <f t="array" aca="1" ref="D89" ca="1">INDIRECT("'※ 소상공인 세부데이터'!"&amp;D$1&amp;$Z89, TRUE)</f>
        <v>0</v>
      </c>
      <c r="E89" s="5079" cm="1">
        <f t="array" aca="1" ref="E89" ca="1">INDIRECT("'※ 소상공인 세부데이터'!"&amp;E$1&amp;$Z89, TRUE)</f>
        <v>0</v>
      </c>
      <c r="F89" s="5080" cm="1">
        <f t="array" aca="1" ref="F89" ca="1">INDIRECT("'※ 소상공인 세부데이터'!"&amp;F$1&amp;$Z89, TRUE)</f>
        <v>0</v>
      </c>
      <c r="G89" s="3647" cm="1">
        <f t="array" aca="1" ref="G89" ca="1">INDIRECT("'※ 소상공인 세부데이터'!"&amp;G$1&amp;$Z89, TRUE)</f>
        <v>0</v>
      </c>
      <c r="H89" s="3647" cm="1">
        <f t="array" aca="1" ref="H89" ca="1">INDIRECT("'※ 소상공인 세부데이터'!"&amp;H$1&amp;$Z89, TRUE)</f>
        <v>0</v>
      </c>
      <c r="I89" s="3647" cm="1">
        <f t="array" aca="1" ref="I89" ca="1">INDIRECT("'※ 소상공인 세부데이터'!"&amp;I$1&amp;$Z89, TRUE)</f>
        <v>0</v>
      </c>
      <c r="J89" s="3647" cm="1">
        <f t="array" aca="1" ref="J89" ca="1">INDIRECT("'※ 소상공인 세부데이터'!"&amp;J$1&amp;$Z89, TRUE)</f>
        <v>0</v>
      </c>
      <c r="K89" s="3647" cm="1">
        <f t="array" aca="1" ref="K89" ca="1">INDIRECT("'※ 소상공인 세부데이터'!"&amp;K$1&amp;$Z89, TRUE)</f>
        <v>0</v>
      </c>
      <c r="L89" s="3647" cm="1">
        <f t="array" aca="1" ref="L89" ca="1">INDIRECT("'※ 소상공인 세부데이터'!"&amp;L$1&amp;$Z89, TRUE)</f>
        <v>0</v>
      </c>
      <c r="M89" s="3647" cm="1">
        <f t="array" aca="1" ref="M89" ca="1">INDIRECT("'※ 소상공인 세부데이터'!"&amp;M$1&amp;$Z89, TRUE)</f>
        <v>0</v>
      </c>
      <c r="N89" s="3647" cm="1">
        <f t="array" aca="1" ref="N89" ca="1">INDIRECT("'※ 소상공인 세부데이터'!"&amp;N$1&amp;$Z89, TRUE)</f>
        <v>0</v>
      </c>
      <c r="O89" s="3647" cm="1">
        <f t="array" aca="1" ref="O89" ca="1">INDIRECT("'※ 소상공인 세부데이터'!"&amp;O$1&amp;$Z89, TRUE)</f>
        <v>0</v>
      </c>
      <c r="P89" s="3647" cm="1">
        <f t="array" aca="1" ref="P89" ca="1">INDIRECT("'※ 소상공인 세부데이터'!"&amp;P$1&amp;$Z89, TRUE)</f>
        <v>0</v>
      </c>
      <c r="Q89" s="3647" cm="1">
        <f t="array" aca="1" ref="Q89" ca="1">INDIRECT("'※ 소상공인 세부데이터'!"&amp;Q$1&amp;$Z89, TRUE)</f>
        <v>0</v>
      </c>
      <c r="R89" s="5081" cm="1">
        <f t="array" aca="1" ref="R89" ca="1">INDIRECT("'※ 소상공인 세부데이터'!"&amp;R$1&amp;$Z89, TRUE)</f>
        <v>0</v>
      </c>
      <c r="S89" s="5082" cm="1">
        <f t="array" aca="1" ref="S89" ca="1">INDIRECT("'※ 소상공인 세부데이터'!"&amp;S$1&amp;$Z89, TRUE)</f>
        <v>0</v>
      </c>
      <c r="T89" s="5083" cm="1">
        <f t="array" aca="1" ref="T89" ca="1">INDIRECT("'※ 소상공인 세부데이터'!"&amp;T$1&amp;$Z89, TRUE)</f>
        <v>0</v>
      </c>
      <c r="U89" s="5045"/>
      <c r="V89" s="5046"/>
      <c r="W89" s="5084" cm="1">
        <f t="array" aca="1" ref="W89" ca="1">INDIRECT("'※ 소상공인 세부데이터'!"&amp;W$1&amp;$Z89, TRUE)</f>
        <v>0</v>
      </c>
      <c r="X89" s="5081" cm="1">
        <f t="array" aca="1" ref="X89" ca="1">INDIRECT("'※ 소상공인 세부데이터'!"&amp;X$1&amp;$Z89, TRUE)</f>
        <v>0</v>
      </c>
      <c r="Y89" s="5085" cm="1">
        <f t="array" aca="1" ref="Y89" ca="1">INDIRECT("'※ 소상공인 세부데이터'!"&amp;Y$1&amp;$Z89, TRUE)</f>
        <v>0</v>
      </c>
      <c r="Z89" s="3693">
        <f>ROW('※ 소상공인 세부데이터'!J48)</f>
        <v>48</v>
      </c>
      <c r="AA89" s="3053"/>
      <c r="AB89" s="3015"/>
      <c r="AC89" s="3015"/>
      <c r="AD89" s="3015"/>
      <c r="AE89" s="3015"/>
      <c r="AF89" s="3015"/>
      <c r="AG89" s="3015"/>
      <c r="AH89" s="3015"/>
      <c r="AI89" s="3015"/>
      <c r="AJ89" s="3015"/>
      <c r="AK89" s="3015"/>
      <c r="AL89" s="3015"/>
      <c r="AM89" s="3015"/>
    </row>
    <row r="90" spans="1:39" ht="11.4" customHeight="1" x14ac:dyDescent="0.55000000000000004">
      <c r="A90" s="7271"/>
      <c r="B90" s="3780" t="s">
        <v>174</v>
      </c>
      <c r="C90" s="5086" t="s">
        <v>171</v>
      </c>
      <c r="D90" s="5038" cm="1">
        <f t="array" aca="1" ref="D90" ca="1">INDIRECT("'※ 소상공인 세부데이터'!"&amp;D$1&amp;$Z90, TRUE)</f>
        <v>5.7</v>
      </c>
      <c r="E90" s="5039" cm="1">
        <f t="array" aca="1" ref="E90" ca="1">INDIRECT("'※ 소상공인 세부데이터'!"&amp;E$1&amp;$Z90, TRUE)</f>
        <v>0</v>
      </c>
      <c r="F90" s="5049" cm="1">
        <f t="array" aca="1" ref="F90" ca="1">INDIRECT("'※ 소상공인 세부데이터'!"&amp;F$1&amp;$Z90, TRUE)</f>
        <v>0</v>
      </c>
      <c r="G90" s="3659" cm="1">
        <f t="array" aca="1" ref="G90" ca="1">INDIRECT("'※ 소상공인 세부데이터'!"&amp;G$1&amp;$Z90, TRUE)</f>
        <v>0</v>
      </c>
      <c r="H90" s="3659" cm="1">
        <f t="array" aca="1" ref="H90" ca="1">INDIRECT("'※ 소상공인 세부데이터'!"&amp;H$1&amp;$Z90, TRUE)</f>
        <v>0</v>
      </c>
      <c r="I90" s="3659" cm="1">
        <f t="array" aca="1" ref="I90" ca="1">INDIRECT("'※ 소상공인 세부데이터'!"&amp;I$1&amp;$Z90, TRUE)</f>
        <v>34.93333333333333</v>
      </c>
      <c r="J90" s="3659" cm="1">
        <f t="array" aca="1" ref="J90" ca="1">INDIRECT("'※ 소상공인 세부데이터'!"&amp;J$1&amp;$Z90, TRUE)</f>
        <v>42</v>
      </c>
      <c r="K90" s="3659" cm="1">
        <f t="array" aca="1" ref="K90" ca="1">INDIRECT("'※ 소상공인 세부데이터'!"&amp;K$1&amp;$Z90, TRUE)</f>
        <v>48.2</v>
      </c>
      <c r="L90" s="3659" cm="1">
        <f t="array" aca="1" ref="L90" ca="1">INDIRECT("'※ 소상공인 세부데이터'!"&amp;L$1&amp;$Z90, TRUE)</f>
        <v>53</v>
      </c>
      <c r="M90" s="3659" cm="1">
        <f t="array" aca="1" ref="M90" ca="1">INDIRECT("'※ 소상공인 세부데이터'!"&amp;M$1&amp;$Z90, TRUE)</f>
        <v>44</v>
      </c>
      <c r="N90" s="3659" cm="1">
        <f t="array" aca="1" ref="N90" ca="1">INDIRECT("'※ 소상공인 세부데이터'!"&amp;N$1&amp;$Z90, TRUE)</f>
        <v>43.3</v>
      </c>
      <c r="O90" s="3659" cm="1">
        <f t="array" aca="1" ref="O90" ca="1">INDIRECT("'※ 소상공인 세부데이터'!"&amp;O$1&amp;$Z90, TRUE)</f>
        <v>31.9</v>
      </c>
      <c r="P90" s="3659" cm="1">
        <f t="array" aca="1" ref="P90" ca="1">INDIRECT("'※ 소상공인 세부데이터'!"&amp;P$1&amp;$Z90, TRUE)</f>
        <v>61.9</v>
      </c>
      <c r="Q90" s="3659" cm="1">
        <f t="array" aca="1" ref="Q90" ca="1">INDIRECT("'※ 소상공인 세부데이터'!"&amp;Q$1&amp;$Z90, TRUE)</f>
        <v>59.6</v>
      </c>
      <c r="R90" s="5042" cm="1">
        <f t="array" aca="1" ref="R90" ca="1">INDIRECT("'※ 소상공인 세부데이터'!"&amp;R$1&amp;$Z90, TRUE)</f>
        <v>-2.2999999999999972</v>
      </c>
      <c r="S90" s="5043" cm="1">
        <f t="array" aca="1" ref="S90" ca="1">INDIRECT("'※ 소상공인 세부데이터'!"&amp;S$1&amp;$Z90, TRUE)</f>
        <v>38.299999999999997</v>
      </c>
      <c r="T90" s="5044" cm="1">
        <f t="array" aca="1" ref="T90" ca="1">INDIRECT("'※ 소상공인 세부데이터'!"&amp;T$1&amp;$Z90, TRUE)</f>
        <v>0</v>
      </c>
      <c r="U90" s="5045"/>
      <c r="V90" s="5046"/>
      <c r="W90" s="5047" cm="1">
        <f t="array" aca="1" ref="W90" ca="1">INDIRECT("'※ 소상공인 세부데이터'!"&amp;W$1&amp;$Z90, TRUE)</f>
        <v>33.39999999999992</v>
      </c>
      <c r="X90" s="5042" cm="1">
        <f t="array" aca="1" ref="X90" ca="1">INDIRECT("'※ 소상공인 세부데이터'!"&amp;X$1&amp;$Z90, TRUE)</f>
        <v>34.902777777777779</v>
      </c>
      <c r="Y90" s="5087" cm="1">
        <f t="array" aca="1" ref="Y90" ca="1">INDIRECT("'※ 소상공인 세부데이터'!"&amp;Y$1&amp;$Z90, TRUE)</f>
        <v>2.7833333333333314</v>
      </c>
      <c r="Z90" s="3693">
        <f>ROW('※ 소상공인 세부데이터'!J49)</f>
        <v>49</v>
      </c>
      <c r="AA90" s="3053"/>
      <c r="AB90" s="3015"/>
      <c r="AC90" s="3015"/>
      <c r="AD90" s="3015"/>
      <c r="AE90" s="3015"/>
      <c r="AF90" s="3015"/>
      <c r="AG90" s="3015"/>
      <c r="AH90" s="3015"/>
      <c r="AI90" s="3015"/>
      <c r="AJ90" s="3015"/>
      <c r="AK90" s="3015"/>
      <c r="AL90" s="3015"/>
      <c r="AM90" s="3015"/>
    </row>
    <row r="91" spans="1:39" ht="11.4" customHeight="1" x14ac:dyDescent="0.55000000000000004">
      <c r="A91" s="7271"/>
      <c r="B91" s="3780"/>
      <c r="C91" s="5086" t="s">
        <v>172</v>
      </c>
      <c r="D91" s="5038" cm="1">
        <f t="array" aca="1" ref="D91" ca="1">INDIRECT("'※ 소상공인 세부데이터'!"&amp;D$1&amp;$Z91, TRUE)</f>
        <v>38.333333333333336</v>
      </c>
      <c r="E91" s="5039" cm="1">
        <f t="array" aca="1" ref="E91" ca="1">INDIRECT("'※ 소상공인 세부데이터'!"&amp;E$1&amp;$Z91, TRUE)</f>
        <v>16</v>
      </c>
      <c r="F91" s="5049" cm="1">
        <f t="array" aca="1" ref="F91" ca="1">INDIRECT("'※ 소상공인 세부데이터'!"&amp;F$1&amp;$Z91, TRUE)</f>
        <v>34.6</v>
      </c>
      <c r="G91" s="3659" cm="1">
        <f t="array" aca="1" ref="G91" ca="1">INDIRECT("'※ 소상공인 세부데이터'!"&amp;G$1&amp;$Z91, TRUE)</f>
        <v>33.6</v>
      </c>
      <c r="H91" s="3659" cm="1">
        <f t="array" aca="1" ref="H91" ca="1">INDIRECT("'※ 소상공인 세부데이터'!"&amp;H$1&amp;$Z91, TRUE)</f>
        <v>49.7</v>
      </c>
      <c r="I91" s="3659" cm="1">
        <f t="array" aca="1" ref="I91" ca="1">INDIRECT("'※ 소상공인 세부데이터'!"&amp;I$1&amp;$Z91, TRUE)</f>
        <v>53.05</v>
      </c>
      <c r="J91" s="3659" cm="1">
        <f t="array" aca="1" ref="J91" ca="1">INDIRECT("'※ 소상공인 세부데이터'!"&amp;J$1&amp;$Z91, TRUE)</f>
        <v>41.2</v>
      </c>
      <c r="K91" s="3659" cm="1">
        <f t="array" aca="1" ref="K91" ca="1">INDIRECT("'※ 소상공인 세부데이터'!"&amp;K$1&amp;$Z91, TRUE)</f>
        <v>49.2</v>
      </c>
      <c r="L91" s="3659" cm="1">
        <f t="array" aca="1" ref="L91" ca="1">INDIRECT("'※ 소상공인 세부데이터'!"&amp;L$1&amp;$Z91, TRUE)</f>
        <v>42.7</v>
      </c>
      <c r="M91" s="3659" cm="1">
        <f t="array" aca="1" ref="M91" ca="1">INDIRECT("'※ 소상공인 세부데이터'!"&amp;M$1&amp;$Z91, TRUE)</f>
        <v>29.7</v>
      </c>
      <c r="N91" s="3659" cm="1">
        <f t="array" aca="1" ref="N91" ca="1">INDIRECT("'※ 소상공인 세부데이터'!"&amp;N$1&amp;$Z91, TRUE)</f>
        <v>38.700000000000003</v>
      </c>
      <c r="O91" s="3659" cm="1">
        <f t="array" aca="1" ref="O91" ca="1">INDIRECT("'※ 소상공인 세부데이터'!"&amp;O$1&amp;$Z91, TRUE)</f>
        <v>30.8</v>
      </c>
      <c r="P91" s="3659" cm="1">
        <f t="array" aca="1" ref="P91" ca="1">INDIRECT("'※ 소상공인 세부데이터'!"&amp;P$1&amp;$Z91, TRUE)</f>
        <v>37.1</v>
      </c>
      <c r="Q91" s="3659" cm="1">
        <f t="array" aca="1" ref="Q91" ca="1">INDIRECT("'※ 소상공인 세부데이터'!"&amp;Q$1&amp;$Z91, TRUE)</f>
        <v>65.5</v>
      </c>
      <c r="R91" s="5042" cm="1">
        <f t="array" aca="1" ref="R91" ca="1">INDIRECT("'※ 소상공인 세부데이터'!"&amp;R$1&amp;$Z91, TRUE)</f>
        <v>28.4</v>
      </c>
      <c r="S91" s="5043" cm="1">
        <f t="array" aca="1" ref="S91" ca="1">INDIRECT("'※ 소상공인 세부데이터'!"&amp;S$1&amp;$Z91, TRUE)</f>
        <v>49.5</v>
      </c>
      <c r="T91" s="5044" cm="1">
        <f t="array" aca="1" ref="T91" ca="1">INDIRECT("'※ 소상공인 세부데이터'!"&amp;T$1&amp;$Z91, TRUE)</f>
        <v>65.5</v>
      </c>
      <c r="U91" s="5045"/>
      <c r="V91" s="5046"/>
      <c r="W91" s="5047" cm="1">
        <f t="array" aca="1" ref="W91" ca="1">INDIRECT("'※ 소상공인 세부데이터'!"&amp;W$1&amp;$Z91, TRUE)</f>
        <v>198.55333333333328</v>
      </c>
      <c r="X91" s="5042" cm="1">
        <f t="array" aca="1" ref="X91" ca="1">INDIRECT("'※ 소상공인 세부데이터'!"&amp;X$1&amp;$Z91, TRUE)</f>
        <v>42.154166666666661</v>
      </c>
      <c r="Y91" s="5087" cm="1">
        <f t="array" aca="1" ref="Y91" ca="1">INDIRECT("'※ 소상공인 세부데이터'!"&amp;Y$1&amp;$Z91, TRUE)</f>
        <v>16.546111111111106</v>
      </c>
      <c r="Z91" s="3693">
        <f>ROW('※ 소상공인 세부데이터'!J50)</f>
        <v>50</v>
      </c>
      <c r="AA91" s="3053"/>
      <c r="AB91" s="3015"/>
      <c r="AC91" s="3015"/>
      <c r="AD91" s="3015"/>
      <c r="AE91" s="3015"/>
      <c r="AF91" s="3015"/>
      <c r="AG91" s="3015"/>
      <c r="AH91" s="3015"/>
      <c r="AI91" s="3015"/>
      <c r="AJ91" s="3015"/>
      <c r="AK91" s="3015"/>
      <c r="AL91" s="3015"/>
      <c r="AM91" s="3015"/>
    </row>
    <row r="92" spans="1:39" ht="11.4" customHeight="1" x14ac:dyDescent="0.55000000000000004">
      <c r="A92" s="7271"/>
      <c r="B92" s="3780"/>
      <c r="C92" s="5086" t="s">
        <v>173</v>
      </c>
      <c r="D92" s="5038" cm="1">
        <f t="array" aca="1" ref="D92" ca="1">INDIRECT("'※ 소상공인 세부데이터'!"&amp;D$1&amp;$Z92, TRUE)</f>
        <v>0</v>
      </c>
      <c r="E92" s="5039" cm="1">
        <f t="array" aca="1" ref="E92" ca="1">INDIRECT("'※ 소상공인 세부데이터'!"&amp;E$1&amp;$Z92, TRUE)</f>
        <v>17.899999999999999</v>
      </c>
      <c r="F92" s="5049" cm="1">
        <f t="array" aca="1" ref="F92" ca="1">INDIRECT("'※ 소상공인 세부데이터'!"&amp;F$1&amp;$Z92, TRUE)</f>
        <v>38.4</v>
      </c>
      <c r="G92" s="3659" cm="1">
        <f t="array" aca="1" ref="G92" ca="1">INDIRECT("'※ 소상공인 세부데이터'!"&amp;G$1&amp;$Z92, TRUE)</f>
        <v>28.9</v>
      </c>
      <c r="H92" s="3659" cm="1">
        <f t="array" aca="1" ref="H92" ca="1">INDIRECT("'※ 소상공인 세부데이터'!"&amp;H$1&amp;$Z92, TRUE)</f>
        <v>34.700000000000003</v>
      </c>
      <c r="I92" s="3659" cm="1">
        <f t="array" aca="1" ref="I92" ca="1">INDIRECT("'※ 소상공인 세부데이터'!"&amp;I$1&amp;$Z92, TRUE)</f>
        <v>21.842857142857145</v>
      </c>
      <c r="J92" s="3659" cm="1">
        <f t="array" aca="1" ref="J92" ca="1">INDIRECT("'※ 소상공인 세부데이터'!"&amp;J$1&amp;$Z92, TRUE)</f>
        <v>27.6</v>
      </c>
      <c r="K92" s="3659" cm="1">
        <f t="array" aca="1" ref="K92" ca="1">INDIRECT("'※ 소상공인 세부데이터'!"&amp;K$1&amp;$Z92, TRUE)</f>
        <v>29.3</v>
      </c>
      <c r="L92" s="3659" cm="1">
        <f t="array" aca="1" ref="L92" ca="1">INDIRECT("'※ 소상공인 세부데이터'!"&amp;L$1&amp;$Z92, TRUE)</f>
        <v>29.7</v>
      </c>
      <c r="M92" s="3659" cm="1">
        <f t="array" aca="1" ref="M92" ca="1">INDIRECT("'※ 소상공인 세부데이터'!"&amp;M$1&amp;$Z92, TRUE)</f>
        <v>12.8</v>
      </c>
      <c r="N92" s="3659" cm="1">
        <f t="array" aca="1" ref="N92" ca="1">INDIRECT("'※ 소상공인 세부데이터'!"&amp;N$1&amp;$Z92, TRUE)</f>
        <v>31.4</v>
      </c>
      <c r="O92" s="3659" cm="1">
        <f t="array" aca="1" ref="O92" ca="1">INDIRECT("'※ 소상공인 세부데이터'!"&amp;O$1&amp;$Z92, TRUE)</f>
        <v>15.3</v>
      </c>
      <c r="P92" s="3659" cm="1">
        <f t="array" aca="1" ref="P92" ca="1">INDIRECT("'※ 소상공인 세부데이터'!"&amp;P$1&amp;$Z92, TRUE)</f>
        <v>17.8</v>
      </c>
      <c r="Q92" s="3659" cm="1">
        <f t="array" aca="1" ref="Q92" ca="1">INDIRECT("'※ 소상공인 세부데이터'!"&amp;Q$1&amp;$Z92, TRUE)</f>
        <v>17.2</v>
      </c>
      <c r="R92" s="5042" cm="1">
        <f t="array" aca="1" ref="R92" ca="1">INDIRECT("'※ 소상공인 세부데이터'!"&amp;R$1&amp;$Z92, TRUE)</f>
        <v>-0.60000000000000142</v>
      </c>
      <c r="S92" s="5043" cm="1">
        <f t="array" aca="1" ref="S92" ca="1">INDIRECT("'※ 소상공인 세부데이터'!"&amp;S$1&amp;$Z92, TRUE)</f>
        <v>-0.69999999999999929</v>
      </c>
      <c r="T92" s="5044" cm="1">
        <f t="array" aca="1" ref="T92" ca="1">INDIRECT("'※ 소상공인 세부데이터'!"&amp;T$1&amp;$Z92, TRUE)</f>
        <v>17.2</v>
      </c>
      <c r="U92" s="5045"/>
      <c r="V92" s="5046"/>
      <c r="W92" s="5047" cm="1">
        <f t="array" aca="1" ref="W92" ca="1">INDIRECT("'※ 소상공인 세부데이터'!"&amp;W$1&amp;$Z92, TRUE)</f>
        <v>2.6190476190492973E-2</v>
      </c>
      <c r="X92" s="5042" cm="1">
        <f t="array" aca="1" ref="X92" ca="1">INDIRECT("'※ 소상공인 세부데이터'!"&amp;X$1&amp;$Z92, TRUE)</f>
        <v>25.411904761904765</v>
      </c>
      <c r="Y92" s="5087" cm="1">
        <f t="array" aca="1" ref="Y92" ca="1">INDIRECT("'※ 소상공인 세부데이터'!"&amp;Y$1&amp;$Z92, TRUE)</f>
        <v>2.1825396825398968E-3</v>
      </c>
      <c r="Z92" s="3693">
        <f>ROW('※ 소상공인 세부데이터'!J51)</f>
        <v>51</v>
      </c>
      <c r="AA92" s="3053"/>
      <c r="AB92" s="3015"/>
      <c r="AC92" s="3015"/>
      <c r="AD92" s="3015"/>
      <c r="AE92" s="3015"/>
      <c r="AF92" s="3015"/>
      <c r="AG92" s="3015"/>
      <c r="AH92" s="3015"/>
      <c r="AI92" s="3015"/>
      <c r="AJ92" s="3015"/>
      <c r="AK92" s="3015"/>
      <c r="AL92" s="3015"/>
      <c r="AM92" s="3015"/>
    </row>
    <row r="93" spans="1:39" ht="11.4" customHeight="1" x14ac:dyDescent="0.55000000000000004">
      <c r="A93" s="7271"/>
      <c r="B93" s="3780"/>
      <c r="C93" s="5086" t="s">
        <v>538</v>
      </c>
      <c r="D93" s="5038" cm="1">
        <f t="array" aca="1" ref="D93" ca="1">INDIRECT("'※ 소상공인 세부데이터'!"&amp;D$1&amp;$Z93, TRUE)</f>
        <v>8.5555555555555554</v>
      </c>
      <c r="E93" s="5039" cm="1">
        <f t="array" aca="1" ref="E93" ca="1">INDIRECT("'※ 소상공인 세부데이터'!"&amp;E$1&amp;$Z93, TRUE)</f>
        <v>7.7</v>
      </c>
      <c r="F93" s="5049" cm="1">
        <f t="array" aca="1" ref="F93" ca="1">INDIRECT("'※ 소상공인 세부데이터'!"&amp;F$1&amp;$Z93, TRUE)</f>
        <v>16</v>
      </c>
      <c r="G93" s="3659" cm="1">
        <f t="array" aca="1" ref="G93" ca="1">INDIRECT("'※ 소상공인 세부데이터'!"&amp;G$1&amp;$Z93, TRUE)</f>
        <v>12.3</v>
      </c>
      <c r="H93" s="3659" cm="1">
        <f t="array" aca="1" ref="H93" ca="1">INDIRECT("'※ 소상공인 세부데이터'!"&amp;H$1&amp;$Z93, TRUE)</f>
        <v>17.2</v>
      </c>
      <c r="I93" s="3659" cm="1">
        <f t="array" aca="1" ref="I93" ca="1">INDIRECT("'※ 소상공인 세부데이터'!"&amp;I$1&amp;$Z93, TRUE)</f>
        <v>13.649999999999999</v>
      </c>
      <c r="J93" s="3659" cm="1">
        <f t="array" aca="1" ref="J93" ca="1">INDIRECT("'※ 소상공인 세부데이터'!"&amp;J$1&amp;$Z93, TRUE)</f>
        <v>19.3</v>
      </c>
      <c r="K93" s="3659" cm="1">
        <f t="array" aca="1" ref="K93" ca="1">INDIRECT("'※ 소상공인 세부데이터'!"&amp;K$1&amp;$Z93, TRUE)</f>
        <v>15.6</v>
      </c>
      <c r="L93" s="3659" cm="1">
        <f t="array" aca="1" ref="L93" ca="1">INDIRECT("'※ 소상공인 세부데이터'!"&amp;L$1&amp;$Z93, TRUE)</f>
        <v>30.3</v>
      </c>
      <c r="M93" s="3659" cm="1">
        <f t="array" aca="1" ref="M93" ca="1">INDIRECT("'※ 소상공인 세부데이터'!"&amp;M$1&amp;$Z93, TRUE)</f>
        <v>16.7</v>
      </c>
      <c r="N93" s="3659" cm="1">
        <f t="array" aca="1" ref="N93" ca="1">INDIRECT("'※ 소상공인 세부데이터'!"&amp;N$1&amp;$Z93, TRUE)</f>
        <v>30.8</v>
      </c>
      <c r="O93" s="3659" cm="1">
        <f t="array" aca="1" ref="O93" ca="1">INDIRECT("'※ 소상공인 세부데이터'!"&amp;O$1&amp;$Z93, TRUE)</f>
        <v>1.6</v>
      </c>
      <c r="P93" s="3659" cm="1">
        <f t="array" aca="1" ref="P93" ca="1">INDIRECT("'※ 소상공인 세부데이터'!"&amp;P$1&amp;$Z93, TRUE)</f>
        <v>7</v>
      </c>
      <c r="Q93" s="3659" cm="1">
        <f t="array" aca="1" ref="Q93" ca="1">INDIRECT("'※ 소상공인 세부데이터'!"&amp;Q$1&amp;$Z93, TRUE)</f>
        <v>4</v>
      </c>
      <c r="R93" s="5042" cm="1">
        <f t="array" aca="1" ref="R93" ca="1">INDIRECT("'※ 소상공인 세부데이터'!"&amp;R$1&amp;$Z93, TRUE)</f>
        <v>-3</v>
      </c>
      <c r="S93" s="5043" cm="1">
        <f t="array" aca="1" ref="S93" ca="1">INDIRECT("'※ 소상공인 세부데이터'!"&amp;S$1&amp;$Z93, TRUE)</f>
        <v>-3.7</v>
      </c>
      <c r="T93" s="5044" cm="1">
        <f t="array" aca="1" ref="T93" ca="1">INDIRECT("'※ 소상공인 세부데이터'!"&amp;T$1&amp;$Z93, TRUE)</f>
        <v>4</v>
      </c>
      <c r="U93" s="5045"/>
      <c r="V93" s="5046"/>
      <c r="W93" s="5047" cm="1">
        <f t="array" aca="1" ref="W93" ca="1">INDIRECT("'※ 소상공인 세부데이터'!"&amp;W$1&amp;$Z93, TRUE)</f>
        <v>15.776111111111106</v>
      </c>
      <c r="X93" s="5042" cm="1">
        <f t="array" aca="1" ref="X93" ca="1">INDIRECT("'※ 소상공인 세부데이터'!"&amp;X$1&amp;$Z93, TRUE)</f>
        <v>15.370833333333332</v>
      </c>
      <c r="Y93" s="5087" cm="1">
        <f t="array" aca="1" ref="Y93" ca="1">INDIRECT("'※ 소상공인 세부데이터'!"&amp;Y$1&amp;$Z93, TRUE)</f>
        <v>1.3146759259259255</v>
      </c>
      <c r="Z93" s="3693">
        <f>ROW('※ 소상공인 세부데이터'!J52)</f>
        <v>52</v>
      </c>
      <c r="AA93" s="3053"/>
      <c r="AB93" s="3015"/>
      <c r="AC93" s="3015"/>
      <c r="AD93" s="3015"/>
      <c r="AE93" s="3015"/>
      <c r="AF93" s="3015"/>
      <c r="AG93" s="3015"/>
      <c r="AH93" s="3015"/>
      <c r="AI93" s="3015"/>
      <c r="AJ93" s="3015"/>
      <c r="AK93" s="3015"/>
      <c r="AL93" s="3015"/>
      <c r="AM93" s="3015"/>
    </row>
    <row r="94" spans="1:39" ht="11.4" customHeight="1" x14ac:dyDescent="0.55000000000000004">
      <c r="A94" s="7272"/>
      <c r="B94" s="5088"/>
      <c r="C94" s="5089" t="s">
        <v>539</v>
      </c>
      <c r="D94" s="5038" cm="1">
        <f t="array" aca="1" ref="D94" ca="1">INDIRECT("'※ 소상공인 세부데이터'!"&amp;D$1&amp;$Z94, TRUE)</f>
        <v>0</v>
      </c>
      <c r="E94" s="5039" cm="1">
        <f t="array" aca="1" ref="E94" ca="1">INDIRECT("'※ 소상공인 세부데이터'!"&amp;E$1&amp;$Z94, TRUE)</f>
        <v>0</v>
      </c>
      <c r="F94" s="5049" cm="1">
        <f t="array" aca="1" ref="F94" ca="1">INDIRECT("'※ 소상공인 세부데이터'!"&amp;F$1&amp;$Z94, TRUE)</f>
        <v>0</v>
      </c>
      <c r="G94" s="3659" cm="1">
        <f t="array" aca="1" ref="G94" ca="1">INDIRECT("'※ 소상공인 세부데이터'!"&amp;G$1&amp;$Z94, TRUE)</f>
        <v>0</v>
      </c>
      <c r="H94" s="3659" cm="1">
        <f t="array" aca="1" ref="H94" ca="1">INDIRECT("'※ 소상공인 세부데이터'!"&amp;H$1&amp;$Z94, TRUE)</f>
        <v>0</v>
      </c>
      <c r="I94" s="3659" cm="1">
        <f t="array" aca="1" ref="I94" ca="1">INDIRECT("'※ 소상공인 세부데이터'!"&amp;I$1&amp;$Z94, TRUE)</f>
        <v>0</v>
      </c>
      <c r="J94" s="3659" cm="1">
        <f t="array" aca="1" ref="J94" ca="1">INDIRECT("'※ 소상공인 세부데이터'!"&amp;J$1&amp;$Z94, TRUE)</f>
        <v>0</v>
      </c>
      <c r="K94" s="3659" cm="1">
        <f t="array" aca="1" ref="K94" ca="1">INDIRECT("'※ 소상공인 세부데이터'!"&amp;K$1&amp;$Z94, TRUE)</f>
        <v>0</v>
      </c>
      <c r="L94" s="3659" cm="1">
        <f t="array" aca="1" ref="L94" ca="1">INDIRECT("'※ 소상공인 세부데이터'!"&amp;L$1&amp;$Z94, TRUE)</f>
        <v>0</v>
      </c>
      <c r="M94" s="3659" cm="1">
        <f t="array" aca="1" ref="M94" ca="1">INDIRECT("'※ 소상공인 세부데이터'!"&amp;M$1&amp;$Z94, TRUE)</f>
        <v>0</v>
      </c>
      <c r="N94" s="3659" cm="1">
        <f t="array" aca="1" ref="N94" ca="1">INDIRECT("'※ 소상공인 세부데이터'!"&amp;N$1&amp;$Z94, TRUE)</f>
        <v>0</v>
      </c>
      <c r="O94" s="3659" cm="1">
        <f t="array" aca="1" ref="O94" ca="1">INDIRECT("'※ 소상공인 세부데이터'!"&amp;O$1&amp;$Z94, TRUE)</f>
        <v>0</v>
      </c>
      <c r="P94" s="3659" cm="1">
        <f t="array" aca="1" ref="P94" ca="1">INDIRECT("'※ 소상공인 세부데이터'!"&amp;P$1&amp;$Z94, TRUE)</f>
        <v>0</v>
      </c>
      <c r="Q94" s="3659" cm="1">
        <f t="array" aca="1" ref="Q94" ca="1">INDIRECT("'※ 소상공인 세부데이터'!"&amp;Q$1&amp;$Z94, TRUE)</f>
        <v>0</v>
      </c>
      <c r="R94" s="5042" cm="1">
        <f t="array" aca="1" ref="R94" ca="1">INDIRECT("'※ 소상공인 세부데이터'!"&amp;R$1&amp;$Z94, TRUE)</f>
        <v>0</v>
      </c>
      <c r="S94" s="5043" cm="1">
        <f t="array" aca="1" ref="S94" ca="1">INDIRECT("'※ 소상공인 세부데이터'!"&amp;S$1&amp;$Z94, TRUE)</f>
        <v>0</v>
      </c>
      <c r="T94" s="5044" cm="1">
        <f t="array" aca="1" ref="T94" ca="1">INDIRECT("'※ 소상공인 세부데이터'!"&amp;T$1&amp;$Z94, TRUE)</f>
        <v>0</v>
      </c>
      <c r="U94" s="5045"/>
      <c r="V94" s="5046"/>
      <c r="W94" s="5047" cm="1">
        <f t="array" aca="1" ref="W94" ca="1">INDIRECT("'※ 소상공인 세부데이터'!"&amp;W$1&amp;$Z94, TRUE)</f>
        <v>0</v>
      </c>
      <c r="X94" s="5042" cm="1">
        <f t="array" aca="1" ref="X94" ca="1">INDIRECT("'※ 소상공인 세부데이터'!"&amp;X$1&amp;$Z94, TRUE)</f>
        <v>0</v>
      </c>
      <c r="Y94" s="5087" cm="1">
        <f t="array" aca="1" ref="Y94" ca="1">INDIRECT("'※ 소상공인 세부데이터'!"&amp;Y$1&amp;$Z94, TRUE)</f>
        <v>0</v>
      </c>
      <c r="Z94" s="3693">
        <f>ROW('※ 소상공인 세부데이터'!J53)</f>
        <v>53</v>
      </c>
      <c r="AA94" s="3053"/>
      <c r="AB94" s="3015"/>
      <c r="AC94" s="3015"/>
      <c r="AD94" s="3015"/>
      <c r="AE94" s="3015"/>
      <c r="AF94" s="3015"/>
      <c r="AG94" s="3015"/>
      <c r="AH94" s="3015"/>
      <c r="AI94" s="3015"/>
      <c r="AJ94" s="3015"/>
      <c r="AK94" s="3015"/>
      <c r="AL94" s="3015"/>
      <c r="AM94" s="3015"/>
    </row>
    <row r="95" spans="1:39" s="5076" customFormat="1" ht="11.4" customHeight="1" x14ac:dyDescent="0.55000000000000004">
      <c r="A95" s="7270" t="s">
        <v>176</v>
      </c>
      <c r="B95" s="5090" t="s">
        <v>163</v>
      </c>
      <c r="C95" s="5091"/>
      <c r="D95" s="5092" cm="1">
        <f t="array" aca="1" ref="D95" ca="1">INDIRECT("'※ 소상공인 세부데이터'!"&amp;D$1&amp;$Z95, TRUE)</f>
        <v>36</v>
      </c>
      <c r="E95" s="5093" cm="1">
        <f t="array" aca="1" ref="E95" ca="1">INDIRECT("'※ 소상공인 세부데이터'!"&amp;E$1&amp;$Z95, TRUE)</f>
        <v>29</v>
      </c>
      <c r="F95" s="5094" cm="1">
        <f t="array" aca="1" ref="F95" ca="1">INDIRECT("'※ 소상공인 세부데이터'!"&amp;F$1&amp;$Z95, TRUE)</f>
        <v>29</v>
      </c>
      <c r="G95" s="5095" cm="1">
        <f t="array" aca="1" ref="G95" ca="1">INDIRECT("'※ 소상공인 세부데이터'!"&amp;G$1&amp;$Z95, TRUE)</f>
        <v>29</v>
      </c>
      <c r="H95" s="5095" cm="1">
        <f t="array" aca="1" ref="H95" ca="1">INDIRECT("'※ 소상공인 세부데이터'!"&amp;H$1&amp;$Z95, TRUE)</f>
        <v>29</v>
      </c>
      <c r="I95" s="5095" cm="1">
        <f t="array" aca="1" ref="I95" ca="1">INDIRECT("'※ 소상공인 세부데이터'!"&amp;I$1&amp;$Z95, TRUE)</f>
        <v>30</v>
      </c>
      <c r="J95" s="5095" cm="1">
        <f t="array" aca="1" ref="J95" ca="1">INDIRECT("'※ 소상공인 세부데이터'!"&amp;J$1&amp;$Z95, TRUE)</f>
        <v>29</v>
      </c>
      <c r="K95" s="5095" cm="1">
        <f t="array" aca="1" ref="K95" ca="1">INDIRECT("'※ 소상공인 세부데이터'!"&amp;K$1&amp;$Z95, TRUE)</f>
        <v>29</v>
      </c>
      <c r="L95" s="5095" cm="1">
        <f t="array" aca="1" ref="L95" ca="1">INDIRECT("'※ 소상공인 세부데이터'!"&amp;L$1&amp;$Z95, TRUE)</f>
        <v>27</v>
      </c>
      <c r="M95" s="5095" cm="1">
        <f t="array" aca="1" ref="M95" ca="1">INDIRECT("'※ 소상공인 세부데이터'!"&amp;M$1&amp;$Z95, TRUE)</f>
        <v>26</v>
      </c>
      <c r="N95" s="5095" cm="1">
        <f t="array" aca="1" ref="N95" ca="1">INDIRECT("'※ 소상공인 세부데이터'!"&amp;N$1&amp;$Z95, TRUE)</f>
        <v>26</v>
      </c>
      <c r="O95" s="5095" cm="1">
        <f t="array" aca="1" ref="O95" ca="1">INDIRECT("'※ 소상공인 세부데이터'!"&amp;O$1&amp;$Z95, TRUE)</f>
        <v>25</v>
      </c>
      <c r="P95" s="5095" cm="1">
        <f t="array" aca="1" ref="P95" ca="1">INDIRECT("'※ 소상공인 세부데이터'!"&amp;P$1&amp;$Z95, TRUE)</f>
        <v>25</v>
      </c>
      <c r="Q95" s="5095" cm="1">
        <f t="array" aca="1" ref="Q95" ca="1">INDIRECT("'※ 소상공인 세부데이터'!"&amp;Q$1&amp;$Z95, TRUE)</f>
        <v>15</v>
      </c>
      <c r="R95" s="5096" cm="1">
        <f t="array" aca="1" ref="R95" ca="1">INDIRECT("'※ 소상공인 세부데이터'!"&amp;R$1&amp;$Z95, TRUE)</f>
        <v>-10</v>
      </c>
      <c r="S95" s="5097" cm="1">
        <f t="array" aca="1" ref="S95" ca="1">INDIRECT("'※ 소상공인 세부데이터'!"&amp;S$1&amp;$Z95, TRUE)</f>
        <v>-14</v>
      </c>
      <c r="T95" s="5098" cm="1">
        <f t="array" aca="1" ref="T95" ca="1">INDIRECT("'※ 소상공인 세부데이터'!"&amp;T$1&amp;$Z95, TRUE)</f>
        <v>15</v>
      </c>
      <c r="U95" s="5045"/>
      <c r="V95" s="5046"/>
      <c r="W95" s="5099" cm="1">
        <f t="array" aca="1" ref="W95" ca="1">INDIRECT("'※ 소상공인 세부데이터'!"&amp;W$1&amp;$Z95, TRUE)</f>
        <v>-4</v>
      </c>
      <c r="X95" s="5096" cm="1">
        <f t="array" aca="1" ref="X95" ca="1">INDIRECT("'※ 소상공인 세부데이터'!"&amp;X$1&amp;$Z95, TRUE)</f>
        <v>26.583333333333332</v>
      </c>
      <c r="Y95" s="5100" cm="1">
        <f t="array" aca="1" ref="Y95" ca="1">INDIRECT("'※ 소상공인 세부데이터'!"&amp;Y$1&amp;$Z95, TRUE)</f>
        <v>-0.3333333333333357</v>
      </c>
      <c r="Z95" s="3693">
        <f>ROW('※ 소상공인 세부데이터'!J54)</f>
        <v>54</v>
      </c>
      <c r="AA95" s="3053"/>
      <c r="AB95" s="5005"/>
      <c r="AC95" s="5005"/>
      <c r="AD95" s="5005"/>
      <c r="AE95" s="5005"/>
      <c r="AF95" s="5005"/>
      <c r="AG95" s="5005"/>
      <c r="AH95" s="5005"/>
      <c r="AI95" s="5005"/>
      <c r="AJ95" s="5005"/>
      <c r="AK95" s="5005"/>
      <c r="AL95" s="5005"/>
      <c r="AM95" s="5005"/>
    </row>
    <row r="96" spans="1:39" ht="11.4" customHeight="1" x14ac:dyDescent="0.55000000000000004">
      <c r="A96" s="7271"/>
      <c r="B96" s="2639" t="s">
        <v>170</v>
      </c>
      <c r="C96" s="5077" t="s">
        <v>171</v>
      </c>
      <c r="D96" s="5078" cm="1">
        <f t="array" aca="1" ref="D96" ca="1">INDIRECT("'※ 소상공인 세부데이터'!"&amp;D$1&amp;$Z96, TRUE)</f>
        <v>7</v>
      </c>
      <c r="E96" s="5079" cm="1">
        <f t="array" aca="1" ref="E96" ca="1">INDIRECT("'※ 소상공인 세부데이터'!"&amp;E$1&amp;$Z96, TRUE)</f>
        <v>7</v>
      </c>
      <c r="F96" s="5080" cm="1">
        <f t="array" aca="1" ref="F96" ca="1">INDIRECT("'※ 소상공인 세부데이터'!"&amp;F$1&amp;$Z96, TRUE)</f>
        <v>2</v>
      </c>
      <c r="G96" s="3647" cm="1">
        <f t="array" aca="1" ref="G96" ca="1">INDIRECT("'※ 소상공인 세부데이터'!"&amp;G$1&amp;$Z96, TRUE)</f>
        <v>2</v>
      </c>
      <c r="H96" s="3647" cm="1">
        <f t="array" aca="1" ref="H96" ca="1">INDIRECT("'※ 소상공인 세부데이터'!"&amp;H$1&amp;$Z96, TRUE)</f>
        <v>2</v>
      </c>
      <c r="I96" s="3647" cm="1">
        <f t="array" aca="1" ref="I96" ca="1">INDIRECT("'※ 소상공인 세부데이터'!"&amp;I$1&amp;$Z96, TRUE)</f>
        <v>2</v>
      </c>
      <c r="J96" s="3647" cm="1">
        <f t="array" aca="1" ref="J96" ca="1">INDIRECT("'※ 소상공인 세부데이터'!"&amp;J$1&amp;$Z96, TRUE)</f>
        <v>2</v>
      </c>
      <c r="K96" s="3647" cm="1">
        <f t="array" aca="1" ref="K96" ca="1">INDIRECT("'※ 소상공인 세부데이터'!"&amp;K$1&amp;$Z96, TRUE)</f>
        <v>2</v>
      </c>
      <c r="L96" s="3647" cm="1">
        <f t="array" aca="1" ref="L96" ca="1">INDIRECT("'※ 소상공인 세부데이터'!"&amp;L$1&amp;$Z96, TRUE)</f>
        <v>6</v>
      </c>
      <c r="M96" s="3647" cm="1">
        <f t="array" aca="1" ref="M96" ca="1">INDIRECT("'※ 소상공인 세부데이터'!"&amp;M$1&amp;$Z96, TRUE)</f>
        <v>6</v>
      </c>
      <c r="N96" s="3647" cm="1">
        <f t="array" aca="1" ref="N96" ca="1">INDIRECT("'※ 소상공인 세부데이터'!"&amp;N$1&amp;$Z96, TRUE)</f>
        <v>6</v>
      </c>
      <c r="O96" s="3647" cm="1">
        <f t="array" aca="1" ref="O96" ca="1">INDIRECT("'※ 소상공인 세부데이터'!"&amp;O$1&amp;$Z96, TRUE)</f>
        <v>6</v>
      </c>
      <c r="P96" s="3647" cm="1">
        <f t="array" aca="1" ref="P96" ca="1">INDIRECT("'※ 소상공인 세부데이터'!"&amp;P$1&amp;$Z96, TRUE)</f>
        <v>6</v>
      </c>
      <c r="Q96" s="3647" cm="1">
        <f t="array" aca="1" ref="Q96" ca="1">INDIRECT("'※ 소상공인 세부데이터'!"&amp;Q$1&amp;$Z96, TRUE)</f>
        <v>6</v>
      </c>
      <c r="R96" s="5081" cm="1">
        <f t="array" aca="1" ref="R96" ca="1">INDIRECT("'※ 소상공인 세부데이터'!"&amp;R$1&amp;$Z96, TRUE)</f>
        <v>0</v>
      </c>
      <c r="S96" s="5082" cm="1">
        <f t="array" aca="1" ref="S96" ca="1">INDIRECT("'※ 소상공인 세부데이터'!"&amp;S$1&amp;$Z96, TRUE)</f>
        <v>-1</v>
      </c>
      <c r="T96" s="5083" cm="1">
        <f t="array" aca="1" ref="T96" ca="1">INDIRECT("'※ 소상공인 세부데이터'!"&amp;T$1&amp;$Z96, TRUE)</f>
        <v>6</v>
      </c>
      <c r="U96" s="5045"/>
      <c r="V96" s="5046"/>
      <c r="W96" s="5084" cm="1">
        <f t="array" aca="1" ref="W96" ca="1">INDIRECT("'※ 소상공인 세부데이터'!"&amp;W$1&amp;$Z96, TRUE)</f>
        <v>-33</v>
      </c>
      <c r="X96" s="5081" cm="1">
        <f t="array" aca="1" ref="X96" ca="1">INDIRECT("'※ 소상공인 세부데이터'!"&amp;X$1&amp;$Z96, TRUE)</f>
        <v>4</v>
      </c>
      <c r="Y96" s="5085" cm="1">
        <f t="array" aca="1" ref="Y96" ca="1">INDIRECT("'※ 소상공인 세부데이터'!"&amp;Y$1&amp;$Z96, TRUE)</f>
        <v>-2.75</v>
      </c>
      <c r="Z96" s="3693">
        <f>ROW('※ 소상공인 세부데이터'!J55)</f>
        <v>55</v>
      </c>
      <c r="AA96" s="3053"/>
      <c r="AB96" s="3015"/>
      <c r="AC96" s="3015"/>
      <c r="AD96" s="3015"/>
      <c r="AE96" s="3015"/>
      <c r="AF96" s="3015"/>
      <c r="AG96" s="3015"/>
      <c r="AH96" s="3015"/>
      <c r="AI96" s="3015"/>
      <c r="AJ96" s="3015"/>
      <c r="AK96" s="3015"/>
      <c r="AL96" s="3015"/>
      <c r="AM96" s="3015"/>
    </row>
    <row r="97" spans="1:39" ht="11.4" customHeight="1" x14ac:dyDescent="0.55000000000000004">
      <c r="A97" s="7271"/>
      <c r="B97" s="2639"/>
      <c r="C97" s="5077" t="s">
        <v>172</v>
      </c>
      <c r="D97" s="5078" cm="1">
        <f t="array" aca="1" ref="D97" ca="1">INDIRECT("'※ 소상공인 세부데이터'!"&amp;D$1&amp;$Z97, TRUE)</f>
        <v>3</v>
      </c>
      <c r="E97" s="5079" cm="1">
        <f t="array" aca="1" ref="E97" ca="1">INDIRECT("'※ 소상공인 세부데이터'!"&amp;E$1&amp;$Z97, TRUE)</f>
        <v>2</v>
      </c>
      <c r="F97" s="5080" cm="1">
        <f t="array" aca="1" ref="F97" ca="1">INDIRECT("'※ 소상공인 세부데이터'!"&amp;F$1&amp;$Z97, TRUE)</f>
        <v>3</v>
      </c>
      <c r="G97" s="3647" cm="1">
        <f t="array" aca="1" ref="G97" ca="1">INDIRECT("'※ 소상공인 세부데이터'!"&amp;G$1&amp;$Z97, TRUE)</f>
        <v>3</v>
      </c>
      <c r="H97" s="3647" cm="1">
        <f t="array" aca="1" ref="H97" ca="1">INDIRECT("'※ 소상공인 세부데이터'!"&amp;H$1&amp;$Z97, TRUE)</f>
        <v>3</v>
      </c>
      <c r="I97" s="3647" cm="1">
        <f t="array" aca="1" ref="I97" ca="1">INDIRECT("'※ 소상공인 세부데이터'!"&amp;I$1&amp;$Z97, TRUE)</f>
        <v>3</v>
      </c>
      <c r="J97" s="3647" cm="1">
        <f t="array" aca="1" ref="J97" ca="1">INDIRECT("'※ 소상공인 세부데이터'!"&amp;J$1&amp;$Z97, TRUE)</f>
        <v>3</v>
      </c>
      <c r="K97" s="3647" cm="1">
        <f t="array" aca="1" ref="K97" ca="1">INDIRECT("'※ 소상공인 세부데이터'!"&amp;K$1&amp;$Z97, TRUE)</f>
        <v>3</v>
      </c>
      <c r="L97" s="3647" cm="1">
        <f t="array" aca="1" ref="L97" ca="1">INDIRECT("'※ 소상공인 세부데이터'!"&amp;L$1&amp;$Z97, TRUE)</f>
        <v>2</v>
      </c>
      <c r="M97" s="3647" cm="1">
        <f t="array" aca="1" ref="M97" ca="1">INDIRECT("'※ 소상공인 세부데이터'!"&amp;M$1&amp;$Z97, TRUE)</f>
        <v>2</v>
      </c>
      <c r="N97" s="3647" cm="1">
        <f t="array" aca="1" ref="N97" ca="1">INDIRECT("'※ 소상공인 세부데이터'!"&amp;N$1&amp;$Z97, TRUE)</f>
        <v>2</v>
      </c>
      <c r="O97" s="3647" cm="1">
        <f t="array" aca="1" ref="O97" ca="1">INDIRECT("'※ 소상공인 세부데이터'!"&amp;O$1&amp;$Z97, TRUE)</f>
        <v>6</v>
      </c>
      <c r="P97" s="3647" cm="1">
        <f t="array" aca="1" ref="P97" ca="1">INDIRECT("'※ 소상공인 세부데이터'!"&amp;P$1&amp;$Z97, TRUE)</f>
        <v>6</v>
      </c>
      <c r="Q97" s="3647" cm="1">
        <f t="array" aca="1" ref="Q97" ca="1">INDIRECT("'※ 소상공인 세부데이터'!"&amp;Q$1&amp;$Z97, TRUE)</f>
        <v>5</v>
      </c>
      <c r="R97" s="5081" cm="1">
        <f t="array" aca="1" ref="R97" ca="1">INDIRECT("'※ 소상공인 세부데이터'!"&amp;R$1&amp;$Z97, TRUE)</f>
        <v>-1</v>
      </c>
      <c r="S97" s="5082" cm="1">
        <f t="array" aca="1" ref="S97" ca="1">INDIRECT("'※ 소상공인 세부데이터'!"&amp;S$1&amp;$Z97, TRUE)</f>
        <v>3</v>
      </c>
      <c r="T97" s="5083" cm="1">
        <f t="array" aca="1" ref="T97" ca="1">INDIRECT("'※ 소상공인 세부데이터'!"&amp;T$1&amp;$Z97, TRUE)</f>
        <v>5</v>
      </c>
      <c r="U97" s="5045"/>
      <c r="V97" s="5046"/>
      <c r="W97" s="5084" cm="1">
        <f t="array" aca="1" ref="W97" ca="1">INDIRECT("'※ 소상공인 세부데이터'!"&amp;W$1&amp;$Z97, TRUE)</f>
        <v>3</v>
      </c>
      <c r="X97" s="5081" cm="1">
        <f t="array" aca="1" ref="X97" ca="1">INDIRECT("'※ 소상공인 세부데이터'!"&amp;X$1&amp;$Z97, TRUE)</f>
        <v>3.4166666666666665</v>
      </c>
      <c r="Y97" s="5085" cm="1">
        <f t="array" aca="1" ref="Y97" ca="1">INDIRECT("'※ 소상공인 세부데이터'!"&amp;Y$1&amp;$Z97, TRUE)</f>
        <v>0.25</v>
      </c>
      <c r="Z97" s="3693">
        <f>ROW('※ 소상공인 세부데이터'!J56)</f>
        <v>56</v>
      </c>
      <c r="AA97" s="3053"/>
      <c r="AB97" s="3015"/>
      <c r="AC97" s="3015"/>
      <c r="AD97" s="3015"/>
      <c r="AE97" s="3015"/>
      <c r="AF97" s="3015"/>
      <c r="AG97" s="3015"/>
      <c r="AH97" s="3015"/>
      <c r="AI97" s="3015"/>
      <c r="AJ97" s="3015"/>
      <c r="AK97" s="3015"/>
      <c r="AL97" s="3015"/>
      <c r="AM97" s="3015"/>
    </row>
    <row r="98" spans="1:39" ht="11.4" customHeight="1" x14ac:dyDescent="0.55000000000000004">
      <c r="A98" s="7271"/>
      <c r="B98" s="2639"/>
      <c r="C98" s="5077" t="s">
        <v>173</v>
      </c>
      <c r="D98" s="5078" cm="1">
        <f t="array" aca="1" ref="D98" ca="1">INDIRECT("'※ 소상공인 세부데이터'!"&amp;D$1&amp;$Z98, TRUE)</f>
        <v>10</v>
      </c>
      <c r="E98" s="5079" cm="1">
        <f t="array" aca="1" ref="E98" ca="1">INDIRECT("'※ 소상공인 세부데이터'!"&amp;E$1&amp;$Z98, TRUE)</f>
        <v>7</v>
      </c>
      <c r="F98" s="5080" cm="1">
        <f t="array" aca="1" ref="F98" ca="1">INDIRECT("'※ 소상공인 세부데이터'!"&amp;F$1&amp;$Z98, TRUE)</f>
        <v>9</v>
      </c>
      <c r="G98" s="3647" cm="1">
        <f t="array" aca="1" ref="G98" ca="1">INDIRECT("'※ 소상공인 세부데이터'!"&amp;G$1&amp;$Z98, TRUE)</f>
        <v>9</v>
      </c>
      <c r="H98" s="3647" cm="1">
        <f t="array" aca="1" ref="H98" ca="1">INDIRECT("'※ 소상공인 세부데이터'!"&amp;H$1&amp;$Z98, TRUE)</f>
        <v>7</v>
      </c>
      <c r="I98" s="3647" cm="1">
        <f t="array" aca="1" ref="I98" ca="1">INDIRECT("'※ 소상공인 세부데이터'!"&amp;I$1&amp;$Z98, TRUE)</f>
        <v>11</v>
      </c>
      <c r="J98" s="3647" cm="1">
        <f t="array" aca="1" ref="J98" ca="1">INDIRECT("'※ 소상공인 세부데이터'!"&amp;J$1&amp;$Z98, TRUE)</f>
        <v>11</v>
      </c>
      <c r="K98" s="3647" cm="1">
        <f t="array" aca="1" ref="K98" ca="1">INDIRECT("'※ 소상공인 세부데이터'!"&amp;K$1&amp;$Z98, TRUE)</f>
        <v>11</v>
      </c>
      <c r="L98" s="3647" cm="1">
        <f t="array" aca="1" ref="L98" ca="1">INDIRECT("'※ 소상공인 세부데이터'!"&amp;L$1&amp;$Z98, TRUE)</f>
        <v>13</v>
      </c>
      <c r="M98" s="3647" cm="1">
        <f t="array" aca="1" ref="M98" ca="1">INDIRECT("'※ 소상공인 세부데이터'!"&amp;M$1&amp;$Z98, TRUE)</f>
        <v>13</v>
      </c>
      <c r="N98" s="3647" cm="1">
        <f t="array" aca="1" ref="N98" ca="1">INDIRECT("'※ 소상공인 세부데이터'!"&amp;N$1&amp;$Z98, TRUE)</f>
        <v>13</v>
      </c>
      <c r="O98" s="3647" cm="1">
        <f t="array" aca="1" ref="O98" ca="1">INDIRECT("'※ 소상공인 세부데이터'!"&amp;O$1&amp;$Z98, TRUE)</f>
        <v>12</v>
      </c>
      <c r="P98" s="3647" cm="1">
        <f t="array" aca="1" ref="P98" ca="1">INDIRECT("'※ 소상공인 세부데이터'!"&amp;P$1&amp;$Z98, TRUE)</f>
        <v>12</v>
      </c>
      <c r="Q98" s="3647" cm="1">
        <f t="array" aca="1" ref="Q98" ca="1">INDIRECT("'※ 소상공인 세부데이터'!"&amp;Q$1&amp;$Z98, TRUE)</f>
        <v>3</v>
      </c>
      <c r="R98" s="5081" cm="1">
        <f t="array" aca="1" ref="R98" ca="1">INDIRECT("'※ 소상공인 세부데이터'!"&amp;R$1&amp;$Z98, TRUE)</f>
        <v>-9</v>
      </c>
      <c r="S98" s="5082" cm="1">
        <f t="array" aca="1" ref="S98" ca="1">INDIRECT("'※ 소상공인 세부데이터'!"&amp;S$1&amp;$Z98, TRUE)</f>
        <v>-4</v>
      </c>
      <c r="T98" s="5083" cm="1">
        <f t="array" aca="1" ref="T98" ca="1">INDIRECT("'※ 소상공인 세부데이터'!"&amp;T$1&amp;$Z98, TRUE)</f>
        <v>3</v>
      </c>
      <c r="U98" s="5045"/>
      <c r="V98" s="5046"/>
      <c r="W98" s="5084" cm="1">
        <f t="array" aca="1" ref="W98" ca="1">INDIRECT("'※ 소상공인 세부데이터'!"&amp;W$1&amp;$Z98, TRUE)</f>
        <v>54</v>
      </c>
      <c r="X98" s="5081" cm="1">
        <f t="array" aca="1" ref="X98" ca="1">INDIRECT("'※ 소상공인 세부데이터'!"&amp;X$1&amp;$Z98, TRUE)</f>
        <v>10.333333333333334</v>
      </c>
      <c r="Y98" s="5085" cm="1">
        <f t="array" aca="1" ref="Y98" ca="1">INDIRECT("'※ 소상공인 세부데이터'!"&amp;Y$1&amp;$Z98, TRUE)</f>
        <v>4.5000000000000009</v>
      </c>
      <c r="Z98" s="3693">
        <f>ROW('※ 소상공인 세부데이터'!J57)</f>
        <v>57</v>
      </c>
      <c r="AA98" s="3053"/>
      <c r="AB98" s="3015"/>
      <c r="AC98" s="3015"/>
      <c r="AD98" s="3015"/>
      <c r="AE98" s="3015"/>
      <c r="AF98" s="3015"/>
      <c r="AG98" s="3015"/>
      <c r="AH98" s="3015"/>
      <c r="AI98" s="3015"/>
      <c r="AJ98" s="3015"/>
      <c r="AK98" s="3015"/>
      <c r="AL98" s="3015"/>
      <c r="AM98" s="3015"/>
    </row>
    <row r="99" spans="1:39" ht="11.4" customHeight="1" x14ac:dyDescent="0.55000000000000004">
      <c r="A99" s="7271"/>
      <c r="B99" s="2639"/>
      <c r="C99" s="5077" t="s">
        <v>538</v>
      </c>
      <c r="D99" s="5078" cm="1">
        <f t="array" aca="1" ref="D99" ca="1">INDIRECT("'※ 소상공인 세부데이터'!"&amp;D$1&amp;$Z99, TRUE)</f>
        <v>8</v>
      </c>
      <c r="E99" s="5079" cm="1">
        <f t="array" aca="1" ref="E99" ca="1">INDIRECT("'※ 소상공인 세부데이터'!"&amp;E$1&amp;$Z99, TRUE)</f>
        <v>13</v>
      </c>
      <c r="F99" s="5080" cm="1">
        <f t="array" aca="1" ref="F99" ca="1">INDIRECT("'※ 소상공인 세부데이터'!"&amp;F$1&amp;$Z99, TRUE)</f>
        <v>15</v>
      </c>
      <c r="G99" s="3647" cm="1">
        <f t="array" aca="1" ref="G99" ca="1">INDIRECT("'※ 소상공인 세부데이터'!"&amp;G$1&amp;$Z99, TRUE)</f>
        <v>15</v>
      </c>
      <c r="H99" s="3647" cm="1">
        <f t="array" aca="1" ref="H99" ca="1">INDIRECT("'※ 소상공인 세부데이터'!"&amp;H$1&amp;$Z99, TRUE)</f>
        <v>17</v>
      </c>
      <c r="I99" s="3647" cm="1">
        <f t="array" aca="1" ref="I99" ca="1">INDIRECT("'※ 소상공인 세부데이터'!"&amp;I$1&amp;$Z99, TRUE)</f>
        <v>14</v>
      </c>
      <c r="J99" s="3647" cm="1">
        <f t="array" aca="1" ref="J99" ca="1">INDIRECT("'※ 소상공인 세부데이터'!"&amp;J$1&amp;$Z99, TRUE)</f>
        <v>13</v>
      </c>
      <c r="K99" s="3647" cm="1">
        <f t="array" aca="1" ref="K99" ca="1">INDIRECT("'※ 소상공인 세부데이터'!"&amp;K$1&amp;$Z99, TRUE)</f>
        <v>13</v>
      </c>
      <c r="L99" s="3647" cm="1">
        <f t="array" aca="1" ref="L99" ca="1">INDIRECT("'※ 소상공인 세부데이터'!"&amp;L$1&amp;$Z99, TRUE)</f>
        <v>6</v>
      </c>
      <c r="M99" s="3647" cm="1">
        <f t="array" aca="1" ref="M99" ca="1">INDIRECT("'※ 소상공인 세부데이터'!"&amp;M$1&amp;$Z99, TRUE)</f>
        <v>5</v>
      </c>
      <c r="N99" s="3647" cm="1">
        <f t="array" aca="1" ref="N99" ca="1">INDIRECT("'※ 소상공인 세부데이터'!"&amp;N$1&amp;$Z99, TRUE)</f>
        <v>5</v>
      </c>
      <c r="O99" s="3647" cm="1">
        <f t="array" aca="1" ref="O99" ca="1">INDIRECT("'※ 소상공인 세부데이터'!"&amp;O$1&amp;$Z99, TRUE)</f>
        <v>1</v>
      </c>
      <c r="P99" s="3647" cm="1">
        <f t="array" aca="1" ref="P99" ca="1">INDIRECT("'※ 소상공인 세부데이터'!"&amp;P$1&amp;$Z99, TRUE)</f>
        <v>1</v>
      </c>
      <c r="Q99" s="3647" cm="1">
        <f t="array" aca="1" ref="Q99" ca="1">INDIRECT("'※ 소상공인 세부데이터'!"&amp;Q$1&amp;$Z99, TRUE)</f>
        <v>1</v>
      </c>
      <c r="R99" s="5081" cm="1">
        <f t="array" aca="1" ref="R99" ca="1">INDIRECT("'※ 소상공인 세부데이터'!"&amp;R$1&amp;$Z99, TRUE)</f>
        <v>0</v>
      </c>
      <c r="S99" s="5082" cm="1">
        <f t="array" aca="1" ref="S99" ca="1">INDIRECT("'※ 소상공인 세부데이터'!"&amp;S$1&amp;$Z99, TRUE)</f>
        <v>-12</v>
      </c>
      <c r="T99" s="5083" cm="1">
        <f t="array" aca="1" ref="T99" ca="1">INDIRECT("'※ 소상공인 세부데이터'!"&amp;T$1&amp;$Z99, TRUE)</f>
        <v>1</v>
      </c>
      <c r="U99" s="5045"/>
      <c r="V99" s="5046"/>
      <c r="W99" s="5084" cm="1">
        <f t="array" aca="1" ref="W99" ca="1">INDIRECT("'※ 소상공인 세부데이터'!"&amp;W$1&amp;$Z99, TRUE)</f>
        <v>-6</v>
      </c>
      <c r="X99" s="5081" cm="1">
        <f t="array" aca="1" ref="X99" ca="1">INDIRECT("'※ 소상공인 세부데이터'!"&amp;X$1&amp;$Z99, TRUE)</f>
        <v>8.8333333333333339</v>
      </c>
      <c r="Y99" s="5085" cm="1">
        <f t="array" aca="1" ref="Y99" ca="1">INDIRECT("'※ 소상공인 세부데이터'!"&amp;Y$1&amp;$Z99, TRUE)</f>
        <v>-0.5</v>
      </c>
      <c r="Z99" s="3693">
        <f>ROW('※ 소상공인 세부데이터'!J58)</f>
        <v>58</v>
      </c>
      <c r="AA99" s="3053"/>
      <c r="AB99" s="3015"/>
      <c r="AC99" s="3015"/>
      <c r="AD99" s="3015"/>
      <c r="AE99" s="3015"/>
      <c r="AF99" s="3015"/>
      <c r="AG99" s="3015"/>
      <c r="AH99" s="3015"/>
      <c r="AI99" s="3015"/>
      <c r="AJ99" s="3015"/>
      <c r="AK99" s="3015"/>
      <c r="AL99" s="3015"/>
      <c r="AM99" s="3015"/>
    </row>
    <row r="100" spans="1:39" ht="11.4" customHeight="1" x14ac:dyDescent="0.55000000000000004">
      <c r="A100" s="7271"/>
      <c r="B100" s="2639"/>
      <c r="C100" s="5077" t="s">
        <v>539</v>
      </c>
      <c r="D100" s="5078" cm="1">
        <f t="array" aca="1" ref="D100" ca="1">INDIRECT("'※ 소상공인 세부데이터'!"&amp;D$1&amp;$Z100, TRUE)</f>
        <v>0</v>
      </c>
      <c r="E100" s="5079" cm="1">
        <f t="array" aca="1" ref="E100" ca="1">INDIRECT("'※ 소상공인 세부데이터'!"&amp;E$1&amp;$Z100, TRUE)</f>
        <v>0</v>
      </c>
      <c r="F100" s="5080" cm="1">
        <f t="array" aca="1" ref="F100" ca="1">INDIRECT("'※ 소상공인 세부데이터'!"&amp;F$1&amp;$Z100, TRUE)</f>
        <v>0</v>
      </c>
      <c r="G100" s="3647" cm="1">
        <f t="array" aca="1" ref="G100" ca="1">INDIRECT("'※ 소상공인 세부데이터'!"&amp;G$1&amp;$Z100, TRUE)</f>
        <v>0</v>
      </c>
      <c r="H100" s="3647" cm="1">
        <f t="array" aca="1" ref="H100" ca="1">INDIRECT("'※ 소상공인 세부데이터'!"&amp;H$1&amp;$Z100, TRUE)</f>
        <v>0</v>
      </c>
      <c r="I100" s="3647" cm="1">
        <f t="array" aca="1" ref="I100" ca="1">INDIRECT("'※ 소상공인 세부데이터'!"&amp;I$1&amp;$Z100, TRUE)</f>
        <v>0</v>
      </c>
      <c r="J100" s="3647" cm="1">
        <f t="array" aca="1" ref="J100" ca="1">INDIRECT("'※ 소상공인 세부데이터'!"&amp;J$1&amp;$Z100, TRUE)</f>
        <v>0</v>
      </c>
      <c r="K100" s="3647" cm="1">
        <f t="array" aca="1" ref="K100" ca="1">INDIRECT("'※ 소상공인 세부데이터'!"&amp;K$1&amp;$Z100, TRUE)</f>
        <v>0</v>
      </c>
      <c r="L100" s="3647" cm="1">
        <f t="array" aca="1" ref="L100" ca="1">INDIRECT("'※ 소상공인 세부데이터'!"&amp;L$1&amp;$Z100, TRUE)</f>
        <v>0</v>
      </c>
      <c r="M100" s="3647" cm="1">
        <f t="array" aca="1" ref="M100" ca="1">INDIRECT("'※ 소상공인 세부데이터'!"&amp;M$1&amp;$Z100, TRUE)</f>
        <v>0</v>
      </c>
      <c r="N100" s="3647" cm="1">
        <f t="array" aca="1" ref="N100" ca="1">INDIRECT("'※ 소상공인 세부데이터'!"&amp;N$1&amp;$Z100, TRUE)</f>
        <v>0</v>
      </c>
      <c r="O100" s="3647" cm="1">
        <f t="array" aca="1" ref="O100" ca="1">INDIRECT("'※ 소상공인 세부데이터'!"&amp;O$1&amp;$Z100, TRUE)</f>
        <v>0</v>
      </c>
      <c r="P100" s="3647" cm="1">
        <f t="array" aca="1" ref="P100" ca="1">INDIRECT("'※ 소상공인 세부데이터'!"&amp;P$1&amp;$Z100, TRUE)</f>
        <v>0</v>
      </c>
      <c r="Q100" s="3647" cm="1">
        <f t="array" aca="1" ref="Q100" ca="1">INDIRECT("'※ 소상공인 세부데이터'!"&amp;Q$1&amp;$Z100, TRUE)</f>
        <v>0</v>
      </c>
      <c r="R100" s="5081" cm="1">
        <f t="array" aca="1" ref="R100" ca="1">INDIRECT("'※ 소상공인 세부데이터'!"&amp;R$1&amp;$Z100, TRUE)</f>
        <v>0</v>
      </c>
      <c r="S100" s="5082" cm="1">
        <f t="array" aca="1" ref="S100" ca="1">INDIRECT("'※ 소상공인 세부데이터'!"&amp;S$1&amp;$Z100, TRUE)</f>
        <v>0</v>
      </c>
      <c r="T100" s="5083" cm="1">
        <f t="array" aca="1" ref="T100" ca="1">INDIRECT("'※ 소상공인 세부데이터'!"&amp;T$1&amp;$Z100, TRUE)</f>
        <v>0</v>
      </c>
      <c r="U100" s="5045"/>
      <c r="V100" s="5046"/>
      <c r="W100" s="5084" cm="1">
        <f t="array" aca="1" ref="W100" ca="1">INDIRECT("'※ 소상공인 세부데이터'!"&amp;W$1&amp;$Z100, TRUE)</f>
        <v>-22</v>
      </c>
      <c r="X100" s="5081" cm="1">
        <f t="array" aca="1" ref="X100" ca="1">INDIRECT("'※ 소상공인 세부데이터'!"&amp;X$1&amp;$Z100, TRUE)</f>
        <v>0</v>
      </c>
      <c r="Y100" s="5085" cm="1">
        <f t="array" aca="1" ref="Y100" ca="1">INDIRECT("'※ 소상공인 세부데이터'!"&amp;Y$1&amp;$Z100, TRUE)</f>
        <v>-1.8333333333333333</v>
      </c>
      <c r="Z100" s="3693">
        <f>ROW('※ 소상공인 세부데이터'!J59)</f>
        <v>59</v>
      </c>
      <c r="AA100" s="3053"/>
      <c r="AB100" s="3015"/>
      <c r="AC100" s="3015"/>
      <c r="AD100" s="3015"/>
      <c r="AE100" s="3015"/>
      <c r="AF100" s="3015"/>
      <c r="AG100" s="3015"/>
      <c r="AH100" s="3015"/>
      <c r="AI100" s="3015"/>
      <c r="AJ100" s="3015"/>
      <c r="AK100" s="3015"/>
      <c r="AL100" s="3015"/>
      <c r="AM100" s="3015"/>
    </row>
    <row r="101" spans="1:39" ht="11.4" customHeight="1" x14ac:dyDescent="0.55000000000000004">
      <c r="A101" s="7271"/>
      <c r="B101" s="3780" t="s">
        <v>174</v>
      </c>
      <c r="C101" s="5086" t="s">
        <v>171</v>
      </c>
      <c r="D101" s="5038" cm="1">
        <f t="array" aca="1" ref="D101" ca="1">INDIRECT("'※ 소상공인 세부데이터'!"&amp;D$1&amp;$Z101, TRUE)</f>
        <v>46.857142857142854</v>
      </c>
      <c r="E101" s="5039" cm="1">
        <f t="array" aca="1" ref="E101" ca="1">INDIRECT("'※ 소상공인 세부데이터'!"&amp;E$1&amp;$Z101, TRUE)</f>
        <v>29.4</v>
      </c>
      <c r="F101" s="5049" cm="1">
        <f t="array" aca="1" ref="F101" ca="1">INDIRECT("'※ 소상공인 세부데이터'!"&amp;F$1&amp;$Z101, TRUE)</f>
        <v>102</v>
      </c>
      <c r="G101" s="3659" cm="1">
        <f t="array" aca="1" ref="G101" ca="1">INDIRECT("'※ 소상공인 세부데이터'!"&amp;G$1&amp;$Z101, TRUE)</f>
        <v>98.4</v>
      </c>
      <c r="H101" s="3659" cm="1">
        <f t="array" aca="1" ref="H101" ca="1">INDIRECT("'※ 소상공인 세부데이터'!"&amp;H$1&amp;$Z101, TRUE)</f>
        <v>89.7</v>
      </c>
      <c r="I101" s="3659" cm="1">
        <f t="array" aca="1" ref="I101" ca="1">INDIRECT("'※ 소상공인 세부데이터'!"&amp;I$1&amp;$Z101, TRUE)</f>
        <v>49.800000000000004</v>
      </c>
      <c r="J101" s="3659" cm="1">
        <f t="array" aca="1" ref="J101" ca="1">INDIRECT("'※ 소상공인 세부데이터'!"&amp;J$1&amp;$Z101, TRUE)</f>
        <v>72.099999999999994</v>
      </c>
      <c r="K101" s="3659" cm="1">
        <f t="array" aca="1" ref="K101" ca="1">INDIRECT("'※ 소상공인 세부데이터'!"&amp;K$1&amp;$Z101, TRUE)</f>
        <v>45.4</v>
      </c>
      <c r="L101" s="3659" cm="1">
        <f t="array" aca="1" ref="L101" ca="1">INDIRECT("'※ 소상공인 세부데이터'!"&amp;L$1&amp;$Z101, TRUE)</f>
        <v>94.2</v>
      </c>
      <c r="M101" s="3659" cm="1">
        <f t="array" aca="1" ref="M101" ca="1">INDIRECT("'※ 소상공인 세부데이터'!"&amp;M$1&amp;$Z101, TRUE)</f>
        <v>52.7</v>
      </c>
      <c r="N101" s="3659" cm="1">
        <f t="array" aca="1" ref="N101" ca="1">INDIRECT("'※ 소상공인 세부데이터'!"&amp;N$1&amp;$Z101, TRUE)</f>
        <v>73.7</v>
      </c>
      <c r="O101" s="3659" cm="1">
        <f t="array" aca="1" ref="O101" ca="1">INDIRECT("'※ 소상공인 세부데이터'!"&amp;O$1&amp;$Z101, TRUE)</f>
        <v>50.7</v>
      </c>
      <c r="P101" s="3659" cm="1">
        <f t="array" aca="1" ref="P101" ca="1">INDIRECT("'※ 소상공인 세부데이터'!"&amp;P$1&amp;$Z101, TRUE)</f>
        <v>32.4</v>
      </c>
      <c r="Q101" s="3659" cm="1">
        <f t="array" aca="1" ref="Q101" ca="1">INDIRECT("'※ 소상공인 세부데이터'!"&amp;Q$1&amp;$Z101, TRUE)</f>
        <v>27.5</v>
      </c>
      <c r="R101" s="5042" cm="1">
        <f t="array" aca="1" ref="R101" ca="1">INDIRECT("'※ 소상공인 세부데이터'!"&amp;R$1&amp;$Z101, TRUE)</f>
        <v>-4.8999999999999986</v>
      </c>
      <c r="S101" s="5043" cm="1">
        <f t="array" aca="1" ref="S101" ca="1">INDIRECT("'※ 소상공인 세부데이터'!"&amp;S$1&amp;$Z101, TRUE)</f>
        <v>-1.8999999999999986</v>
      </c>
      <c r="T101" s="5044" cm="1">
        <f t="array" aca="1" ref="T101" ca="1">INDIRECT("'※ 소상공인 세부데이터'!"&amp;T$1&amp;$Z101, TRUE)</f>
        <v>27.5</v>
      </c>
      <c r="U101" s="5045"/>
      <c r="V101" s="5046"/>
      <c r="W101" s="5047" cm="1">
        <f t="array" aca="1" ref="W101" ca="1">INDIRECT("'※ 소상공인 세부데이터'!"&amp;W$1&amp;$Z101, TRUE)</f>
        <v>195.03333333333342</v>
      </c>
      <c r="X101" s="5042" cm="1">
        <f t="array" aca="1" ref="X101" ca="1">INDIRECT("'※ 소상공인 세부데이터'!"&amp;X$1&amp;$Z101, TRUE)</f>
        <v>65.716666666666683</v>
      </c>
      <c r="Y101" s="5087" cm="1">
        <f t="array" aca="1" ref="Y101" ca="1">INDIRECT("'※ 소상공인 세부데이터'!"&amp;Y$1&amp;$Z101, TRUE)</f>
        <v>16.252777777777787</v>
      </c>
      <c r="Z101" s="3693">
        <f>ROW('※ 소상공인 세부데이터'!J60)</f>
        <v>60</v>
      </c>
      <c r="AA101" s="3053"/>
      <c r="AB101" s="3015"/>
      <c r="AC101" s="3015"/>
      <c r="AD101" s="3015"/>
      <c r="AE101" s="3015"/>
      <c r="AF101" s="3015"/>
      <c r="AG101" s="3015"/>
      <c r="AH101" s="3015"/>
      <c r="AI101" s="3015"/>
      <c r="AJ101" s="3015"/>
      <c r="AK101" s="3015"/>
      <c r="AL101" s="3015"/>
      <c r="AM101" s="3015"/>
    </row>
    <row r="102" spans="1:39" ht="11.4" customHeight="1" x14ac:dyDescent="0.55000000000000004">
      <c r="A102" s="7271"/>
      <c r="B102" s="3780"/>
      <c r="C102" s="5086" t="s">
        <v>172</v>
      </c>
      <c r="D102" s="5038" cm="1">
        <f t="array" aca="1" ref="D102" ca="1">INDIRECT("'※ 소상공인 세부데이터'!"&amp;D$1&amp;$Z102, TRUE)</f>
        <v>29.466666666666669</v>
      </c>
      <c r="E102" s="5039" cm="1">
        <f t="array" aca="1" ref="E102" ca="1">INDIRECT("'※ 소상공인 세부데이터'!"&amp;E$1&amp;$Z102, TRUE)</f>
        <v>17.8</v>
      </c>
      <c r="F102" s="5049" cm="1">
        <f t="array" aca="1" ref="F102" ca="1">INDIRECT("'※ 소상공인 세부데이터'!"&amp;F$1&amp;$Z102, TRUE)</f>
        <v>22.7</v>
      </c>
      <c r="G102" s="3659" cm="1">
        <f t="array" aca="1" ref="G102" ca="1">INDIRECT("'※ 소상공인 세부데이터'!"&amp;G$1&amp;$Z102, TRUE)</f>
        <v>42.2</v>
      </c>
      <c r="H102" s="3659" cm="1">
        <f t="array" aca="1" ref="H102" ca="1">INDIRECT("'※ 소상공인 세부데이터'!"&amp;H$1&amp;$Z102, TRUE)</f>
        <v>37.1</v>
      </c>
      <c r="I102" s="3659" cm="1">
        <f t="array" aca="1" ref="I102" ca="1">INDIRECT("'※ 소상공인 세부데이터'!"&amp;I$1&amp;$Z102, TRUE)</f>
        <v>39.9</v>
      </c>
      <c r="J102" s="3659" cm="1">
        <f t="array" aca="1" ref="J102" ca="1">INDIRECT("'※ 소상공인 세부데이터'!"&amp;J$1&amp;$Z102, TRUE)</f>
        <v>27</v>
      </c>
      <c r="K102" s="3659" cm="1">
        <f t="array" aca="1" ref="K102" ca="1">INDIRECT("'※ 소상공인 세부데이터'!"&amp;K$1&amp;$Z102, TRUE)</f>
        <v>29.4</v>
      </c>
      <c r="L102" s="3659" cm="1">
        <f t="array" aca="1" ref="L102" ca="1">INDIRECT("'※ 소상공인 세부데이터'!"&amp;L$1&amp;$Z102, TRUE)</f>
        <v>59.6</v>
      </c>
      <c r="M102" s="3659" cm="1">
        <f t="array" aca="1" ref="M102" ca="1">INDIRECT("'※ 소상공인 세부데이터'!"&amp;M$1&amp;$Z102, TRUE)</f>
        <v>40.1</v>
      </c>
      <c r="N102" s="3659" cm="1">
        <f t="array" aca="1" ref="N102" ca="1">INDIRECT("'※ 소상공인 세부데이터'!"&amp;N$1&amp;$Z102, TRUE)</f>
        <v>59.3</v>
      </c>
      <c r="O102" s="3659" cm="1">
        <f t="array" aca="1" ref="O102" ca="1">INDIRECT("'※ 소상공인 세부데이터'!"&amp;O$1&amp;$Z102, TRUE)</f>
        <v>32.1</v>
      </c>
      <c r="P102" s="3659" cm="1">
        <f t="array" aca="1" ref="P102" ca="1">INDIRECT("'※ 소상공인 세부데이터'!"&amp;P$1&amp;$Z102, TRUE)</f>
        <v>28.4</v>
      </c>
      <c r="Q102" s="3659" cm="1">
        <f t="array" aca="1" ref="Q102" ca="1">INDIRECT("'※ 소상공인 세부데이터'!"&amp;Q$1&amp;$Z102, TRUE)</f>
        <v>19.5</v>
      </c>
      <c r="R102" s="5042" cm="1">
        <f t="array" aca="1" ref="R102" ca="1">INDIRECT("'※ 소상공인 세부데이터'!"&amp;R$1&amp;$Z102, TRUE)</f>
        <v>-8.8999999999999986</v>
      </c>
      <c r="S102" s="5043" cm="1">
        <f t="array" aca="1" ref="S102" ca="1">INDIRECT("'※ 소상공인 세부데이터'!"&amp;S$1&amp;$Z102, TRUE)</f>
        <v>1.6999999999999993</v>
      </c>
      <c r="T102" s="5044" cm="1">
        <f t="array" aca="1" ref="T102" ca="1">INDIRECT("'※ 소상공인 세부데이터'!"&amp;T$1&amp;$Z102, TRUE)</f>
        <v>19.5</v>
      </c>
      <c r="U102" s="5045"/>
      <c r="V102" s="5046"/>
      <c r="W102" s="5047" cm="1">
        <f t="array" aca="1" ref="W102" ca="1">INDIRECT("'※ 소상공인 세부데이터'!"&amp;W$1&amp;$Z102, TRUE)</f>
        <v>48.308333333333394</v>
      </c>
      <c r="X102" s="5042" cm="1">
        <f t="array" aca="1" ref="X102" ca="1">INDIRECT("'※ 소상공인 세부데이터'!"&amp;X$1&amp;$Z102, TRUE)</f>
        <v>36.44166666666667</v>
      </c>
      <c r="Y102" s="5087" cm="1">
        <f t="array" aca="1" ref="Y102" ca="1">INDIRECT("'※ 소상공인 세부데이터'!"&amp;Y$1&amp;$Z102, TRUE)</f>
        <v>4.0256944444444471</v>
      </c>
      <c r="Z102" s="3693">
        <f>ROW('※ 소상공인 세부데이터'!J61)</f>
        <v>61</v>
      </c>
      <c r="AA102" s="3053"/>
      <c r="AB102" s="3015"/>
      <c r="AC102" s="3015"/>
      <c r="AD102" s="3015"/>
      <c r="AE102" s="3015"/>
      <c r="AF102" s="3015"/>
      <c r="AG102" s="3015"/>
      <c r="AH102" s="3015"/>
      <c r="AI102" s="3015"/>
      <c r="AJ102" s="3015"/>
      <c r="AK102" s="3015"/>
      <c r="AL102" s="3015"/>
      <c r="AM102" s="3015"/>
    </row>
    <row r="103" spans="1:39" ht="11.4" customHeight="1" x14ac:dyDescent="0.55000000000000004">
      <c r="A103" s="7271"/>
      <c r="B103" s="3780"/>
      <c r="C103" s="5086" t="s">
        <v>173</v>
      </c>
      <c r="D103" s="5038" cm="1">
        <f t="array" aca="1" ref="D103" ca="1">INDIRECT("'※ 소상공인 세부데이터'!"&amp;D$1&amp;$Z103, TRUE)</f>
        <v>12.46</v>
      </c>
      <c r="E103" s="5039" cm="1">
        <f t="array" aca="1" ref="E103" ca="1">INDIRECT("'※ 소상공인 세부데이터'!"&amp;E$1&amp;$Z103, TRUE)</f>
        <v>20.6</v>
      </c>
      <c r="F103" s="5049" cm="1">
        <f t="array" aca="1" ref="F103" ca="1">INDIRECT("'※ 소상공인 세부데이터'!"&amp;F$1&amp;$Z103, TRUE)</f>
        <v>14.8</v>
      </c>
      <c r="G103" s="3659" cm="1">
        <f t="array" aca="1" ref="G103" ca="1">INDIRECT("'※ 소상공인 세부데이터'!"&amp;G$1&amp;$Z103, TRUE)</f>
        <v>22</v>
      </c>
      <c r="H103" s="3659" cm="1">
        <f t="array" aca="1" ref="H103" ca="1">INDIRECT("'※ 소상공인 세부데이터'!"&amp;H$1&amp;$Z103, TRUE)</f>
        <v>32.200000000000003</v>
      </c>
      <c r="I103" s="3659" cm="1">
        <f t="array" aca="1" ref="I103" ca="1">INDIRECT("'※ 소상공인 세부데이터'!"&amp;I$1&amp;$Z103, TRUE)</f>
        <v>44.145454545454548</v>
      </c>
      <c r="J103" s="3659" cm="1">
        <f t="array" aca="1" ref="J103" ca="1">INDIRECT("'※ 소상공인 세부데이터'!"&amp;J$1&amp;$Z103, TRUE)</f>
        <v>34.4</v>
      </c>
      <c r="K103" s="3659" cm="1">
        <f t="array" aca="1" ref="K103" ca="1">INDIRECT("'※ 소상공인 세부데이터'!"&amp;K$1&amp;$Z103, TRUE)</f>
        <v>25.1</v>
      </c>
      <c r="L103" s="3659" cm="1">
        <f t="array" aca="1" ref="L103" ca="1">INDIRECT("'※ 소상공인 세부데이터'!"&amp;L$1&amp;$Z103, TRUE)</f>
        <v>42.2</v>
      </c>
      <c r="M103" s="3659" cm="1">
        <f t="array" aca="1" ref="M103" ca="1">INDIRECT("'※ 소상공인 세부데이터'!"&amp;M$1&amp;$Z103, TRUE)</f>
        <v>25.7</v>
      </c>
      <c r="N103" s="3659" cm="1">
        <f t="array" aca="1" ref="N103" ca="1">INDIRECT("'※ 소상공인 세부데이터'!"&amp;N$1&amp;$Z103, TRUE)</f>
        <v>29.8</v>
      </c>
      <c r="O103" s="3659" cm="1">
        <f t="array" aca="1" ref="O103" ca="1">INDIRECT("'※ 소상공인 세부데이터'!"&amp;O$1&amp;$Z103, TRUE)</f>
        <v>15.9</v>
      </c>
      <c r="P103" s="3659" cm="1">
        <f t="array" aca="1" ref="P103" ca="1">INDIRECT("'※ 소상공인 세부데이터'!"&amp;P$1&amp;$Z103, TRUE)</f>
        <v>9.1999999999999993</v>
      </c>
      <c r="Q103" s="3659" cm="1">
        <f t="array" aca="1" ref="Q103" ca="1">INDIRECT("'※ 소상공인 세부데이터'!"&amp;Q$1&amp;$Z103, TRUE)</f>
        <v>8</v>
      </c>
      <c r="R103" s="5042" cm="1">
        <f t="array" aca="1" ref="R103" ca="1">INDIRECT("'※ 소상공인 세부데이터'!"&amp;R$1&amp;$Z103, TRUE)</f>
        <v>-1.1999999999999993</v>
      </c>
      <c r="S103" s="5043" cm="1">
        <f t="array" aca="1" ref="S103" ca="1">INDIRECT("'※ 소상공인 세부데이터'!"&amp;S$1&amp;$Z103, TRUE)</f>
        <v>-12.600000000000001</v>
      </c>
      <c r="T103" s="5044" cm="1">
        <f t="array" aca="1" ref="T103" ca="1">INDIRECT("'※ 소상공인 세부데이터'!"&amp;T$1&amp;$Z103, TRUE)</f>
        <v>8</v>
      </c>
      <c r="U103" s="5045"/>
      <c r="V103" s="5046"/>
      <c r="W103" s="5047" cm="1">
        <f t="array" aca="1" ref="W103" ca="1">INDIRECT("'※ 소상공인 세부데이터'!"&amp;W$1&amp;$Z103, TRUE)</f>
        <v>58.975454545454539</v>
      </c>
      <c r="X103" s="5042" cm="1">
        <f t="array" aca="1" ref="X103" ca="1">INDIRECT("'※ 소상공인 세부데이터'!"&amp;X$1&amp;$Z103, TRUE)</f>
        <v>25.28712121212121</v>
      </c>
      <c r="Y103" s="5087" cm="1">
        <f t="array" aca="1" ref="Y103" ca="1">INDIRECT("'※ 소상공인 세부데이터'!"&amp;Y$1&amp;$Z103, TRUE)</f>
        <v>4.9146212121212116</v>
      </c>
      <c r="Z103" s="3693">
        <f>ROW('※ 소상공인 세부데이터'!J62)</f>
        <v>62</v>
      </c>
      <c r="AA103" s="3053"/>
      <c r="AB103" s="3015"/>
      <c r="AC103" s="3015"/>
      <c r="AD103" s="3015"/>
      <c r="AE103" s="3015"/>
      <c r="AF103" s="3015"/>
      <c r="AG103" s="3015"/>
      <c r="AH103" s="3015"/>
      <c r="AI103" s="3015"/>
      <c r="AJ103" s="3015"/>
      <c r="AK103" s="3015"/>
      <c r="AL103" s="3015"/>
      <c r="AM103" s="3015"/>
    </row>
    <row r="104" spans="1:39" ht="11.4" customHeight="1" x14ac:dyDescent="0.55000000000000004">
      <c r="A104" s="7271"/>
      <c r="B104" s="3780"/>
      <c r="C104" s="5086" t="s">
        <v>538</v>
      </c>
      <c r="D104" s="5038" cm="1">
        <f t="array" aca="1" ref="D104" ca="1">INDIRECT("'※ 소상공인 세부데이터'!"&amp;D$1&amp;$Z104, TRUE)</f>
        <v>16.375</v>
      </c>
      <c r="E104" s="5039" cm="1">
        <f t="array" aca="1" ref="E104" ca="1">INDIRECT("'※ 소상공인 세부데이터'!"&amp;E$1&amp;$Z104, TRUE)</f>
        <v>6</v>
      </c>
      <c r="F104" s="5049" cm="1">
        <f t="array" aca="1" ref="F104" ca="1">INDIRECT("'※ 소상공인 세부데이터'!"&amp;F$1&amp;$Z104, TRUE)</f>
        <v>9.8000000000000007</v>
      </c>
      <c r="G104" s="3659" cm="1">
        <f t="array" aca="1" ref="G104" ca="1">INDIRECT("'※ 소상공인 세부데이터'!"&amp;G$1&amp;$Z104, TRUE)</f>
        <v>11.4</v>
      </c>
      <c r="H104" s="3659" cm="1">
        <f t="array" aca="1" ref="H104" ca="1">INDIRECT("'※ 소상공인 세부데이터'!"&amp;H$1&amp;$Z104, TRUE)</f>
        <v>26.1</v>
      </c>
      <c r="I104" s="3659" cm="1">
        <f t="array" aca="1" ref="I104" ca="1">INDIRECT("'※ 소상공인 세부데이터'!"&amp;I$1&amp;$Z104, TRUE)</f>
        <v>19.842857142857138</v>
      </c>
      <c r="J104" s="3659" cm="1">
        <f t="array" aca="1" ref="J104" ca="1">INDIRECT("'※ 소상공인 세부데이터'!"&amp;J$1&amp;$Z104, TRUE)</f>
        <v>19.100000000000001</v>
      </c>
      <c r="K104" s="3659" cm="1">
        <f t="array" aca="1" ref="K104" ca="1">INDIRECT("'※ 소상공인 세부데이터'!"&amp;K$1&amp;$Z104, TRUE)</f>
        <v>17.2</v>
      </c>
      <c r="L104" s="3659" cm="1">
        <f t="array" aca="1" ref="L104" ca="1">INDIRECT("'※ 소상공인 세부데이터'!"&amp;L$1&amp;$Z104, TRUE)</f>
        <v>29</v>
      </c>
      <c r="M104" s="3659" cm="1">
        <f t="array" aca="1" ref="M104" ca="1">INDIRECT("'※ 소상공인 세부데이터'!"&amp;M$1&amp;$Z104, TRUE)</f>
        <v>12.6</v>
      </c>
      <c r="N104" s="3659" cm="1">
        <f t="array" aca="1" ref="N104" ca="1">INDIRECT("'※ 소상공인 세부데이터'!"&amp;N$1&amp;$Z104, TRUE)</f>
        <v>37.4</v>
      </c>
      <c r="O104" s="3659" cm="1">
        <f t="array" aca="1" ref="O104" ca="1">INDIRECT("'※ 소상공인 세부데이터'!"&amp;O$1&amp;$Z104, TRUE)</f>
        <v>17.8</v>
      </c>
      <c r="P104" s="3659" cm="1">
        <f t="array" aca="1" ref="P104" ca="1">INDIRECT("'※ 소상공인 세부데이터'!"&amp;P$1&amp;$Z104, TRUE)</f>
        <v>24.9</v>
      </c>
      <c r="Q104" s="3659" cm="1">
        <f t="array" aca="1" ref="Q104" ca="1">INDIRECT("'※ 소상공인 세부데이터'!"&amp;Q$1&amp;$Z104, TRUE)</f>
        <v>30.2</v>
      </c>
      <c r="R104" s="5042" cm="1">
        <f t="array" aca="1" ref="R104" ca="1">INDIRECT("'※ 소상공인 세부데이터'!"&amp;R$1&amp;$Z104, TRUE)</f>
        <v>5.3000000000000007</v>
      </c>
      <c r="S104" s="5043" cm="1">
        <f t="array" aca="1" ref="S104" ca="1">INDIRECT("'※ 소상공인 세부데이터'!"&amp;S$1&amp;$Z104, TRUE)</f>
        <v>24.2</v>
      </c>
      <c r="T104" s="5044" cm="1">
        <f t="array" aca="1" ref="T104" ca="1">INDIRECT("'※ 소상공인 세부데이터'!"&amp;T$1&amp;$Z104, TRUE)</f>
        <v>30.2</v>
      </c>
      <c r="U104" s="5045"/>
      <c r="V104" s="5046"/>
      <c r="W104" s="5047" cm="1">
        <f t="array" aca="1" ref="W104" ca="1">INDIRECT("'※ 소상공인 세부데이터'!"&amp;W$1&amp;$Z104, TRUE)</f>
        <v>78.559844322344304</v>
      </c>
      <c r="X104" s="5042" cm="1">
        <f t="array" aca="1" ref="X104" ca="1">INDIRECT("'※ 소상공인 세부데이터'!"&amp;X$1&amp;$Z104, TRUE)</f>
        <v>21.278571428571428</v>
      </c>
      <c r="Y104" s="5087" cm="1">
        <f t="array" aca="1" ref="Y104" ca="1">INDIRECT("'※ 소상공인 세부데이터'!"&amp;Y$1&amp;$Z104, TRUE)</f>
        <v>6.5466536935286932</v>
      </c>
      <c r="Z104" s="3693">
        <f>ROW('※ 소상공인 세부데이터'!J63)</f>
        <v>63</v>
      </c>
      <c r="AA104" s="3053"/>
      <c r="AB104" s="3015"/>
      <c r="AC104" s="3015"/>
      <c r="AD104" s="3015"/>
      <c r="AE104" s="3015"/>
      <c r="AF104" s="3015"/>
      <c r="AG104" s="3015"/>
      <c r="AH104" s="3015"/>
      <c r="AI104" s="3015"/>
      <c r="AJ104" s="3015"/>
      <c r="AK104" s="3015"/>
      <c r="AL104" s="3015"/>
      <c r="AM104" s="3015"/>
    </row>
    <row r="105" spans="1:39" ht="11.4" customHeight="1" x14ac:dyDescent="0.55000000000000004">
      <c r="A105" s="7272"/>
      <c r="B105" s="5088"/>
      <c r="C105" s="5089" t="s">
        <v>539</v>
      </c>
      <c r="D105" s="5038" cm="1">
        <f t="array" aca="1" ref="D105" ca="1">INDIRECT("'※ 소상공인 세부데이터'!"&amp;D$1&amp;$Z105, TRUE)</f>
        <v>0</v>
      </c>
      <c r="E105" s="5039" cm="1">
        <f t="array" aca="1" ref="E105" ca="1">INDIRECT("'※ 소상공인 세부데이터'!"&amp;E$1&amp;$Z105, TRUE)</f>
        <v>0</v>
      </c>
      <c r="F105" s="5049" cm="1">
        <f t="array" aca="1" ref="F105" ca="1">INDIRECT("'※ 소상공인 세부데이터'!"&amp;F$1&amp;$Z105, TRUE)</f>
        <v>0</v>
      </c>
      <c r="G105" s="3659" cm="1">
        <f t="array" aca="1" ref="G105" ca="1">INDIRECT("'※ 소상공인 세부데이터'!"&amp;G$1&amp;$Z105, TRUE)</f>
        <v>0</v>
      </c>
      <c r="H105" s="3659" cm="1">
        <f t="array" aca="1" ref="H105" ca="1">INDIRECT("'※ 소상공인 세부데이터'!"&amp;H$1&amp;$Z105, TRUE)</f>
        <v>0</v>
      </c>
      <c r="I105" s="3659" cm="1">
        <f t="array" aca="1" ref="I105" ca="1">INDIRECT("'※ 소상공인 세부데이터'!"&amp;I$1&amp;$Z105, TRUE)</f>
        <v>0</v>
      </c>
      <c r="J105" s="3659" cm="1">
        <f t="array" aca="1" ref="J105" ca="1">INDIRECT("'※ 소상공인 세부데이터'!"&amp;J$1&amp;$Z105, TRUE)</f>
        <v>0</v>
      </c>
      <c r="K105" s="3659" cm="1">
        <f t="array" aca="1" ref="K105" ca="1">INDIRECT("'※ 소상공인 세부데이터'!"&amp;K$1&amp;$Z105, TRUE)</f>
        <v>0</v>
      </c>
      <c r="L105" s="3659" cm="1">
        <f t="array" aca="1" ref="L105" ca="1">INDIRECT("'※ 소상공인 세부데이터'!"&amp;L$1&amp;$Z105, TRUE)</f>
        <v>0</v>
      </c>
      <c r="M105" s="3659" cm="1">
        <f t="array" aca="1" ref="M105" ca="1">INDIRECT("'※ 소상공인 세부데이터'!"&amp;M$1&amp;$Z105, TRUE)</f>
        <v>0</v>
      </c>
      <c r="N105" s="3659" cm="1">
        <f t="array" aca="1" ref="N105" ca="1">INDIRECT("'※ 소상공인 세부데이터'!"&amp;N$1&amp;$Z105, TRUE)</f>
        <v>0</v>
      </c>
      <c r="O105" s="3659" cm="1">
        <f t="array" aca="1" ref="O105" ca="1">INDIRECT("'※ 소상공인 세부데이터'!"&amp;O$1&amp;$Z105, TRUE)</f>
        <v>0</v>
      </c>
      <c r="P105" s="3659" cm="1">
        <f t="array" aca="1" ref="P105" ca="1">INDIRECT("'※ 소상공인 세부데이터'!"&amp;P$1&amp;$Z105, TRUE)</f>
        <v>0</v>
      </c>
      <c r="Q105" s="3659" cm="1">
        <f t="array" aca="1" ref="Q105" ca="1">INDIRECT("'※ 소상공인 세부데이터'!"&amp;Q$1&amp;$Z105, TRUE)</f>
        <v>0</v>
      </c>
      <c r="R105" s="5042" cm="1">
        <f t="array" aca="1" ref="R105" ca="1">INDIRECT("'※ 소상공인 세부데이터'!"&amp;R$1&amp;$Z105, TRUE)</f>
        <v>0</v>
      </c>
      <c r="S105" s="5043" cm="1">
        <f t="array" aca="1" ref="S105" ca="1">INDIRECT("'※ 소상공인 세부데이터'!"&amp;S$1&amp;$Z105, TRUE)</f>
        <v>0</v>
      </c>
      <c r="T105" s="5044" cm="1">
        <f t="array" aca="1" ref="T105" ca="1">INDIRECT("'※ 소상공인 세부데이터'!"&amp;T$1&amp;$Z105, TRUE)</f>
        <v>0</v>
      </c>
      <c r="U105" s="5045"/>
      <c r="V105" s="5046"/>
      <c r="W105" s="5047" cm="1">
        <f t="array" aca="1" ref="W105" ca="1">INDIRECT("'※ 소상공인 세부데이터'!"&amp;W$1&amp;$Z105, TRUE)</f>
        <v>-53.396428571428572</v>
      </c>
      <c r="X105" s="5042" cm="1">
        <f t="array" aca="1" ref="X105" ca="1">INDIRECT("'※ 소상공인 세부데이터'!"&amp;X$1&amp;$Z105, TRUE)</f>
        <v>0</v>
      </c>
      <c r="Y105" s="5087" cm="1">
        <f t="array" aca="1" ref="Y105" ca="1">INDIRECT("'※ 소상공인 세부데이터'!"&amp;Y$1&amp;$Z105, TRUE)</f>
        <v>-4.449702380952381</v>
      </c>
      <c r="Z105" s="3693">
        <f>ROW('※ 소상공인 세부데이터'!J64)</f>
        <v>64</v>
      </c>
      <c r="AA105" s="3053"/>
      <c r="AB105" s="3015"/>
      <c r="AC105" s="3015"/>
      <c r="AD105" s="3015"/>
      <c r="AE105" s="3015"/>
      <c r="AF105" s="3015"/>
      <c r="AG105" s="3015"/>
      <c r="AH105" s="3015"/>
      <c r="AI105" s="3015"/>
      <c r="AJ105" s="3015"/>
      <c r="AK105" s="3015"/>
      <c r="AL105" s="3015"/>
      <c r="AM105" s="3015"/>
    </row>
    <row r="106" spans="1:39" s="5076" customFormat="1" ht="11.4" customHeight="1" x14ac:dyDescent="0.55000000000000004">
      <c r="A106" s="7270" t="s">
        <v>177</v>
      </c>
      <c r="B106" s="5090" t="s">
        <v>163</v>
      </c>
      <c r="C106" s="5091"/>
      <c r="D106" s="5092" cm="1">
        <f t="array" aca="1" ref="D106" ca="1">INDIRECT("'※ 소상공인 세부데이터'!"&amp;D$1&amp;$Z106, TRUE)</f>
        <v>26</v>
      </c>
      <c r="E106" s="5093" cm="1">
        <f t="array" aca="1" ref="E106" ca="1">INDIRECT("'※ 소상공인 세부데이터'!"&amp;E$1&amp;$Z106, TRUE)</f>
        <v>35</v>
      </c>
      <c r="F106" s="5094" cm="1">
        <f t="array" aca="1" ref="F106" ca="1">INDIRECT("'※ 소상공인 세부데이터'!"&amp;F$1&amp;$Z106, TRUE)</f>
        <v>41</v>
      </c>
      <c r="G106" s="5095" cm="1">
        <f t="array" aca="1" ref="G106" ca="1">INDIRECT("'※ 소상공인 세부데이터'!"&amp;G$1&amp;$Z106, TRUE)</f>
        <v>39</v>
      </c>
      <c r="H106" s="5095" cm="1">
        <f t="array" aca="1" ref="H106" ca="1">INDIRECT("'※ 소상공인 세부데이터'!"&amp;H$1&amp;$Z106, TRUE)</f>
        <v>43</v>
      </c>
      <c r="I106" s="5095" cm="1">
        <f t="array" aca="1" ref="I106" ca="1">INDIRECT("'※ 소상공인 세부데이터'!"&amp;I$1&amp;$Z106, TRUE)</f>
        <v>44</v>
      </c>
      <c r="J106" s="5095" cm="1">
        <f t="array" aca="1" ref="J106" ca="1">INDIRECT("'※ 소상공인 세부데이터'!"&amp;J$1&amp;$Z106, TRUE)</f>
        <v>43</v>
      </c>
      <c r="K106" s="5095" cm="1">
        <f t="array" aca="1" ref="K106" ca="1">INDIRECT("'※ 소상공인 세부데이터'!"&amp;K$1&amp;$Z106, TRUE)</f>
        <v>38</v>
      </c>
      <c r="L106" s="5095" cm="1">
        <f t="array" aca="1" ref="L106" ca="1">INDIRECT("'※ 소상공인 세부데이터'!"&amp;L$1&amp;$Z106, TRUE)</f>
        <v>28</v>
      </c>
      <c r="M106" s="5095" cm="1">
        <f t="array" aca="1" ref="M106" ca="1">INDIRECT("'※ 소상공인 세부데이터'!"&amp;M$1&amp;$Z106, TRUE)</f>
        <v>28</v>
      </c>
      <c r="N106" s="5095" cm="1">
        <f t="array" aca="1" ref="N106" ca="1">INDIRECT("'※ 소상공인 세부데이터'!"&amp;N$1&amp;$Z106, TRUE)</f>
        <v>29</v>
      </c>
      <c r="O106" s="5095" cm="1">
        <f t="array" aca="1" ref="O106" ca="1">INDIRECT("'※ 소상공인 세부데이터'!"&amp;O$1&amp;$Z106, TRUE)</f>
        <v>27</v>
      </c>
      <c r="P106" s="5095" cm="1">
        <f t="array" aca="1" ref="P106" ca="1">INDIRECT("'※ 소상공인 세부데이터'!"&amp;P$1&amp;$Z106, TRUE)</f>
        <v>27</v>
      </c>
      <c r="Q106" s="5095" cm="1">
        <f t="array" aca="1" ref="Q106" ca="1">INDIRECT("'※ 소상공인 세부데이터'!"&amp;Q$1&amp;$Z106, TRUE)</f>
        <v>17</v>
      </c>
      <c r="R106" s="5096" cm="1">
        <f t="array" aca="1" ref="R106" ca="1">INDIRECT("'※ 소상공인 세부데이터'!"&amp;R$1&amp;$Z106, TRUE)</f>
        <v>-10</v>
      </c>
      <c r="S106" s="5097" cm="1">
        <f t="array" aca="1" ref="S106" ca="1">INDIRECT("'※ 소상공인 세부데이터'!"&amp;S$1&amp;$Z106, TRUE)</f>
        <v>-18</v>
      </c>
      <c r="T106" s="5098" cm="1">
        <f t="array" aca="1" ref="T106" ca="1">INDIRECT("'※ 소상공인 세부데이터'!"&amp;T$1&amp;$Z106, TRUE)</f>
        <v>17</v>
      </c>
      <c r="U106" s="5045"/>
      <c r="V106" s="5046"/>
      <c r="W106" s="5099" cm="1">
        <f t="array" aca="1" ref="W106" ca="1">INDIRECT("'※ 소상공인 세부데이터'!"&amp;W$1&amp;$Z106, TRUE)</f>
        <v>41</v>
      </c>
      <c r="X106" s="5096" cm="1">
        <f t="array" aca="1" ref="X106" ca="1">INDIRECT("'※ 소상공인 세부데이터'!"&amp;X$1&amp;$Z106, TRUE)</f>
        <v>33.666666666666664</v>
      </c>
      <c r="Y106" s="5100" cm="1">
        <f t="array" aca="1" ref="Y106" ca="1">INDIRECT("'※ 소상공인 세부데이터'!"&amp;Y$1&amp;$Z106, TRUE)</f>
        <v>3.4166666666666643</v>
      </c>
      <c r="Z106" s="3693">
        <f>ROW('※ 소상공인 세부데이터'!J65)</f>
        <v>65</v>
      </c>
      <c r="AA106" s="3053"/>
      <c r="AB106" s="5005"/>
      <c r="AC106" s="5005"/>
      <c r="AD106" s="5005"/>
      <c r="AE106" s="5005"/>
      <c r="AF106" s="5005"/>
      <c r="AG106" s="5005"/>
      <c r="AH106" s="5005"/>
      <c r="AI106" s="5005"/>
      <c r="AJ106" s="5005"/>
      <c r="AK106" s="5005"/>
      <c r="AL106" s="5005"/>
      <c r="AM106" s="5005"/>
    </row>
    <row r="107" spans="1:39" ht="11.4" customHeight="1" x14ac:dyDescent="0.55000000000000004">
      <c r="A107" s="7271"/>
      <c r="B107" s="2639" t="s">
        <v>170</v>
      </c>
      <c r="C107" s="5077" t="s">
        <v>171</v>
      </c>
      <c r="D107" s="5078" cm="1">
        <f t="array" aca="1" ref="D107" ca="1">INDIRECT("'※ 소상공인 세부데이터'!"&amp;D$1&amp;$Z107, TRUE)</f>
        <v>4</v>
      </c>
      <c r="E107" s="5079" cm="1">
        <f t="array" aca="1" ref="E107" ca="1">INDIRECT("'※ 소상공인 세부데이터'!"&amp;E$1&amp;$Z107, TRUE)</f>
        <v>8</v>
      </c>
      <c r="F107" s="5080" cm="1">
        <f t="array" aca="1" ref="F107" ca="1">INDIRECT("'※ 소상공인 세부데이터'!"&amp;F$1&amp;$Z107, TRUE)</f>
        <v>1</v>
      </c>
      <c r="G107" s="3647" cm="1">
        <f t="array" aca="1" ref="G107" ca="1">INDIRECT("'※ 소상공인 세부데이터'!"&amp;G$1&amp;$Z107, TRUE)</f>
        <v>1</v>
      </c>
      <c r="H107" s="3647" cm="1">
        <f t="array" aca="1" ref="H107" ca="1">INDIRECT("'※ 소상공인 세부데이터'!"&amp;H$1&amp;$Z107, TRUE)</f>
        <v>1</v>
      </c>
      <c r="I107" s="3647" cm="1">
        <f t="array" aca="1" ref="I107" ca="1">INDIRECT("'※ 소상공인 세부데이터'!"&amp;I$1&amp;$Z107, TRUE)</f>
        <v>7</v>
      </c>
      <c r="J107" s="3647" cm="1">
        <f t="array" aca="1" ref="J107" ca="1">INDIRECT("'※ 소상공인 세부데이터'!"&amp;J$1&amp;$Z107, TRUE)</f>
        <v>7</v>
      </c>
      <c r="K107" s="3647" cm="1">
        <f t="array" aca="1" ref="K107" ca="1">INDIRECT("'※ 소상공인 세부데이터'!"&amp;K$1&amp;$Z107, TRUE)</f>
        <v>7</v>
      </c>
      <c r="L107" s="3647" cm="1">
        <f t="array" aca="1" ref="L107" ca="1">INDIRECT("'※ 소상공인 세부데이터'!"&amp;L$1&amp;$Z107, TRUE)</f>
        <v>8</v>
      </c>
      <c r="M107" s="3647" cm="1">
        <f t="array" aca="1" ref="M107" ca="1">INDIRECT("'※ 소상공인 세부데이터'!"&amp;M$1&amp;$Z107, TRUE)</f>
        <v>8</v>
      </c>
      <c r="N107" s="3647" cm="1">
        <f t="array" aca="1" ref="N107" ca="1">INDIRECT("'※ 소상공인 세부데이터'!"&amp;N$1&amp;$Z107, TRUE)</f>
        <v>8</v>
      </c>
      <c r="O107" s="3647" cm="1">
        <f t="array" aca="1" ref="O107" ca="1">INDIRECT("'※ 소상공인 세부데이터'!"&amp;O$1&amp;$Z107, TRUE)</f>
        <v>12</v>
      </c>
      <c r="P107" s="3647" cm="1">
        <f t="array" aca="1" ref="P107" ca="1">INDIRECT("'※ 소상공인 세부데이터'!"&amp;P$1&amp;$Z107, TRUE)</f>
        <v>12</v>
      </c>
      <c r="Q107" s="3647" cm="1">
        <f t="array" aca="1" ref="Q107" ca="1">INDIRECT("'※ 소상공인 세부데이터'!"&amp;Q$1&amp;$Z107, TRUE)</f>
        <v>9</v>
      </c>
      <c r="R107" s="5081" cm="1">
        <f t="array" aca="1" ref="R107" ca="1">INDIRECT("'※ 소상공인 세부데이터'!"&amp;R$1&amp;$Z107, TRUE)</f>
        <v>-3</v>
      </c>
      <c r="S107" s="5082" cm="1">
        <f t="array" aca="1" ref="S107" ca="1">INDIRECT("'※ 소상공인 세부데이터'!"&amp;S$1&amp;$Z107, TRUE)</f>
        <v>1</v>
      </c>
      <c r="T107" s="5083" cm="1">
        <f t="array" aca="1" ref="T107" ca="1">INDIRECT("'※ 소상공인 세부데이터'!"&amp;T$1&amp;$Z107, TRUE)</f>
        <v>9</v>
      </c>
      <c r="U107" s="5045"/>
      <c r="V107" s="5046"/>
      <c r="W107" s="5084" cm="1">
        <f t="array" aca="1" ref="W107" ca="1">INDIRECT("'※ 소상공인 세부데이터'!"&amp;W$1&amp;$Z107, TRUE)</f>
        <v>-1</v>
      </c>
      <c r="X107" s="5081" cm="1">
        <f t="array" aca="1" ref="X107" ca="1">INDIRECT("'※ 소상공인 세부데이터'!"&amp;X$1&amp;$Z107, TRUE)</f>
        <v>6.75</v>
      </c>
      <c r="Y107" s="5085" cm="1">
        <f t="array" aca="1" ref="Y107" ca="1">INDIRECT("'※ 소상공인 세부데이터'!"&amp;Y$1&amp;$Z107, TRUE)</f>
        <v>-8.3333333333333037E-2</v>
      </c>
      <c r="Z107" s="3693">
        <f>ROW('※ 소상공인 세부데이터'!J66)</f>
        <v>66</v>
      </c>
      <c r="AA107" s="3053"/>
      <c r="AB107" s="3015"/>
      <c r="AC107" s="3015"/>
      <c r="AD107" s="3015"/>
      <c r="AE107" s="3015"/>
      <c r="AF107" s="3015"/>
      <c r="AG107" s="3015"/>
      <c r="AH107" s="3015"/>
      <c r="AI107" s="3015"/>
      <c r="AJ107" s="3015"/>
      <c r="AK107" s="3015"/>
      <c r="AL107" s="3015"/>
      <c r="AM107" s="3015"/>
    </row>
    <row r="108" spans="1:39" ht="11.4" customHeight="1" x14ac:dyDescent="0.55000000000000004">
      <c r="A108" s="7271"/>
      <c r="B108" s="2639"/>
      <c r="C108" s="5077" t="s">
        <v>172</v>
      </c>
      <c r="D108" s="5078" cm="1">
        <f t="array" aca="1" ref="D108" ca="1">INDIRECT("'※ 소상공인 세부데이터'!"&amp;D$1&amp;$Z108, TRUE)</f>
        <v>0</v>
      </c>
      <c r="E108" s="5079" cm="1">
        <f t="array" aca="1" ref="E108" ca="1">INDIRECT("'※ 소상공인 세부데이터'!"&amp;E$1&amp;$Z108, TRUE)</f>
        <v>6</v>
      </c>
      <c r="F108" s="5080" cm="1">
        <f t="array" aca="1" ref="F108" ca="1">INDIRECT("'※ 소상공인 세부데이터'!"&amp;F$1&amp;$Z108, TRUE)</f>
        <v>2</v>
      </c>
      <c r="G108" s="3647" cm="1">
        <f t="array" aca="1" ref="G108" ca="1">INDIRECT("'※ 소상공인 세부데이터'!"&amp;G$1&amp;$Z108, TRUE)</f>
        <v>2</v>
      </c>
      <c r="H108" s="3647" cm="1">
        <f t="array" aca="1" ref="H108" ca="1">INDIRECT("'※ 소상공인 세부데이터'!"&amp;H$1&amp;$Z108, TRUE)</f>
        <v>2</v>
      </c>
      <c r="I108" s="3647" cm="1">
        <f t="array" aca="1" ref="I108" ca="1">INDIRECT("'※ 소상공인 세부데이터'!"&amp;I$1&amp;$Z108, TRUE)</f>
        <v>3</v>
      </c>
      <c r="J108" s="3647" cm="1">
        <f t="array" aca="1" ref="J108" ca="1">INDIRECT("'※ 소상공인 세부데이터'!"&amp;J$1&amp;$Z108, TRUE)</f>
        <v>3</v>
      </c>
      <c r="K108" s="3647" cm="1">
        <f t="array" aca="1" ref="K108" ca="1">INDIRECT("'※ 소상공인 세부데이터'!"&amp;K$1&amp;$Z108, TRUE)</f>
        <v>3</v>
      </c>
      <c r="L108" s="3647" cm="1">
        <f t="array" aca="1" ref="L108" ca="1">INDIRECT("'※ 소상공인 세부데이터'!"&amp;L$1&amp;$Z108, TRUE)</f>
        <v>6</v>
      </c>
      <c r="M108" s="3647" cm="1">
        <f t="array" aca="1" ref="M108" ca="1">INDIRECT("'※ 소상공인 세부데이터'!"&amp;M$1&amp;$Z108, TRUE)</f>
        <v>6</v>
      </c>
      <c r="N108" s="3647" cm="1">
        <f t="array" aca="1" ref="N108" ca="1">INDIRECT("'※ 소상공인 세부데이터'!"&amp;N$1&amp;$Z108, TRUE)</f>
        <v>6</v>
      </c>
      <c r="O108" s="3647" cm="1">
        <f t="array" aca="1" ref="O108" ca="1">INDIRECT("'※ 소상공인 세부데이터'!"&amp;O$1&amp;$Z108, TRUE)</f>
        <v>4</v>
      </c>
      <c r="P108" s="3647" cm="1">
        <f t="array" aca="1" ref="P108" ca="1">INDIRECT("'※ 소상공인 세부데이터'!"&amp;P$1&amp;$Z108, TRUE)</f>
        <v>4</v>
      </c>
      <c r="Q108" s="3647" cm="1">
        <f t="array" aca="1" ref="Q108" ca="1">INDIRECT("'※ 소상공인 세부데이터'!"&amp;Q$1&amp;$Z108, TRUE)</f>
        <v>3</v>
      </c>
      <c r="R108" s="5081" cm="1">
        <f t="array" aca="1" ref="R108" ca="1">INDIRECT("'※ 소상공인 세부데이터'!"&amp;R$1&amp;$Z108, TRUE)</f>
        <v>-1</v>
      </c>
      <c r="S108" s="5082" cm="1">
        <f t="array" aca="1" ref="S108" ca="1">INDIRECT("'※ 소상공인 세부데이터'!"&amp;S$1&amp;$Z108, TRUE)</f>
        <v>-3</v>
      </c>
      <c r="T108" s="5083" cm="1">
        <f t="array" aca="1" ref="T108" ca="1">INDIRECT("'※ 소상공인 세부데이터'!"&amp;T$1&amp;$Z108, TRUE)</f>
        <v>3</v>
      </c>
      <c r="U108" s="5045"/>
      <c r="V108" s="5046"/>
      <c r="W108" s="5084" cm="1">
        <f t="array" aca="1" ref="W108" ca="1">INDIRECT("'※ 소상공인 세부데이터'!"&amp;W$1&amp;$Z108, TRUE)</f>
        <v>-30</v>
      </c>
      <c r="X108" s="5081" cm="1">
        <f t="array" aca="1" ref="X108" ca="1">INDIRECT("'※ 소상공인 세부데이터'!"&amp;X$1&amp;$Z108, TRUE)</f>
        <v>3.6666666666666665</v>
      </c>
      <c r="Y108" s="5085" cm="1">
        <f t="array" aca="1" ref="Y108" ca="1">INDIRECT("'※ 소상공인 세부데이터'!"&amp;Y$1&amp;$Z108, TRUE)</f>
        <v>-2.5000000000000004</v>
      </c>
      <c r="Z108" s="3693">
        <f>ROW('※ 소상공인 세부데이터'!J67)</f>
        <v>67</v>
      </c>
      <c r="AA108" s="3053"/>
      <c r="AB108" s="3015"/>
      <c r="AC108" s="3015"/>
      <c r="AD108" s="3015"/>
      <c r="AE108" s="3015"/>
      <c r="AF108" s="3015"/>
      <c r="AG108" s="3015"/>
      <c r="AH108" s="3015"/>
      <c r="AI108" s="3015"/>
      <c r="AJ108" s="3015"/>
      <c r="AK108" s="3015"/>
      <c r="AL108" s="3015"/>
      <c r="AM108" s="3015"/>
    </row>
    <row r="109" spans="1:39" ht="11.4" customHeight="1" x14ac:dyDescent="0.55000000000000004">
      <c r="A109" s="7271"/>
      <c r="B109" s="2639"/>
      <c r="C109" s="5077" t="s">
        <v>173</v>
      </c>
      <c r="D109" s="5078" cm="1">
        <f t="array" aca="1" ref="D109" ca="1">INDIRECT("'※ 소상공인 세부데이터'!"&amp;D$1&amp;$Z109, TRUE)</f>
        <v>2</v>
      </c>
      <c r="E109" s="5079" cm="1">
        <f t="array" aca="1" ref="E109" ca="1">INDIRECT("'※ 소상공인 세부데이터'!"&amp;E$1&amp;$Z109, TRUE)</f>
        <v>4</v>
      </c>
      <c r="F109" s="5080" cm="1">
        <f t="array" aca="1" ref="F109" ca="1">INDIRECT("'※ 소상공인 세부데이터'!"&amp;F$1&amp;$Z109, TRUE)</f>
        <v>12</v>
      </c>
      <c r="G109" s="3647" cm="1">
        <f t="array" aca="1" ref="G109" ca="1">INDIRECT("'※ 소상공인 세부데이터'!"&amp;G$1&amp;$Z109, TRUE)</f>
        <v>12</v>
      </c>
      <c r="H109" s="3647" cm="1">
        <f t="array" aca="1" ref="H109" ca="1">INDIRECT("'※ 소상공인 세부데이터'!"&amp;H$1&amp;$Z109, TRUE)</f>
        <v>12</v>
      </c>
      <c r="I109" s="3647" cm="1">
        <f t="array" aca="1" ref="I109" ca="1">INDIRECT("'※ 소상공인 세부데이터'!"&amp;I$1&amp;$Z109, TRUE)</f>
        <v>5</v>
      </c>
      <c r="J109" s="3647" cm="1">
        <f t="array" aca="1" ref="J109" ca="1">INDIRECT("'※ 소상공인 세부데이터'!"&amp;J$1&amp;$Z109, TRUE)</f>
        <v>5</v>
      </c>
      <c r="K109" s="3647" cm="1">
        <f t="array" aca="1" ref="K109" ca="1">INDIRECT("'※ 소상공인 세부데이터'!"&amp;K$1&amp;$Z109, TRUE)</f>
        <v>5</v>
      </c>
      <c r="L109" s="3647" cm="1">
        <f t="array" aca="1" ref="L109" ca="1">INDIRECT("'※ 소상공인 세부데이터'!"&amp;L$1&amp;$Z109, TRUE)</f>
        <v>4</v>
      </c>
      <c r="M109" s="3647" cm="1">
        <f t="array" aca="1" ref="M109" ca="1">INDIRECT("'※ 소상공인 세부데이터'!"&amp;M$1&amp;$Z109, TRUE)</f>
        <v>4</v>
      </c>
      <c r="N109" s="3647" cm="1">
        <f t="array" aca="1" ref="N109" ca="1">INDIRECT("'※ 소상공인 세부데이터'!"&amp;N$1&amp;$Z109, TRUE)</f>
        <v>4</v>
      </c>
      <c r="O109" s="3647" cm="1">
        <f t="array" aca="1" ref="O109" ca="1">INDIRECT("'※ 소상공인 세부데이터'!"&amp;O$1&amp;$Z109, TRUE)</f>
        <v>8</v>
      </c>
      <c r="P109" s="3647" cm="1">
        <f t="array" aca="1" ref="P109" ca="1">INDIRECT("'※ 소상공인 세부데이터'!"&amp;P$1&amp;$Z109, TRUE)</f>
        <v>8</v>
      </c>
      <c r="Q109" s="3647" cm="1">
        <f t="array" aca="1" ref="Q109" ca="1">INDIRECT("'※ 소상공인 세부데이터'!"&amp;Q$1&amp;$Z109, TRUE)</f>
        <v>4</v>
      </c>
      <c r="R109" s="5081" cm="1">
        <f t="array" aca="1" ref="R109" ca="1">INDIRECT("'※ 소상공인 세부데이터'!"&amp;R$1&amp;$Z109, TRUE)</f>
        <v>-4</v>
      </c>
      <c r="S109" s="5082" cm="1">
        <f t="array" aca="1" ref="S109" ca="1">INDIRECT("'※ 소상공인 세부데이터'!"&amp;S$1&amp;$Z109, TRUE)</f>
        <v>0</v>
      </c>
      <c r="T109" s="5083" cm="1">
        <f t="array" aca="1" ref="T109" ca="1">INDIRECT("'※ 소상공인 세부데이터'!"&amp;T$1&amp;$Z109, TRUE)</f>
        <v>4</v>
      </c>
      <c r="U109" s="5045"/>
      <c r="V109" s="5046"/>
      <c r="W109" s="5084" cm="1">
        <f t="array" aca="1" ref="W109" ca="1">INDIRECT("'※ 소상공인 세부데이터'!"&amp;W$1&amp;$Z109, TRUE)</f>
        <v>29</v>
      </c>
      <c r="X109" s="5081" cm="1">
        <f t="array" aca="1" ref="X109" ca="1">INDIRECT("'※ 소상공인 세부데이터'!"&amp;X$1&amp;$Z109, TRUE)</f>
        <v>6.916666666666667</v>
      </c>
      <c r="Y109" s="5085" cm="1">
        <f t="array" aca="1" ref="Y109" ca="1">INDIRECT("'※ 소상공인 세부데이터'!"&amp;Y$1&amp;$Z109, TRUE)</f>
        <v>2.416666666666667</v>
      </c>
      <c r="Z109" s="3693">
        <f>ROW('※ 소상공인 세부데이터'!J68)</f>
        <v>68</v>
      </c>
      <c r="AA109" s="3053"/>
      <c r="AB109" s="3015"/>
      <c r="AC109" s="3015"/>
      <c r="AD109" s="3015"/>
      <c r="AE109" s="3015"/>
      <c r="AF109" s="3015"/>
      <c r="AG109" s="3015"/>
      <c r="AH109" s="3015"/>
      <c r="AI109" s="3015"/>
      <c r="AJ109" s="3015"/>
      <c r="AK109" s="3015"/>
      <c r="AL109" s="3015"/>
      <c r="AM109" s="3015"/>
    </row>
    <row r="110" spans="1:39" ht="11.4" customHeight="1" x14ac:dyDescent="0.55000000000000004">
      <c r="A110" s="7271"/>
      <c r="B110" s="2639"/>
      <c r="C110" s="5077" t="s">
        <v>538</v>
      </c>
      <c r="D110" s="5078" cm="1">
        <f t="array" aca="1" ref="D110" ca="1">INDIRECT("'※ 소상공인 세부데이터'!"&amp;D$1&amp;$Z110, TRUE)</f>
        <v>6</v>
      </c>
      <c r="E110" s="5079" cm="1">
        <f t="array" aca="1" ref="E110" ca="1">INDIRECT("'※ 소상공인 세부데이터'!"&amp;E$1&amp;$Z110, TRUE)</f>
        <v>17</v>
      </c>
      <c r="F110" s="5080" cm="1">
        <f t="array" aca="1" ref="F110" ca="1">INDIRECT("'※ 소상공인 세부데이터'!"&amp;F$1&amp;$Z110, TRUE)</f>
        <v>26</v>
      </c>
      <c r="G110" s="3647" cm="1">
        <f t="array" aca="1" ref="G110" ca="1">INDIRECT("'※ 소상공인 세부데이터'!"&amp;G$1&amp;$Z110, TRUE)</f>
        <v>24</v>
      </c>
      <c r="H110" s="3647" cm="1">
        <f t="array" aca="1" ref="H110" ca="1">INDIRECT("'※ 소상공인 세부데이터'!"&amp;H$1&amp;$Z110, TRUE)</f>
        <v>28</v>
      </c>
      <c r="I110" s="3647" cm="1">
        <f t="array" aca="1" ref="I110" ca="1">INDIRECT("'※ 소상공인 세부데이터'!"&amp;I$1&amp;$Z110, TRUE)</f>
        <v>29</v>
      </c>
      <c r="J110" s="3647" cm="1">
        <f t="array" aca="1" ref="J110" ca="1">INDIRECT("'※ 소상공인 세부데이터'!"&amp;J$1&amp;$Z110, TRUE)</f>
        <v>28</v>
      </c>
      <c r="K110" s="3647" cm="1">
        <f t="array" aca="1" ref="K110" ca="1">INDIRECT("'※ 소상공인 세부데이터'!"&amp;K$1&amp;$Z110, TRUE)</f>
        <v>23</v>
      </c>
      <c r="L110" s="3647" cm="1">
        <f t="array" aca="1" ref="L110" ca="1">INDIRECT("'※ 소상공인 세부데이터'!"&amp;L$1&amp;$Z110, TRUE)</f>
        <v>10</v>
      </c>
      <c r="M110" s="3647" cm="1">
        <f t="array" aca="1" ref="M110" ca="1">INDIRECT("'※ 소상공인 세부데이터'!"&amp;M$1&amp;$Z110, TRUE)</f>
        <v>10</v>
      </c>
      <c r="N110" s="3647" cm="1">
        <f t="array" aca="1" ref="N110" ca="1">INDIRECT("'※ 소상공인 세부데이터'!"&amp;N$1&amp;$Z110, TRUE)</f>
        <v>11</v>
      </c>
      <c r="O110" s="3647" cm="1">
        <f t="array" aca="1" ref="O110" ca="1">INDIRECT("'※ 소상공인 세부데이터'!"&amp;O$1&amp;$Z110, TRUE)</f>
        <v>3</v>
      </c>
      <c r="P110" s="3647" cm="1">
        <f t="array" aca="1" ref="P110" ca="1">INDIRECT("'※ 소상공인 세부데이터'!"&amp;P$1&amp;$Z110, TRUE)</f>
        <v>3</v>
      </c>
      <c r="Q110" s="3647" cm="1">
        <f t="array" aca="1" ref="Q110" ca="1">INDIRECT("'※ 소상공인 세부데이터'!"&amp;Q$1&amp;$Z110, TRUE)</f>
        <v>1</v>
      </c>
      <c r="R110" s="5081" cm="1">
        <f t="array" aca="1" ref="R110" ca="1">INDIRECT("'※ 소상공인 세부데이터'!"&amp;R$1&amp;$Z110, TRUE)</f>
        <v>-2</v>
      </c>
      <c r="S110" s="5082" cm="1">
        <f t="array" aca="1" ref="S110" ca="1">INDIRECT("'※ 소상공인 세부데이터'!"&amp;S$1&amp;$Z110, TRUE)</f>
        <v>-16</v>
      </c>
      <c r="T110" s="5083" cm="1">
        <f t="array" aca="1" ref="T110" ca="1">INDIRECT("'※ 소상공인 세부데이터'!"&amp;T$1&amp;$Z110, TRUE)</f>
        <v>1</v>
      </c>
      <c r="U110" s="5045"/>
      <c r="V110" s="5046"/>
      <c r="W110" s="5084" cm="1">
        <f t="array" aca="1" ref="W110" ca="1">INDIRECT("'※ 소상공인 세부데이터'!"&amp;W$1&amp;$Z110, TRUE)</f>
        <v>61</v>
      </c>
      <c r="X110" s="5081" cm="1">
        <f t="array" aca="1" ref="X110" ca="1">INDIRECT("'※ 소상공인 세부데이터'!"&amp;X$1&amp;$Z110, TRUE)</f>
        <v>16.333333333333332</v>
      </c>
      <c r="Y110" s="5085" cm="1">
        <f t="array" aca="1" ref="Y110" ca="1">INDIRECT("'※ 소상공인 세부데이터'!"&amp;Y$1&amp;$Z110, TRUE)</f>
        <v>5.0833333333333321</v>
      </c>
      <c r="Z110" s="3693">
        <f>ROW('※ 소상공인 세부데이터'!J69)</f>
        <v>69</v>
      </c>
      <c r="AA110" s="3053"/>
      <c r="AB110" s="3015"/>
      <c r="AC110" s="3015"/>
      <c r="AD110" s="3015"/>
      <c r="AE110" s="3015"/>
      <c r="AF110" s="3015"/>
      <c r="AG110" s="3015"/>
      <c r="AH110" s="3015"/>
      <c r="AI110" s="3015"/>
      <c r="AJ110" s="3015"/>
      <c r="AK110" s="3015"/>
      <c r="AL110" s="3015"/>
      <c r="AM110" s="3015"/>
    </row>
    <row r="111" spans="1:39" ht="11.4" customHeight="1" x14ac:dyDescent="0.55000000000000004">
      <c r="A111" s="7271"/>
      <c r="B111" s="2639"/>
      <c r="C111" s="5077" t="s">
        <v>539</v>
      </c>
      <c r="D111" s="5078" cm="1">
        <f t="array" aca="1" ref="D111" ca="1">INDIRECT("'※ 소상공인 세부데이터'!"&amp;D$1&amp;$Z111, TRUE)</f>
        <v>6</v>
      </c>
      <c r="E111" s="5079" cm="1">
        <f t="array" aca="1" ref="E111" ca="1">INDIRECT("'※ 소상공인 세부데이터'!"&amp;E$1&amp;$Z111, TRUE)</f>
        <v>0</v>
      </c>
      <c r="F111" s="5080" cm="1">
        <f t="array" aca="1" ref="F111" ca="1">INDIRECT("'※ 소상공인 세부데이터'!"&amp;F$1&amp;$Z111, TRUE)</f>
        <v>0</v>
      </c>
      <c r="G111" s="3647" cm="1">
        <f t="array" aca="1" ref="G111" ca="1">INDIRECT("'※ 소상공인 세부데이터'!"&amp;G$1&amp;$Z111, TRUE)</f>
        <v>0</v>
      </c>
      <c r="H111" s="3647" cm="1">
        <f t="array" aca="1" ref="H111" ca="1">INDIRECT("'※ 소상공인 세부데이터'!"&amp;H$1&amp;$Z111, TRUE)</f>
        <v>0</v>
      </c>
      <c r="I111" s="3647" cm="1">
        <f t="array" aca="1" ref="I111" ca="1">INDIRECT("'※ 소상공인 세부데이터'!"&amp;I$1&amp;$Z111, TRUE)</f>
        <v>0</v>
      </c>
      <c r="J111" s="3647" cm="1">
        <f t="array" aca="1" ref="J111" ca="1">INDIRECT("'※ 소상공인 세부데이터'!"&amp;J$1&amp;$Z111, TRUE)</f>
        <v>0</v>
      </c>
      <c r="K111" s="3647" cm="1">
        <f t="array" aca="1" ref="K111" ca="1">INDIRECT("'※ 소상공인 세부데이터'!"&amp;K$1&amp;$Z111, TRUE)</f>
        <v>0</v>
      </c>
      <c r="L111" s="3647" cm="1">
        <f t="array" aca="1" ref="L111" ca="1">INDIRECT("'※ 소상공인 세부데이터'!"&amp;L$1&amp;$Z111, TRUE)</f>
        <v>0</v>
      </c>
      <c r="M111" s="3647" cm="1">
        <f t="array" aca="1" ref="M111" ca="1">INDIRECT("'※ 소상공인 세부데이터'!"&amp;M$1&amp;$Z111, TRUE)</f>
        <v>0</v>
      </c>
      <c r="N111" s="3647" cm="1">
        <f t="array" aca="1" ref="N111" ca="1">INDIRECT("'※ 소상공인 세부데이터'!"&amp;N$1&amp;$Z111, TRUE)</f>
        <v>0</v>
      </c>
      <c r="O111" s="3647" cm="1">
        <f t="array" aca="1" ref="O111" ca="1">INDIRECT("'※ 소상공인 세부데이터'!"&amp;O$1&amp;$Z111, TRUE)</f>
        <v>0</v>
      </c>
      <c r="P111" s="3647" cm="1">
        <f t="array" aca="1" ref="P111" ca="1">INDIRECT("'※ 소상공인 세부데이터'!"&amp;P$1&amp;$Z111, TRUE)</f>
        <v>0</v>
      </c>
      <c r="Q111" s="3647" cm="1">
        <f t="array" aca="1" ref="Q111" ca="1">INDIRECT("'※ 소상공인 세부데이터'!"&amp;Q$1&amp;$Z111, TRUE)</f>
        <v>0</v>
      </c>
      <c r="R111" s="5081" cm="1">
        <f t="array" aca="1" ref="R111" ca="1">INDIRECT("'※ 소상공인 세부데이터'!"&amp;R$1&amp;$Z111, TRUE)</f>
        <v>0</v>
      </c>
      <c r="S111" s="5082" cm="1">
        <f t="array" aca="1" ref="S111" ca="1">INDIRECT("'※ 소상공인 세부데이터'!"&amp;S$1&amp;$Z111, TRUE)</f>
        <v>0</v>
      </c>
      <c r="T111" s="5083" cm="1">
        <f t="array" aca="1" ref="T111" ca="1">INDIRECT("'※ 소상공인 세부데이터'!"&amp;T$1&amp;$Z111, TRUE)</f>
        <v>0</v>
      </c>
      <c r="U111" s="5046"/>
      <c r="V111" s="5046"/>
      <c r="W111" s="5084" cm="1">
        <f t="array" aca="1" ref="W111" ca="1">INDIRECT("'※ 소상공인 세부데이터'!"&amp;W$1&amp;$Z111, TRUE)</f>
        <v>-18</v>
      </c>
      <c r="X111" s="5081" cm="1">
        <f t="array" aca="1" ref="X111" ca="1">INDIRECT("'※ 소상공인 세부데이터'!"&amp;X$1&amp;$Z111, TRUE)</f>
        <v>0</v>
      </c>
      <c r="Y111" s="5085" cm="1">
        <f t="array" aca="1" ref="Y111" ca="1">INDIRECT("'※ 소상공인 세부데이터'!"&amp;Y$1&amp;$Z111, TRUE)</f>
        <v>-1.5</v>
      </c>
      <c r="Z111" s="3693">
        <f>ROW('※ 소상공인 세부데이터'!J70)</f>
        <v>70</v>
      </c>
      <c r="AA111" s="3053"/>
      <c r="AB111" s="3015"/>
      <c r="AC111" s="3015"/>
      <c r="AD111" s="3015"/>
      <c r="AE111" s="3015"/>
      <c r="AF111" s="3015"/>
      <c r="AG111" s="3015"/>
      <c r="AH111" s="3015"/>
      <c r="AI111" s="3015"/>
      <c r="AJ111" s="3015"/>
      <c r="AK111" s="3015"/>
      <c r="AL111" s="3015"/>
      <c r="AM111" s="3015"/>
    </row>
    <row r="112" spans="1:39" ht="11.4" customHeight="1" x14ac:dyDescent="0.55000000000000004">
      <c r="A112" s="7271"/>
      <c r="B112" s="3780" t="s">
        <v>174</v>
      </c>
      <c r="C112" s="5086" t="s">
        <v>171</v>
      </c>
      <c r="D112" s="5038" cm="1">
        <f t="array" aca="1" ref="D112" ca="1">INDIRECT("'※ 소상공인 세부데이터'!"&amp;D$1&amp;$Z112, TRUE)</f>
        <v>44.524999999999999</v>
      </c>
      <c r="E112" s="5039" cm="1">
        <f t="array" aca="1" ref="E112" ca="1">INDIRECT("'※ 소상공인 세부데이터'!"&amp;E$1&amp;$Z112, TRUE)</f>
        <v>36.5</v>
      </c>
      <c r="F112" s="5049" cm="1">
        <f t="array" aca="1" ref="F112" ca="1">INDIRECT("'※ 소상공인 세부데이터'!"&amp;F$1&amp;$Z112, TRUE)</f>
        <v>46.3</v>
      </c>
      <c r="G112" s="3659" cm="1">
        <f t="array" aca="1" ref="G112" ca="1">INDIRECT("'※ 소상공인 세부데이터'!"&amp;G$1&amp;$Z112, TRUE)</f>
        <v>52.8</v>
      </c>
      <c r="H112" s="3659" cm="1">
        <f t="array" aca="1" ref="H112" ca="1">INDIRECT("'※ 소상공인 세부데이터'!"&amp;H$1&amp;$Z112, TRUE)</f>
        <v>108.2</v>
      </c>
      <c r="I112" s="3659" cm="1">
        <f t="array" aca="1" ref="I112" ca="1">INDIRECT("'※ 소상공인 세부데이터'!"&amp;I$1&amp;$Z112, TRUE)</f>
        <v>49.271428571428565</v>
      </c>
      <c r="J112" s="3659" cm="1">
        <f t="array" aca="1" ref="J112" ca="1">INDIRECT("'※ 소상공인 세부데이터'!"&amp;J$1&amp;$Z112, TRUE)</f>
        <v>41.2</v>
      </c>
      <c r="K112" s="3659" cm="1">
        <f t="array" aca="1" ref="K112" ca="1">INDIRECT("'※ 소상공인 세부데이터'!"&amp;K$1&amp;$Z112, TRUE)</f>
        <v>44.8</v>
      </c>
      <c r="L112" s="3659" cm="1">
        <f t="array" aca="1" ref="L112" ca="1">INDIRECT("'※ 소상공인 세부데이터'!"&amp;L$1&amp;$Z112, TRUE)</f>
        <v>93.2</v>
      </c>
      <c r="M112" s="3659" cm="1">
        <f t="array" aca="1" ref="M112" ca="1">INDIRECT("'※ 소상공인 세부데이터'!"&amp;M$1&amp;$Z112, TRUE)</f>
        <v>57</v>
      </c>
      <c r="N112" s="3659" cm="1">
        <f t="array" aca="1" ref="N112" ca="1">INDIRECT("'※ 소상공인 세부데이터'!"&amp;N$1&amp;$Z112, TRUE)</f>
        <v>73.5</v>
      </c>
      <c r="O112" s="3659" cm="1">
        <f t="array" aca="1" ref="O112" ca="1">INDIRECT("'※ 소상공인 세부데이터'!"&amp;O$1&amp;$Z112, TRUE)</f>
        <v>44.2</v>
      </c>
      <c r="P112" s="3659" cm="1">
        <f t="array" aca="1" ref="P112" ca="1">INDIRECT("'※ 소상공인 세부데이터'!"&amp;P$1&amp;$Z112, TRUE)</f>
        <v>38.299999999999997</v>
      </c>
      <c r="Q112" s="3659" cm="1">
        <f t="array" aca="1" ref="Q112" ca="1">INDIRECT("'※ 소상공인 세부데이터'!"&amp;Q$1&amp;$Z112, TRUE)</f>
        <v>38.299999999999997</v>
      </c>
      <c r="R112" s="5042" cm="1">
        <f t="array" aca="1" ref="R112" ca="1">INDIRECT("'※ 소상공인 세부데이터'!"&amp;R$1&amp;$Z112, TRUE)</f>
        <v>0</v>
      </c>
      <c r="S112" s="5043" cm="1">
        <f t="array" aca="1" ref="S112" ca="1">INDIRECT("'※ 소상공인 세부데이터'!"&amp;S$1&amp;$Z112, TRUE)</f>
        <v>1.7999999999999972</v>
      </c>
      <c r="T112" s="5044" cm="1">
        <f t="array" aca="1" ref="T112" ca="1">INDIRECT("'※ 소상공인 세부데이터'!"&amp;T$1&amp;$Z112, TRUE)</f>
        <v>38.299999999999997</v>
      </c>
      <c r="U112" s="5046"/>
      <c r="V112" s="5046"/>
      <c r="W112" s="5047" cm="1">
        <f t="array" aca="1" ref="W112" ca="1">INDIRECT("'※ 소상공인 세부데이터'!"&amp;W$1&amp;$Z112, TRUE)</f>
        <v>144.59142857142842</v>
      </c>
      <c r="X112" s="5042" cm="1">
        <f t="array" aca="1" ref="X112" ca="1">INDIRECT("'※ 소상공인 세부데이터'!"&amp;X$1&amp;$Z112, TRUE)</f>
        <v>57.255952380952372</v>
      </c>
      <c r="Y112" s="5087" cm="1">
        <f t="array" aca="1" ref="Y112" ca="1">INDIRECT("'※ 소상공인 세부데이터'!"&amp;Y$1&amp;$Z112, TRUE)</f>
        <v>12.049285714285702</v>
      </c>
      <c r="Z112" s="3693">
        <f>ROW('※ 소상공인 세부데이터'!J71)</f>
        <v>71</v>
      </c>
      <c r="AA112" s="3053"/>
      <c r="AB112" s="3015"/>
      <c r="AC112" s="3015"/>
      <c r="AD112" s="3015"/>
      <c r="AE112" s="3015"/>
      <c r="AF112" s="3015"/>
      <c r="AG112" s="3015"/>
      <c r="AH112" s="3015"/>
      <c r="AI112" s="3015"/>
      <c r="AJ112" s="3015"/>
      <c r="AK112" s="3015"/>
      <c r="AL112" s="3015"/>
      <c r="AM112" s="3015"/>
    </row>
    <row r="113" spans="1:39" ht="11.4" customHeight="1" x14ac:dyDescent="0.55000000000000004">
      <c r="A113" s="7271"/>
      <c r="B113" s="3780"/>
      <c r="C113" s="5086" t="s">
        <v>172</v>
      </c>
      <c r="D113" s="5038" cm="1">
        <f t="array" aca="1" ref="D113" ca="1">INDIRECT("'※ 소상공인 세부데이터'!"&amp;D$1&amp;$Z113, TRUE)</f>
        <v>0</v>
      </c>
      <c r="E113" s="5039" cm="1">
        <f t="array" aca="1" ref="E113" ca="1">INDIRECT("'※ 소상공인 세부데이터'!"&amp;E$1&amp;$Z113, TRUE)</f>
        <v>22.2</v>
      </c>
      <c r="F113" s="5049" cm="1">
        <f t="array" aca="1" ref="F113" ca="1">INDIRECT("'※ 소상공인 세부데이터'!"&amp;F$1&amp;$Z113, TRUE)</f>
        <v>34</v>
      </c>
      <c r="G113" s="3659" cm="1">
        <f t="array" aca="1" ref="G113" ca="1">INDIRECT("'※ 소상공인 세부데이터'!"&amp;G$1&amp;$Z113, TRUE)</f>
        <v>85.5</v>
      </c>
      <c r="H113" s="3659" cm="1">
        <f t="array" aca="1" ref="H113" ca="1">INDIRECT("'※ 소상공인 세부데이터'!"&amp;H$1&amp;$Z113, TRUE)</f>
        <v>83.9</v>
      </c>
      <c r="I113" s="3659" cm="1">
        <f t="array" aca="1" ref="I113" ca="1">INDIRECT("'※ 소상공인 세부데이터'!"&amp;I$1&amp;$Z113, TRUE)</f>
        <v>69.566666666666677</v>
      </c>
      <c r="J113" s="3659" cm="1">
        <f t="array" aca="1" ref="J113" ca="1">INDIRECT("'※ 소상공인 세부데이터'!"&amp;J$1&amp;$Z113, TRUE)</f>
        <v>49.9</v>
      </c>
      <c r="K113" s="3659" cm="1">
        <f t="array" aca="1" ref="K113" ca="1">INDIRECT("'※ 소상공인 세부데이터'!"&amp;K$1&amp;$Z113, TRUE)</f>
        <v>53.5</v>
      </c>
      <c r="L113" s="3659" cm="1">
        <f t="array" aca="1" ref="L113" ca="1">INDIRECT("'※ 소상공인 세부데이터'!"&amp;L$1&amp;$Z113, TRUE)</f>
        <v>53.6</v>
      </c>
      <c r="M113" s="3659" cm="1">
        <f t="array" aca="1" ref="M113" ca="1">INDIRECT("'※ 소상공인 세부데이터'!"&amp;M$1&amp;$Z113, TRUE)</f>
        <v>28.5</v>
      </c>
      <c r="N113" s="3659" cm="1">
        <f t="array" aca="1" ref="N113" ca="1">INDIRECT("'※ 소상공인 세부데이터'!"&amp;N$1&amp;$Z113, TRUE)</f>
        <v>77.099999999999994</v>
      </c>
      <c r="O113" s="3659" cm="1">
        <f t="array" aca="1" ref="O113" ca="1">INDIRECT("'※ 소상공인 세부데이터'!"&amp;O$1&amp;$Z113, TRUE)</f>
        <v>30.2</v>
      </c>
      <c r="P113" s="3659" cm="1">
        <f t="array" aca="1" ref="P113" ca="1">INDIRECT("'※ 소상공인 세부데이터'!"&amp;P$1&amp;$Z113, TRUE)</f>
        <v>20.9</v>
      </c>
      <c r="Q113" s="3659" cm="1">
        <f t="array" aca="1" ref="Q113" ca="1">INDIRECT("'※ 소상공인 세부데이터'!"&amp;Q$1&amp;$Z113, TRUE)</f>
        <v>14.5</v>
      </c>
      <c r="R113" s="5042" cm="1">
        <f t="array" aca="1" ref="R113" ca="1">INDIRECT("'※ 소상공인 세부데이터'!"&amp;R$1&amp;$Z113, TRUE)</f>
        <v>-6.3999999999999986</v>
      </c>
      <c r="S113" s="5043" cm="1">
        <f t="array" aca="1" ref="S113" ca="1">INDIRECT("'※ 소상공인 세부데이터'!"&amp;S$1&amp;$Z113, TRUE)</f>
        <v>-7.6999999999999993</v>
      </c>
      <c r="T113" s="5044" cm="1">
        <f t="array" aca="1" ref="T113" ca="1">INDIRECT("'※ 소상공인 세부데이터'!"&amp;T$1&amp;$Z113, TRUE)</f>
        <v>14.5</v>
      </c>
      <c r="U113" s="5046"/>
      <c r="V113" s="5046"/>
      <c r="W113" s="5047" cm="1">
        <f t="array" aca="1" ref="W113" ca="1">INDIRECT("'※ 소상공인 세부데이터'!"&amp;W$1&amp;$Z113, TRUE)</f>
        <v>241.03607142857157</v>
      </c>
      <c r="X113" s="5042" cm="1">
        <f t="array" aca="1" ref="X113" ca="1">INDIRECT("'※ 소상공인 세부데이터'!"&amp;X$1&amp;$Z113, TRUE)</f>
        <v>50.097222222222229</v>
      </c>
      <c r="Y113" s="5087" cm="1">
        <f t="array" aca="1" ref="Y113" ca="1">INDIRECT("'※ 소상공인 세부데이터'!"&amp;Y$1&amp;$Z113, TRUE)</f>
        <v>20.086339285714299</v>
      </c>
      <c r="Z113" s="3693">
        <f>ROW('※ 소상공인 세부데이터'!J72)</f>
        <v>72</v>
      </c>
      <c r="AA113" s="3053"/>
      <c r="AB113" s="3015"/>
      <c r="AC113" s="3015"/>
      <c r="AD113" s="3015"/>
      <c r="AE113" s="3015"/>
      <c r="AF113" s="3015"/>
      <c r="AG113" s="3015"/>
      <c r="AH113" s="3015"/>
      <c r="AI113" s="3015"/>
      <c r="AJ113" s="3015"/>
      <c r="AK113" s="3015"/>
      <c r="AL113" s="3015"/>
      <c r="AM113" s="3015"/>
    </row>
    <row r="114" spans="1:39" ht="11.4" customHeight="1" x14ac:dyDescent="0.55000000000000004">
      <c r="A114" s="7271"/>
      <c r="B114" s="3780"/>
      <c r="C114" s="5086" t="s">
        <v>173</v>
      </c>
      <c r="D114" s="5038" cm="1">
        <f t="array" aca="1" ref="D114" ca="1">INDIRECT("'※ 소상공인 세부데이터'!"&amp;D$1&amp;$Z114, TRUE)</f>
        <v>4</v>
      </c>
      <c r="E114" s="5039" cm="1">
        <f t="array" aca="1" ref="E114" ca="1">INDIRECT("'※ 소상공인 세부데이터'!"&amp;E$1&amp;$Z114, TRUE)</f>
        <v>12.1</v>
      </c>
      <c r="F114" s="5049" cm="1">
        <f t="array" aca="1" ref="F114" ca="1">INDIRECT("'※ 소상공인 세부데이터'!"&amp;F$1&amp;$Z114, TRUE)</f>
        <v>15.2</v>
      </c>
      <c r="G114" s="3659" cm="1">
        <f t="array" aca="1" ref="G114" ca="1">INDIRECT("'※ 소상공인 세부데이터'!"&amp;G$1&amp;$Z114, TRUE)</f>
        <v>31.1</v>
      </c>
      <c r="H114" s="3659" cm="1">
        <f t="array" aca="1" ref="H114" ca="1">INDIRECT("'※ 소상공인 세부데이터'!"&amp;H$1&amp;$Z114, TRUE)</f>
        <v>38.700000000000003</v>
      </c>
      <c r="I114" s="3659" cm="1">
        <f t="array" aca="1" ref="I114" ca="1">INDIRECT("'※ 소상공인 세부데이터'!"&amp;I$1&amp;$Z114, TRUE)</f>
        <v>28.720000000000006</v>
      </c>
      <c r="J114" s="3659" cm="1">
        <f t="array" aca="1" ref="J114" ca="1">INDIRECT("'※ 소상공인 세부데이터'!"&amp;J$1&amp;$Z114, TRUE)</f>
        <v>50.8</v>
      </c>
      <c r="K114" s="3659" cm="1">
        <f t="array" aca="1" ref="K114" ca="1">INDIRECT("'※ 소상공인 세부데이터'!"&amp;K$1&amp;$Z114, TRUE)</f>
        <v>42.7</v>
      </c>
      <c r="L114" s="3659" cm="1">
        <f t="array" aca="1" ref="L114" ca="1">INDIRECT("'※ 소상공인 세부데이터'!"&amp;L$1&amp;$Z114, TRUE)</f>
        <v>60.3</v>
      </c>
      <c r="M114" s="3659" cm="1">
        <f t="array" aca="1" ref="M114" ca="1">INDIRECT("'※ 소상공인 세부데이터'!"&amp;M$1&amp;$Z114, TRUE)</f>
        <v>35.6</v>
      </c>
      <c r="N114" s="3659" cm="1">
        <f t="array" aca="1" ref="N114" ca="1">INDIRECT("'※ 소상공인 세부데이터'!"&amp;N$1&amp;$Z114, TRUE)</f>
        <v>31.4</v>
      </c>
      <c r="O114" s="3659" cm="1">
        <f t="array" aca="1" ref="O114" ca="1">INDIRECT("'※ 소상공인 세부데이터'!"&amp;O$1&amp;$Z114, TRUE)</f>
        <v>27.1</v>
      </c>
      <c r="P114" s="3659" cm="1">
        <f t="array" aca="1" ref="P114" ca="1">INDIRECT("'※ 소상공인 세부데이터'!"&amp;P$1&amp;$Z114, TRUE)</f>
        <v>15</v>
      </c>
      <c r="Q114" s="3659" cm="1">
        <f t="array" aca="1" ref="Q114" ca="1">INDIRECT("'※ 소상공인 세부데이터'!"&amp;Q$1&amp;$Z114, TRUE)</f>
        <v>11.2</v>
      </c>
      <c r="R114" s="5042" cm="1">
        <f t="array" aca="1" ref="R114" ca="1">INDIRECT("'※ 소상공인 세부데이터'!"&amp;R$1&amp;$Z114, TRUE)</f>
        <v>-3.8000000000000007</v>
      </c>
      <c r="S114" s="5043" cm="1">
        <f t="array" aca="1" ref="S114" ca="1">INDIRECT("'※ 소상공인 세부데이터'!"&amp;S$1&amp;$Z114, TRUE)</f>
        <v>-0.90000000000000036</v>
      </c>
      <c r="T114" s="5044" cm="1">
        <f t="array" aca="1" ref="T114" ca="1">INDIRECT("'※ 소상공인 세부데이터'!"&amp;T$1&amp;$Z114, TRUE)</f>
        <v>11.2</v>
      </c>
      <c r="U114" s="5046"/>
      <c r="V114" s="5046"/>
      <c r="W114" s="5047" cm="1">
        <f t="array" aca="1" ref="W114" ca="1">INDIRECT("'※ 소상공인 세부데이터'!"&amp;W$1&amp;$Z114, TRUE)</f>
        <v>113.11666666666662</v>
      </c>
      <c r="X114" s="5042" cm="1">
        <f t="array" aca="1" ref="X114" ca="1">INDIRECT("'※ 소상공인 세부데이터'!"&amp;X$1&amp;$Z114, TRUE)</f>
        <v>32.318333333333335</v>
      </c>
      <c r="Y114" s="5087" cm="1">
        <f t="array" aca="1" ref="Y114" ca="1">INDIRECT("'※ 소상공인 세부데이터'!"&amp;Y$1&amp;$Z114, TRUE)</f>
        <v>9.4263888888888872</v>
      </c>
      <c r="Z114" s="3693">
        <f>ROW('※ 소상공인 세부데이터'!J73)</f>
        <v>73</v>
      </c>
      <c r="AA114" s="3053"/>
      <c r="AB114" s="3015"/>
      <c r="AC114" s="3015"/>
      <c r="AD114" s="3015"/>
      <c r="AE114" s="3015"/>
      <c r="AF114" s="3015"/>
      <c r="AG114" s="3015"/>
      <c r="AH114" s="3015"/>
      <c r="AI114" s="3015"/>
      <c r="AJ114" s="3015"/>
      <c r="AK114" s="3015"/>
      <c r="AL114" s="3015"/>
      <c r="AM114" s="3015"/>
    </row>
    <row r="115" spans="1:39" ht="11.4" customHeight="1" x14ac:dyDescent="0.55000000000000004">
      <c r="A115" s="7271"/>
      <c r="B115" s="3780"/>
      <c r="C115" s="5086" t="s">
        <v>538</v>
      </c>
      <c r="D115" s="5038" cm="1">
        <f t="array" aca="1" ref="D115" ca="1">INDIRECT("'※ 소상공인 세부데이터'!"&amp;D$1&amp;$Z115, TRUE)</f>
        <v>7.2833333333333341</v>
      </c>
      <c r="E115" s="5039" cm="1">
        <f t="array" aca="1" ref="E115" ca="1">INDIRECT("'※ 소상공인 세부데이터'!"&amp;E$1&amp;$Z115, TRUE)</f>
        <v>6.7</v>
      </c>
      <c r="F115" s="5049" cm="1">
        <f t="array" aca="1" ref="F115" ca="1">INDIRECT("'※ 소상공인 세부데이터'!"&amp;F$1&amp;$Z115, TRUE)</f>
        <v>12.2</v>
      </c>
      <c r="G115" s="3659" cm="1">
        <f t="array" aca="1" ref="G115" ca="1">INDIRECT("'※ 소상공인 세부데이터'!"&amp;G$1&amp;$Z115, TRUE)</f>
        <v>14.6</v>
      </c>
      <c r="H115" s="3659" cm="1">
        <f t="array" aca="1" ref="H115" ca="1">INDIRECT("'※ 소상공인 세부데이터'!"&amp;H$1&amp;$Z115, TRUE)</f>
        <v>14.1</v>
      </c>
      <c r="I115" s="3659" cm="1">
        <f t="array" aca="1" ref="I115" ca="1">INDIRECT("'※ 소상공인 세부데이터'!"&amp;I$1&amp;$Z115, TRUE)</f>
        <v>6.3482758620689665</v>
      </c>
      <c r="J115" s="3659" cm="1">
        <f t="array" aca="1" ref="J115" ca="1">INDIRECT("'※ 소상공인 세부데이터'!"&amp;J$1&amp;$Z115, TRUE)</f>
        <v>7.8</v>
      </c>
      <c r="K115" s="3659" cm="1">
        <f t="array" aca="1" ref="K115" ca="1">INDIRECT("'※ 소상공인 세부데이터'!"&amp;K$1&amp;$Z115, TRUE)</f>
        <v>24</v>
      </c>
      <c r="L115" s="3659" cm="1">
        <f t="array" aca="1" ref="L115" ca="1">INDIRECT("'※ 소상공인 세부데이터'!"&amp;L$1&amp;$Z115, TRUE)</f>
        <v>38.4</v>
      </c>
      <c r="M115" s="3659" cm="1">
        <f t="array" aca="1" ref="M115" ca="1">INDIRECT("'※ 소상공인 세부데이터'!"&amp;M$1&amp;$Z115, TRUE)</f>
        <v>25.5</v>
      </c>
      <c r="N115" s="3659" cm="1">
        <f t="array" aca="1" ref="N115" ca="1">INDIRECT("'※ 소상공인 세부데이터'!"&amp;N$1&amp;$Z115, TRUE)</f>
        <v>22.4</v>
      </c>
      <c r="O115" s="3659" cm="1">
        <f t="array" aca="1" ref="O115" ca="1">INDIRECT("'※ 소상공인 세부데이터'!"&amp;O$1&amp;$Z115, TRUE)</f>
        <v>3.6</v>
      </c>
      <c r="P115" s="3659" cm="1">
        <f t="array" aca="1" ref="P115" ca="1">INDIRECT("'※ 소상공인 세부데이터'!"&amp;P$1&amp;$Z115, TRUE)</f>
        <v>3</v>
      </c>
      <c r="Q115" s="3659" cm="1">
        <f t="array" aca="1" ref="Q115" ca="1">INDIRECT("'※ 소상공인 세부데이터'!"&amp;Q$1&amp;$Z115, TRUE)</f>
        <v>11.5</v>
      </c>
      <c r="R115" s="5042" cm="1">
        <f t="array" aca="1" ref="R115" ca="1">INDIRECT("'※ 소상공인 세부데이터'!"&amp;R$1&amp;$Z115, TRUE)</f>
        <v>8.5</v>
      </c>
      <c r="S115" s="5043" cm="1">
        <f t="array" aca="1" ref="S115" ca="1">INDIRECT("'※ 소상공인 세부데이터'!"&amp;S$1&amp;$Z115, TRUE)</f>
        <v>4.8</v>
      </c>
      <c r="T115" s="5044" cm="1">
        <f t="array" aca="1" ref="T115" ca="1">INDIRECT("'※ 소상공인 세부데이터'!"&amp;T$1&amp;$Z115, TRUE)</f>
        <v>11.5</v>
      </c>
      <c r="U115" s="5046"/>
      <c r="V115" s="5046"/>
      <c r="W115" s="5047" cm="1">
        <f t="array" aca="1" ref="W115" ca="1">INDIRECT("'※ 소상공인 세부데이터'!"&amp;W$1&amp;$Z115, TRUE)</f>
        <v>40.552821316614427</v>
      </c>
      <c r="X115" s="5042" cm="1">
        <f t="array" aca="1" ref="X115" ca="1">INDIRECT("'※ 소상공인 세부데이터'!"&amp;X$1&amp;$Z115, TRUE)</f>
        <v>15.287356321839079</v>
      </c>
      <c r="Y115" s="5087" cm="1">
        <f t="array" aca="1" ref="Y115" ca="1">INDIRECT("'※ 소상공인 세부데이터'!"&amp;Y$1&amp;$Z115, TRUE)</f>
        <v>3.379401776384535</v>
      </c>
      <c r="Z115" s="3693">
        <f>ROW('※ 소상공인 세부데이터'!J74)</f>
        <v>74</v>
      </c>
      <c r="AA115" s="3053"/>
      <c r="AB115" s="3015"/>
      <c r="AC115" s="3015"/>
      <c r="AD115" s="3015"/>
      <c r="AE115" s="3015"/>
      <c r="AF115" s="3015"/>
      <c r="AG115" s="3015"/>
      <c r="AH115" s="3015"/>
      <c r="AI115" s="3015"/>
      <c r="AJ115" s="3015"/>
      <c r="AK115" s="3015"/>
      <c r="AL115" s="3015"/>
      <c r="AM115" s="3015"/>
    </row>
    <row r="116" spans="1:39" ht="11.4" customHeight="1" thickBot="1" x14ac:dyDescent="0.6">
      <c r="A116" s="7273"/>
      <c r="B116" s="5113"/>
      <c r="C116" s="5114" t="s">
        <v>539</v>
      </c>
      <c r="D116" s="5115" cm="1">
        <f t="array" aca="1" ref="D116" ca="1">INDIRECT("'※ 소상공인 세부데이터'!"&amp;D$1&amp;$Z116, TRUE)</f>
        <v>30.100000000000005</v>
      </c>
      <c r="E116" s="5116" cm="1">
        <f t="array" aca="1" ref="E116" ca="1">INDIRECT("'※ 소상공인 세부데이터'!"&amp;E$1&amp;$Z116, TRUE)</f>
        <v>0</v>
      </c>
      <c r="F116" s="5115" cm="1">
        <f t="array" aca="1" ref="F116" ca="1">INDIRECT("'※ 소상공인 세부데이터'!"&amp;F$1&amp;$Z116, TRUE)</f>
        <v>0</v>
      </c>
      <c r="G116" s="5115" cm="1">
        <f t="array" aca="1" ref="G116" ca="1">INDIRECT("'※ 소상공인 세부데이터'!"&amp;G$1&amp;$Z116, TRUE)</f>
        <v>0</v>
      </c>
      <c r="H116" s="5115" cm="1">
        <f t="array" aca="1" ref="H116" ca="1">INDIRECT("'※ 소상공인 세부데이터'!"&amp;H$1&amp;$Z116, TRUE)</f>
        <v>0</v>
      </c>
      <c r="I116" s="5115" cm="1">
        <f t="array" aca="1" ref="I116" ca="1">INDIRECT("'※ 소상공인 세부데이터'!"&amp;I$1&amp;$Z116, TRUE)</f>
        <v>0</v>
      </c>
      <c r="J116" s="5115" cm="1">
        <f t="array" aca="1" ref="J116" ca="1">INDIRECT("'※ 소상공인 세부데이터'!"&amp;J$1&amp;$Z116, TRUE)</f>
        <v>0</v>
      </c>
      <c r="K116" s="5115" cm="1">
        <f t="array" aca="1" ref="K116" ca="1">INDIRECT("'※ 소상공인 세부데이터'!"&amp;K$1&amp;$Z116, TRUE)</f>
        <v>0</v>
      </c>
      <c r="L116" s="5115" cm="1">
        <f t="array" aca="1" ref="L116" ca="1">INDIRECT("'※ 소상공인 세부데이터'!"&amp;L$1&amp;$Z116, TRUE)</f>
        <v>0</v>
      </c>
      <c r="M116" s="5115" cm="1">
        <f t="array" aca="1" ref="M116" ca="1">INDIRECT("'※ 소상공인 세부데이터'!"&amp;M$1&amp;$Z116, TRUE)</f>
        <v>0</v>
      </c>
      <c r="N116" s="5115" cm="1">
        <f t="array" aca="1" ref="N116" ca="1">INDIRECT("'※ 소상공인 세부데이터'!"&amp;N$1&amp;$Z116, TRUE)</f>
        <v>0</v>
      </c>
      <c r="O116" s="5115" cm="1">
        <f t="array" aca="1" ref="O116" ca="1">INDIRECT("'※ 소상공인 세부데이터'!"&amp;O$1&amp;$Z116, TRUE)</f>
        <v>0</v>
      </c>
      <c r="P116" s="5115" cm="1">
        <f t="array" aca="1" ref="P116" ca="1">INDIRECT("'※ 소상공인 세부데이터'!"&amp;P$1&amp;$Z116, TRUE)</f>
        <v>0</v>
      </c>
      <c r="Q116" s="5115" cm="1">
        <f t="array" aca="1" ref="Q116" ca="1">INDIRECT("'※ 소상공인 세부데이터'!"&amp;Q$1&amp;$Z116, TRUE)</f>
        <v>0</v>
      </c>
      <c r="R116" s="5117" cm="1">
        <f t="array" aca="1" ref="R116" ca="1">INDIRECT("'※ 소상공인 세부데이터'!"&amp;R$1&amp;$Z116, TRUE)</f>
        <v>0</v>
      </c>
      <c r="S116" s="5118" cm="1">
        <f t="array" aca="1" ref="S116" ca="1">INDIRECT("'※ 소상공인 세부데이터'!"&amp;S$1&amp;$Z116, TRUE)</f>
        <v>0</v>
      </c>
      <c r="T116" s="5119" cm="1">
        <f t="array" aca="1" ref="T116" ca="1">INDIRECT("'※ 소상공인 세부데이터'!"&amp;T$1&amp;$Z116, TRUE)</f>
        <v>0</v>
      </c>
      <c r="U116" s="5120"/>
      <c r="V116" s="5120"/>
      <c r="W116" s="5121" cm="1">
        <f t="array" aca="1" ref="W116" ca="1">INDIRECT("'※ 소상공인 세부데이터'!"&amp;W$1&amp;$Z116, TRUE)</f>
        <v>-89.1</v>
      </c>
      <c r="X116" s="5117" cm="1">
        <f t="array" aca="1" ref="X116" ca="1">INDIRECT("'※ 소상공인 세부데이터'!"&amp;X$1&amp;$Z116, TRUE)</f>
        <v>0</v>
      </c>
      <c r="Y116" s="5122" cm="1">
        <f t="array" aca="1" ref="Y116" ca="1">INDIRECT("'※ 소상공인 세부데이터'!"&amp;Y$1&amp;$Z116, TRUE)</f>
        <v>-7.4249999999999998</v>
      </c>
      <c r="Z116" s="3693">
        <f>ROW('※ 소상공인 세부데이터'!J75)</f>
        <v>75</v>
      </c>
      <c r="AA116" s="3053"/>
      <c r="AB116" s="5123"/>
      <c r="AC116" s="5123"/>
      <c r="AD116" s="5123"/>
      <c r="AE116" s="5123"/>
      <c r="AF116" s="5123"/>
      <c r="AG116" s="5123"/>
      <c r="AH116" s="5123"/>
      <c r="AI116" s="5123"/>
      <c r="AJ116" s="5123"/>
      <c r="AK116" s="5123"/>
      <c r="AL116" s="5123"/>
      <c r="AM116" s="5123"/>
    </row>
    <row r="117" spans="1:39" s="2493" customFormat="1" ht="4.3" customHeight="1" x14ac:dyDescent="0.55000000000000004">
      <c r="D117" s="3045"/>
      <c r="E117" s="5062"/>
      <c r="F117" s="3045"/>
      <c r="G117" s="3045"/>
      <c r="H117" s="3045"/>
      <c r="I117" s="3045"/>
      <c r="J117" s="3045"/>
      <c r="K117" s="3045"/>
      <c r="L117" s="3045"/>
      <c r="M117" s="3045"/>
      <c r="N117" s="3045"/>
      <c r="O117" s="3045"/>
      <c r="P117" s="3045"/>
      <c r="Q117" s="3045"/>
      <c r="R117" s="5124"/>
      <c r="S117" s="5124"/>
      <c r="T117" s="5124"/>
      <c r="U117" s="5124"/>
      <c r="V117" s="5124"/>
      <c r="W117" s="5124"/>
      <c r="X117" s="5124"/>
      <c r="Y117" s="5124"/>
      <c r="Z117" s="3045"/>
      <c r="AA117" s="2441"/>
      <c r="AB117" s="2441"/>
      <c r="AC117" s="2441"/>
      <c r="AD117" s="2441"/>
      <c r="AE117" s="2441"/>
      <c r="AF117" s="2441"/>
      <c r="AG117" s="2441"/>
      <c r="AH117" s="2441"/>
      <c r="AI117" s="2441"/>
      <c r="AJ117" s="2441"/>
      <c r="AK117" s="2441"/>
      <c r="AL117" s="2441"/>
      <c r="AM117" s="2441"/>
    </row>
    <row r="118" spans="1:39" s="2493" customFormat="1" ht="5.4" customHeight="1" x14ac:dyDescent="0.55000000000000004">
      <c r="F118" s="5125"/>
      <c r="G118" s="5125"/>
      <c r="H118" s="5125"/>
      <c r="I118" s="5125"/>
      <c r="J118" s="5125"/>
      <c r="K118" s="5125"/>
      <c r="L118" s="5125"/>
      <c r="M118" s="5125"/>
      <c r="N118" s="5125"/>
      <c r="O118" s="5125"/>
      <c r="P118" s="5125"/>
      <c r="Q118" s="5125"/>
      <c r="R118" s="5126"/>
      <c r="S118" s="5126"/>
      <c r="T118" s="5127"/>
      <c r="U118" s="5126"/>
      <c r="V118" s="5126"/>
      <c r="W118" s="5126"/>
      <c r="X118" s="5127"/>
      <c r="Y118" s="5126"/>
    </row>
    <row r="119" spans="1:39" ht="22.3" hidden="1" customHeight="1" x14ac:dyDescent="0.55000000000000004">
      <c r="A119" s="5128" t="s">
        <v>185</v>
      </c>
      <c r="B119" s="5129" t="s">
        <v>544</v>
      </c>
      <c r="C119" s="5130"/>
      <c r="D119" s="5129"/>
      <c r="E119" s="5129"/>
      <c r="F119" s="5131"/>
      <c r="G119" s="5131"/>
      <c r="H119" s="5131"/>
      <c r="I119" s="5131"/>
      <c r="J119" s="5131"/>
      <c r="K119" s="5131"/>
      <c r="L119" s="5131"/>
      <c r="M119" s="5131"/>
      <c r="N119" s="5131"/>
      <c r="O119" s="5131"/>
      <c r="P119" s="5131"/>
      <c r="Q119" s="5131"/>
      <c r="R119" s="5132" t="e">
        <f>#REF!-#REF!</f>
        <v>#REF!</v>
      </c>
      <c r="S119" s="5133"/>
      <c r="T119" s="5134">
        <v>-0.91148513454545377</v>
      </c>
      <c r="U119" s="5135">
        <v>-5.9114851345454538</v>
      </c>
      <c r="V119" s="5135">
        <v>-0.18229702690909075</v>
      </c>
      <c r="W119" s="5136">
        <v>1.7513359081818249</v>
      </c>
      <c r="X119" s="5132">
        <v>0</v>
      </c>
      <c r="Y119" s="5137">
        <v>0.53256420854545572</v>
      </c>
    </row>
  </sheetData>
  <mergeCells count="15">
    <mergeCell ref="A3:Y3"/>
    <mergeCell ref="A73:A83"/>
    <mergeCell ref="A84:A94"/>
    <mergeCell ref="A95:A105"/>
    <mergeCell ref="A106:A116"/>
    <mergeCell ref="A7:A17"/>
    <mergeCell ref="A24:A28"/>
    <mergeCell ref="T5:Y5"/>
    <mergeCell ref="A45:A60"/>
    <mergeCell ref="A62:A72"/>
    <mergeCell ref="A29:A33"/>
    <mergeCell ref="A6:C6"/>
    <mergeCell ref="A34:A43"/>
    <mergeCell ref="A19:A23"/>
    <mergeCell ref="F5:S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0" fitToHeight="0" orientation="landscape" r:id="rId1"/>
  <headerFooter scaleWithDoc="0">
    <oddFooter>&amp;R&amp;"-,기울임꼴"&amp;8&amp;P &amp; 페이지</oddFooter>
  </headerFooter>
  <rowBreaks count="3" manualBreakCount="3">
    <brk id="44" max="19" man="1"/>
    <brk id="117" max="19" man="1"/>
    <brk id="118" max="1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0764-0F1E-4AAA-85B1-C98C56131B05}">
  <sheetPr codeName="Sheet12">
    <pageSetUpPr fitToPage="1"/>
  </sheetPr>
  <dimension ref="A1:BJ116"/>
  <sheetViews>
    <sheetView view="pageBreakPreview" zoomScale="55" zoomScaleNormal="55" zoomScaleSheetLayoutView="55" workbookViewId="0">
      <selection activeCell="AG13" sqref="AG13"/>
    </sheetView>
  </sheetViews>
  <sheetFormatPr defaultColWidth="8.640625" defaultRowHeight="15" x14ac:dyDescent="0.55000000000000004"/>
  <cols>
    <col min="1" max="2" width="8.640625" style="2426"/>
    <col min="3" max="3" width="12.640625" style="4703" customWidth="1"/>
    <col min="4" max="4" width="5" style="4703" customWidth="1"/>
    <col min="5" max="5" width="10.7109375" style="4703" customWidth="1"/>
    <col min="6" max="6" width="9.42578125" style="2426" customWidth="1"/>
    <col min="7" max="8" width="11.7109375" style="2426" customWidth="1"/>
    <col min="9" max="9" width="11.7109375" style="2614" customWidth="1"/>
    <col min="10" max="10" width="11.7109375" style="2989" customWidth="1"/>
    <col min="11" max="18" width="11.7109375" style="4704" customWidth="1"/>
    <col min="19" max="20" width="11.640625" style="2426" customWidth="1"/>
    <col min="21" max="26" width="13.35546875" style="2426" customWidth="1"/>
    <col min="27" max="27" width="8.640625" style="4705"/>
    <col min="28" max="16384" width="8.640625" style="2426"/>
  </cols>
  <sheetData>
    <row r="1" spans="1:62" x14ac:dyDescent="0.55000000000000004">
      <c r="C1" s="4703" t="s">
        <v>1081</v>
      </c>
      <c r="E1" s="4703" t="s">
        <v>793</v>
      </c>
      <c r="F1" s="2426" t="s">
        <v>664</v>
      </c>
      <c r="G1" s="2426" t="s">
        <v>1080</v>
      </c>
      <c r="H1" s="2426" t="s">
        <v>460</v>
      </c>
      <c r="I1" s="2614" t="s">
        <v>459</v>
      </c>
      <c r="J1" s="2989" t="s">
        <v>461</v>
      </c>
      <c r="K1" s="4704" t="s">
        <v>665</v>
      </c>
      <c r="L1" s="4704" t="s">
        <v>642</v>
      </c>
      <c r="M1" s="4704" t="s">
        <v>650</v>
      </c>
      <c r="N1" s="4704" t="s">
        <v>1151</v>
      </c>
      <c r="O1" s="4704" t="s">
        <v>1154</v>
      </c>
      <c r="P1" s="4704" t="s">
        <v>1165</v>
      </c>
      <c r="Q1" s="4704" t="s">
        <v>737</v>
      </c>
      <c r="R1" s="4704" t="s">
        <v>929</v>
      </c>
      <c r="S1" s="2426" t="s">
        <v>462</v>
      </c>
      <c r="T1" s="2426" t="s">
        <v>469</v>
      </c>
      <c r="U1" s="2426" t="s">
        <v>1082</v>
      </c>
      <c r="V1" s="2426" t="s">
        <v>738</v>
      </c>
      <c r="W1" s="2426" t="s">
        <v>466</v>
      </c>
      <c r="X1" s="2426" t="s">
        <v>467</v>
      </c>
      <c r="Y1" s="2426" t="s">
        <v>468</v>
      </c>
      <c r="Z1" s="2426" t="s">
        <v>469</v>
      </c>
    </row>
    <row r="2" spans="1:62" ht="15.45" thickBot="1" x14ac:dyDescent="0.6">
      <c r="E2" s="4703" t="s">
        <v>793</v>
      </c>
      <c r="F2" s="2426" t="s">
        <v>664</v>
      </c>
    </row>
    <row r="3" spans="1:62" ht="60" customHeight="1" thickTop="1" thickBot="1" x14ac:dyDescent="0.6">
      <c r="A3" s="7078" t="s">
        <v>914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7078"/>
      <c r="Y3" s="7078"/>
      <c r="Z3" s="7078"/>
      <c r="AA3" s="6956"/>
    </row>
    <row r="4" spans="1:62" s="2444" customFormat="1" ht="15.55" customHeight="1" thickTop="1" thickBot="1" x14ac:dyDescent="0.6">
      <c r="A4" s="2447"/>
      <c r="B4" s="2447"/>
      <c r="C4" s="2447"/>
      <c r="D4" s="2447"/>
      <c r="E4" s="2447"/>
      <c r="F4" s="2447"/>
      <c r="G4" s="2447"/>
      <c r="H4" s="2447"/>
      <c r="I4" s="4706"/>
      <c r="J4" s="2447"/>
      <c r="K4" s="4707"/>
      <c r="L4" s="4707"/>
      <c r="M4" s="4707"/>
      <c r="N4" s="4707"/>
      <c r="O4" s="4707"/>
      <c r="P4" s="4707"/>
      <c r="Q4" s="4707"/>
      <c r="R4" s="470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F4" s="2449"/>
      <c r="BG4" s="2449"/>
      <c r="BH4" s="2449"/>
      <c r="BI4" s="2449"/>
      <c r="BJ4" s="2449"/>
    </row>
    <row r="5" spans="1:62" ht="19.5" customHeight="1" thickBot="1" x14ac:dyDescent="0.6">
      <c r="A5" s="4708"/>
      <c r="B5" s="4708"/>
      <c r="C5" s="4709"/>
      <c r="D5" s="4709"/>
      <c r="E5" s="4709"/>
      <c r="F5" s="3313" t="str">
        <f>"(~"&amp;'※ B2B 세부데이터'!A1-0.001&amp;"월)"</f>
        <v>(~12월)</v>
      </c>
      <c r="G5" s="7266" t="s">
        <v>1152</v>
      </c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60"/>
      <c r="T5" s="7160"/>
      <c r="U5" s="7087" t="str">
        <f>"연간누적실적(~"&amp;'※ B2B 세부데이터'!A1-0.001&amp;"월)"</f>
        <v>연간누적실적(~12월)</v>
      </c>
      <c r="V5" s="7087"/>
      <c r="W5" s="7087"/>
      <c r="X5" s="7087"/>
      <c r="Y5" s="7087"/>
      <c r="Z5" s="7088"/>
      <c r="AA5" s="4705" t="s">
        <v>474</v>
      </c>
    </row>
    <row r="6" spans="1:62" ht="16.75" thickBot="1" x14ac:dyDescent="0.6">
      <c r="A6" s="7293" t="s">
        <v>127</v>
      </c>
      <c r="B6" s="7294"/>
      <c r="C6" s="7294"/>
      <c r="D6" s="7295"/>
      <c r="E6" s="4710" t="s">
        <v>888</v>
      </c>
      <c r="F6" s="3314" t="s">
        <v>889</v>
      </c>
      <c r="G6" s="4711" t="str" cm="1">
        <f t="array" aca="1" ref="G6" ca="1">INDIRECT("'※ B2B 세부데이터'!"&amp;G$1&amp;$AA6, TRUE)</f>
        <v>'25.1월</v>
      </c>
      <c r="H6" s="3316" t="str" cm="1">
        <f t="array" aca="1" ref="H6" ca="1">INDIRECT("'※ B2B 세부데이터'!"&amp;H$1&amp;$AA6, TRUE)</f>
        <v>'25.2월</v>
      </c>
      <c r="I6" s="4712" t="str" cm="1">
        <f t="array" aca="1" ref="I6" ca="1">INDIRECT("'※ B2B 세부데이터'!"&amp;I$1&amp;$AA6, TRUE)</f>
        <v>'25.3월</v>
      </c>
      <c r="J6" s="4712" t="str" cm="1">
        <f t="array" aca="1" ref="J6" ca="1">INDIRECT("'※ B2B 세부데이터'!"&amp;J$1&amp;$AA6, TRUE)</f>
        <v>'25.4월</v>
      </c>
      <c r="K6" s="4713" t="str" cm="1">
        <f t="array" aca="1" ref="K6" ca="1">INDIRECT("'※ B2B 세부데이터'!"&amp;K$1&amp;$AA6, TRUE)</f>
        <v>'25.5월</v>
      </c>
      <c r="L6" s="4713" t="str" cm="1">
        <f t="array" aca="1" ref="L6" ca="1">INDIRECT("'※ B2B 세부데이터'!"&amp;L$1&amp;$AA6, TRUE)</f>
        <v>'25.6월</v>
      </c>
      <c r="M6" s="4713" t="str" cm="1">
        <f t="array" aca="1" ref="M6" ca="1">INDIRECT("'※ B2B 세부데이터'!"&amp;M$1&amp;$AA6, TRUE)</f>
        <v>'25.7월</v>
      </c>
      <c r="N6" s="4713" t="str" cm="1">
        <f t="array" aca="1" ref="N6" ca="1">INDIRECT("'※ B2B 세부데이터'!"&amp;N$1&amp;$AA6, TRUE)</f>
        <v>'25.8월</v>
      </c>
      <c r="O6" s="4713" t="str" cm="1">
        <f t="array" aca="1" ref="O6" ca="1">INDIRECT("'※ B2B 세부데이터'!"&amp;O$1&amp;$AA6, TRUE)</f>
        <v>'25.9월</v>
      </c>
      <c r="P6" s="4713" t="str" cm="1">
        <f t="array" aca="1" ref="P6" ca="1">INDIRECT("'※ B2B 세부데이터'!"&amp;P$1&amp;$AA6, TRUE)</f>
        <v>'25.10월</v>
      </c>
      <c r="Q6" s="4713" t="str" cm="1">
        <f t="array" aca="1" ref="Q6" ca="1">INDIRECT("'※ B2B 세부데이터'!"&amp;Q$1&amp;$AA6, TRUE)</f>
        <v>'25.11월</v>
      </c>
      <c r="R6" s="4713" t="str" cm="1">
        <f t="array" aca="1" ref="R6" ca="1">INDIRECT("'※ B2B 세부데이터'!"&amp;R$1&amp;$AA6, TRUE)</f>
        <v>'25.12월</v>
      </c>
      <c r="S6" s="4714" t="str" cm="1">
        <f t="array" aca="1" ref="S6" ca="1">INDIRECT("'※ B2B 세부데이터'!"&amp;S$1&amp;$AA6, TRUE)</f>
        <v>전월대비</v>
      </c>
      <c r="T6" s="4715" t="str" cm="1">
        <f t="array" aca="1" ref="T6" ca="1">INDIRECT("'※ B2B 세부데이터'!"&amp;T$1&amp;$AA6, TRUE)</f>
        <v>전년 동월대비</v>
      </c>
      <c r="U6" s="4716" t="str" cm="1">
        <f t="array" aca="1" ref="U6" ca="1">INDIRECT("'※ B2B 세부데이터'!"&amp;U$1&amp;$AA6, TRUE)</f>
        <v>누적</v>
      </c>
      <c r="V6" s="3318" t="str" cm="1">
        <f t="array" aca="1" ref="V6" ca="1">INDIRECT("'※ B2B 세부데이터'!"&amp;V$1&amp;$AA6, TRUE)</f>
        <v>목표대비</v>
      </c>
      <c r="W6" s="3318" t="str" cm="1">
        <f t="array" aca="1" ref="W6" ca="1">INDIRECT("'※ B2B 세부데이터'!"&amp;W$1&amp;$AA6, TRUE)</f>
        <v>달성률</v>
      </c>
      <c r="X6" s="3318" t="str" cm="1">
        <f t="array" aca="1" ref="X6" ca="1">INDIRECT("'※ B2B 세부데이터'!"&amp;X$1&amp;$AA6, TRUE)</f>
        <v>전년 동기대비</v>
      </c>
      <c r="Y6" s="3319" t="str" cm="1">
        <f t="array" aca="1" ref="Y6" ca="1">INDIRECT("'※ B2B 세부데이터'!"&amp;Y$1&amp;$AA6, TRUE)</f>
        <v>월평균</v>
      </c>
      <c r="Z6" s="4717" t="str" cm="1">
        <f t="array" aca="1" ref="Z6" ca="1">INDIRECT("'※ B2B 세부데이터'!"&amp;Z$1&amp;$AA6, TRUE)</f>
        <v>전년 동월대비</v>
      </c>
      <c r="AA6" s="4705">
        <f>ROW('※ B2B 세부데이터'!J5)</f>
        <v>5</v>
      </c>
    </row>
    <row r="7" spans="1:62" x14ac:dyDescent="0.55000000000000004">
      <c r="A7" s="7315" t="s">
        <v>474</v>
      </c>
      <c r="B7" s="7318" t="s">
        <v>807</v>
      </c>
      <c r="C7" s="4718" t="str" cm="1">
        <f t="array" aca="1" ref="C7" ca="1">INDIRECT("'※ B2B 세부데이터'!"&amp;C$1&amp;$AA7, TRUE)</f>
        <v>일반후불</v>
      </c>
      <c r="D7" s="4719"/>
      <c r="E7" s="4720" cm="1">
        <f t="array" aca="1" ref="E7" ca="1">INDIRECT("'※ B2B 세부데이터'!"&amp;E$1&amp;$AA7, TRUE)</f>
        <v>4507.583333333333</v>
      </c>
      <c r="F7" s="4721" cm="1">
        <f t="array" aca="1" ref="F7" ca="1">INDIRECT("'※ B2B 세부데이터'!"&amp;F$1&amp;$AA7, TRUE)</f>
        <v>2764.9166666666665</v>
      </c>
      <c r="G7" s="4722" cm="1">
        <f t="array" aca="1" ref="G7" ca="1">INDIRECT("'※ B2B 세부데이터'!"&amp;G$1&amp;$AA7, TRUE)</f>
        <v>1913</v>
      </c>
      <c r="H7" s="4723" cm="1">
        <f t="array" aca="1" ref="H7" ca="1">INDIRECT("'※ B2B 세부데이터'!"&amp;H$1&amp;$AA7, TRUE)</f>
        <v>2778</v>
      </c>
      <c r="I7" s="4723" cm="1">
        <f t="array" aca="1" ref="I7" ca="1">INDIRECT("'※ B2B 세부데이터'!"&amp;I$1&amp;$AA7, TRUE)</f>
        <v>3485</v>
      </c>
      <c r="J7" s="4723" cm="1">
        <f t="array" aca="1" ref="J7" ca="1">INDIRECT("'※ B2B 세부데이터'!"&amp;J$1&amp;$AA7, TRUE)</f>
        <v>2478</v>
      </c>
      <c r="K7" s="4723" cm="1">
        <f t="array" aca="1" ref="K7" ca="1">INDIRECT("'※ B2B 세부데이터'!"&amp;K$1&amp;$AA7, TRUE)</f>
        <v>2591</v>
      </c>
      <c r="L7" s="4723" cm="1">
        <f t="array" aca="1" ref="L7" ca="1">INDIRECT("'※ B2B 세부데이터'!"&amp;L$1&amp;$AA7, TRUE)</f>
        <v>1942</v>
      </c>
      <c r="M7" s="4723" cm="1">
        <f t="array" aca="1" ref="M7" ca="1">INDIRECT("'※ B2B 세부데이터'!"&amp;M$1&amp;$AA7, TRUE)</f>
        <v>4860</v>
      </c>
      <c r="N7" s="4723" cm="1">
        <f t="array" aca="1" ref="N7" ca="1">INDIRECT("'※ B2B 세부데이터'!"&amp;N$1&amp;$AA7, TRUE)</f>
        <v>1543</v>
      </c>
      <c r="O7" s="4723" cm="1">
        <f t="array" aca="1" ref="O7" ca="1">INDIRECT("'※ B2B 세부데이터'!"&amp;O$1&amp;$AA7, TRUE)</f>
        <v>2494</v>
      </c>
      <c r="P7" s="4723" cm="1">
        <f t="array" aca="1" ref="P7" ca="1">INDIRECT("'※ B2B 세부데이터'!"&amp;P$1&amp;$AA7, TRUE)</f>
        <v>5265</v>
      </c>
      <c r="Q7" s="4723" cm="1">
        <f t="array" aca="1" ref="Q7" ca="1">INDIRECT("'※ B2B 세부데이터'!"&amp;Q$1&amp;$AA7, TRUE)</f>
        <v>5004</v>
      </c>
      <c r="R7" s="4723" cm="1">
        <f t="array" aca="1" ref="R7" ca="1">INDIRECT("'※ B2B 세부데이터'!"&amp;R$1&amp;$AA7, TRUE)</f>
        <v>3470</v>
      </c>
      <c r="S7" s="4724" cm="1">
        <f t="array" aca="1" ref="S7" ca="1">INDIRECT("'※ B2B 세부데이터'!"&amp;S$1&amp;$AA7, TRUE)</f>
        <v>-1534</v>
      </c>
      <c r="T7" s="4725" cm="1">
        <f t="array" aca="1" ref="T7" ca="1">INDIRECT("'※ B2B 세부데이터'!"&amp;T$1&amp;$AA7, TRUE)</f>
        <v>1636</v>
      </c>
      <c r="U7" s="4726" cm="1">
        <f t="array" aca="1" ref="U7" ca="1">INDIRECT("'※ B2B 세부데이터'!"&amp;U$1&amp;$AA7, TRUE)</f>
        <v>37823</v>
      </c>
      <c r="V7" s="4727" cm="1">
        <f t="array" aca="1" ref="V7" ca="1">INDIRECT("'※ B2B 세부데이터'!"&amp;V$1&amp;$AA7, TRUE)</f>
        <v>732</v>
      </c>
      <c r="W7" s="4728" cm="1">
        <f t="array" aca="1" ref="W7" ca="1">INDIRECT("'※ B2B 세부데이터'!"&amp;W$1&amp;$AA7, TRUE)</f>
        <v>1.2673484295105917</v>
      </c>
      <c r="X7" s="4728" cm="1">
        <f t="array" aca="1" ref="X7" ca="1">INDIRECT("'※ B2B 세부데이터'!"&amp;X$1&amp;$AA7, TRUE)</f>
        <v>1.1399680520811357</v>
      </c>
      <c r="Y7" s="4729" cm="1">
        <f t="array" aca="1" ref="Y7" ca="1">INDIRECT("'※ B2B 세부데이터'!"&amp;Y$1&amp;$AA7, TRUE)</f>
        <v>3151.9166666666665</v>
      </c>
      <c r="Z7" s="4730" cm="1">
        <f t="array" aca="1" ref="Z7" ca="1">INDIRECT("'※ B2B 세부데이터'!"&amp;Z$1&amp;$AA7, TRUE)</f>
        <v>1636</v>
      </c>
      <c r="AA7" s="4705">
        <f>ROW('※ B2B 세부데이터'!J6)</f>
        <v>6</v>
      </c>
    </row>
    <row r="8" spans="1:62" x14ac:dyDescent="0.55000000000000004">
      <c r="A8" s="7316"/>
      <c r="B8" s="7319"/>
      <c r="C8" s="4731" t="str" cm="1">
        <f t="array" aca="1" ref="C8" ca="1">INDIRECT("'※ B2B 세부데이터'!"&amp;C$1&amp;$AA8, TRUE)</f>
        <v>중고개통</v>
      </c>
      <c r="D8" s="4731"/>
      <c r="E8" s="4732" cm="1">
        <f t="array" aca="1" ref="E8" ca="1">INDIRECT("'※ B2B 세부데이터'!"&amp;E$1&amp;$AA8, TRUE)</f>
        <v>863.91666666666663</v>
      </c>
      <c r="F8" s="4733" cm="1">
        <f t="array" aca="1" ref="F8" ca="1">INDIRECT("'※ B2B 세부데이터'!"&amp;F$1&amp;$AA8, TRUE)</f>
        <v>776.91666666666663</v>
      </c>
      <c r="G8" s="4734" cm="1">
        <f t="array" aca="1" ref="G8" ca="1">INDIRECT("'※ B2B 세부데이터'!"&amp;G$1&amp;$AA8, TRUE)</f>
        <v>686</v>
      </c>
      <c r="H8" s="4735" cm="1">
        <f t="array" aca="1" ref="H8" ca="1">INDIRECT("'※ B2B 세부데이터'!"&amp;H$1&amp;$AA8, TRUE)</f>
        <v>559</v>
      </c>
      <c r="I8" s="4735" cm="1">
        <f t="array" aca="1" ref="I8" ca="1">INDIRECT("'※ B2B 세부데이터'!"&amp;I$1&amp;$AA8, TRUE)</f>
        <v>1600</v>
      </c>
      <c r="J8" s="4735" cm="1">
        <f t="array" aca="1" ref="J8" ca="1">INDIRECT("'※ B2B 세부데이터'!"&amp;J$1&amp;$AA8, TRUE)</f>
        <v>1354</v>
      </c>
      <c r="K8" s="4735" cm="1">
        <f t="array" aca="1" ref="K8" ca="1">INDIRECT("'※ B2B 세부데이터'!"&amp;K$1&amp;$AA8, TRUE)</f>
        <v>909</v>
      </c>
      <c r="L8" s="4735" cm="1">
        <f t="array" aca="1" ref="L8" ca="1">INDIRECT("'※ B2B 세부데이터'!"&amp;L$1&amp;$AA8, TRUE)</f>
        <v>664</v>
      </c>
      <c r="M8" s="4735" cm="1">
        <f t="array" aca="1" ref="M8" ca="1">INDIRECT("'※ B2B 세부데이터'!"&amp;M$1&amp;$AA8, TRUE)</f>
        <v>1501</v>
      </c>
      <c r="N8" s="4735" cm="1">
        <f t="array" aca="1" ref="N8" ca="1">INDIRECT("'※ B2B 세부데이터'!"&amp;N$1&amp;$AA8, TRUE)</f>
        <v>488</v>
      </c>
      <c r="O8" s="4735" cm="1">
        <f t="array" aca="1" ref="O8" ca="1">INDIRECT("'※ B2B 세부데이터'!"&amp;O$1&amp;$AA8, TRUE)</f>
        <v>749</v>
      </c>
      <c r="P8" s="4735" cm="1">
        <f t="array" aca="1" ref="P8" ca="1">INDIRECT("'※ B2B 세부데이터'!"&amp;P$1&amp;$AA8, TRUE)</f>
        <v>895</v>
      </c>
      <c r="Q8" s="4735" cm="1">
        <f t="array" aca="1" ref="Q8" ca="1">INDIRECT("'※ B2B 세부데이터'!"&amp;Q$1&amp;$AA8, TRUE)</f>
        <v>955</v>
      </c>
      <c r="R8" s="4735" cm="1">
        <f t="array" aca="1" ref="R8" ca="1">INDIRECT("'※ B2B 세부데이터'!"&amp;R$1&amp;$AA8, TRUE)</f>
        <v>512</v>
      </c>
      <c r="S8" s="4736" cm="1">
        <f t="array" aca="1" ref="S8" ca="1">INDIRECT("'※ B2B 세부데이터'!"&amp;S$1&amp;$AA8, TRUE)</f>
        <v>-443</v>
      </c>
      <c r="T8" s="4737" cm="1">
        <f t="array" aca="1" ref="T8" ca="1">INDIRECT("'※ B2B 세부데이터'!"&amp;T$1&amp;$AA8, TRUE)</f>
        <v>-561</v>
      </c>
      <c r="U8" s="4738" cm="1">
        <f t="array" aca="1" ref="U8" ca="1">INDIRECT("'※ B2B 세부데이터'!"&amp;U$1&amp;$AA8, TRUE)</f>
        <v>10872</v>
      </c>
      <c r="V8" s="4739" cm="1">
        <f t="array" aca="1" ref="V8" ca="1">INDIRECT("'※ B2B 세부데이터'!"&amp;V$1&amp;$AA8, TRUE)</f>
        <v>126</v>
      </c>
      <c r="W8" s="4740" cm="1">
        <f t="array" aca="1" ref="W8" ca="1">INDIRECT("'※ B2B 세부데이터'!"&amp;W$1&amp;$AA8, TRUE)</f>
        <v>1.3264248704663213</v>
      </c>
      <c r="X8" s="4740" cm="1">
        <f t="array" aca="1" ref="X8" ca="1">INDIRECT("'※ B2B 세부데이터'!"&amp;X$1&amp;$AA8, TRUE)</f>
        <v>1.1661482355464978</v>
      </c>
      <c r="Y8" s="4741" cm="1">
        <f t="array" aca="1" ref="Y8" ca="1">INDIRECT("'※ B2B 세부데이터'!"&amp;Y$1&amp;$AA8, TRUE)</f>
        <v>906</v>
      </c>
      <c r="Z8" s="3061" cm="1">
        <f t="array" aca="1" ref="Z8" ca="1">INDIRECT("'※ B2B 세부데이터'!"&amp;Z$1&amp;$AA8, TRUE)</f>
        <v>-561</v>
      </c>
      <c r="AA8" s="4705">
        <f>ROW('※ B2B 세부데이터'!J7)</f>
        <v>7</v>
      </c>
    </row>
    <row r="9" spans="1:62" x14ac:dyDescent="0.55000000000000004">
      <c r="A9" s="7316"/>
      <c r="B9" s="7319"/>
      <c r="C9" s="4731" t="str" cm="1">
        <f t="array" aca="1" ref="C9" ca="1">INDIRECT("'※ B2B 세부데이터'!"&amp;C$1&amp;$AA9, TRUE)</f>
        <v>운영후불</v>
      </c>
      <c r="D9" s="4731"/>
      <c r="E9" s="4732" cm="1">
        <f t="array" aca="1" ref="E9" ca="1">INDIRECT("'※ B2B 세부데이터'!"&amp;E$1&amp;$AA9, TRUE)</f>
        <v>3643.6666666666665</v>
      </c>
      <c r="F9" s="4733" cm="1">
        <f t="array" aca="1" ref="F9" ca="1">INDIRECT("'※ B2B 세부데이터'!"&amp;F$1&amp;$AA9, TRUE)</f>
        <v>1988</v>
      </c>
      <c r="G9" s="4734" cm="1">
        <f t="array" aca="1" ref="G9" ca="1">INDIRECT("'※ B2B 세부데이터'!"&amp;G$1&amp;$AA9, TRUE)</f>
        <v>1227</v>
      </c>
      <c r="H9" s="4735" cm="1">
        <f t="array" aca="1" ref="H9" ca="1">INDIRECT("'※ B2B 세부데이터'!"&amp;H$1&amp;$AA9, TRUE)</f>
        <v>2219</v>
      </c>
      <c r="I9" s="4735" cm="1">
        <f t="array" aca="1" ref="I9" ca="1">INDIRECT("'※ B2B 세부데이터'!"&amp;I$1&amp;$AA9, TRUE)</f>
        <v>1885</v>
      </c>
      <c r="J9" s="4735" cm="1">
        <f t="array" aca="1" ref="J9" ca="1">INDIRECT("'※ B2B 세부데이터'!"&amp;J$1&amp;$AA9, TRUE)</f>
        <v>1124</v>
      </c>
      <c r="K9" s="4735" cm="1">
        <f t="array" aca="1" ref="K9" ca="1">INDIRECT("'※ B2B 세부데이터'!"&amp;K$1&amp;$AA9, TRUE)</f>
        <v>1682</v>
      </c>
      <c r="L9" s="4735" cm="1">
        <f t="array" aca="1" ref="L9" ca="1">INDIRECT("'※ B2B 세부데이터'!"&amp;L$1&amp;$AA9, TRUE)</f>
        <v>1278</v>
      </c>
      <c r="M9" s="4735" cm="1">
        <f t="array" aca="1" ref="M9" ca="1">INDIRECT("'※ B2B 세부데이터'!"&amp;M$1&amp;$AA9, TRUE)</f>
        <v>3359</v>
      </c>
      <c r="N9" s="4735" cm="1">
        <f t="array" aca="1" ref="N9" ca="1">INDIRECT("'※ B2B 세부데이터'!"&amp;N$1&amp;$AA9, TRUE)</f>
        <v>1055</v>
      </c>
      <c r="O9" s="4735" cm="1">
        <f t="array" aca="1" ref="O9" ca="1">INDIRECT("'※ B2B 세부데이터'!"&amp;O$1&amp;$AA9, TRUE)</f>
        <v>1745</v>
      </c>
      <c r="P9" s="4735" cm="1">
        <f t="array" aca="1" ref="P9" ca="1">INDIRECT("'※ B2B 세부데이터'!"&amp;P$1&amp;$AA9, TRUE)</f>
        <v>4370</v>
      </c>
      <c r="Q9" s="4735" cm="1">
        <f t="array" aca="1" ref="Q9" ca="1">INDIRECT("'※ B2B 세부데이터'!"&amp;Q$1&amp;$AA9, TRUE)</f>
        <v>4049</v>
      </c>
      <c r="R9" s="4735" cm="1">
        <f t="array" aca="1" ref="R9" ca="1">INDIRECT("'※ B2B 세부데이터'!"&amp;R$1&amp;$AA9, TRUE)</f>
        <v>2958</v>
      </c>
      <c r="S9" s="4736" cm="1">
        <f t="array" aca="1" ref="S9" ca="1">INDIRECT("'※ B2B 세부데이터'!"&amp;S$1&amp;$AA9, TRUE)</f>
        <v>-1091</v>
      </c>
      <c r="T9" s="4737" cm="1">
        <f t="array" aca="1" ref="T9" ca="1">INDIRECT("'※ B2B 세부데이터'!"&amp;T$1&amp;$AA9, TRUE)</f>
        <v>2197</v>
      </c>
      <c r="U9" s="4738" cm="1">
        <f t="array" aca="1" ref="U9" ca="1">INDIRECT("'※ B2B 세부데이터'!"&amp;U$1&amp;$AA9, TRUE)</f>
        <v>26951</v>
      </c>
      <c r="V9" s="4739" cm="1">
        <f t="array" aca="1" ref="V9" ca="1">INDIRECT("'※ B2B 세부데이터'!"&amp;V$1&amp;$AA9, TRUE)</f>
        <v>606</v>
      </c>
      <c r="W9" s="4740" cm="1">
        <f t="array" aca="1" ref="W9" ca="1">INDIRECT("'※ B2B 세부데이터'!"&amp;W$1&amp;$AA9, TRUE)</f>
        <v>1.2576530612244898</v>
      </c>
      <c r="X9" s="4740" cm="1">
        <f t="array" aca="1" ref="X9" ca="1">INDIRECT("'※ B2B 세부데이터'!"&amp;X$1&amp;$AA9, TRUE)</f>
        <v>1.1297367538564722</v>
      </c>
      <c r="Y9" s="4741" cm="1">
        <f t="array" aca="1" ref="Y9" ca="1">INDIRECT("'※ B2B 세부데이터'!"&amp;Y$1&amp;$AA9, TRUE)</f>
        <v>2245.9166666666665</v>
      </c>
      <c r="Z9" s="3061" cm="1">
        <f t="array" aca="1" ref="Z9" ca="1">INDIRECT("'※ B2B 세부데이터'!"&amp;Z$1&amp;$AA9, TRUE)</f>
        <v>2197</v>
      </c>
      <c r="AA9" s="4705">
        <f>ROW('※ B2B 세부데이터'!J8)</f>
        <v>8</v>
      </c>
    </row>
    <row r="10" spans="1:62" x14ac:dyDescent="0.55000000000000004">
      <c r="A10" s="7316"/>
      <c r="B10" s="7319"/>
      <c r="C10" s="4731" t="str" cm="1">
        <f t="array" aca="1" ref="C10" ca="1">INDIRECT("'※ B2B 세부데이터'!"&amp;C$1&amp;$AA10, TRUE)</f>
        <v>2nd (pad)</v>
      </c>
      <c r="D10" s="4731"/>
      <c r="E10" s="4732" cm="1">
        <f t="array" aca="1" ref="E10" ca="1">INDIRECT("'※ B2B 세부데이터'!"&amp;E$1&amp;$AA10, TRUE)</f>
        <v>1785.3333333333333</v>
      </c>
      <c r="F10" s="4733" cm="1">
        <f t="array" aca="1" ref="F10" ca="1">INDIRECT("'※ B2B 세부데이터'!"&amp;F$1&amp;$AA10, TRUE)</f>
        <v>1737</v>
      </c>
      <c r="G10" s="4734" cm="1">
        <f t="array" aca="1" ref="G10" ca="1">INDIRECT("'※ B2B 세부데이터'!"&amp;G$1&amp;$AA10, TRUE)</f>
        <v>1770</v>
      </c>
      <c r="H10" s="4735" cm="1">
        <f t="array" aca="1" ref="H10" ca="1">INDIRECT("'※ B2B 세부데이터'!"&amp;H$1&amp;$AA10, TRUE)</f>
        <v>3927</v>
      </c>
      <c r="I10" s="4735" cm="1">
        <f t="array" aca="1" ref="I10" ca="1">INDIRECT("'※ B2B 세부데이터'!"&amp;I$1&amp;$AA10, TRUE)</f>
        <v>2097</v>
      </c>
      <c r="J10" s="4735" cm="1">
        <f t="array" aca="1" ref="J10" ca="1">INDIRECT("'※ B2B 세부데이터'!"&amp;J$1&amp;$AA10, TRUE)</f>
        <v>2052</v>
      </c>
      <c r="K10" s="4735" cm="1">
        <f t="array" aca="1" ref="K10" ca="1">INDIRECT("'※ B2B 세부데이터'!"&amp;K$1&amp;$AA10, TRUE)</f>
        <v>2379</v>
      </c>
      <c r="L10" s="4735" cm="1">
        <f t="array" aca="1" ref="L10" ca="1">INDIRECT("'※ B2B 세부데이터'!"&amp;L$1&amp;$AA10, TRUE)</f>
        <v>2328</v>
      </c>
      <c r="M10" s="4735" cm="1">
        <f t="array" aca="1" ref="M10" ca="1">INDIRECT("'※ B2B 세부데이터'!"&amp;M$1&amp;$AA10, TRUE)</f>
        <v>2097</v>
      </c>
      <c r="N10" s="4735" cm="1">
        <f t="array" aca="1" ref="N10" ca="1">INDIRECT("'※ B2B 세부데이터'!"&amp;N$1&amp;$AA10, TRUE)</f>
        <v>2318</v>
      </c>
      <c r="O10" s="4735" cm="1">
        <f t="array" aca="1" ref="O10" ca="1">INDIRECT("'※ B2B 세부데이터'!"&amp;O$1&amp;$AA10, TRUE)</f>
        <v>2038</v>
      </c>
      <c r="P10" s="4735" cm="1">
        <f t="array" aca="1" ref="P10" ca="1">INDIRECT("'※ B2B 세부데이터'!"&amp;P$1&amp;$AA10, TRUE)</f>
        <v>1226</v>
      </c>
      <c r="Q10" s="4735" cm="1">
        <f t="array" aca="1" ref="Q10" ca="1">INDIRECT("'※ B2B 세부데이터'!"&amp;Q$1&amp;$AA10, TRUE)</f>
        <v>1881</v>
      </c>
      <c r="R10" s="4735" cm="1">
        <f t="array" aca="1" ref="R10" ca="1">INDIRECT("'※ B2B 세부데이터'!"&amp;R$1&amp;$AA10, TRUE)</f>
        <v>2197</v>
      </c>
      <c r="S10" s="4736" cm="1">
        <f t="array" aca="1" ref="S10" ca="1">INDIRECT("'※ B2B 세부데이터'!"&amp;S$1&amp;$AA10, TRUE)</f>
        <v>316</v>
      </c>
      <c r="T10" s="4737" cm="1">
        <f t="array" aca="1" ref="T10" ca="1">INDIRECT("'※ B2B 세부데이터'!"&amp;T$1&amp;$AA10, TRUE)</f>
        <v>974</v>
      </c>
      <c r="U10" s="4738" cm="1">
        <f t="array" aca="1" ref="U10" ca="1">INDIRECT("'※ B2B 세부데이터'!"&amp;U$1&amp;$AA10, TRUE)</f>
        <v>26310</v>
      </c>
      <c r="V10" s="4739" cm="1">
        <f t="array" aca="1" ref="V10" ca="1">INDIRECT("'※ B2B 세부데이터'!"&amp;V$1&amp;$AA10, TRUE)</f>
        <v>650</v>
      </c>
      <c r="W10" s="4740" cm="1">
        <f t="array" aca="1" ref="W10" ca="1">INDIRECT("'※ B2B 세부데이터'!"&amp;W$1&amp;$AA10, TRUE)</f>
        <v>1.4201680672268908</v>
      </c>
      <c r="X10" s="4740" cm="1">
        <f t="array" aca="1" ref="X10" ca="1">INDIRECT("'※ B2B 세부데이터'!"&amp;X$1&amp;$AA10, TRUE)</f>
        <v>1.2622337363270006</v>
      </c>
      <c r="Y10" s="4741" cm="1">
        <f t="array" aca="1" ref="Y10" ca="1">INDIRECT("'※ B2B 세부데이터'!"&amp;Y$1&amp;$AA10, TRUE)</f>
        <v>2192.5</v>
      </c>
      <c r="Z10" s="3061" cm="1">
        <f t="array" aca="1" ref="Z10" ca="1">INDIRECT("'※ B2B 세부데이터'!"&amp;Z$1&amp;$AA10, TRUE)</f>
        <v>974</v>
      </c>
      <c r="AA10" s="4705">
        <f>ROW('※ B2B 세부데이터'!J9)</f>
        <v>9</v>
      </c>
    </row>
    <row r="11" spans="1:62" x14ac:dyDescent="0.55000000000000004">
      <c r="A11" s="7316"/>
      <c r="B11" s="7319"/>
      <c r="C11" s="4731" t="str" cm="1">
        <f t="array" aca="1" ref="C11" ca="1">INDIRECT("'※ B2B 세부데이터'!"&amp;C$1&amp;$AA11, TRUE)</f>
        <v>iot</v>
      </c>
      <c r="D11" s="4731"/>
      <c r="E11" s="4732" cm="1">
        <f t="array" aca="1" ref="E11" ca="1">INDIRECT("'※ B2B 세부데이터'!"&amp;E$1&amp;$AA11, TRUE)</f>
        <v>8618.3333333333339</v>
      </c>
      <c r="F11" s="4733" cm="1">
        <f t="array" aca="1" ref="F11" ca="1">INDIRECT("'※ B2B 세부데이터'!"&amp;F$1&amp;$AA11, TRUE)</f>
        <v>5315.25</v>
      </c>
      <c r="G11" s="4734" cm="1">
        <f t="array" aca="1" ref="G11" ca="1">INDIRECT("'※ B2B 세부데이터'!"&amp;G$1&amp;$AA11, TRUE)</f>
        <v>5549</v>
      </c>
      <c r="H11" s="4735" cm="1">
        <f t="array" aca="1" ref="H11" ca="1">INDIRECT("'※ B2B 세부데이터'!"&amp;H$1&amp;$AA11, TRUE)</f>
        <v>3086</v>
      </c>
      <c r="I11" s="4735" cm="1">
        <f t="array" aca="1" ref="I11" ca="1">INDIRECT("'※ B2B 세부데이터'!"&amp;I$1&amp;$AA11, TRUE)</f>
        <v>2922</v>
      </c>
      <c r="J11" s="4735" cm="1">
        <f t="array" aca="1" ref="J11" ca="1">INDIRECT("'※ B2B 세부데이터'!"&amp;J$1&amp;$AA11, TRUE)</f>
        <v>11432</v>
      </c>
      <c r="K11" s="4735" cm="1">
        <f t="array" aca="1" ref="K11" ca="1">INDIRECT("'※ B2B 세부데이터'!"&amp;K$1&amp;$AA11, TRUE)</f>
        <v>7692</v>
      </c>
      <c r="L11" s="4735" cm="1">
        <f t="array" aca="1" ref="L11" ca="1">INDIRECT("'※ B2B 세부데이터'!"&amp;L$1&amp;$AA11, TRUE)</f>
        <v>7756</v>
      </c>
      <c r="M11" s="4735" cm="1">
        <f t="array" aca="1" ref="M11" ca="1">INDIRECT("'※ B2B 세부데이터'!"&amp;M$1&amp;$AA11, TRUE)</f>
        <v>6991</v>
      </c>
      <c r="N11" s="4735" cm="1">
        <f t="array" aca="1" ref="N11" ca="1">INDIRECT("'※ B2B 세부데이터'!"&amp;N$1&amp;$AA11, TRUE)</f>
        <v>5540</v>
      </c>
      <c r="O11" s="4735" cm="1">
        <f t="array" aca="1" ref="O11" ca="1">INDIRECT("'※ B2B 세부데이터'!"&amp;O$1&amp;$AA11, TRUE)</f>
        <v>8871</v>
      </c>
      <c r="P11" s="4735" cm="1">
        <f t="array" aca="1" ref="P11" ca="1">INDIRECT("'※ B2B 세부데이터'!"&amp;P$1&amp;$AA11, TRUE)</f>
        <v>3125</v>
      </c>
      <c r="Q11" s="4735" cm="1">
        <f t="array" aca="1" ref="Q11" ca="1">INDIRECT("'※ B2B 세부데이터'!"&amp;Q$1&amp;$AA11, TRUE)</f>
        <v>4673</v>
      </c>
      <c r="R11" s="4735" cm="1">
        <f t="array" aca="1" ref="R11" ca="1">INDIRECT("'※ B2B 세부데이터'!"&amp;R$1&amp;$AA11, TRUE)</f>
        <v>5204</v>
      </c>
      <c r="S11" s="4736" cm="1">
        <f t="array" aca="1" ref="S11" ca="1">INDIRECT("'※ B2B 세부데이터'!"&amp;S$1&amp;$AA11, TRUE)</f>
        <v>531</v>
      </c>
      <c r="T11" s="4737" cm="1">
        <f t="array" aca="1" ref="T11" ca="1">INDIRECT("'※ B2B 세부데이터'!"&amp;T$1&amp;$AA11, TRUE)</f>
        <v>-1288</v>
      </c>
      <c r="U11" s="4738" cm="1">
        <f t="array" aca="1" ref="U11" ca="1">INDIRECT("'※ B2B 세부데이터'!"&amp;U$1&amp;$AA11, TRUE)</f>
        <v>72841</v>
      </c>
      <c r="V11" s="4739" cm="1">
        <f t="array" aca="1" ref="V11" ca="1">INDIRECT("'※ B2B 세부데이터'!"&amp;V$1&amp;$AA11, TRUE)</f>
        <v>-3566</v>
      </c>
      <c r="W11" s="4740" cm="1">
        <f t="array" aca="1" ref="W11" ca="1">INDIRECT("'※ B2B 세부데이터'!"&amp;W$1&amp;$AA11, TRUE)</f>
        <v>0.59338654503990873</v>
      </c>
      <c r="X11" s="4740" cm="1">
        <f t="array" aca="1" ref="X11" ca="1">INDIRECT("'※ B2B 세부데이터'!"&amp;X$1&amp;$AA11, TRUE)</f>
        <v>1.1420127620212281</v>
      </c>
      <c r="Y11" s="4741" cm="1">
        <f t="array" aca="1" ref="Y11" ca="1">INDIRECT("'※ B2B 세부데이터'!"&amp;Y$1&amp;$AA11, TRUE)</f>
        <v>6070.083333333333</v>
      </c>
      <c r="Z11" s="3061" cm="1">
        <f t="array" aca="1" ref="Z11" ca="1">INDIRECT("'※ B2B 세부데이터'!"&amp;Z$1&amp;$AA11, TRUE)</f>
        <v>-1288</v>
      </c>
      <c r="AA11" s="4705">
        <f>ROW('※ B2B 세부데이터'!J10)</f>
        <v>10</v>
      </c>
    </row>
    <row r="12" spans="1:62" x14ac:dyDescent="0.55000000000000004">
      <c r="A12" s="7316"/>
      <c r="B12" s="7319"/>
      <c r="C12" s="4731" t="str" cm="1">
        <f t="array" aca="1" ref="C12" ca="1">INDIRECT("'※ B2B 세부데이터'!"&amp;C$1&amp;$AA12, TRUE)</f>
        <v>후불신규</v>
      </c>
      <c r="D12" s="4731"/>
      <c r="E12" s="4732" cm="1">
        <f t="array" aca="1" ref="E12" ca="1">INDIRECT("'※ B2B 세부데이터'!"&amp;E$1&amp;$AA12, TRUE)</f>
        <v>580.91666666666663</v>
      </c>
      <c r="F12" s="4733" cm="1">
        <f t="array" aca="1" ref="F12" ca="1">INDIRECT("'※ B2B 세부데이터'!"&amp;F$1&amp;$AA12, TRUE)</f>
        <v>487.33333333333331</v>
      </c>
      <c r="G12" s="4734" cm="1">
        <f t="array" aca="1" ref="G12" ca="1">INDIRECT("'※ B2B 세부데이터'!"&amp;G$1&amp;$AA12, TRUE)</f>
        <v>364</v>
      </c>
      <c r="H12" s="4735" cm="1">
        <f t="array" aca="1" ref="H12" ca="1">INDIRECT("'※ B2B 세부데이터'!"&amp;H$1&amp;$AA12, TRUE)</f>
        <v>368</v>
      </c>
      <c r="I12" s="4735" cm="1">
        <f t="array" aca="1" ref="I12" ca="1">INDIRECT("'※ B2B 세부데이터'!"&amp;I$1&amp;$AA12, TRUE)</f>
        <v>1229</v>
      </c>
      <c r="J12" s="4735" cm="1">
        <f t="array" aca="1" ref="J12" ca="1">INDIRECT("'※ B2B 세부데이터'!"&amp;J$1&amp;$AA12, TRUE)</f>
        <v>276</v>
      </c>
      <c r="K12" s="4735" cm="1">
        <f t="array" aca="1" ref="K12" ca="1">INDIRECT("'※ B2B 세부데이터'!"&amp;K$1&amp;$AA12, TRUE)</f>
        <v>770</v>
      </c>
      <c r="L12" s="4735" cm="1">
        <f t="array" aca="1" ref="L12" ca="1">INDIRECT("'※ B2B 세부데이터'!"&amp;L$1&amp;$AA12, TRUE)</f>
        <v>527</v>
      </c>
      <c r="M12" s="4735" cm="1">
        <f t="array" aca="1" ref="M12" ca="1">INDIRECT("'※ B2B 세부데이터'!"&amp;M$1&amp;$AA12, TRUE)</f>
        <v>2480</v>
      </c>
      <c r="N12" s="4735" cm="1">
        <f t="array" aca="1" ref="N12" ca="1">INDIRECT("'※ B2B 세부데이터'!"&amp;N$1&amp;$AA12, TRUE)</f>
        <v>417</v>
      </c>
      <c r="O12" s="4735" cm="1">
        <f t="array" aca="1" ref="O12" ca="1">INDIRECT("'※ B2B 세부데이터'!"&amp;O$1&amp;$AA12, TRUE)</f>
        <v>650</v>
      </c>
      <c r="P12" s="4735" cm="1">
        <f t="array" aca="1" ref="P12" ca="1">INDIRECT("'※ B2B 세부데이터'!"&amp;P$1&amp;$AA12, TRUE)</f>
        <v>511</v>
      </c>
      <c r="Q12" s="4735" cm="1">
        <f t="array" aca="1" ref="Q12" ca="1">INDIRECT("'※ B2B 세부데이터'!"&amp;Q$1&amp;$AA12, TRUE)</f>
        <v>3155</v>
      </c>
      <c r="R12" s="4735" cm="1">
        <f t="array" aca="1" ref="R12" ca="1">INDIRECT("'※ B2B 세부데이터'!"&amp;R$1&amp;$AA12, TRUE)</f>
        <v>2175</v>
      </c>
      <c r="S12" s="4736" cm="1">
        <f t="array" aca="1" ref="S12" ca="1">INDIRECT("'※ B2B 세부데이터'!"&amp;S$1&amp;$AA12, TRUE)</f>
        <v>-980</v>
      </c>
      <c r="T12" s="4737" cm="1">
        <f t="array" aca="1" ref="T12" ca="1">INDIRECT("'※ B2B 세부데이터'!"&amp;T$1&amp;$AA12, TRUE)</f>
        <v>1807</v>
      </c>
      <c r="U12" s="4738" cm="1">
        <f t="array" aca="1" ref="U12" ca="1">INDIRECT("'※ B2B 세부데이터'!"&amp;U$1&amp;$AA12, TRUE)</f>
        <v>12922</v>
      </c>
      <c r="V12" s="4742" t="str" cm="1">
        <f t="array" aca="1" ref="V12" ca="1">INDIRECT("'※ B2B 세부데이터'!"&amp;V$1&amp;$AA12, TRUE)</f>
        <v>-</v>
      </c>
      <c r="W12" s="4742" t="str" cm="1">
        <f t="array" aca="1" ref="W12" ca="1">INDIRECT("'※ B2B 세부데이터'!"&amp;W$1&amp;$AA12, TRUE)</f>
        <v>-</v>
      </c>
      <c r="X12" s="4740" cm="1">
        <f t="array" aca="1" ref="X12" ca="1">INDIRECT("'※ B2B 세부데이터'!"&amp;X$1&amp;$AA12, TRUE)</f>
        <v>2.2096443228454175</v>
      </c>
      <c r="Y12" s="4741" cm="1">
        <f t="array" aca="1" ref="Y12" ca="1">INDIRECT("'※ B2B 세부데이터'!"&amp;Y$1&amp;$AA12, TRUE)</f>
        <v>1076.8333333333333</v>
      </c>
      <c r="Z12" s="3061" cm="1">
        <f t="array" aca="1" ref="Z12" ca="1">INDIRECT("'※ B2B 세부데이터'!"&amp;Z$1&amp;$AA12, TRUE)</f>
        <v>1807</v>
      </c>
      <c r="AA12" s="4705">
        <f>ROW('※ B2B 세부데이터'!J11)</f>
        <v>11</v>
      </c>
    </row>
    <row r="13" spans="1:62" x14ac:dyDescent="0.55000000000000004">
      <c r="A13" s="7316"/>
      <c r="B13" s="7319"/>
      <c r="C13" s="4731" t="str" cm="1">
        <f t="array" aca="1" ref="C13" ca="1">INDIRECT("'※ B2B 세부데이터'!"&amp;C$1&amp;$AA13, TRUE)</f>
        <v>무선순증</v>
      </c>
      <c r="D13" s="4731"/>
      <c r="E13" s="4732" cm="1">
        <f t="array" aca="1" ref="E13" ca="1">INDIRECT("'※ B2B 세부데이터'!"&amp;E$1&amp;$AA13, TRUE)</f>
        <v>1222.0833333333333</v>
      </c>
      <c r="F13" s="4733" cm="1">
        <f t="array" aca="1" ref="F13" ca="1">INDIRECT("'※ B2B 세부데이터'!"&amp;F$1&amp;$AA13, TRUE)</f>
        <v>1322.25</v>
      </c>
      <c r="G13" s="4734" cm="1">
        <f t="array" aca="1" ref="G13" ca="1">INDIRECT("'※ B2B 세부데이터'!"&amp;G$1&amp;$AA13, TRUE)</f>
        <v>377</v>
      </c>
      <c r="H13" s="4735" cm="1">
        <f t="array" aca="1" ref="H13" ca="1">INDIRECT("'※ B2B 세부데이터'!"&amp;H$1&amp;$AA13, TRUE)</f>
        <v>216</v>
      </c>
      <c r="I13" s="4735" cm="1">
        <f t="array" aca="1" ref="I13" ca="1">INDIRECT("'※ B2B 세부데이터'!"&amp;I$1&amp;$AA13, TRUE)</f>
        <v>1511</v>
      </c>
      <c r="J13" s="4735" cm="1">
        <f t="array" aca="1" ref="J13" ca="1">INDIRECT("'※ B2B 세부데이터'!"&amp;J$1&amp;$AA13, TRUE)</f>
        <v>719</v>
      </c>
      <c r="K13" s="4735" cm="1">
        <f t="array" aca="1" ref="K13" ca="1">INDIRECT("'※ B2B 세부데이터'!"&amp;K$1&amp;$AA13, TRUE)</f>
        <v>709</v>
      </c>
      <c r="L13" s="4735" cm="1">
        <f t="array" aca="1" ref="L13" ca="1">INDIRECT("'※ B2B 세부데이터'!"&amp;L$1&amp;$AA13, TRUE)</f>
        <v>504</v>
      </c>
      <c r="M13" s="4735" cm="1">
        <f t="array" aca="1" ref="M13" ca="1">INDIRECT("'※ B2B 세부데이터'!"&amp;M$1&amp;$AA13, TRUE)</f>
        <v>2206</v>
      </c>
      <c r="N13" s="4735" cm="1">
        <f t="array" aca="1" ref="N13" ca="1">INDIRECT("'※ B2B 세부데이터'!"&amp;N$1&amp;$AA13, TRUE)</f>
        <v>-50</v>
      </c>
      <c r="O13" s="4735" cm="1">
        <f t="array" aca="1" ref="O13" ca="1">INDIRECT("'※ B2B 세부데이터'!"&amp;O$1&amp;$AA13, TRUE)</f>
        <v>890</v>
      </c>
      <c r="P13" s="4735" cm="1">
        <f t="array" aca="1" ref="P13" ca="1">INDIRECT("'※ B2B 세부데이터'!"&amp;P$1&amp;$AA13, TRUE)</f>
        <v>359</v>
      </c>
      <c r="Q13" s="4735" cm="1">
        <f t="array" aca="1" ref="Q13" ca="1">INDIRECT("'※ B2B 세부데이터'!"&amp;Q$1&amp;$AA13, TRUE)</f>
        <v>3977</v>
      </c>
      <c r="R13" s="4735" cm="1">
        <f t="array" aca="1" ref="R13" ca="1">INDIRECT("'※ B2B 세부데이터'!"&amp;R$1&amp;$AA13, TRUE)</f>
        <v>69</v>
      </c>
      <c r="S13" s="4736" cm="1">
        <f t="array" aca="1" ref="S13" ca="1">INDIRECT("'※ B2B 세부데이터'!"&amp;S$1&amp;$AA13, TRUE)</f>
        <v>-3908</v>
      </c>
      <c r="T13" s="4737" cm="1">
        <f t="array" aca="1" ref="T13" ca="1">INDIRECT("'※ B2B 세부데이터'!"&amp;T$1&amp;$AA13, TRUE)</f>
        <v>-684</v>
      </c>
      <c r="U13" s="4738" cm="1">
        <f t="array" aca="1" ref="U13" ca="1">INDIRECT("'※ B2B 세부데이터'!"&amp;U$1&amp;$AA13, TRUE)</f>
        <v>11487</v>
      </c>
      <c r="V13" s="4742" t="str" cm="1">
        <f t="array" aca="1" ref="V13" ca="1">INDIRECT("'※ B2B 세부데이터'!"&amp;V$1&amp;$AA13, TRUE)</f>
        <v>-</v>
      </c>
      <c r="W13" s="4742" t="str" cm="1">
        <f t="array" aca="1" ref="W13" ca="1">INDIRECT("'※ B2B 세부데이터'!"&amp;W$1&amp;$AA13, TRUE)</f>
        <v>-</v>
      </c>
      <c r="X13" s="4740" cm="1">
        <f t="array" aca="1" ref="X13" ca="1">INDIRECT("'※ B2B 세부데이터'!"&amp;X$1&amp;$AA13, TRUE)</f>
        <v>0.72395537908867458</v>
      </c>
      <c r="Y13" s="4741" cm="1">
        <f t="array" aca="1" ref="Y13" ca="1">INDIRECT("'※ B2B 세부데이터'!"&amp;Y$1&amp;$AA13, TRUE)</f>
        <v>957.25</v>
      </c>
      <c r="Z13" s="3061" cm="1">
        <f t="array" aca="1" ref="Z13" ca="1">INDIRECT("'※ B2B 세부데이터'!"&amp;Z$1&amp;$AA13, TRUE)</f>
        <v>-684</v>
      </c>
      <c r="AA13" s="4705">
        <f>ROW('※ B2B 세부데이터'!J12)</f>
        <v>12</v>
      </c>
    </row>
    <row r="14" spans="1:62" x14ac:dyDescent="0.55000000000000004">
      <c r="A14" s="7316"/>
      <c r="B14" s="7319"/>
      <c r="C14" s="4731" t="str" cm="1">
        <f t="array" aca="1" ref="C14" ca="1">INDIRECT("'※ B2B 세부데이터'!"&amp;C$1&amp;$AA14, TRUE)</f>
        <v>유선</v>
      </c>
      <c r="D14" s="4731"/>
      <c r="E14" s="4732" cm="1">
        <f t="array" aca="1" ref="E14" ca="1">INDIRECT("'※ B2B 세부데이터'!"&amp;E$1&amp;$AA14, TRUE)</f>
        <v>0</v>
      </c>
      <c r="F14" s="4733" cm="1">
        <f t="array" aca="1" ref="F14" ca="1">INDIRECT("'※ B2B 세부데이터'!"&amp;F$1&amp;$AA14, TRUE)</f>
        <v>174.5</v>
      </c>
      <c r="G14" s="4734" cm="1">
        <f t="array" aca="1" ref="G14" ca="1">INDIRECT("'※ B2B 세부데이터'!"&amp;G$1&amp;$AA14, TRUE)</f>
        <v>81</v>
      </c>
      <c r="H14" s="4735" cm="1">
        <f t="array" aca="1" ref="H14" ca="1">INDIRECT("'※ B2B 세부데이터'!"&amp;H$1&amp;$AA14, TRUE)</f>
        <v>190</v>
      </c>
      <c r="I14" s="4735" cm="1">
        <f t="array" aca="1" ref="I14" ca="1">INDIRECT("'※ B2B 세부데이터'!"&amp;I$1&amp;$AA14, TRUE)</f>
        <v>36</v>
      </c>
      <c r="J14" s="4735" cm="1">
        <f t="array" aca="1" ref="J14" ca="1">INDIRECT("'※ B2B 세부데이터'!"&amp;J$1&amp;$AA14, TRUE)</f>
        <v>196</v>
      </c>
      <c r="K14" s="4735" cm="1">
        <f t="array" aca="1" ref="K14" ca="1">INDIRECT("'※ B2B 세부데이터'!"&amp;K$1&amp;$AA14, TRUE)</f>
        <v>101</v>
      </c>
      <c r="L14" s="4735" cm="1">
        <f t="array" aca="1" ref="L14" ca="1">INDIRECT("'※ B2B 세부데이터'!"&amp;L$1&amp;$AA14, TRUE)</f>
        <v>242</v>
      </c>
      <c r="M14" s="4735" cm="1">
        <f t="array" aca="1" ref="M14" ca="1">INDIRECT("'※ B2B 세부데이터'!"&amp;M$1&amp;$AA14, TRUE)</f>
        <v>413</v>
      </c>
      <c r="N14" s="4735" cm="1">
        <f t="array" aca="1" ref="N14" ca="1">INDIRECT("'※ B2B 세부데이터'!"&amp;N$1&amp;$AA14, TRUE)</f>
        <v>166</v>
      </c>
      <c r="O14" s="4735" cm="1">
        <f t="array" aca="1" ref="O14" ca="1">INDIRECT("'※ B2B 세부데이터'!"&amp;O$1&amp;$AA14, TRUE)</f>
        <v>621</v>
      </c>
      <c r="P14" s="4735" cm="1">
        <f t="array" aca="1" ref="P14" ca="1">INDIRECT("'※ B2B 세부데이터'!"&amp;P$1&amp;$AA14, TRUE)</f>
        <v>172</v>
      </c>
      <c r="Q14" s="4735" cm="1">
        <f t="array" aca="1" ref="Q14" ca="1">INDIRECT("'※ B2B 세부데이터'!"&amp;Q$1&amp;$AA14, TRUE)</f>
        <v>116</v>
      </c>
      <c r="R14" s="4735" cm="1">
        <f t="array" aca="1" ref="R14" ca="1">INDIRECT("'※ B2B 세부데이터'!"&amp;R$1&amp;$AA14, TRUE)</f>
        <v>232</v>
      </c>
      <c r="S14" s="4736" cm="1">
        <f t="array" aca="1" ref="S14" ca="1">INDIRECT("'※ B2B 세부데이터'!"&amp;S$1&amp;$AA14, TRUE)</f>
        <v>116</v>
      </c>
      <c r="T14" s="4737" cm="1">
        <f t="array" aca="1" ref="T14" ca="1">INDIRECT("'※ B2B 세부데이터'!"&amp;T$1&amp;$AA14, TRUE)</f>
        <v>232</v>
      </c>
      <c r="U14" s="4738" cm="1">
        <f t="array" aca="1" ref="U14" ca="1">INDIRECT("'※ B2B 세부데이터'!"&amp;U$1&amp;$AA14, TRUE)</f>
        <v>2566</v>
      </c>
      <c r="V14" s="4742" t="str" cm="1">
        <f t="array" aca="1" ref="V14" ca="1">INDIRECT("'※ B2B 세부데이터'!"&amp;V$1&amp;$AA14, TRUE)</f>
        <v>-</v>
      </c>
      <c r="W14" s="4742" t="str" cm="1">
        <f t="array" aca="1" ref="W14" ca="1">INDIRECT("'※ B2B 세부데이터'!"&amp;W$1&amp;$AA14, TRUE)</f>
        <v>-</v>
      </c>
      <c r="X14" s="4740" cm="1">
        <f t="array" aca="1" ref="X14" ca="1">INDIRECT("'※ B2B 세부데이터'!"&amp;X$1&amp;$AA14, TRUE)</f>
        <v>1.2254059216809934</v>
      </c>
      <c r="Y14" s="4741" cm="1">
        <f t="array" aca="1" ref="Y14" ca="1">INDIRECT("'※ B2B 세부데이터'!"&amp;Y$1&amp;$AA14, TRUE)</f>
        <v>213.83333333333334</v>
      </c>
      <c r="Z14" s="3061" cm="1">
        <f t="array" aca="1" ref="Z14" ca="1">INDIRECT("'※ B2B 세부데이터'!"&amp;Z$1&amp;$AA14, TRUE)</f>
        <v>232</v>
      </c>
      <c r="AA14" s="4705">
        <f>ROW('※ B2B 세부데이터'!J13)</f>
        <v>13</v>
      </c>
    </row>
    <row r="15" spans="1:62" x14ac:dyDescent="0.55000000000000004">
      <c r="A15" s="7316"/>
      <c r="B15" s="7320"/>
      <c r="C15" s="4743" t="str" cm="1">
        <f t="array" aca="1" ref="C15" ca="1">INDIRECT("'※ B2B 세부데이터'!"&amp;C$1&amp;$AA15, TRUE)</f>
        <v>전략상품</v>
      </c>
      <c r="D15" s="4743"/>
      <c r="E15" s="4744" cm="1">
        <f t="array" aca="1" ref="E15" ca="1">INDIRECT("'※ B2B 세부데이터'!"&amp;E$1&amp;$AA15, TRUE)</f>
        <v>16.5</v>
      </c>
      <c r="F15" s="4745" cm="1">
        <f t="array" aca="1" ref="F15" ca="1">INDIRECT("'※ B2B 세부데이터'!"&amp;F$1&amp;$AA15, TRUE)</f>
        <v>10.25</v>
      </c>
      <c r="G15" s="4746" cm="1">
        <f t="array" aca="1" ref="G15" ca="1">INDIRECT("'※ B2B 세부데이터'!"&amp;G$1&amp;$AA15, TRUE)</f>
        <v>4</v>
      </c>
      <c r="H15" s="4747" cm="1">
        <f t="array" aca="1" ref="H15" ca="1">INDIRECT("'※ B2B 세부데이터'!"&amp;H$1&amp;$AA15, TRUE)</f>
        <v>0</v>
      </c>
      <c r="I15" s="4747" cm="1">
        <f t="array" aca="1" ref="I15" ca="1">INDIRECT("'※ B2B 세부데이터'!"&amp;I$1&amp;$AA15, TRUE)</f>
        <v>24</v>
      </c>
      <c r="J15" s="4747" cm="1">
        <f t="array" aca="1" ref="J15" ca="1">INDIRECT("'※ B2B 세부데이터'!"&amp;J$1&amp;$AA15, TRUE)</f>
        <v>16</v>
      </c>
      <c r="K15" s="4747" cm="1">
        <f t="array" aca="1" ref="K15" ca="1">INDIRECT("'※ B2B 세부데이터'!"&amp;K$1&amp;$AA15, TRUE)</f>
        <v>21</v>
      </c>
      <c r="L15" s="4747" cm="1">
        <f t="array" aca="1" ref="L15" ca="1">INDIRECT("'※ B2B 세부데이터'!"&amp;L$1&amp;$AA15, TRUE)</f>
        <v>0</v>
      </c>
      <c r="M15" s="4747" cm="1">
        <f t="array" aca="1" ref="M15" ca="1">INDIRECT("'※ B2B 세부데이터'!"&amp;M$1&amp;$AA15, TRUE)</f>
        <v>0</v>
      </c>
      <c r="N15" s="4747" cm="1">
        <f t="array" aca="1" ref="N15" ca="1">INDIRECT("'※ B2B 세부데이터'!"&amp;N$1&amp;$AA15, TRUE)</f>
        <v>0</v>
      </c>
      <c r="O15" s="4747" cm="1">
        <f t="array" aca="1" ref="O15" ca="1">INDIRECT("'※ B2B 세부데이터'!"&amp;O$1&amp;$AA15, TRUE)</f>
        <v>0</v>
      </c>
      <c r="P15" s="4747" cm="1">
        <f t="array" aca="1" ref="P15" ca="1">INDIRECT("'※ B2B 세부데이터'!"&amp;P$1&amp;$AA15, TRUE)</f>
        <v>0</v>
      </c>
      <c r="Q15" s="4747" cm="1">
        <f t="array" aca="1" ref="Q15" ca="1">INDIRECT("'※ B2B 세부데이터'!"&amp;Q$1&amp;$AA15, TRUE)</f>
        <v>0</v>
      </c>
      <c r="R15" s="4747" cm="1">
        <f t="array" aca="1" ref="R15" ca="1">INDIRECT("'※ B2B 세부데이터'!"&amp;R$1&amp;$AA15, TRUE)</f>
        <v>0</v>
      </c>
      <c r="S15" s="4748" cm="1">
        <f t="array" aca="1" ref="S15" ca="1">INDIRECT("'※ B2B 세부데이터'!"&amp;S$1&amp;$AA15, TRUE)</f>
        <v>0</v>
      </c>
      <c r="T15" s="4749" cm="1">
        <f t="array" aca="1" ref="T15" ca="1">INDIRECT("'※ B2B 세부데이터'!"&amp;T$1&amp;$AA15, TRUE)</f>
        <v>0</v>
      </c>
      <c r="U15" s="4750" cm="1">
        <f t="array" aca="1" ref="U15" ca="1">INDIRECT("'※ B2B 세부데이터'!"&amp;U$1&amp;$AA15, TRUE)</f>
        <v>65</v>
      </c>
      <c r="V15" s="4751" t="str" cm="1">
        <f t="array" aca="1" ref="V15" ca="1">INDIRECT("'※ B2B 세부데이터'!"&amp;V$1&amp;$AA15, TRUE)</f>
        <v>-</v>
      </c>
      <c r="W15" s="4751" t="str" cm="1">
        <f t="array" aca="1" ref="W15" ca="1">INDIRECT("'※ B2B 세부데이터'!"&amp;W$1&amp;$AA15, TRUE)</f>
        <v>-</v>
      </c>
      <c r="X15" s="4752" cm="1">
        <f t="array" aca="1" ref="X15" ca="1">INDIRECT("'※ B2B 세부데이터'!"&amp;X$1&amp;$AA15, TRUE)</f>
        <v>0.52845528455284552</v>
      </c>
      <c r="Y15" s="4753" cm="1">
        <f t="array" aca="1" ref="Y15" ca="1">INDIRECT("'※ B2B 세부데이터'!"&amp;Y$1&amp;$AA15, TRUE)</f>
        <v>5.416666666666667</v>
      </c>
      <c r="Z15" s="4754" cm="1">
        <f t="array" aca="1" ref="Z15" ca="1">INDIRECT("'※ B2B 세부데이터'!"&amp;Z$1&amp;$AA15, TRUE)</f>
        <v>0</v>
      </c>
      <c r="AA15" s="4705">
        <f>ROW('※ B2B 세부데이터'!J14)</f>
        <v>14</v>
      </c>
    </row>
    <row r="16" spans="1:62" x14ac:dyDescent="0.55000000000000004">
      <c r="A16" s="7316"/>
      <c r="B16" s="7290" t="s">
        <v>815</v>
      </c>
      <c r="C16" s="4755" t="str" cm="1">
        <f t="array" aca="1" ref="C16" ca="1">INDIRECT("'※ B2B 세부데이터'!"&amp;C$1&amp;$AA16, TRUE)</f>
        <v>일반후불</v>
      </c>
      <c r="D16" s="4755"/>
      <c r="E16" s="4756" cm="1">
        <f t="array" aca="1" ref="E16" ca="1">INDIRECT("'※ B2B 세부데이터'!"&amp;E$1&amp;$AA16, TRUE)</f>
        <v>1510.9166666666667</v>
      </c>
      <c r="F16" s="4757" cm="1">
        <f t="array" aca="1" ref="F16" ca="1">INDIRECT("'※ B2B 세부데이터'!"&amp;F$1&amp;$AA16, TRUE)</f>
        <v>1338.4166666666667</v>
      </c>
      <c r="G16" s="4758" cm="1">
        <f t="array" aca="1" ref="G16" ca="1">INDIRECT("'※ B2B 세부데이터'!"&amp;G$1&amp;$AA16, TRUE)</f>
        <v>614</v>
      </c>
      <c r="H16" s="4759" cm="1">
        <f t="array" aca="1" ref="H16" ca="1">INDIRECT("'※ B2B 세부데이터'!"&amp;H$1&amp;$AA16, TRUE)</f>
        <v>1037</v>
      </c>
      <c r="I16" s="4759" cm="1">
        <f t="array" aca="1" ref="I16" ca="1">INDIRECT("'※ B2B 세부데이터'!"&amp;I$1&amp;$AA16, TRUE)</f>
        <v>2255</v>
      </c>
      <c r="J16" s="4759" cm="1">
        <f t="array" aca="1" ref="J16" ca="1">INDIRECT("'※ B2B 세부데이터'!"&amp;J$1&amp;$AA16, TRUE)</f>
        <v>915</v>
      </c>
      <c r="K16" s="4759" cm="1">
        <f t="array" aca="1" ref="K16" ca="1">INDIRECT("'※ B2B 세부데이터'!"&amp;K$1&amp;$AA16, TRUE)</f>
        <v>781</v>
      </c>
      <c r="L16" s="4759" cm="1">
        <f t="array" aca="1" ref="L16" ca="1">INDIRECT("'※ B2B 세부데이터'!"&amp;L$1&amp;$AA16, TRUE)</f>
        <v>562</v>
      </c>
      <c r="M16" s="4759" cm="1">
        <f t="array" aca="1" ref="M16" ca="1">INDIRECT("'※ B2B 세부데이터'!"&amp;M$1&amp;$AA16, TRUE)</f>
        <v>984</v>
      </c>
      <c r="N16" s="4759" cm="1">
        <f t="array" aca="1" ref="N16" ca="1">INDIRECT("'※ B2B 세부데이터'!"&amp;N$1&amp;$AA16, TRUE)</f>
        <v>368</v>
      </c>
      <c r="O16" s="4759" cm="1">
        <f t="array" aca="1" ref="O16" ca="1">INDIRECT("'※ B2B 세부데이터'!"&amp;O$1&amp;$AA16, TRUE)</f>
        <v>776</v>
      </c>
      <c r="P16" s="4759" cm="1">
        <f t="array" aca="1" ref="P16" ca="1">INDIRECT("'※ B2B 세부데이터'!"&amp;P$1&amp;$AA16, TRUE)</f>
        <v>3416</v>
      </c>
      <c r="Q16" s="4759" cm="1">
        <f t="array" aca="1" ref="Q16" ca="1">INDIRECT("'※ B2B 세부데이터'!"&amp;Q$1&amp;$AA16, TRUE)</f>
        <v>3718</v>
      </c>
      <c r="R16" s="4759" cm="1">
        <f t="array" aca="1" ref="R16" ca="1">INDIRECT("'※ B2B 세부데이터'!"&amp;R$1&amp;$AA16, TRUE)</f>
        <v>605</v>
      </c>
      <c r="S16" s="4760" cm="1">
        <f t="array" aca="1" ref="S16" ca="1">INDIRECT("'※ B2B 세부데이터'!"&amp;S$1&amp;$AA16, TRUE)</f>
        <v>-3113</v>
      </c>
      <c r="T16" s="4761" cm="1">
        <f t="array" aca="1" ref="T16" ca="1">INDIRECT("'※ B2B 세부데이터'!"&amp;T$1&amp;$AA16, TRUE)</f>
        <v>-45</v>
      </c>
      <c r="U16" s="4762" cm="1">
        <f t="array" aca="1" ref="U16" ca="1">INDIRECT("'※ B2B 세부데이터'!"&amp;U$1&amp;$AA16, TRUE)</f>
        <v>16031</v>
      </c>
      <c r="V16" s="4763" cm="1">
        <f t="array" aca="1" ref="V16" ca="1">INDIRECT("'※ B2B 세부데이터'!"&amp;V$1&amp;$AA16, TRUE)</f>
        <v>-95</v>
      </c>
      <c r="W16" s="4764" cm="1">
        <f t="array" aca="1" ref="W16" ca="1">INDIRECT("'※ B2B 세부데이터'!"&amp;W$1&amp;$AA16, TRUE)</f>
        <v>0.86428571428571432</v>
      </c>
      <c r="X16" s="4764" cm="1">
        <f t="array" aca="1" ref="X16" ca="1">INDIRECT("'※ B2B 세부데이터'!"&amp;X$1&amp;$AA16, TRUE)</f>
        <v>0.9981321212875911</v>
      </c>
      <c r="Y16" s="4765" cm="1">
        <f t="array" aca="1" ref="Y16" ca="1">INDIRECT("'※ B2B 세부데이터'!"&amp;Y$1&amp;$AA16, TRUE)</f>
        <v>1335.9166666666667</v>
      </c>
      <c r="Z16" s="4766" cm="1">
        <f t="array" aca="1" ref="Z16" ca="1">INDIRECT("'※ B2B 세부데이터'!"&amp;Z$1&amp;$AA16, TRUE)</f>
        <v>-45</v>
      </c>
      <c r="AA16" s="4705">
        <f>ROW('※ B2B 세부데이터'!J15)</f>
        <v>15</v>
      </c>
    </row>
    <row r="17" spans="1:27" x14ac:dyDescent="0.55000000000000004">
      <c r="A17" s="7316"/>
      <c r="B17" s="7291"/>
      <c r="C17" s="2575" t="str" cm="1">
        <f t="array" aca="1" ref="C17" ca="1">INDIRECT("'※ B2B 세부데이터'!"&amp;C$1&amp;$AA17, TRUE)</f>
        <v>중고개통</v>
      </c>
      <c r="D17" s="2575"/>
      <c r="E17" s="4767" cm="1">
        <f t="array" aca="1" ref="E17" ca="1">INDIRECT("'※ B2B 세부데이터'!"&amp;E$1&amp;$AA17, TRUE)</f>
        <v>699.58333333333337</v>
      </c>
      <c r="F17" s="4768" cm="1">
        <f t="array" aca="1" ref="F17" ca="1">INDIRECT("'※ B2B 세부데이터'!"&amp;F$1&amp;$AA17, TRUE)</f>
        <v>542.66666666666663</v>
      </c>
      <c r="G17" s="4769" cm="1">
        <f t="array" aca="1" ref="G17" ca="1">INDIRECT("'※ B2B 세부데이터'!"&amp;G$1&amp;$AA17, TRUE)</f>
        <v>463</v>
      </c>
      <c r="H17" s="4770" cm="1">
        <f t="array" aca="1" ref="H17" ca="1">INDIRECT("'※ B2B 세부데이터'!"&amp;H$1&amp;$AA17, TRUE)</f>
        <v>459</v>
      </c>
      <c r="I17" s="4770" cm="1">
        <f t="array" aca="1" ref="I17" ca="1">INDIRECT("'※ B2B 세부데이터'!"&amp;I$1&amp;$AA17, TRUE)</f>
        <v>1463</v>
      </c>
      <c r="J17" s="4770" cm="1">
        <f t="array" aca="1" ref="J17" ca="1">INDIRECT("'※ B2B 세부데이터'!"&amp;J$1&amp;$AA17, TRUE)</f>
        <v>702</v>
      </c>
      <c r="K17" s="4770" cm="1">
        <f t="array" aca="1" ref="K17" ca="1">INDIRECT("'※ B2B 세부데이터'!"&amp;K$1&amp;$AA17, TRUE)</f>
        <v>522</v>
      </c>
      <c r="L17" s="4770" cm="1">
        <f t="array" aca="1" ref="L17" ca="1">INDIRECT("'※ B2B 세부데이터'!"&amp;L$1&amp;$AA17, TRUE)</f>
        <v>316</v>
      </c>
      <c r="M17" s="4770" cm="1">
        <f t="array" aca="1" ref="M17" ca="1">INDIRECT("'※ B2B 세부데이터'!"&amp;M$1&amp;$AA17, TRUE)</f>
        <v>375</v>
      </c>
      <c r="N17" s="4770" cm="1">
        <f t="array" aca="1" ref="N17" ca="1">INDIRECT("'※ B2B 세부데이터'!"&amp;N$1&amp;$AA17, TRUE)</f>
        <v>216</v>
      </c>
      <c r="O17" s="4770" cm="1">
        <f t="array" aca="1" ref="O17" ca="1">INDIRECT("'※ B2B 세부데이터'!"&amp;O$1&amp;$AA17, TRUE)</f>
        <v>530</v>
      </c>
      <c r="P17" s="4770" cm="1">
        <f t="array" aca="1" ref="P17" ca="1">INDIRECT("'※ B2B 세부데이터'!"&amp;P$1&amp;$AA17, TRUE)</f>
        <v>292</v>
      </c>
      <c r="Q17" s="4770" cm="1">
        <f t="array" aca="1" ref="Q17" ca="1">INDIRECT("'※ B2B 세부데이터'!"&amp;Q$1&amp;$AA17, TRUE)</f>
        <v>707</v>
      </c>
      <c r="R17" s="4770" cm="1">
        <f t="array" aca="1" ref="R17" ca="1">INDIRECT("'※ B2B 세부데이터'!"&amp;R$1&amp;$AA17, TRUE)</f>
        <v>359</v>
      </c>
      <c r="S17" s="4771" cm="1">
        <f t="array" aca="1" ref="S17" ca="1">INDIRECT("'※ B2B 세부데이터'!"&amp;S$1&amp;$AA17, TRUE)</f>
        <v>-348</v>
      </c>
      <c r="T17" s="4772" cm="1">
        <f t="array" aca="1" ref="T17" ca="1">INDIRECT("'※ B2B 세부데이터'!"&amp;T$1&amp;$AA17, TRUE)</f>
        <v>-175</v>
      </c>
      <c r="U17" s="4773" cm="1">
        <f t="array" aca="1" ref="U17" ca="1">INDIRECT("'※ B2B 세부데이터'!"&amp;U$1&amp;$AA17, TRUE)</f>
        <v>6404</v>
      </c>
      <c r="V17" s="4774" cm="1">
        <f t="array" aca="1" ref="V17" ca="1">INDIRECT("'※ B2B 세부데이터'!"&amp;V$1&amp;$AA17, TRUE)</f>
        <v>59</v>
      </c>
      <c r="W17" s="4775" cm="1">
        <f t="array" aca="1" ref="W17" ca="1">INDIRECT("'※ B2B 세부데이터'!"&amp;W$1&amp;$AA17, TRUE)</f>
        <v>1.1966666666666668</v>
      </c>
      <c r="X17" s="4775" cm="1">
        <f t="array" aca="1" ref="X17" ca="1">INDIRECT("'※ B2B 세부데이터'!"&amp;X$1&amp;$AA17, TRUE)</f>
        <v>0.9834152334152334</v>
      </c>
      <c r="Y17" s="4776" cm="1">
        <f t="array" aca="1" ref="Y17" ca="1">INDIRECT("'※ B2B 세부데이터'!"&amp;Y$1&amp;$AA17, TRUE)</f>
        <v>533.66666666666663</v>
      </c>
      <c r="Z17" s="4777" cm="1">
        <f t="array" aca="1" ref="Z17" ca="1">INDIRECT("'※ B2B 세부데이터'!"&amp;Z$1&amp;$AA17, TRUE)</f>
        <v>-175</v>
      </c>
      <c r="AA17" s="4705">
        <f>ROW('※ B2B 세부데이터'!J16)</f>
        <v>16</v>
      </c>
    </row>
    <row r="18" spans="1:27" x14ac:dyDescent="0.55000000000000004">
      <c r="A18" s="7316"/>
      <c r="B18" s="7291"/>
      <c r="C18" s="2575" t="str" cm="1">
        <f t="array" aca="1" ref="C18" ca="1">INDIRECT("'※ B2B 세부데이터'!"&amp;C$1&amp;$AA18, TRUE)</f>
        <v>운영후불</v>
      </c>
      <c r="D18" s="2575"/>
      <c r="E18" s="4767" cm="1">
        <f t="array" aca="1" ref="E18" ca="1">INDIRECT("'※ B2B 세부데이터'!"&amp;E$1&amp;$AA18, TRUE)</f>
        <v>811.33333333333337</v>
      </c>
      <c r="F18" s="4768" cm="1">
        <f t="array" aca="1" ref="F18" ca="1">INDIRECT("'※ B2B 세부데이터'!"&amp;F$1&amp;$AA18, TRUE)</f>
        <v>795.75</v>
      </c>
      <c r="G18" s="4769" cm="1">
        <f t="array" aca="1" ref="G18" ca="1">INDIRECT("'※ B2B 세부데이터'!"&amp;G$1&amp;$AA18, TRUE)</f>
        <v>151</v>
      </c>
      <c r="H18" s="4770" cm="1">
        <f t="array" aca="1" ref="H18" ca="1">INDIRECT("'※ B2B 세부데이터'!"&amp;H$1&amp;$AA18, TRUE)</f>
        <v>578</v>
      </c>
      <c r="I18" s="4770" cm="1">
        <f t="array" aca="1" ref="I18" ca="1">INDIRECT("'※ B2B 세부데이터'!"&amp;I$1&amp;$AA18, TRUE)</f>
        <v>792</v>
      </c>
      <c r="J18" s="4770" cm="1">
        <f t="array" aca="1" ref="J18" ca="1">INDIRECT("'※ B2B 세부데이터'!"&amp;J$1&amp;$AA18, TRUE)</f>
        <v>213</v>
      </c>
      <c r="K18" s="4770" cm="1">
        <f t="array" aca="1" ref="K18" ca="1">INDIRECT("'※ B2B 세부데이터'!"&amp;K$1&amp;$AA18, TRUE)</f>
        <v>259</v>
      </c>
      <c r="L18" s="4770" cm="1">
        <f t="array" aca="1" ref="L18" ca="1">INDIRECT("'※ B2B 세부데이터'!"&amp;L$1&amp;$AA18, TRUE)</f>
        <v>246</v>
      </c>
      <c r="M18" s="4770" cm="1">
        <f t="array" aca="1" ref="M18" ca="1">INDIRECT("'※ B2B 세부데이터'!"&amp;M$1&amp;$AA18, TRUE)</f>
        <v>609</v>
      </c>
      <c r="N18" s="4770" cm="1">
        <f t="array" aca="1" ref="N18" ca="1">INDIRECT("'※ B2B 세부데이터'!"&amp;N$1&amp;$AA18, TRUE)</f>
        <v>152</v>
      </c>
      <c r="O18" s="4770" cm="1">
        <f t="array" aca="1" ref="O18" ca="1">INDIRECT("'※ B2B 세부데이터'!"&amp;O$1&amp;$AA18, TRUE)</f>
        <v>246</v>
      </c>
      <c r="P18" s="4770" cm="1">
        <f t="array" aca="1" ref="P18" ca="1">INDIRECT("'※ B2B 세부데이터'!"&amp;P$1&amp;$AA18, TRUE)</f>
        <v>3124</v>
      </c>
      <c r="Q18" s="4770" cm="1">
        <f t="array" aca="1" ref="Q18" ca="1">INDIRECT("'※ B2B 세부데이터'!"&amp;Q$1&amp;$AA18, TRUE)</f>
        <v>3011</v>
      </c>
      <c r="R18" s="4770" cm="1">
        <f t="array" aca="1" ref="R18" ca="1">INDIRECT("'※ B2B 세부데이터'!"&amp;R$1&amp;$AA18, TRUE)</f>
        <v>246</v>
      </c>
      <c r="S18" s="4771" cm="1">
        <f t="array" aca="1" ref="S18" ca="1">INDIRECT("'※ B2B 세부데이터'!"&amp;S$1&amp;$AA18, TRUE)</f>
        <v>-2765</v>
      </c>
      <c r="T18" s="4772" cm="1">
        <f t="array" aca="1" ref="T18" ca="1">INDIRECT("'※ B2B 세부데이터'!"&amp;T$1&amp;$AA18, TRUE)</f>
        <v>130</v>
      </c>
      <c r="U18" s="4773" cm="1">
        <f t="array" aca="1" ref="U18" ca="1">INDIRECT("'※ B2B 세부데이터'!"&amp;U$1&amp;$AA18, TRUE)</f>
        <v>9627</v>
      </c>
      <c r="V18" s="4774" cm="1">
        <f t="array" aca="1" ref="V18" ca="1">INDIRECT("'※ B2B 세부데이터'!"&amp;V$1&amp;$AA18, TRUE)</f>
        <v>-154</v>
      </c>
      <c r="W18" s="4775" cm="1">
        <f t="array" aca="1" ref="W18" ca="1">INDIRECT("'※ B2B 세부데이터'!"&amp;W$1&amp;$AA18, TRUE)</f>
        <v>0.61499999999999999</v>
      </c>
      <c r="X18" s="4775" cm="1">
        <f t="array" aca="1" ref="X18" ca="1">INDIRECT("'※ B2B 세부데이터'!"&amp;X$1&amp;$AA18, TRUE)</f>
        <v>1.0081683945962927</v>
      </c>
      <c r="Y18" s="4776" cm="1">
        <f t="array" aca="1" ref="Y18" ca="1">INDIRECT("'※ B2B 세부데이터'!"&amp;Y$1&amp;$AA18, TRUE)</f>
        <v>802.25</v>
      </c>
      <c r="Z18" s="4777" cm="1">
        <f t="array" aca="1" ref="Z18" ca="1">INDIRECT("'※ B2B 세부데이터'!"&amp;Z$1&amp;$AA18, TRUE)</f>
        <v>130</v>
      </c>
      <c r="AA18" s="4705">
        <f>ROW('※ B2B 세부데이터'!J17)</f>
        <v>17</v>
      </c>
    </row>
    <row r="19" spans="1:27" x14ac:dyDescent="0.55000000000000004">
      <c r="A19" s="7316"/>
      <c r="B19" s="7291"/>
      <c r="C19" s="2575" t="str" cm="1">
        <f t="array" aca="1" ref="C19" ca="1">INDIRECT("'※ B2B 세부데이터'!"&amp;C$1&amp;$AA19, TRUE)</f>
        <v>2nd (pad)</v>
      </c>
      <c r="D19" s="2575"/>
      <c r="E19" s="4767" cm="1">
        <f t="array" aca="1" ref="E19" ca="1">INDIRECT("'※ B2B 세부데이터'!"&amp;E$1&amp;$AA19, TRUE)</f>
        <v>555.16666666666663</v>
      </c>
      <c r="F19" s="4768" cm="1">
        <f t="array" aca="1" ref="F19" ca="1">INDIRECT("'※ B2B 세부데이터'!"&amp;F$1&amp;$AA19, TRUE)</f>
        <v>451.08333333333331</v>
      </c>
      <c r="G19" s="4769" cm="1">
        <f t="array" aca="1" ref="G19" ca="1">INDIRECT("'※ B2B 세부데이터'!"&amp;G$1&amp;$AA19, TRUE)</f>
        <v>533</v>
      </c>
      <c r="H19" s="4770" cm="1">
        <f t="array" aca="1" ref="H19" ca="1">INDIRECT("'※ B2B 세부데이터'!"&amp;H$1&amp;$AA19, TRUE)</f>
        <v>2378</v>
      </c>
      <c r="I19" s="4770" cm="1">
        <f t="array" aca="1" ref="I19" ca="1">INDIRECT("'※ B2B 세부데이터'!"&amp;I$1&amp;$AA19, TRUE)</f>
        <v>268</v>
      </c>
      <c r="J19" s="4770" cm="1">
        <f t="array" aca="1" ref="J19" ca="1">INDIRECT("'※ B2B 세부데이터'!"&amp;J$1&amp;$AA19, TRUE)</f>
        <v>307</v>
      </c>
      <c r="K19" s="4770" cm="1">
        <f t="array" aca="1" ref="K19" ca="1">INDIRECT("'※ B2B 세부데이터'!"&amp;K$1&amp;$AA19, TRUE)</f>
        <v>913</v>
      </c>
      <c r="L19" s="4770" cm="1">
        <f t="array" aca="1" ref="L19" ca="1">INDIRECT("'※ B2B 세부데이터'!"&amp;L$1&amp;$AA19, TRUE)</f>
        <v>821</v>
      </c>
      <c r="M19" s="4770" cm="1">
        <f t="array" aca="1" ref="M19" ca="1">INDIRECT("'※ B2B 세부데이터'!"&amp;M$1&amp;$AA19, TRUE)</f>
        <v>548</v>
      </c>
      <c r="N19" s="4770" cm="1">
        <f t="array" aca="1" ref="N19" ca="1">INDIRECT("'※ B2B 세부데이터'!"&amp;N$1&amp;$AA19, TRUE)</f>
        <v>724</v>
      </c>
      <c r="O19" s="4770" cm="1">
        <f t="array" aca="1" ref="O19" ca="1">INDIRECT("'※ B2B 세부데이터'!"&amp;O$1&amp;$AA19, TRUE)</f>
        <v>726</v>
      </c>
      <c r="P19" s="4770" cm="1">
        <f t="array" aca="1" ref="P19" ca="1">INDIRECT("'※ B2B 세부데이터'!"&amp;P$1&amp;$AA19, TRUE)</f>
        <v>134</v>
      </c>
      <c r="Q19" s="4770" cm="1">
        <f t="array" aca="1" ref="Q19" ca="1">INDIRECT("'※ B2B 세부데이터'!"&amp;Q$1&amp;$AA19, TRUE)</f>
        <v>583</v>
      </c>
      <c r="R19" s="4770" cm="1">
        <f t="array" aca="1" ref="R19" ca="1">INDIRECT("'※ B2B 세부데이터'!"&amp;R$1&amp;$AA19, TRUE)</f>
        <v>964</v>
      </c>
      <c r="S19" s="4771" cm="1">
        <f t="array" aca="1" ref="S19" ca="1">INDIRECT("'※ B2B 세부데이터'!"&amp;S$1&amp;$AA19, TRUE)</f>
        <v>381</v>
      </c>
      <c r="T19" s="4772" cm="1">
        <f t="array" aca="1" ref="T19" ca="1">INDIRECT("'※ B2B 세부데이터'!"&amp;T$1&amp;$AA19, TRUE)</f>
        <v>649</v>
      </c>
      <c r="U19" s="4773" cm="1">
        <f t="array" aca="1" ref="U19" ca="1">INDIRECT("'※ B2B 세부데이터'!"&amp;U$1&amp;$AA19, TRUE)</f>
        <v>8899</v>
      </c>
      <c r="V19" s="4774" cm="1">
        <f t="array" aca="1" ref="V19" ca="1">INDIRECT("'※ B2B 세부데이터'!"&amp;V$1&amp;$AA19, TRUE)</f>
        <v>564</v>
      </c>
      <c r="W19" s="4775" cm="1">
        <f t="array" aca="1" ref="W19" ca="1">INDIRECT("'※ B2B 세부데이터'!"&amp;W$1&amp;$AA19, TRUE)</f>
        <v>2.41</v>
      </c>
      <c r="X19" s="4775" cm="1">
        <f t="array" aca="1" ref="X19" ca="1">INDIRECT("'※ B2B 세부데이터'!"&amp;X$1&amp;$AA19, TRUE)</f>
        <v>1.6440051727323111</v>
      </c>
      <c r="Y19" s="4776" cm="1">
        <f t="array" aca="1" ref="Y19" ca="1">INDIRECT("'※ B2B 세부데이터'!"&amp;Y$1&amp;$AA19, TRUE)</f>
        <v>741.58333333333337</v>
      </c>
      <c r="Z19" s="4777" cm="1">
        <f t="array" aca="1" ref="Z19" ca="1">INDIRECT("'※ B2B 세부데이터'!"&amp;Z$1&amp;$AA19, TRUE)</f>
        <v>649</v>
      </c>
      <c r="AA19" s="4705">
        <f>ROW('※ B2B 세부데이터'!J18)</f>
        <v>18</v>
      </c>
    </row>
    <row r="20" spans="1:27" x14ac:dyDescent="0.55000000000000004">
      <c r="A20" s="7316"/>
      <c r="B20" s="7291"/>
      <c r="C20" s="2575" t="str" cm="1">
        <f t="array" aca="1" ref="C20" ca="1">INDIRECT("'※ B2B 세부데이터'!"&amp;C$1&amp;$AA20, TRUE)</f>
        <v>iot</v>
      </c>
      <c r="D20" s="2575"/>
      <c r="E20" s="4767" cm="1">
        <f t="array" aca="1" ref="E20" ca="1">INDIRECT("'※ B2B 세부데이터'!"&amp;E$1&amp;$AA20, TRUE)</f>
        <v>6853.75</v>
      </c>
      <c r="F20" s="4768" cm="1">
        <f t="array" aca="1" ref="F20" ca="1">INDIRECT("'※ B2B 세부데이터'!"&amp;F$1&amp;$AA20, TRUE)</f>
        <v>5145.166666666667</v>
      </c>
      <c r="G20" s="4769" cm="1">
        <f t="array" aca="1" ref="G20" ca="1">INDIRECT("'※ B2B 세부데이터'!"&amp;G$1&amp;$AA20, TRUE)</f>
        <v>5542</v>
      </c>
      <c r="H20" s="4770" cm="1">
        <f t="array" aca="1" ref="H20" ca="1">INDIRECT("'※ B2B 세부데이터'!"&amp;H$1&amp;$AA20, TRUE)</f>
        <v>3049</v>
      </c>
      <c r="I20" s="4770" cm="1">
        <f t="array" aca="1" ref="I20" ca="1">INDIRECT("'※ B2B 세부데이터'!"&amp;I$1&amp;$AA20, TRUE)</f>
        <v>2873</v>
      </c>
      <c r="J20" s="4770" cm="1">
        <f t="array" aca="1" ref="J20" ca="1">INDIRECT("'※ B2B 세부데이터'!"&amp;J$1&amp;$AA20, TRUE)</f>
        <v>11396</v>
      </c>
      <c r="K20" s="4770" cm="1">
        <f t="array" aca="1" ref="K20" ca="1">INDIRECT("'※ B2B 세부데이터'!"&amp;K$1&amp;$AA20, TRUE)</f>
        <v>7691</v>
      </c>
      <c r="L20" s="4770" cm="1">
        <f t="array" aca="1" ref="L20" ca="1">INDIRECT("'※ B2B 세부데이터'!"&amp;L$1&amp;$AA20, TRUE)</f>
        <v>7715</v>
      </c>
      <c r="M20" s="4770" cm="1">
        <f t="array" aca="1" ref="M20" ca="1">INDIRECT("'※ B2B 세부데이터'!"&amp;M$1&amp;$AA20, TRUE)</f>
        <v>6956</v>
      </c>
      <c r="N20" s="4770" cm="1">
        <f t="array" aca="1" ref="N20" ca="1">INDIRECT("'※ B2B 세부데이터'!"&amp;N$1&amp;$AA20, TRUE)</f>
        <v>5524</v>
      </c>
      <c r="O20" s="4770" cm="1">
        <f t="array" aca="1" ref="O20" ca="1">INDIRECT("'※ B2B 세부데이터'!"&amp;O$1&amp;$AA20, TRUE)</f>
        <v>8862</v>
      </c>
      <c r="P20" s="4770" cm="1">
        <f t="array" aca="1" ref="P20" ca="1">INDIRECT("'※ B2B 세부데이터'!"&amp;P$1&amp;$AA20, TRUE)</f>
        <v>3090</v>
      </c>
      <c r="Q20" s="4770" cm="1">
        <f t="array" aca="1" ref="Q20" ca="1">INDIRECT("'※ B2B 세부데이터'!"&amp;Q$1&amp;$AA20, TRUE)</f>
        <v>4621</v>
      </c>
      <c r="R20" s="4770" cm="1">
        <f t="array" aca="1" ref="R20" ca="1">INDIRECT("'※ B2B 세부데이터'!"&amp;R$1&amp;$AA20, TRUE)</f>
        <v>5164</v>
      </c>
      <c r="S20" s="4771" cm="1">
        <f t="array" aca="1" ref="S20" ca="1">INDIRECT("'※ B2B 세부데이터'!"&amp;S$1&amp;$AA20, TRUE)</f>
        <v>543</v>
      </c>
      <c r="T20" s="4772" cm="1">
        <f t="array" aca="1" ref="T20" ca="1">INDIRECT("'※ B2B 세부데이터'!"&amp;T$1&amp;$AA20, TRUE)</f>
        <v>-1304</v>
      </c>
      <c r="U20" s="4773" cm="1">
        <f t="array" aca="1" ref="U20" ca="1">INDIRECT("'※ B2B 세부데이터'!"&amp;U$1&amp;$AA20, TRUE)</f>
        <v>72483</v>
      </c>
      <c r="V20" s="4774" cm="1">
        <f t="array" aca="1" ref="V20" ca="1">INDIRECT("'※ B2B 세부데이터'!"&amp;V$1&amp;$AA20, TRUE)</f>
        <v>-3606</v>
      </c>
      <c r="W20" s="4775" cm="1">
        <f t="array" aca="1" ref="W20" ca="1">INDIRECT("'※ B2B 세부데이터'!"&amp;W$1&amp;$AA20, TRUE)</f>
        <v>0.58882554161915623</v>
      </c>
      <c r="X20" s="4775" cm="1">
        <f t="array" aca="1" ref="X20" ca="1">INDIRECT("'※ B2B 세부데이터'!"&amp;X$1&amp;$AA20, TRUE)</f>
        <v>1.1739658579249133</v>
      </c>
      <c r="Y20" s="4776" cm="1">
        <f t="array" aca="1" ref="Y20" ca="1">INDIRECT("'※ B2B 세부데이터'!"&amp;Y$1&amp;$AA20, TRUE)</f>
        <v>6040.25</v>
      </c>
      <c r="Z20" s="4777" cm="1">
        <f t="array" aca="1" ref="Z20" ca="1">INDIRECT("'※ B2B 세부데이터'!"&amp;Z$1&amp;$AA20, TRUE)</f>
        <v>-1304</v>
      </c>
      <c r="AA20" s="4705">
        <f>ROW('※ B2B 세부데이터'!J19)</f>
        <v>19</v>
      </c>
    </row>
    <row r="21" spans="1:27" x14ac:dyDescent="0.55000000000000004">
      <c r="A21" s="7316"/>
      <c r="B21" s="7291"/>
      <c r="C21" s="2575" t="str" cm="1">
        <f t="array" aca="1" ref="C21" ca="1">INDIRECT("'※ B2B 세부데이터'!"&amp;C$1&amp;$AA21, TRUE)</f>
        <v>후불신규</v>
      </c>
      <c r="D21" s="2575"/>
      <c r="E21" s="4767" cm="1">
        <f t="array" aca="1" ref="E21" ca="1">INDIRECT("'※ B2B 세부데이터'!"&amp;E$1&amp;$AA21, TRUE)</f>
        <v>91.666666666666671</v>
      </c>
      <c r="F21" s="4768" cm="1">
        <f t="array" aca="1" ref="F21" ca="1">INDIRECT("'※ B2B 세부데이터'!"&amp;F$1&amp;$AA21, TRUE)</f>
        <v>106.83333333333333</v>
      </c>
      <c r="G21" s="4769" cm="1">
        <f t="array" aca="1" ref="G21" ca="1">INDIRECT("'※ B2B 세부데이터'!"&amp;G$1&amp;$AA21, TRUE)</f>
        <v>76</v>
      </c>
      <c r="H21" s="4770" cm="1">
        <f t="array" aca="1" ref="H21" ca="1">INDIRECT("'※ B2B 세부데이터'!"&amp;H$1&amp;$AA21, TRUE)</f>
        <v>103</v>
      </c>
      <c r="I21" s="4770" cm="1">
        <f t="array" aca="1" ref="I21" ca="1">INDIRECT("'※ B2B 세부데이터'!"&amp;I$1&amp;$AA21, TRUE)</f>
        <v>708</v>
      </c>
      <c r="J21" s="4770" cm="1">
        <f t="array" aca="1" ref="J21" ca="1">INDIRECT("'※ B2B 세부데이터'!"&amp;J$1&amp;$AA21, TRUE)</f>
        <v>75</v>
      </c>
      <c r="K21" s="4770" cm="1">
        <f t="array" aca="1" ref="K21" ca="1">INDIRECT("'※ B2B 세부데이터'!"&amp;K$1&amp;$AA21, TRUE)</f>
        <v>163</v>
      </c>
      <c r="L21" s="4770" cm="1">
        <f t="array" aca="1" ref="L21" ca="1">INDIRECT("'※ B2B 세부데이터'!"&amp;L$1&amp;$AA21, TRUE)</f>
        <v>163</v>
      </c>
      <c r="M21" s="4770" cm="1">
        <f t="array" aca="1" ref="M21" ca="1">INDIRECT("'※ B2B 세부데이터'!"&amp;M$1&amp;$AA21, TRUE)</f>
        <v>418</v>
      </c>
      <c r="N21" s="4770" cm="1">
        <f t="array" aca="1" ref="N21" ca="1">INDIRECT("'※ B2B 세부데이터'!"&amp;N$1&amp;$AA21, TRUE)</f>
        <v>68</v>
      </c>
      <c r="O21" s="4770" cm="1">
        <f t="array" aca="1" ref="O21" ca="1">INDIRECT("'※ B2B 세부데이터'!"&amp;O$1&amp;$AA21, TRUE)</f>
        <v>185</v>
      </c>
      <c r="P21" s="4770" cm="1">
        <f t="array" aca="1" ref="P21" ca="1">INDIRECT("'※ B2B 세부데이터'!"&amp;P$1&amp;$AA21, TRUE)</f>
        <v>305</v>
      </c>
      <c r="Q21" s="4770" cm="1">
        <f t="array" aca="1" ref="Q21" ca="1">INDIRECT("'※ B2B 세부데이터'!"&amp;Q$1&amp;$AA21, TRUE)</f>
        <v>2794</v>
      </c>
      <c r="R21" s="4770" cm="1">
        <f t="array" aca="1" ref="R21" ca="1">INDIRECT("'※ B2B 세부데이터'!"&amp;R$1&amp;$AA21, TRUE)</f>
        <v>69</v>
      </c>
      <c r="S21" s="4771" cm="1">
        <f t="array" aca="1" ref="S21" ca="1">INDIRECT("'※ B2B 세부데이터'!"&amp;S$1&amp;$AA21, TRUE)</f>
        <v>-2725</v>
      </c>
      <c r="T21" s="4772" cm="1">
        <f t="array" aca="1" ref="T21" ca="1">INDIRECT("'※ B2B 세부데이터'!"&amp;T$1&amp;$AA21, TRUE)</f>
        <v>13</v>
      </c>
      <c r="U21" s="4773" cm="1">
        <f t="array" aca="1" ref="U21" ca="1">INDIRECT("'※ B2B 세부데이터'!"&amp;U$1&amp;$AA21, TRUE)</f>
        <v>5127</v>
      </c>
      <c r="V21" s="4778" t="str" cm="1">
        <f t="array" aca="1" ref="V21" ca="1">INDIRECT("'※ B2B 세부데이터'!"&amp;V$1&amp;$AA21, TRUE)</f>
        <v>-</v>
      </c>
      <c r="W21" s="4779" t="str" cm="1">
        <f t="array" aca="1" ref="W21" ca="1">INDIRECT("'※ B2B 세부데이터'!"&amp;W$1&amp;$AA21, TRUE)</f>
        <v>-</v>
      </c>
      <c r="X21" s="4775" cm="1">
        <f t="array" aca="1" ref="X21" ca="1">INDIRECT("'※ B2B 세부데이터'!"&amp;X$1&amp;$AA21, TRUE)</f>
        <v>3.999219968798752</v>
      </c>
      <c r="Y21" s="4776" cm="1">
        <f t="array" aca="1" ref="Y21" ca="1">INDIRECT("'※ B2B 세부데이터'!"&amp;Y$1&amp;$AA21, TRUE)</f>
        <v>427.25</v>
      </c>
      <c r="Z21" s="4777" cm="1">
        <f t="array" aca="1" ref="Z21" ca="1">INDIRECT("'※ B2B 세부데이터'!"&amp;Z$1&amp;$AA21, TRUE)</f>
        <v>13</v>
      </c>
      <c r="AA21" s="4705">
        <f>ROW('※ B2B 세부데이터'!J20)</f>
        <v>20</v>
      </c>
    </row>
    <row r="22" spans="1:27" x14ac:dyDescent="0.55000000000000004">
      <c r="A22" s="7316"/>
      <c r="B22" s="7291"/>
      <c r="C22" s="2575" t="str" cm="1">
        <f t="array" aca="1" ref="C22" ca="1">INDIRECT("'※ B2B 세부데이터'!"&amp;C$1&amp;$AA22, TRUE)</f>
        <v>무선순증</v>
      </c>
      <c r="D22" s="2575"/>
      <c r="E22" s="4767" cm="1">
        <f t="array" aca="1" ref="E22" ca="1">INDIRECT("'※ B2B 세부데이터'!"&amp;E$1&amp;$AA22, TRUE)</f>
        <v>471</v>
      </c>
      <c r="F22" s="4768" cm="1">
        <f t="array" aca="1" ref="F22" ca="1">INDIRECT("'※ B2B 세부데이터'!"&amp;F$1&amp;$AA22, TRUE)</f>
        <v>632.08333333333337</v>
      </c>
      <c r="G22" s="4769" cm="1">
        <f t="array" aca="1" ref="G22" ca="1">INDIRECT("'※ B2B 세부데이터'!"&amp;G$1&amp;$AA22, TRUE)</f>
        <v>481</v>
      </c>
      <c r="H22" s="4770" cm="1">
        <f t="array" aca="1" ref="H22" ca="1">INDIRECT("'※ B2B 세부데이터'!"&amp;H$1&amp;$AA22, TRUE)</f>
        <v>419</v>
      </c>
      <c r="I22" s="4770" cm="1">
        <f t="array" aca="1" ref="I22" ca="1">INDIRECT("'※ B2B 세부데이터'!"&amp;I$1&amp;$AA22, TRUE)</f>
        <v>1364</v>
      </c>
      <c r="J22" s="4770" cm="1">
        <f t="array" aca="1" ref="J22" ca="1">INDIRECT("'※ B2B 세부데이터'!"&amp;J$1&amp;$AA22, TRUE)</f>
        <v>635</v>
      </c>
      <c r="K22" s="4770" cm="1">
        <f t="array" aca="1" ref="K22" ca="1">INDIRECT("'※ B2B 세부데이터'!"&amp;K$1&amp;$AA22, TRUE)</f>
        <v>183</v>
      </c>
      <c r="L22" s="4770" cm="1">
        <f t="array" aca="1" ref="L22" ca="1">INDIRECT("'※ B2B 세부데이터'!"&amp;L$1&amp;$AA22, TRUE)</f>
        <v>389</v>
      </c>
      <c r="M22" s="4770" cm="1">
        <f t="array" aca="1" ref="M22" ca="1">INDIRECT("'※ B2B 세부데이터'!"&amp;M$1&amp;$AA22, TRUE)</f>
        <v>156</v>
      </c>
      <c r="N22" s="4770" cm="1">
        <f t="array" aca="1" ref="N22" ca="1">INDIRECT("'※ B2B 세부데이터'!"&amp;N$1&amp;$AA22, TRUE)</f>
        <v>196</v>
      </c>
      <c r="O22" s="4770" cm="1">
        <f t="array" aca="1" ref="O22" ca="1">INDIRECT("'※ B2B 세부데이터'!"&amp;O$1&amp;$AA22, TRUE)</f>
        <v>481</v>
      </c>
      <c r="P22" s="4770" cm="1">
        <f t="array" aca="1" ref="P22" ca="1">INDIRECT("'※ B2B 세부데이터'!"&amp;P$1&amp;$AA22, TRUE)</f>
        <v>371</v>
      </c>
      <c r="Q22" s="4770" cm="1">
        <f t="array" aca="1" ref="Q22" ca="1">INDIRECT("'※ B2B 세부데이터'!"&amp;Q$1&amp;$AA22, TRUE)</f>
        <v>3622</v>
      </c>
      <c r="R22" s="4770" cm="1">
        <f t="array" aca="1" ref="R22" ca="1">INDIRECT("'※ B2B 세부데이터'!"&amp;R$1&amp;$AA22, TRUE)</f>
        <v>-1463</v>
      </c>
      <c r="S22" s="4771" cm="1">
        <f t="array" aca="1" ref="S22" ca="1">INDIRECT("'※ B2B 세부데이터'!"&amp;S$1&amp;$AA22, TRUE)</f>
        <v>-5085</v>
      </c>
      <c r="T22" s="4772" cm="1">
        <f t="array" aca="1" ref="T22" ca="1">INDIRECT("'※ B2B 세부데이터'!"&amp;T$1&amp;$AA22, TRUE)</f>
        <v>-1970</v>
      </c>
      <c r="U22" s="4773" cm="1">
        <f t="array" aca="1" ref="U22" ca="1">INDIRECT("'※ B2B 세부데이터'!"&amp;U$1&amp;$AA22, TRUE)</f>
        <v>6834</v>
      </c>
      <c r="V22" s="4778" t="str" cm="1">
        <f t="array" aca="1" ref="V22" ca="1">INDIRECT("'※ B2B 세부데이터'!"&amp;V$1&amp;$AA22, TRUE)</f>
        <v>-</v>
      </c>
      <c r="W22" s="4779" t="str" cm="1">
        <f t="array" aca="1" ref="W22" ca="1">INDIRECT("'※ B2B 세부데이터'!"&amp;W$1&amp;$AA22, TRUE)</f>
        <v>-</v>
      </c>
      <c r="X22" s="4775" cm="1">
        <f t="array" aca="1" ref="X22" ca="1">INDIRECT("'※ B2B 세부데이터'!"&amp;X$1&amp;$AA22, TRUE)</f>
        <v>0.90098879367172047</v>
      </c>
      <c r="Y22" s="4776" cm="1">
        <f t="array" aca="1" ref="Y22" ca="1">INDIRECT("'※ B2B 세부데이터'!"&amp;Y$1&amp;$AA22, TRUE)</f>
        <v>569.5</v>
      </c>
      <c r="Z22" s="4777" cm="1">
        <f t="array" aca="1" ref="Z22" ca="1">INDIRECT("'※ B2B 세부데이터'!"&amp;Z$1&amp;$AA22, TRUE)</f>
        <v>-1970</v>
      </c>
      <c r="AA22" s="4705">
        <f>ROW('※ B2B 세부데이터'!J21)</f>
        <v>21</v>
      </c>
    </row>
    <row r="23" spans="1:27" x14ac:dyDescent="0.55000000000000004">
      <c r="A23" s="7316"/>
      <c r="B23" s="7291"/>
      <c r="C23" s="2575" t="str" cm="1">
        <f t="array" aca="1" ref="C23" ca="1">INDIRECT("'※ B2B 세부데이터'!"&amp;C$1&amp;$AA23, TRUE)</f>
        <v>유선</v>
      </c>
      <c r="D23" s="2575"/>
      <c r="E23" s="4767" cm="1">
        <f t="array" aca="1" ref="E23" ca="1">INDIRECT("'※ B2B 세부데이터'!"&amp;E$1&amp;$AA23, TRUE)</f>
        <v>0</v>
      </c>
      <c r="F23" s="4768" cm="1">
        <f t="array" aca="1" ref="F23" ca="1">INDIRECT("'※ B2B 세부데이터'!"&amp;F$1&amp;$AA23, TRUE)</f>
        <v>0</v>
      </c>
      <c r="G23" s="4769" cm="1">
        <f t="array" aca="1" ref="G23" ca="1">INDIRECT("'※ B2B 세부데이터'!"&amp;G$1&amp;$AA23, TRUE)</f>
        <v>0</v>
      </c>
      <c r="H23" s="4770" cm="1">
        <f t="array" aca="1" ref="H23" ca="1">INDIRECT("'※ B2B 세부데이터'!"&amp;H$1&amp;$AA23, TRUE)</f>
        <v>0</v>
      </c>
      <c r="I23" s="4770" cm="1">
        <f t="array" aca="1" ref="I23" ca="1">INDIRECT("'※ B2B 세부데이터'!"&amp;I$1&amp;$AA23, TRUE)</f>
        <v>0</v>
      </c>
      <c r="J23" s="4770" cm="1">
        <f t="array" aca="1" ref="J23" ca="1">INDIRECT("'※ B2B 세부데이터'!"&amp;J$1&amp;$AA23, TRUE)</f>
        <v>0</v>
      </c>
      <c r="K23" s="4770" cm="1">
        <f t="array" aca="1" ref="K23" ca="1">INDIRECT("'※ B2B 세부데이터'!"&amp;K$1&amp;$AA23, TRUE)</f>
        <v>0</v>
      </c>
      <c r="L23" s="4770" cm="1">
        <f t="array" aca="1" ref="L23" ca="1">INDIRECT("'※ B2B 세부데이터'!"&amp;L$1&amp;$AA23, TRUE)</f>
        <v>0</v>
      </c>
      <c r="M23" s="4770" cm="1">
        <f t="array" aca="1" ref="M23" ca="1">INDIRECT("'※ B2B 세부데이터'!"&amp;M$1&amp;$AA23, TRUE)</f>
        <v>0</v>
      </c>
      <c r="N23" s="4770" cm="1">
        <f t="array" aca="1" ref="N23" ca="1">INDIRECT("'※ B2B 세부데이터'!"&amp;N$1&amp;$AA23, TRUE)</f>
        <v>0</v>
      </c>
      <c r="O23" s="4770" cm="1">
        <f t="array" aca="1" ref="O23" ca="1">INDIRECT("'※ B2B 세부데이터'!"&amp;O$1&amp;$AA23, TRUE)</f>
        <v>0</v>
      </c>
      <c r="P23" s="4770" cm="1">
        <f t="array" aca="1" ref="P23" ca="1">INDIRECT("'※ B2B 세부데이터'!"&amp;P$1&amp;$AA23, TRUE)</f>
        <v>0</v>
      </c>
      <c r="Q23" s="4770" cm="1">
        <f t="array" aca="1" ref="Q23" ca="1">INDIRECT("'※ B2B 세부데이터'!"&amp;Q$1&amp;$AA23, TRUE)</f>
        <v>0</v>
      </c>
      <c r="R23" s="4770" cm="1">
        <f t="array" aca="1" ref="R23" ca="1">INDIRECT("'※ B2B 세부데이터'!"&amp;R$1&amp;$AA23, TRUE)</f>
        <v>0</v>
      </c>
      <c r="S23" s="4771" cm="1">
        <f t="array" aca="1" ref="S23" ca="1">INDIRECT("'※ B2B 세부데이터'!"&amp;S$1&amp;$AA23, TRUE)</f>
        <v>0</v>
      </c>
      <c r="T23" s="4772" cm="1">
        <f t="array" aca="1" ref="T23" ca="1">INDIRECT("'※ B2B 세부데이터'!"&amp;T$1&amp;$AA23, TRUE)</f>
        <v>0</v>
      </c>
      <c r="U23" s="4773" cm="1">
        <f t="array" aca="1" ref="U23" ca="1">INDIRECT("'※ B2B 세부데이터'!"&amp;U$1&amp;$AA23, TRUE)</f>
        <v>0</v>
      </c>
      <c r="V23" s="4778" t="str" cm="1">
        <f t="array" aca="1" ref="V23" ca="1">INDIRECT("'※ B2B 세부데이터'!"&amp;V$1&amp;$AA23, TRUE)</f>
        <v>-</v>
      </c>
      <c r="W23" s="4779" t="str" cm="1">
        <f t="array" aca="1" ref="W23" ca="1">INDIRECT("'※ B2B 세부데이터'!"&amp;W$1&amp;$AA23, TRUE)</f>
        <v>-</v>
      </c>
      <c r="X23" s="4775" cm="1">
        <f t="array" aca="1" ref="X23" ca="1">INDIRECT("'※ B2B 세부데이터'!"&amp;X$1&amp;$AA23, TRUE)</f>
        <v>0</v>
      </c>
      <c r="Y23" s="4776" cm="1">
        <f t="array" aca="1" ref="Y23" ca="1">INDIRECT("'※ B2B 세부데이터'!"&amp;Y$1&amp;$AA23, TRUE)</f>
        <v>0</v>
      </c>
      <c r="Z23" s="4777" cm="1">
        <f t="array" aca="1" ref="Z23" ca="1">INDIRECT("'※ B2B 세부데이터'!"&amp;Z$1&amp;$AA23, TRUE)</f>
        <v>0</v>
      </c>
      <c r="AA23" s="4705">
        <f>ROW('※ B2B 세부데이터'!J22)</f>
        <v>22</v>
      </c>
    </row>
    <row r="24" spans="1:27" x14ac:dyDescent="0.55000000000000004">
      <c r="A24" s="7316"/>
      <c r="B24" s="7321"/>
      <c r="C24" s="4780" t="str" cm="1">
        <f t="array" aca="1" ref="C24" ca="1">INDIRECT("'※ B2B 세부데이터'!"&amp;C$1&amp;$AA24, TRUE)</f>
        <v>전략상품</v>
      </c>
      <c r="D24" s="4780"/>
      <c r="E24" s="4781" cm="1">
        <f t="array" aca="1" ref="E24" ca="1">INDIRECT("'※ B2B 세부데이터'!"&amp;E$1&amp;$AA24, TRUE)</f>
        <v>0</v>
      </c>
      <c r="F24" s="4782" cm="1">
        <f t="array" aca="1" ref="F24" ca="1">INDIRECT("'※ B2B 세부데이터'!"&amp;F$1&amp;$AA24, TRUE)</f>
        <v>0</v>
      </c>
      <c r="G24" s="4783" cm="1">
        <f t="array" aca="1" ref="G24" ca="1">INDIRECT("'※ B2B 세부데이터'!"&amp;G$1&amp;$AA24, TRUE)</f>
        <v>0</v>
      </c>
      <c r="H24" s="4784" cm="1">
        <f t="array" aca="1" ref="H24" ca="1">INDIRECT("'※ B2B 세부데이터'!"&amp;H$1&amp;$AA24, TRUE)</f>
        <v>0</v>
      </c>
      <c r="I24" s="4784" cm="1">
        <f t="array" aca="1" ref="I24" ca="1">INDIRECT("'※ B2B 세부데이터'!"&amp;I$1&amp;$AA24, TRUE)</f>
        <v>0</v>
      </c>
      <c r="J24" s="4784" cm="1">
        <f t="array" aca="1" ref="J24" ca="1">INDIRECT("'※ B2B 세부데이터'!"&amp;J$1&amp;$AA24, TRUE)</f>
        <v>0</v>
      </c>
      <c r="K24" s="4784" cm="1">
        <f t="array" aca="1" ref="K24" ca="1">INDIRECT("'※ B2B 세부데이터'!"&amp;K$1&amp;$AA24, TRUE)</f>
        <v>0</v>
      </c>
      <c r="L24" s="4784" cm="1">
        <f t="array" aca="1" ref="L24" ca="1">INDIRECT("'※ B2B 세부데이터'!"&amp;L$1&amp;$AA24, TRUE)</f>
        <v>0</v>
      </c>
      <c r="M24" s="4784" cm="1">
        <f t="array" aca="1" ref="M24" ca="1">INDIRECT("'※ B2B 세부데이터'!"&amp;M$1&amp;$AA24, TRUE)</f>
        <v>0</v>
      </c>
      <c r="N24" s="4784" cm="1">
        <f t="array" aca="1" ref="N24" ca="1">INDIRECT("'※ B2B 세부데이터'!"&amp;N$1&amp;$AA24, TRUE)</f>
        <v>0</v>
      </c>
      <c r="O24" s="4784" cm="1">
        <f t="array" aca="1" ref="O24" ca="1">INDIRECT("'※ B2B 세부데이터'!"&amp;O$1&amp;$AA24, TRUE)</f>
        <v>0</v>
      </c>
      <c r="P24" s="4784" cm="1">
        <f t="array" aca="1" ref="P24" ca="1">INDIRECT("'※ B2B 세부데이터'!"&amp;P$1&amp;$AA24, TRUE)</f>
        <v>0</v>
      </c>
      <c r="Q24" s="4784" cm="1">
        <f t="array" aca="1" ref="Q24" ca="1">INDIRECT("'※ B2B 세부데이터'!"&amp;Q$1&amp;$AA24, TRUE)</f>
        <v>0</v>
      </c>
      <c r="R24" s="4784" cm="1">
        <f t="array" aca="1" ref="R24" ca="1">INDIRECT("'※ B2B 세부데이터'!"&amp;R$1&amp;$AA24, TRUE)</f>
        <v>0</v>
      </c>
      <c r="S24" s="4785" cm="1">
        <f t="array" aca="1" ref="S24" ca="1">INDIRECT("'※ B2B 세부데이터'!"&amp;S$1&amp;$AA24, TRUE)</f>
        <v>0</v>
      </c>
      <c r="T24" s="4786" cm="1">
        <f t="array" aca="1" ref="T24" ca="1">INDIRECT("'※ B2B 세부데이터'!"&amp;T$1&amp;$AA24, TRUE)</f>
        <v>0</v>
      </c>
      <c r="U24" s="4787" cm="1">
        <f t="array" aca="1" ref="U24" ca="1">INDIRECT("'※ B2B 세부데이터'!"&amp;U$1&amp;$AA24, TRUE)</f>
        <v>0</v>
      </c>
      <c r="V24" s="4788" t="str" cm="1">
        <f t="array" aca="1" ref="V24" ca="1">INDIRECT("'※ B2B 세부데이터'!"&amp;V$1&amp;$AA24, TRUE)</f>
        <v>-</v>
      </c>
      <c r="W24" s="4789" t="str" cm="1">
        <f t="array" aca="1" ref="W24" ca="1">INDIRECT("'※ B2B 세부데이터'!"&amp;W$1&amp;$AA24, TRUE)</f>
        <v>-</v>
      </c>
      <c r="X24" s="4790" cm="1">
        <f t="array" aca="1" ref="X24" ca="1">INDIRECT("'※ B2B 세부데이터'!"&amp;X$1&amp;$AA24, TRUE)</f>
        <v>0</v>
      </c>
      <c r="Y24" s="4791" cm="1">
        <f t="array" aca="1" ref="Y24" ca="1">INDIRECT("'※ B2B 세부데이터'!"&amp;Y$1&amp;$AA24, TRUE)</f>
        <v>0</v>
      </c>
      <c r="Z24" s="4792" cm="1">
        <f t="array" aca="1" ref="Z24" ca="1">INDIRECT("'※ B2B 세부데이터'!"&amp;Z$1&amp;$AA24, TRUE)</f>
        <v>0</v>
      </c>
      <c r="AA24" s="4705">
        <f>ROW('※ B2B 세부데이터'!J23)</f>
        <v>23</v>
      </c>
    </row>
    <row r="25" spans="1:27" x14ac:dyDescent="0.55000000000000004">
      <c r="A25" s="7316"/>
      <c r="B25" s="7290" t="s">
        <v>816</v>
      </c>
      <c r="C25" s="2575" t="str" cm="1">
        <f t="array" aca="1" ref="C25" ca="1">INDIRECT("'※ B2B 세부데이터'!"&amp;C$1&amp;$AA25, TRUE)</f>
        <v>일반후불</v>
      </c>
      <c r="D25" s="2575"/>
      <c r="E25" s="4767" cm="1">
        <f t="array" aca="1" ref="E25" ca="1">INDIRECT("'※ B2B 세부데이터'!"&amp;E$1&amp;$AA25, TRUE)</f>
        <v>2996.6666666666665</v>
      </c>
      <c r="F25" s="4768" cm="1">
        <f t="array" aca="1" ref="F25" ca="1">INDIRECT("'※ B2B 세부데이터'!"&amp;F$1&amp;$AA25, TRUE)</f>
        <v>1426.5</v>
      </c>
      <c r="G25" s="4769" cm="1">
        <f t="array" aca="1" ref="G25" ca="1">INDIRECT("'※ B2B 세부데이터'!"&amp;G$1&amp;$AA25, TRUE)</f>
        <v>1299</v>
      </c>
      <c r="H25" s="4770" cm="1">
        <f t="array" aca="1" ref="H25" ca="1">INDIRECT("'※ B2B 세부데이터'!"&amp;H$1&amp;$AA25, TRUE)</f>
        <v>1741</v>
      </c>
      <c r="I25" s="4770" cm="1">
        <f t="array" aca="1" ref="I25" ca="1">INDIRECT("'※ B2B 세부데이터'!"&amp;I$1&amp;$AA25, TRUE)</f>
        <v>1230</v>
      </c>
      <c r="J25" s="4770" cm="1">
        <f t="array" aca="1" ref="J25" ca="1">INDIRECT("'※ B2B 세부데이터'!"&amp;J$1&amp;$AA25, TRUE)</f>
        <v>1563</v>
      </c>
      <c r="K25" s="4770" cm="1">
        <f t="array" aca="1" ref="K25" ca="1">INDIRECT("'※ B2B 세부데이터'!"&amp;K$1&amp;$AA25, TRUE)</f>
        <v>1810</v>
      </c>
      <c r="L25" s="4770" cm="1">
        <f t="array" aca="1" ref="L25" ca="1">INDIRECT("'※ B2B 세부데이터'!"&amp;L$1&amp;$AA25, TRUE)</f>
        <v>1380</v>
      </c>
      <c r="M25" s="4770" cm="1">
        <f t="array" aca="1" ref="M25" ca="1">INDIRECT("'※ B2B 세부데이터'!"&amp;M$1&amp;$AA25, TRUE)</f>
        <v>3876</v>
      </c>
      <c r="N25" s="4770" cm="1">
        <f t="array" aca="1" ref="N25" ca="1">INDIRECT("'※ B2B 세부데이터'!"&amp;N$1&amp;$AA25, TRUE)</f>
        <v>1175</v>
      </c>
      <c r="O25" s="4770" cm="1">
        <f t="array" aca="1" ref="O25" ca="1">INDIRECT("'※ B2B 세부데이터'!"&amp;O$1&amp;$AA25, TRUE)</f>
        <v>1718</v>
      </c>
      <c r="P25" s="4770" cm="1">
        <f t="array" aca="1" ref="P25" ca="1">INDIRECT("'※ B2B 세부데이터'!"&amp;P$1&amp;$AA25, TRUE)</f>
        <v>1849</v>
      </c>
      <c r="Q25" s="4770" cm="1">
        <f t="array" aca="1" ref="Q25" ca="1">INDIRECT("'※ B2B 세부데이터'!"&amp;Q$1&amp;$AA25, TRUE)</f>
        <v>1286</v>
      </c>
      <c r="R25" s="4770" cm="1">
        <f t="array" aca="1" ref="R25" ca="1">INDIRECT("'※ B2B 세부데이터'!"&amp;R$1&amp;$AA25, TRUE)</f>
        <v>2865</v>
      </c>
      <c r="S25" s="4771" cm="1">
        <f t="array" aca="1" ref="S25" ca="1">INDIRECT("'※ B2B 세부데이터'!"&amp;S$1&amp;$AA25, TRUE)</f>
        <v>1579</v>
      </c>
      <c r="T25" s="4772" cm="1">
        <f t="array" aca="1" ref="T25" ca="1">INDIRECT("'※ B2B 세부데이터'!"&amp;T$1&amp;$AA25, TRUE)</f>
        <v>1681</v>
      </c>
      <c r="U25" s="4773" cm="1">
        <f t="array" aca="1" ref="U25" ca="1">INDIRECT("'※ B2B 세부데이터'!"&amp;U$1&amp;$AA25, TRUE)</f>
        <v>21792</v>
      </c>
      <c r="V25" s="4774" cm="1">
        <f t="array" aca="1" ref="V25" ca="1">INDIRECT("'※ B2B 세부데이터'!"&amp;V$1&amp;$AA25, TRUE)</f>
        <v>827</v>
      </c>
      <c r="W25" s="4775" cm="1">
        <f t="array" aca="1" ref="W25" ca="1">INDIRECT("'※ B2B 세부데이터'!"&amp;W$1&amp;$AA25, TRUE)</f>
        <v>1.4057899901864572</v>
      </c>
      <c r="X25" s="4775" cm="1">
        <f t="array" aca="1" ref="X25" ca="1">INDIRECT("'※ B2B 세부데이터'!"&amp;X$1&amp;$AA25, TRUE)</f>
        <v>1.2730459165790395</v>
      </c>
      <c r="Y25" s="4776" cm="1">
        <f t="array" aca="1" ref="Y25" ca="1">INDIRECT("'※ B2B 세부데이터'!"&amp;Y$1&amp;$AA25, TRUE)</f>
        <v>1816</v>
      </c>
      <c r="Z25" s="4777" cm="1">
        <f t="array" aca="1" ref="Z25" ca="1">INDIRECT("'※ B2B 세부데이터'!"&amp;Z$1&amp;$AA25, TRUE)</f>
        <v>1681</v>
      </c>
      <c r="AA25" s="4705">
        <f>ROW('※ B2B 세부데이터'!J24)</f>
        <v>24</v>
      </c>
    </row>
    <row r="26" spans="1:27" x14ac:dyDescent="0.55000000000000004">
      <c r="A26" s="7316"/>
      <c r="B26" s="7291"/>
      <c r="C26" s="2575" t="str" cm="1">
        <f t="array" aca="1" ref="C26" ca="1">INDIRECT("'※ B2B 세부데이터'!"&amp;C$1&amp;$AA26, TRUE)</f>
        <v>중고개통</v>
      </c>
      <c r="D26" s="2575"/>
      <c r="E26" s="4767" cm="1">
        <f t="array" aca="1" ref="E26" ca="1">INDIRECT("'※ B2B 세부데이터'!"&amp;E$1&amp;$AA26, TRUE)</f>
        <v>164.33333333333334</v>
      </c>
      <c r="F26" s="4768" cm="1">
        <f t="array" aca="1" ref="F26" ca="1">INDIRECT("'※ B2B 세부데이터'!"&amp;F$1&amp;$AA26, TRUE)</f>
        <v>234.25</v>
      </c>
      <c r="G26" s="4769" cm="1">
        <f t="array" aca="1" ref="G26" ca="1">INDIRECT("'※ B2B 세부데이터'!"&amp;G$1&amp;$AA26, TRUE)</f>
        <v>223</v>
      </c>
      <c r="H26" s="4770" cm="1">
        <f t="array" aca="1" ref="H26" ca="1">INDIRECT("'※ B2B 세부데이터'!"&amp;H$1&amp;$AA26, TRUE)</f>
        <v>100</v>
      </c>
      <c r="I26" s="4770" cm="1">
        <f t="array" aca="1" ref="I26" ca="1">INDIRECT("'※ B2B 세부데이터'!"&amp;I$1&amp;$AA26, TRUE)</f>
        <v>137</v>
      </c>
      <c r="J26" s="4770" cm="1">
        <f t="array" aca="1" ref="J26" ca="1">INDIRECT("'※ B2B 세부데이터'!"&amp;J$1&amp;$AA26, TRUE)</f>
        <v>652</v>
      </c>
      <c r="K26" s="4770" cm="1">
        <f t="array" aca="1" ref="K26" ca="1">INDIRECT("'※ B2B 세부데이터'!"&amp;K$1&amp;$AA26, TRUE)</f>
        <v>387</v>
      </c>
      <c r="L26" s="4770" cm="1">
        <f t="array" aca="1" ref="L26" ca="1">INDIRECT("'※ B2B 세부데이터'!"&amp;L$1&amp;$AA26, TRUE)</f>
        <v>348</v>
      </c>
      <c r="M26" s="4770" cm="1">
        <f t="array" aca="1" ref="M26" ca="1">INDIRECT("'※ B2B 세부데이터'!"&amp;M$1&amp;$AA26, TRUE)</f>
        <v>1126</v>
      </c>
      <c r="N26" s="4770" cm="1">
        <f t="array" aca="1" ref="N26" ca="1">INDIRECT("'※ B2B 세부데이터'!"&amp;N$1&amp;$AA26, TRUE)</f>
        <v>272</v>
      </c>
      <c r="O26" s="4770" cm="1">
        <f t="array" aca="1" ref="O26" ca="1">INDIRECT("'※ B2B 세부데이터'!"&amp;O$1&amp;$AA26, TRUE)</f>
        <v>219</v>
      </c>
      <c r="P26" s="4770" cm="1">
        <f t="array" aca="1" ref="P26" ca="1">INDIRECT("'※ B2B 세부데이터'!"&amp;P$1&amp;$AA26, TRUE)</f>
        <v>603</v>
      </c>
      <c r="Q26" s="4770" cm="1">
        <f t="array" aca="1" ref="Q26" ca="1">INDIRECT("'※ B2B 세부데이터'!"&amp;Q$1&amp;$AA26, TRUE)</f>
        <v>248</v>
      </c>
      <c r="R26" s="4770" cm="1">
        <f t="array" aca="1" ref="R26" ca="1">INDIRECT("'※ B2B 세부데이터'!"&amp;R$1&amp;$AA26, TRUE)</f>
        <v>153</v>
      </c>
      <c r="S26" s="4771" cm="1">
        <f t="array" aca="1" ref="S26" ca="1">INDIRECT("'※ B2B 세부데이터'!"&amp;S$1&amp;$AA26, TRUE)</f>
        <v>-95</v>
      </c>
      <c r="T26" s="4772" cm="1">
        <f t="array" aca="1" ref="T26" ca="1">INDIRECT("'※ B2B 세부데이터'!"&amp;T$1&amp;$AA26, TRUE)</f>
        <v>-386</v>
      </c>
      <c r="U26" s="4773" cm="1">
        <f t="array" aca="1" ref="U26" ca="1">INDIRECT("'※ B2B 세부데이터'!"&amp;U$1&amp;$AA26, TRUE)</f>
        <v>4468</v>
      </c>
      <c r="V26" s="4774" cm="1">
        <f t="array" aca="1" ref="V26" ca="1">INDIRECT("'※ B2B 세부데이터'!"&amp;V$1&amp;$AA26, TRUE)</f>
        <v>67</v>
      </c>
      <c r="W26" s="4775" cm="1">
        <f t="array" aca="1" ref="W26" ca="1">INDIRECT("'※ B2B 세부데이터'!"&amp;W$1&amp;$AA26, TRUE)</f>
        <v>1.7790697674418605</v>
      </c>
      <c r="X26" s="4775" cm="1">
        <f t="array" aca="1" ref="X26" ca="1">INDIRECT("'※ B2B 세부데이터'!"&amp;X$1&amp;$AA26, TRUE)</f>
        <v>1.5894699395233014</v>
      </c>
      <c r="Y26" s="4776" cm="1">
        <f t="array" aca="1" ref="Y26" ca="1">INDIRECT("'※ B2B 세부데이터'!"&amp;Y$1&amp;$AA26, TRUE)</f>
        <v>372.33333333333331</v>
      </c>
      <c r="Z26" s="4777" cm="1">
        <f t="array" aca="1" ref="Z26" ca="1">INDIRECT("'※ B2B 세부데이터'!"&amp;Z$1&amp;$AA26, TRUE)</f>
        <v>-386</v>
      </c>
      <c r="AA26" s="4705">
        <f>ROW('※ B2B 세부데이터'!J25)</f>
        <v>25</v>
      </c>
    </row>
    <row r="27" spans="1:27" x14ac:dyDescent="0.55000000000000004">
      <c r="A27" s="7316"/>
      <c r="B27" s="7291"/>
      <c r="C27" s="2575" t="str" cm="1">
        <f t="array" aca="1" ref="C27" ca="1">INDIRECT("'※ B2B 세부데이터'!"&amp;C$1&amp;$AA27, TRUE)</f>
        <v>운영후불</v>
      </c>
      <c r="D27" s="2575"/>
      <c r="E27" s="4767" cm="1">
        <f t="array" aca="1" ref="E27" ca="1">INDIRECT("'※ B2B 세부데이터'!"&amp;E$1&amp;$AA27, TRUE)</f>
        <v>2832.3333333333335</v>
      </c>
      <c r="F27" s="4768" cm="1">
        <f t="array" aca="1" ref="F27" ca="1">INDIRECT("'※ B2B 세부데이터'!"&amp;F$1&amp;$AA27, TRUE)</f>
        <v>1192.25</v>
      </c>
      <c r="G27" s="4769" cm="1">
        <f t="array" aca="1" ref="G27" ca="1">INDIRECT("'※ B2B 세부데이터'!"&amp;G$1&amp;$AA27, TRUE)</f>
        <v>1076</v>
      </c>
      <c r="H27" s="4770" cm="1">
        <f t="array" aca="1" ref="H27" ca="1">INDIRECT("'※ B2B 세부데이터'!"&amp;H$1&amp;$AA27, TRUE)</f>
        <v>1641</v>
      </c>
      <c r="I27" s="4770" cm="1">
        <f t="array" aca="1" ref="I27" ca="1">INDIRECT("'※ B2B 세부데이터'!"&amp;I$1&amp;$AA27, TRUE)</f>
        <v>1093</v>
      </c>
      <c r="J27" s="4770" cm="1">
        <f t="array" aca="1" ref="J27" ca="1">INDIRECT("'※ B2B 세부데이터'!"&amp;J$1&amp;$AA27, TRUE)</f>
        <v>911</v>
      </c>
      <c r="K27" s="4770" cm="1">
        <f t="array" aca="1" ref="K27" ca="1">INDIRECT("'※ B2B 세부데이터'!"&amp;K$1&amp;$AA27, TRUE)</f>
        <v>1423</v>
      </c>
      <c r="L27" s="4770" cm="1">
        <f t="array" aca="1" ref="L27" ca="1">INDIRECT("'※ B2B 세부데이터'!"&amp;L$1&amp;$AA27, TRUE)</f>
        <v>1032</v>
      </c>
      <c r="M27" s="4770" cm="1">
        <f t="array" aca="1" ref="M27" ca="1">INDIRECT("'※ B2B 세부데이터'!"&amp;M$1&amp;$AA27, TRUE)</f>
        <v>2750</v>
      </c>
      <c r="N27" s="4770" cm="1">
        <f t="array" aca="1" ref="N27" ca="1">INDIRECT("'※ B2B 세부데이터'!"&amp;N$1&amp;$AA27, TRUE)</f>
        <v>903</v>
      </c>
      <c r="O27" s="4770" cm="1">
        <f t="array" aca="1" ref="O27" ca="1">INDIRECT("'※ B2B 세부데이터'!"&amp;O$1&amp;$AA27, TRUE)</f>
        <v>1499</v>
      </c>
      <c r="P27" s="4770" cm="1">
        <f t="array" aca="1" ref="P27" ca="1">INDIRECT("'※ B2B 세부데이터'!"&amp;P$1&amp;$AA27, TRUE)</f>
        <v>1246</v>
      </c>
      <c r="Q27" s="4770" cm="1">
        <f t="array" aca="1" ref="Q27" ca="1">INDIRECT("'※ B2B 세부데이터'!"&amp;Q$1&amp;$AA27, TRUE)</f>
        <v>1038</v>
      </c>
      <c r="R27" s="4770" cm="1">
        <f t="array" aca="1" ref="R27" ca="1">INDIRECT("'※ B2B 세부데이터'!"&amp;R$1&amp;$AA27, TRUE)</f>
        <v>2712</v>
      </c>
      <c r="S27" s="4771" cm="1">
        <f t="array" aca="1" ref="S27" ca="1">INDIRECT("'※ B2B 세부데이터'!"&amp;S$1&amp;$AA27, TRUE)</f>
        <v>1674</v>
      </c>
      <c r="T27" s="4772" cm="1">
        <f t="array" aca="1" ref="T27" ca="1">INDIRECT("'※ B2B 세부데이터'!"&amp;T$1&amp;$AA27, TRUE)</f>
        <v>2067</v>
      </c>
      <c r="U27" s="4773" cm="1">
        <f t="array" aca="1" ref="U27" ca="1">INDIRECT("'※ B2B 세부데이터'!"&amp;U$1&amp;$AA27, TRUE)</f>
        <v>17324</v>
      </c>
      <c r="V27" s="4774" cm="1">
        <f t="array" aca="1" ref="V27" ca="1">INDIRECT("'※ B2B 세부데이터'!"&amp;V$1&amp;$AA27, TRUE)</f>
        <v>760</v>
      </c>
      <c r="W27" s="4775" cm="1">
        <f t="array" aca="1" ref="W27" ca="1">INDIRECT("'※ B2B 세부데이터'!"&amp;W$1&amp;$AA27, TRUE)</f>
        <v>1.389344262295082</v>
      </c>
      <c r="X27" s="4775" cm="1">
        <f t="array" aca="1" ref="X27" ca="1">INDIRECT("'※ B2B 세부데이터'!"&amp;X$1&amp;$AA27, TRUE)</f>
        <v>1.2108757950653526</v>
      </c>
      <c r="Y27" s="4776" cm="1">
        <f t="array" aca="1" ref="Y27" ca="1">INDIRECT("'※ B2B 세부데이터'!"&amp;Y$1&amp;$AA27, TRUE)</f>
        <v>1443.6666666666667</v>
      </c>
      <c r="Z27" s="4777" cm="1">
        <f t="array" aca="1" ref="Z27" ca="1">INDIRECT("'※ B2B 세부데이터'!"&amp;Z$1&amp;$AA27, TRUE)</f>
        <v>2067</v>
      </c>
      <c r="AA27" s="4705">
        <f>ROW('※ B2B 세부데이터'!J26)</f>
        <v>26</v>
      </c>
    </row>
    <row r="28" spans="1:27" x14ac:dyDescent="0.55000000000000004">
      <c r="A28" s="7316"/>
      <c r="B28" s="7291"/>
      <c r="C28" s="2575" t="str" cm="1">
        <f t="array" aca="1" ref="C28" ca="1">INDIRECT("'※ B2B 세부데이터'!"&amp;C$1&amp;$AA28, TRUE)</f>
        <v>2nd (pad)</v>
      </c>
      <c r="D28" s="2575"/>
      <c r="E28" s="4767" cm="1">
        <f t="array" aca="1" ref="E28" ca="1">INDIRECT("'※ B2B 세부데이터'!"&amp;E$1&amp;$AA28, TRUE)</f>
        <v>1230.1666666666667</v>
      </c>
      <c r="F28" s="4768" cm="1">
        <f t="array" aca="1" ref="F28" ca="1">INDIRECT("'※ B2B 세부데이터'!"&amp;F$1&amp;$AA28, TRUE)</f>
        <v>1285.9166666666667</v>
      </c>
      <c r="G28" s="4769" cm="1">
        <f t="array" aca="1" ref="G28" ca="1">INDIRECT("'※ B2B 세부데이터'!"&amp;G$1&amp;$AA28, TRUE)</f>
        <v>1237</v>
      </c>
      <c r="H28" s="4770" cm="1">
        <f t="array" aca="1" ref="H28" ca="1">INDIRECT("'※ B2B 세부데이터'!"&amp;H$1&amp;$AA28, TRUE)</f>
        <v>1549</v>
      </c>
      <c r="I28" s="4770" cm="1">
        <f t="array" aca="1" ref="I28" ca="1">INDIRECT("'※ B2B 세부데이터'!"&amp;I$1&amp;$AA28, TRUE)</f>
        <v>1829</v>
      </c>
      <c r="J28" s="4770" cm="1">
        <f t="array" aca="1" ref="J28" ca="1">INDIRECT("'※ B2B 세부데이터'!"&amp;J$1&amp;$AA28, TRUE)</f>
        <v>1745</v>
      </c>
      <c r="K28" s="4770" cm="1">
        <f t="array" aca="1" ref="K28" ca="1">INDIRECT("'※ B2B 세부데이터'!"&amp;K$1&amp;$AA28, TRUE)</f>
        <v>1466</v>
      </c>
      <c r="L28" s="4770" cm="1">
        <f t="array" aca="1" ref="L28" ca="1">INDIRECT("'※ B2B 세부데이터'!"&amp;L$1&amp;$AA28, TRUE)</f>
        <v>1507</v>
      </c>
      <c r="M28" s="4770" cm="1">
        <f t="array" aca="1" ref="M28" ca="1">INDIRECT("'※ B2B 세부데이터'!"&amp;M$1&amp;$AA28, TRUE)</f>
        <v>1549</v>
      </c>
      <c r="N28" s="4770" cm="1">
        <f t="array" aca="1" ref="N28" ca="1">INDIRECT("'※ B2B 세부데이터'!"&amp;N$1&amp;$AA28, TRUE)</f>
        <v>1594</v>
      </c>
      <c r="O28" s="4770" cm="1">
        <f t="array" aca="1" ref="O28" ca="1">INDIRECT("'※ B2B 세부데이터'!"&amp;O$1&amp;$AA28, TRUE)</f>
        <v>1312</v>
      </c>
      <c r="P28" s="4770" cm="1">
        <f t="array" aca="1" ref="P28" ca="1">INDIRECT("'※ B2B 세부데이터'!"&amp;P$1&amp;$AA28, TRUE)</f>
        <v>1092</v>
      </c>
      <c r="Q28" s="4770" cm="1">
        <f t="array" aca="1" ref="Q28" ca="1">INDIRECT("'※ B2B 세부데이터'!"&amp;Q$1&amp;$AA28, TRUE)</f>
        <v>1298</v>
      </c>
      <c r="R28" s="4770" cm="1">
        <f t="array" aca="1" ref="R28" ca="1">INDIRECT("'※ B2B 세부데이터'!"&amp;R$1&amp;$AA28, TRUE)</f>
        <v>1233</v>
      </c>
      <c r="S28" s="4771" cm="1">
        <f t="array" aca="1" ref="S28" ca="1">INDIRECT("'※ B2B 세부데이터'!"&amp;S$1&amp;$AA28, TRUE)</f>
        <v>-65</v>
      </c>
      <c r="T28" s="4772" cm="1">
        <f t="array" aca="1" ref="T28" ca="1">INDIRECT("'※ B2B 세부데이터'!"&amp;T$1&amp;$AA28, TRUE)</f>
        <v>325</v>
      </c>
      <c r="U28" s="4773" cm="1">
        <f t="array" aca="1" ref="U28" ca="1">INDIRECT("'※ B2B 세부데이터'!"&amp;U$1&amp;$AA28, TRUE)</f>
        <v>17411</v>
      </c>
      <c r="V28" s="4774" cm="1">
        <f t="array" aca="1" ref="V28" ca="1">INDIRECT("'※ B2B 세부데이터'!"&amp;V$1&amp;$AA28, TRUE)</f>
        <v>86</v>
      </c>
      <c r="W28" s="4775" cm="1">
        <f t="array" aca="1" ref="W28" ca="1">INDIRECT("'※ B2B 세부데이터'!"&amp;W$1&amp;$AA28, TRUE)</f>
        <v>1.0749782040104621</v>
      </c>
      <c r="X28" s="4775" cm="1">
        <f t="array" aca="1" ref="X28" ca="1">INDIRECT("'※ B2B 세부데이터'!"&amp;X$1&amp;$AA28, TRUE)</f>
        <v>1.1283131358952758</v>
      </c>
      <c r="Y28" s="4776" cm="1">
        <f t="array" aca="1" ref="Y28" ca="1">INDIRECT("'※ B2B 세부데이터'!"&amp;Y$1&amp;$AA28, TRUE)</f>
        <v>1450.9166666666667</v>
      </c>
      <c r="Z28" s="4777" cm="1">
        <f t="array" aca="1" ref="Z28" ca="1">INDIRECT("'※ B2B 세부데이터'!"&amp;Z$1&amp;$AA28, TRUE)</f>
        <v>325</v>
      </c>
      <c r="AA28" s="4705">
        <f>ROW('※ B2B 세부데이터'!J27)</f>
        <v>27</v>
      </c>
    </row>
    <row r="29" spans="1:27" x14ac:dyDescent="0.55000000000000004">
      <c r="A29" s="7316"/>
      <c r="B29" s="7291"/>
      <c r="C29" s="2575" t="str" cm="1">
        <f t="array" aca="1" ref="C29" ca="1">INDIRECT("'※ B2B 세부데이터'!"&amp;C$1&amp;$AA29, TRUE)</f>
        <v>iot</v>
      </c>
      <c r="D29" s="2575"/>
      <c r="E29" s="4767" cm="1">
        <f t="array" aca="1" ref="E29" ca="1">INDIRECT("'※ B2B 세부데이터'!"&amp;E$1&amp;$AA29, TRUE)</f>
        <v>1764.5833333333333</v>
      </c>
      <c r="F29" s="4768" cm="1">
        <f t="array" aca="1" ref="F29" ca="1">INDIRECT("'※ B2B 세부데이터'!"&amp;F$1&amp;$AA29, TRUE)</f>
        <v>170.08333333333334</v>
      </c>
      <c r="G29" s="4769" cm="1">
        <f t="array" aca="1" ref="G29" ca="1">INDIRECT("'※ B2B 세부데이터'!"&amp;G$1&amp;$AA29, TRUE)</f>
        <v>7</v>
      </c>
      <c r="H29" s="4770" cm="1">
        <f t="array" aca="1" ref="H29" ca="1">INDIRECT("'※ B2B 세부데이터'!"&amp;H$1&amp;$AA29, TRUE)</f>
        <v>37</v>
      </c>
      <c r="I29" s="4770" cm="1">
        <f t="array" aca="1" ref="I29" ca="1">INDIRECT("'※ B2B 세부데이터'!"&amp;I$1&amp;$AA29, TRUE)</f>
        <v>49</v>
      </c>
      <c r="J29" s="4770" cm="1">
        <f t="array" aca="1" ref="J29" ca="1">INDIRECT("'※ B2B 세부데이터'!"&amp;J$1&amp;$AA29, TRUE)</f>
        <v>36</v>
      </c>
      <c r="K29" s="4770" cm="1">
        <f t="array" aca="1" ref="K29" ca="1">INDIRECT("'※ B2B 세부데이터'!"&amp;K$1&amp;$AA29, TRUE)</f>
        <v>1</v>
      </c>
      <c r="L29" s="4770" cm="1">
        <f t="array" aca="1" ref="L29" ca="1">INDIRECT("'※ B2B 세부데이터'!"&amp;L$1&amp;$AA29, TRUE)</f>
        <v>41</v>
      </c>
      <c r="M29" s="4770" cm="1">
        <f t="array" aca="1" ref="M29" ca="1">INDIRECT("'※ B2B 세부데이터'!"&amp;M$1&amp;$AA29, TRUE)</f>
        <v>35</v>
      </c>
      <c r="N29" s="4770" cm="1">
        <f t="array" aca="1" ref="N29" ca="1">INDIRECT("'※ B2B 세부데이터'!"&amp;N$1&amp;$AA29, TRUE)</f>
        <v>16</v>
      </c>
      <c r="O29" s="4770" cm="1">
        <f t="array" aca="1" ref="O29" ca="1">INDIRECT("'※ B2B 세부데이터'!"&amp;O$1&amp;$AA29, TRUE)</f>
        <v>9</v>
      </c>
      <c r="P29" s="4770" cm="1">
        <f t="array" aca="1" ref="P29" ca="1">INDIRECT("'※ B2B 세부데이터'!"&amp;P$1&amp;$AA29, TRUE)</f>
        <v>35</v>
      </c>
      <c r="Q29" s="4770" cm="1">
        <f t="array" aca="1" ref="Q29" ca="1">INDIRECT("'※ B2B 세부데이터'!"&amp;Q$1&amp;$AA29, TRUE)</f>
        <v>52</v>
      </c>
      <c r="R29" s="4770" cm="1">
        <f t="array" aca="1" ref="R29" ca="1">INDIRECT("'※ B2B 세부데이터'!"&amp;R$1&amp;$AA29, TRUE)</f>
        <v>40</v>
      </c>
      <c r="S29" s="4771" cm="1">
        <f t="array" aca="1" ref="S29" ca="1">INDIRECT("'※ B2B 세부데이터'!"&amp;S$1&amp;$AA29, TRUE)</f>
        <v>-12</v>
      </c>
      <c r="T29" s="4772" cm="1">
        <f t="array" aca="1" ref="T29" ca="1">INDIRECT("'※ B2B 세부데이터'!"&amp;T$1&amp;$AA29, TRUE)</f>
        <v>16</v>
      </c>
      <c r="U29" s="4773" cm="1">
        <f t="array" aca="1" ref="U29" ca="1">INDIRECT("'※ B2B 세부데이터'!"&amp;U$1&amp;$AA29, TRUE)</f>
        <v>358</v>
      </c>
      <c r="V29" s="4778" t="str" cm="1">
        <f t="array" aca="1" ref="V29" ca="1">INDIRECT("'※ B2B 세부데이터'!"&amp;V$1&amp;$AA29, TRUE)</f>
        <v>-</v>
      </c>
      <c r="W29" s="4779" t="str" cm="1">
        <f t="array" aca="1" ref="W29" ca="1">INDIRECT("'※ B2B 세부데이터'!"&amp;W$1&amp;$AA29, TRUE)</f>
        <v>-</v>
      </c>
      <c r="X29" s="4775" cm="1">
        <f t="array" aca="1" ref="X29" ca="1">INDIRECT("'※ B2B 세부데이터'!"&amp;X$1&amp;$AA29, TRUE)</f>
        <v>0.17540421362077413</v>
      </c>
      <c r="Y29" s="4776" cm="1">
        <f t="array" aca="1" ref="Y29" ca="1">INDIRECT("'※ B2B 세부데이터'!"&amp;Y$1&amp;$AA29, TRUE)</f>
        <v>29.833333333333332</v>
      </c>
      <c r="Z29" s="4777" cm="1">
        <f t="array" aca="1" ref="Z29" ca="1">INDIRECT("'※ B2B 세부데이터'!"&amp;Z$1&amp;$AA29, TRUE)</f>
        <v>16</v>
      </c>
      <c r="AA29" s="4705">
        <f>ROW('※ B2B 세부데이터'!J28)</f>
        <v>28</v>
      </c>
    </row>
    <row r="30" spans="1:27" x14ac:dyDescent="0.55000000000000004">
      <c r="A30" s="7316"/>
      <c r="B30" s="7291"/>
      <c r="C30" s="2575" t="str" cm="1">
        <f t="array" aca="1" ref="C30" ca="1">INDIRECT("'※ B2B 세부데이터'!"&amp;C$1&amp;$AA30, TRUE)</f>
        <v>후불신규</v>
      </c>
      <c r="D30" s="2575"/>
      <c r="E30" s="4767" cm="1">
        <f t="array" aca="1" ref="E30" ca="1">INDIRECT("'※ B2B 세부데이터'!"&amp;E$1&amp;$AA30, TRUE)</f>
        <v>489.25</v>
      </c>
      <c r="F30" s="4768" cm="1">
        <f t="array" aca="1" ref="F30" ca="1">INDIRECT("'※ B2B 세부데이터'!"&amp;F$1&amp;$AA30, TRUE)</f>
        <v>380.5</v>
      </c>
      <c r="G30" s="4769" cm="1">
        <f t="array" aca="1" ref="G30" ca="1">INDIRECT("'※ B2B 세부데이터'!"&amp;G$1&amp;$AA30, TRUE)</f>
        <v>288</v>
      </c>
      <c r="H30" s="4770" cm="1">
        <f t="array" aca="1" ref="H30" ca="1">INDIRECT("'※ B2B 세부데이터'!"&amp;H$1&amp;$AA30, TRUE)</f>
        <v>265</v>
      </c>
      <c r="I30" s="4770" cm="1">
        <f t="array" aca="1" ref="I30" ca="1">INDIRECT("'※ B2B 세부데이터'!"&amp;I$1&amp;$AA30, TRUE)</f>
        <v>521</v>
      </c>
      <c r="J30" s="4770" cm="1">
        <f t="array" aca="1" ref="J30" ca="1">INDIRECT("'※ B2B 세부데이터'!"&amp;J$1&amp;$AA30, TRUE)</f>
        <v>201</v>
      </c>
      <c r="K30" s="4770" cm="1">
        <f t="array" aca="1" ref="K30" ca="1">INDIRECT("'※ B2B 세부데이터'!"&amp;K$1&amp;$AA30, TRUE)</f>
        <v>607</v>
      </c>
      <c r="L30" s="4770" cm="1">
        <f t="array" aca="1" ref="L30" ca="1">INDIRECT("'※ B2B 세부데이터'!"&amp;L$1&amp;$AA30, TRUE)</f>
        <v>364</v>
      </c>
      <c r="M30" s="4770" cm="1">
        <f t="array" aca="1" ref="M30" ca="1">INDIRECT("'※ B2B 세부데이터'!"&amp;M$1&amp;$AA30, TRUE)</f>
        <v>2062</v>
      </c>
      <c r="N30" s="4770" cm="1">
        <f t="array" aca="1" ref="N30" ca="1">INDIRECT("'※ B2B 세부데이터'!"&amp;N$1&amp;$AA30, TRUE)</f>
        <v>349</v>
      </c>
      <c r="O30" s="4770" cm="1">
        <f t="array" aca="1" ref="O30" ca="1">INDIRECT("'※ B2B 세부데이터'!"&amp;O$1&amp;$AA30, TRUE)</f>
        <v>465</v>
      </c>
      <c r="P30" s="4770" cm="1">
        <f t="array" aca="1" ref="P30" ca="1">INDIRECT("'※ B2B 세부데이터'!"&amp;P$1&amp;$AA30, TRUE)</f>
        <v>206</v>
      </c>
      <c r="Q30" s="4770" cm="1">
        <f t="array" aca="1" ref="Q30" ca="1">INDIRECT("'※ B2B 세부데이터'!"&amp;Q$1&amp;$AA30, TRUE)</f>
        <v>361</v>
      </c>
      <c r="R30" s="4770" cm="1">
        <f t="array" aca="1" ref="R30" ca="1">INDIRECT("'※ B2B 세부데이터'!"&amp;R$1&amp;$AA30, TRUE)</f>
        <v>2106</v>
      </c>
      <c r="S30" s="4771" cm="1">
        <f t="array" aca="1" ref="S30" ca="1">INDIRECT("'※ B2B 세부데이터'!"&amp;S$1&amp;$AA30, TRUE)</f>
        <v>1745</v>
      </c>
      <c r="T30" s="4772" cm="1">
        <f t="array" aca="1" ref="T30" ca="1">INDIRECT("'※ B2B 세부데이터'!"&amp;T$1&amp;$AA30, TRUE)</f>
        <v>1794</v>
      </c>
      <c r="U30" s="4773" cm="1">
        <f t="array" aca="1" ref="U30" ca="1">INDIRECT("'※ B2B 세부데이터'!"&amp;U$1&amp;$AA30, TRUE)</f>
        <v>7795</v>
      </c>
      <c r="V30" s="4778" t="str" cm="1">
        <f t="array" aca="1" ref="V30" ca="1">INDIRECT("'※ B2B 세부데이터'!"&amp;V$1&amp;$AA30, TRUE)</f>
        <v>-</v>
      </c>
      <c r="W30" s="4779" t="str" cm="1">
        <f t="array" aca="1" ref="W30" ca="1">INDIRECT("'※ B2B 세부데이터'!"&amp;W$1&amp;$AA30, TRUE)</f>
        <v>-</v>
      </c>
      <c r="X30" s="4775" cm="1">
        <f t="array" aca="1" ref="X30" ca="1">INDIRECT("'※ B2B 세부데이터'!"&amp;X$1&amp;$AA30, TRUE)</f>
        <v>1.7071835304424003</v>
      </c>
      <c r="Y30" s="4776" cm="1">
        <f t="array" aca="1" ref="Y30" ca="1">INDIRECT("'※ B2B 세부데이터'!"&amp;Y$1&amp;$AA30, TRUE)</f>
        <v>649.58333333333337</v>
      </c>
      <c r="Z30" s="4777" cm="1">
        <f t="array" aca="1" ref="Z30" ca="1">INDIRECT("'※ B2B 세부데이터'!"&amp;Z$1&amp;$AA30, TRUE)</f>
        <v>1794</v>
      </c>
      <c r="AA30" s="4705">
        <f>ROW('※ B2B 세부데이터'!J29)</f>
        <v>29</v>
      </c>
    </row>
    <row r="31" spans="1:27" x14ac:dyDescent="0.55000000000000004">
      <c r="A31" s="7316"/>
      <c r="B31" s="7291"/>
      <c r="C31" s="2575" t="str" cm="1">
        <f t="array" aca="1" ref="C31" ca="1">INDIRECT("'※ B2B 세부데이터'!"&amp;C$1&amp;$AA31, TRUE)</f>
        <v>무선순증</v>
      </c>
      <c r="D31" s="2575"/>
      <c r="E31" s="4767" cm="1">
        <f t="array" aca="1" ref="E31" ca="1">INDIRECT("'※ B2B 세부데이터'!"&amp;E$1&amp;$AA31, TRUE)</f>
        <v>751.08333333333337</v>
      </c>
      <c r="F31" s="4768" cm="1">
        <f t="array" aca="1" ref="F31" ca="1">INDIRECT("'※ B2B 세부데이터'!"&amp;F$1&amp;$AA31, TRUE)</f>
        <v>690.16666666666663</v>
      </c>
      <c r="G31" s="4769" cm="1">
        <f t="array" aca="1" ref="G31" ca="1">INDIRECT("'※ B2B 세부데이터'!"&amp;G$1&amp;$AA31, TRUE)</f>
        <v>-104</v>
      </c>
      <c r="H31" s="4770" cm="1">
        <f t="array" aca="1" ref="H31" ca="1">INDIRECT("'※ B2B 세부데이터'!"&amp;H$1&amp;$AA31, TRUE)</f>
        <v>-203</v>
      </c>
      <c r="I31" s="4770" cm="1">
        <f t="array" aca="1" ref="I31" ca="1">INDIRECT("'※ B2B 세부데이터'!"&amp;I$1&amp;$AA31, TRUE)</f>
        <v>147</v>
      </c>
      <c r="J31" s="4770" cm="1">
        <f t="array" aca="1" ref="J31" ca="1">INDIRECT("'※ B2B 세부데이터'!"&amp;J$1&amp;$AA31, TRUE)</f>
        <v>84</v>
      </c>
      <c r="K31" s="4770" cm="1">
        <f t="array" aca="1" ref="K31" ca="1">INDIRECT("'※ B2B 세부데이터'!"&amp;K$1&amp;$AA31, TRUE)</f>
        <v>526</v>
      </c>
      <c r="L31" s="4770" cm="1">
        <f t="array" aca="1" ref="L31" ca="1">INDIRECT("'※ B2B 세부데이터'!"&amp;L$1&amp;$AA31, TRUE)</f>
        <v>115</v>
      </c>
      <c r="M31" s="4770" cm="1">
        <f t="array" aca="1" ref="M31" ca="1">INDIRECT("'※ B2B 세부데이터'!"&amp;M$1&amp;$AA31, TRUE)</f>
        <v>2050</v>
      </c>
      <c r="N31" s="4770" cm="1">
        <f t="array" aca="1" ref="N31" ca="1">INDIRECT("'※ B2B 세부데이터'!"&amp;N$1&amp;$AA31, TRUE)</f>
        <v>-246</v>
      </c>
      <c r="O31" s="4770" cm="1">
        <f t="array" aca="1" ref="O31" ca="1">INDIRECT("'※ B2B 세부데이터'!"&amp;O$1&amp;$AA31, TRUE)</f>
        <v>409</v>
      </c>
      <c r="P31" s="4770" cm="1">
        <f t="array" aca="1" ref="P31" ca="1">INDIRECT("'※ B2B 세부데이터'!"&amp;P$1&amp;$AA31, TRUE)</f>
        <v>-12</v>
      </c>
      <c r="Q31" s="4770" cm="1">
        <f t="array" aca="1" ref="Q31" ca="1">INDIRECT("'※ B2B 세부데이터'!"&amp;Q$1&amp;$AA31, TRUE)</f>
        <v>355</v>
      </c>
      <c r="R31" s="4770" cm="1">
        <f t="array" aca="1" ref="R31" ca="1">INDIRECT("'※ B2B 세부데이터'!"&amp;R$1&amp;$AA31, TRUE)</f>
        <v>1532</v>
      </c>
      <c r="S31" s="4771" cm="1">
        <f t="array" aca="1" ref="S31" ca="1">INDIRECT("'※ B2B 세부데이터'!"&amp;S$1&amp;$AA31, TRUE)</f>
        <v>1177</v>
      </c>
      <c r="T31" s="4772" cm="1">
        <f t="array" aca="1" ref="T31" ca="1">INDIRECT("'※ B2B 세부데이터'!"&amp;T$1&amp;$AA31, TRUE)</f>
        <v>1286</v>
      </c>
      <c r="U31" s="4773" cm="1">
        <f t="array" aca="1" ref="U31" ca="1">INDIRECT("'※ B2B 세부데이터'!"&amp;U$1&amp;$AA31, TRUE)</f>
        <v>4653</v>
      </c>
      <c r="V31" s="4778" t="str" cm="1">
        <f t="array" aca="1" ref="V31" ca="1">INDIRECT("'※ B2B 세부데이터'!"&amp;V$1&amp;$AA31, TRUE)</f>
        <v>-</v>
      </c>
      <c r="W31" s="4779" t="str" cm="1">
        <f t="array" aca="1" ref="W31" ca="1">INDIRECT("'※ B2B 세부데이터'!"&amp;W$1&amp;$AA31, TRUE)</f>
        <v>-</v>
      </c>
      <c r="X31" s="4775" cm="1">
        <f t="array" aca="1" ref="X31" ca="1">INDIRECT("'※ B2B 세부데이터'!"&amp;X$1&amp;$AA31, TRUE)</f>
        <v>0.56182081622796431</v>
      </c>
      <c r="Y31" s="4776" cm="1">
        <f t="array" aca="1" ref="Y31" ca="1">INDIRECT("'※ B2B 세부데이터'!"&amp;Y$1&amp;$AA31, TRUE)</f>
        <v>387.75</v>
      </c>
      <c r="Z31" s="4777" cm="1">
        <f t="array" aca="1" ref="Z31" ca="1">INDIRECT("'※ B2B 세부데이터'!"&amp;Z$1&amp;$AA31, TRUE)</f>
        <v>1286</v>
      </c>
      <c r="AA31" s="4705">
        <f>ROW('※ B2B 세부데이터'!J30)</f>
        <v>30</v>
      </c>
    </row>
    <row r="32" spans="1:27" x14ac:dyDescent="0.55000000000000004">
      <c r="A32" s="7316"/>
      <c r="B32" s="7291"/>
      <c r="C32" s="2575" t="str" cm="1">
        <f t="array" aca="1" ref="C32" ca="1">INDIRECT("'※ B2B 세부데이터'!"&amp;C$1&amp;$AA32, TRUE)</f>
        <v>유선</v>
      </c>
      <c r="D32" s="2575"/>
      <c r="E32" s="4767" cm="1">
        <f t="array" aca="1" ref="E32" ca="1">INDIRECT("'※ B2B 세부데이터'!"&amp;E$1&amp;$AA32, TRUE)</f>
        <v>0</v>
      </c>
      <c r="F32" s="4768" cm="1">
        <f t="array" aca="1" ref="F32" ca="1">INDIRECT("'※ B2B 세부데이터'!"&amp;F$1&amp;$AA32, TRUE)</f>
        <v>190.36363636363637</v>
      </c>
      <c r="G32" s="4769" cm="1">
        <f t="array" aca="1" ref="G32" ca="1">INDIRECT("'※ B2B 세부데이터'!"&amp;G$1&amp;$AA32, TRUE)</f>
        <v>81</v>
      </c>
      <c r="H32" s="4770" cm="1">
        <f t="array" aca="1" ref="H32" ca="1">INDIRECT("'※ B2B 세부데이터'!"&amp;H$1&amp;$AA32, TRUE)</f>
        <v>190</v>
      </c>
      <c r="I32" s="4770" cm="1">
        <f t="array" aca="1" ref="I32" ca="1">INDIRECT("'※ B2B 세부데이터'!"&amp;I$1&amp;$AA32, TRUE)</f>
        <v>36</v>
      </c>
      <c r="J32" s="4770" cm="1">
        <f t="array" aca="1" ref="J32" ca="1">INDIRECT("'※ B2B 세부데이터'!"&amp;J$1&amp;$AA32, TRUE)</f>
        <v>196</v>
      </c>
      <c r="K32" s="4770" cm="1">
        <f t="array" aca="1" ref="K32" ca="1">INDIRECT("'※ B2B 세부데이터'!"&amp;K$1&amp;$AA32, TRUE)</f>
        <v>101</v>
      </c>
      <c r="L32" s="4770" cm="1">
        <f t="array" aca="1" ref="L32" ca="1">INDIRECT("'※ B2B 세부데이터'!"&amp;L$1&amp;$AA32, TRUE)</f>
        <v>242</v>
      </c>
      <c r="M32" s="4770" cm="1">
        <f t="array" aca="1" ref="M32" ca="1">INDIRECT("'※ B2B 세부데이터'!"&amp;M$1&amp;$AA32, TRUE)</f>
        <v>413</v>
      </c>
      <c r="N32" s="4770" cm="1">
        <f t="array" aca="1" ref="N32" ca="1">INDIRECT("'※ B2B 세부데이터'!"&amp;N$1&amp;$AA32, TRUE)</f>
        <v>166</v>
      </c>
      <c r="O32" s="4770" cm="1">
        <f t="array" aca="1" ref="O32" ca="1">INDIRECT("'※ B2B 세부데이터'!"&amp;O$1&amp;$AA32, TRUE)</f>
        <v>621</v>
      </c>
      <c r="P32" s="4770" cm="1">
        <f t="array" aca="1" ref="P32" ca="1">INDIRECT("'※ B2B 세부데이터'!"&amp;P$1&amp;$AA32, TRUE)</f>
        <v>172</v>
      </c>
      <c r="Q32" s="4770" cm="1">
        <f t="array" aca="1" ref="Q32" ca="1">INDIRECT("'※ B2B 세부데이터'!"&amp;Q$1&amp;$AA32, TRUE)</f>
        <v>116</v>
      </c>
      <c r="R32" s="4770" cm="1">
        <f t="array" aca="1" ref="R32" ca="1">INDIRECT("'※ B2B 세부데이터'!"&amp;R$1&amp;$AA32, TRUE)</f>
        <v>232</v>
      </c>
      <c r="S32" s="4771" cm="1">
        <f t="array" aca="1" ref="S32" ca="1">INDIRECT("'※ B2B 세부데이터'!"&amp;S$1&amp;$AA32, TRUE)</f>
        <v>116</v>
      </c>
      <c r="T32" s="4772" cm="1">
        <f t="array" aca="1" ref="T32" ca="1">INDIRECT("'※ B2B 세부데이터'!"&amp;T$1&amp;$AA32, TRUE)</f>
        <v>232</v>
      </c>
      <c r="U32" s="4773" cm="1">
        <f t="array" aca="1" ref="U32" ca="1">INDIRECT("'※ B2B 세부데이터'!"&amp;U$1&amp;$AA32, TRUE)</f>
        <v>2566</v>
      </c>
      <c r="V32" s="4778" t="str" cm="1">
        <f t="array" aca="1" ref="V32" ca="1">INDIRECT("'※ B2B 세부데이터'!"&amp;V$1&amp;$AA32, TRUE)</f>
        <v>-</v>
      </c>
      <c r="W32" s="4779" t="str" cm="1">
        <f t="array" aca="1" ref="W32" ca="1">INDIRECT("'※ B2B 세부데이터'!"&amp;W$1&amp;$AA32, TRUE)</f>
        <v>-</v>
      </c>
      <c r="X32" s="4775" cm="1">
        <f t="array" aca="1" ref="X32" ca="1">INDIRECT("'※ B2B 세부데이터'!"&amp;X$1&amp;$AA32, TRUE)</f>
        <v>1.2254059216809934</v>
      </c>
      <c r="Y32" s="4776" cm="1">
        <f t="array" aca="1" ref="Y32" ca="1">INDIRECT("'※ B2B 세부데이터'!"&amp;Y$1&amp;$AA32, TRUE)</f>
        <v>213.83333333333334</v>
      </c>
      <c r="Z32" s="4777" cm="1">
        <f t="array" aca="1" ref="Z32" ca="1">INDIRECT("'※ B2B 세부데이터'!"&amp;Z$1&amp;$AA32, TRUE)</f>
        <v>232</v>
      </c>
      <c r="AA32" s="4705">
        <f>ROW('※ B2B 세부데이터'!J31)</f>
        <v>31</v>
      </c>
    </row>
    <row r="33" spans="1:27" ht="15.45" thickBot="1" x14ac:dyDescent="0.6">
      <c r="A33" s="7317"/>
      <c r="B33" s="7292"/>
      <c r="C33" s="4793" t="str" cm="1">
        <f t="array" aca="1" ref="C33" ca="1">INDIRECT("'※ B2B 세부데이터'!"&amp;C$1&amp;$AA33, TRUE)</f>
        <v>전략상품</v>
      </c>
      <c r="D33" s="4793"/>
      <c r="E33" s="4794" cm="1">
        <f t="array" aca="1" ref="E33" ca="1">INDIRECT("'※ B2B 세부데이터'!"&amp;E$1&amp;$AA33, TRUE)</f>
        <v>16.5</v>
      </c>
      <c r="F33" s="4795" cm="1">
        <f t="array" aca="1" ref="F33" ca="1">INDIRECT("'※ B2B 세부데이터'!"&amp;F$1&amp;$AA33, TRUE)</f>
        <v>10.25</v>
      </c>
      <c r="G33" s="4796" cm="1">
        <f t="array" aca="1" ref="G33" ca="1">INDIRECT("'※ B2B 세부데이터'!"&amp;G$1&amp;$AA33, TRUE)</f>
        <v>4</v>
      </c>
      <c r="H33" s="4797" cm="1">
        <f t="array" aca="1" ref="H33" ca="1">INDIRECT("'※ B2B 세부데이터'!"&amp;H$1&amp;$AA33, TRUE)</f>
        <v>0</v>
      </c>
      <c r="I33" s="4797" cm="1">
        <f t="array" aca="1" ref="I33" ca="1">INDIRECT("'※ B2B 세부데이터'!"&amp;I$1&amp;$AA33, TRUE)</f>
        <v>24</v>
      </c>
      <c r="J33" s="4797" cm="1">
        <f t="array" aca="1" ref="J33" ca="1">INDIRECT("'※ B2B 세부데이터'!"&amp;J$1&amp;$AA33, TRUE)</f>
        <v>16</v>
      </c>
      <c r="K33" s="4797" cm="1">
        <f t="array" aca="1" ref="K33" ca="1">INDIRECT("'※ B2B 세부데이터'!"&amp;K$1&amp;$AA33, TRUE)</f>
        <v>21</v>
      </c>
      <c r="L33" s="4797" cm="1">
        <f t="array" aca="1" ref="L33" ca="1">INDIRECT("'※ B2B 세부데이터'!"&amp;L$1&amp;$AA33, TRUE)</f>
        <v>0</v>
      </c>
      <c r="M33" s="4797" cm="1">
        <f t="array" aca="1" ref="M33" ca="1">INDIRECT("'※ B2B 세부데이터'!"&amp;M$1&amp;$AA33, TRUE)</f>
        <v>0</v>
      </c>
      <c r="N33" s="4797" cm="1">
        <f t="array" aca="1" ref="N33" ca="1">INDIRECT("'※ B2B 세부데이터'!"&amp;N$1&amp;$AA33, TRUE)</f>
        <v>0</v>
      </c>
      <c r="O33" s="4797" cm="1">
        <f t="array" aca="1" ref="O33" ca="1">INDIRECT("'※ B2B 세부데이터'!"&amp;O$1&amp;$AA33, TRUE)</f>
        <v>0</v>
      </c>
      <c r="P33" s="4797" cm="1">
        <f t="array" aca="1" ref="P33" ca="1">INDIRECT("'※ B2B 세부데이터'!"&amp;P$1&amp;$AA33, TRUE)</f>
        <v>0</v>
      </c>
      <c r="Q33" s="4797" cm="1">
        <f t="array" aca="1" ref="Q33" ca="1">INDIRECT("'※ B2B 세부데이터'!"&amp;Q$1&amp;$AA33, TRUE)</f>
        <v>0</v>
      </c>
      <c r="R33" s="4797" cm="1">
        <f t="array" aca="1" ref="R33" ca="1">INDIRECT("'※ B2B 세부데이터'!"&amp;R$1&amp;$AA33, TRUE)</f>
        <v>0</v>
      </c>
      <c r="S33" s="4798" cm="1">
        <f t="array" aca="1" ref="S33" ca="1">INDIRECT("'※ B2B 세부데이터'!"&amp;S$1&amp;$AA33, TRUE)</f>
        <v>0</v>
      </c>
      <c r="T33" s="4799" cm="1">
        <f t="array" aca="1" ref="T33" ca="1">INDIRECT("'※ B2B 세부데이터'!"&amp;T$1&amp;$AA33, TRUE)</f>
        <v>0</v>
      </c>
      <c r="U33" s="4800" cm="1">
        <f t="array" aca="1" ref="U33" ca="1">INDIRECT("'※ B2B 세부데이터'!"&amp;U$1&amp;$AA33, TRUE)</f>
        <v>65</v>
      </c>
      <c r="V33" s="4801" t="str" cm="1">
        <f t="array" aca="1" ref="V33" ca="1">INDIRECT("'※ B2B 세부데이터'!"&amp;V$1&amp;$AA33, TRUE)</f>
        <v>-</v>
      </c>
      <c r="W33" s="4802" t="str" cm="1">
        <f t="array" aca="1" ref="W33" ca="1">INDIRECT("'※ B2B 세부데이터'!"&amp;W$1&amp;$AA33, TRUE)</f>
        <v>-</v>
      </c>
      <c r="X33" s="4803" cm="1">
        <f t="array" aca="1" ref="X33" ca="1">INDIRECT("'※ B2B 세부데이터'!"&amp;X$1&amp;$AA33, TRUE)</f>
        <v>0.52845528455284552</v>
      </c>
      <c r="Y33" s="4804" cm="1">
        <f t="array" aca="1" ref="Y33" ca="1">INDIRECT("'※ B2B 세부데이터'!"&amp;Y$1&amp;$AA33, TRUE)</f>
        <v>5.416666666666667</v>
      </c>
      <c r="Z33" s="4805" cm="1">
        <f t="array" aca="1" ref="Z33" ca="1">INDIRECT("'※ B2B 세부데이터'!"&amp;Z$1&amp;$AA33, TRUE)</f>
        <v>0</v>
      </c>
      <c r="AA33" s="4705">
        <f>ROW('※ B2B 세부데이터'!J32)</f>
        <v>32</v>
      </c>
    </row>
    <row r="34" spans="1:27" ht="15.45" thickBot="1" x14ac:dyDescent="0.6">
      <c r="E34" s="4806"/>
      <c r="G34" s="2427"/>
      <c r="H34" s="4807"/>
      <c r="I34" s="4808"/>
      <c r="J34" s="4808"/>
      <c r="K34" s="4807"/>
      <c r="L34" s="4807"/>
      <c r="M34" s="4807"/>
      <c r="N34" s="4807"/>
      <c r="O34" s="4807"/>
      <c r="P34" s="4807"/>
      <c r="Q34" s="4807"/>
      <c r="R34" s="4807"/>
      <c r="S34" s="2427"/>
      <c r="T34" s="2427"/>
      <c r="AA34" s="4705">
        <f>ROW('※ B2B 세부데이터'!J33)</f>
        <v>33</v>
      </c>
    </row>
    <row r="35" spans="1:27" ht="16.75" thickBot="1" x14ac:dyDescent="0.6">
      <c r="A35" s="7313" t="s">
        <v>127</v>
      </c>
      <c r="B35" s="7314"/>
      <c r="C35" s="7314"/>
      <c r="D35" s="7314"/>
      <c r="E35" s="4809" t="s">
        <v>888</v>
      </c>
      <c r="F35" s="3314" t="s">
        <v>889</v>
      </c>
      <c r="G35" s="4810" t="str" cm="1">
        <f t="array" aca="1" ref="G35" ca="1">INDIRECT("'※ B2B 세부데이터'!"&amp;G$1&amp;$AA6, TRUE)</f>
        <v>'25.1월</v>
      </c>
      <c r="H35" s="4811" t="str" cm="1">
        <f t="array" aca="1" ref="H35" ca="1">INDIRECT("'※ B2B 세부데이터'!"&amp;H$1&amp;$AA6, TRUE)</f>
        <v>'25.2월</v>
      </c>
      <c r="I35" s="4812" t="str" cm="1">
        <f t="array" aca="1" ref="I35" ca="1">INDIRECT("'※ B2B 세부데이터'!"&amp;I$1&amp;$AA6, TRUE)</f>
        <v>'25.3월</v>
      </c>
      <c r="J35" s="4812" t="str" cm="1">
        <f t="array" aca="1" ref="J35" ca="1">INDIRECT("'※ B2B 세부데이터'!"&amp;J$1&amp;$AA6, TRUE)</f>
        <v>'25.4월</v>
      </c>
      <c r="K35" s="4811" t="str" cm="1">
        <f t="array" aca="1" ref="K35" ca="1">INDIRECT("'※ B2B 세부데이터'!"&amp;K$1&amp;$AA6, TRUE)</f>
        <v>'25.5월</v>
      </c>
      <c r="L35" s="4811" t="str" cm="1">
        <f t="array" aca="1" ref="L35" ca="1">INDIRECT("'※ B2B 세부데이터'!"&amp;L$1&amp;$AA6, TRUE)</f>
        <v>'25.6월</v>
      </c>
      <c r="M35" s="4811" t="str" cm="1">
        <f t="array" aca="1" ref="M35" ca="1">INDIRECT("'※ B2B 세부데이터'!"&amp;M$1&amp;$AA6, TRUE)</f>
        <v>'25.7월</v>
      </c>
      <c r="N35" s="4811" t="str" cm="1">
        <f t="array" aca="1" ref="N35" ca="1">INDIRECT("'※ B2B 세부데이터'!"&amp;N$1&amp;$AA6, TRUE)</f>
        <v>'25.8월</v>
      </c>
      <c r="O35" s="4811" t="str" cm="1">
        <f t="array" aca="1" ref="O35" ca="1">INDIRECT("'※ B2B 세부데이터'!"&amp;O$1&amp;$AA6, TRUE)</f>
        <v>'25.9월</v>
      </c>
      <c r="P35" s="4811" t="str" cm="1">
        <f t="array" aca="1" ref="P35" ca="1">INDIRECT("'※ B2B 세부데이터'!"&amp;P$1&amp;$AA6, TRUE)</f>
        <v>'25.10월</v>
      </c>
      <c r="Q35" s="4811" t="str" cm="1">
        <f t="array" aca="1" ref="Q35" ca="1">INDIRECT("'※ B2B 세부데이터'!"&amp;Q$1&amp;$AA6, TRUE)</f>
        <v>'25.11월</v>
      </c>
      <c r="R35" s="4811" t="str" cm="1">
        <f t="array" aca="1" ref="R35" ca="1">INDIRECT("'※ B2B 세부데이터'!"&amp;R$1&amp;$AA6, TRUE)</f>
        <v>'25.12월</v>
      </c>
      <c r="S35" s="4813" t="s">
        <v>776</v>
      </c>
      <c r="T35" s="4814" t="s">
        <v>817</v>
      </c>
      <c r="AA35" s="4705">
        <f>ROW('※ B2B 세부데이터'!J34)</f>
        <v>34</v>
      </c>
    </row>
    <row r="36" spans="1:27" x14ac:dyDescent="0.55000000000000004">
      <c r="A36" s="7296" t="s">
        <v>824</v>
      </c>
      <c r="B36" s="7299" t="s">
        <v>807</v>
      </c>
      <c r="C36" s="7302" t="s">
        <v>818</v>
      </c>
      <c r="D36" s="4815" t="s">
        <v>819</v>
      </c>
      <c r="E36" s="4816" cm="1">
        <f t="array" aca="1" ref="E36" ca="1">INDIRECT("'※ B2B 세부데이터'!"&amp;E$1&amp;$AA36, TRUE)</f>
        <v>204431.58333333334</v>
      </c>
      <c r="F36" s="4817" cm="1">
        <f t="array" aca="1" ref="F36" ca="1">INDIRECT("'※ B2B 세부데이터'!"&amp;F$1&amp;$AA36, TRUE)</f>
        <v>209296.91666666666</v>
      </c>
      <c r="G36" s="4818" cm="1">
        <f t="array" aca="1" ref="G36" ca="1">INDIRECT("'※ B2B 세부데이터'!"&amp;G$1&amp;$AA36, TRUE)</f>
        <v>205703</v>
      </c>
      <c r="H36" s="4819" cm="1">
        <f t="array" aca="1" ref="H36" ca="1">INDIRECT("'※ B2B 세부데이터'!"&amp;H$1&amp;$AA36, TRUE)</f>
        <v>207462</v>
      </c>
      <c r="I36" s="4820" cm="1">
        <f t="array" aca="1" ref="I36" ca="1">INDIRECT("'※ B2B 세부데이터'!"&amp;I$1&amp;$AA36, TRUE)</f>
        <v>208858</v>
      </c>
      <c r="J36" s="4820" cm="1">
        <f t="array" aca="1" ref="J36" ca="1">INDIRECT("'※ B2B 세부데이터'!"&amp;J$1&amp;$AA36, TRUE)</f>
        <v>208833</v>
      </c>
      <c r="K36" s="4819" cm="1">
        <f t="array" aca="1" ref="K36" ca="1">INDIRECT("'※ B2B 세부데이터'!"&amp;K$1&amp;$AA36, TRUE)</f>
        <v>209196</v>
      </c>
      <c r="L36" s="4819" cm="1">
        <f t="array" aca="1" ref="L36" ca="1">INDIRECT("'※ B2B 세부데이터'!"&amp;L$1&amp;$AA36, TRUE)</f>
        <v>212535</v>
      </c>
      <c r="M36" s="4819" cm="1">
        <f t="array" aca="1" ref="M36" ca="1">INDIRECT("'※ B2B 세부데이터'!"&amp;M$1&amp;$AA36, TRUE)</f>
        <v>213809</v>
      </c>
      <c r="N36" s="4819" cm="1">
        <f t="array" aca="1" ref="N36" ca="1">INDIRECT("'※ B2B 세부데이터'!"&amp;N$1&amp;$AA36, TRUE)</f>
        <v>210781</v>
      </c>
      <c r="O36" s="4819" cm="1">
        <f t="array" aca="1" ref="O36" ca="1">INDIRECT("'※ B2B 세부데이터'!"&amp;O$1&amp;$AA36, TRUE)</f>
        <v>210088</v>
      </c>
      <c r="P36" s="4819" cm="1">
        <f t="array" aca="1" ref="P36" ca="1">INDIRECT("'※ B2B 세부데이터'!"&amp;P$1&amp;$AA36, TRUE)</f>
        <v>208108</v>
      </c>
      <c r="Q36" s="4819" cm="1">
        <f t="array" aca="1" ref="Q36" ca="1">INDIRECT("'※ B2B 세부데이터'!"&amp;Q$1&amp;$AA36, TRUE)</f>
        <v>208510</v>
      </c>
      <c r="R36" s="4819" cm="1">
        <f t="array" aca="1" ref="R36" ca="1">INDIRECT("'※ B2B 세부데이터'!"&amp;R$1&amp;$AA36, TRUE)</f>
        <v>207314</v>
      </c>
      <c r="S36" s="4821" cm="1">
        <f t="array" aca="1" ref="S36" ca="1">INDIRECT("'※ B2B 세부데이터'!"&amp;S$1&amp;$AA36, TRUE)</f>
        <v>-1196</v>
      </c>
      <c r="T36" s="4822" cm="1">
        <f t="array" aca="1" ref="T36" ca="1">INDIRECT("'※ B2B 세부데이터'!"&amp;T$1&amp;$AA36, TRUE)</f>
        <v>1133</v>
      </c>
      <c r="AA36" s="4705">
        <f>ROW('※ B2B 세부데이터'!J35)</f>
        <v>35</v>
      </c>
    </row>
    <row r="37" spans="1:27" ht="15.45" thickBot="1" x14ac:dyDescent="0.6">
      <c r="A37" s="7297"/>
      <c r="B37" s="7300"/>
      <c r="C37" s="7303"/>
      <c r="D37" s="4823" t="s">
        <v>820</v>
      </c>
      <c r="E37" s="4824" cm="1">
        <f t="array" aca="1" ref="E37" ca="1">INDIRECT("'※ B2B 세부데이터'!"&amp;E$1&amp;$AA37, TRUE)</f>
        <v>406531.58333333331</v>
      </c>
      <c r="F37" s="4825" cm="1">
        <f t="array" aca="1" ref="F37" ca="1">INDIRECT("'※ B2B 세부데이터'!"&amp;F$1&amp;$AA37, TRUE)</f>
        <v>378372.25</v>
      </c>
      <c r="G37" s="4826" cm="1">
        <f t="array" aca="1" ref="G37" ca="1">INDIRECT("'※ B2B 세부데이터'!"&amp;G$1&amp;$AA37, TRUE)</f>
        <v>358494</v>
      </c>
      <c r="H37" s="4827" cm="1">
        <f t="array" aca="1" ref="H37" ca="1">INDIRECT("'※ B2B 세부데이터'!"&amp;H$1&amp;$AA37, TRUE)</f>
        <v>354156</v>
      </c>
      <c r="I37" s="4828" cm="1">
        <f t="array" aca="1" ref="I37" ca="1">INDIRECT("'※ B2B 세부데이터'!"&amp;I$1&amp;$AA37, TRUE)</f>
        <v>348871</v>
      </c>
      <c r="J37" s="4828" cm="1">
        <f t="array" aca="1" ref="J37" ca="1">INDIRECT("'※ B2B 세부데이터'!"&amp;J$1&amp;$AA37, TRUE)</f>
        <v>353902</v>
      </c>
      <c r="K37" s="4827" cm="1">
        <f t="array" aca="1" ref="K37" ca="1">INDIRECT("'※ B2B 세부데이터'!"&amp;K$1&amp;$AA37, TRUE)</f>
        <v>355492</v>
      </c>
      <c r="L37" s="4827" cm="1">
        <f t="array" aca="1" ref="L37" ca="1">INDIRECT("'※ B2B 세부데이터'!"&amp;L$1&amp;$AA37, TRUE)</f>
        <v>351132</v>
      </c>
      <c r="M37" s="4827" cm="1">
        <f t="array" aca="1" ref="M37" ca="1">INDIRECT("'※ B2B 세부데이터'!"&amp;M$1&amp;$AA37, TRUE)</f>
        <v>351707</v>
      </c>
      <c r="N37" s="4827" cm="1">
        <f t="array" aca="1" ref="N37" ca="1">INDIRECT("'※ B2B 세부데이터'!"&amp;N$1&amp;$AA37, TRUE)</f>
        <v>350124</v>
      </c>
      <c r="O37" s="4827" cm="1">
        <f t="array" aca="1" ref="O37" ca="1">INDIRECT("'※ B2B 세부데이터'!"&amp;O$1&amp;$AA37, TRUE)</f>
        <v>354929</v>
      </c>
      <c r="P37" s="4827" cm="1">
        <f t="array" aca="1" ref="P37" ca="1">INDIRECT("'※ B2B 세부데이터'!"&amp;P$1&amp;$AA37, TRUE)</f>
        <v>351714</v>
      </c>
      <c r="Q37" s="4827" cm="1">
        <f t="array" aca="1" ref="Q37" ca="1">INDIRECT("'※ B2B 세부데이터'!"&amp;Q$1&amp;$AA37, TRUE)</f>
        <v>351854</v>
      </c>
      <c r="R37" s="4827" cm="1">
        <f t="array" aca="1" ref="R37" ca="1">INDIRECT("'※ B2B 세부데이터'!"&amp;R$1&amp;$AA37, TRUE)</f>
        <v>352183</v>
      </c>
      <c r="S37" s="4829" cm="1">
        <f t="array" aca="1" ref="S37" ca="1">INDIRECT("'※ B2B 세부데이터'!"&amp;S$1&amp;$AA37, TRUE)</f>
        <v>329</v>
      </c>
      <c r="T37" s="4830" cm="1">
        <f t="array" aca="1" ref="T37" ca="1">INDIRECT("'※ B2B 세부데이터'!"&amp;T$1&amp;$AA37, TRUE)</f>
        <v>-4131</v>
      </c>
      <c r="AA37" s="4705">
        <f>ROW('※ B2B 세부데이터'!J36)</f>
        <v>36</v>
      </c>
    </row>
    <row r="38" spans="1:27" x14ac:dyDescent="0.55000000000000004">
      <c r="A38" s="7297"/>
      <c r="B38" s="7300"/>
      <c r="C38" s="7303" t="s">
        <v>821</v>
      </c>
      <c r="D38" s="4831" t="s">
        <v>819</v>
      </c>
      <c r="E38" s="4824" cm="1">
        <f t="array" aca="1" ref="E38" ca="1">INDIRECT("'※ B2B 세부데이터'!"&amp;E$1&amp;$AA38, TRUE)</f>
        <v>195828.25</v>
      </c>
      <c r="F38" s="4825" cm="1">
        <f t="array" aca="1" ref="F38" ca="1">INDIRECT("'※ B2B 세부데이터'!"&amp;F$1&amp;$AA38, TRUE)</f>
        <v>195760.91666666666</v>
      </c>
      <c r="G38" s="4826" cm="1">
        <f t="array" aca="1" ref="G38" ca="1">INDIRECT("'※ B2B 세부데이터'!"&amp;G$1&amp;$AA38, TRUE)</f>
        <v>197571</v>
      </c>
      <c r="H38" s="4827" cm="1">
        <f t="array" aca="1" ref="H38" ca="1">INDIRECT("'※ B2B 세부데이터'!"&amp;H$1&amp;$AA38, TRUE)</f>
        <v>199293</v>
      </c>
      <c r="I38" s="4828" cm="1">
        <f t="array" aca="1" ref="I38" ca="1">INDIRECT("'※ B2B 세부데이터'!"&amp;I$1&amp;$AA38, TRUE)</f>
        <v>200674</v>
      </c>
      <c r="J38" s="4828" cm="1">
        <f t="array" aca="1" ref="J38" ca="1">INDIRECT("'※ B2B 세부데이터'!"&amp;J$1&amp;$AA38, TRUE)</f>
        <v>200378</v>
      </c>
      <c r="K38" s="4827" cm="1">
        <f t="array" aca="1" ref="K38" ca="1">INDIRECT("'※ B2B 세부데이터'!"&amp;K$1&amp;$AA38, TRUE)</f>
        <v>200507</v>
      </c>
      <c r="L38" s="4827" cm="1">
        <f t="array" aca="1" ref="L38" ca="1">INDIRECT("'※ B2B 세부데이터'!"&amp;L$1&amp;$AA38, TRUE)</f>
        <v>203558</v>
      </c>
      <c r="M38" s="4827" cm="1">
        <f t="array" aca="1" ref="M38" ca="1">INDIRECT("'※ B2B 세부데이터'!"&amp;M$1&amp;$AA38, TRUE)</f>
        <v>200019</v>
      </c>
      <c r="N38" s="4827" cm="1">
        <f t="array" aca="1" ref="N38" ca="1">INDIRECT("'※ B2B 세부데이터'!"&amp;N$1&amp;$AA38, TRUE)</f>
        <v>203204</v>
      </c>
      <c r="O38" s="4827" cm="1">
        <f t="array" aca="1" ref="O38" ca="1">INDIRECT("'※ B2B 세부데이터'!"&amp;O$1&amp;$AA38, TRUE)</f>
        <v>201682</v>
      </c>
      <c r="P38" s="4827" cm="1">
        <f t="array" aca="1" ref="P38" ca="1">INDIRECT("'※ B2B 세부데이터'!"&amp;P$1&amp;$AA38, TRUE)</f>
        <v>201375</v>
      </c>
      <c r="Q38" s="4827" cm="1">
        <f t="array" aca="1" ref="Q38" ca="1">INDIRECT("'※ B2B 세부데이터'!"&amp;Q$1&amp;$AA38, TRUE)</f>
        <v>201722</v>
      </c>
      <c r="R38" s="4827" cm="1">
        <f t="array" aca="1" ref="R38" ca="1">INDIRECT("'※ B2B 세부데이터'!"&amp;R$1&amp;$AA38, TRUE)</f>
        <v>200371</v>
      </c>
      <c r="S38" s="4829" cm="1">
        <f t="array" aca="1" ref="S38" ca="1">INDIRECT("'※ B2B 세부데이터'!"&amp;S$1&amp;$AA38, TRUE)</f>
        <v>-1351</v>
      </c>
      <c r="T38" s="4830" cm="1">
        <f t="array" aca="1" ref="T38" ca="1">INDIRECT("'※ B2B 세부데이터'!"&amp;T$1&amp;$AA38, TRUE)</f>
        <v>2857</v>
      </c>
      <c r="AA38" s="4705">
        <f>ROW('※ B2B 세부데이터'!J37)</f>
        <v>37</v>
      </c>
    </row>
    <row r="39" spans="1:27" ht="15.45" thickBot="1" x14ac:dyDescent="0.6">
      <c r="A39" s="7297"/>
      <c r="B39" s="7301"/>
      <c r="C39" s="7304"/>
      <c r="D39" s="4823" t="s">
        <v>820</v>
      </c>
      <c r="E39" s="4832" cm="1">
        <f t="array" aca="1" ref="E39" ca="1">INDIRECT("'※ B2B 세부데이터'!"&amp;E$1&amp;$AA39, TRUE)</f>
        <v>351197.66666666669</v>
      </c>
      <c r="F39" s="4833" cm="1">
        <f t="array" aca="1" ref="F39" ca="1">INDIRECT("'※ B2B 세부데이터'!"&amp;F$1&amp;$AA39, TRUE)</f>
        <v>333136.25</v>
      </c>
      <c r="G39" s="4834" cm="1">
        <f t="array" aca="1" ref="G39" ca="1">INDIRECT("'※ B2B 세부데이터'!"&amp;G$1&amp;$AA39, TRUE)</f>
        <v>314324</v>
      </c>
      <c r="H39" s="4835" cm="1">
        <f t="array" aca="1" ref="H39" ca="1">INDIRECT("'※ B2B 세부데이터'!"&amp;H$1&amp;$AA39, TRUE)</f>
        <v>311050</v>
      </c>
      <c r="I39" s="4836" cm="1">
        <f t="array" aca="1" ref="I39" ca="1">INDIRECT("'※ B2B 세부데이터'!"&amp;I$1&amp;$AA39, TRUE)</f>
        <v>310010</v>
      </c>
      <c r="J39" s="4836" cm="1">
        <f t="array" aca="1" ref="J39" ca="1">INDIRECT("'※ B2B 세부데이터'!"&amp;J$1&amp;$AA39, TRUE)</f>
        <v>314302</v>
      </c>
      <c r="K39" s="4835" cm="1">
        <f t="array" aca="1" ref="K39" ca="1">INDIRECT("'※ B2B 세부데이터'!"&amp;K$1&amp;$AA39, TRUE)</f>
        <v>316758</v>
      </c>
      <c r="L39" s="4835" cm="1">
        <f t="array" aca="1" ref="L39" ca="1">INDIRECT("'※ B2B 세부데이터'!"&amp;L$1&amp;$AA39, TRUE)</f>
        <v>313997</v>
      </c>
      <c r="M39" s="4835" cm="1">
        <f t="array" aca="1" ref="M39" ca="1">INDIRECT("'※ B2B 세부데이터'!"&amp;M$1&amp;$AA39, TRUE)</f>
        <v>317108</v>
      </c>
      <c r="N39" s="4835" cm="1">
        <f t="array" aca="1" ref="N39" ca="1">INDIRECT("'※ B2B 세부데이터'!"&amp;N$1&amp;$AA39, TRUE)</f>
        <v>313948</v>
      </c>
      <c r="O39" s="4835" cm="1">
        <f t="array" aca="1" ref="O39" ca="1">INDIRECT("'※ B2B 세부데이터'!"&amp;O$1&amp;$AA39, TRUE)</f>
        <v>314437</v>
      </c>
      <c r="P39" s="4835" cm="1">
        <f t="array" aca="1" ref="P39" ca="1">INDIRECT("'※ B2B 세부데이터'!"&amp;P$1&amp;$AA39, TRUE)</f>
        <v>314827</v>
      </c>
      <c r="Q39" s="4835" cm="1">
        <f t="array" aca="1" ref="Q39" ca="1">INDIRECT("'※ B2B 세부데이터'!"&amp;Q$1&amp;$AA39, TRUE)</f>
        <v>311362</v>
      </c>
      <c r="R39" s="4835" cm="1">
        <f t="array" aca="1" ref="R39" ca="1">INDIRECT("'※ B2B 세부데이터'!"&amp;R$1&amp;$AA39, TRUE)</f>
        <v>341625</v>
      </c>
      <c r="S39" s="4837" cm="1">
        <f t="array" aca="1" ref="S39" ca="1">INDIRECT("'※ B2B 세부데이터'!"&amp;S$1&amp;$AA39, TRUE)</f>
        <v>30263</v>
      </c>
      <c r="T39" s="4838" cm="1">
        <f t="array" aca="1" ref="T39" ca="1">INDIRECT("'※ B2B 세부데이터'!"&amp;T$1&amp;$AA39, TRUE)</f>
        <v>26197</v>
      </c>
      <c r="AA39" s="4705">
        <f>ROW('※ B2B 세부데이터'!J38)</f>
        <v>38</v>
      </c>
    </row>
    <row r="40" spans="1:27" x14ac:dyDescent="0.55000000000000004">
      <c r="A40" s="7297"/>
      <c r="B40" s="7305" t="s">
        <v>815</v>
      </c>
      <c r="C40" s="7307" t="s">
        <v>822</v>
      </c>
      <c r="D40" s="4839" t="s">
        <v>102</v>
      </c>
      <c r="E40" s="4840" cm="1">
        <f t="array" aca="1" ref="E40" ca="1">INDIRECT("'※ B2B 세부데이터'!"&amp;E$1&amp;$AA40, TRUE)</f>
        <v>66475.333333333328</v>
      </c>
      <c r="F40" s="4841" cm="1">
        <f t="array" aca="1" ref="F40" ca="1">INDIRECT("'※ B2B 세부데이터'!"&amp;F$1&amp;$AA40, TRUE)</f>
        <v>67995.5</v>
      </c>
      <c r="G40" s="4842" cm="1">
        <f t="array" aca="1" ref="G40" ca="1">INDIRECT("'※ B2B 세부데이터'!"&amp;G$1&amp;$AA40, TRUE)</f>
        <v>66118</v>
      </c>
      <c r="H40" s="4807" cm="1">
        <f t="array" aca="1" ref="H40" ca="1">INDIRECT("'※ B2B 세부데이터'!"&amp;H$1&amp;$AA40, TRUE)</f>
        <v>68614</v>
      </c>
      <c r="I40" s="4808" cm="1">
        <f t="array" aca="1" ref="I40" ca="1">INDIRECT("'※ B2B 세부데이터'!"&amp;I$1&amp;$AA40, TRUE)</f>
        <v>69318</v>
      </c>
      <c r="J40" s="4808" cm="1">
        <f t="array" aca="1" ref="J40" ca="1">INDIRECT("'※ B2B 세부데이터'!"&amp;J$1&amp;$AA40, TRUE)</f>
        <v>69735</v>
      </c>
      <c r="K40" s="4807" cm="1">
        <f t="array" aca="1" ref="K40" ca="1">INDIRECT("'※ B2B 세부데이터'!"&amp;K$1&amp;$AA40, TRUE)</f>
        <v>70460</v>
      </c>
      <c r="L40" s="4807" cm="1">
        <f t="array" aca="1" ref="L40" ca="1">INDIRECT("'※ B2B 세부데이터'!"&amp;L$1&amp;$AA40, TRUE)</f>
        <v>74477</v>
      </c>
      <c r="M40" s="4807" cm="1">
        <f t="array" aca="1" ref="M40" ca="1">INDIRECT("'※ B2B 세부데이터'!"&amp;M$1&amp;$AA40, TRUE)</f>
        <v>74324</v>
      </c>
      <c r="N40" s="4807" cm="1">
        <f t="array" aca="1" ref="N40" ca="1">INDIRECT("'※ B2B 세부데이터'!"&amp;N$1&amp;$AA40, TRUE)</f>
        <v>73533</v>
      </c>
      <c r="O40" s="4807" cm="1">
        <f t="array" aca="1" ref="O40" ca="1">INDIRECT("'※ B2B 세부데이터'!"&amp;O$1&amp;$AA40, TRUE)</f>
        <v>73726</v>
      </c>
      <c r="P40" s="4807" cm="1">
        <f t="array" aca="1" ref="P40" ca="1">INDIRECT("'※ B2B 세부데이터'!"&amp;P$1&amp;$AA40, TRUE)</f>
        <v>72553</v>
      </c>
      <c r="Q40" s="4807" cm="1">
        <f t="array" aca="1" ref="Q40" ca="1">INDIRECT("'※ B2B 세부데이터'!"&amp;Q$1&amp;$AA40, TRUE)</f>
        <v>73743</v>
      </c>
      <c r="R40" s="4807" cm="1">
        <f t="array" aca="1" ref="R40" ca="1">INDIRECT("'※ B2B 세부데이터'!"&amp;R$1&amp;$AA40, TRUE)</f>
        <v>72195</v>
      </c>
      <c r="S40" s="4771" cm="1">
        <f t="array" aca="1" ref="S40" ca="1">INDIRECT("'※ B2B 세부데이터'!"&amp;S$1&amp;$AA40, TRUE)</f>
        <v>-1548</v>
      </c>
      <c r="T40" s="4843" cm="1">
        <f t="array" aca="1" ref="T40" ca="1">INDIRECT("'※ B2B 세부데이터'!"&amp;T$1&amp;$AA40, TRUE)</f>
        <v>5963</v>
      </c>
      <c r="AA40" s="4705">
        <f>ROW('※ B2B 세부데이터'!J39)</f>
        <v>39</v>
      </c>
    </row>
    <row r="41" spans="1:27" x14ac:dyDescent="0.55000000000000004">
      <c r="A41" s="7297"/>
      <c r="B41" s="7305"/>
      <c r="C41" s="7307"/>
      <c r="D41" s="4839" t="s">
        <v>53</v>
      </c>
      <c r="E41" s="4840" cm="1">
        <f t="array" aca="1" ref="E41" ca="1">INDIRECT("'※ B2B 세부데이터'!"&amp;E$1&amp;$AA41, TRUE)</f>
        <v>320196.33333333331</v>
      </c>
      <c r="F41" s="4841" cm="1">
        <f t="array" aca="1" ref="F41" ca="1">INDIRECT("'※ B2B 세부데이터'!"&amp;F$1&amp;$AA41, TRUE)</f>
        <v>314855.66666666669</v>
      </c>
      <c r="G41" s="4842" cm="1">
        <f t="array" aca="1" ref="G41" ca="1">INDIRECT("'※ B2B 세부데이터'!"&amp;G$1&amp;$AA41, TRUE)</f>
        <v>309485</v>
      </c>
      <c r="H41" s="4807" cm="1">
        <f t="array" aca="1" ref="H41" ca="1">INDIRECT("'※ B2B 세부데이터'!"&amp;H$1&amp;$AA41, TRUE)</f>
        <v>306858</v>
      </c>
      <c r="I41" s="4808" cm="1">
        <f t="array" aca="1" ref="I41" ca="1">INDIRECT("'※ B2B 세부데이터'!"&amp;I$1&amp;$AA41, TRUE)</f>
        <v>302111</v>
      </c>
      <c r="J41" s="4808" cm="1">
        <f t="array" aca="1" ref="J41" ca="1">INDIRECT("'※ B2B 세부데이터'!"&amp;J$1&amp;$AA41, TRUE)</f>
        <v>307843</v>
      </c>
      <c r="K41" s="4807" cm="1">
        <f t="array" aca="1" ref="K41" ca="1">INDIRECT("'※ B2B 세부데이터'!"&amp;K$1&amp;$AA41, TRUE)</f>
        <v>310848</v>
      </c>
      <c r="L41" s="4807" cm="1">
        <f t="array" aca="1" ref="L41" ca="1">INDIRECT("'※ B2B 세부데이터'!"&amp;L$1&amp;$AA41, TRUE)</f>
        <v>307172</v>
      </c>
      <c r="M41" s="4807" cm="1">
        <f t="array" aca="1" ref="M41" ca="1">INDIRECT("'※ B2B 세부데이터'!"&amp;M$1&amp;$AA41, TRUE)</f>
        <v>308139</v>
      </c>
      <c r="N41" s="4807" cm="1">
        <f t="array" aca="1" ref="N41" ca="1">INDIRECT("'※ B2B 세부데이터'!"&amp;N$1&amp;$AA41, TRUE)</f>
        <v>309299</v>
      </c>
      <c r="O41" s="4807" cm="1">
        <f t="array" aca="1" ref="O41" ca="1">INDIRECT("'※ B2B 세부데이터'!"&amp;O$1&amp;$AA41, TRUE)</f>
        <v>314651</v>
      </c>
      <c r="P41" s="4807" cm="1">
        <f t="array" aca="1" ref="P41" ca="1">INDIRECT("'※ B2B 세부데이터'!"&amp;P$1&amp;$AA41, TRUE)</f>
        <v>311837</v>
      </c>
      <c r="Q41" s="4807" cm="1">
        <f t="array" aca="1" ref="Q41" ca="1">INDIRECT("'※ B2B 세부데이터'!"&amp;Q$1&amp;$AA41, TRUE)</f>
        <v>312430</v>
      </c>
      <c r="R41" s="4807" cm="1">
        <f t="array" aca="1" ref="R41" ca="1">INDIRECT("'※ B2B 세부데이터'!"&amp;R$1&amp;$AA41, TRUE)</f>
        <v>313281</v>
      </c>
      <c r="S41" s="4771" cm="1">
        <f t="array" aca="1" ref="S41" ca="1">INDIRECT("'※ B2B 세부데이터'!"&amp;S$1&amp;$AA41, TRUE)</f>
        <v>851</v>
      </c>
      <c r="T41" s="4843" cm="1">
        <f t="array" aca="1" ref="T41" ca="1">INDIRECT("'※ B2B 세부데이터'!"&amp;T$1&amp;$AA41, TRUE)</f>
        <v>5417</v>
      </c>
      <c r="AA41" s="4705">
        <f>ROW('※ B2B 세부데이터'!J40)</f>
        <v>40</v>
      </c>
    </row>
    <row r="42" spans="1:27" x14ac:dyDescent="0.55000000000000004">
      <c r="A42" s="7297"/>
      <c r="B42" s="7305"/>
      <c r="C42" s="7307" t="s">
        <v>821</v>
      </c>
      <c r="D42" s="4839" t="s">
        <v>819</v>
      </c>
      <c r="E42" s="4840" cm="1">
        <f t="array" aca="1" ref="E42" ca="1">INDIRECT("'※ B2B 세부데이터'!"&amp;E$1&amp;$AA42, TRUE)</f>
        <v>63034.25</v>
      </c>
      <c r="F42" s="4841" cm="1">
        <f t="array" aca="1" ref="F42" ca="1">INDIRECT("'※ B2B 세부데이터'!"&amp;F$1&amp;$AA42, TRUE)</f>
        <v>57512.833333333336</v>
      </c>
      <c r="G42" s="4842" cm="1">
        <f t="array" aca="1" ref="G42" ca="1">INDIRECT("'※ B2B 세부데이터'!"&amp;G$1&amp;$AA42, TRUE)</f>
        <v>60871</v>
      </c>
      <c r="H42" s="4807" cm="1">
        <f t="array" aca="1" ref="H42" ca="1">INDIRECT("'※ B2B 세부데이터'!"&amp;H$1&amp;$AA42, TRUE)</f>
        <v>63516</v>
      </c>
      <c r="I42" s="4808" cm="1">
        <f t="array" aca="1" ref="I42" ca="1">INDIRECT("'※ B2B 세부데이터'!"&amp;I$1&amp;$AA42, TRUE)</f>
        <v>64308</v>
      </c>
      <c r="J42" s="4808" cm="1">
        <f t="array" aca="1" ref="J42" ca="1">INDIRECT("'※ B2B 세부데이터'!"&amp;J$1&amp;$AA42, TRUE)</f>
        <v>64757</v>
      </c>
      <c r="K42" s="4807" cm="1">
        <f t="array" aca="1" ref="K42" ca="1">INDIRECT("'※ B2B 세부데이터'!"&amp;K$1&amp;$AA42, TRUE)</f>
        <v>65371</v>
      </c>
      <c r="L42" s="4807" cm="1">
        <f t="array" aca="1" ref="L42" ca="1">INDIRECT("'※ B2B 세부데이터'!"&amp;L$1&amp;$AA42, TRUE)</f>
        <v>69044</v>
      </c>
      <c r="M42" s="4807" cm="1">
        <f t="array" aca="1" ref="M42" ca="1">INDIRECT("'※ B2B 세부데이터'!"&amp;M$1&amp;$AA42, TRUE)</f>
        <v>69373</v>
      </c>
      <c r="N42" s="4807" cm="1">
        <f t="array" aca="1" ref="N42" ca="1">INDIRECT("'※ B2B 세부데이터'!"&amp;N$1&amp;$AA42, TRUE)</f>
        <v>69532</v>
      </c>
      <c r="O42" s="4807" cm="1">
        <f t="array" aca="1" ref="O42" ca="1">INDIRECT("'※ B2B 세부데이터'!"&amp;O$1&amp;$AA42, TRUE)</f>
        <v>69253</v>
      </c>
      <c r="P42" s="4807" cm="1">
        <f t="array" aca="1" ref="P42" ca="1">INDIRECT("'※ B2B 세부데이터'!"&amp;P$1&amp;$AA42, TRUE)</f>
        <v>69095</v>
      </c>
      <c r="Q42" s="4807" cm="1">
        <f t="array" aca="1" ref="Q42" ca="1">INDIRECT("'※ B2B 세부데이터'!"&amp;Q$1&amp;$AA42, TRUE)</f>
        <v>70512</v>
      </c>
      <c r="R42" s="4807" cm="1">
        <f t="array" aca="1" ref="R42" ca="1">INDIRECT("'※ B2B 세부데이터'!"&amp;R$1&amp;$AA42, TRUE)</f>
        <v>68941</v>
      </c>
      <c r="S42" s="4771" cm="1">
        <f t="array" aca="1" ref="S42" ca="1">INDIRECT("'※ B2B 세부데이터'!"&amp;S$1&amp;$AA42, TRUE)</f>
        <v>-1571</v>
      </c>
      <c r="T42" s="4843" cm="1">
        <f t="array" aca="1" ref="T42" ca="1">INDIRECT("'※ B2B 세부데이터'!"&amp;T$1&amp;$AA42, TRUE)</f>
        <v>8439</v>
      </c>
      <c r="AA42" s="4705">
        <f>ROW('※ B2B 세부데이터'!J41)</f>
        <v>41</v>
      </c>
    </row>
    <row r="43" spans="1:27" ht="15.45" thickBot="1" x14ac:dyDescent="0.6">
      <c r="A43" s="7297"/>
      <c r="B43" s="7306"/>
      <c r="C43" s="7308"/>
      <c r="D43" s="4844" t="s">
        <v>820</v>
      </c>
      <c r="E43" s="4845" cm="1">
        <f t="array" aca="1" ref="E43" ca="1">INDIRECT("'※ B2B 세부데이터'!"&amp;E$1&amp;$AA43, TRUE)</f>
        <v>278581</v>
      </c>
      <c r="F43" s="4846" cm="1">
        <f t="array" aca="1" ref="F43" ca="1">INDIRECT("'※ B2B 세부데이터'!"&amp;F$1&amp;$AA43, TRUE)</f>
        <v>278863.5</v>
      </c>
      <c r="G43" s="4847" cm="1">
        <f t="array" aca="1" ref="G43" ca="1">INDIRECT("'※ B2B 세부데이터'!"&amp;G$1&amp;$AA43, TRUE)</f>
        <v>269319</v>
      </c>
      <c r="H43" s="4848" cm="1">
        <f t="array" aca="1" ref="H43" ca="1">INDIRECT("'※ B2B 세부데이터'!"&amp;H$1&amp;$AA43, TRUE)</f>
        <v>266647</v>
      </c>
      <c r="I43" s="4849" cm="1">
        <f t="array" aca="1" ref="I43" ca="1">INDIRECT("'※ B2B 세부데이터'!"&amp;I$1&amp;$AA43, TRUE)</f>
        <v>265902</v>
      </c>
      <c r="J43" s="4849" cm="1">
        <f t="array" aca="1" ref="J43" ca="1">INDIRECT("'※ B2B 세부데이터'!"&amp;J$1&amp;$AA43, TRUE)</f>
        <v>270627</v>
      </c>
      <c r="K43" s="4848" cm="1">
        <f t="array" aca="1" ref="K43" ca="1">INDIRECT("'※ B2B 세부데이터'!"&amp;K$1&amp;$AA43, TRUE)</f>
        <v>275369</v>
      </c>
      <c r="L43" s="4848" cm="1">
        <f t="array" aca="1" ref="L43" ca="1">INDIRECT("'※ B2B 세부데이터'!"&amp;L$1&amp;$AA43, TRUE)</f>
        <v>273476</v>
      </c>
      <c r="M43" s="4848" cm="1">
        <f t="array" aca="1" ref="M43" ca="1">INDIRECT("'※ B2B 세부데이터'!"&amp;M$1&amp;$AA43, TRUE)</f>
        <v>277421</v>
      </c>
      <c r="N43" s="4848" cm="1">
        <f t="array" aca="1" ref="N43" ca="1">INDIRECT("'※ B2B 세부데이터'!"&amp;N$1&amp;$AA43, TRUE)</f>
        <v>277121</v>
      </c>
      <c r="O43" s="4848" cm="1">
        <f t="array" aca="1" ref="O43" ca="1">INDIRECT("'※ B2B 세부데이터'!"&amp;O$1&amp;$AA43, TRUE)</f>
        <v>278745</v>
      </c>
      <c r="P43" s="4848" cm="1">
        <f t="array" aca="1" ref="P43" ca="1">INDIRECT("'※ B2B 세부데이터'!"&amp;P$1&amp;$AA43, TRUE)</f>
        <v>279157</v>
      </c>
      <c r="Q43" s="4848" cm="1">
        <f t="array" aca="1" ref="Q43" ca="1">INDIRECT("'※ B2B 세부데이터'!"&amp;Q$1&amp;$AA43, TRUE)</f>
        <v>277187</v>
      </c>
      <c r="R43" s="4848" cm="1">
        <f t="array" aca="1" ref="R43" ca="1">INDIRECT("'※ B2B 세부데이터'!"&amp;R$1&amp;$AA43, TRUE)</f>
        <v>308002</v>
      </c>
      <c r="S43" s="4850" cm="1">
        <f t="array" aca="1" ref="S43" ca="1">INDIRECT("'※ B2B 세부데이터'!"&amp;S$1&amp;$AA43, TRUE)</f>
        <v>30815</v>
      </c>
      <c r="T43" s="4851" cm="1">
        <f t="array" aca="1" ref="T43" ca="1">INDIRECT("'※ B2B 세부데이터'!"&amp;T$1&amp;$AA43, TRUE)</f>
        <v>37999</v>
      </c>
      <c r="AA43" s="4705">
        <f>ROW('※ B2B 세부데이터'!J42)</f>
        <v>42</v>
      </c>
    </row>
    <row r="44" spans="1:27" x14ac:dyDescent="0.55000000000000004">
      <c r="A44" s="7297"/>
      <c r="B44" s="7305" t="s">
        <v>816</v>
      </c>
      <c r="C44" s="7307" t="s">
        <v>818</v>
      </c>
      <c r="D44" s="4839" t="s">
        <v>819</v>
      </c>
      <c r="E44" s="4840" cm="1">
        <f t="array" aca="1" ref="E44" ca="1">INDIRECT("'※ B2B 세부데이터'!"&amp;E$1&amp;$AA44, TRUE)</f>
        <v>137956.25</v>
      </c>
      <c r="F44" s="4841" cm="1">
        <f t="array" aca="1" ref="F44" ca="1">INDIRECT("'※ B2B 세부데이터'!"&amp;F$1&amp;$AA44, TRUE)</f>
        <v>141301.41666666666</v>
      </c>
      <c r="G44" s="4842" cm="1">
        <f t="array" aca="1" ref="G44" ca="1">INDIRECT("'※ B2B 세부데이터'!"&amp;G$1&amp;$AA44, TRUE)</f>
        <v>139585</v>
      </c>
      <c r="H44" s="4807" cm="1">
        <f t="array" aca="1" ref="H44" ca="1">INDIRECT("'※ B2B 세부데이터'!"&amp;H$1&amp;$AA44, TRUE)</f>
        <v>138848</v>
      </c>
      <c r="I44" s="4808" cm="1">
        <f t="array" aca="1" ref="I44" ca="1">INDIRECT("'※ B2B 세부데이터'!"&amp;I$1&amp;$AA44, TRUE)</f>
        <v>139540</v>
      </c>
      <c r="J44" s="4808" cm="1">
        <f t="array" aca="1" ref="J44" ca="1">INDIRECT("'※ B2B 세부데이터'!"&amp;J$1&amp;$AA44, TRUE)</f>
        <v>139098</v>
      </c>
      <c r="K44" s="4807" cm="1">
        <f t="array" aca="1" ref="K44" ca="1">INDIRECT("'※ B2B 세부데이터'!"&amp;K$1&amp;$AA44, TRUE)</f>
        <v>138736</v>
      </c>
      <c r="L44" s="4807" cm="1">
        <f t="array" aca="1" ref="L44" ca="1">INDIRECT("'※ B2B 세부데이터'!"&amp;L$1&amp;$AA44, TRUE)</f>
        <v>138058</v>
      </c>
      <c r="M44" s="4807" cm="1">
        <f t="array" aca="1" ref="M44" ca="1">INDIRECT("'※ B2B 세부데이터'!"&amp;M$1&amp;$AA44, TRUE)</f>
        <v>139485</v>
      </c>
      <c r="N44" s="4807" cm="1">
        <f t="array" aca="1" ref="N44" ca="1">INDIRECT("'※ B2B 세부데이터'!"&amp;N$1&amp;$AA44, TRUE)</f>
        <v>137248</v>
      </c>
      <c r="O44" s="4807" cm="1">
        <f t="array" aca="1" ref="O44" ca="1">INDIRECT("'※ B2B 세부데이터'!"&amp;O$1&amp;$AA44, TRUE)</f>
        <v>136362</v>
      </c>
      <c r="P44" s="4807" cm="1">
        <f t="array" aca="1" ref="P44" ca="1">INDIRECT("'※ B2B 세부데이터'!"&amp;P$1&amp;$AA44, TRUE)</f>
        <v>135555</v>
      </c>
      <c r="Q44" s="4807" cm="1">
        <f t="array" aca="1" ref="Q44" ca="1">INDIRECT("'※ B2B 세부데이터'!"&amp;Q$1&amp;$AA44, TRUE)</f>
        <v>134767</v>
      </c>
      <c r="R44" s="4807" cm="1">
        <f t="array" aca="1" ref="R44" ca="1">INDIRECT("'※ B2B 세부데이터'!"&amp;R$1&amp;$AA44, TRUE)</f>
        <v>135119</v>
      </c>
      <c r="S44" s="4771" cm="1">
        <f t="array" aca="1" ref="S44" ca="1">INDIRECT("'※ B2B 세부데이터'!"&amp;S$1&amp;$AA44, TRUE)</f>
        <v>352</v>
      </c>
      <c r="T44" s="4843" cm="1">
        <f t="array" aca="1" ref="T44" ca="1">INDIRECT("'※ B2B 세부데이터'!"&amp;T$1&amp;$AA44, TRUE)</f>
        <v>-4830</v>
      </c>
      <c r="AA44" s="4705">
        <f>ROW('※ B2B 세부데이터'!J43)</f>
        <v>43</v>
      </c>
    </row>
    <row r="45" spans="1:27" x14ac:dyDescent="0.55000000000000004">
      <c r="A45" s="7297"/>
      <c r="B45" s="7309"/>
      <c r="C45" s="7311"/>
      <c r="D45" s="4852" t="s">
        <v>820</v>
      </c>
      <c r="E45" s="4853" cm="1">
        <f t="array" aca="1" ref="E45" ca="1">INDIRECT("'※ B2B 세부데이터'!"&amp;E$1&amp;$AA45, TRUE)</f>
        <v>86335.25</v>
      </c>
      <c r="F45" s="4854" cm="1">
        <f t="array" aca="1" ref="F45" ca="1">INDIRECT("'※ B2B 세부데이터'!"&amp;F$1&amp;$AA45, TRUE)</f>
        <v>63516.583333333336</v>
      </c>
      <c r="G45" s="4855" cm="1">
        <f t="array" aca="1" ref="G45" ca="1">INDIRECT("'※ B2B 세부데이터'!"&amp;G$1&amp;$AA45, TRUE)</f>
        <v>49009</v>
      </c>
      <c r="H45" s="4856" cm="1">
        <f t="array" aca="1" ref="H45" ca="1">INDIRECT("'※ B2B 세부데이터'!"&amp;H$1&amp;$AA45, TRUE)</f>
        <v>47298</v>
      </c>
      <c r="I45" s="4857" cm="1">
        <f t="array" aca="1" ref="I45" ca="1">INDIRECT("'※ B2B 세부데이터'!"&amp;I$1&amp;$AA45, TRUE)</f>
        <v>46760</v>
      </c>
      <c r="J45" s="4857" cm="1">
        <f t="array" aca="1" ref="J45" ca="1">INDIRECT("'※ B2B 세부데이터'!"&amp;J$1&amp;$AA45, TRUE)</f>
        <v>46059</v>
      </c>
      <c r="K45" s="4856" cm="1">
        <f t="array" aca="1" ref="K45" ca="1">INDIRECT("'※ B2B 세부데이터'!"&amp;K$1&amp;$AA45, TRUE)</f>
        <v>44644</v>
      </c>
      <c r="L45" s="4856" cm="1">
        <f t="array" aca="1" ref="L45" ca="1">INDIRECT("'※ B2B 세부데이터'!"&amp;L$1&amp;$AA45, TRUE)</f>
        <v>43960</v>
      </c>
      <c r="M45" s="4856" cm="1">
        <f t="array" aca="1" ref="M45" ca="1">INDIRECT("'※ B2B 세부데이터'!"&amp;M$1&amp;$AA45, TRUE)</f>
        <v>43568</v>
      </c>
      <c r="N45" s="4856" cm="1">
        <f t="array" aca="1" ref="N45" ca="1">INDIRECT("'※ B2B 세부데이터'!"&amp;N$1&amp;$AA45, TRUE)</f>
        <v>40825</v>
      </c>
      <c r="O45" s="4856" cm="1">
        <f t="array" aca="1" ref="O45" ca="1">INDIRECT("'※ B2B 세부데이터'!"&amp;O$1&amp;$AA45, TRUE)</f>
        <v>40278</v>
      </c>
      <c r="P45" s="4856" cm="1">
        <f t="array" aca="1" ref="P45" ca="1">INDIRECT("'※ B2B 세부데이터'!"&amp;P$1&amp;$AA45, TRUE)</f>
        <v>39877</v>
      </c>
      <c r="Q45" s="4856" cm="1">
        <f t="array" aca="1" ref="Q45" ca="1">INDIRECT("'※ B2B 세부데이터'!"&amp;Q$1&amp;$AA45, TRUE)</f>
        <v>39424</v>
      </c>
      <c r="R45" s="4856" cm="1">
        <f t="array" aca="1" ref="R45" ca="1">INDIRECT("'※ B2B 세부데이터'!"&amp;R$1&amp;$AA45, TRUE)</f>
        <v>38902</v>
      </c>
      <c r="S45" s="4858" cm="1">
        <f t="array" aca="1" ref="S45" ca="1">INDIRECT("'※ B2B 세부데이터'!"&amp;S$1&amp;$AA45, TRUE)</f>
        <v>-522</v>
      </c>
      <c r="T45" s="4859" cm="1">
        <f t="array" aca="1" ref="T45" ca="1">INDIRECT("'※ B2B 세부데이터'!"&amp;T$1&amp;$AA45, TRUE)</f>
        <v>-9548</v>
      </c>
      <c r="U45" s="3310"/>
      <c r="V45" s="3310"/>
      <c r="W45" s="3310"/>
      <c r="X45" s="3310"/>
      <c r="Y45" s="3310"/>
      <c r="AA45" s="4705">
        <f>ROW('※ B2B 세부데이터'!J44)</f>
        <v>44</v>
      </c>
    </row>
    <row r="46" spans="1:27" x14ac:dyDescent="0.55000000000000004">
      <c r="A46" s="7297"/>
      <c r="B46" s="7309"/>
      <c r="C46" s="7311" t="s">
        <v>821</v>
      </c>
      <c r="D46" s="4852" t="s">
        <v>819</v>
      </c>
      <c r="E46" s="4853" cm="1">
        <f t="array" aca="1" ref="E46" ca="1">INDIRECT("'※ B2B 세부데이터'!"&amp;E$1&amp;$AA46, TRUE)</f>
        <v>132794</v>
      </c>
      <c r="F46" s="4854" cm="1">
        <f t="array" aca="1" ref="F46" ca="1">INDIRECT("'※ B2B 세부데이터'!"&amp;F$1&amp;$AA46, TRUE)</f>
        <v>138248.08333333334</v>
      </c>
      <c r="G46" s="4855" cm="1">
        <f t="array" aca="1" ref="G46" ca="1">INDIRECT("'※ B2B 세부데이터'!"&amp;G$1&amp;$AA46, TRUE)</f>
        <v>136700</v>
      </c>
      <c r="H46" s="4856" cm="1">
        <f t="array" aca="1" ref="H46" ca="1">INDIRECT("'※ B2B 세부데이터'!"&amp;H$1&amp;$AA46, TRUE)</f>
        <v>135777</v>
      </c>
      <c r="I46" s="4857" cm="1">
        <f t="array" aca="1" ref="I46" ca="1">INDIRECT("'※ B2B 세부데이터'!"&amp;I$1&amp;$AA46, TRUE)</f>
        <v>136366</v>
      </c>
      <c r="J46" s="4857" cm="1">
        <f t="array" aca="1" ref="J46" ca="1">INDIRECT("'※ B2B 세부데이터'!"&amp;J$1&amp;$AA46, TRUE)</f>
        <v>135621</v>
      </c>
      <c r="K46" s="4856" cm="1">
        <f t="array" aca="1" ref="K46" ca="1">INDIRECT("'※ B2B 세부데이터'!"&amp;K$1&amp;$AA46, TRUE)</f>
        <v>135136</v>
      </c>
      <c r="L46" s="4856" cm="1">
        <f t="array" aca="1" ref="L46" ca="1">INDIRECT("'※ B2B 세부데이터'!"&amp;L$1&amp;$AA46, TRUE)</f>
        <v>134514</v>
      </c>
      <c r="M46" s="4856" cm="1">
        <f t="array" aca="1" ref="M46" ca="1">INDIRECT("'※ B2B 세부데이터'!"&amp;M$1&amp;$AA46, TRUE)</f>
        <v>130646</v>
      </c>
      <c r="N46" s="4856" cm="1">
        <f t="array" aca="1" ref="N46" ca="1">INDIRECT("'※ B2B 세부데이터'!"&amp;N$1&amp;$AA46, TRUE)</f>
        <v>133672</v>
      </c>
      <c r="O46" s="4856" cm="1">
        <f t="array" aca="1" ref="O46" ca="1">INDIRECT("'※ B2B 세부데이터'!"&amp;O$1&amp;$AA46, TRUE)</f>
        <v>132429</v>
      </c>
      <c r="P46" s="4856" cm="1">
        <f t="array" aca="1" ref="P46" ca="1">INDIRECT("'※ B2B 세부데이터'!"&amp;P$1&amp;$AA46, TRUE)</f>
        <v>132280</v>
      </c>
      <c r="Q46" s="4856" cm="1">
        <f t="array" aca="1" ref="Q46" ca="1">INDIRECT("'※ B2B 세부데이터'!"&amp;Q$1&amp;$AA46, TRUE)</f>
        <v>131210</v>
      </c>
      <c r="R46" s="4856" cm="1">
        <f t="array" aca="1" ref="R46" ca="1">INDIRECT("'※ B2B 세부데이터'!"&amp;R$1&amp;$AA46, TRUE)</f>
        <v>131430</v>
      </c>
      <c r="S46" s="4858" cm="1">
        <f t="array" aca="1" ref="S46" ca="1">INDIRECT("'※ B2B 세부데이터'!"&amp;S$1&amp;$AA46, TRUE)</f>
        <v>220</v>
      </c>
      <c r="T46" s="4859" cm="1">
        <f t="array" aca="1" ref="T46" ca="1">INDIRECT("'※ B2B 세부데이터'!"&amp;T$1&amp;$AA46, TRUE)</f>
        <v>-5582</v>
      </c>
      <c r="U46" s="3310"/>
      <c r="V46" s="3310"/>
      <c r="W46" s="3310"/>
      <c r="X46" s="3310"/>
      <c r="Y46" s="3310"/>
      <c r="AA46" s="4705">
        <f>ROW('※ B2B 세부데이터'!J45)</f>
        <v>45</v>
      </c>
    </row>
    <row r="47" spans="1:27" ht="15.45" thickBot="1" x14ac:dyDescent="0.6">
      <c r="A47" s="7298"/>
      <c r="B47" s="7310"/>
      <c r="C47" s="7312"/>
      <c r="D47" s="4860" t="s">
        <v>820</v>
      </c>
      <c r="E47" s="4861" cm="1">
        <f t="array" aca="1" ref="E47" ca="1">INDIRECT("'※ B2B 세부데이터'!"&amp;E$1&amp;$AA47, TRUE)</f>
        <v>72616.666666666672</v>
      </c>
      <c r="F47" s="4862" cm="1">
        <f t="array" aca="1" ref="F47" ca="1">INDIRECT("'※ B2B 세부데이터'!"&amp;F$1&amp;$AA47, TRUE)</f>
        <v>54272.75</v>
      </c>
      <c r="G47" s="4863" cm="1">
        <f t="array" aca="1" ref="G47" ca="1">INDIRECT("'※ B2B 세부데이터'!"&amp;G$1&amp;$AA47, TRUE)</f>
        <v>45005</v>
      </c>
      <c r="H47" s="4864" cm="1">
        <f t="array" aca="1" ref="H47" ca="1">INDIRECT("'※ B2B 세부데이터'!"&amp;H$1&amp;$AA47, TRUE)</f>
        <v>44403</v>
      </c>
      <c r="I47" s="4864" cm="1">
        <f t="array" aca="1" ref="I47" ca="1">INDIRECT("'※ B2B 세부데이터'!"&amp;I$1&amp;$AA47, TRUE)</f>
        <v>44108</v>
      </c>
      <c r="J47" s="4864" cm="1">
        <f t="array" aca="1" ref="J47" ca="1">INDIRECT("'※ B2B 세부데이터'!"&amp;J$1&amp;$AA47, TRUE)</f>
        <v>43675</v>
      </c>
      <c r="K47" s="4865" cm="1">
        <f t="array" aca="1" ref="K47" ca="1">INDIRECT("'※ B2B 세부데이터'!"&amp;K$1&amp;$AA47, TRUE)</f>
        <v>41389</v>
      </c>
      <c r="L47" s="4865" cm="1">
        <f t="array" aca="1" ref="L47" ca="1">INDIRECT("'※ B2B 세부데이터'!"&amp;L$1&amp;$AA47, TRUE)</f>
        <v>40521</v>
      </c>
      <c r="M47" s="4865" cm="1">
        <f t="array" aca="1" ref="M47" ca="1">INDIRECT("'※ B2B 세부데이터'!"&amp;M$1&amp;$AA47, TRUE)</f>
        <v>39687</v>
      </c>
      <c r="N47" s="4865" cm="1">
        <f t="array" aca="1" ref="N47" ca="1">INDIRECT("'※ B2B 세부데이터'!"&amp;N$1&amp;$AA47, TRUE)</f>
        <v>36827</v>
      </c>
      <c r="O47" s="4865" cm="1">
        <f t="array" aca="1" ref="O47" ca="1">INDIRECT("'※ B2B 세부데이터'!"&amp;O$1&amp;$AA47, TRUE)</f>
        <v>35692</v>
      </c>
      <c r="P47" s="4865" cm="1">
        <f t="array" aca="1" ref="P47" ca="1">INDIRECT("'※ B2B 세부데이터'!"&amp;P$1&amp;$AA47, TRUE)</f>
        <v>35670</v>
      </c>
      <c r="Q47" s="4865" cm="1">
        <f t="array" aca="1" ref="Q47" ca="1">INDIRECT("'※ B2B 세부데이터'!"&amp;Q$1&amp;$AA47, TRUE)</f>
        <v>34175</v>
      </c>
      <c r="R47" s="4865" cm="1">
        <f t="array" aca="1" ref="R47" ca="1">INDIRECT("'※ B2B 세부데이터'!"&amp;R$1&amp;$AA47, TRUE)</f>
        <v>33623</v>
      </c>
      <c r="S47" s="4866" cm="1">
        <f t="array" aca="1" ref="S47" ca="1">INDIRECT("'※ B2B 세부데이터'!"&amp;S$1&amp;$AA47, TRUE)</f>
        <v>-552</v>
      </c>
      <c r="T47" s="4867" cm="1">
        <f t="array" aca="1" ref="T47" ca="1">INDIRECT("'※ B2B 세부데이터'!"&amp;T$1&amp;$AA47, TRUE)</f>
        <v>-11802</v>
      </c>
      <c r="U47" s="3310"/>
      <c r="V47" s="3310"/>
      <c r="W47" s="3310"/>
      <c r="X47" s="3310"/>
      <c r="Y47" s="3310"/>
      <c r="AA47" s="4705">
        <f>ROW('※ B2B 세부데이터'!J46)</f>
        <v>46</v>
      </c>
    </row>
    <row r="48" spans="1:27" ht="25" customHeight="1" x14ac:dyDescent="0.55000000000000004">
      <c r="B48" s="3310"/>
      <c r="C48" s="4868" t="s">
        <v>823</v>
      </c>
      <c r="D48" s="4868"/>
      <c r="E48" s="4868"/>
      <c r="F48" s="3310"/>
      <c r="G48" s="3310"/>
      <c r="H48" s="4869"/>
      <c r="I48" s="4870"/>
      <c r="J48" s="4871"/>
      <c r="K48" s="4869"/>
      <c r="L48" s="4869"/>
      <c r="M48" s="4869"/>
      <c r="N48" s="4869"/>
      <c r="O48" s="4869"/>
      <c r="P48" s="4869"/>
      <c r="Q48" s="4869"/>
      <c r="R48" s="4869"/>
      <c r="S48" s="3310"/>
      <c r="T48" s="3310"/>
      <c r="U48" s="3310"/>
      <c r="V48" s="3310"/>
      <c r="W48" s="3310"/>
      <c r="X48" s="3310"/>
      <c r="Y48" s="3310"/>
      <c r="AA48" s="4705">
        <f>ROW('※ B2B 세부데이터'!J47)</f>
        <v>47</v>
      </c>
    </row>
    <row r="49" spans="2:25" x14ac:dyDescent="0.55000000000000004">
      <c r="B49" s="3310"/>
      <c r="C49" s="4868"/>
      <c r="D49" s="4868"/>
      <c r="E49" s="4868"/>
      <c r="F49" s="3310"/>
      <c r="G49" s="3310"/>
      <c r="H49" s="4869"/>
      <c r="I49" s="4870"/>
      <c r="J49" s="4871"/>
      <c r="K49" s="4869"/>
      <c r="L49" s="4869"/>
      <c r="M49" s="4869"/>
      <c r="N49" s="4869"/>
      <c r="O49" s="4869"/>
      <c r="P49" s="4869"/>
      <c r="Q49" s="4869"/>
      <c r="R49" s="4869"/>
      <c r="S49" s="3310"/>
      <c r="T49" s="3310"/>
      <c r="U49" s="3310"/>
      <c r="V49" s="3310"/>
      <c r="W49" s="3310"/>
      <c r="X49" s="3310"/>
      <c r="Y49" s="3310"/>
    </row>
    <row r="50" spans="2:25" x14ac:dyDescent="0.55000000000000004">
      <c r="B50" s="3310"/>
      <c r="C50" s="4868"/>
      <c r="D50" s="4868"/>
      <c r="E50" s="4868"/>
      <c r="F50" s="3310"/>
      <c r="G50" s="3310"/>
      <c r="H50" s="3310"/>
      <c r="I50" s="4870"/>
      <c r="J50" s="4871"/>
      <c r="K50" s="4869"/>
      <c r="L50" s="4869"/>
      <c r="M50" s="4869"/>
      <c r="N50" s="4869"/>
      <c r="O50" s="4869"/>
      <c r="P50" s="4869"/>
      <c r="Q50" s="4869"/>
      <c r="R50" s="4869"/>
      <c r="S50" s="3310"/>
      <c r="T50" s="3310"/>
      <c r="U50" s="3310"/>
      <c r="V50" s="3310"/>
      <c r="W50" s="3310"/>
      <c r="X50" s="3310"/>
      <c r="Y50" s="3310"/>
    </row>
    <row r="51" spans="2:25" x14ac:dyDescent="0.55000000000000004">
      <c r="B51" s="3310"/>
      <c r="C51" s="4868"/>
      <c r="D51" s="4868"/>
      <c r="E51" s="4868"/>
      <c r="F51" s="3310"/>
      <c r="G51" s="3310"/>
      <c r="H51" s="3310"/>
      <c r="I51" s="4870"/>
      <c r="J51" s="4871"/>
      <c r="K51" s="4869"/>
      <c r="L51" s="4869"/>
      <c r="M51" s="4869"/>
      <c r="N51" s="4869"/>
      <c r="O51" s="4869"/>
      <c r="P51" s="4869"/>
      <c r="Q51" s="4869"/>
      <c r="R51" s="4869"/>
      <c r="S51" s="3310"/>
      <c r="T51" s="3310"/>
      <c r="U51" s="3310"/>
      <c r="V51" s="3310"/>
      <c r="W51" s="3310"/>
      <c r="X51" s="3310"/>
      <c r="Y51" s="3310"/>
    </row>
    <row r="52" spans="2:25" x14ac:dyDescent="0.55000000000000004">
      <c r="B52" s="3310"/>
      <c r="C52" s="4868"/>
      <c r="D52" s="4868"/>
      <c r="E52" s="4868"/>
      <c r="F52" s="3310"/>
      <c r="G52" s="3310"/>
      <c r="H52" s="3310"/>
      <c r="I52" s="4870"/>
      <c r="J52" s="4871"/>
      <c r="K52" s="4869"/>
      <c r="L52" s="4869"/>
      <c r="M52" s="4869"/>
      <c r="N52" s="4869"/>
      <c r="O52" s="4869"/>
      <c r="P52" s="4869"/>
      <c r="Q52" s="4869"/>
      <c r="R52" s="4869"/>
      <c r="S52" s="3310"/>
      <c r="T52" s="3310"/>
      <c r="U52" s="3310"/>
      <c r="V52" s="3310"/>
      <c r="W52" s="3310"/>
      <c r="X52" s="3310"/>
      <c r="Y52" s="3310"/>
    </row>
    <row r="53" spans="2:25" x14ac:dyDescent="0.55000000000000004">
      <c r="B53" s="3310"/>
      <c r="C53" s="4868"/>
      <c r="D53" s="4868"/>
      <c r="E53" s="4868"/>
      <c r="F53" s="3310"/>
      <c r="G53" s="3310"/>
      <c r="H53" s="3310"/>
      <c r="I53" s="4870"/>
      <c r="J53" s="4871"/>
      <c r="K53" s="4869"/>
      <c r="L53" s="4869"/>
      <c r="M53" s="4869"/>
      <c r="N53" s="4869"/>
      <c r="O53" s="4869"/>
      <c r="P53" s="4869"/>
      <c r="Q53" s="4869"/>
      <c r="R53" s="4869"/>
      <c r="S53" s="3310"/>
      <c r="T53" s="3310"/>
      <c r="U53" s="3310"/>
      <c r="V53" s="3310"/>
      <c r="W53" s="3310"/>
      <c r="X53" s="3310"/>
      <c r="Y53" s="3310"/>
    </row>
    <row r="54" spans="2:25" x14ac:dyDescent="0.55000000000000004">
      <c r="B54" s="3310"/>
      <c r="C54" s="4868"/>
      <c r="D54" s="4868"/>
      <c r="E54" s="4868"/>
      <c r="F54" s="3310"/>
      <c r="G54" s="3310"/>
      <c r="H54" s="3310"/>
      <c r="I54" s="4870"/>
      <c r="J54" s="4871"/>
      <c r="K54" s="4869"/>
      <c r="L54" s="4869"/>
      <c r="M54" s="4869"/>
      <c r="N54" s="4869"/>
      <c r="O54" s="4869"/>
      <c r="P54" s="4869"/>
      <c r="Q54" s="4869"/>
      <c r="R54" s="4869"/>
      <c r="S54" s="3310"/>
      <c r="T54" s="3310"/>
      <c r="U54" s="3310"/>
      <c r="V54" s="3310"/>
      <c r="W54" s="3310"/>
      <c r="X54" s="3310"/>
      <c r="Y54" s="3310"/>
    </row>
    <row r="55" spans="2:25" x14ac:dyDescent="0.55000000000000004">
      <c r="B55" s="3310"/>
      <c r="C55" s="4868"/>
      <c r="D55" s="4868"/>
      <c r="E55" s="4868"/>
      <c r="F55" s="3310"/>
      <c r="G55" s="3310"/>
      <c r="H55" s="3310"/>
      <c r="I55" s="4870"/>
      <c r="J55" s="4871"/>
      <c r="K55" s="4869"/>
      <c r="L55" s="4869"/>
      <c r="M55" s="4869"/>
      <c r="N55" s="4869"/>
      <c r="O55" s="4869"/>
      <c r="P55" s="4869"/>
      <c r="Q55" s="4869"/>
      <c r="R55" s="4869"/>
      <c r="S55" s="3310"/>
      <c r="T55" s="3310"/>
      <c r="U55" s="3310"/>
      <c r="V55" s="3310"/>
      <c r="W55" s="3310"/>
      <c r="X55" s="3310"/>
      <c r="Y55" s="3310"/>
    </row>
    <row r="56" spans="2:25" x14ac:dyDescent="0.55000000000000004">
      <c r="B56" s="3310"/>
      <c r="C56" s="4868"/>
      <c r="D56" s="4868"/>
      <c r="E56" s="4868"/>
      <c r="F56" s="3310"/>
      <c r="G56" s="3310"/>
      <c r="H56" s="3310"/>
      <c r="I56" s="4870"/>
      <c r="J56" s="4871"/>
      <c r="K56" s="4869"/>
      <c r="L56" s="4869"/>
      <c r="M56" s="4869"/>
      <c r="N56" s="4869"/>
      <c r="O56" s="4869"/>
      <c r="P56" s="4869"/>
      <c r="Q56" s="4869"/>
      <c r="R56" s="4869"/>
      <c r="S56" s="3310"/>
      <c r="T56" s="3310"/>
      <c r="U56" s="3310"/>
      <c r="V56" s="3310"/>
      <c r="W56" s="3310"/>
      <c r="X56" s="3310"/>
      <c r="Y56" s="3310"/>
    </row>
    <row r="57" spans="2:25" x14ac:dyDescent="0.55000000000000004">
      <c r="B57" s="3310"/>
      <c r="C57" s="4868"/>
      <c r="D57" s="4868"/>
      <c r="E57" s="4868"/>
      <c r="F57" s="3310"/>
      <c r="G57" s="3310"/>
      <c r="H57" s="3310"/>
      <c r="I57" s="4870"/>
      <c r="J57" s="4871"/>
      <c r="K57" s="4869"/>
      <c r="L57" s="4869"/>
      <c r="M57" s="4869"/>
      <c r="N57" s="4869"/>
      <c r="O57" s="4869"/>
      <c r="P57" s="4869"/>
      <c r="Q57" s="4869"/>
      <c r="R57" s="4869"/>
      <c r="S57" s="3310"/>
      <c r="T57" s="3310"/>
      <c r="U57" s="3310"/>
      <c r="V57" s="3310"/>
      <c r="W57" s="3310"/>
      <c r="X57" s="3310"/>
      <c r="Y57" s="3310"/>
    </row>
    <row r="58" spans="2:25" x14ac:dyDescent="0.55000000000000004">
      <c r="B58" s="3310"/>
      <c r="C58" s="4868"/>
      <c r="D58" s="4868"/>
      <c r="E58" s="4868"/>
      <c r="F58" s="3310"/>
      <c r="G58" s="3310"/>
      <c r="H58" s="3310"/>
      <c r="I58" s="4870"/>
      <c r="J58" s="4871"/>
      <c r="K58" s="4869"/>
      <c r="L58" s="4869"/>
      <c r="M58" s="4869"/>
      <c r="N58" s="4869"/>
      <c r="O58" s="4869"/>
      <c r="P58" s="4869"/>
      <c r="Q58" s="4869"/>
      <c r="R58" s="4869"/>
      <c r="S58" s="3310"/>
      <c r="T58" s="3310"/>
      <c r="U58" s="3310"/>
      <c r="V58" s="3310"/>
      <c r="W58" s="3310"/>
      <c r="X58" s="3310"/>
      <c r="Y58" s="3310"/>
    </row>
    <row r="59" spans="2:25" x14ac:dyDescent="0.55000000000000004">
      <c r="B59" s="3310"/>
      <c r="C59" s="4868"/>
      <c r="D59" s="4868"/>
      <c r="E59" s="4868"/>
      <c r="F59" s="3310"/>
      <c r="G59" s="3310"/>
      <c r="H59" s="3310"/>
      <c r="I59" s="4870"/>
      <c r="J59" s="4871"/>
      <c r="K59" s="4869"/>
      <c r="L59" s="4869"/>
      <c r="M59" s="4869"/>
      <c r="N59" s="4869"/>
      <c r="O59" s="4869"/>
      <c r="P59" s="4869"/>
      <c r="Q59" s="4869"/>
      <c r="R59" s="4869"/>
      <c r="S59" s="3310"/>
      <c r="T59" s="3310"/>
      <c r="U59" s="3310"/>
      <c r="V59" s="3310"/>
      <c r="W59" s="3310"/>
      <c r="X59" s="3310"/>
      <c r="Y59" s="3310"/>
    </row>
    <row r="60" spans="2:25" x14ac:dyDescent="0.55000000000000004">
      <c r="B60" s="3310"/>
      <c r="C60" s="4868"/>
      <c r="D60" s="4868"/>
      <c r="E60" s="4868"/>
      <c r="F60" s="3310"/>
      <c r="G60" s="3310"/>
      <c r="H60" s="3310"/>
      <c r="I60" s="4870"/>
      <c r="J60" s="4871"/>
      <c r="K60" s="4869"/>
      <c r="L60" s="4869"/>
      <c r="M60" s="4869"/>
      <c r="N60" s="4869"/>
      <c r="O60" s="4869"/>
      <c r="P60" s="4869"/>
      <c r="Q60" s="4869"/>
      <c r="R60" s="4869"/>
      <c r="S60" s="3310"/>
      <c r="T60" s="3310"/>
      <c r="U60" s="3310"/>
      <c r="V60" s="3310"/>
      <c r="W60" s="3310"/>
      <c r="X60" s="3310"/>
      <c r="Y60" s="3310"/>
    </row>
    <row r="62" spans="2:25" x14ac:dyDescent="0.55000000000000004">
      <c r="B62" s="3310"/>
      <c r="C62" s="4868"/>
      <c r="D62" s="4868"/>
      <c r="E62" s="4868"/>
      <c r="F62" s="3310"/>
      <c r="G62" s="3310"/>
      <c r="H62" s="3310"/>
      <c r="I62" s="4870"/>
      <c r="J62" s="4871"/>
      <c r="K62" s="4869"/>
      <c r="L62" s="4869"/>
      <c r="M62" s="4869"/>
      <c r="N62" s="4869"/>
      <c r="O62" s="4869"/>
      <c r="P62" s="4869"/>
      <c r="Q62" s="4869"/>
      <c r="R62" s="4869"/>
      <c r="S62" s="3310"/>
      <c r="T62" s="3310"/>
      <c r="U62" s="3310"/>
      <c r="V62" s="3310"/>
      <c r="W62" s="3310"/>
      <c r="X62" s="3310"/>
      <c r="Y62" s="3310"/>
    </row>
    <row r="63" spans="2:25" x14ac:dyDescent="0.55000000000000004">
      <c r="B63" s="3310"/>
      <c r="C63" s="4868"/>
      <c r="D63" s="4868"/>
      <c r="E63" s="4868"/>
      <c r="F63" s="3310"/>
      <c r="G63" s="3310"/>
      <c r="H63" s="3310"/>
      <c r="I63" s="4870"/>
      <c r="J63" s="4871"/>
      <c r="K63" s="4869"/>
      <c r="L63" s="4869"/>
      <c r="M63" s="4869"/>
      <c r="N63" s="4869"/>
      <c r="O63" s="4869"/>
      <c r="P63" s="4869"/>
      <c r="Q63" s="4869"/>
      <c r="R63" s="4869"/>
      <c r="S63" s="3310"/>
      <c r="T63" s="3310"/>
      <c r="U63" s="3310"/>
      <c r="V63" s="3310"/>
      <c r="W63" s="3310"/>
      <c r="X63" s="3310"/>
      <c r="Y63" s="3310"/>
    </row>
    <row r="64" spans="2:25" x14ac:dyDescent="0.55000000000000004">
      <c r="B64" s="3310"/>
      <c r="C64" s="4868"/>
      <c r="D64" s="4868"/>
      <c r="E64" s="4868"/>
      <c r="F64" s="3310"/>
      <c r="G64" s="3310"/>
      <c r="H64" s="3310"/>
      <c r="I64" s="4870"/>
      <c r="J64" s="4871"/>
      <c r="K64" s="4869"/>
      <c r="L64" s="4869"/>
      <c r="M64" s="4869"/>
      <c r="N64" s="4869"/>
      <c r="O64" s="4869"/>
      <c r="P64" s="4869"/>
      <c r="Q64" s="4869"/>
      <c r="R64" s="4869"/>
      <c r="S64" s="3310"/>
      <c r="T64" s="3310"/>
      <c r="U64" s="3310"/>
      <c r="V64" s="3310"/>
      <c r="W64" s="3310"/>
      <c r="X64" s="3310"/>
      <c r="Y64" s="3310"/>
    </row>
    <row r="65" spans="2:25" x14ac:dyDescent="0.55000000000000004">
      <c r="B65" s="3310"/>
      <c r="C65" s="4868"/>
      <c r="D65" s="4868"/>
      <c r="E65" s="4868"/>
      <c r="F65" s="3310"/>
      <c r="G65" s="3310"/>
      <c r="H65" s="3310"/>
      <c r="I65" s="4870"/>
      <c r="J65" s="4871"/>
      <c r="K65" s="4869"/>
      <c r="L65" s="4869"/>
      <c r="M65" s="4869"/>
      <c r="N65" s="4869"/>
      <c r="O65" s="4869"/>
      <c r="P65" s="4869"/>
      <c r="Q65" s="4869"/>
      <c r="R65" s="4869"/>
      <c r="S65" s="3310"/>
      <c r="T65" s="3310"/>
      <c r="U65" s="3310"/>
      <c r="V65" s="3310"/>
      <c r="W65" s="3310"/>
      <c r="X65" s="3310"/>
      <c r="Y65" s="3310"/>
    </row>
    <row r="66" spans="2:25" x14ac:dyDescent="0.55000000000000004">
      <c r="B66" s="3310"/>
      <c r="C66" s="4868"/>
      <c r="D66" s="4868"/>
      <c r="E66" s="4868"/>
      <c r="F66" s="3310"/>
      <c r="G66" s="3310"/>
      <c r="H66" s="3310"/>
      <c r="I66" s="4870"/>
      <c r="J66" s="4871"/>
      <c r="K66" s="4869"/>
      <c r="L66" s="4869"/>
      <c r="M66" s="4869"/>
      <c r="N66" s="4869"/>
      <c r="O66" s="4869"/>
      <c r="P66" s="4869"/>
      <c r="Q66" s="4869"/>
      <c r="R66" s="4869"/>
      <c r="S66" s="3310"/>
      <c r="T66" s="3310"/>
      <c r="U66" s="3310"/>
      <c r="V66" s="3310"/>
      <c r="W66" s="3310"/>
      <c r="X66" s="3310"/>
      <c r="Y66" s="3310"/>
    </row>
    <row r="67" spans="2:25" x14ac:dyDescent="0.55000000000000004">
      <c r="B67" s="3310"/>
      <c r="C67" s="4868"/>
      <c r="D67" s="4868"/>
      <c r="E67" s="4868"/>
      <c r="F67" s="3310"/>
      <c r="G67" s="3310"/>
      <c r="H67" s="3310"/>
      <c r="I67" s="4870"/>
      <c r="J67" s="4871"/>
      <c r="K67" s="4869"/>
      <c r="L67" s="4869"/>
      <c r="M67" s="4869"/>
      <c r="N67" s="4869"/>
      <c r="O67" s="4869"/>
      <c r="P67" s="4869"/>
      <c r="Q67" s="4869"/>
      <c r="R67" s="4869"/>
      <c r="S67" s="3310"/>
      <c r="T67" s="3310"/>
      <c r="U67" s="3310"/>
      <c r="V67" s="3310"/>
      <c r="W67" s="3310"/>
      <c r="X67" s="3310"/>
      <c r="Y67" s="3310"/>
    </row>
    <row r="68" spans="2:25" x14ac:dyDescent="0.55000000000000004">
      <c r="B68" s="3310"/>
      <c r="C68" s="4868"/>
      <c r="D68" s="4868"/>
      <c r="E68" s="4868"/>
      <c r="F68" s="3310"/>
      <c r="G68" s="3310"/>
      <c r="H68" s="3310"/>
      <c r="I68" s="4870"/>
      <c r="J68" s="4871"/>
      <c r="K68" s="4869"/>
      <c r="L68" s="4869"/>
      <c r="M68" s="4869"/>
      <c r="N68" s="4869"/>
      <c r="O68" s="4869"/>
      <c r="P68" s="4869"/>
      <c r="Q68" s="4869"/>
      <c r="R68" s="4869"/>
      <c r="S68" s="3310"/>
      <c r="T68" s="3310"/>
      <c r="U68" s="3310"/>
      <c r="V68" s="3310"/>
      <c r="W68" s="3310"/>
      <c r="X68" s="3310"/>
      <c r="Y68" s="3310"/>
    </row>
    <row r="69" spans="2:25" x14ac:dyDescent="0.55000000000000004">
      <c r="B69" s="3310"/>
      <c r="C69" s="4868"/>
      <c r="D69" s="4868"/>
      <c r="E69" s="4868"/>
      <c r="F69" s="3310"/>
      <c r="G69" s="3310"/>
      <c r="H69" s="3310"/>
      <c r="I69" s="4870"/>
      <c r="J69" s="4871"/>
      <c r="K69" s="4869"/>
      <c r="L69" s="4869"/>
      <c r="M69" s="4869"/>
      <c r="N69" s="4869"/>
      <c r="O69" s="4869"/>
      <c r="P69" s="4869"/>
      <c r="Q69" s="4869"/>
      <c r="R69" s="4869"/>
      <c r="S69" s="3310"/>
      <c r="T69" s="3310"/>
      <c r="U69" s="3310"/>
      <c r="V69" s="3310"/>
      <c r="W69" s="3310"/>
      <c r="X69" s="3310"/>
      <c r="Y69" s="3310"/>
    </row>
    <row r="70" spans="2:25" x14ac:dyDescent="0.55000000000000004">
      <c r="B70" s="3310"/>
      <c r="C70" s="4868"/>
      <c r="D70" s="4868"/>
      <c r="E70" s="4868"/>
      <c r="F70" s="3310"/>
      <c r="G70" s="3310"/>
      <c r="H70" s="3310"/>
      <c r="I70" s="4870"/>
      <c r="J70" s="4871"/>
      <c r="K70" s="4869"/>
      <c r="L70" s="4869"/>
      <c r="M70" s="4869"/>
      <c r="N70" s="4869"/>
      <c r="O70" s="4869"/>
      <c r="P70" s="4869"/>
      <c r="Q70" s="4869"/>
      <c r="R70" s="4869"/>
      <c r="S70" s="3310"/>
      <c r="T70" s="3310"/>
      <c r="U70" s="3310"/>
      <c r="V70" s="3310"/>
      <c r="W70" s="3310"/>
      <c r="X70" s="3310"/>
      <c r="Y70" s="3310"/>
    </row>
    <row r="71" spans="2:25" x14ac:dyDescent="0.55000000000000004">
      <c r="B71" s="3310"/>
      <c r="C71" s="4868"/>
      <c r="D71" s="4868"/>
      <c r="E71" s="4868"/>
      <c r="F71" s="3310"/>
      <c r="G71" s="3310"/>
      <c r="H71" s="3310"/>
      <c r="I71" s="4870"/>
      <c r="J71" s="4871"/>
      <c r="K71" s="4869"/>
      <c r="L71" s="4869"/>
      <c r="M71" s="4869"/>
      <c r="N71" s="4869"/>
      <c r="O71" s="4869"/>
      <c r="P71" s="4869"/>
      <c r="Q71" s="4869"/>
      <c r="R71" s="4869"/>
      <c r="S71" s="3310"/>
      <c r="T71" s="3310"/>
      <c r="U71" s="3310"/>
      <c r="V71" s="3310"/>
      <c r="W71" s="3310"/>
      <c r="X71" s="3310"/>
      <c r="Y71" s="3310"/>
    </row>
    <row r="72" spans="2:25" x14ac:dyDescent="0.55000000000000004">
      <c r="B72" s="3310"/>
      <c r="C72" s="4868"/>
      <c r="D72" s="4868"/>
      <c r="E72" s="4868"/>
      <c r="F72" s="3310"/>
      <c r="G72" s="3310"/>
      <c r="H72" s="3310"/>
      <c r="I72" s="4870"/>
      <c r="J72" s="4871"/>
      <c r="K72" s="4869"/>
      <c r="L72" s="4869"/>
      <c r="M72" s="4869"/>
      <c r="N72" s="4869"/>
      <c r="O72" s="4869"/>
      <c r="P72" s="4869"/>
      <c r="Q72" s="4869"/>
      <c r="R72" s="4869"/>
      <c r="S72" s="3310"/>
      <c r="T72" s="3310"/>
      <c r="U72" s="3310"/>
      <c r="V72" s="3310"/>
      <c r="W72" s="3310"/>
      <c r="X72" s="3310"/>
      <c r="Y72" s="3310"/>
    </row>
    <row r="73" spans="2:25" x14ac:dyDescent="0.55000000000000004">
      <c r="B73" s="3310"/>
      <c r="C73" s="4868"/>
      <c r="D73" s="4868"/>
      <c r="E73" s="4868"/>
      <c r="F73" s="3310"/>
      <c r="G73" s="3310"/>
      <c r="H73" s="3310"/>
      <c r="I73" s="4870"/>
      <c r="J73" s="4871"/>
      <c r="K73" s="4869"/>
      <c r="L73" s="4869"/>
      <c r="M73" s="4869"/>
      <c r="N73" s="4869"/>
      <c r="O73" s="4869"/>
      <c r="P73" s="4869"/>
      <c r="Q73" s="4869"/>
      <c r="R73" s="4869"/>
      <c r="S73" s="3310"/>
      <c r="T73" s="3310"/>
      <c r="U73" s="3310"/>
      <c r="V73" s="3310"/>
      <c r="W73" s="3310"/>
      <c r="X73" s="3310"/>
      <c r="Y73" s="3310"/>
    </row>
    <row r="74" spans="2:25" x14ac:dyDescent="0.55000000000000004">
      <c r="B74" s="3310"/>
      <c r="C74" s="4868"/>
      <c r="D74" s="4868"/>
      <c r="E74" s="4868"/>
      <c r="F74" s="3310"/>
      <c r="G74" s="3310"/>
      <c r="H74" s="3310"/>
      <c r="I74" s="4870"/>
      <c r="J74" s="4871"/>
      <c r="K74" s="4869"/>
      <c r="L74" s="4869"/>
      <c r="M74" s="4869"/>
      <c r="N74" s="4869"/>
      <c r="O74" s="4869"/>
      <c r="P74" s="4869"/>
      <c r="Q74" s="4869"/>
      <c r="R74" s="4869"/>
      <c r="S74" s="3310"/>
      <c r="T74" s="3310"/>
      <c r="U74" s="3310"/>
      <c r="V74" s="3310"/>
      <c r="W74" s="3310"/>
      <c r="X74" s="3310"/>
      <c r="Y74" s="3310"/>
    </row>
    <row r="75" spans="2:25" x14ac:dyDescent="0.55000000000000004">
      <c r="B75" s="3310"/>
      <c r="C75" s="4868"/>
      <c r="D75" s="4868"/>
      <c r="E75" s="4868"/>
      <c r="F75" s="3310"/>
      <c r="G75" s="3310"/>
      <c r="H75" s="3310"/>
      <c r="I75" s="4870"/>
      <c r="J75" s="4871"/>
      <c r="K75" s="4869"/>
      <c r="L75" s="4869"/>
      <c r="M75" s="4869"/>
      <c r="N75" s="4869"/>
      <c r="O75" s="4869"/>
      <c r="P75" s="4869"/>
      <c r="Q75" s="4869"/>
      <c r="R75" s="4869"/>
      <c r="S75" s="3310"/>
      <c r="T75" s="3310"/>
      <c r="U75" s="3310"/>
      <c r="V75" s="3310"/>
      <c r="W75" s="3310"/>
      <c r="X75" s="3310"/>
      <c r="Y75" s="3310"/>
    </row>
    <row r="76" spans="2:25" x14ac:dyDescent="0.55000000000000004">
      <c r="B76" s="3310"/>
      <c r="C76" s="4868"/>
      <c r="D76" s="4868"/>
      <c r="E76" s="4868"/>
      <c r="F76" s="3310"/>
      <c r="G76" s="3310"/>
      <c r="H76" s="3310"/>
      <c r="I76" s="4870"/>
      <c r="J76" s="4871"/>
      <c r="K76" s="4869"/>
      <c r="L76" s="4869"/>
      <c r="M76" s="4869"/>
      <c r="N76" s="4869"/>
      <c r="O76" s="4869"/>
      <c r="P76" s="4869"/>
      <c r="Q76" s="4869"/>
      <c r="R76" s="4869"/>
      <c r="S76" s="3310"/>
      <c r="T76" s="3310"/>
      <c r="U76" s="3310"/>
      <c r="V76" s="3310"/>
      <c r="W76" s="3310"/>
      <c r="X76" s="3310"/>
      <c r="Y76" s="3310"/>
    </row>
    <row r="77" spans="2:25" x14ac:dyDescent="0.55000000000000004">
      <c r="B77" s="3310"/>
      <c r="C77" s="4868"/>
      <c r="D77" s="4868"/>
      <c r="E77" s="4868"/>
      <c r="F77" s="3310"/>
      <c r="G77" s="3310"/>
      <c r="H77" s="3310"/>
      <c r="I77" s="4870"/>
      <c r="J77" s="4871"/>
      <c r="K77" s="4869"/>
      <c r="L77" s="4869"/>
      <c r="M77" s="4869"/>
      <c r="N77" s="4869"/>
      <c r="O77" s="4869"/>
      <c r="P77" s="4869"/>
      <c r="Q77" s="4869"/>
      <c r="R77" s="4869"/>
      <c r="S77" s="3310"/>
      <c r="T77" s="3310"/>
      <c r="U77" s="3310"/>
      <c r="V77" s="3310"/>
      <c r="W77" s="3310"/>
      <c r="X77" s="3310"/>
      <c r="Y77" s="3310"/>
    </row>
    <row r="78" spans="2:25" x14ac:dyDescent="0.55000000000000004">
      <c r="B78" s="3310"/>
      <c r="C78" s="4868"/>
      <c r="D78" s="4868"/>
      <c r="E78" s="4868"/>
      <c r="F78" s="3310"/>
      <c r="G78" s="3310"/>
      <c r="H78" s="3310"/>
      <c r="I78" s="4870"/>
      <c r="J78" s="4871"/>
      <c r="K78" s="4869"/>
      <c r="L78" s="4869"/>
      <c r="M78" s="4869"/>
      <c r="N78" s="4869"/>
      <c r="O78" s="4869"/>
      <c r="P78" s="4869"/>
      <c r="Q78" s="4869"/>
      <c r="R78" s="4869"/>
      <c r="S78" s="3310"/>
      <c r="T78" s="3310"/>
      <c r="U78" s="3310"/>
      <c r="V78" s="3310"/>
      <c r="W78" s="3310"/>
      <c r="X78" s="3310"/>
      <c r="Y78" s="3310"/>
    </row>
    <row r="79" spans="2:25" x14ac:dyDescent="0.55000000000000004">
      <c r="B79" s="3310"/>
      <c r="C79" s="4868"/>
      <c r="D79" s="4868"/>
      <c r="E79" s="4868"/>
      <c r="F79" s="3310"/>
      <c r="G79" s="3310"/>
      <c r="H79" s="3310"/>
      <c r="I79" s="4870"/>
      <c r="J79" s="4871"/>
      <c r="K79" s="4869"/>
      <c r="L79" s="4869"/>
      <c r="M79" s="4869"/>
      <c r="N79" s="4869"/>
      <c r="O79" s="4869"/>
      <c r="P79" s="4869"/>
      <c r="Q79" s="4869"/>
      <c r="R79" s="4869"/>
      <c r="S79" s="3310"/>
      <c r="T79" s="3310"/>
      <c r="U79" s="3310"/>
      <c r="V79" s="3310"/>
      <c r="W79" s="3310"/>
      <c r="X79" s="3310"/>
      <c r="Y79" s="3310"/>
    </row>
    <row r="80" spans="2:25" x14ac:dyDescent="0.55000000000000004">
      <c r="B80" s="3310"/>
      <c r="C80" s="4868"/>
      <c r="D80" s="4868"/>
      <c r="E80" s="4868"/>
      <c r="F80" s="3310"/>
      <c r="G80" s="3310"/>
      <c r="H80" s="3310"/>
      <c r="I80" s="4870"/>
      <c r="J80" s="4871"/>
      <c r="K80" s="4869"/>
      <c r="L80" s="4869"/>
      <c r="M80" s="4869"/>
      <c r="N80" s="4869"/>
      <c r="O80" s="4869"/>
      <c r="P80" s="4869"/>
      <c r="Q80" s="4869"/>
      <c r="R80" s="4869"/>
      <c r="S80" s="3310"/>
      <c r="T80" s="3310"/>
      <c r="U80" s="3310"/>
      <c r="V80" s="3310"/>
      <c r="W80" s="3310"/>
      <c r="X80" s="3310"/>
      <c r="Y80" s="3310"/>
    </row>
    <row r="81" spans="2:25" x14ac:dyDescent="0.55000000000000004">
      <c r="B81" s="3310"/>
      <c r="C81" s="4868"/>
      <c r="D81" s="4868"/>
      <c r="E81" s="4868"/>
      <c r="F81" s="3310"/>
      <c r="G81" s="3310"/>
      <c r="H81" s="3310"/>
      <c r="I81" s="4870"/>
      <c r="J81" s="4871"/>
      <c r="K81" s="4869"/>
      <c r="L81" s="4869"/>
      <c r="M81" s="4869"/>
      <c r="N81" s="4869"/>
      <c r="O81" s="4869"/>
      <c r="P81" s="4869"/>
      <c r="Q81" s="4869"/>
      <c r="R81" s="4869"/>
      <c r="S81" s="3310"/>
      <c r="T81" s="3310"/>
      <c r="U81" s="3310"/>
      <c r="V81" s="3310"/>
      <c r="W81" s="3310"/>
      <c r="X81" s="3310"/>
      <c r="Y81" s="3310"/>
    </row>
    <row r="82" spans="2:25" x14ac:dyDescent="0.55000000000000004">
      <c r="B82" s="3310"/>
      <c r="C82" s="4868"/>
      <c r="D82" s="4868"/>
      <c r="E82" s="4868"/>
      <c r="F82" s="3310"/>
      <c r="G82" s="3310"/>
      <c r="H82" s="3310"/>
      <c r="I82" s="4870"/>
      <c r="J82" s="4871"/>
      <c r="K82" s="4869"/>
      <c r="L82" s="4869"/>
      <c r="M82" s="4869"/>
      <c r="N82" s="4869"/>
      <c r="O82" s="4869"/>
      <c r="P82" s="4869"/>
      <c r="Q82" s="4869"/>
      <c r="R82" s="4869"/>
      <c r="S82" s="3310"/>
      <c r="T82" s="3310"/>
      <c r="U82" s="3310"/>
      <c r="V82" s="3310"/>
      <c r="W82" s="3310"/>
      <c r="X82" s="3310"/>
      <c r="Y82" s="3310"/>
    </row>
    <row r="83" spans="2:25" x14ac:dyDescent="0.55000000000000004">
      <c r="B83" s="3310"/>
      <c r="C83" s="4868"/>
      <c r="D83" s="4868"/>
      <c r="E83" s="4868"/>
      <c r="F83" s="3310"/>
      <c r="G83" s="3310"/>
      <c r="H83" s="3310"/>
      <c r="I83" s="4870"/>
      <c r="J83" s="4871"/>
      <c r="K83" s="4869"/>
      <c r="L83" s="4869"/>
      <c r="M83" s="4869"/>
      <c r="N83" s="4869"/>
      <c r="O83" s="4869"/>
      <c r="P83" s="4869"/>
      <c r="Q83" s="4869"/>
      <c r="R83" s="4869"/>
      <c r="S83" s="3310"/>
      <c r="T83" s="3310"/>
      <c r="U83" s="3310"/>
      <c r="V83" s="3310"/>
      <c r="W83" s="3310"/>
      <c r="X83" s="3310"/>
      <c r="Y83" s="3310"/>
    </row>
    <row r="84" spans="2:25" x14ac:dyDescent="0.55000000000000004">
      <c r="B84" s="3310"/>
      <c r="C84" s="4868"/>
      <c r="D84" s="4868"/>
      <c r="E84" s="4868"/>
      <c r="F84" s="3310"/>
      <c r="G84" s="3310"/>
      <c r="H84" s="3310"/>
      <c r="I84" s="4870"/>
      <c r="J84" s="4871"/>
      <c r="K84" s="4869"/>
      <c r="L84" s="4869"/>
      <c r="M84" s="4869"/>
      <c r="N84" s="4869"/>
      <c r="O84" s="4869"/>
      <c r="P84" s="4869"/>
      <c r="Q84" s="4869"/>
      <c r="R84" s="4869"/>
      <c r="S84" s="3310"/>
      <c r="T84" s="3310"/>
      <c r="U84" s="3310"/>
      <c r="V84" s="3310"/>
      <c r="W84" s="3310"/>
      <c r="X84" s="3310"/>
      <c r="Y84" s="3310"/>
    </row>
    <row r="85" spans="2:25" x14ac:dyDescent="0.55000000000000004">
      <c r="B85" s="3310"/>
      <c r="C85" s="4868"/>
      <c r="D85" s="4868"/>
      <c r="E85" s="4868"/>
      <c r="F85" s="3310"/>
      <c r="G85" s="3310"/>
      <c r="H85" s="3310"/>
      <c r="I85" s="4870"/>
      <c r="J85" s="4871"/>
      <c r="K85" s="4869"/>
      <c r="L85" s="4869"/>
      <c r="M85" s="4869"/>
      <c r="N85" s="4869"/>
      <c r="O85" s="4869"/>
      <c r="P85" s="4869"/>
      <c r="Q85" s="4869"/>
      <c r="R85" s="4869"/>
      <c r="S85" s="3310"/>
      <c r="T85" s="3310"/>
      <c r="U85" s="3310"/>
      <c r="V85" s="3310"/>
      <c r="W85" s="3310"/>
      <c r="X85" s="3310"/>
      <c r="Y85" s="3310"/>
    </row>
    <row r="86" spans="2:25" x14ac:dyDescent="0.55000000000000004">
      <c r="B86" s="3310"/>
      <c r="C86" s="4868"/>
      <c r="D86" s="4868"/>
      <c r="E86" s="4868"/>
      <c r="F86" s="3310"/>
      <c r="G86" s="3310"/>
      <c r="H86" s="3310"/>
      <c r="I86" s="4870"/>
      <c r="J86" s="4871"/>
      <c r="K86" s="4869"/>
      <c r="L86" s="4869"/>
      <c r="M86" s="4869"/>
      <c r="N86" s="4869"/>
      <c r="O86" s="4869"/>
      <c r="P86" s="4869"/>
      <c r="Q86" s="4869"/>
      <c r="R86" s="4869"/>
      <c r="S86" s="3310"/>
      <c r="T86" s="3310"/>
      <c r="U86" s="3310"/>
      <c r="V86" s="3310"/>
      <c r="W86" s="3310"/>
      <c r="X86" s="3310"/>
      <c r="Y86" s="3310"/>
    </row>
    <row r="87" spans="2:25" x14ac:dyDescent="0.55000000000000004">
      <c r="B87" s="3310"/>
      <c r="C87" s="4868"/>
      <c r="D87" s="4868"/>
      <c r="E87" s="4868"/>
      <c r="F87" s="3310"/>
      <c r="G87" s="3310"/>
      <c r="H87" s="3310"/>
      <c r="I87" s="4870"/>
      <c r="J87" s="4871"/>
      <c r="K87" s="4869"/>
      <c r="L87" s="4869"/>
      <c r="M87" s="4869"/>
      <c r="N87" s="4869"/>
      <c r="O87" s="4869"/>
      <c r="P87" s="4869"/>
      <c r="Q87" s="4869"/>
      <c r="R87" s="4869"/>
      <c r="S87" s="3310"/>
      <c r="T87" s="3310"/>
      <c r="U87" s="3310"/>
      <c r="V87" s="3310"/>
      <c r="W87" s="3310"/>
      <c r="X87" s="3310"/>
      <c r="Y87" s="3310"/>
    </row>
    <row r="88" spans="2:25" x14ac:dyDescent="0.55000000000000004">
      <c r="B88" s="3310"/>
      <c r="C88" s="4868"/>
      <c r="D88" s="4868"/>
      <c r="E88" s="4868"/>
      <c r="F88" s="3310"/>
      <c r="G88" s="3310"/>
      <c r="H88" s="3310"/>
      <c r="I88" s="4870"/>
      <c r="J88" s="4871"/>
      <c r="K88" s="4869"/>
      <c r="L88" s="4869"/>
      <c r="M88" s="4869"/>
      <c r="N88" s="4869"/>
      <c r="O88" s="4869"/>
      <c r="P88" s="4869"/>
      <c r="Q88" s="4869"/>
      <c r="R88" s="4869"/>
      <c r="S88" s="3310"/>
      <c r="T88" s="3310"/>
      <c r="U88" s="3310"/>
      <c r="V88" s="3310"/>
      <c r="W88" s="3310"/>
      <c r="X88" s="3310"/>
      <c r="Y88" s="3310"/>
    </row>
    <row r="89" spans="2:25" x14ac:dyDescent="0.55000000000000004">
      <c r="B89" s="3310"/>
      <c r="C89" s="4868"/>
      <c r="D89" s="4868"/>
      <c r="E89" s="4868"/>
      <c r="F89" s="3310"/>
      <c r="G89" s="3310"/>
      <c r="H89" s="3310"/>
      <c r="I89" s="4870"/>
      <c r="J89" s="4871"/>
      <c r="K89" s="4869"/>
      <c r="L89" s="4869"/>
      <c r="M89" s="4869"/>
      <c r="N89" s="4869"/>
      <c r="O89" s="4869"/>
      <c r="P89" s="4869"/>
      <c r="Q89" s="4869"/>
      <c r="R89" s="4869"/>
      <c r="S89" s="3310"/>
      <c r="T89" s="3310"/>
      <c r="U89" s="3310"/>
      <c r="V89" s="3310"/>
      <c r="W89" s="3310"/>
      <c r="X89" s="3310"/>
      <c r="Y89" s="3310"/>
    </row>
    <row r="90" spans="2:25" x14ac:dyDescent="0.55000000000000004">
      <c r="B90" s="3310"/>
      <c r="C90" s="4868"/>
      <c r="D90" s="4868"/>
      <c r="E90" s="4868"/>
      <c r="F90" s="3310"/>
      <c r="G90" s="3310"/>
      <c r="H90" s="3310"/>
      <c r="I90" s="4870"/>
      <c r="J90" s="4871"/>
      <c r="K90" s="4869"/>
      <c r="L90" s="4869"/>
      <c r="M90" s="4869"/>
      <c r="N90" s="4869"/>
      <c r="O90" s="4869"/>
      <c r="P90" s="4869"/>
      <c r="Q90" s="4869"/>
      <c r="R90" s="4869"/>
      <c r="S90" s="3310"/>
      <c r="T90" s="3310"/>
      <c r="U90" s="3310"/>
      <c r="V90" s="3310"/>
      <c r="W90" s="3310"/>
      <c r="X90" s="3310"/>
      <c r="Y90" s="3310"/>
    </row>
    <row r="91" spans="2:25" x14ac:dyDescent="0.55000000000000004">
      <c r="B91" s="3310"/>
      <c r="C91" s="4868"/>
      <c r="D91" s="4868"/>
      <c r="E91" s="4868"/>
      <c r="F91" s="3310"/>
      <c r="G91" s="3310"/>
      <c r="H91" s="3310"/>
      <c r="I91" s="4870"/>
      <c r="J91" s="4871"/>
      <c r="K91" s="4869"/>
      <c r="L91" s="4869"/>
      <c r="M91" s="4869"/>
      <c r="N91" s="4869"/>
      <c r="O91" s="4869"/>
      <c r="P91" s="4869"/>
      <c r="Q91" s="4869"/>
      <c r="R91" s="4869"/>
      <c r="S91" s="3310"/>
      <c r="T91" s="3310"/>
      <c r="U91" s="3310"/>
      <c r="V91" s="3310"/>
      <c r="W91" s="3310"/>
      <c r="X91" s="3310"/>
      <c r="Y91" s="3310"/>
    </row>
    <row r="92" spans="2:25" x14ac:dyDescent="0.55000000000000004">
      <c r="B92" s="3310"/>
      <c r="C92" s="4868"/>
      <c r="D92" s="4868"/>
      <c r="E92" s="4868"/>
      <c r="F92" s="3310"/>
      <c r="G92" s="3310"/>
      <c r="H92" s="3310"/>
      <c r="I92" s="4870"/>
      <c r="J92" s="4871"/>
      <c r="K92" s="4869"/>
      <c r="L92" s="4869"/>
      <c r="M92" s="4869"/>
      <c r="N92" s="4869"/>
      <c r="O92" s="4869"/>
      <c r="P92" s="4869"/>
      <c r="Q92" s="4869"/>
      <c r="R92" s="4869"/>
      <c r="S92" s="3310"/>
      <c r="T92" s="3310"/>
      <c r="U92" s="3310"/>
      <c r="V92" s="3310"/>
      <c r="W92" s="3310"/>
      <c r="X92" s="3310"/>
      <c r="Y92" s="3310"/>
    </row>
    <row r="93" spans="2:25" x14ac:dyDescent="0.55000000000000004">
      <c r="B93" s="3310"/>
      <c r="C93" s="4868"/>
      <c r="D93" s="4868"/>
      <c r="E93" s="4868"/>
      <c r="F93" s="3310"/>
      <c r="G93" s="3310"/>
      <c r="H93" s="3310"/>
      <c r="I93" s="4870"/>
      <c r="J93" s="4871"/>
      <c r="K93" s="4869"/>
      <c r="L93" s="4869"/>
      <c r="M93" s="4869"/>
      <c r="N93" s="4869"/>
      <c r="O93" s="4869"/>
      <c r="P93" s="4869"/>
      <c r="Q93" s="4869"/>
      <c r="R93" s="4869"/>
      <c r="S93" s="3310"/>
      <c r="T93" s="3310"/>
      <c r="U93" s="3310"/>
      <c r="V93" s="3310"/>
      <c r="W93" s="3310"/>
      <c r="X93" s="3310"/>
      <c r="Y93" s="3310"/>
    </row>
    <row r="94" spans="2:25" x14ac:dyDescent="0.55000000000000004">
      <c r="B94" s="3310"/>
      <c r="C94" s="4868"/>
      <c r="D94" s="4868"/>
      <c r="E94" s="4868"/>
      <c r="F94" s="3310"/>
      <c r="G94" s="3310"/>
      <c r="H94" s="3310"/>
      <c r="I94" s="4870"/>
      <c r="J94" s="4871"/>
      <c r="K94" s="4869"/>
      <c r="L94" s="4869"/>
      <c r="M94" s="4869"/>
      <c r="N94" s="4869"/>
      <c r="O94" s="4869"/>
      <c r="P94" s="4869"/>
      <c r="Q94" s="4869"/>
      <c r="R94" s="4869"/>
      <c r="S94" s="3310"/>
      <c r="T94" s="3310"/>
      <c r="U94" s="3310"/>
      <c r="V94" s="3310"/>
      <c r="W94" s="3310"/>
      <c r="X94" s="3310"/>
      <c r="Y94" s="3310"/>
    </row>
    <row r="95" spans="2:25" x14ac:dyDescent="0.55000000000000004">
      <c r="B95" s="3310"/>
      <c r="C95" s="4868"/>
      <c r="D95" s="4868"/>
      <c r="E95" s="4868"/>
      <c r="F95" s="3310"/>
      <c r="G95" s="3310"/>
      <c r="H95" s="3310"/>
      <c r="I95" s="4870"/>
      <c r="J95" s="4871"/>
      <c r="K95" s="4869"/>
      <c r="L95" s="4869"/>
      <c r="M95" s="4869"/>
      <c r="N95" s="4869"/>
      <c r="O95" s="4869"/>
      <c r="P95" s="4869"/>
      <c r="Q95" s="4869"/>
      <c r="R95" s="4869"/>
      <c r="S95" s="3310"/>
      <c r="T95" s="3310"/>
      <c r="U95" s="3310"/>
      <c r="V95" s="3310"/>
      <c r="W95" s="3310"/>
      <c r="X95" s="3310"/>
      <c r="Y95" s="3310"/>
    </row>
    <row r="96" spans="2:25" x14ac:dyDescent="0.55000000000000004">
      <c r="B96" s="3310"/>
      <c r="C96" s="4868"/>
      <c r="D96" s="4868"/>
      <c r="E96" s="4868"/>
      <c r="F96" s="3310"/>
      <c r="G96" s="3310"/>
      <c r="H96" s="3310"/>
      <c r="I96" s="4870"/>
      <c r="J96" s="4871"/>
      <c r="K96" s="4869"/>
      <c r="L96" s="4869"/>
      <c r="M96" s="4869"/>
      <c r="N96" s="4869"/>
      <c r="O96" s="4869"/>
      <c r="P96" s="4869"/>
      <c r="Q96" s="4869"/>
      <c r="R96" s="4869"/>
      <c r="S96" s="3310"/>
      <c r="T96" s="3310"/>
      <c r="U96" s="3310"/>
      <c r="V96" s="3310"/>
      <c r="W96" s="3310"/>
      <c r="X96" s="3310"/>
      <c r="Y96" s="3310"/>
    </row>
    <row r="97" spans="2:25" x14ac:dyDescent="0.55000000000000004">
      <c r="B97" s="3310"/>
      <c r="C97" s="4868"/>
      <c r="D97" s="4868"/>
      <c r="E97" s="4868"/>
      <c r="F97" s="3310"/>
      <c r="G97" s="3310"/>
      <c r="H97" s="3310"/>
      <c r="I97" s="4870"/>
      <c r="J97" s="4871"/>
      <c r="K97" s="4869"/>
      <c r="L97" s="4869"/>
      <c r="M97" s="4869"/>
      <c r="N97" s="4869"/>
      <c r="O97" s="4869"/>
      <c r="P97" s="4869"/>
      <c r="Q97" s="4869"/>
      <c r="R97" s="4869"/>
      <c r="S97" s="3310"/>
      <c r="T97" s="3310"/>
      <c r="U97" s="3310"/>
      <c r="V97" s="3310"/>
      <c r="W97" s="3310"/>
      <c r="X97" s="3310"/>
      <c r="Y97" s="3310"/>
    </row>
    <row r="98" spans="2:25" x14ac:dyDescent="0.55000000000000004">
      <c r="B98" s="3310"/>
      <c r="C98" s="4868"/>
      <c r="D98" s="4868"/>
      <c r="E98" s="4868"/>
      <c r="F98" s="3310"/>
      <c r="G98" s="3310"/>
      <c r="H98" s="3310"/>
      <c r="I98" s="4870"/>
      <c r="J98" s="4871"/>
      <c r="K98" s="4869"/>
      <c r="L98" s="4869"/>
      <c r="M98" s="4869"/>
      <c r="N98" s="4869"/>
      <c r="O98" s="4869"/>
      <c r="P98" s="4869"/>
      <c r="Q98" s="4869"/>
      <c r="R98" s="4869"/>
      <c r="S98" s="3310"/>
      <c r="T98" s="3310"/>
      <c r="U98" s="3310"/>
      <c r="V98" s="3310"/>
      <c r="W98" s="3310"/>
      <c r="X98" s="3310"/>
      <c r="Y98" s="3310"/>
    </row>
    <row r="99" spans="2:25" x14ac:dyDescent="0.55000000000000004">
      <c r="B99" s="3310"/>
      <c r="C99" s="4868"/>
      <c r="D99" s="4868"/>
      <c r="E99" s="4868"/>
      <c r="F99" s="3310"/>
      <c r="G99" s="3310"/>
      <c r="H99" s="3310"/>
      <c r="I99" s="4870"/>
      <c r="J99" s="4871"/>
      <c r="K99" s="4869"/>
      <c r="L99" s="4869"/>
      <c r="M99" s="4869"/>
      <c r="N99" s="4869"/>
      <c r="O99" s="4869"/>
      <c r="P99" s="4869"/>
      <c r="Q99" s="4869"/>
      <c r="R99" s="4869"/>
      <c r="S99" s="3310"/>
      <c r="T99" s="3310"/>
      <c r="U99" s="3310"/>
      <c r="V99" s="3310"/>
      <c r="W99" s="3310"/>
      <c r="X99" s="3310"/>
      <c r="Y99" s="3310"/>
    </row>
    <row r="100" spans="2:25" x14ac:dyDescent="0.55000000000000004">
      <c r="B100" s="3310"/>
      <c r="C100" s="4868"/>
      <c r="D100" s="4868"/>
      <c r="E100" s="4868"/>
      <c r="F100" s="3310"/>
      <c r="G100" s="3310"/>
      <c r="H100" s="3310"/>
      <c r="I100" s="4870"/>
      <c r="J100" s="4871"/>
      <c r="K100" s="4869"/>
      <c r="L100" s="4869"/>
      <c r="M100" s="4869"/>
      <c r="N100" s="4869"/>
      <c r="O100" s="4869"/>
      <c r="P100" s="4869"/>
      <c r="Q100" s="4869"/>
      <c r="R100" s="4869"/>
      <c r="S100" s="3310"/>
      <c r="T100" s="3310"/>
      <c r="U100" s="3310"/>
      <c r="V100" s="3310"/>
      <c r="W100" s="3310"/>
      <c r="X100" s="3310"/>
      <c r="Y100" s="3310"/>
    </row>
    <row r="101" spans="2:25" x14ac:dyDescent="0.55000000000000004">
      <c r="B101" s="3310"/>
      <c r="C101" s="4868"/>
      <c r="D101" s="4868"/>
      <c r="E101" s="4868"/>
      <c r="F101" s="3310"/>
      <c r="G101" s="3310"/>
      <c r="H101" s="3310"/>
      <c r="I101" s="4870"/>
      <c r="J101" s="4871"/>
      <c r="K101" s="4869"/>
      <c r="L101" s="4869"/>
      <c r="M101" s="4869"/>
      <c r="N101" s="4869"/>
      <c r="O101" s="4869"/>
      <c r="P101" s="4869"/>
      <c r="Q101" s="4869"/>
      <c r="R101" s="4869"/>
      <c r="S101" s="3310"/>
      <c r="T101" s="3310"/>
      <c r="U101" s="3310"/>
      <c r="V101" s="3310"/>
      <c r="W101" s="3310"/>
      <c r="X101" s="3310"/>
      <c r="Y101" s="3310"/>
    </row>
    <row r="102" spans="2:25" x14ac:dyDescent="0.55000000000000004">
      <c r="B102" s="3310"/>
      <c r="C102" s="4868"/>
      <c r="D102" s="4868"/>
      <c r="E102" s="4868"/>
      <c r="F102" s="3310"/>
      <c r="G102" s="3310"/>
      <c r="H102" s="3310"/>
      <c r="I102" s="4870"/>
      <c r="J102" s="4871"/>
      <c r="K102" s="4869"/>
      <c r="L102" s="4869"/>
      <c r="M102" s="4869"/>
      <c r="N102" s="4869"/>
      <c r="O102" s="4869"/>
      <c r="P102" s="4869"/>
      <c r="Q102" s="4869"/>
      <c r="R102" s="4869"/>
      <c r="S102" s="3310"/>
      <c r="T102" s="3310"/>
      <c r="U102" s="3310"/>
      <c r="V102" s="3310"/>
      <c r="W102" s="3310"/>
      <c r="X102" s="3310"/>
      <c r="Y102" s="3310"/>
    </row>
    <row r="103" spans="2:25" x14ac:dyDescent="0.55000000000000004">
      <c r="B103" s="3310"/>
      <c r="C103" s="4868"/>
      <c r="D103" s="4868"/>
      <c r="E103" s="4868"/>
      <c r="F103" s="3310"/>
      <c r="G103" s="3310"/>
      <c r="H103" s="3310"/>
      <c r="I103" s="4870"/>
      <c r="J103" s="4871"/>
      <c r="K103" s="4869"/>
      <c r="L103" s="4869"/>
      <c r="M103" s="4869"/>
      <c r="N103" s="4869"/>
      <c r="O103" s="4869"/>
      <c r="P103" s="4869"/>
      <c r="Q103" s="4869"/>
      <c r="R103" s="4869"/>
      <c r="S103" s="3310"/>
      <c r="T103" s="3310"/>
      <c r="U103" s="3310"/>
      <c r="V103" s="3310"/>
      <c r="W103" s="3310"/>
      <c r="X103" s="3310"/>
      <c r="Y103" s="3310"/>
    </row>
    <row r="104" spans="2:25" x14ac:dyDescent="0.55000000000000004">
      <c r="B104" s="3310"/>
      <c r="C104" s="4868"/>
      <c r="D104" s="4868"/>
      <c r="E104" s="4868"/>
      <c r="F104" s="3310"/>
      <c r="G104" s="3310"/>
      <c r="H104" s="3310"/>
      <c r="I104" s="4870"/>
      <c r="J104" s="4871"/>
      <c r="K104" s="4869"/>
      <c r="L104" s="4869"/>
      <c r="M104" s="4869"/>
      <c r="N104" s="4869"/>
      <c r="O104" s="4869"/>
      <c r="P104" s="4869"/>
      <c r="Q104" s="4869"/>
      <c r="R104" s="4869"/>
      <c r="S104" s="3310"/>
      <c r="T104" s="3310"/>
      <c r="U104" s="3310"/>
      <c r="V104" s="3310"/>
      <c r="W104" s="3310"/>
      <c r="X104" s="3310"/>
      <c r="Y104" s="3310"/>
    </row>
    <row r="105" spans="2:25" x14ac:dyDescent="0.55000000000000004">
      <c r="B105" s="3310"/>
      <c r="C105" s="4868"/>
      <c r="D105" s="4868"/>
      <c r="E105" s="4868"/>
      <c r="F105" s="3310"/>
      <c r="G105" s="3310"/>
      <c r="H105" s="3310"/>
      <c r="I105" s="4870"/>
      <c r="J105" s="4871"/>
      <c r="K105" s="4869"/>
      <c r="L105" s="4869"/>
      <c r="M105" s="4869"/>
      <c r="N105" s="4869"/>
      <c r="O105" s="4869"/>
      <c r="P105" s="4869"/>
      <c r="Q105" s="4869"/>
      <c r="R105" s="4869"/>
      <c r="S105" s="3310"/>
      <c r="T105" s="3310"/>
      <c r="U105" s="3310"/>
      <c r="V105" s="3310"/>
      <c r="W105" s="3310"/>
      <c r="X105" s="3310"/>
      <c r="Y105" s="3310"/>
    </row>
    <row r="106" spans="2:25" x14ac:dyDescent="0.55000000000000004">
      <c r="B106" s="3310"/>
      <c r="C106" s="4868"/>
      <c r="D106" s="4868"/>
      <c r="E106" s="4868"/>
      <c r="F106" s="3310"/>
      <c r="G106" s="3310"/>
      <c r="H106" s="3310"/>
      <c r="I106" s="4870"/>
      <c r="J106" s="4871"/>
      <c r="K106" s="4869"/>
      <c r="L106" s="4869"/>
      <c r="M106" s="4869"/>
      <c r="N106" s="4869"/>
      <c r="O106" s="4869"/>
      <c r="P106" s="4869"/>
      <c r="Q106" s="4869"/>
      <c r="R106" s="4869"/>
      <c r="S106" s="3310"/>
      <c r="T106" s="3310"/>
      <c r="U106" s="3310"/>
      <c r="V106" s="3310"/>
      <c r="W106" s="3310"/>
      <c r="X106" s="3310"/>
      <c r="Y106" s="3310"/>
    </row>
    <row r="107" spans="2:25" x14ac:dyDescent="0.55000000000000004">
      <c r="B107" s="3310"/>
      <c r="C107" s="4868"/>
      <c r="D107" s="4868"/>
      <c r="E107" s="4868"/>
      <c r="F107" s="3310"/>
      <c r="G107" s="3310"/>
      <c r="H107" s="3310"/>
      <c r="I107" s="4870"/>
      <c r="J107" s="4871"/>
      <c r="K107" s="4869"/>
      <c r="L107" s="4869"/>
      <c r="M107" s="4869"/>
      <c r="N107" s="4869"/>
      <c r="O107" s="4869"/>
      <c r="P107" s="4869"/>
      <c r="Q107" s="4869"/>
      <c r="R107" s="4869"/>
      <c r="S107" s="3310"/>
      <c r="T107" s="3310"/>
      <c r="U107" s="3310"/>
      <c r="V107" s="3310"/>
      <c r="W107" s="3310"/>
      <c r="X107" s="3310"/>
      <c r="Y107" s="3310"/>
    </row>
    <row r="108" spans="2:25" x14ac:dyDescent="0.55000000000000004">
      <c r="B108" s="3310"/>
      <c r="C108" s="4868"/>
      <c r="D108" s="4868"/>
      <c r="E108" s="4868"/>
      <c r="F108" s="3310"/>
      <c r="G108" s="3310"/>
      <c r="H108" s="3310"/>
      <c r="I108" s="4870"/>
      <c r="J108" s="4871"/>
      <c r="K108" s="4869"/>
      <c r="L108" s="4869"/>
      <c r="M108" s="4869"/>
      <c r="N108" s="4869"/>
      <c r="O108" s="4869"/>
      <c r="P108" s="4869"/>
      <c r="Q108" s="4869"/>
      <c r="R108" s="4869"/>
      <c r="S108" s="3310"/>
      <c r="T108" s="3310"/>
      <c r="U108" s="3310"/>
      <c r="V108" s="3310"/>
      <c r="W108" s="3310"/>
      <c r="X108" s="3310"/>
      <c r="Y108" s="3310"/>
    </row>
    <row r="109" spans="2:25" x14ac:dyDescent="0.55000000000000004">
      <c r="B109" s="3310"/>
      <c r="C109" s="4868"/>
      <c r="D109" s="4868"/>
      <c r="E109" s="4868"/>
      <c r="F109" s="3310"/>
      <c r="G109" s="3310"/>
      <c r="H109" s="3310"/>
      <c r="I109" s="4870"/>
      <c r="J109" s="4871"/>
      <c r="K109" s="4869"/>
      <c r="L109" s="4869"/>
      <c r="M109" s="4869"/>
      <c r="N109" s="4869"/>
      <c r="O109" s="4869"/>
      <c r="P109" s="4869"/>
      <c r="Q109" s="4869"/>
      <c r="R109" s="4869"/>
      <c r="S109" s="3310"/>
      <c r="T109" s="3310"/>
      <c r="U109" s="3310"/>
      <c r="V109" s="3310"/>
      <c r="W109" s="3310"/>
      <c r="X109" s="3310"/>
      <c r="Y109" s="3310"/>
    </row>
    <row r="110" spans="2:25" x14ac:dyDescent="0.55000000000000004">
      <c r="B110" s="3310"/>
      <c r="C110" s="4868"/>
      <c r="D110" s="4868"/>
      <c r="E110" s="4868"/>
      <c r="F110" s="3310"/>
      <c r="G110" s="3310"/>
      <c r="H110" s="3310"/>
      <c r="I110" s="4870"/>
      <c r="J110" s="4871"/>
      <c r="K110" s="4869"/>
      <c r="L110" s="4869"/>
      <c r="M110" s="4869"/>
      <c r="N110" s="4869"/>
      <c r="O110" s="4869"/>
      <c r="P110" s="4869"/>
      <c r="Q110" s="4869"/>
      <c r="R110" s="4869"/>
      <c r="S110" s="3310"/>
      <c r="T110" s="3310"/>
      <c r="U110" s="3310"/>
      <c r="V110" s="3310"/>
      <c r="W110" s="3310"/>
      <c r="X110" s="3310"/>
      <c r="Y110" s="3310"/>
    </row>
    <row r="111" spans="2:25" x14ac:dyDescent="0.55000000000000004">
      <c r="B111" s="3310"/>
      <c r="C111" s="4868"/>
      <c r="D111" s="4868"/>
      <c r="E111" s="4868"/>
      <c r="F111" s="3310"/>
      <c r="G111" s="3310"/>
      <c r="H111" s="3310"/>
      <c r="I111" s="4870"/>
      <c r="J111" s="4871"/>
      <c r="K111" s="4869"/>
      <c r="L111" s="4869"/>
      <c r="M111" s="4869"/>
      <c r="N111" s="4869"/>
      <c r="O111" s="4869"/>
      <c r="P111" s="4869"/>
      <c r="Q111" s="4869"/>
      <c r="R111" s="4869"/>
      <c r="S111" s="3310"/>
      <c r="T111" s="3310"/>
      <c r="U111" s="3310"/>
      <c r="V111" s="3310"/>
      <c r="W111" s="3310"/>
      <c r="X111" s="3310"/>
      <c r="Y111" s="3310"/>
    </row>
    <row r="112" spans="2:25" x14ac:dyDescent="0.55000000000000004">
      <c r="B112" s="3310"/>
      <c r="C112" s="4868"/>
      <c r="D112" s="4868"/>
      <c r="E112" s="4868"/>
      <c r="F112" s="3310"/>
      <c r="G112" s="3310"/>
      <c r="H112" s="3310"/>
      <c r="I112" s="4870"/>
      <c r="J112" s="4871"/>
      <c r="K112" s="4869"/>
      <c r="L112" s="4869"/>
      <c r="M112" s="4869"/>
      <c r="N112" s="4869"/>
      <c r="O112" s="4869"/>
      <c r="P112" s="4869"/>
      <c r="Q112" s="4869"/>
      <c r="R112" s="4869"/>
      <c r="S112" s="3310"/>
      <c r="T112" s="3310"/>
      <c r="U112" s="3310"/>
      <c r="V112" s="3310"/>
      <c r="W112" s="3310"/>
      <c r="X112" s="3310"/>
      <c r="Y112" s="3310"/>
    </row>
    <row r="113" spans="2:25" x14ac:dyDescent="0.55000000000000004">
      <c r="B113" s="3310"/>
      <c r="C113" s="4868"/>
      <c r="D113" s="4868"/>
      <c r="E113" s="4868"/>
      <c r="F113" s="3310"/>
      <c r="G113" s="3310"/>
      <c r="H113" s="3310"/>
      <c r="I113" s="4870"/>
      <c r="J113" s="4871"/>
      <c r="K113" s="4869"/>
      <c r="L113" s="4869"/>
      <c r="M113" s="4869"/>
      <c r="N113" s="4869"/>
      <c r="O113" s="4869"/>
      <c r="P113" s="4869"/>
      <c r="Q113" s="4869"/>
      <c r="R113" s="4869"/>
      <c r="S113" s="3310"/>
      <c r="T113" s="3310"/>
      <c r="U113" s="3310"/>
      <c r="V113" s="3310"/>
      <c r="W113" s="3310"/>
      <c r="X113" s="3310"/>
      <c r="Y113" s="3310"/>
    </row>
    <row r="114" spans="2:25" x14ac:dyDescent="0.55000000000000004">
      <c r="B114" s="3310"/>
      <c r="C114" s="4868"/>
      <c r="D114" s="4868"/>
      <c r="E114" s="4868"/>
      <c r="F114" s="3310"/>
      <c r="G114" s="3310"/>
      <c r="H114" s="3310"/>
      <c r="I114" s="4870"/>
      <c r="J114" s="4871"/>
      <c r="K114" s="4869"/>
      <c r="L114" s="4869"/>
      <c r="M114" s="4869"/>
      <c r="N114" s="4869"/>
      <c r="O114" s="4869"/>
      <c r="P114" s="4869"/>
      <c r="Q114" s="4869"/>
      <c r="R114" s="4869"/>
      <c r="S114" s="3310"/>
      <c r="T114" s="3310"/>
      <c r="U114" s="3310"/>
      <c r="V114" s="3310"/>
      <c r="W114" s="3310"/>
      <c r="X114" s="3310"/>
      <c r="Y114" s="3310"/>
    </row>
    <row r="115" spans="2:25" x14ac:dyDescent="0.55000000000000004">
      <c r="B115" s="3310"/>
      <c r="C115" s="4868"/>
      <c r="D115" s="4868"/>
      <c r="E115" s="4868"/>
      <c r="F115" s="3310"/>
      <c r="G115" s="3310"/>
      <c r="H115" s="3310"/>
      <c r="I115" s="4870"/>
      <c r="J115" s="4871"/>
      <c r="K115" s="4869"/>
      <c r="L115" s="4869"/>
      <c r="M115" s="4869"/>
      <c r="N115" s="4869"/>
      <c r="O115" s="4869"/>
      <c r="P115" s="4869"/>
      <c r="Q115" s="4869"/>
      <c r="R115" s="4869"/>
      <c r="S115" s="3310"/>
      <c r="T115" s="3310"/>
      <c r="U115" s="3310"/>
      <c r="V115" s="3310"/>
      <c r="W115" s="3310"/>
      <c r="X115" s="3310"/>
      <c r="Y115" s="3310"/>
    </row>
    <row r="116" spans="2:25" x14ac:dyDescent="0.55000000000000004">
      <c r="B116" s="3310"/>
      <c r="C116" s="4868"/>
      <c r="D116" s="4868"/>
      <c r="E116" s="4868"/>
      <c r="F116" s="3310"/>
      <c r="G116" s="3310"/>
      <c r="H116" s="3310"/>
      <c r="I116" s="4870"/>
      <c r="J116" s="4871"/>
      <c r="K116" s="4869"/>
      <c r="L116" s="4869"/>
      <c r="M116" s="4869"/>
      <c r="N116" s="4869"/>
      <c r="O116" s="4869"/>
      <c r="P116" s="4869"/>
      <c r="Q116" s="4869"/>
      <c r="R116" s="4869"/>
      <c r="S116" s="3310"/>
      <c r="T116" s="3310"/>
      <c r="U116" s="3310"/>
      <c r="V116" s="3310"/>
      <c r="W116" s="3310"/>
      <c r="X116" s="3310"/>
      <c r="Y116" s="3310"/>
    </row>
  </sheetData>
  <mergeCells count="19">
    <mergeCell ref="A7:A33"/>
    <mergeCell ref="B7:B15"/>
    <mergeCell ref="B16:B24"/>
    <mergeCell ref="G5:T5"/>
    <mergeCell ref="B25:B33"/>
    <mergeCell ref="A6:D6"/>
    <mergeCell ref="A3:Z3"/>
    <mergeCell ref="A36:A47"/>
    <mergeCell ref="B36:B39"/>
    <mergeCell ref="C36:C37"/>
    <mergeCell ref="C38:C39"/>
    <mergeCell ref="B40:B43"/>
    <mergeCell ref="C40:C41"/>
    <mergeCell ref="C42:C43"/>
    <mergeCell ref="B44:B47"/>
    <mergeCell ref="C44:C45"/>
    <mergeCell ref="C46:C47"/>
    <mergeCell ref="A35:D35"/>
    <mergeCell ref="U5:Z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4" fitToHeight="0" orientation="landscape" r:id="rId1"/>
  <headerFooter scaleWithDoc="0">
    <oddFooter>&amp;R&amp;"-,기울임꼴"&amp;8&amp;P &amp; 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A5C9-BF6B-4D97-83BB-42EA729A4B01}">
  <sheetPr codeName="Sheet11">
    <tabColor theme="9" tint="0.79998168889431442"/>
  </sheetPr>
  <dimension ref="A1:BA114"/>
  <sheetViews>
    <sheetView showGridLines="0" zoomScale="55" zoomScaleNormal="55" workbookViewId="0">
      <pane xSplit="3" topLeftCell="U1" activePane="topRight" state="frozen"/>
      <selection activeCell="C499" sqref="C499"/>
      <selection pane="topRight" activeCell="AW17" sqref="AW17"/>
    </sheetView>
  </sheetViews>
  <sheetFormatPr defaultRowHeight="17.600000000000001" outlineLevelCol="1" x14ac:dyDescent="0.55000000000000004"/>
  <cols>
    <col min="1" max="1" width="15.2109375" customWidth="1"/>
    <col min="2" max="2" width="15.85546875" bestFit="1" customWidth="1"/>
    <col min="3" max="3" width="15.35546875" bestFit="1" customWidth="1"/>
    <col min="4" max="15" width="8.640625" hidden="1" customWidth="1" outlineLevel="1"/>
    <col min="16" max="16" width="9.35546875" customWidth="1" collapsed="1"/>
    <col min="17" max="17" width="9.85546875" customWidth="1"/>
    <col min="18" max="18" width="4" customWidth="1"/>
    <col min="19" max="30" width="8.640625" customWidth="1" outlineLevel="1"/>
    <col min="33" max="33" width="4" customWidth="1"/>
    <col min="34" max="45" width="8.640625" customWidth="1" outlineLevel="1"/>
    <col min="49" max="49" width="12.7109375" customWidth="1"/>
    <col min="50" max="50" width="15.5" customWidth="1"/>
    <col min="51" max="51" width="23" customWidth="1"/>
    <col min="52" max="52" width="12.140625" customWidth="1"/>
  </cols>
  <sheetData>
    <row r="1" spans="1:53" x14ac:dyDescent="0.55000000000000004">
      <c r="A1" s="1444">
        <f>'2-(1) 수수료 기준_가입자(무선)'!A1</f>
        <v>12.000999999999999</v>
      </c>
      <c r="B1" s="2366">
        <f>'※ 영기팀 작성_가입자'!B1</f>
        <v>11.000999999999999</v>
      </c>
      <c r="AY1" s="1094" t="s">
        <v>473</v>
      </c>
    </row>
    <row r="2" spans="1:53" x14ac:dyDescent="0.55000000000000004">
      <c r="D2" s="1436">
        <v>1.0009999999999999</v>
      </c>
      <c r="E2" s="1436">
        <v>2.0009999999999999</v>
      </c>
      <c r="F2" s="1436">
        <v>3.0009999999999999</v>
      </c>
      <c r="G2" s="1436">
        <v>4.0010000000000003</v>
      </c>
      <c r="H2" s="1436">
        <v>5.0010000000000003</v>
      </c>
      <c r="I2" s="1436">
        <v>6.0010000000000003</v>
      </c>
      <c r="J2" s="1436">
        <v>7.0010000000000003</v>
      </c>
      <c r="K2" s="1436">
        <v>8.0009999999999994</v>
      </c>
      <c r="L2" s="1436">
        <v>9.0009999999999994</v>
      </c>
      <c r="M2" s="1436">
        <v>10.000999999999999</v>
      </c>
      <c r="N2" s="1436">
        <v>11.000999999999999</v>
      </c>
      <c r="O2" s="1436">
        <v>12.000999999999999</v>
      </c>
      <c r="S2" s="1436">
        <v>1.0009999999999999</v>
      </c>
      <c r="T2" s="1436">
        <v>2.0009999999999999</v>
      </c>
      <c r="U2" s="1436">
        <v>3.0009999999999999</v>
      </c>
      <c r="V2" s="1436">
        <v>4.0010000000000003</v>
      </c>
      <c r="W2" s="1436">
        <v>5.0010000000000003</v>
      </c>
      <c r="X2" s="1436">
        <v>6.0010000000000003</v>
      </c>
      <c r="Y2" s="1436">
        <v>7.0010000000000003</v>
      </c>
      <c r="Z2" s="1436">
        <v>8.0009999999999994</v>
      </c>
      <c r="AA2" s="1436">
        <v>9.0009999999999994</v>
      </c>
      <c r="AB2" s="1436">
        <v>10.000999999999999</v>
      </c>
      <c r="AC2" s="1436">
        <v>11.000999999999999</v>
      </c>
      <c r="AD2" s="1436">
        <v>12.000999999999999</v>
      </c>
      <c r="AH2" s="1436">
        <v>1.0009999999999999</v>
      </c>
      <c r="AI2" s="1436">
        <v>2.0009999999999999</v>
      </c>
      <c r="AJ2" s="1436">
        <v>3.0009999999999999</v>
      </c>
      <c r="AK2" s="1436">
        <v>4.0010000000000003</v>
      </c>
      <c r="AL2" s="1436">
        <v>5.0010000000000003</v>
      </c>
      <c r="AM2" s="1436">
        <v>6.0010000000000003</v>
      </c>
      <c r="AN2" s="1436">
        <v>7.0010000000000003</v>
      </c>
      <c r="AO2" s="1436">
        <v>8.0009999999999994</v>
      </c>
      <c r="AP2" s="1436">
        <v>9.0009999999999994</v>
      </c>
      <c r="AQ2" s="1436">
        <v>10.000999999999999</v>
      </c>
      <c r="AR2" s="1436">
        <v>11.000999999999999</v>
      </c>
      <c r="AS2" s="1436">
        <v>12.000999999999999</v>
      </c>
      <c r="AY2" s="1095" t="s">
        <v>727</v>
      </c>
    </row>
    <row r="3" spans="1:53" ht="18" thickBot="1" x14ac:dyDescent="0.6">
      <c r="A3" s="3"/>
      <c r="B3" s="4"/>
      <c r="C3" s="781" t="s">
        <v>646</v>
      </c>
      <c r="D3" s="889" t="s">
        <v>581</v>
      </c>
      <c r="E3" s="889" t="s">
        <v>614</v>
      </c>
      <c r="F3" s="889" t="s">
        <v>583</v>
      </c>
      <c r="G3" s="889" t="s">
        <v>584</v>
      </c>
      <c r="H3" s="889" t="s">
        <v>585</v>
      </c>
      <c r="I3" s="889" t="s">
        <v>586</v>
      </c>
      <c r="J3" s="889" t="s">
        <v>587</v>
      </c>
      <c r="K3" s="889" t="s">
        <v>588</v>
      </c>
      <c r="L3" s="889" t="s">
        <v>589</v>
      </c>
      <c r="M3" s="889" t="s">
        <v>590</v>
      </c>
      <c r="N3" s="889" t="s">
        <v>591</v>
      </c>
      <c r="O3" s="889" t="s">
        <v>592</v>
      </c>
      <c r="P3" s="890" t="s">
        <v>412</v>
      </c>
      <c r="Q3" s="890" t="s">
        <v>367</v>
      </c>
      <c r="R3" s="170"/>
      <c r="S3" s="889" t="s">
        <v>2</v>
      </c>
      <c r="T3" s="889" t="s">
        <v>653</v>
      </c>
      <c r="U3" s="889" t="s">
        <v>525</v>
      </c>
      <c r="V3" s="889" t="s">
        <v>358</v>
      </c>
      <c r="W3" s="889" t="s">
        <v>359</v>
      </c>
      <c r="X3" s="889" t="s">
        <v>360</v>
      </c>
      <c r="Y3" s="889" t="s">
        <v>361</v>
      </c>
      <c r="Z3" s="889" t="s">
        <v>362</v>
      </c>
      <c r="AA3" s="889" t="s">
        <v>363</v>
      </c>
      <c r="AB3" s="889" t="s">
        <v>364</v>
      </c>
      <c r="AC3" s="889" t="s">
        <v>365</v>
      </c>
      <c r="AD3" s="889" t="s">
        <v>366</v>
      </c>
      <c r="AE3" s="890" t="s">
        <v>654</v>
      </c>
      <c r="AF3" s="890" t="s">
        <v>655</v>
      </c>
      <c r="AG3" s="1029"/>
      <c r="AH3" s="890" t="s">
        <v>1020</v>
      </c>
      <c r="AI3" s="889" t="s">
        <v>1022</v>
      </c>
      <c r="AJ3" s="889" t="s">
        <v>1024</v>
      </c>
      <c r="AK3" s="889" t="s">
        <v>1025</v>
      </c>
      <c r="AL3" s="889" t="s">
        <v>1026</v>
      </c>
      <c r="AM3" s="889" t="s">
        <v>1027</v>
      </c>
      <c r="AN3" s="889" t="s">
        <v>1028</v>
      </c>
      <c r="AO3" s="889" t="s">
        <v>1029</v>
      </c>
      <c r="AP3" s="889" t="s">
        <v>1030</v>
      </c>
      <c r="AQ3" s="889" t="s">
        <v>1031</v>
      </c>
      <c r="AR3" s="889" t="s">
        <v>1032</v>
      </c>
      <c r="AS3" s="889" t="s">
        <v>1033</v>
      </c>
      <c r="AT3" s="890" t="s">
        <v>1049</v>
      </c>
      <c r="AU3" s="890" t="s">
        <v>655</v>
      </c>
      <c r="AW3" s="316" t="s">
        <v>464</v>
      </c>
      <c r="AX3" s="316" t="s">
        <v>465</v>
      </c>
      <c r="AY3" s="1133" t="s">
        <v>471</v>
      </c>
      <c r="AZ3" s="316" t="s">
        <v>133</v>
      </c>
    </row>
    <row r="4" spans="1:53" ht="18" thickTop="1" x14ac:dyDescent="0.55000000000000004">
      <c r="A4" s="7331" t="s">
        <v>178</v>
      </c>
      <c r="B4" s="41" t="s">
        <v>163</v>
      </c>
      <c r="C4" s="467"/>
      <c r="D4" s="844">
        <f t="shared" ref="D4:N4" si="0">SUM(D5:D9)</f>
        <v>120</v>
      </c>
      <c r="E4" s="844">
        <f t="shared" si="0"/>
        <v>125</v>
      </c>
      <c r="F4" s="844">
        <f t="shared" si="0"/>
        <v>136</v>
      </c>
      <c r="G4" s="844">
        <f t="shared" si="0"/>
        <v>134</v>
      </c>
      <c r="H4" s="844">
        <f t="shared" si="0"/>
        <v>141</v>
      </c>
      <c r="I4" s="844">
        <f t="shared" si="0"/>
        <v>142</v>
      </c>
      <c r="J4" s="844">
        <f t="shared" si="0"/>
        <v>142</v>
      </c>
      <c r="K4" s="844">
        <f t="shared" si="0"/>
        <v>141</v>
      </c>
      <c r="L4" s="844">
        <f t="shared" si="0"/>
        <v>144</v>
      </c>
      <c r="M4" s="844">
        <f t="shared" si="0"/>
        <v>138</v>
      </c>
      <c r="N4" s="844">
        <f t="shared" si="0"/>
        <v>134</v>
      </c>
      <c r="O4" s="844">
        <f>SUM(O5:O9)</f>
        <v>125</v>
      </c>
      <c r="P4" s="1866">
        <f>INDEX($D4:$O4, 1, MATCH(0, $D4:$O4, -1))</f>
        <v>125</v>
      </c>
      <c r="Q4" s="1866">
        <f>AVERAGE(D4:O4)</f>
        <v>135.16666666666666</v>
      </c>
      <c r="R4" s="1867"/>
      <c r="S4" s="1868">
        <f t="shared" ref="S4:AB4" si="1">SUM(S5:S9)</f>
        <v>119</v>
      </c>
      <c r="T4" s="1869">
        <f t="shared" si="1"/>
        <v>94</v>
      </c>
      <c r="U4" s="1869">
        <f t="shared" si="1"/>
        <v>91</v>
      </c>
      <c r="V4" s="1869">
        <f t="shared" si="1"/>
        <v>100</v>
      </c>
      <c r="W4" s="1869">
        <f t="shared" si="1"/>
        <v>107</v>
      </c>
      <c r="X4" s="1869">
        <f t="shared" si="1"/>
        <v>109</v>
      </c>
      <c r="Y4" s="1869">
        <f t="shared" si="1"/>
        <v>113</v>
      </c>
      <c r="Z4" s="1869">
        <f t="shared" si="1"/>
        <v>111</v>
      </c>
      <c r="AA4" s="1869">
        <f t="shared" si="1"/>
        <v>114</v>
      </c>
      <c r="AB4" s="1869">
        <f t="shared" si="1"/>
        <v>115</v>
      </c>
      <c r="AC4" s="1869">
        <v>120</v>
      </c>
      <c r="AD4" s="1869">
        <v>123</v>
      </c>
      <c r="AE4" s="1866">
        <f>INDEX($S4:$AD4, 1, MATCH(0, $S4:$AD4, -1))</f>
        <v>123</v>
      </c>
      <c r="AF4" s="1866">
        <f>AVERAGE(S4:AD4)</f>
        <v>109.66666666666667</v>
      </c>
      <c r="AG4" s="1867"/>
      <c r="AH4" s="1868">
        <v>130</v>
      </c>
      <c r="AI4" s="1869">
        <v>128</v>
      </c>
      <c r="AJ4" s="1869">
        <v>139</v>
      </c>
      <c r="AK4" s="1869">
        <v>138</v>
      </c>
      <c r="AL4" s="1869">
        <v>134</v>
      </c>
      <c r="AM4" s="1869">
        <v>129</v>
      </c>
      <c r="AN4" s="1869">
        <v>111</v>
      </c>
      <c r="AO4" s="1869">
        <v>108</v>
      </c>
      <c r="AP4" s="1869">
        <v>107</v>
      </c>
      <c r="AQ4" s="1869">
        <v>102</v>
      </c>
      <c r="AR4" s="1869">
        <v>102</v>
      </c>
      <c r="AS4" s="1869">
        <v>68</v>
      </c>
      <c r="AT4" s="1866">
        <f>INDEX($AH4:$AS4, 1, MATCH(0, $AH4:$AS4, -1))</f>
        <v>68</v>
      </c>
      <c r="AU4" s="1866">
        <f>AVERAGE(AH4:AS4)</f>
        <v>116.33333333333333</v>
      </c>
      <c r="AW4" s="317">
        <f>HLOOKUP($A$1,$AH$2:$AS$406,ROW()-1,0)-HLOOKUP($A$1,$S$2:$AD$406,ROW()-1,0)</f>
        <v>-55</v>
      </c>
      <c r="AX4" s="317">
        <f>AU4-AF4</f>
        <v>6.6666666666666572</v>
      </c>
      <c r="AY4" s="1941">
        <f t="shared" ref="AY4:AY19" si="2">SUM(AH4:AS4)-SUM(S4:AD4)</f>
        <v>80</v>
      </c>
      <c r="AZ4" s="594">
        <f>HLOOKUP($A$1,$AH$2:$AS$505,ROW()-1,0)-HLOOKUP($A$1-1,$AH$2:$AS$505,ROW()-1,1)</f>
        <v>-34</v>
      </c>
      <c r="BA4" s="322"/>
    </row>
    <row r="5" spans="1:53" x14ac:dyDescent="0.55000000000000004">
      <c r="A5" s="7332"/>
      <c r="B5" s="8" t="s">
        <v>170</v>
      </c>
      <c r="C5" s="19" t="s">
        <v>171</v>
      </c>
      <c r="D5" s="837">
        <v>20</v>
      </c>
      <c r="E5" s="837">
        <v>20</v>
      </c>
      <c r="F5" s="837">
        <v>20</v>
      </c>
      <c r="G5" s="837">
        <v>20</v>
      </c>
      <c r="H5" s="837">
        <v>19</v>
      </c>
      <c r="I5" s="837">
        <v>19</v>
      </c>
      <c r="J5" s="837">
        <v>19</v>
      </c>
      <c r="K5" s="837">
        <v>19</v>
      </c>
      <c r="L5" s="837">
        <v>19</v>
      </c>
      <c r="M5" s="837">
        <v>19</v>
      </c>
      <c r="N5" s="837">
        <v>23</v>
      </c>
      <c r="O5" s="837">
        <v>23</v>
      </c>
      <c r="P5" s="1875">
        <f t="shared" ref="P5:P19" si="3">INDEX($D5:$O5, 1, MATCH(0, $D5:$O5, -1))</f>
        <v>23</v>
      </c>
      <c r="Q5" s="1875">
        <f t="shared" ref="Q5:Q19" si="4">AVERAGE(D5:O5)</f>
        <v>20</v>
      </c>
      <c r="R5" s="1867"/>
      <c r="S5" s="1876">
        <v>22</v>
      </c>
      <c r="T5" s="1867">
        <v>22</v>
      </c>
      <c r="U5" s="1867">
        <v>21</v>
      </c>
      <c r="V5" s="1867">
        <v>19</v>
      </c>
      <c r="W5" s="1867">
        <v>19</v>
      </c>
      <c r="X5" s="1867">
        <v>19</v>
      </c>
      <c r="Y5" s="1867">
        <v>29</v>
      </c>
      <c r="Z5" s="1867">
        <v>29</v>
      </c>
      <c r="AA5" s="1867">
        <v>29</v>
      </c>
      <c r="AB5" s="1867">
        <v>30</v>
      </c>
      <c r="AC5" s="1867">
        <v>30</v>
      </c>
      <c r="AD5" s="1867">
        <v>28</v>
      </c>
      <c r="AE5" s="1875">
        <f t="shared" ref="AE5:AE19" si="5">INDEX($S5:$AD5, 1, MATCH(0, $S5:$AD5, -1))</f>
        <v>28</v>
      </c>
      <c r="AF5" s="1875">
        <f t="shared" ref="AF5:AF19" si="6">AVERAGE(S5:AD5)</f>
        <v>24.75</v>
      </c>
      <c r="AG5" s="1867"/>
      <c r="AH5" s="1876">
        <v>7</v>
      </c>
      <c r="AI5" s="1867">
        <v>7</v>
      </c>
      <c r="AJ5" s="1867">
        <v>7</v>
      </c>
      <c r="AK5" s="1867">
        <v>16</v>
      </c>
      <c r="AL5" s="1867">
        <v>18</v>
      </c>
      <c r="AM5" s="1867">
        <v>18</v>
      </c>
      <c r="AN5" s="1867">
        <v>31</v>
      </c>
      <c r="AO5" s="1867">
        <v>31</v>
      </c>
      <c r="AP5" s="1867">
        <v>30</v>
      </c>
      <c r="AQ5" s="1867">
        <v>35</v>
      </c>
      <c r="AR5" s="1867">
        <v>35</v>
      </c>
      <c r="AS5" s="1867">
        <v>31</v>
      </c>
      <c r="AT5" s="1875">
        <f t="shared" ref="AT5:AT68" si="7">INDEX($AH5:$AS5, 1, MATCH(0, $AH5:$AS5, -1))</f>
        <v>31</v>
      </c>
      <c r="AU5" s="1875">
        <f t="shared" ref="AU5:AU19" si="8">AVERAGE(AH5:AS5)</f>
        <v>22.166666666666668</v>
      </c>
      <c r="AW5" s="317">
        <f t="shared" ref="AW5:AW68" si="9">HLOOKUP($A$1,$AH$2:$AS$406,ROW()-1,0)-HLOOKUP($A$1,$S$2:$AD$406,ROW()-1,0)</f>
        <v>3</v>
      </c>
      <c r="AX5" s="317">
        <f t="shared" ref="AX5:AX68" si="10">AU5-AF5</f>
        <v>-2.5833333333333321</v>
      </c>
      <c r="AY5" s="1941">
        <f t="shared" si="2"/>
        <v>-31</v>
      </c>
      <c r="AZ5" s="594">
        <f t="shared" ref="AZ5:AZ68" si="11">HLOOKUP($A$1,$AH$2:$AS$505,ROW()-1,0)-HLOOKUP($A$1-1,$AH$2:$AS$505,ROW()-1,1)</f>
        <v>-4</v>
      </c>
    </row>
    <row r="6" spans="1:53" x14ac:dyDescent="0.55000000000000004">
      <c r="A6" s="7332"/>
      <c r="B6" s="8"/>
      <c r="C6" s="19" t="s">
        <v>172</v>
      </c>
      <c r="D6" s="837">
        <v>14</v>
      </c>
      <c r="E6" s="837">
        <v>14</v>
      </c>
      <c r="F6" s="837">
        <v>15</v>
      </c>
      <c r="G6" s="837">
        <v>15</v>
      </c>
      <c r="H6" s="837">
        <v>14</v>
      </c>
      <c r="I6" s="837">
        <v>14</v>
      </c>
      <c r="J6" s="837">
        <v>14</v>
      </c>
      <c r="K6" s="837">
        <v>14</v>
      </c>
      <c r="L6" s="837">
        <v>13</v>
      </c>
      <c r="M6" s="837">
        <v>13</v>
      </c>
      <c r="N6" s="837">
        <v>24</v>
      </c>
      <c r="O6" s="837">
        <v>24</v>
      </c>
      <c r="P6" s="1875">
        <f t="shared" si="3"/>
        <v>24</v>
      </c>
      <c r="Q6" s="1875">
        <f t="shared" si="4"/>
        <v>15.666666666666666</v>
      </c>
      <c r="R6" s="1867"/>
      <c r="S6" s="1876">
        <v>24</v>
      </c>
      <c r="T6" s="1867">
        <v>22</v>
      </c>
      <c r="U6" s="1867">
        <v>21</v>
      </c>
      <c r="V6" s="1867">
        <v>21</v>
      </c>
      <c r="W6" s="1867">
        <v>20</v>
      </c>
      <c r="X6" s="1867">
        <v>20</v>
      </c>
      <c r="Y6" s="1867">
        <v>26</v>
      </c>
      <c r="Z6" s="1867">
        <v>25</v>
      </c>
      <c r="AA6" s="1867">
        <v>25</v>
      </c>
      <c r="AB6" s="1867">
        <v>19</v>
      </c>
      <c r="AC6" s="1867">
        <v>19</v>
      </c>
      <c r="AD6" s="1867">
        <v>19</v>
      </c>
      <c r="AE6" s="1875">
        <f t="shared" si="5"/>
        <v>19</v>
      </c>
      <c r="AF6" s="1875">
        <f t="shared" si="6"/>
        <v>21.75</v>
      </c>
      <c r="AG6" s="1867"/>
      <c r="AH6" s="1876">
        <v>14</v>
      </c>
      <c r="AI6" s="1867">
        <v>14</v>
      </c>
      <c r="AJ6" s="1867">
        <v>14</v>
      </c>
      <c r="AK6" s="1867">
        <v>10</v>
      </c>
      <c r="AL6" s="1867">
        <v>12</v>
      </c>
      <c r="AM6" s="1867">
        <v>12</v>
      </c>
      <c r="AN6" s="1867">
        <v>19</v>
      </c>
      <c r="AO6" s="1867">
        <v>19</v>
      </c>
      <c r="AP6" s="1867">
        <v>19</v>
      </c>
      <c r="AQ6" s="1867">
        <v>20</v>
      </c>
      <c r="AR6" s="1867">
        <v>20</v>
      </c>
      <c r="AS6" s="1867">
        <v>17</v>
      </c>
      <c r="AT6" s="1875">
        <f t="shared" si="7"/>
        <v>17</v>
      </c>
      <c r="AU6" s="1875">
        <f t="shared" si="8"/>
        <v>15.833333333333334</v>
      </c>
      <c r="AW6" s="317">
        <f t="shared" si="9"/>
        <v>-2</v>
      </c>
      <c r="AX6" s="317">
        <f t="shared" si="10"/>
        <v>-5.9166666666666661</v>
      </c>
      <c r="AY6" s="1941">
        <f t="shared" si="2"/>
        <v>-71</v>
      </c>
      <c r="AZ6" s="594">
        <f t="shared" si="11"/>
        <v>-3</v>
      </c>
    </row>
    <row r="7" spans="1:53" x14ac:dyDescent="0.55000000000000004">
      <c r="A7" s="7332"/>
      <c r="B7" s="8"/>
      <c r="C7" s="19" t="s">
        <v>173</v>
      </c>
      <c r="D7" s="837">
        <v>15</v>
      </c>
      <c r="E7" s="837">
        <v>15</v>
      </c>
      <c r="F7" s="837">
        <v>15</v>
      </c>
      <c r="G7" s="837">
        <v>15</v>
      </c>
      <c r="H7" s="837">
        <v>15</v>
      </c>
      <c r="I7" s="837">
        <v>15</v>
      </c>
      <c r="J7" s="837">
        <v>14</v>
      </c>
      <c r="K7" s="837">
        <v>14</v>
      </c>
      <c r="L7" s="837">
        <v>14</v>
      </c>
      <c r="M7" s="837">
        <v>14</v>
      </c>
      <c r="N7" s="837">
        <v>30</v>
      </c>
      <c r="O7" s="837">
        <v>27</v>
      </c>
      <c r="P7" s="1875">
        <f t="shared" si="3"/>
        <v>27</v>
      </c>
      <c r="Q7" s="1875">
        <f t="shared" si="4"/>
        <v>16.916666666666668</v>
      </c>
      <c r="R7" s="1867"/>
      <c r="S7" s="1876">
        <v>25</v>
      </c>
      <c r="T7" s="1867">
        <v>17</v>
      </c>
      <c r="U7" s="1867">
        <v>17</v>
      </c>
      <c r="V7" s="1867">
        <v>25</v>
      </c>
      <c r="W7" s="1867">
        <v>25</v>
      </c>
      <c r="X7" s="1867">
        <v>25</v>
      </c>
      <c r="Y7" s="1867">
        <v>24</v>
      </c>
      <c r="Z7" s="1867">
        <v>24</v>
      </c>
      <c r="AA7" s="1867">
        <v>24</v>
      </c>
      <c r="AB7" s="1867">
        <v>29</v>
      </c>
      <c r="AC7" s="1867">
        <v>27</v>
      </c>
      <c r="AD7" s="1867">
        <v>26</v>
      </c>
      <c r="AE7" s="1875">
        <f t="shared" si="5"/>
        <v>26</v>
      </c>
      <c r="AF7" s="1875">
        <f t="shared" si="6"/>
        <v>24</v>
      </c>
      <c r="AG7" s="1867"/>
      <c r="AH7" s="1876">
        <v>35</v>
      </c>
      <c r="AI7" s="1867">
        <v>35</v>
      </c>
      <c r="AJ7" s="1867">
        <v>33</v>
      </c>
      <c r="AK7" s="1867">
        <v>29</v>
      </c>
      <c r="AL7" s="1867">
        <v>33</v>
      </c>
      <c r="AM7" s="1867">
        <v>33</v>
      </c>
      <c r="AN7" s="1867">
        <v>27</v>
      </c>
      <c r="AO7" s="1867">
        <v>26</v>
      </c>
      <c r="AP7" s="1867">
        <v>25</v>
      </c>
      <c r="AQ7" s="1867">
        <v>35</v>
      </c>
      <c r="AR7" s="1867">
        <v>35</v>
      </c>
      <c r="AS7" s="1867">
        <v>14</v>
      </c>
      <c r="AT7" s="1875">
        <f t="shared" si="7"/>
        <v>14</v>
      </c>
      <c r="AU7" s="1875">
        <f t="shared" si="8"/>
        <v>30</v>
      </c>
      <c r="AW7" s="317">
        <f t="shared" si="9"/>
        <v>-12</v>
      </c>
      <c r="AX7" s="317">
        <f t="shared" si="10"/>
        <v>6</v>
      </c>
      <c r="AY7" s="1941">
        <f t="shared" si="2"/>
        <v>72</v>
      </c>
      <c r="AZ7" s="594">
        <f t="shared" si="11"/>
        <v>-21</v>
      </c>
    </row>
    <row r="8" spans="1:53" x14ac:dyDescent="0.55000000000000004">
      <c r="A8" s="7332"/>
      <c r="B8" s="8"/>
      <c r="C8" s="19" t="s">
        <v>538</v>
      </c>
      <c r="D8" s="837">
        <v>66</v>
      </c>
      <c r="E8" s="837">
        <v>67</v>
      </c>
      <c r="F8" s="837">
        <v>77</v>
      </c>
      <c r="G8" s="837">
        <v>72</v>
      </c>
      <c r="H8" s="837">
        <v>79</v>
      </c>
      <c r="I8" s="837">
        <v>79</v>
      </c>
      <c r="J8" s="837">
        <v>79</v>
      </c>
      <c r="K8" s="837">
        <v>77</v>
      </c>
      <c r="L8" s="837">
        <v>80</v>
      </c>
      <c r="M8" s="837">
        <v>74</v>
      </c>
      <c r="N8" s="837">
        <v>39</v>
      </c>
      <c r="O8" s="837">
        <v>34</v>
      </c>
      <c r="P8" s="1875">
        <f t="shared" si="3"/>
        <v>34</v>
      </c>
      <c r="Q8" s="1875">
        <f t="shared" si="4"/>
        <v>68.583333333333329</v>
      </c>
      <c r="R8" s="1867"/>
      <c r="S8" s="1876">
        <v>31</v>
      </c>
      <c r="T8" s="1867">
        <v>16</v>
      </c>
      <c r="U8" s="1867">
        <v>14</v>
      </c>
      <c r="V8" s="1867">
        <v>35</v>
      </c>
      <c r="W8" s="1867">
        <v>43</v>
      </c>
      <c r="X8" s="1867">
        <v>45</v>
      </c>
      <c r="Y8" s="1867">
        <v>34</v>
      </c>
      <c r="Z8" s="1867">
        <v>33</v>
      </c>
      <c r="AA8" s="1867">
        <v>36</v>
      </c>
      <c r="AB8" s="1867">
        <v>37</v>
      </c>
      <c r="AC8" s="1867">
        <v>44</v>
      </c>
      <c r="AD8" s="1867">
        <v>50</v>
      </c>
      <c r="AE8" s="1875">
        <f t="shared" si="5"/>
        <v>50</v>
      </c>
      <c r="AF8" s="1875">
        <f t="shared" si="6"/>
        <v>34.833333333333336</v>
      </c>
      <c r="AG8" s="1867"/>
      <c r="AH8" s="1876">
        <v>74</v>
      </c>
      <c r="AI8" s="1867">
        <v>72</v>
      </c>
      <c r="AJ8" s="1867">
        <v>85</v>
      </c>
      <c r="AK8" s="1867">
        <v>71</v>
      </c>
      <c r="AL8" s="1867">
        <v>71</v>
      </c>
      <c r="AM8" s="1867">
        <v>66</v>
      </c>
      <c r="AN8" s="1867">
        <v>34</v>
      </c>
      <c r="AO8" s="1867">
        <v>32</v>
      </c>
      <c r="AP8" s="1867">
        <v>33</v>
      </c>
      <c r="AQ8" s="1867">
        <v>12</v>
      </c>
      <c r="AR8" s="1867">
        <v>12</v>
      </c>
      <c r="AS8" s="1867">
        <v>6</v>
      </c>
      <c r="AT8" s="1875">
        <f t="shared" si="7"/>
        <v>6</v>
      </c>
      <c r="AU8" s="1875">
        <f t="shared" si="8"/>
        <v>47.333333333333336</v>
      </c>
      <c r="AW8" s="317">
        <f t="shared" si="9"/>
        <v>-44</v>
      </c>
      <c r="AX8" s="317">
        <f>AU8-AF8</f>
        <v>12.5</v>
      </c>
      <c r="AY8" s="1941">
        <f t="shared" si="2"/>
        <v>150</v>
      </c>
      <c r="AZ8" s="594">
        <f t="shared" si="11"/>
        <v>-6</v>
      </c>
    </row>
    <row r="9" spans="1:53" x14ac:dyDescent="0.55000000000000004">
      <c r="A9" s="7332"/>
      <c r="B9" s="8"/>
      <c r="C9" s="19" t="s">
        <v>540</v>
      </c>
      <c r="D9" s="837">
        <v>5</v>
      </c>
      <c r="E9" s="837">
        <v>9</v>
      </c>
      <c r="F9" s="837">
        <v>9</v>
      </c>
      <c r="G9" s="837">
        <v>12</v>
      </c>
      <c r="H9" s="837">
        <v>14</v>
      </c>
      <c r="I9" s="837">
        <v>15</v>
      </c>
      <c r="J9" s="837">
        <v>16</v>
      </c>
      <c r="K9" s="837">
        <v>17</v>
      </c>
      <c r="L9" s="837">
        <v>18</v>
      </c>
      <c r="M9" s="837">
        <v>18</v>
      </c>
      <c r="N9" s="837">
        <v>18</v>
      </c>
      <c r="O9" s="837">
        <v>17</v>
      </c>
      <c r="P9" s="1875">
        <f t="shared" si="3"/>
        <v>17</v>
      </c>
      <c r="Q9" s="1875">
        <f t="shared" si="4"/>
        <v>14</v>
      </c>
      <c r="R9" s="1867"/>
      <c r="S9" s="1876">
        <v>17</v>
      </c>
      <c r="T9" s="1867">
        <v>17</v>
      </c>
      <c r="U9" s="1867">
        <v>18</v>
      </c>
      <c r="V9" s="1867">
        <v>0</v>
      </c>
      <c r="W9" s="1867">
        <v>0</v>
      </c>
      <c r="X9" s="1867">
        <v>0</v>
      </c>
      <c r="Y9" s="1867">
        <v>0</v>
      </c>
      <c r="Z9" s="1867">
        <v>0</v>
      </c>
      <c r="AA9" s="1867">
        <v>0</v>
      </c>
      <c r="AB9" s="1867">
        <v>0</v>
      </c>
      <c r="AC9" s="1867">
        <v>0</v>
      </c>
      <c r="AD9" s="1867">
        <v>0</v>
      </c>
      <c r="AE9" s="1875">
        <f t="shared" si="5"/>
        <v>0</v>
      </c>
      <c r="AF9" s="1875">
        <f t="shared" si="6"/>
        <v>4.333333333333333</v>
      </c>
      <c r="AG9" s="1867"/>
      <c r="AH9" s="1876">
        <v>0</v>
      </c>
      <c r="AI9" s="1867">
        <v>0</v>
      </c>
      <c r="AJ9" s="1867">
        <v>0</v>
      </c>
      <c r="AK9" s="1867">
        <v>0</v>
      </c>
      <c r="AL9" s="1867">
        <v>0</v>
      </c>
      <c r="AM9" s="1867">
        <v>0</v>
      </c>
      <c r="AN9" s="1867">
        <v>0</v>
      </c>
      <c r="AO9" s="1867">
        <v>0</v>
      </c>
      <c r="AP9" s="1867">
        <v>0</v>
      </c>
      <c r="AQ9" s="1867">
        <v>0</v>
      </c>
      <c r="AR9" s="1867">
        <v>0</v>
      </c>
      <c r="AS9" s="1867">
        <v>0</v>
      </c>
      <c r="AT9" s="1875">
        <f t="shared" si="7"/>
        <v>0</v>
      </c>
      <c r="AU9" s="1875">
        <f t="shared" si="8"/>
        <v>0</v>
      </c>
      <c r="AW9" s="317">
        <f>HLOOKUP($A$1,$AH$2:$AS$406,ROW()-1,0)-HLOOKUP($A$1,$S$2:$AD$406,ROW()-1,0)</f>
        <v>0</v>
      </c>
      <c r="AX9" s="317">
        <f t="shared" si="10"/>
        <v>-4.333333333333333</v>
      </c>
      <c r="AY9" s="1941">
        <f t="shared" si="2"/>
        <v>-52</v>
      </c>
      <c r="AZ9" s="594">
        <f t="shared" si="11"/>
        <v>0</v>
      </c>
    </row>
    <row r="10" spans="1:53" x14ac:dyDescent="0.55000000000000004">
      <c r="A10" s="7332"/>
      <c r="B10" s="71" t="s">
        <v>186</v>
      </c>
      <c r="C10" s="840" t="s">
        <v>68</v>
      </c>
      <c r="D10" s="873">
        <v>20</v>
      </c>
      <c r="E10" s="874">
        <v>23</v>
      </c>
      <c r="F10" s="874">
        <v>25</v>
      </c>
      <c r="G10" s="874">
        <v>26</v>
      </c>
      <c r="H10" s="874">
        <v>27</v>
      </c>
      <c r="I10" s="874">
        <v>27</v>
      </c>
      <c r="J10" s="874">
        <v>27</v>
      </c>
      <c r="K10" s="874">
        <v>26</v>
      </c>
      <c r="L10" s="874">
        <v>27</v>
      </c>
      <c r="M10" s="874">
        <v>24</v>
      </c>
      <c r="N10" s="874">
        <v>21</v>
      </c>
      <c r="O10" s="875">
        <v>18</v>
      </c>
      <c r="P10" s="1877">
        <f t="shared" si="3"/>
        <v>18</v>
      </c>
      <c r="Q10" s="1877">
        <f t="shared" si="4"/>
        <v>24.25</v>
      </c>
      <c r="R10" s="1867"/>
      <c r="S10" s="1878">
        <v>18</v>
      </c>
      <c r="T10" s="1879">
        <v>18</v>
      </c>
      <c r="U10" s="1879">
        <v>17</v>
      </c>
      <c r="V10" s="1879">
        <v>17</v>
      </c>
      <c r="W10" s="1879">
        <v>16</v>
      </c>
      <c r="X10" s="1879">
        <v>17</v>
      </c>
      <c r="Y10" s="1879">
        <v>18</v>
      </c>
      <c r="Z10" s="1879">
        <v>18</v>
      </c>
      <c r="AA10" s="1879">
        <v>18</v>
      </c>
      <c r="AB10" s="1879">
        <v>18</v>
      </c>
      <c r="AC10" s="1879">
        <v>21</v>
      </c>
      <c r="AD10" s="1880">
        <v>23</v>
      </c>
      <c r="AE10" s="1877">
        <f t="shared" si="5"/>
        <v>23</v>
      </c>
      <c r="AF10" s="1877">
        <f t="shared" si="6"/>
        <v>18.25</v>
      </c>
      <c r="AG10" s="1867"/>
      <c r="AH10" s="1878">
        <v>22</v>
      </c>
      <c r="AI10" s="1879">
        <v>22</v>
      </c>
      <c r="AJ10" s="1879">
        <v>27</v>
      </c>
      <c r="AK10" s="1879">
        <v>28</v>
      </c>
      <c r="AL10" s="1879">
        <v>27</v>
      </c>
      <c r="AM10" s="1879">
        <v>27</v>
      </c>
      <c r="AN10" s="1879">
        <v>23</v>
      </c>
      <c r="AO10" s="1879">
        <v>23</v>
      </c>
      <c r="AP10" s="1879">
        <v>23</v>
      </c>
      <c r="AQ10" s="1879">
        <v>22</v>
      </c>
      <c r="AR10" s="1879">
        <v>22</v>
      </c>
      <c r="AS10" s="1880">
        <v>16</v>
      </c>
      <c r="AT10" s="1877">
        <f t="shared" si="7"/>
        <v>16</v>
      </c>
      <c r="AU10" s="1877">
        <f t="shared" si="8"/>
        <v>23.5</v>
      </c>
      <c r="AW10" s="317">
        <f t="shared" si="9"/>
        <v>-7</v>
      </c>
      <c r="AX10" s="317">
        <f>AU10-AF10</f>
        <v>5.25</v>
      </c>
      <c r="AY10" s="1941">
        <f t="shared" si="2"/>
        <v>63</v>
      </c>
      <c r="AZ10" s="594">
        <f t="shared" si="11"/>
        <v>-6</v>
      </c>
    </row>
    <row r="11" spans="1:53" x14ac:dyDescent="0.55000000000000004">
      <c r="A11" s="7332"/>
      <c r="B11" s="8"/>
      <c r="C11" s="841" t="s">
        <v>69</v>
      </c>
      <c r="D11" s="837">
        <v>19</v>
      </c>
      <c r="E11" s="837">
        <v>19</v>
      </c>
      <c r="F11" s="837">
        <v>22</v>
      </c>
      <c r="G11" s="837">
        <v>20</v>
      </c>
      <c r="H11" s="837">
        <v>20</v>
      </c>
      <c r="I11" s="837">
        <v>21</v>
      </c>
      <c r="J11" s="837">
        <v>21</v>
      </c>
      <c r="K11" s="837">
        <v>21</v>
      </c>
      <c r="L11" s="837">
        <v>22</v>
      </c>
      <c r="M11" s="837">
        <v>22</v>
      </c>
      <c r="N11" s="837">
        <v>21</v>
      </c>
      <c r="O11" s="837">
        <v>19</v>
      </c>
      <c r="P11" s="1875">
        <f t="shared" si="3"/>
        <v>19</v>
      </c>
      <c r="Q11" s="1875">
        <f t="shared" si="4"/>
        <v>20.583333333333332</v>
      </c>
      <c r="R11" s="1867"/>
      <c r="S11" s="1876">
        <v>18</v>
      </c>
      <c r="T11" s="1867">
        <v>13</v>
      </c>
      <c r="U11" s="1867">
        <v>12</v>
      </c>
      <c r="V11" s="1867">
        <v>14</v>
      </c>
      <c r="W11" s="1867">
        <v>14</v>
      </c>
      <c r="X11" s="1867">
        <v>14</v>
      </c>
      <c r="Y11" s="1867">
        <v>15</v>
      </c>
      <c r="Z11" s="1867">
        <v>14</v>
      </c>
      <c r="AA11" s="1867">
        <v>14</v>
      </c>
      <c r="AB11" s="1867">
        <v>15</v>
      </c>
      <c r="AC11" s="1867">
        <v>16</v>
      </c>
      <c r="AD11" s="1867">
        <v>15</v>
      </c>
      <c r="AE11" s="1875">
        <f t="shared" si="5"/>
        <v>15</v>
      </c>
      <c r="AF11" s="1875">
        <f t="shared" si="6"/>
        <v>14.5</v>
      </c>
      <c r="AG11" s="1867"/>
      <c r="AH11" s="1876">
        <v>16</v>
      </c>
      <c r="AI11" s="1867">
        <v>15</v>
      </c>
      <c r="AJ11" s="1867">
        <v>17</v>
      </c>
      <c r="AK11" s="1867">
        <v>16</v>
      </c>
      <c r="AL11" s="1867">
        <v>15</v>
      </c>
      <c r="AM11" s="1867">
        <v>15</v>
      </c>
      <c r="AN11" s="1867">
        <v>14</v>
      </c>
      <c r="AO11" s="1867">
        <v>12</v>
      </c>
      <c r="AP11" s="1867">
        <v>12</v>
      </c>
      <c r="AQ11" s="1867">
        <v>12</v>
      </c>
      <c r="AR11" s="1867">
        <v>12</v>
      </c>
      <c r="AS11" s="1867">
        <v>9</v>
      </c>
      <c r="AT11" s="1875">
        <f t="shared" si="7"/>
        <v>9</v>
      </c>
      <c r="AU11" s="1875">
        <f t="shared" si="8"/>
        <v>13.75</v>
      </c>
      <c r="AW11" s="317">
        <f t="shared" si="9"/>
        <v>-6</v>
      </c>
      <c r="AX11" s="317">
        <f t="shared" si="10"/>
        <v>-0.75</v>
      </c>
      <c r="AY11" s="1941">
        <f t="shared" si="2"/>
        <v>-9</v>
      </c>
      <c r="AZ11" s="594">
        <f t="shared" si="11"/>
        <v>-3</v>
      </c>
    </row>
    <row r="12" spans="1:53" x14ac:dyDescent="0.55000000000000004">
      <c r="A12" s="7332"/>
      <c r="B12" s="8"/>
      <c r="C12" s="841" t="s">
        <v>70</v>
      </c>
      <c r="D12" s="837">
        <v>21</v>
      </c>
      <c r="E12" s="837">
        <v>21</v>
      </c>
      <c r="F12" s="837">
        <v>22</v>
      </c>
      <c r="G12" s="837">
        <v>22</v>
      </c>
      <c r="H12" s="837">
        <v>26</v>
      </c>
      <c r="I12" s="837">
        <v>25</v>
      </c>
      <c r="J12" s="837">
        <v>26</v>
      </c>
      <c r="K12" s="837">
        <v>25</v>
      </c>
      <c r="L12" s="837">
        <v>25</v>
      </c>
      <c r="M12" s="837">
        <v>24</v>
      </c>
      <c r="N12" s="837">
        <v>26</v>
      </c>
      <c r="O12" s="837">
        <v>26</v>
      </c>
      <c r="P12" s="1875">
        <f t="shared" si="3"/>
        <v>26</v>
      </c>
      <c r="Q12" s="1875">
        <f t="shared" si="4"/>
        <v>24.083333333333332</v>
      </c>
      <c r="R12" s="1867"/>
      <c r="S12" s="1876">
        <v>25</v>
      </c>
      <c r="T12" s="1867">
        <v>17</v>
      </c>
      <c r="U12" s="1867">
        <v>17</v>
      </c>
      <c r="V12" s="1867">
        <v>17</v>
      </c>
      <c r="W12" s="1867">
        <v>18</v>
      </c>
      <c r="X12" s="1867">
        <v>18</v>
      </c>
      <c r="Y12" s="1867">
        <v>21</v>
      </c>
      <c r="Z12" s="1867">
        <v>21</v>
      </c>
      <c r="AA12" s="1867">
        <v>21</v>
      </c>
      <c r="AB12" s="1867">
        <v>20</v>
      </c>
      <c r="AC12" s="1867">
        <v>21</v>
      </c>
      <c r="AD12" s="1867">
        <v>21</v>
      </c>
      <c r="AE12" s="1875">
        <f t="shared" si="5"/>
        <v>21</v>
      </c>
      <c r="AF12" s="1875">
        <f t="shared" si="6"/>
        <v>19.75</v>
      </c>
      <c r="AG12" s="1867"/>
      <c r="AH12" s="1876">
        <v>22</v>
      </c>
      <c r="AI12" s="1867">
        <v>23</v>
      </c>
      <c r="AJ12" s="1867">
        <v>23</v>
      </c>
      <c r="AK12" s="1867">
        <v>20</v>
      </c>
      <c r="AL12" s="1867">
        <v>20</v>
      </c>
      <c r="AM12" s="1867">
        <v>20</v>
      </c>
      <c r="AN12" s="1867">
        <v>19</v>
      </c>
      <c r="AO12" s="1867">
        <v>19</v>
      </c>
      <c r="AP12" s="1867">
        <v>17</v>
      </c>
      <c r="AQ12" s="1867">
        <v>16</v>
      </c>
      <c r="AR12" s="1867">
        <v>16</v>
      </c>
      <c r="AS12" s="1867">
        <v>11</v>
      </c>
      <c r="AT12" s="1875">
        <f t="shared" si="7"/>
        <v>11</v>
      </c>
      <c r="AU12" s="1875">
        <f t="shared" si="8"/>
        <v>18.833333333333332</v>
      </c>
      <c r="AW12" s="317">
        <f t="shared" si="9"/>
        <v>-10</v>
      </c>
      <c r="AX12" s="317">
        <f t="shared" si="10"/>
        <v>-0.91666666666666785</v>
      </c>
      <c r="AY12" s="1941">
        <f t="shared" si="2"/>
        <v>-11</v>
      </c>
      <c r="AZ12" s="594">
        <f t="shared" si="11"/>
        <v>-5</v>
      </c>
    </row>
    <row r="13" spans="1:53" x14ac:dyDescent="0.55000000000000004">
      <c r="A13" s="7332"/>
      <c r="B13" s="8"/>
      <c r="C13" s="841" t="s">
        <v>176</v>
      </c>
      <c r="D13" s="837">
        <v>31</v>
      </c>
      <c r="E13" s="837">
        <v>33</v>
      </c>
      <c r="F13" s="837">
        <v>39</v>
      </c>
      <c r="G13" s="837">
        <v>38</v>
      </c>
      <c r="H13" s="837">
        <v>39</v>
      </c>
      <c r="I13" s="837">
        <v>38</v>
      </c>
      <c r="J13" s="837">
        <v>38</v>
      </c>
      <c r="K13" s="837">
        <v>39</v>
      </c>
      <c r="L13" s="837">
        <v>40</v>
      </c>
      <c r="M13" s="837">
        <v>39</v>
      </c>
      <c r="N13" s="837">
        <v>39</v>
      </c>
      <c r="O13" s="837">
        <v>36</v>
      </c>
      <c r="P13" s="1875">
        <f t="shared" si="3"/>
        <v>36</v>
      </c>
      <c r="Q13" s="1875">
        <f t="shared" si="4"/>
        <v>37.416666666666664</v>
      </c>
      <c r="R13" s="1867"/>
      <c r="S13" s="1876">
        <v>33</v>
      </c>
      <c r="T13" s="1867">
        <v>23</v>
      </c>
      <c r="U13" s="1867">
        <v>23</v>
      </c>
      <c r="V13" s="1867">
        <v>26</v>
      </c>
      <c r="W13" s="1867">
        <v>28</v>
      </c>
      <c r="X13" s="1867">
        <v>27</v>
      </c>
      <c r="Y13" s="1867">
        <v>27</v>
      </c>
      <c r="Z13" s="1867">
        <v>26</v>
      </c>
      <c r="AA13" s="1867">
        <v>26</v>
      </c>
      <c r="AB13" s="1867">
        <v>27</v>
      </c>
      <c r="AC13" s="1867">
        <v>28</v>
      </c>
      <c r="AD13" s="1867">
        <v>29</v>
      </c>
      <c r="AE13" s="1875">
        <f t="shared" si="5"/>
        <v>29</v>
      </c>
      <c r="AF13" s="1875">
        <f t="shared" si="6"/>
        <v>26.916666666666668</v>
      </c>
      <c r="AG13" s="1867"/>
      <c r="AH13" s="1876">
        <v>29</v>
      </c>
      <c r="AI13" s="1867">
        <v>29</v>
      </c>
      <c r="AJ13" s="1867">
        <v>29</v>
      </c>
      <c r="AK13" s="1867">
        <v>30</v>
      </c>
      <c r="AL13" s="1867">
        <v>29</v>
      </c>
      <c r="AM13" s="1867">
        <v>29</v>
      </c>
      <c r="AN13" s="1867">
        <v>27</v>
      </c>
      <c r="AO13" s="1867">
        <v>26</v>
      </c>
      <c r="AP13" s="1867">
        <v>26</v>
      </c>
      <c r="AQ13" s="1867">
        <v>25</v>
      </c>
      <c r="AR13" s="1867">
        <v>25</v>
      </c>
      <c r="AS13" s="1867">
        <v>15</v>
      </c>
      <c r="AT13" s="1875">
        <f t="shared" si="7"/>
        <v>15</v>
      </c>
      <c r="AU13" s="1875">
        <f t="shared" si="8"/>
        <v>26.583333333333332</v>
      </c>
      <c r="AW13" s="317">
        <f t="shared" si="9"/>
        <v>-14</v>
      </c>
      <c r="AX13" s="317">
        <f t="shared" si="10"/>
        <v>-0.3333333333333357</v>
      </c>
      <c r="AY13" s="1941">
        <f t="shared" si="2"/>
        <v>-4</v>
      </c>
      <c r="AZ13" s="594">
        <f t="shared" si="11"/>
        <v>-10</v>
      </c>
    </row>
    <row r="14" spans="1:53" x14ac:dyDescent="0.55000000000000004">
      <c r="A14" s="7332"/>
      <c r="B14" s="72"/>
      <c r="C14" s="842" t="s">
        <v>177</v>
      </c>
      <c r="D14" s="837">
        <v>29</v>
      </c>
      <c r="E14" s="837">
        <v>29</v>
      </c>
      <c r="F14" s="837">
        <v>28</v>
      </c>
      <c r="G14" s="837">
        <v>28</v>
      </c>
      <c r="H14" s="837">
        <v>29</v>
      </c>
      <c r="I14" s="837">
        <v>31</v>
      </c>
      <c r="J14" s="837">
        <v>30</v>
      </c>
      <c r="K14" s="837">
        <v>30</v>
      </c>
      <c r="L14" s="837">
        <v>30</v>
      </c>
      <c r="M14" s="837">
        <v>29</v>
      </c>
      <c r="N14" s="837">
        <v>27</v>
      </c>
      <c r="O14" s="837">
        <v>26</v>
      </c>
      <c r="P14" s="1881">
        <f t="shared" si="3"/>
        <v>26</v>
      </c>
      <c r="Q14" s="1881">
        <f t="shared" si="4"/>
        <v>28.833333333333332</v>
      </c>
      <c r="R14" s="1867"/>
      <c r="S14" s="1876">
        <v>25</v>
      </c>
      <c r="T14" s="1867">
        <v>23</v>
      </c>
      <c r="U14" s="1867">
        <v>22</v>
      </c>
      <c r="V14" s="1867">
        <v>26</v>
      </c>
      <c r="W14" s="1867">
        <v>31</v>
      </c>
      <c r="X14" s="1867">
        <v>33</v>
      </c>
      <c r="Y14" s="1867">
        <v>32</v>
      </c>
      <c r="Z14" s="1867">
        <v>32</v>
      </c>
      <c r="AA14" s="1867">
        <v>35</v>
      </c>
      <c r="AB14" s="1867">
        <v>35</v>
      </c>
      <c r="AC14" s="1867">
        <v>34</v>
      </c>
      <c r="AD14" s="1867">
        <v>35</v>
      </c>
      <c r="AE14" s="1881">
        <f t="shared" si="5"/>
        <v>35</v>
      </c>
      <c r="AF14" s="1881">
        <f t="shared" si="6"/>
        <v>30.25</v>
      </c>
      <c r="AG14" s="1867"/>
      <c r="AH14" s="1876">
        <v>41</v>
      </c>
      <c r="AI14" s="1867">
        <v>39</v>
      </c>
      <c r="AJ14" s="1867">
        <v>43</v>
      </c>
      <c r="AK14" s="1867">
        <v>44</v>
      </c>
      <c r="AL14" s="1867">
        <v>43</v>
      </c>
      <c r="AM14" s="1867">
        <v>38</v>
      </c>
      <c r="AN14" s="1867">
        <v>28</v>
      </c>
      <c r="AO14" s="1867">
        <v>28</v>
      </c>
      <c r="AP14" s="1867">
        <v>29</v>
      </c>
      <c r="AQ14" s="1867">
        <v>27</v>
      </c>
      <c r="AR14" s="1867">
        <v>27</v>
      </c>
      <c r="AS14" s="1867">
        <v>17</v>
      </c>
      <c r="AT14" s="1881">
        <f t="shared" si="7"/>
        <v>17</v>
      </c>
      <c r="AU14" s="1881">
        <f t="shared" si="8"/>
        <v>33.666666666666664</v>
      </c>
      <c r="AW14" s="317">
        <f t="shared" si="9"/>
        <v>-18</v>
      </c>
      <c r="AX14" s="317">
        <f t="shared" si="10"/>
        <v>3.4166666666666643</v>
      </c>
      <c r="AY14" s="1941">
        <f t="shared" si="2"/>
        <v>41</v>
      </c>
      <c r="AZ14" s="594">
        <f t="shared" si="11"/>
        <v>-10</v>
      </c>
    </row>
    <row r="15" spans="1:53" x14ac:dyDescent="0.55000000000000004">
      <c r="A15" s="7332"/>
      <c r="B15" s="35" t="s">
        <v>174</v>
      </c>
      <c r="C15" s="843" t="s">
        <v>171</v>
      </c>
      <c r="D15" s="876">
        <v>34.126999999999995</v>
      </c>
      <c r="E15" s="877">
        <v>49.11</v>
      </c>
      <c r="F15" s="877">
        <v>47.091000000000001</v>
      </c>
      <c r="G15" s="877">
        <v>31.716999999999995</v>
      </c>
      <c r="H15" s="877">
        <v>43.489999999999995</v>
      </c>
      <c r="I15" s="877">
        <v>38.522000000000006</v>
      </c>
      <c r="J15" s="877">
        <v>40.428999999999995</v>
      </c>
      <c r="K15" s="877">
        <v>47.673000000000002</v>
      </c>
      <c r="L15" s="877">
        <v>32.099000000000004</v>
      </c>
      <c r="M15" s="877">
        <v>32.432000000000002</v>
      </c>
      <c r="N15" s="877">
        <v>38.590285714285713</v>
      </c>
      <c r="O15" s="878">
        <v>34.531095238095233</v>
      </c>
      <c r="P15" s="1882">
        <f t="shared" si="3"/>
        <v>34.531095238095233</v>
      </c>
      <c r="Q15" s="1882">
        <f t="shared" si="4"/>
        <v>39.150948412698405</v>
      </c>
      <c r="R15" s="1867"/>
      <c r="S15" s="1883">
        <v>209.18166666666667</v>
      </c>
      <c r="T15" s="1884">
        <v>168.07499999999999</v>
      </c>
      <c r="U15" s="1884">
        <v>43.541666666666671</v>
      </c>
      <c r="V15" s="1884">
        <v>50.011250000000004</v>
      </c>
      <c r="W15" s="1884">
        <v>50.324999999999996</v>
      </c>
      <c r="X15" s="1884">
        <v>67.873684210526307</v>
      </c>
      <c r="Y15" s="1884">
        <v>60.5</v>
      </c>
      <c r="Z15" s="1884">
        <v>54.5</v>
      </c>
      <c r="AA15" s="1884">
        <v>59.9</v>
      </c>
      <c r="AB15" s="1884">
        <v>47.4</v>
      </c>
      <c r="AC15" s="1884">
        <v>28.5</v>
      </c>
      <c r="AD15" s="1885">
        <v>29.6</v>
      </c>
      <c r="AE15" s="1882">
        <f t="shared" si="5"/>
        <v>29.6</v>
      </c>
      <c r="AF15" s="1882">
        <f t="shared" si="6"/>
        <v>72.450688961988305</v>
      </c>
      <c r="AG15" s="1867"/>
      <c r="AH15" s="1883">
        <v>61.2</v>
      </c>
      <c r="AI15" s="1884">
        <v>69.099999999999994</v>
      </c>
      <c r="AJ15" s="1884">
        <v>78.7</v>
      </c>
      <c r="AK15" s="1884">
        <v>52.3</v>
      </c>
      <c r="AL15" s="1884">
        <v>55.7</v>
      </c>
      <c r="AM15" s="1884">
        <v>53.2</v>
      </c>
      <c r="AN15" s="1884">
        <v>80.400000000000006</v>
      </c>
      <c r="AO15" s="1884">
        <v>55.5</v>
      </c>
      <c r="AP15" s="1884">
        <v>68.5</v>
      </c>
      <c r="AQ15" s="1884">
        <v>51</v>
      </c>
      <c r="AR15" s="1884">
        <v>40.299999999999997</v>
      </c>
      <c r="AS15" s="1885">
        <v>36.1</v>
      </c>
      <c r="AT15" s="1882">
        <f t="shared" si="7"/>
        <v>36.1</v>
      </c>
      <c r="AU15" s="1882">
        <f t="shared" si="8"/>
        <v>58.5</v>
      </c>
      <c r="AW15" s="317">
        <f t="shared" si="9"/>
        <v>6.5</v>
      </c>
      <c r="AX15" s="317">
        <f t="shared" si="10"/>
        <v>-13.950688961988305</v>
      </c>
      <c r="AY15" s="1941">
        <f t="shared" si="2"/>
        <v>-167.40826754385967</v>
      </c>
      <c r="AZ15" s="594">
        <f t="shared" si="11"/>
        <v>-4.1999999999999957</v>
      </c>
    </row>
    <row r="16" spans="1:53" x14ac:dyDescent="0.55000000000000004">
      <c r="A16" s="7332"/>
      <c r="B16" s="35"/>
      <c r="C16" s="36" t="s">
        <v>172</v>
      </c>
      <c r="D16" s="845">
        <v>24.41</v>
      </c>
      <c r="E16" s="845">
        <v>21.6</v>
      </c>
      <c r="F16" s="845">
        <v>25.071000000000005</v>
      </c>
      <c r="G16" s="845">
        <v>24.286999999999999</v>
      </c>
      <c r="H16" s="845">
        <v>30.357000000000006</v>
      </c>
      <c r="I16" s="845">
        <v>29.70933333333333</v>
      </c>
      <c r="J16" s="845">
        <v>27.493000000000002</v>
      </c>
      <c r="K16" s="845">
        <v>36.261333333333326</v>
      </c>
      <c r="L16" s="845">
        <v>27.77</v>
      </c>
      <c r="M16" s="845">
        <v>23.271999999999998</v>
      </c>
      <c r="N16" s="845">
        <v>42.647499999999994</v>
      </c>
      <c r="O16" s="845">
        <v>39.661666666666669</v>
      </c>
      <c r="P16" s="1882">
        <f t="shared" si="3"/>
        <v>39.661666666666669</v>
      </c>
      <c r="Q16" s="1882">
        <f t="shared" si="4"/>
        <v>29.378319444444447</v>
      </c>
      <c r="R16" s="1867"/>
      <c r="S16" s="1886">
        <v>172.12916666666666</v>
      </c>
      <c r="T16" s="1887">
        <v>171.89999999999998</v>
      </c>
      <c r="U16" s="1887">
        <v>39.599619047619043</v>
      </c>
      <c r="V16" s="1887">
        <v>30.981000000000005</v>
      </c>
      <c r="W16" s="1887">
        <v>35.980000000000004</v>
      </c>
      <c r="X16" s="1887">
        <v>34.644999999999996</v>
      </c>
      <c r="Y16" s="1887">
        <v>37.5</v>
      </c>
      <c r="Z16" s="1887">
        <v>32.46</v>
      </c>
      <c r="AA16" s="1887">
        <v>35.200000000000003</v>
      </c>
      <c r="AB16" s="1887">
        <v>28.5</v>
      </c>
      <c r="AC16" s="1887">
        <v>23.2</v>
      </c>
      <c r="AD16" s="1887">
        <v>24.1</v>
      </c>
      <c r="AE16" s="1882">
        <f t="shared" si="5"/>
        <v>24.1</v>
      </c>
      <c r="AF16" s="1882">
        <f t="shared" si="6"/>
        <v>55.516232142857149</v>
      </c>
      <c r="AG16" s="1867"/>
      <c r="AH16" s="1886">
        <v>27.9</v>
      </c>
      <c r="AI16" s="1887">
        <v>47.6</v>
      </c>
      <c r="AJ16" s="1887">
        <v>49.8</v>
      </c>
      <c r="AK16" s="1887">
        <v>49.5</v>
      </c>
      <c r="AL16" s="1887">
        <v>39</v>
      </c>
      <c r="AM16" s="1887">
        <v>40.700000000000003</v>
      </c>
      <c r="AN16" s="1887">
        <v>49.2</v>
      </c>
      <c r="AO16" s="1887">
        <v>31.1</v>
      </c>
      <c r="AP16" s="1887">
        <v>56.6</v>
      </c>
      <c r="AQ16" s="1887">
        <v>32.299999999999997</v>
      </c>
      <c r="AR16" s="1887">
        <v>24</v>
      </c>
      <c r="AS16" s="1887">
        <v>15.5</v>
      </c>
      <c r="AT16" s="1882">
        <f t="shared" si="7"/>
        <v>15.5</v>
      </c>
      <c r="AU16" s="1882">
        <f t="shared" si="8"/>
        <v>38.6</v>
      </c>
      <c r="AW16" s="317">
        <f t="shared" si="9"/>
        <v>-8.6000000000000014</v>
      </c>
      <c r="AX16" s="317">
        <f t="shared" si="10"/>
        <v>-16.916232142857147</v>
      </c>
      <c r="AY16" s="1941">
        <f t="shared" si="2"/>
        <v>-202.99478571428574</v>
      </c>
      <c r="AZ16" s="594">
        <f t="shared" si="11"/>
        <v>-8.5</v>
      </c>
    </row>
    <row r="17" spans="1:52" x14ac:dyDescent="0.55000000000000004">
      <c r="A17" s="7332"/>
      <c r="B17" s="35"/>
      <c r="C17" s="36" t="s">
        <v>173</v>
      </c>
      <c r="D17" s="845">
        <v>24.332857142857144</v>
      </c>
      <c r="E17" s="845">
        <v>28.548095238095236</v>
      </c>
      <c r="F17" s="845">
        <v>32.153809523809528</v>
      </c>
      <c r="G17" s="845">
        <v>33.141904761904762</v>
      </c>
      <c r="H17" s="845">
        <v>30.388571428571431</v>
      </c>
      <c r="I17" s="845">
        <v>23.633333333333333</v>
      </c>
      <c r="J17" s="845">
        <v>22.331904761904759</v>
      </c>
      <c r="K17" s="845">
        <v>32.77476190476191</v>
      </c>
      <c r="L17" s="845">
        <v>20.375714285714288</v>
      </c>
      <c r="M17" s="845">
        <v>19.387142857142859</v>
      </c>
      <c r="N17" s="845">
        <v>17.940666666666665</v>
      </c>
      <c r="O17" s="845">
        <v>12.98</v>
      </c>
      <c r="P17" s="1882">
        <f t="shared" si="3"/>
        <v>12.98</v>
      </c>
      <c r="Q17" s="1882">
        <f t="shared" si="4"/>
        <v>24.832396825396827</v>
      </c>
      <c r="R17" s="1867"/>
      <c r="S17" s="1886">
        <v>92.62</v>
      </c>
      <c r="T17" s="1887">
        <v>93.2</v>
      </c>
      <c r="U17" s="1887">
        <v>20.9925</v>
      </c>
      <c r="V17" s="1887">
        <v>26.390833333333337</v>
      </c>
      <c r="W17" s="1887">
        <v>27.359999999999996</v>
      </c>
      <c r="X17" s="1887">
        <v>29.06</v>
      </c>
      <c r="Y17" s="1887">
        <v>28.3</v>
      </c>
      <c r="Z17" s="1887">
        <v>29.904166666666669</v>
      </c>
      <c r="AA17" s="1887">
        <v>24.2</v>
      </c>
      <c r="AB17" s="1887">
        <v>26.8</v>
      </c>
      <c r="AC17" s="1887">
        <v>22.5</v>
      </c>
      <c r="AD17" s="1887">
        <v>17.5</v>
      </c>
      <c r="AE17" s="1882">
        <f t="shared" si="5"/>
        <v>17.5</v>
      </c>
      <c r="AF17" s="1882">
        <f t="shared" si="6"/>
        <v>36.568958333333335</v>
      </c>
      <c r="AG17" s="1867"/>
      <c r="AH17" s="1886">
        <v>20.9</v>
      </c>
      <c r="AI17" s="1887">
        <v>30.3</v>
      </c>
      <c r="AJ17" s="1887">
        <v>36.799999999999997</v>
      </c>
      <c r="AK17" s="1887">
        <v>30.3</v>
      </c>
      <c r="AL17" s="1887">
        <v>38.299999999999997</v>
      </c>
      <c r="AM17" s="1887">
        <v>29.1</v>
      </c>
      <c r="AN17" s="1887">
        <v>41.1</v>
      </c>
      <c r="AO17" s="1887">
        <v>31.3</v>
      </c>
      <c r="AP17" s="1887">
        <v>33.4</v>
      </c>
      <c r="AQ17" s="1887">
        <v>19.7</v>
      </c>
      <c r="AR17" s="1887">
        <v>15.4</v>
      </c>
      <c r="AS17" s="1887">
        <v>13.3</v>
      </c>
      <c r="AT17" s="1882">
        <f t="shared" si="7"/>
        <v>13.3</v>
      </c>
      <c r="AU17" s="1882">
        <f t="shared" si="8"/>
        <v>28.324999999999992</v>
      </c>
      <c r="AW17" s="317">
        <f t="shared" si="9"/>
        <v>-4.1999999999999993</v>
      </c>
      <c r="AX17" s="317">
        <f t="shared" si="10"/>
        <v>-8.2439583333333424</v>
      </c>
      <c r="AY17" s="1941">
        <f t="shared" si="2"/>
        <v>-98.927500000000066</v>
      </c>
      <c r="AZ17" s="594">
        <f t="shared" si="11"/>
        <v>-2.0999999999999996</v>
      </c>
    </row>
    <row r="18" spans="1:52" x14ac:dyDescent="0.55000000000000004">
      <c r="A18" s="7332"/>
      <c r="B18" s="35"/>
      <c r="C18" s="36" t="s">
        <v>538</v>
      </c>
      <c r="D18" s="845">
        <v>10.458053675856306</v>
      </c>
      <c r="E18" s="845">
        <v>16.679158730158726</v>
      </c>
      <c r="F18" s="845">
        <v>14.932001552795029</v>
      </c>
      <c r="G18" s="845">
        <v>15.467948717948719</v>
      </c>
      <c r="H18" s="845">
        <v>20.892194444444442</v>
      </c>
      <c r="I18" s="845">
        <v>15.273786549707603</v>
      </c>
      <c r="J18" s="845">
        <v>14.852249999999998</v>
      </c>
      <c r="K18" s="845">
        <v>18.337081035923141</v>
      </c>
      <c r="L18" s="845">
        <v>11.507192185007975</v>
      </c>
      <c r="M18" s="845">
        <v>14.032171717171718</v>
      </c>
      <c r="N18" s="845">
        <v>11.425277777777778</v>
      </c>
      <c r="O18" s="845">
        <v>11.370111111111111</v>
      </c>
      <c r="P18" s="1882">
        <f t="shared" si="3"/>
        <v>11.370111111111111</v>
      </c>
      <c r="Q18" s="1882">
        <f t="shared" si="4"/>
        <v>14.602268958158545</v>
      </c>
      <c r="R18" s="1867"/>
      <c r="S18" s="1886">
        <v>63.075555555555553</v>
      </c>
      <c r="T18" s="1887">
        <v>77.86666666666666</v>
      </c>
      <c r="U18" s="1887">
        <v>22.484999999999999</v>
      </c>
      <c r="V18" s="1887">
        <v>14.83969696969697</v>
      </c>
      <c r="W18" s="1887">
        <v>11.979999999999999</v>
      </c>
      <c r="X18" s="1887">
        <v>18.279999999999998</v>
      </c>
      <c r="Y18" s="1887">
        <v>13</v>
      </c>
      <c r="Z18" s="1887">
        <v>13.960606060606061</v>
      </c>
      <c r="AA18" s="1887">
        <v>7.9</v>
      </c>
      <c r="AB18" s="1887">
        <v>13.7</v>
      </c>
      <c r="AC18" s="1887">
        <v>11.8</v>
      </c>
      <c r="AD18" s="1887">
        <v>9.1</v>
      </c>
      <c r="AE18" s="1882">
        <f t="shared" si="5"/>
        <v>9.1</v>
      </c>
      <c r="AF18" s="1882">
        <f t="shared" si="6"/>
        <v>23.165627104377108</v>
      </c>
      <c r="AG18" s="1867"/>
      <c r="AH18" s="1886">
        <v>11.4</v>
      </c>
      <c r="AI18" s="1887">
        <v>13.9</v>
      </c>
      <c r="AJ18" s="1887">
        <v>16.399999999999999</v>
      </c>
      <c r="AK18" s="1887">
        <v>11.1</v>
      </c>
      <c r="AL18" s="1887">
        <v>15.7</v>
      </c>
      <c r="AM18" s="1887">
        <v>18.600000000000001</v>
      </c>
      <c r="AN18" s="1887">
        <v>32.4</v>
      </c>
      <c r="AO18" s="1887">
        <v>20.9</v>
      </c>
      <c r="AP18" s="1887">
        <v>24.6</v>
      </c>
      <c r="AQ18" s="1887">
        <v>5.8</v>
      </c>
      <c r="AR18" s="1887">
        <v>8.1</v>
      </c>
      <c r="AS18" s="1887">
        <v>9.3000000000000007</v>
      </c>
      <c r="AT18" s="1882">
        <f t="shared" si="7"/>
        <v>9.3000000000000007</v>
      </c>
      <c r="AU18" s="1882">
        <f t="shared" si="8"/>
        <v>15.683333333333335</v>
      </c>
      <c r="AW18" s="317">
        <f t="shared" si="9"/>
        <v>0.20000000000000107</v>
      </c>
      <c r="AX18" s="317">
        <f t="shared" si="10"/>
        <v>-7.4822937710437731</v>
      </c>
      <c r="AY18" s="1941">
        <f t="shared" si="2"/>
        <v>-89.787525252525285</v>
      </c>
      <c r="AZ18" s="594">
        <f t="shared" si="11"/>
        <v>1.2000000000000011</v>
      </c>
    </row>
    <row r="19" spans="1:52" ht="18" thickBot="1" x14ac:dyDescent="0.6">
      <c r="A19" s="7333"/>
      <c r="B19" s="106"/>
      <c r="C19" s="112" t="s">
        <v>540</v>
      </c>
      <c r="D19" s="870">
        <v>3.7239999999999993</v>
      </c>
      <c r="E19" s="871">
        <v>5.9666666666666668</v>
      </c>
      <c r="F19" s="871">
        <v>8.6199999999999992</v>
      </c>
      <c r="G19" s="871">
        <v>6.6177142857142854</v>
      </c>
      <c r="H19" s="871">
        <v>8.7871428571428574</v>
      </c>
      <c r="I19" s="871">
        <v>10.894285714285713</v>
      </c>
      <c r="J19" s="871">
        <v>12.888571428571428</v>
      </c>
      <c r="K19" s="871">
        <v>16.215714285714284</v>
      </c>
      <c r="L19" s="871">
        <v>9.629999999999999</v>
      </c>
      <c r="M19" s="871">
        <v>9.8903571428571446</v>
      </c>
      <c r="N19" s="871">
        <v>12.493928571428572</v>
      </c>
      <c r="O19" s="872">
        <v>12.31</v>
      </c>
      <c r="P19" s="1888">
        <f t="shared" si="3"/>
        <v>12.31</v>
      </c>
      <c r="Q19" s="1888">
        <f t="shared" si="4"/>
        <v>9.8365317460317439</v>
      </c>
      <c r="R19" s="1867"/>
      <c r="S19" s="1889">
        <v>66.091666666666669</v>
      </c>
      <c r="T19" s="1890">
        <v>55.188095238095244</v>
      </c>
      <c r="U19" s="1890">
        <v>12.956666666666667</v>
      </c>
      <c r="V19" s="1890">
        <v>0</v>
      </c>
      <c r="W19" s="1890">
        <v>0</v>
      </c>
      <c r="X19" s="1890">
        <v>0</v>
      </c>
      <c r="Y19" s="1890">
        <v>0</v>
      </c>
      <c r="Z19" s="1890">
        <v>0</v>
      </c>
      <c r="AA19" s="1890">
        <v>0</v>
      </c>
      <c r="AB19" s="1890">
        <v>0</v>
      </c>
      <c r="AC19" s="1890">
        <v>0</v>
      </c>
      <c r="AD19" s="1891">
        <v>0</v>
      </c>
      <c r="AE19" s="1888">
        <f t="shared" si="5"/>
        <v>0</v>
      </c>
      <c r="AF19" s="1888">
        <f t="shared" si="6"/>
        <v>11.186369047619047</v>
      </c>
      <c r="AG19" s="1867"/>
      <c r="AH19" s="1889">
        <v>0</v>
      </c>
      <c r="AI19" s="1890">
        <v>0</v>
      </c>
      <c r="AJ19" s="1890">
        <v>0</v>
      </c>
      <c r="AK19" s="1890">
        <v>0</v>
      </c>
      <c r="AL19" s="1890">
        <v>0</v>
      </c>
      <c r="AM19" s="1890">
        <v>0</v>
      </c>
      <c r="AN19" s="1890">
        <v>0</v>
      </c>
      <c r="AO19" s="1890">
        <v>0</v>
      </c>
      <c r="AP19" s="1890">
        <v>0</v>
      </c>
      <c r="AQ19" s="1890">
        <v>0</v>
      </c>
      <c r="AR19" s="1890">
        <v>0</v>
      </c>
      <c r="AS19" s="1891">
        <v>0</v>
      </c>
      <c r="AT19" s="1888">
        <f t="shared" si="7"/>
        <v>0</v>
      </c>
      <c r="AU19" s="1888">
        <f t="shared" si="8"/>
        <v>0</v>
      </c>
      <c r="AW19" s="317">
        <f t="shared" si="9"/>
        <v>0</v>
      </c>
      <c r="AX19" s="317">
        <f t="shared" si="10"/>
        <v>-11.186369047619047</v>
      </c>
      <c r="AY19" s="1941">
        <f t="shared" si="2"/>
        <v>-134.23642857142858</v>
      </c>
      <c r="AZ19" s="594">
        <f t="shared" si="11"/>
        <v>0</v>
      </c>
    </row>
    <row r="20" spans="1:52" ht="18" thickBot="1" x14ac:dyDescent="0.6">
      <c r="A20" s="1"/>
      <c r="B20" s="1"/>
      <c r="C20" s="1"/>
      <c r="D20" s="837"/>
      <c r="E20" s="837"/>
      <c r="F20" s="837"/>
      <c r="G20" s="837"/>
      <c r="H20" s="837"/>
      <c r="I20" s="837"/>
      <c r="J20" s="837"/>
      <c r="K20" s="837"/>
      <c r="L20" s="837"/>
      <c r="M20" s="837"/>
      <c r="N20" s="837"/>
      <c r="O20" s="837"/>
      <c r="P20" s="1892"/>
      <c r="Q20" s="1892"/>
      <c r="R20" s="1867"/>
      <c r="S20" s="1893"/>
      <c r="T20" s="1867"/>
      <c r="U20" s="1867"/>
      <c r="V20" s="1867"/>
      <c r="W20" s="1867"/>
      <c r="X20" s="1867"/>
      <c r="Y20" s="1867"/>
      <c r="Z20" s="1867"/>
      <c r="AA20" s="1867"/>
      <c r="AB20" s="1867"/>
      <c r="AC20" s="1867"/>
      <c r="AD20" s="1867"/>
      <c r="AE20" s="1894"/>
      <c r="AF20" s="1894"/>
      <c r="AG20" s="1867"/>
      <c r="AH20" s="1893"/>
      <c r="AI20" s="1867"/>
      <c r="AJ20" s="1867"/>
      <c r="AK20" s="1867"/>
      <c r="AL20" s="1867"/>
      <c r="AM20" s="1867"/>
      <c r="AN20" s="1867"/>
      <c r="AO20" s="1867"/>
      <c r="AP20" s="1867"/>
      <c r="AQ20" s="1867"/>
      <c r="AR20" s="1867"/>
      <c r="AS20" s="1867"/>
      <c r="AT20" s="1894"/>
      <c r="AU20" s="1894"/>
      <c r="AY20" s="1941"/>
      <c r="AZ20" s="594">
        <f t="shared" si="11"/>
        <v>0</v>
      </c>
    </row>
    <row r="21" spans="1:52" x14ac:dyDescent="0.55000000000000004">
      <c r="A21" s="7334" t="s">
        <v>68</v>
      </c>
      <c r="B21" s="136" t="s">
        <v>163</v>
      </c>
      <c r="C21" s="469"/>
      <c r="D21" s="879">
        <f t="shared" ref="D21:O21" si="12">SUM(D22:D26)</f>
        <v>20</v>
      </c>
      <c r="E21" s="880">
        <f t="shared" si="12"/>
        <v>23</v>
      </c>
      <c r="F21" s="880">
        <f t="shared" si="12"/>
        <v>25</v>
      </c>
      <c r="G21" s="880">
        <f t="shared" si="12"/>
        <v>26</v>
      </c>
      <c r="H21" s="880">
        <f t="shared" si="12"/>
        <v>27</v>
      </c>
      <c r="I21" s="880">
        <f t="shared" si="12"/>
        <v>27</v>
      </c>
      <c r="J21" s="880">
        <f t="shared" si="12"/>
        <v>27</v>
      </c>
      <c r="K21" s="880">
        <f t="shared" si="12"/>
        <v>26</v>
      </c>
      <c r="L21" s="880">
        <f t="shared" si="12"/>
        <v>27</v>
      </c>
      <c r="M21" s="880">
        <f t="shared" si="12"/>
        <v>24</v>
      </c>
      <c r="N21" s="880">
        <f t="shared" si="12"/>
        <v>21</v>
      </c>
      <c r="O21" s="881">
        <f t="shared" si="12"/>
        <v>18</v>
      </c>
      <c r="P21" s="1870">
        <f>INDEX($D21:$O21, 1, MATCH(0, $D21:$O21, -1))</f>
        <v>18</v>
      </c>
      <c r="Q21" s="1871">
        <f>AVERAGE(D21:O21)</f>
        <v>24.25</v>
      </c>
      <c r="R21" s="1867"/>
      <c r="S21" s="1872">
        <f>SUM(S22:S26)</f>
        <v>18</v>
      </c>
      <c r="T21" s="1873">
        <f t="shared" ref="T21:AB21" si="13">SUM(T22:T26)</f>
        <v>18</v>
      </c>
      <c r="U21" s="1873">
        <f t="shared" si="13"/>
        <v>17</v>
      </c>
      <c r="V21" s="1873">
        <f t="shared" si="13"/>
        <v>17</v>
      </c>
      <c r="W21" s="1873">
        <f t="shared" si="13"/>
        <v>16</v>
      </c>
      <c r="X21" s="1873">
        <f t="shared" si="13"/>
        <v>17</v>
      </c>
      <c r="Y21" s="1873">
        <f t="shared" si="13"/>
        <v>17</v>
      </c>
      <c r="Z21" s="1873">
        <f t="shared" si="13"/>
        <v>18</v>
      </c>
      <c r="AA21" s="1873">
        <f t="shared" si="13"/>
        <v>18</v>
      </c>
      <c r="AB21" s="1873">
        <f t="shared" si="13"/>
        <v>18</v>
      </c>
      <c r="AC21" s="1873">
        <v>21</v>
      </c>
      <c r="AD21" s="1874">
        <v>23</v>
      </c>
      <c r="AE21" s="1870">
        <f>INDEX($S21:$AD21, 1, MATCH(0, $S21:$AD21, -1))</f>
        <v>23</v>
      </c>
      <c r="AF21" s="1870">
        <f>AVERAGE(S21:AD21)</f>
        <v>18.166666666666668</v>
      </c>
      <c r="AG21" s="1867"/>
      <c r="AH21" s="1872">
        <v>22</v>
      </c>
      <c r="AI21" s="1873">
        <v>22</v>
      </c>
      <c r="AJ21" s="1873">
        <v>27</v>
      </c>
      <c r="AK21" s="1873">
        <v>28</v>
      </c>
      <c r="AL21" s="1873">
        <v>27</v>
      </c>
      <c r="AM21" s="1873">
        <v>27</v>
      </c>
      <c r="AN21" s="1873">
        <v>23</v>
      </c>
      <c r="AO21" s="1873">
        <v>23</v>
      </c>
      <c r="AP21" s="1873">
        <v>23</v>
      </c>
      <c r="AQ21" s="1873">
        <v>22</v>
      </c>
      <c r="AR21" s="1873">
        <v>22</v>
      </c>
      <c r="AS21" s="1874">
        <v>16</v>
      </c>
      <c r="AT21" s="1870">
        <f t="shared" si="7"/>
        <v>16</v>
      </c>
      <c r="AU21" s="1870">
        <f>AVERAGE(AH21:AS21)</f>
        <v>23.5</v>
      </c>
      <c r="AW21" s="317">
        <f t="shared" si="9"/>
        <v>-7</v>
      </c>
      <c r="AX21" s="317">
        <f t="shared" si="10"/>
        <v>5.3333333333333321</v>
      </c>
      <c r="AY21" s="1941">
        <f t="shared" ref="AY21:AY52" si="14">SUM(AH21:AS21)-SUM(S21:AD21)</f>
        <v>64</v>
      </c>
      <c r="AZ21" s="594">
        <f t="shared" si="11"/>
        <v>-6</v>
      </c>
    </row>
    <row r="22" spans="1:52" x14ac:dyDescent="0.55000000000000004">
      <c r="A22" s="7335"/>
      <c r="B22" s="8" t="s">
        <v>170</v>
      </c>
      <c r="C22" s="19" t="s">
        <v>171</v>
      </c>
      <c r="D22" s="837">
        <v>5</v>
      </c>
      <c r="E22" s="837">
        <v>5</v>
      </c>
      <c r="F22" s="837">
        <v>5</v>
      </c>
      <c r="G22" s="837">
        <v>5</v>
      </c>
      <c r="H22" s="837">
        <v>5</v>
      </c>
      <c r="I22" s="837">
        <v>5</v>
      </c>
      <c r="J22" s="837">
        <v>5</v>
      </c>
      <c r="K22" s="837">
        <v>5</v>
      </c>
      <c r="L22" s="837">
        <v>5</v>
      </c>
      <c r="M22" s="837">
        <v>5</v>
      </c>
      <c r="N22" s="837">
        <v>6</v>
      </c>
      <c r="O22" s="837">
        <v>6</v>
      </c>
      <c r="P22" s="1875">
        <f t="shared" ref="P22:P75" si="15">INDEX($D22:$O22, 1, MATCH(0, $D22:$O22, -1))</f>
        <v>6</v>
      </c>
      <c r="Q22" s="1875">
        <f t="shared" ref="Q22:Q75" si="16">AVERAGE(D22:O22)</f>
        <v>5.166666666666667</v>
      </c>
      <c r="R22" s="1867"/>
      <c r="S22" s="1876">
        <v>6</v>
      </c>
      <c r="T22" s="1867">
        <v>6</v>
      </c>
      <c r="U22" s="1867">
        <v>6</v>
      </c>
      <c r="V22" s="1867">
        <v>5</v>
      </c>
      <c r="W22" s="1867">
        <v>5</v>
      </c>
      <c r="X22" s="1867">
        <v>5</v>
      </c>
      <c r="Y22" s="1867">
        <v>4</v>
      </c>
      <c r="Z22" s="1867">
        <v>4</v>
      </c>
      <c r="AA22" s="1867">
        <v>4</v>
      </c>
      <c r="AB22" s="1867">
        <v>4</v>
      </c>
      <c r="AC22" s="1867">
        <v>4</v>
      </c>
      <c r="AD22" s="1867">
        <v>4</v>
      </c>
      <c r="AE22" s="1875">
        <f t="shared" ref="AE22:AE75" si="17">INDEX($S22:$AD22, 1, MATCH(0, $S22:$AD22, -1))</f>
        <v>4</v>
      </c>
      <c r="AF22" s="1875">
        <f t="shared" ref="AF22:AF75" si="18">AVERAGE(S22:AD22)</f>
        <v>4.75</v>
      </c>
      <c r="AG22" s="1867"/>
      <c r="AH22" s="1876">
        <v>1</v>
      </c>
      <c r="AI22" s="1867">
        <v>1</v>
      </c>
      <c r="AJ22" s="1867">
        <v>1</v>
      </c>
      <c r="AK22" s="1867">
        <v>4</v>
      </c>
      <c r="AL22" s="1867">
        <v>4</v>
      </c>
      <c r="AM22" s="1867">
        <v>4</v>
      </c>
      <c r="AN22" s="1867">
        <v>8</v>
      </c>
      <c r="AO22" s="1867">
        <v>8</v>
      </c>
      <c r="AP22" s="1867">
        <v>8</v>
      </c>
      <c r="AQ22" s="1867">
        <v>10</v>
      </c>
      <c r="AR22" s="1867">
        <v>10</v>
      </c>
      <c r="AS22" s="1867">
        <v>9</v>
      </c>
      <c r="AT22" s="1875">
        <f t="shared" si="7"/>
        <v>9</v>
      </c>
      <c r="AU22" s="1875">
        <f t="shared" ref="AU22:AU75" si="19">AVERAGE(AH22:AS22)</f>
        <v>5.666666666666667</v>
      </c>
      <c r="AW22" s="317">
        <f t="shared" si="9"/>
        <v>5</v>
      </c>
      <c r="AX22" s="317">
        <f t="shared" si="10"/>
        <v>0.91666666666666696</v>
      </c>
      <c r="AY22" s="1941">
        <f t="shared" si="14"/>
        <v>11</v>
      </c>
      <c r="AZ22" s="594">
        <f t="shared" si="11"/>
        <v>-1</v>
      </c>
    </row>
    <row r="23" spans="1:52" x14ac:dyDescent="0.55000000000000004">
      <c r="A23" s="7335"/>
      <c r="B23" s="8"/>
      <c r="C23" s="19" t="s">
        <v>172</v>
      </c>
      <c r="D23" s="837">
        <v>4</v>
      </c>
      <c r="E23" s="837">
        <v>4</v>
      </c>
      <c r="F23" s="837">
        <v>4</v>
      </c>
      <c r="G23" s="837">
        <v>4</v>
      </c>
      <c r="H23" s="837">
        <v>3</v>
      </c>
      <c r="I23" s="837">
        <v>3</v>
      </c>
      <c r="J23" s="837">
        <v>3</v>
      </c>
      <c r="K23" s="837">
        <v>3</v>
      </c>
      <c r="L23" s="837">
        <v>3</v>
      </c>
      <c r="M23" s="837">
        <v>3</v>
      </c>
      <c r="N23" s="837">
        <v>4</v>
      </c>
      <c r="O23" s="837">
        <v>4</v>
      </c>
      <c r="P23" s="1875">
        <f t="shared" si="15"/>
        <v>4</v>
      </c>
      <c r="Q23" s="1875">
        <f t="shared" si="16"/>
        <v>3.5</v>
      </c>
      <c r="R23" s="1867"/>
      <c r="S23" s="1876">
        <v>4</v>
      </c>
      <c r="T23" s="1867">
        <v>4</v>
      </c>
      <c r="U23" s="1867">
        <v>4</v>
      </c>
      <c r="V23" s="1867">
        <v>5</v>
      </c>
      <c r="W23" s="1867">
        <v>5</v>
      </c>
      <c r="X23" s="1867">
        <v>5</v>
      </c>
      <c r="Y23" s="1867">
        <v>7</v>
      </c>
      <c r="Z23" s="1867">
        <v>7</v>
      </c>
      <c r="AA23" s="1867">
        <v>7</v>
      </c>
      <c r="AB23" s="1867">
        <v>8</v>
      </c>
      <c r="AC23" s="1867">
        <v>8</v>
      </c>
      <c r="AD23" s="1867">
        <v>8</v>
      </c>
      <c r="AE23" s="1875">
        <f t="shared" si="17"/>
        <v>8</v>
      </c>
      <c r="AF23" s="1875">
        <f t="shared" si="18"/>
        <v>6</v>
      </c>
      <c r="AG23" s="1867"/>
      <c r="AH23" s="1876">
        <v>5</v>
      </c>
      <c r="AI23" s="1867">
        <v>5</v>
      </c>
      <c r="AJ23" s="1867">
        <v>5</v>
      </c>
      <c r="AK23" s="1867">
        <v>2</v>
      </c>
      <c r="AL23" s="1867">
        <v>2</v>
      </c>
      <c r="AM23" s="1867">
        <v>2</v>
      </c>
      <c r="AN23" s="1867">
        <v>6</v>
      </c>
      <c r="AO23" s="1867">
        <v>6</v>
      </c>
      <c r="AP23" s="1867">
        <v>6</v>
      </c>
      <c r="AQ23" s="1867">
        <v>6</v>
      </c>
      <c r="AR23" s="1867">
        <v>6</v>
      </c>
      <c r="AS23" s="1867">
        <v>5</v>
      </c>
      <c r="AT23" s="1875">
        <f t="shared" si="7"/>
        <v>5</v>
      </c>
      <c r="AU23" s="1875">
        <f t="shared" si="19"/>
        <v>4.666666666666667</v>
      </c>
      <c r="AW23" s="317">
        <f t="shared" si="9"/>
        <v>-3</v>
      </c>
      <c r="AX23" s="317">
        <f t="shared" si="10"/>
        <v>-1.333333333333333</v>
      </c>
      <c r="AY23" s="1941">
        <f t="shared" si="14"/>
        <v>-16</v>
      </c>
      <c r="AZ23" s="594">
        <f t="shared" si="11"/>
        <v>-1</v>
      </c>
    </row>
    <row r="24" spans="1:52" x14ac:dyDescent="0.55000000000000004">
      <c r="A24" s="7335"/>
      <c r="B24" s="8"/>
      <c r="C24" s="19" t="s">
        <v>173</v>
      </c>
      <c r="D24" s="837">
        <v>2</v>
      </c>
      <c r="E24" s="837">
        <v>2</v>
      </c>
      <c r="F24" s="837">
        <v>2</v>
      </c>
      <c r="G24" s="837">
        <v>2</v>
      </c>
      <c r="H24" s="837">
        <v>2</v>
      </c>
      <c r="I24" s="837">
        <v>2</v>
      </c>
      <c r="J24" s="837">
        <v>2</v>
      </c>
      <c r="K24" s="837">
        <v>2</v>
      </c>
      <c r="L24" s="837">
        <v>2</v>
      </c>
      <c r="M24" s="837">
        <v>2</v>
      </c>
      <c r="N24" s="837">
        <v>1</v>
      </c>
      <c r="O24" s="837">
        <v>1</v>
      </c>
      <c r="P24" s="1875">
        <f t="shared" si="15"/>
        <v>1</v>
      </c>
      <c r="Q24" s="1875">
        <f t="shared" si="16"/>
        <v>1.8333333333333333</v>
      </c>
      <c r="R24" s="1867"/>
      <c r="S24" s="1876">
        <v>1</v>
      </c>
      <c r="T24" s="1867">
        <v>1</v>
      </c>
      <c r="U24" s="1867">
        <v>1</v>
      </c>
      <c r="V24" s="1867">
        <v>3</v>
      </c>
      <c r="W24" s="1867">
        <v>3</v>
      </c>
      <c r="X24" s="1867">
        <v>3</v>
      </c>
      <c r="Y24" s="1867">
        <v>3</v>
      </c>
      <c r="Z24" s="1867">
        <v>4</v>
      </c>
      <c r="AA24" s="1867">
        <v>4</v>
      </c>
      <c r="AB24" s="1867">
        <v>4</v>
      </c>
      <c r="AC24" s="1867">
        <v>4</v>
      </c>
      <c r="AD24" s="1867">
        <v>4</v>
      </c>
      <c r="AE24" s="1875">
        <f t="shared" si="17"/>
        <v>4</v>
      </c>
      <c r="AF24" s="1875">
        <f t="shared" si="18"/>
        <v>2.9166666666666665</v>
      </c>
      <c r="AG24" s="1867"/>
      <c r="AH24" s="1876">
        <v>4</v>
      </c>
      <c r="AI24" s="1867">
        <v>4</v>
      </c>
      <c r="AJ24" s="1867">
        <v>4</v>
      </c>
      <c r="AK24" s="1867">
        <v>6</v>
      </c>
      <c r="AL24" s="1867">
        <v>6</v>
      </c>
      <c r="AM24" s="1867">
        <v>6</v>
      </c>
      <c r="AN24" s="1867">
        <v>3</v>
      </c>
      <c r="AO24" s="1867">
        <v>3</v>
      </c>
      <c r="AP24" s="1867">
        <v>3</v>
      </c>
      <c r="AQ24" s="1867">
        <v>4</v>
      </c>
      <c r="AR24" s="1867">
        <v>4</v>
      </c>
      <c r="AS24" s="1867">
        <v>2</v>
      </c>
      <c r="AT24" s="1875">
        <f t="shared" si="7"/>
        <v>2</v>
      </c>
      <c r="AU24" s="1875">
        <f t="shared" si="19"/>
        <v>4.083333333333333</v>
      </c>
      <c r="AW24" s="317">
        <f t="shared" si="9"/>
        <v>-2</v>
      </c>
      <c r="AX24" s="317">
        <f t="shared" si="10"/>
        <v>1.1666666666666665</v>
      </c>
      <c r="AY24" s="1941">
        <f t="shared" si="14"/>
        <v>14</v>
      </c>
      <c r="AZ24" s="594">
        <f t="shared" si="11"/>
        <v>-2</v>
      </c>
    </row>
    <row r="25" spans="1:52" x14ac:dyDescent="0.55000000000000004">
      <c r="A25" s="7335"/>
      <c r="B25" s="8"/>
      <c r="C25" s="19" t="s">
        <v>538</v>
      </c>
      <c r="D25" s="837">
        <v>9</v>
      </c>
      <c r="E25" s="837">
        <v>12</v>
      </c>
      <c r="F25" s="837">
        <v>14</v>
      </c>
      <c r="G25" s="837">
        <v>15</v>
      </c>
      <c r="H25" s="837">
        <v>16</v>
      </c>
      <c r="I25" s="837">
        <v>16</v>
      </c>
      <c r="J25" s="837">
        <v>15</v>
      </c>
      <c r="K25" s="837">
        <v>14</v>
      </c>
      <c r="L25" s="837">
        <v>15</v>
      </c>
      <c r="M25" s="837">
        <v>12</v>
      </c>
      <c r="N25" s="837">
        <v>8</v>
      </c>
      <c r="O25" s="837">
        <v>5</v>
      </c>
      <c r="P25" s="1875">
        <f t="shared" si="15"/>
        <v>5</v>
      </c>
      <c r="Q25" s="1875">
        <f t="shared" si="16"/>
        <v>12.583333333333334</v>
      </c>
      <c r="R25" s="1867"/>
      <c r="S25" s="1876">
        <v>5</v>
      </c>
      <c r="T25" s="1867">
        <v>4</v>
      </c>
      <c r="U25" s="1867">
        <v>2</v>
      </c>
      <c r="V25" s="1867">
        <v>4</v>
      </c>
      <c r="W25" s="1867">
        <v>3</v>
      </c>
      <c r="X25" s="1867">
        <v>4</v>
      </c>
      <c r="Y25" s="1867">
        <v>3</v>
      </c>
      <c r="Z25" s="1867">
        <v>3</v>
      </c>
      <c r="AA25" s="1867">
        <v>3</v>
      </c>
      <c r="AB25" s="1867">
        <v>2</v>
      </c>
      <c r="AC25" s="1867">
        <v>5</v>
      </c>
      <c r="AD25" s="1867">
        <v>7</v>
      </c>
      <c r="AE25" s="1875">
        <f t="shared" si="17"/>
        <v>7</v>
      </c>
      <c r="AF25" s="1875">
        <f t="shared" si="18"/>
        <v>3.75</v>
      </c>
      <c r="AG25" s="1867"/>
      <c r="AH25" s="1876">
        <v>12</v>
      </c>
      <c r="AI25" s="1867">
        <v>12</v>
      </c>
      <c r="AJ25" s="1867">
        <v>17</v>
      </c>
      <c r="AK25" s="1867">
        <v>16</v>
      </c>
      <c r="AL25" s="1867">
        <v>15</v>
      </c>
      <c r="AM25" s="1867">
        <v>15</v>
      </c>
      <c r="AN25" s="1867">
        <v>6</v>
      </c>
      <c r="AO25" s="1867">
        <v>6</v>
      </c>
      <c r="AP25" s="1867">
        <v>6</v>
      </c>
      <c r="AQ25" s="1867">
        <v>2</v>
      </c>
      <c r="AR25" s="1867">
        <v>2</v>
      </c>
      <c r="AS25" s="1867">
        <v>0</v>
      </c>
      <c r="AT25" s="1875">
        <f t="shared" si="7"/>
        <v>0</v>
      </c>
      <c r="AU25" s="1875">
        <f t="shared" si="19"/>
        <v>9.0833333333333339</v>
      </c>
      <c r="AW25" s="317">
        <f t="shared" si="9"/>
        <v>-7</v>
      </c>
      <c r="AX25" s="317">
        <f t="shared" si="10"/>
        <v>5.3333333333333339</v>
      </c>
      <c r="AY25" s="1941">
        <f t="shared" si="14"/>
        <v>64</v>
      </c>
      <c r="AZ25" s="594">
        <f t="shared" si="11"/>
        <v>-2</v>
      </c>
    </row>
    <row r="26" spans="1:52" x14ac:dyDescent="0.55000000000000004">
      <c r="A26" s="7335"/>
      <c r="B26" s="8"/>
      <c r="C26" s="19" t="s">
        <v>540</v>
      </c>
      <c r="D26" s="837">
        <v>0</v>
      </c>
      <c r="E26" s="837">
        <v>0</v>
      </c>
      <c r="F26" s="837">
        <v>0</v>
      </c>
      <c r="G26" s="837">
        <v>0</v>
      </c>
      <c r="H26" s="837">
        <v>1</v>
      </c>
      <c r="I26" s="837">
        <v>1</v>
      </c>
      <c r="J26" s="837">
        <v>2</v>
      </c>
      <c r="K26" s="837">
        <v>2</v>
      </c>
      <c r="L26" s="837">
        <v>2</v>
      </c>
      <c r="M26" s="837">
        <v>2</v>
      </c>
      <c r="N26" s="837">
        <v>2</v>
      </c>
      <c r="O26" s="837">
        <v>2</v>
      </c>
      <c r="P26" s="1875">
        <f t="shared" si="15"/>
        <v>0</v>
      </c>
      <c r="Q26" s="1875">
        <f t="shared" si="16"/>
        <v>1.1666666666666667</v>
      </c>
      <c r="R26" s="1867"/>
      <c r="S26" s="1876">
        <v>2</v>
      </c>
      <c r="T26" s="1867">
        <v>3</v>
      </c>
      <c r="U26" s="1867">
        <v>4</v>
      </c>
      <c r="V26" s="1867">
        <v>0</v>
      </c>
      <c r="W26" s="1867">
        <v>0</v>
      </c>
      <c r="X26" s="1867">
        <v>0</v>
      </c>
      <c r="Y26" s="1867">
        <v>0</v>
      </c>
      <c r="Z26" s="1867">
        <v>0</v>
      </c>
      <c r="AA26" s="1867">
        <v>0</v>
      </c>
      <c r="AB26" s="1867">
        <v>0</v>
      </c>
      <c r="AC26" s="1867">
        <v>0</v>
      </c>
      <c r="AD26" s="1867">
        <v>0</v>
      </c>
      <c r="AE26" s="1875">
        <f t="shared" si="17"/>
        <v>0</v>
      </c>
      <c r="AF26" s="1875">
        <f t="shared" si="18"/>
        <v>0.75</v>
      </c>
      <c r="AG26" s="1867"/>
      <c r="AH26" s="1876">
        <v>0</v>
      </c>
      <c r="AI26" s="1867">
        <v>0</v>
      </c>
      <c r="AJ26" s="1867">
        <v>0</v>
      </c>
      <c r="AK26" s="1867">
        <v>0</v>
      </c>
      <c r="AL26" s="1867">
        <v>0</v>
      </c>
      <c r="AM26" s="1867">
        <v>0</v>
      </c>
      <c r="AN26" s="1867">
        <v>0</v>
      </c>
      <c r="AO26" s="1867">
        <v>0</v>
      </c>
      <c r="AP26" s="1867">
        <v>0</v>
      </c>
      <c r="AQ26" s="1867">
        <v>0</v>
      </c>
      <c r="AR26" s="1867">
        <v>0</v>
      </c>
      <c r="AS26" s="1867">
        <v>0</v>
      </c>
      <c r="AT26" s="1875">
        <f t="shared" si="7"/>
        <v>0</v>
      </c>
      <c r="AU26" s="1875">
        <f t="shared" si="19"/>
        <v>0</v>
      </c>
      <c r="AW26" s="317">
        <f t="shared" si="9"/>
        <v>0</v>
      </c>
      <c r="AX26" s="317">
        <f t="shared" si="10"/>
        <v>-0.75</v>
      </c>
      <c r="AY26" s="1941">
        <f t="shared" si="14"/>
        <v>-9</v>
      </c>
      <c r="AZ26" s="594">
        <f t="shared" si="11"/>
        <v>0</v>
      </c>
    </row>
    <row r="27" spans="1:52" x14ac:dyDescent="0.55000000000000004">
      <c r="A27" s="7335"/>
      <c r="B27" s="35" t="s">
        <v>174</v>
      </c>
      <c r="C27" s="36" t="s">
        <v>171</v>
      </c>
      <c r="D27" s="845">
        <v>36.540000000000006</v>
      </c>
      <c r="E27" s="845">
        <v>55.38000000000001</v>
      </c>
      <c r="F27" s="845">
        <v>49.8</v>
      </c>
      <c r="G27" s="845">
        <v>35.739999999999995</v>
      </c>
      <c r="H27" s="845">
        <v>45.64</v>
      </c>
      <c r="I27" s="845">
        <v>48.779999999999994</v>
      </c>
      <c r="J27" s="845">
        <v>50.48</v>
      </c>
      <c r="K27" s="845">
        <v>69.14</v>
      </c>
      <c r="L27" s="845">
        <v>37.519999999999996</v>
      </c>
      <c r="M27" s="845">
        <v>49.9</v>
      </c>
      <c r="N27" s="845">
        <v>48.54999999999999</v>
      </c>
      <c r="O27" s="845">
        <v>35.733333333333334</v>
      </c>
      <c r="P27" s="1882">
        <f t="shared" si="15"/>
        <v>35.733333333333334</v>
      </c>
      <c r="Q27" s="1882">
        <f t="shared" si="16"/>
        <v>46.933611111111105</v>
      </c>
      <c r="R27" s="1867"/>
      <c r="S27" s="1886">
        <v>46.216666666666669</v>
      </c>
      <c r="T27" s="1887">
        <v>40.1</v>
      </c>
      <c r="U27" s="1887">
        <v>38.833333333333336</v>
      </c>
      <c r="V27" s="1887">
        <v>54.11999999999999</v>
      </c>
      <c r="W27" s="1887">
        <v>46</v>
      </c>
      <c r="X27" s="1887">
        <v>63.94</v>
      </c>
      <c r="Y27" s="1887">
        <v>60.2</v>
      </c>
      <c r="Z27" s="1887">
        <v>61.724999999999994</v>
      </c>
      <c r="AA27" s="1887">
        <v>59.3</v>
      </c>
      <c r="AB27" s="1887">
        <v>61.3</v>
      </c>
      <c r="AC27" s="1887">
        <v>45.9</v>
      </c>
      <c r="AD27" s="1887">
        <v>35.4</v>
      </c>
      <c r="AE27" s="1882">
        <f t="shared" si="17"/>
        <v>35.4</v>
      </c>
      <c r="AF27" s="1882">
        <f t="shared" si="18"/>
        <v>51.08625</v>
      </c>
      <c r="AG27" s="1867"/>
      <c r="AH27" s="1886">
        <v>46.5</v>
      </c>
      <c r="AI27" s="1887">
        <v>52.7</v>
      </c>
      <c r="AJ27" s="1887">
        <v>85.2</v>
      </c>
      <c r="AK27" s="1887">
        <v>66.45</v>
      </c>
      <c r="AL27" s="1887">
        <v>80.400000000000006</v>
      </c>
      <c r="AM27" s="1887">
        <v>67</v>
      </c>
      <c r="AN27" s="1887">
        <v>77.8</v>
      </c>
      <c r="AO27" s="1887">
        <v>70.400000000000006</v>
      </c>
      <c r="AP27" s="1887">
        <v>66.599999999999994</v>
      </c>
      <c r="AQ27" s="1887">
        <v>60.2</v>
      </c>
      <c r="AR27" s="1887">
        <v>39.5</v>
      </c>
      <c r="AS27" s="1887">
        <v>29.4</v>
      </c>
      <c r="AT27" s="1882">
        <f t="shared" si="7"/>
        <v>29.4</v>
      </c>
      <c r="AU27" s="1882">
        <f t="shared" si="19"/>
        <v>61.845833333333339</v>
      </c>
      <c r="AW27" s="317">
        <f t="shared" si="9"/>
        <v>-6</v>
      </c>
      <c r="AX27" s="317">
        <f t="shared" si="10"/>
        <v>10.759583333333339</v>
      </c>
      <c r="AY27" s="1941">
        <f t="shared" si="14"/>
        <v>129.11500000000012</v>
      </c>
      <c r="AZ27" s="594">
        <f t="shared" si="11"/>
        <v>-10.100000000000001</v>
      </c>
    </row>
    <row r="28" spans="1:52" x14ac:dyDescent="0.55000000000000004">
      <c r="A28" s="7335"/>
      <c r="B28" s="35"/>
      <c r="C28" s="36" t="s">
        <v>172</v>
      </c>
      <c r="D28" s="845">
        <v>27.225000000000001</v>
      </c>
      <c r="E28" s="845">
        <v>31.225000000000001</v>
      </c>
      <c r="F28" s="845">
        <v>42.900000000000006</v>
      </c>
      <c r="G28" s="845">
        <v>34.25</v>
      </c>
      <c r="H28" s="845">
        <v>61.20000000000001</v>
      </c>
      <c r="I28" s="845">
        <v>58.866666666666667</v>
      </c>
      <c r="J28" s="845">
        <v>52.5</v>
      </c>
      <c r="K28" s="845">
        <v>50.766666666666673</v>
      </c>
      <c r="L28" s="845">
        <v>45.566666666666663</v>
      </c>
      <c r="M28" s="845">
        <v>43.199999999999996</v>
      </c>
      <c r="N28" s="845">
        <v>51.875</v>
      </c>
      <c r="O28" s="845">
        <v>51.775000000000006</v>
      </c>
      <c r="P28" s="1882">
        <f t="shared" si="15"/>
        <v>51.775000000000006</v>
      </c>
      <c r="Q28" s="1882">
        <f t="shared" si="16"/>
        <v>45.945833333333333</v>
      </c>
      <c r="R28" s="1867"/>
      <c r="S28" s="1886">
        <v>65.075000000000003</v>
      </c>
      <c r="T28" s="1887">
        <v>46.525000000000006</v>
      </c>
      <c r="U28" s="1887">
        <v>42.849999999999994</v>
      </c>
      <c r="V28" s="1887">
        <v>32.96</v>
      </c>
      <c r="W28" s="1887">
        <v>30.3</v>
      </c>
      <c r="X28" s="1887">
        <v>26.2</v>
      </c>
      <c r="Y28" s="1887">
        <v>38.1</v>
      </c>
      <c r="Z28" s="1887">
        <v>41.81428571428571</v>
      </c>
      <c r="AA28" s="1887">
        <v>25.5</v>
      </c>
      <c r="AB28" s="1887">
        <v>30.9</v>
      </c>
      <c r="AC28" s="1887">
        <v>29</v>
      </c>
      <c r="AD28" s="1887">
        <v>31.5</v>
      </c>
      <c r="AE28" s="1882">
        <f t="shared" si="17"/>
        <v>31.5</v>
      </c>
      <c r="AF28" s="1882">
        <f t="shared" si="18"/>
        <v>36.727023809523807</v>
      </c>
      <c r="AG28" s="1867"/>
      <c r="AH28" s="1886">
        <v>29.7</v>
      </c>
      <c r="AI28" s="1887">
        <v>53.7</v>
      </c>
      <c r="AJ28" s="1887">
        <v>53.9</v>
      </c>
      <c r="AK28" s="1887">
        <v>44.6</v>
      </c>
      <c r="AL28" s="1887">
        <v>48.5</v>
      </c>
      <c r="AM28" s="1887">
        <v>39.299999999999997</v>
      </c>
      <c r="AN28" s="1887">
        <v>52.3</v>
      </c>
      <c r="AO28" s="1887">
        <v>32.5</v>
      </c>
      <c r="AP28" s="1887">
        <v>43.7</v>
      </c>
      <c r="AQ28" s="1887">
        <v>39.200000000000003</v>
      </c>
      <c r="AR28" s="1887">
        <v>12.5</v>
      </c>
      <c r="AS28" s="1887">
        <v>6.2</v>
      </c>
      <c r="AT28" s="1882">
        <f t="shared" si="7"/>
        <v>6.2</v>
      </c>
      <c r="AU28" s="1882">
        <f t="shared" si="19"/>
        <v>38.008333333333333</v>
      </c>
      <c r="AW28" s="317">
        <f t="shared" si="9"/>
        <v>-25.3</v>
      </c>
      <c r="AX28" s="317">
        <f t="shared" si="10"/>
        <v>1.2813095238095258</v>
      </c>
      <c r="AY28" s="1941">
        <f t="shared" si="14"/>
        <v>15.375714285714309</v>
      </c>
      <c r="AZ28" s="594">
        <f t="shared" si="11"/>
        <v>-6.3</v>
      </c>
    </row>
    <row r="29" spans="1:52" x14ac:dyDescent="0.55000000000000004">
      <c r="A29" s="7335"/>
      <c r="B29" s="35"/>
      <c r="C29" s="36" t="s">
        <v>173</v>
      </c>
      <c r="D29" s="845">
        <v>8.85</v>
      </c>
      <c r="E29" s="845">
        <v>25.55</v>
      </c>
      <c r="F29" s="845">
        <v>32.85</v>
      </c>
      <c r="G29" s="845">
        <v>57.500000000000007</v>
      </c>
      <c r="H29" s="845">
        <v>26.8</v>
      </c>
      <c r="I29" s="845">
        <v>26</v>
      </c>
      <c r="J29" s="845">
        <v>31.449999999999996</v>
      </c>
      <c r="K29" s="845">
        <v>15.35</v>
      </c>
      <c r="L29" s="845">
        <v>18.3</v>
      </c>
      <c r="M29" s="845">
        <v>12</v>
      </c>
      <c r="N29" s="845">
        <v>29.2</v>
      </c>
      <c r="O29" s="845">
        <v>20.099999999999998</v>
      </c>
      <c r="P29" s="1882">
        <f t="shared" si="15"/>
        <v>20.099999999999998</v>
      </c>
      <c r="Q29" s="1882">
        <f t="shared" si="16"/>
        <v>25.329166666666669</v>
      </c>
      <c r="R29" s="1867"/>
      <c r="S29" s="1886">
        <v>37.600000000000009</v>
      </c>
      <c r="T29" s="1887">
        <v>28.7</v>
      </c>
      <c r="U29" s="1887">
        <v>30.5</v>
      </c>
      <c r="V29" s="1887">
        <v>25.066666666666666</v>
      </c>
      <c r="W29" s="1887">
        <v>25.6</v>
      </c>
      <c r="X29" s="1887">
        <v>22.133333333333336</v>
      </c>
      <c r="Y29" s="1887">
        <v>19.600000000000001</v>
      </c>
      <c r="Z29" s="1887">
        <v>44.024999999999999</v>
      </c>
      <c r="AA29" s="1887">
        <v>23.8</v>
      </c>
      <c r="AB29" s="1887">
        <v>17.899999999999999</v>
      </c>
      <c r="AC29" s="1887">
        <v>17.3</v>
      </c>
      <c r="AD29" s="1887">
        <v>14.3</v>
      </c>
      <c r="AE29" s="1882">
        <f t="shared" si="17"/>
        <v>14.3</v>
      </c>
      <c r="AF29" s="1882">
        <f t="shared" si="18"/>
        <v>25.543749999999999</v>
      </c>
      <c r="AG29" s="1867"/>
      <c r="AH29" s="1886">
        <v>19.2</v>
      </c>
      <c r="AI29" s="1887">
        <v>30.7</v>
      </c>
      <c r="AJ29" s="1887">
        <v>28.5</v>
      </c>
      <c r="AK29" s="1887">
        <v>25.616666666666671</v>
      </c>
      <c r="AL29" s="1887">
        <v>35.1</v>
      </c>
      <c r="AM29" s="1887">
        <v>36.299999999999997</v>
      </c>
      <c r="AN29" s="1887">
        <v>27.8</v>
      </c>
      <c r="AO29" s="1887">
        <v>51.2</v>
      </c>
      <c r="AP29" s="1887">
        <v>28.5</v>
      </c>
      <c r="AQ29" s="1887">
        <v>26.1</v>
      </c>
      <c r="AR29" s="1887">
        <v>22.5</v>
      </c>
      <c r="AS29" s="1887">
        <v>16</v>
      </c>
      <c r="AT29" s="1882">
        <f t="shared" si="7"/>
        <v>16</v>
      </c>
      <c r="AU29" s="1882">
        <f t="shared" si="19"/>
        <v>28.959722222222226</v>
      </c>
      <c r="AW29" s="317">
        <f t="shared" si="9"/>
        <v>1.6999999999999993</v>
      </c>
      <c r="AX29" s="317">
        <f t="shared" si="10"/>
        <v>3.4159722222222264</v>
      </c>
      <c r="AY29" s="1941">
        <f t="shared" si="14"/>
        <v>40.991666666666731</v>
      </c>
      <c r="AZ29" s="594">
        <f t="shared" si="11"/>
        <v>-6.5</v>
      </c>
    </row>
    <row r="30" spans="1:52" x14ac:dyDescent="0.55000000000000004">
      <c r="A30" s="7335"/>
      <c r="B30" s="35"/>
      <c r="C30" s="36" t="s">
        <v>538</v>
      </c>
      <c r="D30" s="845">
        <v>3.8111111111111109</v>
      </c>
      <c r="E30" s="845">
        <v>5.9250000000000007</v>
      </c>
      <c r="F30" s="845">
        <v>5.5642857142857149</v>
      </c>
      <c r="G30" s="845">
        <v>9.1266666666666669</v>
      </c>
      <c r="H30" s="845">
        <v>8.2437500000000004</v>
      </c>
      <c r="I30" s="845">
        <v>8.8125</v>
      </c>
      <c r="J30" s="845">
        <v>9.6533333333333324</v>
      </c>
      <c r="K30" s="845">
        <v>10.521428571428572</v>
      </c>
      <c r="L30" s="845">
        <v>5.1466666666666665</v>
      </c>
      <c r="M30" s="845">
        <v>5.9416666666666673</v>
      </c>
      <c r="N30" s="845">
        <v>6.9874999999999998</v>
      </c>
      <c r="O30" s="845">
        <v>9.7199999999999989</v>
      </c>
      <c r="P30" s="1882">
        <f t="shared" si="15"/>
        <v>9.7199999999999989</v>
      </c>
      <c r="Q30" s="1882">
        <f t="shared" si="16"/>
        <v>7.4544923941798933</v>
      </c>
      <c r="R30" s="1867"/>
      <c r="S30" s="1886">
        <v>8.6199999999999992</v>
      </c>
      <c r="T30" s="1887">
        <v>10.35</v>
      </c>
      <c r="U30" s="1887">
        <v>25.200000000000003</v>
      </c>
      <c r="V30" s="1887">
        <v>20.825000000000003</v>
      </c>
      <c r="W30" s="1887">
        <v>15.2</v>
      </c>
      <c r="X30" s="1887">
        <v>18.524999999999999</v>
      </c>
      <c r="Y30" s="1887">
        <v>13.5</v>
      </c>
      <c r="Z30" s="1887">
        <v>14.466666666666669</v>
      </c>
      <c r="AA30" s="1887">
        <v>8.6</v>
      </c>
      <c r="AB30" s="1887">
        <v>14.2</v>
      </c>
      <c r="AC30" s="1887">
        <v>7.6</v>
      </c>
      <c r="AD30" s="1887">
        <v>6.6</v>
      </c>
      <c r="AE30" s="1882">
        <f t="shared" si="17"/>
        <v>6.6</v>
      </c>
      <c r="AF30" s="1882">
        <f t="shared" si="18"/>
        <v>13.640555555555553</v>
      </c>
      <c r="AG30" s="1867"/>
      <c r="AH30" s="1886">
        <v>9.6</v>
      </c>
      <c r="AI30" s="1887">
        <v>17.3</v>
      </c>
      <c r="AJ30" s="1887">
        <v>14</v>
      </c>
      <c r="AK30" s="1887">
        <v>10.581249999999999</v>
      </c>
      <c r="AL30" s="1887">
        <v>26.9</v>
      </c>
      <c r="AM30" s="1887">
        <v>18.600000000000001</v>
      </c>
      <c r="AN30" s="1887">
        <v>42.7</v>
      </c>
      <c r="AO30" s="1887">
        <v>25.3</v>
      </c>
      <c r="AP30" s="1887">
        <v>20.3</v>
      </c>
      <c r="AQ30" s="1887">
        <v>8</v>
      </c>
      <c r="AR30" s="1887">
        <v>0.8</v>
      </c>
      <c r="AS30" s="1887">
        <v>0</v>
      </c>
      <c r="AT30" s="1882">
        <f t="shared" si="7"/>
        <v>0</v>
      </c>
      <c r="AU30" s="1882">
        <f t="shared" si="19"/>
        <v>16.173437500000002</v>
      </c>
      <c r="AW30" s="317">
        <f t="shared" si="9"/>
        <v>-6.6</v>
      </c>
      <c r="AX30" s="317">
        <f t="shared" si="10"/>
        <v>2.5328819444444495</v>
      </c>
      <c r="AY30" s="1941">
        <f t="shared" si="14"/>
        <v>30.394583333333372</v>
      </c>
      <c r="AZ30" s="594">
        <f t="shared" si="11"/>
        <v>-0.8</v>
      </c>
    </row>
    <row r="31" spans="1:52" x14ac:dyDescent="0.55000000000000004">
      <c r="A31" s="7336"/>
      <c r="B31" s="65"/>
      <c r="C31" s="66" t="s">
        <v>539</v>
      </c>
      <c r="D31" s="882">
        <v>0</v>
      </c>
      <c r="E31" s="883">
        <v>0</v>
      </c>
      <c r="F31" s="883">
        <v>0</v>
      </c>
      <c r="G31" s="883">
        <v>0</v>
      </c>
      <c r="H31" s="883">
        <v>3</v>
      </c>
      <c r="I31" s="883">
        <v>7.2</v>
      </c>
      <c r="J31" s="883">
        <v>20.3</v>
      </c>
      <c r="K31" s="883">
        <v>28.15</v>
      </c>
      <c r="L31" s="883">
        <v>11.1</v>
      </c>
      <c r="M31" s="883">
        <v>9.1499999999999986</v>
      </c>
      <c r="N31" s="883">
        <v>19.8</v>
      </c>
      <c r="O31" s="884">
        <v>18.2</v>
      </c>
      <c r="P31" s="1895">
        <f t="shared" si="15"/>
        <v>0</v>
      </c>
      <c r="Q31" s="1895">
        <f t="shared" si="16"/>
        <v>9.7416666666666671</v>
      </c>
      <c r="R31" s="1867"/>
      <c r="S31" s="1886">
        <v>21.25</v>
      </c>
      <c r="T31" s="1896">
        <v>5.666666666666667</v>
      </c>
      <c r="U31" s="1896">
        <v>12.65</v>
      </c>
      <c r="V31" s="1896">
        <v>0</v>
      </c>
      <c r="W31" s="1896">
        <v>0</v>
      </c>
      <c r="X31" s="1896">
        <v>0</v>
      </c>
      <c r="Y31" s="1896">
        <v>0</v>
      </c>
      <c r="Z31" s="1896">
        <v>0</v>
      </c>
      <c r="AA31" s="1896">
        <v>0</v>
      </c>
      <c r="AB31" s="1887">
        <v>0</v>
      </c>
      <c r="AC31" s="1896">
        <v>0</v>
      </c>
      <c r="AD31" s="1897">
        <v>0</v>
      </c>
      <c r="AE31" s="1895">
        <f t="shared" si="17"/>
        <v>0</v>
      </c>
      <c r="AF31" s="1895">
        <f t="shared" si="18"/>
        <v>3.2972222222222225</v>
      </c>
      <c r="AG31" s="1867"/>
      <c r="AH31" s="1886">
        <v>0</v>
      </c>
      <c r="AI31" s="1896">
        <v>0</v>
      </c>
      <c r="AJ31" s="1887">
        <v>0</v>
      </c>
      <c r="AK31" s="1896">
        <v>0</v>
      </c>
      <c r="AL31" s="1896">
        <v>0</v>
      </c>
      <c r="AM31" s="1887">
        <v>0</v>
      </c>
      <c r="AN31" s="1896">
        <v>0</v>
      </c>
      <c r="AO31" s="1887">
        <v>0</v>
      </c>
      <c r="AP31" s="1896">
        <v>0</v>
      </c>
      <c r="AQ31" s="1887">
        <v>0</v>
      </c>
      <c r="AR31" s="1896">
        <v>0</v>
      </c>
      <c r="AS31" s="1897">
        <v>0</v>
      </c>
      <c r="AT31" s="1895">
        <f t="shared" si="7"/>
        <v>0</v>
      </c>
      <c r="AU31" s="1895">
        <f t="shared" si="19"/>
        <v>0</v>
      </c>
      <c r="AW31" s="317">
        <f t="shared" si="9"/>
        <v>0</v>
      </c>
      <c r="AX31" s="317">
        <f t="shared" si="10"/>
        <v>-3.2972222222222225</v>
      </c>
      <c r="AY31" s="1941">
        <f t="shared" si="14"/>
        <v>-39.56666666666667</v>
      </c>
      <c r="AZ31" s="594">
        <f t="shared" si="11"/>
        <v>0</v>
      </c>
    </row>
    <row r="32" spans="1:52" x14ac:dyDescent="0.55000000000000004">
      <c r="A32" s="7337" t="s">
        <v>69</v>
      </c>
      <c r="B32" s="470" t="s">
        <v>163</v>
      </c>
      <c r="C32" s="471"/>
      <c r="D32" s="885">
        <f t="shared" ref="D32:O32" si="20">SUM(D33:D37)</f>
        <v>19</v>
      </c>
      <c r="E32" s="885">
        <f t="shared" si="20"/>
        <v>19</v>
      </c>
      <c r="F32" s="885">
        <f t="shared" si="20"/>
        <v>22</v>
      </c>
      <c r="G32" s="885">
        <f t="shared" si="20"/>
        <v>20</v>
      </c>
      <c r="H32" s="885">
        <f t="shared" si="20"/>
        <v>20</v>
      </c>
      <c r="I32" s="885">
        <f t="shared" si="20"/>
        <v>21</v>
      </c>
      <c r="J32" s="885">
        <f t="shared" si="20"/>
        <v>21</v>
      </c>
      <c r="K32" s="885">
        <f t="shared" si="20"/>
        <v>21</v>
      </c>
      <c r="L32" s="885">
        <f t="shared" si="20"/>
        <v>22</v>
      </c>
      <c r="M32" s="885">
        <f t="shared" si="20"/>
        <v>22</v>
      </c>
      <c r="N32" s="885">
        <f t="shared" si="20"/>
        <v>21</v>
      </c>
      <c r="O32" s="885">
        <f t="shared" si="20"/>
        <v>19</v>
      </c>
      <c r="P32" s="1898">
        <f t="shared" si="15"/>
        <v>19</v>
      </c>
      <c r="Q32" s="1898">
        <f t="shared" si="16"/>
        <v>20.583333333333332</v>
      </c>
      <c r="R32" s="1867"/>
      <c r="S32" s="1899">
        <f>SUM(S33:S37)</f>
        <v>18</v>
      </c>
      <c r="T32" s="1900">
        <f t="shared" ref="T32:AB32" si="21">SUM(T33:T37)</f>
        <v>13</v>
      </c>
      <c r="U32" s="1900">
        <f t="shared" si="21"/>
        <v>12</v>
      </c>
      <c r="V32" s="1900">
        <f t="shared" si="21"/>
        <v>14</v>
      </c>
      <c r="W32" s="1900">
        <f t="shared" si="21"/>
        <v>14</v>
      </c>
      <c r="X32" s="1900">
        <f t="shared" si="21"/>
        <v>14</v>
      </c>
      <c r="Y32" s="1900">
        <f t="shared" si="21"/>
        <v>15</v>
      </c>
      <c r="Z32" s="1900">
        <f t="shared" si="21"/>
        <v>14</v>
      </c>
      <c r="AA32" s="1900">
        <f t="shared" si="21"/>
        <v>14</v>
      </c>
      <c r="AB32" s="1900">
        <f t="shared" si="21"/>
        <v>15</v>
      </c>
      <c r="AC32" s="1900">
        <v>16</v>
      </c>
      <c r="AD32" s="1900">
        <v>15</v>
      </c>
      <c r="AE32" s="1898">
        <f t="shared" si="17"/>
        <v>15</v>
      </c>
      <c r="AF32" s="1898">
        <f t="shared" si="18"/>
        <v>14.5</v>
      </c>
      <c r="AG32" s="1867"/>
      <c r="AH32" s="1899">
        <v>16</v>
      </c>
      <c r="AI32" s="1900">
        <v>15</v>
      </c>
      <c r="AJ32" s="1900">
        <v>17</v>
      </c>
      <c r="AK32" s="1900">
        <v>16</v>
      </c>
      <c r="AL32" s="1900">
        <v>15</v>
      </c>
      <c r="AM32" s="1900">
        <v>15</v>
      </c>
      <c r="AN32" s="1900">
        <v>14</v>
      </c>
      <c r="AO32" s="1900">
        <v>12</v>
      </c>
      <c r="AP32" s="1900">
        <v>12</v>
      </c>
      <c r="AQ32" s="1900">
        <v>12</v>
      </c>
      <c r="AR32" s="1900">
        <v>12</v>
      </c>
      <c r="AS32" s="1900">
        <v>9</v>
      </c>
      <c r="AT32" s="1898">
        <f t="shared" si="7"/>
        <v>9</v>
      </c>
      <c r="AU32" s="1898">
        <f t="shared" si="19"/>
        <v>13.75</v>
      </c>
      <c r="AW32" s="317">
        <f t="shared" si="9"/>
        <v>-6</v>
      </c>
      <c r="AX32" s="317">
        <f t="shared" si="10"/>
        <v>-0.75</v>
      </c>
      <c r="AY32" s="1941">
        <f t="shared" si="14"/>
        <v>-9</v>
      </c>
      <c r="AZ32" s="594">
        <f t="shared" si="11"/>
        <v>-3</v>
      </c>
    </row>
    <row r="33" spans="1:52" x14ac:dyDescent="0.55000000000000004">
      <c r="A33" s="7335"/>
      <c r="B33" s="8" t="s">
        <v>170</v>
      </c>
      <c r="C33" s="19" t="s">
        <v>171</v>
      </c>
      <c r="D33" s="837">
        <v>5</v>
      </c>
      <c r="E33" s="837">
        <v>5</v>
      </c>
      <c r="F33" s="837">
        <v>5</v>
      </c>
      <c r="G33" s="837">
        <v>5</v>
      </c>
      <c r="H33" s="837">
        <v>4</v>
      </c>
      <c r="I33" s="837">
        <v>4</v>
      </c>
      <c r="J33" s="837">
        <v>4</v>
      </c>
      <c r="K33" s="837">
        <v>4</v>
      </c>
      <c r="L33" s="837">
        <v>4</v>
      </c>
      <c r="M33" s="837">
        <v>4</v>
      </c>
      <c r="N33" s="837">
        <v>5</v>
      </c>
      <c r="O33" s="837">
        <v>5</v>
      </c>
      <c r="P33" s="1875">
        <f t="shared" si="15"/>
        <v>5</v>
      </c>
      <c r="Q33" s="1875">
        <f t="shared" si="16"/>
        <v>4.5</v>
      </c>
      <c r="R33" s="1867"/>
      <c r="S33" s="1876">
        <v>5</v>
      </c>
      <c r="T33" s="1867">
        <v>5</v>
      </c>
      <c r="U33" s="1867">
        <v>4</v>
      </c>
      <c r="V33" s="1867">
        <v>4</v>
      </c>
      <c r="W33" s="1867">
        <v>4</v>
      </c>
      <c r="X33" s="1867">
        <v>4</v>
      </c>
      <c r="Y33" s="1867">
        <v>4</v>
      </c>
      <c r="Z33" s="1867">
        <v>4</v>
      </c>
      <c r="AA33" s="1867">
        <v>4</v>
      </c>
      <c r="AB33" s="1867">
        <v>5</v>
      </c>
      <c r="AC33" s="1867">
        <v>5</v>
      </c>
      <c r="AD33" s="1867">
        <v>5</v>
      </c>
      <c r="AE33" s="1875">
        <f t="shared" si="17"/>
        <v>5</v>
      </c>
      <c r="AF33" s="1875">
        <f t="shared" si="18"/>
        <v>4.416666666666667</v>
      </c>
      <c r="AG33" s="1867"/>
      <c r="AH33" s="1876">
        <v>3</v>
      </c>
      <c r="AI33" s="1867">
        <v>3</v>
      </c>
      <c r="AJ33" s="1867">
        <v>3</v>
      </c>
      <c r="AK33" s="1867">
        <v>2</v>
      </c>
      <c r="AL33" s="1867">
        <v>2</v>
      </c>
      <c r="AM33" s="1867">
        <v>2</v>
      </c>
      <c r="AN33" s="1867">
        <v>4</v>
      </c>
      <c r="AO33" s="1867">
        <v>4</v>
      </c>
      <c r="AP33" s="1867">
        <v>3</v>
      </c>
      <c r="AQ33" s="1867">
        <v>4</v>
      </c>
      <c r="AR33" s="1867">
        <v>4</v>
      </c>
      <c r="AS33" s="1867">
        <v>4</v>
      </c>
      <c r="AT33" s="1875">
        <f t="shared" si="7"/>
        <v>4</v>
      </c>
      <c r="AU33" s="1875">
        <f t="shared" si="19"/>
        <v>3.1666666666666665</v>
      </c>
      <c r="AW33" s="317">
        <f t="shared" si="9"/>
        <v>-1</v>
      </c>
      <c r="AX33" s="317">
        <f t="shared" si="10"/>
        <v>-1.2500000000000004</v>
      </c>
      <c r="AY33" s="1941">
        <f t="shared" si="14"/>
        <v>-15</v>
      </c>
      <c r="AZ33" s="594">
        <f t="shared" si="11"/>
        <v>0</v>
      </c>
    </row>
    <row r="34" spans="1:52" x14ac:dyDescent="0.55000000000000004">
      <c r="A34" s="7335"/>
      <c r="B34" s="8"/>
      <c r="C34" s="19" t="s">
        <v>172</v>
      </c>
      <c r="D34" s="837">
        <v>4</v>
      </c>
      <c r="E34" s="837">
        <v>4</v>
      </c>
      <c r="F34" s="837">
        <v>4</v>
      </c>
      <c r="G34" s="837">
        <v>4</v>
      </c>
      <c r="H34" s="837">
        <v>4</v>
      </c>
      <c r="I34" s="837">
        <v>4</v>
      </c>
      <c r="J34" s="837">
        <v>4</v>
      </c>
      <c r="K34" s="837">
        <v>4</v>
      </c>
      <c r="L34" s="837">
        <v>3</v>
      </c>
      <c r="M34" s="837">
        <v>3</v>
      </c>
      <c r="N34" s="837">
        <v>3</v>
      </c>
      <c r="O34" s="837">
        <v>3</v>
      </c>
      <c r="P34" s="1875">
        <f t="shared" si="15"/>
        <v>3</v>
      </c>
      <c r="Q34" s="1875">
        <f t="shared" si="16"/>
        <v>3.6666666666666665</v>
      </c>
      <c r="R34" s="1867"/>
      <c r="S34" s="1876">
        <v>3</v>
      </c>
      <c r="T34" s="1867">
        <v>3</v>
      </c>
      <c r="U34" s="1867">
        <v>3</v>
      </c>
      <c r="V34" s="1867">
        <v>2</v>
      </c>
      <c r="W34" s="1867">
        <v>1</v>
      </c>
      <c r="X34" s="1867">
        <v>1</v>
      </c>
      <c r="Y34" s="1867">
        <v>3</v>
      </c>
      <c r="Z34" s="1867">
        <v>3</v>
      </c>
      <c r="AA34" s="1867">
        <v>3</v>
      </c>
      <c r="AB34" s="1867">
        <v>1</v>
      </c>
      <c r="AC34" s="1867">
        <v>1</v>
      </c>
      <c r="AD34" s="1867">
        <v>1</v>
      </c>
      <c r="AE34" s="1875">
        <f t="shared" si="17"/>
        <v>1</v>
      </c>
      <c r="AF34" s="1875">
        <f t="shared" si="18"/>
        <v>2.0833333333333335</v>
      </c>
      <c r="AG34" s="1867"/>
      <c r="AH34" s="1876">
        <v>1</v>
      </c>
      <c r="AI34" s="1867">
        <v>1</v>
      </c>
      <c r="AJ34" s="1867">
        <v>1</v>
      </c>
      <c r="AK34" s="1867">
        <v>2</v>
      </c>
      <c r="AL34" s="1867">
        <v>2</v>
      </c>
      <c r="AM34" s="1867">
        <v>2</v>
      </c>
      <c r="AN34" s="1867">
        <v>1</v>
      </c>
      <c r="AO34" s="1867">
        <v>1</v>
      </c>
      <c r="AP34" s="1867">
        <v>1</v>
      </c>
      <c r="AQ34" s="1867">
        <v>1</v>
      </c>
      <c r="AR34" s="1867">
        <v>1</v>
      </c>
      <c r="AS34" s="1867">
        <v>1</v>
      </c>
      <c r="AT34" s="1875">
        <f t="shared" si="7"/>
        <v>1</v>
      </c>
      <c r="AU34" s="1875">
        <f t="shared" si="19"/>
        <v>1.25</v>
      </c>
      <c r="AW34" s="317">
        <f t="shared" si="9"/>
        <v>0</v>
      </c>
      <c r="AX34" s="317">
        <f t="shared" si="10"/>
        <v>-0.83333333333333348</v>
      </c>
      <c r="AY34" s="1941">
        <f t="shared" si="14"/>
        <v>-10</v>
      </c>
      <c r="AZ34" s="594">
        <f t="shared" si="11"/>
        <v>0</v>
      </c>
    </row>
    <row r="35" spans="1:52" x14ac:dyDescent="0.55000000000000004">
      <c r="A35" s="7335"/>
      <c r="B35" s="8"/>
      <c r="C35" s="19" t="s">
        <v>173</v>
      </c>
      <c r="D35" s="837">
        <v>3</v>
      </c>
      <c r="E35" s="837">
        <v>3</v>
      </c>
      <c r="F35" s="837">
        <v>3</v>
      </c>
      <c r="G35" s="837">
        <v>3</v>
      </c>
      <c r="H35" s="837">
        <v>3</v>
      </c>
      <c r="I35" s="837">
        <v>3</v>
      </c>
      <c r="J35" s="837">
        <v>3</v>
      </c>
      <c r="K35" s="837">
        <v>3</v>
      </c>
      <c r="L35" s="837">
        <v>3</v>
      </c>
      <c r="M35" s="837">
        <v>3</v>
      </c>
      <c r="N35" s="837">
        <v>5</v>
      </c>
      <c r="O35" s="837">
        <v>4</v>
      </c>
      <c r="P35" s="1875">
        <f t="shared" si="15"/>
        <v>4</v>
      </c>
      <c r="Q35" s="1875">
        <f t="shared" si="16"/>
        <v>3.25</v>
      </c>
      <c r="R35" s="1867"/>
      <c r="S35" s="1876">
        <v>3</v>
      </c>
      <c r="T35" s="1867">
        <v>2</v>
      </c>
      <c r="U35" s="1867">
        <v>2</v>
      </c>
      <c r="V35" s="1867">
        <v>4</v>
      </c>
      <c r="W35" s="1867">
        <v>4</v>
      </c>
      <c r="X35" s="1867">
        <v>4</v>
      </c>
      <c r="Y35" s="1867">
        <v>2</v>
      </c>
      <c r="Z35" s="1867">
        <v>2</v>
      </c>
      <c r="AA35" s="1867">
        <v>2</v>
      </c>
      <c r="AB35" s="1867">
        <v>2</v>
      </c>
      <c r="AC35" s="1867">
        <v>2</v>
      </c>
      <c r="AD35" s="1867">
        <v>2</v>
      </c>
      <c r="AE35" s="1875">
        <f t="shared" si="17"/>
        <v>2</v>
      </c>
      <c r="AF35" s="1875">
        <f t="shared" si="18"/>
        <v>2.5833333333333335</v>
      </c>
      <c r="AG35" s="1867"/>
      <c r="AH35" s="1876">
        <v>2</v>
      </c>
      <c r="AI35" s="1867">
        <v>2</v>
      </c>
      <c r="AJ35" s="1867">
        <v>2</v>
      </c>
      <c r="AK35" s="1867">
        <v>4</v>
      </c>
      <c r="AL35" s="1867">
        <v>4</v>
      </c>
      <c r="AM35" s="1867">
        <v>4</v>
      </c>
      <c r="AN35" s="1867">
        <v>4</v>
      </c>
      <c r="AO35" s="1867">
        <v>3</v>
      </c>
      <c r="AP35" s="1867">
        <v>3</v>
      </c>
      <c r="AQ35" s="1867">
        <v>3</v>
      </c>
      <c r="AR35" s="1867">
        <v>3</v>
      </c>
      <c r="AS35" s="1867">
        <v>1</v>
      </c>
      <c r="AT35" s="1875">
        <f t="shared" si="7"/>
        <v>1</v>
      </c>
      <c r="AU35" s="1875">
        <f t="shared" si="19"/>
        <v>2.9166666666666665</v>
      </c>
      <c r="AW35" s="317">
        <f t="shared" si="9"/>
        <v>-1</v>
      </c>
      <c r="AX35" s="317">
        <f t="shared" si="10"/>
        <v>0.33333333333333304</v>
      </c>
      <c r="AY35" s="1941">
        <f t="shared" si="14"/>
        <v>4</v>
      </c>
      <c r="AZ35" s="594">
        <f t="shared" si="11"/>
        <v>-2</v>
      </c>
    </row>
    <row r="36" spans="1:52" x14ac:dyDescent="0.55000000000000004">
      <c r="A36" s="7335"/>
      <c r="B36" s="8"/>
      <c r="C36" s="19" t="s">
        <v>538</v>
      </c>
      <c r="D36" s="837">
        <v>7</v>
      </c>
      <c r="E36" s="837">
        <v>7</v>
      </c>
      <c r="F36" s="837">
        <v>10</v>
      </c>
      <c r="G36" s="837">
        <v>8</v>
      </c>
      <c r="H36" s="837">
        <v>9</v>
      </c>
      <c r="I36" s="837">
        <v>10</v>
      </c>
      <c r="J36" s="837">
        <v>10</v>
      </c>
      <c r="K36" s="837">
        <v>10</v>
      </c>
      <c r="L36" s="837">
        <v>11</v>
      </c>
      <c r="M36" s="837">
        <v>11</v>
      </c>
      <c r="N36" s="837">
        <v>7</v>
      </c>
      <c r="O36" s="837">
        <v>6</v>
      </c>
      <c r="P36" s="1875">
        <f t="shared" si="15"/>
        <v>6</v>
      </c>
      <c r="Q36" s="1875">
        <f t="shared" si="16"/>
        <v>8.8333333333333339</v>
      </c>
      <c r="R36" s="1867"/>
      <c r="S36" s="1876">
        <v>6</v>
      </c>
      <c r="T36" s="1867">
        <v>2</v>
      </c>
      <c r="U36" s="1867">
        <v>2</v>
      </c>
      <c r="V36" s="1867">
        <v>4</v>
      </c>
      <c r="W36" s="1867">
        <v>5</v>
      </c>
      <c r="X36" s="1867">
        <v>5</v>
      </c>
      <c r="Y36" s="1867">
        <v>6</v>
      </c>
      <c r="Z36" s="1867">
        <v>5</v>
      </c>
      <c r="AA36" s="1867">
        <v>5</v>
      </c>
      <c r="AB36" s="1867">
        <v>7</v>
      </c>
      <c r="AC36" s="1867">
        <v>8</v>
      </c>
      <c r="AD36" s="1867">
        <v>7</v>
      </c>
      <c r="AE36" s="1875">
        <f t="shared" si="17"/>
        <v>7</v>
      </c>
      <c r="AF36" s="1875">
        <f t="shared" si="18"/>
        <v>5.166666666666667</v>
      </c>
      <c r="AG36" s="1867"/>
      <c r="AH36" s="1876">
        <v>10</v>
      </c>
      <c r="AI36" s="1867">
        <v>9</v>
      </c>
      <c r="AJ36" s="1867">
        <v>11</v>
      </c>
      <c r="AK36" s="1867">
        <v>8</v>
      </c>
      <c r="AL36" s="1867">
        <v>7</v>
      </c>
      <c r="AM36" s="1867">
        <v>7</v>
      </c>
      <c r="AN36" s="1867">
        <v>5</v>
      </c>
      <c r="AO36" s="1867">
        <v>4</v>
      </c>
      <c r="AP36" s="1867">
        <v>5</v>
      </c>
      <c r="AQ36" s="1867">
        <v>4</v>
      </c>
      <c r="AR36" s="1867">
        <v>4</v>
      </c>
      <c r="AS36" s="1867">
        <v>3</v>
      </c>
      <c r="AT36" s="1875">
        <f t="shared" si="7"/>
        <v>3</v>
      </c>
      <c r="AU36" s="1875">
        <f t="shared" si="19"/>
        <v>6.416666666666667</v>
      </c>
      <c r="AW36" s="317">
        <f t="shared" si="9"/>
        <v>-4</v>
      </c>
      <c r="AX36" s="317">
        <f t="shared" si="10"/>
        <v>1.25</v>
      </c>
      <c r="AY36" s="1941">
        <f t="shared" si="14"/>
        <v>15</v>
      </c>
      <c r="AZ36" s="594">
        <f t="shared" si="11"/>
        <v>-1</v>
      </c>
    </row>
    <row r="37" spans="1:52" x14ac:dyDescent="0.55000000000000004">
      <c r="A37" s="7335"/>
      <c r="B37" s="8"/>
      <c r="C37" s="19" t="s">
        <v>539</v>
      </c>
      <c r="D37" s="837">
        <v>0</v>
      </c>
      <c r="E37" s="837">
        <v>0</v>
      </c>
      <c r="F37" s="837">
        <v>0</v>
      </c>
      <c r="G37" s="837">
        <v>0</v>
      </c>
      <c r="H37" s="837">
        <v>0</v>
      </c>
      <c r="I37" s="837">
        <v>0</v>
      </c>
      <c r="J37" s="837">
        <v>0</v>
      </c>
      <c r="K37" s="837">
        <v>0</v>
      </c>
      <c r="L37" s="837">
        <v>1</v>
      </c>
      <c r="M37" s="837">
        <v>1</v>
      </c>
      <c r="N37" s="837">
        <v>1</v>
      </c>
      <c r="O37" s="837">
        <v>1</v>
      </c>
      <c r="P37" s="1875">
        <f t="shared" si="15"/>
        <v>0</v>
      </c>
      <c r="Q37" s="1875">
        <f t="shared" si="16"/>
        <v>0.33333333333333331</v>
      </c>
      <c r="R37" s="1867"/>
      <c r="S37" s="1876">
        <v>1</v>
      </c>
      <c r="T37" s="1867">
        <v>1</v>
      </c>
      <c r="U37" s="1867">
        <v>1</v>
      </c>
      <c r="V37" s="1867">
        <v>0</v>
      </c>
      <c r="W37" s="1867">
        <v>0</v>
      </c>
      <c r="X37" s="1867">
        <v>0</v>
      </c>
      <c r="Y37" s="1867">
        <v>0</v>
      </c>
      <c r="Z37" s="1867">
        <v>0</v>
      </c>
      <c r="AA37" s="1867">
        <v>0</v>
      </c>
      <c r="AB37" s="1867">
        <v>0</v>
      </c>
      <c r="AC37" s="1867">
        <v>0</v>
      </c>
      <c r="AD37" s="1867">
        <v>0</v>
      </c>
      <c r="AE37" s="1875">
        <f t="shared" si="17"/>
        <v>0</v>
      </c>
      <c r="AF37" s="1875">
        <f t="shared" si="18"/>
        <v>0.25</v>
      </c>
      <c r="AG37" s="1867"/>
      <c r="AH37" s="1876">
        <v>0</v>
      </c>
      <c r="AI37" s="1867">
        <v>0</v>
      </c>
      <c r="AJ37" s="1867">
        <v>0</v>
      </c>
      <c r="AK37" s="1867">
        <v>0</v>
      </c>
      <c r="AL37" s="1867">
        <v>0</v>
      </c>
      <c r="AM37" s="1867">
        <v>0</v>
      </c>
      <c r="AN37" s="1867">
        <v>0</v>
      </c>
      <c r="AO37" s="1867">
        <v>0</v>
      </c>
      <c r="AP37" s="1867">
        <v>0</v>
      </c>
      <c r="AQ37" s="1867">
        <v>0</v>
      </c>
      <c r="AR37" s="1867">
        <v>0</v>
      </c>
      <c r="AS37" s="1867">
        <v>0</v>
      </c>
      <c r="AT37" s="1875">
        <f t="shared" si="7"/>
        <v>0</v>
      </c>
      <c r="AU37" s="1875">
        <f t="shared" si="19"/>
        <v>0</v>
      </c>
      <c r="AW37" s="317">
        <f t="shared" si="9"/>
        <v>0</v>
      </c>
      <c r="AX37" s="317">
        <f t="shared" si="10"/>
        <v>-0.25</v>
      </c>
      <c r="AY37" s="1941">
        <f t="shared" si="14"/>
        <v>-3</v>
      </c>
      <c r="AZ37" s="594">
        <f t="shared" si="11"/>
        <v>0</v>
      </c>
    </row>
    <row r="38" spans="1:52" x14ac:dyDescent="0.55000000000000004">
      <c r="A38" s="7335"/>
      <c r="B38" s="35" t="s">
        <v>174</v>
      </c>
      <c r="C38" s="36" t="s">
        <v>171</v>
      </c>
      <c r="D38" s="845">
        <v>22.54</v>
      </c>
      <c r="E38" s="845">
        <v>32.299999999999997</v>
      </c>
      <c r="F38" s="845">
        <v>35.88000000000001</v>
      </c>
      <c r="G38" s="845">
        <v>22.86</v>
      </c>
      <c r="H38" s="845">
        <v>50.800000000000004</v>
      </c>
      <c r="I38" s="845">
        <v>36.875</v>
      </c>
      <c r="J38" s="845">
        <v>25.324999999999999</v>
      </c>
      <c r="K38" s="845">
        <v>38.375000000000007</v>
      </c>
      <c r="L38" s="845">
        <v>24.849999999999998</v>
      </c>
      <c r="M38" s="845">
        <v>32.024999999999999</v>
      </c>
      <c r="N38" s="845">
        <v>42.28</v>
      </c>
      <c r="O38" s="845">
        <v>39.839999999999996</v>
      </c>
      <c r="P38" s="1882">
        <f t="shared" si="15"/>
        <v>39.839999999999996</v>
      </c>
      <c r="Q38" s="1882">
        <f t="shared" si="16"/>
        <v>33.662500000000001</v>
      </c>
      <c r="R38" s="1867"/>
      <c r="S38" s="1886">
        <v>56.54</v>
      </c>
      <c r="T38" s="1887">
        <v>29.7</v>
      </c>
      <c r="U38" s="1887">
        <v>51.75</v>
      </c>
      <c r="V38" s="1887">
        <v>44.825000000000003</v>
      </c>
      <c r="W38" s="1887">
        <v>47.2</v>
      </c>
      <c r="X38" s="1887">
        <v>70.650000000000006</v>
      </c>
      <c r="Y38" s="1887">
        <v>70</v>
      </c>
      <c r="Z38" s="1887">
        <v>54.524999999999999</v>
      </c>
      <c r="AA38" s="1887">
        <v>67.8</v>
      </c>
      <c r="AB38" s="1887">
        <v>42.7</v>
      </c>
      <c r="AC38" s="1887">
        <v>39.700000000000003</v>
      </c>
      <c r="AD38" s="1887">
        <v>20.6</v>
      </c>
      <c r="AE38" s="1882">
        <f t="shared" si="17"/>
        <v>20.6</v>
      </c>
      <c r="AF38" s="1882">
        <f t="shared" si="18"/>
        <v>49.665833333333332</v>
      </c>
      <c r="AG38" s="1867"/>
      <c r="AH38" s="1886">
        <v>43.9</v>
      </c>
      <c r="AI38" s="1887">
        <v>60.4</v>
      </c>
      <c r="AJ38" s="1887">
        <v>59.5</v>
      </c>
      <c r="AK38" s="1887">
        <v>68.599999999999994</v>
      </c>
      <c r="AL38" s="1887">
        <v>61.1</v>
      </c>
      <c r="AM38" s="1887">
        <v>70.7</v>
      </c>
      <c r="AN38" s="1887">
        <v>73.400000000000006</v>
      </c>
      <c r="AO38" s="1887">
        <v>41.3</v>
      </c>
      <c r="AP38" s="1887">
        <v>91.8</v>
      </c>
      <c r="AQ38" s="1887">
        <v>63.1</v>
      </c>
      <c r="AR38" s="1887">
        <v>43.9</v>
      </c>
      <c r="AS38" s="1887">
        <v>41.2</v>
      </c>
      <c r="AT38" s="1882">
        <f t="shared" si="7"/>
        <v>41.2</v>
      </c>
      <c r="AU38" s="1882">
        <f t="shared" si="19"/>
        <v>59.908333333333339</v>
      </c>
      <c r="AW38" s="317">
        <f t="shared" si="9"/>
        <v>20.6</v>
      </c>
      <c r="AX38" s="317">
        <f t="shared" si="10"/>
        <v>10.242500000000007</v>
      </c>
      <c r="AY38" s="1941">
        <f t="shared" si="14"/>
        <v>122.91000000000008</v>
      </c>
      <c r="AZ38" s="594">
        <f t="shared" si="11"/>
        <v>-2.6999999999999957</v>
      </c>
    </row>
    <row r="39" spans="1:52" x14ac:dyDescent="0.55000000000000004">
      <c r="A39" s="7335"/>
      <c r="B39" s="35"/>
      <c r="C39" s="36" t="s">
        <v>172</v>
      </c>
      <c r="D39" s="845">
        <v>36.625</v>
      </c>
      <c r="E39" s="845">
        <v>39.375</v>
      </c>
      <c r="F39" s="845">
        <v>27.575000000000003</v>
      </c>
      <c r="G39" s="845">
        <v>32.424999999999997</v>
      </c>
      <c r="H39" s="845">
        <v>37.125</v>
      </c>
      <c r="I39" s="845">
        <v>22.299999999999997</v>
      </c>
      <c r="J39" s="845">
        <v>28.825000000000003</v>
      </c>
      <c r="K39" s="845">
        <v>46.2</v>
      </c>
      <c r="L39" s="845">
        <v>37.033333333333331</v>
      </c>
      <c r="M39" s="845">
        <v>42.70000000000001</v>
      </c>
      <c r="N39" s="845">
        <v>61.1</v>
      </c>
      <c r="O39" s="845">
        <v>48.133333333333333</v>
      </c>
      <c r="P39" s="1882">
        <f t="shared" si="15"/>
        <v>48.133333333333333</v>
      </c>
      <c r="Q39" s="1882">
        <f t="shared" si="16"/>
        <v>38.284722222222221</v>
      </c>
      <c r="R39" s="1867"/>
      <c r="S39" s="1886">
        <v>42.833333333333336</v>
      </c>
      <c r="T39" s="1887">
        <v>47.29999999999999</v>
      </c>
      <c r="U39" s="1887">
        <v>47.466666666666669</v>
      </c>
      <c r="V39" s="1887">
        <v>25.9</v>
      </c>
      <c r="W39" s="1887">
        <v>34.1</v>
      </c>
      <c r="X39" s="1887">
        <v>40.300000000000004</v>
      </c>
      <c r="Y39" s="1887">
        <v>43.8</v>
      </c>
      <c r="Z39" s="1887">
        <v>35.433333333333337</v>
      </c>
      <c r="AA39" s="1887">
        <v>45</v>
      </c>
      <c r="AB39" s="1887">
        <v>41.3</v>
      </c>
      <c r="AC39" s="1887">
        <v>11.1</v>
      </c>
      <c r="AD39" s="1887">
        <v>5.6</v>
      </c>
      <c r="AE39" s="1882">
        <f t="shared" si="17"/>
        <v>5.6</v>
      </c>
      <c r="AF39" s="1882">
        <f t="shared" si="18"/>
        <v>35.011111111111113</v>
      </c>
      <c r="AG39" s="1867"/>
      <c r="AH39" s="1886">
        <v>2</v>
      </c>
      <c r="AI39" s="1887">
        <v>0</v>
      </c>
      <c r="AJ39" s="1887">
        <v>0</v>
      </c>
      <c r="AK39" s="1887">
        <v>27.1</v>
      </c>
      <c r="AL39" s="1887">
        <v>28.9</v>
      </c>
      <c r="AM39" s="1887">
        <v>31.8</v>
      </c>
      <c r="AN39" s="1887">
        <v>10</v>
      </c>
      <c r="AO39" s="1887">
        <v>26.1</v>
      </c>
      <c r="AP39" s="1887">
        <v>77.599999999999994</v>
      </c>
      <c r="AQ39" s="1887">
        <v>3.6</v>
      </c>
      <c r="AR39" s="1887">
        <v>39.200000000000003</v>
      </c>
      <c r="AS39" s="1887">
        <v>25.2</v>
      </c>
      <c r="AT39" s="1882">
        <f t="shared" si="7"/>
        <v>0</v>
      </c>
      <c r="AU39" s="1882">
        <f t="shared" si="19"/>
        <v>22.625</v>
      </c>
      <c r="AW39" s="317">
        <f t="shared" si="9"/>
        <v>19.600000000000001</v>
      </c>
      <c r="AX39" s="317">
        <f t="shared" si="10"/>
        <v>-12.386111111111113</v>
      </c>
      <c r="AY39" s="1941">
        <f t="shared" si="14"/>
        <v>-148.63333333333338</v>
      </c>
      <c r="AZ39" s="594">
        <f t="shared" si="11"/>
        <v>-14.000000000000004</v>
      </c>
    </row>
    <row r="40" spans="1:52" x14ac:dyDescent="0.55000000000000004">
      <c r="A40" s="7335"/>
      <c r="B40" s="35"/>
      <c r="C40" s="36" t="s">
        <v>173</v>
      </c>
      <c r="D40" s="845">
        <v>38.4</v>
      </c>
      <c r="E40" s="845">
        <v>41.633333333333333</v>
      </c>
      <c r="F40" s="845">
        <v>52.533333333333331</v>
      </c>
      <c r="G40" s="845">
        <v>41.966666666666669</v>
      </c>
      <c r="H40" s="845">
        <v>44.900000000000006</v>
      </c>
      <c r="I40" s="845">
        <v>28.399999999999995</v>
      </c>
      <c r="J40" s="845">
        <v>26.566666666666666</v>
      </c>
      <c r="K40" s="845">
        <v>61.666666666666679</v>
      </c>
      <c r="L40" s="845">
        <v>38.4</v>
      </c>
      <c r="M40" s="845">
        <v>34.500000000000007</v>
      </c>
      <c r="N40" s="845">
        <v>13.780000000000001</v>
      </c>
      <c r="O40" s="845">
        <v>11.6</v>
      </c>
      <c r="P40" s="1882">
        <f t="shared" si="15"/>
        <v>11.6</v>
      </c>
      <c r="Q40" s="1882">
        <f t="shared" si="16"/>
        <v>36.195555555555558</v>
      </c>
      <c r="R40" s="1867"/>
      <c r="S40" s="1886">
        <v>12.533333333333333</v>
      </c>
      <c r="T40" s="1887">
        <v>13.049999999999999</v>
      </c>
      <c r="U40" s="1887">
        <v>25.55</v>
      </c>
      <c r="V40" s="1887">
        <v>33.924999999999997</v>
      </c>
      <c r="W40" s="1887">
        <v>30.2</v>
      </c>
      <c r="X40" s="1887">
        <v>31.849999999999994</v>
      </c>
      <c r="Y40" s="1887">
        <v>17.5</v>
      </c>
      <c r="Z40" s="1887">
        <v>31.35</v>
      </c>
      <c r="AA40" s="1887">
        <v>12.8</v>
      </c>
      <c r="AB40" s="1887">
        <v>55</v>
      </c>
      <c r="AC40" s="1887">
        <v>46.4</v>
      </c>
      <c r="AD40" s="1887">
        <v>21.8</v>
      </c>
      <c r="AE40" s="1882">
        <f t="shared" si="17"/>
        <v>21.8</v>
      </c>
      <c r="AF40" s="1882">
        <f t="shared" si="18"/>
        <v>27.663194444444443</v>
      </c>
      <c r="AG40" s="1867"/>
      <c r="AH40" s="1886">
        <v>15.8</v>
      </c>
      <c r="AI40" s="1887">
        <v>67.7</v>
      </c>
      <c r="AJ40" s="1887">
        <v>67.099999999999994</v>
      </c>
      <c r="AK40" s="1887">
        <v>19</v>
      </c>
      <c r="AL40" s="1887">
        <v>56.9</v>
      </c>
      <c r="AM40" s="1887">
        <v>11.7</v>
      </c>
      <c r="AN40" s="1887">
        <v>36.799999999999997</v>
      </c>
      <c r="AO40" s="1887">
        <v>48.5</v>
      </c>
      <c r="AP40" s="1887">
        <v>58.2</v>
      </c>
      <c r="AQ40" s="1887">
        <v>18.8</v>
      </c>
      <c r="AR40" s="1887">
        <v>25.9</v>
      </c>
      <c r="AS40" s="1887">
        <v>17.5</v>
      </c>
      <c r="AT40" s="1882">
        <f t="shared" si="7"/>
        <v>17.5</v>
      </c>
      <c r="AU40" s="1882">
        <f t="shared" si="19"/>
        <v>36.991666666666667</v>
      </c>
      <c r="AW40" s="317">
        <f t="shared" si="9"/>
        <v>-4.3000000000000007</v>
      </c>
      <c r="AX40" s="317">
        <f t="shared" si="10"/>
        <v>9.3284722222222243</v>
      </c>
      <c r="AY40" s="1941">
        <f t="shared" si="14"/>
        <v>111.94166666666666</v>
      </c>
      <c r="AZ40" s="594">
        <f t="shared" si="11"/>
        <v>-8.3999999999999986</v>
      </c>
    </row>
    <row r="41" spans="1:52" x14ac:dyDescent="0.55000000000000004">
      <c r="A41" s="7335"/>
      <c r="B41" s="35"/>
      <c r="C41" s="36" t="s">
        <v>538</v>
      </c>
      <c r="D41" s="845">
        <v>8.1857142857142851</v>
      </c>
      <c r="E41" s="845">
        <v>17.128571428571426</v>
      </c>
      <c r="F41" s="845">
        <v>13.330000000000002</v>
      </c>
      <c r="G41" s="845">
        <v>10.812500000000002</v>
      </c>
      <c r="H41" s="845">
        <v>25.12222222222222</v>
      </c>
      <c r="I41" s="845">
        <v>12</v>
      </c>
      <c r="J41" s="845">
        <v>11.279999999999998</v>
      </c>
      <c r="K41" s="845">
        <v>17.439999999999998</v>
      </c>
      <c r="L41" s="845">
        <v>11.263636363636364</v>
      </c>
      <c r="M41" s="845">
        <v>11.663636363636362</v>
      </c>
      <c r="N41" s="845">
        <v>16</v>
      </c>
      <c r="O41" s="845">
        <v>14.916666666666666</v>
      </c>
      <c r="P41" s="1882">
        <f t="shared" si="15"/>
        <v>14.916666666666666</v>
      </c>
      <c r="Q41" s="1882">
        <f t="shared" si="16"/>
        <v>14.095245610870611</v>
      </c>
      <c r="R41" s="1867"/>
      <c r="S41" s="1886">
        <v>16.716666666666665</v>
      </c>
      <c r="T41" s="1887">
        <v>19.2</v>
      </c>
      <c r="U41" s="1887">
        <v>30.4</v>
      </c>
      <c r="V41" s="1887">
        <v>10.549999999999999</v>
      </c>
      <c r="W41" s="1887">
        <v>10.7</v>
      </c>
      <c r="X41" s="1887">
        <v>12</v>
      </c>
      <c r="Y41" s="1887">
        <v>14.8</v>
      </c>
      <c r="Z41" s="1887">
        <v>8.0599999999999987</v>
      </c>
      <c r="AA41" s="1887">
        <v>12.6</v>
      </c>
      <c r="AB41" s="1887">
        <v>15.6</v>
      </c>
      <c r="AC41" s="1887">
        <v>10</v>
      </c>
      <c r="AD41" s="1887">
        <v>24.8</v>
      </c>
      <c r="AE41" s="1882">
        <f t="shared" si="17"/>
        <v>24.8</v>
      </c>
      <c r="AF41" s="1882">
        <f t="shared" si="18"/>
        <v>15.452222222222224</v>
      </c>
      <c r="AG41" s="1867"/>
      <c r="AH41" s="1886">
        <v>9</v>
      </c>
      <c r="AI41" s="1887">
        <v>13.6</v>
      </c>
      <c r="AJ41" s="1887">
        <v>10</v>
      </c>
      <c r="AK41" s="1887">
        <v>6.1</v>
      </c>
      <c r="AL41" s="1887">
        <v>15.9</v>
      </c>
      <c r="AM41" s="1887">
        <v>6.4</v>
      </c>
      <c r="AN41" s="1887">
        <v>14.6</v>
      </c>
      <c r="AO41" s="1887">
        <v>20.2</v>
      </c>
      <c r="AP41" s="1887">
        <v>14.1</v>
      </c>
      <c r="AQ41" s="1887">
        <v>7.6</v>
      </c>
      <c r="AR41" s="1887">
        <v>12.1</v>
      </c>
      <c r="AS41" s="1887">
        <v>3.3</v>
      </c>
      <c r="AT41" s="1882">
        <f t="shared" si="7"/>
        <v>3.3</v>
      </c>
      <c r="AU41" s="1882">
        <f t="shared" si="19"/>
        <v>11.075000000000001</v>
      </c>
      <c r="AW41" s="317">
        <f t="shared" si="9"/>
        <v>-21.5</v>
      </c>
      <c r="AX41" s="317">
        <f t="shared" si="10"/>
        <v>-4.3772222222222226</v>
      </c>
      <c r="AY41" s="1941">
        <f t="shared" si="14"/>
        <v>-52.526666666666671</v>
      </c>
      <c r="AZ41" s="594">
        <f t="shared" si="11"/>
        <v>-8.8000000000000007</v>
      </c>
    </row>
    <row r="42" spans="1:52" x14ac:dyDescent="0.55000000000000004">
      <c r="A42" s="7336"/>
      <c r="B42" s="65"/>
      <c r="C42" s="66" t="s">
        <v>539</v>
      </c>
      <c r="D42" s="882">
        <v>0</v>
      </c>
      <c r="E42" s="883">
        <v>0</v>
      </c>
      <c r="F42" s="883">
        <v>0</v>
      </c>
      <c r="G42" s="883">
        <v>0</v>
      </c>
      <c r="H42" s="883">
        <v>0</v>
      </c>
      <c r="I42" s="883">
        <v>0</v>
      </c>
      <c r="J42" s="883">
        <v>0</v>
      </c>
      <c r="K42" s="883">
        <v>0</v>
      </c>
      <c r="L42" s="883">
        <v>0</v>
      </c>
      <c r="M42" s="883">
        <v>2</v>
      </c>
      <c r="N42" s="883">
        <v>1.5</v>
      </c>
      <c r="O42" s="884">
        <v>3</v>
      </c>
      <c r="P42" s="1895">
        <f t="shared" si="15"/>
        <v>0</v>
      </c>
      <c r="Q42" s="1895">
        <f t="shared" si="16"/>
        <v>0.54166666666666663</v>
      </c>
      <c r="R42" s="1867"/>
      <c r="S42" s="1886">
        <v>1.5</v>
      </c>
      <c r="T42" s="1896">
        <v>1.5</v>
      </c>
      <c r="U42" s="1896">
        <v>1</v>
      </c>
      <c r="V42" s="1896">
        <v>0</v>
      </c>
      <c r="W42" s="1896">
        <v>0</v>
      </c>
      <c r="X42" s="1896">
        <v>0</v>
      </c>
      <c r="Y42" s="1896">
        <v>0</v>
      </c>
      <c r="Z42" s="1896">
        <v>0</v>
      </c>
      <c r="AA42" s="1896">
        <v>0</v>
      </c>
      <c r="AB42" s="1887">
        <v>0</v>
      </c>
      <c r="AC42" s="1896">
        <v>0</v>
      </c>
      <c r="AD42" s="1897">
        <v>0</v>
      </c>
      <c r="AE42" s="1895">
        <f t="shared" si="17"/>
        <v>0</v>
      </c>
      <c r="AF42" s="1895">
        <f t="shared" si="18"/>
        <v>0.33333333333333331</v>
      </c>
      <c r="AG42" s="1867"/>
      <c r="AH42" s="1886">
        <v>0</v>
      </c>
      <c r="AI42" s="1896">
        <v>0</v>
      </c>
      <c r="AJ42" s="1887">
        <v>0</v>
      </c>
      <c r="AK42" s="1896">
        <v>0</v>
      </c>
      <c r="AL42" s="1896">
        <v>0</v>
      </c>
      <c r="AM42" s="1887">
        <v>0</v>
      </c>
      <c r="AN42" s="1896">
        <v>0</v>
      </c>
      <c r="AO42" s="1887">
        <v>0</v>
      </c>
      <c r="AP42" s="1896">
        <v>0</v>
      </c>
      <c r="AQ42" s="1887">
        <v>0</v>
      </c>
      <c r="AR42" s="1896">
        <v>0</v>
      </c>
      <c r="AS42" s="1897">
        <v>0</v>
      </c>
      <c r="AT42" s="1895">
        <f t="shared" si="7"/>
        <v>0</v>
      </c>
      <c r="AU42" s="1895">
        <f t="shared" si="19"/>
        <v>0</v>
      </c>
      <c r="AW42" s="317">
        <f t="shared" si="9"/>
        <v>0</v>
      </c>
      <c r="AX42" s="317">
        <f t="shared" si="10"/>
        <v>-0.33333333333333331</v>
      </c>
      <c r="AY42" s="1941">
        <f t="shared" si="14"/>
        <v>-4</v>
      </c>
      <c r="AZ42" s="594">
        <f t="shared" si="11"/>
        <v>0</v>
      </c>
    </row>
    <row r="43" spans="1:52" x14ac:dyDescent="0.55000000000000004">
      <c r="A43" s="7337" t="s">
        <v>70</v>
      </c>
      <c r="B43" s="470" t="s">
        <v>163</v>
      </c>
      <c r="C43" s="471"/>
      <c r="D43" s="885">
        <f t="shared" ref="D43:O43" si="22">SUM(D44:D48)</f>
        <v>21</v>
      </c>
      <c r="E43" s="885">
        <f t="shared" si="22"/>
        <v>21</v>
      </c>
      <c r="F43" s="885">
        <f t="shared" si="22"/>
        <v>22</v>
      </c>
      <c r="G43" s="885">
        <f t="shared" si="22"/>
        <v>22</v>
      </c>
      <c r="H43" s="885">
        <f t="shared" si="22"/>
        <v>26</v>
      </c>
      <c r="I43" s="885">
        <f t="shared" si="22"/>
        <v>25</v>
      </c>
      <c r="J43" s="885">
        <f t="shared" si="22"/>
        <v>26</v>
      </c>
      <c r="K43" s="885">
        <f t="shared" si="22"/>
        <v>25</v>
      </c>
      <c r="L43" s="885">
        <f t="shared" si="22"/>
        <v>25</v>
      </c>
      <c r="M43" s="885">
        <f t="shared" si="22"/>
        <v>24</v>
      </c>
      <c r="N43" s="885">
        <f t="shared" si="22"/>
        <v>26</v>
      </c>
      <c r="O43" s="885">
        <f t="shared" si="22"/>
        <v>26</v>
      </c>
      <c r="P43" s="1898">
        <f t="shared" si="15"/>
        <v>26</v>
      </c>
      <c r="Q43" s="1898">
        <f t="shared" si="16"/>
        <v>24.083333333333332</v>
      </c>
      <c r="R43" s="1867"/>
      <c r="S43" s="1899">
        <f t="shared" ref="S43:AB43" si="23">SUM(S44:S48)</f>
        <v>25</v>
      </c>
      <c r="T43" s="1900">
        <f t="shared" si="23"/>
        <v>17</v>
      </c>
      <c r="U43" s="1900">
        <f t="shared" si="23"/>
        <v>17</v>
      </c>
      <c r="V43" s="1900">
        <f t="shared" si="23"/>
        <v>17</v>
      </c>
      <c r="W43" s="1900">
        <f t="shared" si="23"/>
        <v>18</v>
      </c>
      <c r="X43" s="1900">
        <f t="shared" si="23"/>
        <v>18</v>
      </c>
      <c r="Y43" s="1900">
        <f t="shared" si="23"/>
        <v>21</v>
      </c>
      <c r="Z43" s="1900">
        <f t="shared" si="23"/>
        <v>21</v>
      </c>
      <c r="AA43" s="1900">
        <f t="shared" si="23"/>
        <v>21</v>
      </c>
      <c r="AB43" s="1900">
        <f t="shared" si="23"/>
        <v>20</v>
      </c>
      <c r="AC43" s="1900">
        <v>21</v>
      </c>
      <c r="AD43" s="1900">
        <v>21</v>
      </c>
      <c r="AE43" s="1898">
        <f t="shared" si="17"/>
        <v>21</v>
      </c>
      <c r="AF43" s="1898">
        <f t="shared" si="18"/>
        <v>19.75</v>
      </c>
      <c r="AG43" s="1867"/>
      <c r="AH43" s="1899">
        <v>22</v>
      </c>
      <c r="AI43" s="1900">
        <v>23</v>
      </c>
      <c r="AJ43" s="1900">
        <v>23</v>
      </c>
      <c r="AK43" s="1900">
        <v>20</v>
      </c>
      <c r="AL43" s="1900">
        <v>20</v>
      </c>
      <c r="AM43" s="1900">
        <v>20</v>
      </c>
      <c r="AN43" s="1900">
        <v>19</v>
      </c>
      <c r="AO43" s="1900">
        <v>19</v>
      </c>
      <c r="AP43" s="1900">
        <v>17</v>
      </c>
      <c r="AQ43" s="1900">
        <v>16</v>
      </c>
      <c r="AR43" s="1900">
        <v>16</v>
      </c>
      <c r="AS43" s="1900">
        <v>11</v>
      </c>
      <c r="AT43" s="1898">
        <f t="shared" si="7"/>
        <v>11</v>
      </c>
      <c r="AU43" s="1898">
        <f t="shared" si="19"/>
        <v>18.833333333333332</v>
      </c>
      <c r="AW43" s="317">
        <f t="shared" si="9"/>
        <v>-10</v>
      </c>
      <c r="AX43" s="317">
        <f t="shared" si="10"/>
        <v>-0.91666666666666785</v>
      </c>
      <c r="AY43" s="1941">
        <f t="shared" si="14"/>
        <v>-11</v>
      </c>
      <c r="AZ43" s="594">
        <f t="shared" si="11"/>
        <v>-5</v>
      </c>
    </row>
    <row r="44" spans="1:52" x14ac:dyDescent="0.55000000000000004">
      <c r="A44" s="7335"/>
      <c r="B44" s="8" t="s">
        <v>170</v>
      </c>
      <c r="C44" s="19" t="s">
        <v>171</v>
      </c>
      <c r="D44" s="837">
        <v>1</v>
      </c>
      <c r="E44" s="837">
        <v>1</v>
      </c>
      <c r="F44" s="837">
        <v>1</v>
      </c>
      <c r="G44" s="837">
        <v>1</v>
      </c>
      <c r="H44" s="837">
        <v>1</v>
      </c>
      <c r="I44" s="837">
        <v>1</v>
      </c>
      <c r="J44" s="837">
        <v>1</v>
      </c>
      <c r="K44" s="837">
        <v>1</v>
      </c>
      <c r="L44" s="837">
        <v>1</v>
      </c>
      <c r="M44" s="837">
        <v>1</v>
      </c>
      <c r="N44" s="837">
        <v>1</v>
      </c>
      <c r="O44" s="837">
        <v>1</v>
      </c>
      <c r="P44" s="1875">
        <f t="shared" si="15"/>
        <v>1</v>
      </c>
      <c r="Q44" s="1875">
        <f t="shared" si="16"/>
        <v>1</v>
      </c>
      <c r="R44" s="1867"/>
      <c r="S44" s="1876">
        <v>1</v>
      </c>
      <c r="T44" s="1867">
        <v>1</v>
      </c>
      <c r="U44" s="1867">
        <v>1</v>
      </c>
      <c r="V44" s="1867">
        <v>0</v>
      </c>
      <c r="W44" s="1867">
        <v>0</v>
      </c>
      <c r="X44" s="1867">
        <v>0</v>
      </c>
      <c r="Y44" s="1867">
        <v>3</v>
      </c>
      <c r="Z44" s="1867">
        <v>3</v>
      </c>
      <c r="AA44" s="1867">
        <v>3</v>
      </c>
      <c r="AB44" s="1867">
        <v>4</v>
      </c>
      <c r="AC44" s="1867">
        <v>4</v>
      </c>
      <c r="AD44" s="1867">
        <v>4</v>
      </c>
      <c r="AE44" s="1875">
        <f t="shared" si="17"/>
        <v>0</v>
      </c>
      <c r="AF44" s="1875">
        <f t="shared" si="18"/>
        <v>2</v>
      </c>
      <c r="AG44" s="1867"/>
      <c r="AH44" s="1876">
        <v>0</v>
      </c>
      <c r="AI44" s="1867">
        <v>0</v>
      </c>
      <c r="AJ44" s="1867">
        <v>0</v>
      </c>
      <c r="AK44" s="1867">
        <v>3</v>
      </c>
      <c r="AL44" s="1867">
        <v>3</v>
      </c>
      <c r="AM44" s="1867">
        <v>3</v>
      </c>
      <c r="AN44" s="1867">
        <v>5</v>
      </c>
      <c r="AO44" s="1867">
        <v>5</v>
      </c>
      <c r="AP44" s="1867">
        <v>5</v>
      </c>
      <c r="AQ44" s="1867">
        <v>3</v>
      </c>
      <c r="AR44" s="1867">
        <v>3</v>
      </c>
      <c r="AS44" s="1867">
        <v>3</v>
      </c>
      <c r="AT44" s="1875">
        <f t="shared" si="7"/>
        <v>0</v>
      </c>
      <c r="AU44" s="1875">
        <f t="shared" si="19"/>
        <v>2.75</v>
      </c>
      <c r="AW44" s="317">
        <f t="shared" si="9"/>
        <v>-1</v>
      </c>
      <c r="AX44" s="317">
        <f t="shared" si="10"/>
        <v>0.75</v>
      </c>
      <c r="AY44" s="1941">
        <f t="shared" si="14"/>
        <v>9</v>
      </c>
      <c r="AZ44" s="594">
        <f t="shared" si="11"/>
        <v>0</v>
      </c>
    </row>
    <row r="45" spans="1:52" x14ac:dyDescent="0.55000000000000004">
      <c r="A45" s="7335"/>
      <c r="B45" s="8"/>
      <c r="C45" s="19" t="s">
        <v>172</v>
      </c>
      <c r="D45" s="837">
        <v>5</v>
      </c>
      <c r="E45" s="837">
        <v>5</v>
      </c>
      <c r="F45" s="837">
        <v>5</v>
      </c>
      <c r="G45" s="837">
        <v>5</v>
      </c>
      <c r="H45" s="837">
        <v>5</v>
      </c>
      <c r="I45" s="837">
        <v>5</v>
      </c>
      <c r="J45" s="837">
        <v>5</v>
      </c>
      <c r="K45" s="837">
        <v>5</v>
      </c>
      <c r="L45" s="837">
        <v>5</v>
      </c>
      <c r="M45" s="837">
        <v>5</v>
      </c>
      <c r="N45" s="837">
        <v>6</v>
      </c>
      <c r="O45" s="837">
        <v>6</v>
      </c>
      <c r="P45" s="1875">
        <f t="shared" si="15"/>
        <v>6</v>
      </c>
      <c r="Q45" s="1875">
        <f t="shared" si="16"/>
        <v>5.166666666666667</v>
      </c>
      <c r="R45" s="1867"/>
      <c r="S45" s="1876">
        <v>6</v>
      </c>
      <c r="T45" s="1867">
        <v>5</v>
      </c>
      <c r="U45" s="1867">
        <v>5</v>
      </c>
      <c r="V45" s="1867">
        <v>5</v>
      </c>
      <c r="W45" s="1867">
        <v>5</v>
      </c>
      <c r="X45" s="1867">
        <v>5</v>
      </c>
      <c r="Y45" s="1867">
        <v>5</v>
      </c>
      <c r="Z45" s="1867">
        <v>5</v>
      </c>
      <c r="AA45" s="1867">
        <v>5</v>
      </c>
      <c r="AB45" s="1867">
        <v>2</v>
      </c>
      <c r="AC45" s="1867">
        <v>2</v>
      </c>
      <c r="AD45" s="1867">
        <v>2</v>
      </c>
      <c r="AE45" s="1875">
        <f t="shared" si="17"/>
        <v>2</v>
      </c>
      <c r="AF45" s="1875">
        <f t="shared" si="18"/>
        <v>4.333333333333333</v>
      </c>
      <c r="AG45" s="1867"/>
      <c r="AH45" s="1876">
        <v>3</v>
      </c>
      <c r="AI45" s="1867">
        <v>3</v>
      </c>
      <c r="AJ45" s="1867">
        <v>3</v>
      </c>
      <c r="AK45" s="1867">
        <v>2</v>
      </c>
      <c r="AL45" s="1867">
        <v>2</v>
      </c>
      <c r="AM45" s="1867">
        <v>2</v>
      </c>
      <c r="AN45" s="1867">
        <v>4</v>
      </c>
      <c r="AO45" s="1867">
        <v>4</v>
      </c>
      <c r="AP45" s="1867">
        <v>4</v>
      </c>
      <c r="AQ45" s="1867">
        <v>3</v>
      </c>
      <c r="AR45" s="1867">
        <v>3</v>
      </c>
      <c r="AS45" s="1867">
        <v>3</v>
      </c>
      <c r="AT45" s="1875">
        <f t="shared" si="7"/>
        <v>3</v>
      </c>
      <c r="AU45" s="1875">
        <f t="shared" si="19"/>
        <v>3</v>
      </c>
      <c r="AW45" s="317">
        <f t="shared" si="9"/>
        <v>1</v>
      </c>
      <c r="AX45" s="317">
        <f t="shared" si="10"/>
        <v>-1.333333333333333</v>
      </c>
      <c r="AY45" s="1941">
        <f t="shared" si="14"/>
        <v>-16</v>
      </c>
      <c r="AZ45" s="594">
        <f t="shared" si="11"/>
        <v>0</v>
      </c>
    </row>
    <row r="46" spans="1:52" x14ac:dyDescent="0.55000000000000004">
      <c r="A46" s="7335"/>
      <c r="B46" s="8"/>
      <c r="C46" s="19" t="s">
        <v>173</v>
      </c>
      <c r="D46" s="837">
        <v>0</v>
      </c>
      <c r="E46" s="837">
        <v>0</v>
      </c>
      <c r="F46" s="837">
        <v>0</v>
      </c>
      <c r="G46" s="837">
        <v>0</v>
      </c>
      <c r="H46" s="837">
        <v>0</v>
      </c>
      <c r="I46" s="837">
        <v>0</v>
      </c>
      <c r="J46" s="837">
        <v>0</v>
      </c>
      <c r="K46" s="837">
        <v>0</v>
      </c>
      <c r="L46" s="837">
        <v>0</v>
      </c>
      <c r="M46" s="837">
        <v>0</v>
      </c>
      <c r="N46" s="837">
        <v>10</v>
      </c>
      <c r="O46" s="837">
        <v>10</v>
      </c>
      <c r="P46" s="1875">
        <f t="shared" si="15"/>
        <v>0</v>
      </c>
      <c r="Q46" s="1875">
        <f t="shared" si="16"/>
        <v>1.6666666666666667</v>
      </c>
      <c r="R46" s="1867"/>
      <c r="S46" s="1876">
        <v>9</v>
      </c>
      <c r="T46" s="1867">
        <v>8</v>
      </c>
      <c r="U46" s="1867">
        <v>8</v>
      </c>
      <c r="V46" s="1867">
        <v>8</v>
      </c>
      <c r="W46" s="1867">
        <v>8</v>
      </c>
      <c r="X46" s="1867">
        <v>8</v>
      </c>
      <c r="Y46" s="1867">
        <v>7</v>
      </c>
      <c r="Z46" s="1867">
        <v>7</v>
      </c>
      <c r="AA46" s="1867">
        <v>7</v>
      </c>
      <c r="AB46" s="1867">
        <v>9</v>
      </c>
      <c r="AC46" s="1867">
        <v>9</v>
      </c>
      <c r="AD46" s="1867">
        <v>9</v>
      </c>
      <c r="AE46" s="1875">
        <f t="shared" si="17"/>
        <v>9</v>
      </c>
      <c r="AF46" s="1875">
        <f t="shared" si="18"/>
        <v>8.0833333333333339</v>
      </c>
      <c r="AG46" s="1867"/>
      <c r="AH46" s="1876">
        <v>8</v>
      </c>
      <c r="AI46" s="1867">
        <v>8</v>
      </c>
      <c r="AJ46" s="1867">
        <v>8</v>
      </c>
      <c r="AK46" s="1867">
        <v>7</v>
      </c>
      <c r="AL46" s="1867">
        <v>7</v>
      </c>
      <c r="AM46" s="1867">
        <v>7</v>
      </c>
      <c r="AN46" s="1867">
        <v>3</v>
      </c>
      <c r="AO46" s="1867">
        <v>3</v>
      </c>
      <c r="AP46" s="1867">
        <v>2</v>
      </c>
      <c r="AQ46" s="1867">
        <v>8</v>
      </c>
      <c r="AR46" s="1867">
        <v>8</v>
      </c>
      <c r="AS46" s="1867">
        <v>4</v>
      </c>
      <c r="AT46" s="1875">
        <f t="shared" si="7"/>
        <v>4</v>
      </c>
      <c r="AU46" s="1875">
        <f t="shared" si="19"/>
        <v>6.083333333333333</v>
      </c>
      <c r="AW46" s="317">
        <f t="shared" si="9"/>
        <v>-5</v>
      </c>
      <c r="AX46" s="317">
        <f t="shared" si="10"/>
        <v>-2.0000000000000009</v>
      </c>
      <c r="AY46" s="1941">
        <f t="shared" si="14"/>
        <v>-24</v>
      </c>
      <c r="AZ46" s="594">
        <f t="shared" si="11"/>
        <v>-4</v>
      </c>
    </row>
    <row r="47" spans="1:52" x14ac:dyDescent="0.55000000000000004">
      <c r="A47" s="7335"/>
      <c r="B47" s="8"/>
      <c r="C47" s="19" t="s">
        <v>538</v>
      </c>
      <c r="D47" s="837">
        <v>15</v>
      </c>
      <c r="E47" s="837">
        <v>15</v>
      </c>
      <c r="F47" s="837">
        <v>16</v>
      </c>
      <c r="G47" s="837">
        <v>16</v>
      </c>
      <c r="H47" s="837">
        <v>20</v>
      </c>
      <c r="I47" s="837">
        <v>19</v>
      </c>
      <c r="J47" s="837">
        <v>20</v>
      </c>
      <c r="K47" s="837">
        <v>19</v>
      </c>
      <c r="L47" s="837">
        <v>19</v>
      </c>
      <c r="M47" s="837">
        <v>18</v>
      </c>
      <c r="N47" s="837">
        <v>9</v>
      </c>
      <c r="O47" s="837">
        <v>9</v>
      </c>
      <c r="P47" s="1875">
        <f t="shared" si="15"/>
        <v>9</v>
      </c>
      <c r="Q47" s="1875">
        <f t="shared" si="16"/>
        <v>16.25</v>
      </c>
      <c r="R47" s="1867"/>
      <c r="S47" s="1876">
        <v>9</v>
      </c>
      <c r="T47" s="1867">
        <v>3</v>
      </c>
      <c r="U47" s="1867">
        <v>3</v>
      </c>
      <c r="V47" s="1867">
        <v>4</v>
      </c>
      <c r="W47" s="1867">
        <v>5</v>
      </c>
      <c r="X47" s="1867">
        <v>5</v>
      </c>
      <c r="Y47" s="1867">
        <v>6</v>
      </c>
      <c r="Z47" s="1867">
        <v>6</v>
      </c>
      <c r="AA47" s="1867">
        <v>6</v>
      </c>
      <c r="AB47" s="1867">
        <v>5</v>
      </c>
      <c r="AC47" s="1867">
        <v>6</v>
      </c>
      <c r="AD47" s="1867">
        <v>6</v>
      </c>
      <c r="AE47" s="1875">
        <f t="shared" si="17"/>
        <v>6</v>
      </c>
      <c r="AF47" s="1875">
        <f t="shared" si="18"/>
        <v>5.333333333333333</v>
      </c>
      <c r="AG47" s="1867"/>
      <c r="AH47" s="1876">
        <v>11</v>
      </c>
      <c r="AI47" s="1867">
        <v>12</v>
      </c>
      <c r="AJ47" s="1867">
        <v>12</v>
      </c>
      <c r="AK47" s="1867">
        <v>8</v>
      </c>
      <c r="AL47" s="1867">
        <v>8</v>
      </c>
      <c r="AM47" s="1867">
        <v>8</v>
      </c>
      <c r="AN47" s="1867">
        <v>7</v>
      </c>
      <c r="AO47" s="1867">
        <v>7</v>
      </c>
      <c r="AP47" s="1867">
        <v>6</v>
      </c>
      <c r="AQ47" s="1867">
        <v>2</v>
      </c>
      <c r="AR47" s="1867">
        <v>2</v>
      </c>
      <c r="AS47" s="1867">
        <v>1</v>
      </c>
      <c r="AT47" s="1875">
        <f t="shared" si="7"/>
        <v>1</v>
      </c>
      <c r="AU47" s="1875">
        <f t="shared" si="19"/>
        <v>7</v>
      </c>
      <c r="AW47" s="317">
        <f t="shared" si="9"/>
        <v>-5</v>
      </c>
      <c r="AX47" s="317">
        <f t="shared" si="10"/>
        <v>1.666666666666667</v>
      </c>
      <c r="AY47" s="1941">
        <f t="shared" si="14"/>
        <v>20</v>
      </c>
      <c r="AZ47" s="594">
        <f t="shared" si="11"/>
        <v>-1</v>
      </c>
    </row>
    <row r="48" spans="1:52" x14ac:dyDescent="0.55000000000000004">
      <c r="A48" s="7335"/>
      <c r="B48" s="8"/>
      <c r="C48" s="19" t="s">
        <v>539</v>
      </c>
      <c r="D48" s="837">
        <v>0</v>
      </c>
      <c r="E48" s="837">
        <v>0</v>
      </c>
      <c r="F48" s="837">
        <v>0</v>
      </c>
      <c r="G48" s="837">
        <v>0</v>
      </c>
      <c r="H48" s="837">
        <v>0</v>
      </c>
      <c r="I48" s="837">
        <v>0</v>
      </c>
      <c r="J48" s="837">
        <v>0</v>
      </c>
      <c r="K48" s="837">
        <v>0</v>
      </c>
      <c r="L48" s="837">
        <v>0</v>
      </c>
      <c r="M48" s="837">
        <v>0</v>
      </c>
      <c r="N48" s="837">
        <v>0</v>
      </c>
      <c r="O48" s="837">
        <v>0</v>
      </c>
      <c r="P48" s="1875">
        <f t="shared" si="15"/>
        <v>0</v>
      </c>
      <c r="Q48" s="1875">
        <f t="shared" si="16"/>
        <v>0</v>
      </c>
      <c r="R48" s="1867"/>
      <c r="S48" s="1876">
        <v>0</v>
      </c>
      <c r="T48" s="1867">
        <v>0</v>
      </c>
      <c r="U48" s="1867">
        <v>0</v>
      </c>
      <c r="V48" s="1867">
        <v>0</v>
      </c>
      <c r="W48" s="1867">
        <v>0</v>
      </c>
      <c r="X48" s="1867">
        <v>0</v>
      </c>
      <c r="Y48" s="1867">
        <v>0</v>
      </c>
      <c r="Z48" s="1867">
        <v>0</v>
      </c>
      <c r="AA48" s="1867">
        <v>0</v>
      </c>
      <c r="AB48" s="1867">
        <v>0</v>
      </c>
      <c r="AC48" s="1867">
        <v>0</v>
      </c>
      <c r="AD48" s="1867">
        <v>0</v>
      </c>
      <c r="AE48" s="1875">
        <f t="shared" si="17"/>
        <v>0</v>
      </c>
      <c r="AF48" s="1875">
        <f t="shared" si="18"/>
        <v>0</v>
      </c>
      <c r="AG48" s="1867"/>
      <c r="AH48" s="1876">
        <v>0</v>
      </c>
      <c r="AI48" s="1867">
        <v>0</v>
      </c>
      <c r="AJ48" s="1867">
        <v>0</v>
      </c>
      <c r="AK48" s="1867">
        <v>0</v>
      </c>
      <c r="AL48" s="1867">
        <v>0</v>
      </c>
      <c r="AM48" s="1867">
        <v>0</v>
      </c>
      <c r="AN48" s="1867">
        <v>0</v>
      </c>
      <c r="AO48" s="1867">
        <v>0</v>
      </c>
      <c r="AP48" s="1867">
        <v>0</v>
      </c>
      <c r="AQ48" s="1867">
        <v>0</v>
      </c>
      <c r="AR48" s="1867">
        <v>0</v>
      </c>
      <c r="AS48" s="1867">
        <v>0</v>
      </c>
      <c r="AT48" s="1875">
        <f t="shared" si="7"/>
        <v>0</v>
      </c>
      <c r="AU48" s="1875">
        <f t="shared" si="19"/>
        <v>0</v>
      </c>
      <c r="AW48" s="317">
        <f t="shared" si="9"/>
        <v>0</v>
      </c>
      <c r="AX48" s="317">
        <f t="shared" si="10"/>
        <v>0</v>
      </c>
      <c r="AY48" s="1941">
        <f t="shared" si="14"/>
        <v>0</v>
      </c>
      <c r="AZ48" s="594">
        <f t="shared" si="11"/>
        <v>0</v>
      </c>
    </row>
    <row r="49" spans="1:52" x14ac:dyDescent="0.55000000000000004">
      <c r="A49" s="7335"/>
      <c r="B49" s="35" t="s">
        <v>174</v>
      </c>
      <c r="C49" s="36" t="s">
        <v>171</v>
      </c>
      <c r="D49" s="845">
        <v>13.7</v>
      </c>
      <c r="E49" s="845">
        <v>57.4</v>
      </c>
      <c r="F49" s="845">
        <v>63.8</v>
      </c>
      <c r="G49" s="845">
        <v>18.2</v>
      </c>
      <c r="H49" s="845">
        <v>22.9</v>
      </c>
      <c r="I49" s="845">
        <v>13.399999999999999</v>
      </c>
      <c r="J49" s="845">
        <v>19.899999999999999</v>
      </c>
      <c r="K49" s="845">
        <v>27</v>
      </c>
      <c r="L49" s="845">
        <v>16</v>
      </c>
      <c r="M49" s="845">
        <v>10.199999999999999</v>
      </c>
      <c r="N49" s="845">
        <v>9.5</v>
      </c>
      <c r="O49" s="845">
        <v>5.7</v>
      </c>
      <c r="P49" s="1882">
        <f t="shared" si="15"/>
        <v>5.7</v>
      </c>
      <c r="Q49" s="1882">
        <f t="shared" si="16"/>
        <v>23.141666666666666</v>
      </c>
      <c r="R49" s="1867"/>
      <c r="S49" s="1886">
        <v>20.200000000000003</v>
      </c>
      <c r="T49" s="1887">
        <v>20.5</v>
      </c>
      <c r="U49" s="1887">
        <v>38.5</v>
      </c>
      <c r="V49" s="1887">
        <v>0</v>
      </c>
      <c r="W49" s="1887">
        <v>0</v>
      </c>
      <c r="X49" s="1887">
        <v>0</v>
      </c>
      <c r="Y49" s="1887">
        <v>46.1</v>
      </c>
      <c r="Z49" s="1887">
        <v>72.933333333333337</v>
      </c>
      <c r="AA49" s="1887">
        <v>104.6</v>
      </c>
      <c r="AB49" s="1887">
        <v>42.1</v>
      </c>
      <c r="AC49" s="1887">
        <v>19.2</v>
      </c>
      <c r="AD49" s="1887">
        <v>21.3</v>
      </c>
      <c r="AE49" s="1882">
        <f t="shared" si="17"/>
        <v>0</v>
      </c>
      <c r="AF49" s="1882">
        <f t="shared" si="18"/>
        <v>32.119444444444447</v>
      </c>
      <c r="AG49" s="1867"/>
      <c r="AH49" s="1886">
        <v>0</v>
      </c>
      <c r="AI49" s="1887">
        <v>0</v>
      </c>
      <c r="AJ49" s="1887">
        <v>0</v>
      </c>
      <c r="AK49" s="1887">
        <v>34.93333333333333</v>
      </c>
      <c r="AL49" s="1887">
        <v>42</v>
      </c>
      <c r="AM49" s="1887">
        <v>48.2</v>
      </c>
      <c r="AN49" s="1887">
        <v>53</v>
      </c>
      <c r="AO49" s="1887">
        <v>44</v>
      </c>
      <c r="AP49" s="1887">
        <v>43.3</v>
      </c>
      <c r="AQ49" s="1887">
        <v>31.9</v>
      </c>
      <c r="AR49" s="1887">
        <v>61.9</v>
      </c>
      <c r="AS49" s="1887">
        <v>59.6</v>
      </c>
      <c r="AT49" s="1882">
        <f t="shared" si="7"/>
        <v>0</v>
      </c>
      <c r="AU49" s="1882">
        <f t="shared" si="19"/>
        <v>34.902777777777779</v>
      </c>
      <c r="AW49" s="317">
        <f t="shared" si="9"/>
        <v>38.299999999999997</v>
      </c>
      <c r="AX49" s="317">
        <f t="shared" si="10"/>
        <v>2.7833333333333314</v>
      </c>
      <c r="AY49" s="1941">
        <f t="shared" si="14"/>
        <v>33.39999999999992</v>
      </c>
      <c r="AZ49" s="594">
        <f t="shared" si="11"/>
        <v>-2.2999999999999972</v>
      </c>
    </row>
    <row r="50" spans="1:52" x14ac:dyDescent="0.55000000000000004">
      <c r="A50" s="7335"/>
      <c r="B50" s="35"/>
      <c r="C50" s="36" t="s">
        <v>172</v>
      </c>
      <c r="D50" s="845">
        <v>28</v>
      </c>
      <c r="E50" s="845">
        <v>31.4</v>
      </c>
      <c r="F50" s="845">
        <v>31.280000000000008</v>
      </c>
      <c r="G50" s="845">
        <v>29.96</v>
      </c>
      <c r="H50" s="845">
        <v>27.660000000000004</v>
      </c>
      <c r="I50" s="845">
        <v>35.78</v>
      </c>
      <c r="J50" s="845">
        <v>25.139999999999997</v>
      </c>
      <c r="K50" s="845">
        <v>36.739999999999995</v>
      </c>
      <c r="L50" s="845">
        <v>17.3</v>
      </c>
      <c r="M50" s="845">
        <v>13.660000000000002</v>
      </c>
      <c r="N50" s="845">
        <v>20.2</v>
      </c>
      <c r="O50" s="845">
        <v>38.333333333333336</v>
      </c>
      <c r="P50" s="1882">
        <f t="shared" si="15"/>
        <v>38.333333333333336</v>
      </c>
      <c r="Q50" s="1882">
        <f t="shared" si="16"/>
        <v>27.954444444444444</v>
      </c>
      <c r="R50" s="1867"/>
      <c r="S50" s="1886">
        <v>14.516666666666666</v>
      </c>
      <c r="T50" s="1887">
        <v>23.800000000000004</v>
      </c>
      <c r="U50" s="1887">
        <v>22.160000000000004</v>
      </c>
      <c r="V50" s="1887">
        <v>32.6</v>
      </c>
      <c r="W50" s="1887">
        <v>39.9</v>
      </c>
      <c r="X50" s="1887">
        <v>35.379999999999995</v>
      </c>
      <c r="Y50" s="1887">
        <v>45.8</v>
      </c>
      <c r="Z50" s="1887">
        <v>23.740000000000002</v>
      </c>
      <c r="AA50" s="1887">
        <v>25.5</v>
      </c>
      <c r="AB50" s="1887">
        <v>20.399999999999999</v>
      </c>
      <c r="AC50" s="1887">
        <v>7.5</v>
      </c>
      <c r="AD50" s="1887">
        <v>16</v>
      </c>
      <c r="AE50" s="1882">
        <f t="shared" si="17"/>
        <v>16</v>
      </c>
      <c r="AF50" s="1882">
        <f t="shared" si="18"/>
        <v>25.608055555555556</v>
      </c>
      <c r="AG50" s="1867"/>
      <c r="AH50" s="1886">
        <v>34.6</v>
      </c>
      <c r="AI50" s="1887">
        <v>33.6</v>
      </c>
      <c r="AJ50" s="1887">
        <v>49.7</v>
      </c>
      <c r="AK50" s="1887">
        <v>53.05</v>
      </c>
      <c r="AL50" s="1887">
        <v>41.2</v>
      </c>
      <c r="AM50" s="1887">
        <v>49.2</v>
      </c>
      <c r="AN50" s="1887">
        <v>42.7</v>
      </c>
      <c r="AO50" s="1887">
        <v>29.7</v>
      </c>
      <c r="AP50" s="1887">
        <v>38.700000000000003</v>
      </c>
      <c r="AQ50" s="1887">
        <v>30.8</v>
      </c>
      <c r="AR50" s="1887">
        <v>37.1</v>
      </c>
      <c r="AS50" s="1887">
        <v>65.5</v>
      </c>
      <c r="AT50" s="1882">
        <f t="shared" si="7"/>
        <v>65.5</v>
      </c>
      <c r="AU50" s="1882">
        <f t="shared" si="19"/>
        <v>42.154166666666661</v>
      </c>
      <c r="AW50" s="317">
        <f t="shared" si="9"/>
        <v>49.5</v>
      </c>
      <c r="AX50" s="317">
        <f t="shared" si="10"/>
        <v>16.546111111111106</v>
      </c>
      <c r="AY50" s="1941">
        <f t="shared" si="14"/>
        <v>198.55333333333328</v>
      </c>
      <c r="AZ50" s="594">
        <f t="shared" si="11"/>
        <v>28.4</v>
      </c>
    </row>
    <row r="51" spans="1:52" x14ac:dyDescent="0.55000000000000004">
      <c r="A51" s="7335"/>
      <c r="B51" s="35"/>
      <c r="C51" s="36" t="s">
        <v>173</v>
      </c>
      <c r="D51" s="845">
        <v>0</v>
      </c>
      <c r="E51" s="845">
        <v>0</v>
      </c>
      <c r="F51" s="845">
        <v>0</v>
      </c>
      <c r="G51" s="845">
        <v>0</v>
      </c>
      <c r="H51" s="845">
        <v>0</v>
      </c>
      <c r="I51" s="845">
        <v>0</v>
      </c>
      <c r="J51" s="845">
        <v>0</v>
      </c>
      <c r="K51" s="845">
        <v>0</v>
      </c>
      <c r="L51" s="845">
        <v>0</v>
      </c>
      <c r="M51" s="845">
        <v>0</v>
      </c>
      <c r="N51" s="845">
        <v>29.54</v>
      </c>
      <c r="O51" s="845">
        <v>16.739999999999998</v>
      </c>
      <c r="P51" s="1882">
        <f t="shared" si="15"/>
        <v>0</v>
      </c>
      <c r="Q51" s="1882">
        <f t="shared" si="16"/>
        <v>3.8566666666666669</v>
      </c>
      <c r="R51" s="1867"/>
      <c r="S51" s="1886">
        <v>21.566666666666666</v>
      </c>
      <c r="T51" s="1887">
        <v>26.774999999999999</v>
      </c>
      <c r="U51" s="1887">
        <v>28.012499999999999</v>
      </c>
      <c r="V51" s="1887">
        <v>20.512499999999999</v>
      </c>
      <c r="W51" s="1887">
        <v>24.4</v>
      </c>
      <c r="X51" s="1887">
        <v>26.950000000000003</v>
      </c>
      <c r="Y51" s="1887">
        <v>32.1</v>
      </c>
      <c r="Z51" s="1887">
        <v>32.299999999999997</v>
      </c>
      <c r="AA51" s="1887">
        <v>18.600000000000001</v>
      </c>
      <c r="AB51" s="1887">
        <v>34.700000000000003</v>
      </c>
      <c r="AC51" s="1887">
        <v>21.1</v>
      </c>
      <c r="AD51" s="1887">
        <v>17.899999999999999</v>
      </c>
      <c r="AE51" s="1882">
        <f t="shared" si="17"/>
        <v>17.899999999999999</v>
      </c>
      <c r="AF51" s="1882">
        <f t="shared" si="18"/>
        <v>25.409722222222225</v>
      </c>
      <c r="AG51" s="1867"/>
      <c r="AH51" s="1886">
        <v>38.4</v>
      </c>
      <c r="AI51" s="1887">
        <v>28.9</v>
      </c>
      <c r="AJ51" s="1887">
        <v>34.700000000000003</v>
      </c>
      <c r="AK51" s="1887">
        <v>21.842857142857145</v>
      </c>
      <c r="AL51" s="1887">
        <v>27.6</v>
      </c>
      <c r="AM51" s="1887">
        <v>29.3</v>
      </c>
      <c r="AN51" s="1887">
        <v>29.7</v>
      </c>
      <c r="AO51" s="1887">
        <v>12.8</v>
      </c>
      <c r="AP51" s="1887">
        <v>31.4</v>
      </c>
      <c r="AQ51" s="1887">
        <v>15.3</v>
      </c>
      <c r="AR51" s="1887">
        <v>17.8</v>
      </c>
      <c r="AS51" s="1887">
        <v>17.2</v>
      </c>
      <c r="AT51" s="1882">
        <f t="shared" si="7"/>
        <v>17.2</v>
      </c>
      <c r="AU51" s="1882">
        <f t="shared" si="19"/>
        <v>25.411904761904765</v>
      </c>
      <c r="AW51" s="317">
        <f t="shared" si="9"/>
        <v>-0.69999999999999929</v>
      </c>
      <c r="AX51" s="317">
        <f t="shared" si="10"/>
        <v>2.1825396825398968E-3</v>
      </c>
      <c r="AY51" s="1941">
        <f t="shared" si="14"/>
        <v>2.6190476190492973E-2</v>
      </c>
      <c r="AZ51" s="594">
        <f t="shared" si="11"/>
        <v>-0.60000000000000142</v>
      </c>
    </row>
    <row r="52" spans="1:52" x14ac:dyDescent="0.55000000000000004">
      <c r="A52" s="7335"/>
      <c r="B52" s="35"/>
      <c r="C52" s="36" t="s">
        <v>538</v>
      </c>
      <c r="D52" s="845">
        <v>11.026666666666667</v>
      </c>
      <c r="E52" s="845">
        <v>21.09333333333333</v>
      </c>
      <c r="F52" s="845">
        <v>16.581250000000001</v>
      </c>
      <c r="G52" s="845">
        <v>19.887499999999996</v>
      </c>
      <c r="H52" s="845">
        <v>25.605</v>
      </c>
      <c r="I52" s="845">
        <v>18.584210526315786</v>
      </c>
      <c r="J52" s="845">
        <v>15.104999999999999</v>
      </c>
      <c r="K52" s="845">
        <v>21.068421052631578</v>
      </c>
      <c r="L52" s="845">
        <v>13.221052631578949</v>
      </c>
      <c r="M52" s="845">
        <v>17.794444444444444</v>
      </c>
      <c r="N52" s="845">
        <v>7.3222222222222211</v>
      </c>
      <c r="O52" s="845">
        <v>8.5555555555555554</v>
      </c>
      <c r="P52" s="1882">
        <f t="shared" si="15"/>
        <v>8.5555555555555554</v>
      </c>
      <c r="Q52" s="1882">
        <f t="shared" si="16"/>
        <v>16.320388036062379</v>
      </c>
      <c r="R52" s="1867"/>
      <c r="S52" s="1886">
        <v>7.8888888888888893</v>
      </c>
      <c r="T52" s="1887">
        <v>14.766666666666666</v>
      </c>
      <c r="U52" s="1887">
        <v>8.4666666666666668</v>
      </c>
      <c r="V52" s="1887">
        <v>22.925000000000001</v>
      </c>
      <c r="W52" s="1887">
        <v>9</v>
      </c>
      <c r="X52" s="1887">
        <v>17.46</v>
      </c>
      <c r="Y52" s="1887">
        <v>16.7</v>
      </c>
      <c r="Z52" s="1887">
        <v>18.966666666666669</v>
      </c>
      <c r="AA52" s="1887">
        <v>8</v>
      </c>
      <c r="AB52" s="1887">
        <v>27</v>
      </c>
      <c r="AC52" s="1887">
        <v>9.8000000000000007</v>
      </c>
      <c r="AD52" s="1887">
        <v>7.7</v>
      </c>
      <c r="AE52" s="1882">
        <f t="shared" si="17"/>
        <v>7.7</v>
      </c>
      <c r="AF52" s="1882">
        <f t="shared" si="18"/>
        <v>14.056157407407406</v>
      </c>
      <c r="AG52" s="1867"/>
      <c r="AH52" s="1886">
        <v>16</v>
      </c>
      <c r="AI52" s="1887">
        <v>12.3</v>
      </c>
      <c r="AJ52" s="1887">
        <v>17.2</v>
      </c>
      <c r="AK52" s="1887">
        <v>13.649999999999999</v>
      </c>
      <c r="AL52" s="1887">
        <v>19.3</v>
      </c>
      <c r="AM52" s="1887">
        <v>15.6</v>
      </c>
      <c r="AN52" s="1887">
        <v>30.3</v>
      </c>
      <c r="AO52" s="1887">
        <v>16.7</v>
      </c>
      <c r="AP52" s="1887">
        <v>30.8</v>
      </c>
      <c r="AQ52" s="1887">
        <v>1.6</v>
      </c>
      <c r="AR52" s="1887">
        <v>7</v>
      </c>
      <c r="AS52" s="1887">
        <v>4</v>
      </c>
      <c r="AT52" s="1882">
        <f t="shared" si="7"/>
        <v>4</v>
      </c>
      <c r="AU52" s="1882">
        <f t="shared" si="19"/>
        <v>15.370833333333332</v>
      </c>
      <c r="AW52" s="317">
        <f t="shared" si="9"/>
        <v>-3.7</v>
      </c>
      <c r="AX52" s="317">
        <f t="shared" si="10"/>
        <v>1.3146759259259255</v>
      </c>
      <c r="AY52" s="1941">
        <f t="shared" si="14"/>
        <v>15.776111111111106</v>
      </c>
      <c r="AZ52" s="594">
        <f t="shared" si="11"/>
        <v>-3</v>
      </c>
    </row>
    <row r="53" spans="1:52" x14ac:dyDescent="0.55000000000000004">
      <c r="A53" s="7336"/>
      <c r="B53" s="65"/>
      <c r="C53" s="66" t="s">
        <v>539</v>
      </c>
      <c r="D53" s="882">
        <v>0</v>
      </c>
      <c r="E53" s="883">
        <v>0</v>
      </c>
      <c r="F53" s="883">
        <v>0</v>
      </c>
      <c r="G53" s="883">
        <v>0</v>
      </c>
      <c r="H53" s="883">
        <v>0</v>
      </c>
      <c r="I53" s="883">
        <v>0</v>
      </c>
      <c r="J53" s="883">
        <v>0</v>
      </c>
      <c r="K53" s="883">
        <v>0</v>
      </c>
      <c r="L53" s="883">
        <v>0</v>
      </c>
      <c r="M53" s="883">
        <v>0</v>
      </c>
      <c r="N53" s="883">
        <v>0</v>
      </c>
      <c r="O53" s="884">
        <v>0</v>
      </c>
      <c r="P53" s="1895">
        <f t="shared" si="15"/>
        <v>0</v>
      </c>
      <c r="Q53" s="1895">
        <f t="shared" si="16"/>
        <v>0</v>
      </c>
      <c r="R53" s="1867"/>
      <c r="S53" s="1886">
        <v>0</v>
      </c>
      <c r="T53" s="1896">
        <v>0</v>
      </c>
      <c r="U53" s="1896">
        <v>0</v>
      </c>
      <c r="V53" s="1896">
        <v>0</v>
      </c>
      <c r="W53" s="1896">
        <v>0</v>
      </c>
      <c r="X53" s="1896">
        <v>0</v>
      </c>
      <c r="Y53" s="1896">
        <v>0</v>
      </c>
      <c r="Z53" s="1896">
        <v>0</v>
      </c>
      <c r="AA53" s="1896">
        <v>0</v>
      </c>
      <c r="AB53" s="1887">
        <v>0</v>
      </c>
      <c r="AC53" s="1896">
        <v>0</v>
      </c>
      <c r="AD53" s="1897">
        <v>0</v>
      </c>
      <c r="AE53" s="1895">
        <f t="shared" si="17"/>
        <v>0</v>
      </c>
      <c r="AF53" s="1895">
        <f t="shared" si="18"/>
        <v>0</v>
      </c>
      <c r="AG53" s="1867"/>
      <c r="AH53" s="1886">
        <v>0</v>
      </c>
      <c r="AI53" s="1896">
        <v>0</v>
      </c>
      <c r="AJ53" s="1887">
        <v>0</v>
      </c>
      <c r="AK53" s="1896">
        <v>0</v>
      </c>
      <c r="AL53" s="1896"/>
      <c r="AM53" s="1887">
        <v>0</v>
      </c>
      <c r="AN53" s="1896">
        <v>0</v>
      </c>
      <c r="AO53" s="1887">
        <v>0</v>
      </c>
      <c r="AP53" s="1896">
        <v>0</v>
      </c>
      <c r="AQ53" s="1887">
        <v>0</v>
      </c>
      <c r="AR53" s="1896">
        <v>0</v>
      </c>
      <c r="AS53" s="1897">
        <v>0</v>
      </c>
      <c r="AT53" s="1895">
        <f t="shared" si="7"/>
        <v>0</v>
      </c>
      <c r="AU53" s="1895">
        <f t="shared" si="19"/>
        <v>0</v>
      </c>
      <c r="AW53" s="317">
        <f t="shared" si="9"/>
        <v>0</v>
      </c>
      <c r="AX53" s="317">
        <f t="shared" si="10"/>
        <v>0</v>
      </c>
      <c r="AY53" s="1941">
        <f t="shared" ref="AY53:AY75" si="24">SUM(AH53:AS53)-SUM(S53:AD53)</f>
        <v>0</v>
      </c>
      <c r="AZ53" s="594">
        <f t="shared" si="11"/>
        <v>0</v>
      </c>
    </row>
    <row r="54" spans="1:52" x14ac:dyDescent="0.55000000000000004">
      <c r="A54" s="7337" t="s">
        <v>176</v>
      </c>
      <c r="B54" s="470" t="s">
        <v>163</v>
      </c>
      <c r="C54" s="471"/>
      <c r="D54" s="885">
        <f t="shared" ref="D54:O54" si="25">SUM(D55:D59)</f>
        <v>31</v>
      </c>
      <c r="E54" s="885">
        <f t="shared" si="25"/>
        <v>33</v>
      </c>
      <c r="F54" s="885">
        <f t="shared" si="25"/>
        <v>39</v>
      </c>
      <c r="G54" s="885">
        <f t="shared" si="25"/>
        <v>38</v>
      </c>
      <c r="H54" s="885">
        <f t="shared" si="25"/>
        <v>39</v>
      </c>
      <c r="I54" s="885">
        <f t="shared" si="25"/>
        <v>38</v>
      </c>
      <c r="J54" s="885">
        <f t="shared" si="25"/>
        <v>38</v>
      </c>
      <c r="K54" s="885">
        <f t="shared" si="25"/>
        <v>39</v>
      </c>
      <c r="L54" s="885">
        <f t="shared" si="25"/>
        <v>40</v>
      </c>
      <c r="M54" s="885">
        <f t="shared" si="25"/>
        <v>39</v>
      </c>
      <c r="N54" s="885">
        <f t="shared" si="25"/>
        <v>39</v>
      </c>
      <c r="O54" s="885">
        <f t="shared" si="25"/>
        <v>36</v>
      </c>
      <c r="P54" s="1898">
        <f t="shared" si="15"/>
        <v>36</v>
      </c>
      <c r="Q54" s="1898">
        <f t="shared" si="16"/>
        <v>37.416666666666664</v>
      </c>
      <c r="R54" s="1867"/>
      <c r="S54" s="1899">
        <f t="shared" ref="S54:AB54" si="26">SUM(S55:S59)</f>
        <v>33</v>
      </c>
      <c r="T54" s="1900">
        <f t="shared" si="26"/>
        <v>23</v>
      </c>
      <c r="U54" s="1900">
        <f t="shared" si="26"/>
        <v>23</v>
      </c>
      <c r="V54" s="1900">
        <f t="shared" si="26"/>
        <v>26</v>
      </c>
      <c r="W54" s="1900">
        <f t="shared" si="26"/>
        <v>28</v>
      </c>
      <c r="X54" s="1900">
        <f t="shared" si="26"/>
        <v>27</v>
      </c>
      <c r="Y54" s="1900">
        <f t="shared" si="26"/>
        <v>27</v>
      </c>
      <c r="Z54" s="1900">
        <f t="shared" si="26"/>
        <v>26</v>
      </c>
      <c r="AA54" s="1900">
        <f t="shared" si="26"/>
        <v>26</v>
      </c>
      <c r="AB54" s="1900">
        <f t="shared" si="26"/>
        <v>27</v>
      </c>
      <c r="AC54" s="1900">
        <v>28</v>
      </c>
      <c r="AD54" s="1900">
        <v>29</v>
      </c>
      <c r="AE54" s="1898">
        <f t="shared" si="17"/>
        <v>29</v>
      </c>
      <c r="AF54" s="1898">
        <f t="shared" si="18"/>
        <v>26.916666666666668</v>
      </c>
      <c r="AG54" s="1867"/>
      <c r="AH54" s="1899">
        <v>29</v>
      </c>
      <c r="AI54" s="1900">
        <v>29</v>
      </c>
      <c r="AJ54" s="1900">
        <v>29</v>
      </c>
      <c r="AK54" s="1900">
        <v>30</v>
      </c>
      <c r="AL54" s="1900">
        <v>29</v>
      </c>
      <c r="AM54" s="1900">
        <v>29</v>
      </c>
      <c r="AN54" s="1900">
        <v>27</v>
      </c>
      <c r="AO54" s="1900">
        <v>26</v>
      </c>
      <c r="AP54" s="1900">
        <v>26</v>
      </c>
      <c r="AQ54" s="1900">
        <v>25</v>
      </c>
      <c r="AR54" s="1900">
        <v>25</v>
      </c>
      <c r="AS54" s="1900">
        <v>15</v>
      </c>
      <c r="AT54" s="1898">
        <f t="shared" si="7"/>
        <v>15</v>
      </c>
      <c r="AU54" s="1898">
        <f t="shared" si="19"/>
        <v>26.583333333333332</v>
      </c>
      <c r="AW54" s="317">
        <f t="shared" si="9"/>
        <v>-14</v>
      </c>
      <c r="AX54" s="317">
        <f t="shared" si="10"/>
        <v>-0.3333333333333357</v>
      </c>
      <c r="AY54" s="1941">
        <f t="shared" si="24"/>
        <v>-4</v>
      </c>
      <c r="AZ54" s="594">
        <f t="shared" si="11"/>
        <v>-10</v>
      </c>
    </row>
    <row r="55" spans="1:52" x14ac:dyDescent="0.55000000000000004">
      <c r="A55" s="7335"/>
      <c r="B55" s="8" t="s">
        <v>170</v>
      </c>
      <c r="C55" s="19" t="s">
        <v>171</v>
      </c>
      <c r="D55" s="837">
        <v>4</v>
      </c>
      <c r="E55" s="837">
        <v>4</v>
      </c>
      <c r="F55" s="837">
        <v>4</v>
      </c>
      <c r="G55" s="837">
        <v>4</v>
      </c>
      <c r="H55" s="837">
        <v>4</v>
      </c>
      <c r="I55" s="837">
        <v>4</v>
      </c>
      <c r="J55" s="837">
        <v>4</v>
      </c>
      <c r="K55" s="837">
        <v>4</v>
      </c>
      <c r="L55" s="837">
        <v>4</v>
      </c>
      <c r="M55" s="837">
        <v>4</v>
      </c>
      <c r="N55" s="837">
        <v>7</v>
      </c>
      <c r="O55" s="837">
        <v>7</v>
      </c>
      <c r="P55" s="1875">
        <f t="shared" si="15"/>
        <v>7</v>
      </c>
      <c r="Q55" s="1875">
        <f t="shared" si="16"/>
        <v>4.5</v>
      </c>
      <c r="R55" s="1867"/>
      <c r="S55" s="1876">
        <v>6</v>
      </c>
      <c r="T55" s="1867">
        <v>6</v>
      </c>
      <c r="U55" s="1867">
        <v>6</v>
      </c>
      <c r="V55" s="1867">
        <v>6</v>
      </c>
      <c r="W55" s="1867">
        <v>6</v>
      </c>
      <c r="X55" s="1867">
        <v>6</v>
      </c>
      <c r="Y55" s="1867">
        <v>8</v>
      </c>
      <c r="Z55" s="1867">
        <v>8</v>
      </c>
      <c r="AA55" s="1867">
        <v>8</v>
      </c>
      <c r="AB55" s="1867">
        <v>7</v>
      </c>
      <c r="AC55" s="1867">
        <v>7</v>
      </c>
      <c r="AD55" s="1867">
        <v>7</v>
      </c>
      <c r="AE55" s="1875">
        <f t="shared" si="17"/>
        <v>7</v>
      </c>
      <c r="AF55" s="1875">
        <f t="shared" si="18"/>
        <v>6.75</v>
      </c>
      <c r="AG55" s="1867"/>
      <c r="AH55" s="1876">
        <v>2</v>
      </c>
      <c r="AI55" s="1867">
        <v>2</v>
      </c>
      <c r="AJ55" s="1867">
        <v>2</v>
      </c>
      <c r="AK55" s="1867">
        <v>2</v>
      </c>
      <c r="AL55" s="1867">
        <v>2</v>
      </c>
      <c r="AM55" s="1867">
        <v>2</v>
      </c>
      <c r="AN55" s="1867">
        <v>6</v>
      </c>
      <c r="AO55" s="1867">
        <v>6</v>
      </c>
      <c r="AP55" s="1867">
        <v>6</v>
      </c>
      <c r="AQ55" s="1867">
        <v>6</v>
      </c>
      <c r="AR55" s="1867">
        <v>6</v>
      </c>
      <c r="AS55" s="1867">
        <v>6</v>
      </c>
      <c r="AT55" s="1875">
        <f t="shared" si="7"/>
        <v>6</v>
      </c>
      <c r="AU55" s="1875">
        <f t="shared" si="19"/>
        <v>4</v>
      </c>
      <c r="AW55" s="317">
        <f t="shared" si="9"/>
        <v>-1</v>
      </c>
      <c r="AX55" s="317">
        <f t="shared" si="10"/>
        <v>-2.75</v>
      </c>
      <c r="AY55" s="1941">
        <f t="shared" si="24"/>
        <v>-33</v>
      </c>
      <c r="AZ55" s="594">
        <f t="shared" si="11"/>
        <v>0</v>
      </c>
    </row>
    <row r="56" spans="1:52" x14ac:dyDescent="0.55000000000000004">
      <c r="A56" s="7335"/>
      <c r="B56" s="8"/>
      <c r="C56" s="19" t="s">
        <v>172</v>
      </c>
      <c r="D56" s="837">
        <v>1</v>
      </c>
      <c r="E56" s="837">
        <v>1</v>
      </c>
      <c r="F56" s="837">
        <v>2</v>
      </c>
      <c r="G56" s="837">
        <v>2</v>
      </c>
      <c r="H56" s="837">
        <v>2</v>
      </c>
      <c r="I56" s="837">
        <v>2</v>
      </c>
      <c r="J56" s="837">
        <v>2</v>
      </c>
      <c r="K56" s="837">
        <v>2</v>
      </c>
      <c r="L56" s="837">
        <v>2</v>
      </c>
      <c r="M56" s="837">
        <v>2</v>
      </c>
      <c r="N56" s="837">
        <v>3</v>
      </c>
      <c r="O56" s="837">
        <v>3</v>
      </c>
      <c r="P56" s="1875">
        <f t="shared" si="15"/>
        <v>3</v>
      </c>
      <c r="Q56" s="1875">
        <f t="shared" si="16"/>
        <v>2</v>
      </c>
      <c r="R56" s="1867"/>
      <c r="S56" s="1876">
        <v>3</v>
      </c>
      <c r="T56" s="1867">
        <v>2</v>
      </c>
      <c r="U56" s="1867">
        <v>2</v>
      </c>
      <c r="V56" s="1867">
        <v>4</v>
      </c>
      <c r="W56" s="1867">
        <v>4</v>
      </c>
      <c r="X56" s="1867">
        <v>4</v>
      </c>
      <c r="Y56" s="1867">
        <v>5</v>
      </c>
      <c r="Z56" s="1867">
        <v>4</v>
      </c>
      <c r="AA56" s="1867">
        <v>4</v>
      </c>
      <c r="AB56" s="1867">
        <v>2</v>
      </c>
      <c r="AC56" s="1867">
        <v>2</v>
      </c>
      <c r="AD56" s="1867">
        <v>2</v>
      </c>
      <c r="AE56" s="1875">
        <f t="shared" si="17"/>
        <v>2</v>
      </c>
      <c r="AF56" s="1875">
        <f t="shared" si="18"/>
        <v>3.1666666666666665</v>
      </c>
      <c r="AG56" s="1867"/>
      <c r="AH56" s="1876">
        <v>3</v>
      </c>
      <c r="AI56" s="1867">
        <v>3</v>
      </c>
      <c r="AJ56" s="1867">
        <v>3</v>
      </c>
      <c r="AK56" s="1867">
        <v>3</v>
      </c>
      <c r="AL56" s="1867">
        <v>3</v>
      </c>
      <c r="AM56" s="1867">
        <v>3</v>
      </c>
      <c r="AN56" s="1867">
        <v>2</v>
      </c>
      <c r="AO56" s="1867">
        <v>2</v>
      </c>
      <c r="AP56" s="1867">
        <v>2</v>
      </c>
      <c r="AQ56" s="1867">
        <v>6</v>
      </c>
      <c r="AR56" s="1867">
        <v>6</v>
      </c>
      <c r="AS56" s="1867">
        <v>5</v>
      </c>
      <c r="AT56" s="1875">
        <f t="shared" si="7"/>
        <v>5</v>
      </c>
      <c r="AU56" s="1875">
        <f t="shared" si="19"/>
        <v>3.4166666666666665</v>
      </c>
      <c r="AW56" s="317">
        <f t="shared" si="9"/>
        <v>3</v>
      </c>
      <c r="AX56" s="317">
        <f t="shared" si="10"/>
        <v>0.25</v>
      </c>
      <c r="AY56" s="1941">
        <f t="shared" si="24"/>
        <v>3</v>
      </c>
      <c r="AZ56" s="594">
        <f t="shared" si="11"/>
        <v>-1</v>
      </c>
    </row>
    <row r="57" spans="1:52" x14ac:dyDescent="0.55000000000000004">
      <c r="A57" s="7335"/>
      <c r="B57" s="8"/>
      <c r="C57" s="19" t="s">
        <v>173</v>
      </c>
      <c r="D57" s="837">
        <v>7</v>
      </c>
      <c r="E57" s="837">
        <v>7</v>
      </c>
      <c r="F57" s="837">
        <v>7</v>
      </c>
      <c r="G57" s="837">
        <v>7</v>
      </c>
      <c r="H57" s="837">
        <v>7</v>
      </c>
      <c r="I57" s="837">
        <v>7</v>
      </c>
      <c r="J57" s="837">
        <v>7</v>
      </c>
      <c r="K57" s="837">
        <v>7</v>
      </c>
      <c r="L57" s="837">
        <v>7</v>
      </c>
      <c r="M57" s="837">
        <v>7</v>
      </c>
      <c r="N57" s="837">
        <v>12</v>
      </c>
      <c r="O57" s="837">
        <v>10</v>
      </c>
      <c r="P57" s="1875">
        <f t="shared" si="15"/>
        <v>10</v>
      </c>
      <c r="Q57" s="1875">
        <f t="shared" si="16"/>
        <v>7.666666666666667</v>
      </c>
      <c r="R57" s="1867"/>
      <c r="S57" s="1876">
        <v>10</v>
      </c>
      <c r="T57" s="1867">
        <v>4</v>
      </c>
      <c r="U57" s="1867">
        <v>4</v>
      </c>
      <c r="V57" s="1867">
        <v>4</v>
      </c>
      <c r="W57" s="1867">
        <v>4</v>
      </c>
      <c r="X57" s="1867">
        <v>4</v>
      </c>
      <c r="Y57" s="1867">
        <v>6</v>
      </c>
      <c r="Z57" s="1867">
        <v>6</v>
      </c>
      <c r="AA57" s="1867">
        <v>6</v>
      </c>
      <c r="AB57" s="1867">
        <v>8</v>
      </c>
      <c r="AC57" s="1867">
        <v>7</v>
      </c>
      <c r="AD57" s="1867">
        <v>7</v>
      </c>
      <c r="AE57" s="1875">
        <f t="shared" si="17"/>
        <v>7</v>
      </c>
      <c r="AF57" s="1875">
        <f t="shared" si="18"/>
        <v>5.833333333333333</v>
      </c>
      <c r="AG57" s="1867"/>
      <c r="AH57" s="1876">
        <v>9</v>
      </c>
      <c r="AI57" s="1867">
        <v>9</v>
      </c>
      <c r="AJ57" s="1867">
        <v>7</v>
      </c>
      <c r="AK57" s="1867">
        <v>11</v>
      </c>
      <c r="AL57" s="1867">
        <v>11</v>
      </c>
      <c r="AM57" s="1867">
        <v>11</v>
      </c>
      <c r="AN57" s="1867">
        <v>13</v>
      </c>
      <c r="AO57" s="1867">
        <v>13</v>
      </c>
      <c r="AP57" s="1867">
        <v>13</v>
      </c>
      <c r="AQ57" s="1867">
        <v>12</v>
      </c>
      <c r="AR57" s="1867">
        <v>12</v>
      </c>
      <c r="AS57" s="1867">
        <v>3</v>
      </c>
      <c r="AT57" s="1875">
        <f t="shared" si="7"/>
        <v>3</v>
      </c>
      <c r="AU57" s="1875">
        <f t="shared" si="19"/>
        <v>10.333333333333334</v>
      </c>
      <c r="AW57" s="317">
        <f t="shared" si="9"/>
        <v>-4</v>
      </c>
      <c r="AX57" s="317">
        <f t="shared" si="10"/>
        <v>4.5000000000000009</v>
      </c>
      <c r="AY57" s="1941">
        <f t="shared" si="24"/>
        <v>54</v>
      </c>
      <c r="AZ57" s="594">
        <f t="shared" si="11"/>
        <v>-9</v>
      </c>
    </row>
    <row r="58" spans="1:52" x14ac:dyDescent="0.55000000000000004">
      <c r="A58" s="7335"/>
      <c r="B58" s="8"/>
      <c r="C58" s="19" t="s">
        <v>538</v>
      </c>
      <c r="D58" s="837">
        <v>19</v>
      </c>
      <c r="E58" s="837">
        <v>18</v>
      </c>
      <c r="F58" s="837">
        <v>23</v>
      </c>
      <c r="G58" s="837">
        <v>20</v>
      </c>
      <c r="H58" s="837">
        <v>20</v>
      </c>
      <c r="I58" s="837">
        <v>18</v>
      </c>
      <c r="J58" s="837">
        <v>18</v>
      </c>
      <c r="K58" s="837">
        <v>18</v>
      </c>
      <c r="L58" s="837">
        <v>19</v>
      </c>
      <c r="M58" s="837">
        <v>18</v>
      </c>
      <c r="N58" s="837">
        <v>9</v>
      </c>
      <c r="O58" s="837">
        <v>8</v>
      </c>
      <c r="P58" s="1875">
        <f t="shared" si="15"/>
        <v>8</v>
      </c>
      <c r="Q58" s="1875">
        <f t="shared" si="16"/>
        <v>17.333333333333332</v>
      </c>
      <c r="R58" s="1867"/>
      <c r="S58" s="1876">
        <v>6</v>
      </c>
      <c r="T58" s="1867">
        <v>4</v>
      </c>
      <c r="U58" s="1867">
        <v>4</v>
      </c>
      <c r="V58" s="1867">
        <v>12</v>
      </c>
      <c r="W58" s="1867">
        <v>14</v>
      </c>
      <c r="X58" s="1867">
        <v>13</v>
      </c>
      <c r="Y58" s="1867">
        <v>8</v>
      </c>
      <c r="Z58" s="1867">
        <v>8</v>
      </c>
      <c r="AA58" s="1867">
        <v>8</v>
      </c>
      <c r="AB58" s="1867">
        <v>10</v>
      </c>
      <c r="AC58" s="1867">
        <v>12</v>
      </c>
      <c r="AD58" s="1867">
        <v>13</v>
      </c>
      <c r="AE58" s="1875">
        <f t="shared" si="17"/>
        <v>13</v>
      </c>
      <c r="AF58" s="1875">
        <f t="shared" si="18"/>
        <v>9.3333333333333339</v>
      </c>
      <c r="AG58" s="1867"/>
      <c r="AH58" s="1876">
        <v>15</v>
      </c>
      <c r="AI58" s="1867">
        <v>15</v>
      </c>
      <c r="AJ58" s="1867">
        <v>17</v>
      </c>
      <c r="AK58" s="1867">
        <v>14</v>
      </c>
      <c r="AL58" s="1867">
        <v>13</v>
      </c>
      <c r="AM58" s="1867">
        <v>13</v>
      </c>
      <c r="AN58" s="1867">
        <v>6</v>
      </c>
      <c r="AO58" s="1867">
        <v>5</v>
      </c>
      <c r="AP58" s="1867">
        <v>5</v>
      </c>
      <c r="AQ58" s="1867">
        <v>1</v>
      </c>
      <c r="AR58" s="1867">
        <v>1</v>
      </c>
      <c r="AS58" s="1867">
        <v>1</v>
      </c>
      <c r="AT58" s="1875">
        <f t="shared" si="7"/>
        <v>1</v>
      </c>
      <c r="AU58" s="1875">
        <f t="shared" si="19"/>
        <v>8.8333333333333339</v>
      </c>
      <c r="AW58" s="317">
        <f t="shared" si="9"/>
        <v>-12</v>
      </c>
      <c r="AX58" s="317">
        <f t="shared" si="10"/>
        <v>-0.5</v>
      </c>
      <c r="AY58" s="1941">
        <f t="shared" si="24"/>
        <v>-6</v>
      </c>
      <c r="AZ58" s="594">
        <f t="shared" si="11"/>
        <v>0</v>
      </c>
    </row>
    <row r="59" spans="1:52" x14ac:dyDescent="0.55000000000000004">
      <c r="A59" s="7335"/>
      <c r="B59" s="8"/>
      <c r="C59" s="19" t="s">
        <v>539</v>
      </c>
      <c r="D59" s="837">
        <v>0</v>
      </c>
      <c r="E59" s="837">
        <v>3</v>
      </c>
      <c r="F59" s="837">
        <v>3</v>
      </c>
      <c r="G59" s="837">
        <v>5</v>
      </c>
      <c r="H59" s="837">
        <v>6</v>
      </c>
      <c r="I59" s="837">
        <v>7</v>
      </c>
      <c r="J59" s="837">
        <v>7</v>
      </c>
      <c r="K59" s="837">
        <v>8</v>
      </c>
      <c r="L59" s="837">
        <v>8</v>
      </c>
      <c r="M59" s="837">
        <v>8</v>
      </c>
      <c r="N59" s="837">
        <v>8</v>
      </c>
      <c r="O59" s="837">
        <v>8</v>
      </c>
      <c r="P59" s="1875">
        <f t="shared" si="15"/>
        <v>0</v>
      </c>
      <c r="Q59" s="1875">
        <f t="shared" si="16"/>
        <v>5.916666666666667</v>
      </c>
      <c r="R59" s="1867"/>
      <c r="S59" s="1876">
        <v>8</v>
      </c>
      <c r="T59" s="1867">
        <v>7</v>
      </c>
      <c r="U59" s="1867">
        <v>7</v>
      </c>
      <c r="V59" s="1867">
        <v>0</v>
      </c>
      <c r="W59" s="1867">
        <v>0</v>
      </c>
      <c r="X59" s="1867">
        <v>0</v>
      </c>
      <c r="Y59" s="1867">
        <v>0</v>
      </c>
      <c r="Z59" s="1867">
        <v>0</v>
      </c>
      <c r="AA59" s="1867">
        <v>0</v>
      </c>
      <c r="AB59" s="1867">
        <v>0</v>
      </c>
      <c r="AC59" s="1867">
        <v>0</v>
      </c>
      <c r="AD59" s="1867">
        <v>0</v>
      </c>
      <c r="AE59" s="1875">
        <f t="shared" si="17"/>
        <v>0</v>
      </c>
      <c r="AF59" s="1875">
        <f t="shared" si="18"/>
        <v>1.8333333333333333</v>
      </c>
      <c r="AG59" s="1867"/>
      <c r="AH59" s="1876">
        <v>0</v>
      </c>
      <c r="AI59" s="1867">
        <v>0</v>
      </c>
      <c r="AJ59" s="1867">
        <v>0</v>
      </c>
      <c r="AK59" s="1867">
        <v>0</v>
      </c>
      <c r="AL59" s="1867">
        <v>0</v>
      </c>
      <c r="AM59" s="1867">
        <v>0</v>
      </c>
      <c r="AN59" s="1867">
        <v>0</v>
      </c>
      <c r="AO59" s="1867">
        <v>0</v>
      </c>
      <c r="AP59" s="1867">
        <v>0</v>
      </c>
      <c r="AQ59" s="1867">
        <v>0</v>
      </c>
      <c r="AR59" s="1867">
        <v>0</v>
      </c>
      <c r="AS59" s="1867">
        <v>0</v>
      </c>
      <c r="AT59" s="1875">
        <f t="shared" si="7"/>
        <v>0</v>
      </c>
      <c r="AU59" s="1875">
        <f t="shared" si="19"/>
        <v>0</v>
      </c>
      <c r="AW59" s="317">
        <f t="shared" si="9"/>
        <v>0</v>
      </c>
      <c r="AX59" s="317">
        <f t="shared" si="10"/>
        <v>-1.8333333333333333</v>
      </c>
      <c r="AY59" s="1941">
        <f t="shared" si="24"/>
        <v>-22</v>
      </c>
      <c r="AZ59" s="594">
        <f t="shared" si="11"/>
        <v>0</v>
      </c>
    </row>
    <row r="60" spans="1:52" x14ac:dyDescent="0.55000000000000004">
      <c r="A60" s="7335"/>
      <c r="B60" s="35" t="s">
        <v>174</v>
      </c>
      <c r="C60" s="36" t="s">
        <v>171</v>
      </c>
      <c r="D60" s="845">
        <v>49.275000000000006</v>
      </c>
      <c r="E60" s="845">
        <v>54.350000000000009</v>
      </c>
      <c r="F60" s="845">
        <v>50.475000000000001</v>
      </c>
      <c r="G60" s="845">
        <v>42.024999999999999</v>
      </c>
      <c r="H60" s="845">
        <v>58.949999999999996</v>
      </c>
      <c r="I60" s="845">
        <v>45.375</v>
      </c>
      <c r="J60" s="845">
        <v>69.799999999999983</v>
      </c>
      <c r="K60" s="845">
        <v>74.849999999999994</v>
      </c>
      <c r="L60" s="845">
        <v>55.725000000000001</v>
      </c>
      <c r="M60" s="845">
        <v>43.174999999999997</v>
      </c>
      <c r="N60" s="845">
        <v>46.271428571428579</v>
      </c>
      <c r="O60" s="845">
        <v>46.857142857142854</v>
      </c>
      <c r="P60" s="1882">
        <f t="shared" si="15"/>
        <v>46.857142857142854</v>
      </c>
      <c r="Q60" s="1882">
        <f t="shared" si="16"/>
        <v>53.094047619047622</v>
      </c>
      <c r="R60" s="1867"/>
      <c r="S60" s="1886">
        <v>46.95000000000001</v>
      </c>
      <c r="T60" s="1887">
        <v>34.249999999999993</v>
      </c>
      <c r="U60" s="1887">
        <v>46.550000000000004</v>
      </c>
      <c r="V60" s="1887">
        <v>60.4</v>
      </c>
      <c r="W60" s="1887">
        <v>47.5</v>
      </c>
      <c r="X60" s="1887">
        <v>68.566666666666663</v>
      </c>
      <c r="Y60" s="1887">
        <v>63</v>
      </c>
      <c r="Z60" s="1887">
        <v>57.649999999999991</v>
      </c>
      <c r="AA60" s="1887">
        <v>48.8</v>
      </c>
      <c r="AB60" s="1887">
        <v>62.8</v>
      </c>
      <c r="AC60" s="1887">
        <v>27.7</v>
      </c>
      <c r="AD60" s="1887">
        <v>29.4</v>
      </c>
      <c r="AE60" s="1882">
        <f t="shared" si="17"/>
        <v>29.4</v>
      </c>
      <c r="AF60" s="1882">
        <f t="shared" si="18"/>
        <v>49.463888888888896</v>
      </c>
      <c r="AG60" s="1867"/>
      <c r="AH60" s="1886">
        <v>102</v>
      </c>
      <c r="AI60" s="1887">
        <v>98.4</v>
      </c>
      <c r="AJ60" s="1887">
        <v>89.7</v>
      </c>
      <c r="AK60" s="1887">
        <v>49.800000000000004</v>
      </c>
      <c r="AL60" s="1887">
        <v>72.099999999999994</v>
      </c>
      <c r="AM60" s="1887">
        <v>45.4</v>
      </c>
      <c r="AN60" s="1887">
        <v>94.2</v>
      </c>
      <c r="AO60" s="1887">
        <v>52.7</v>
      </c>
      <c r="AP60" s="1887">
        <v>73.7</v>
      </c>
      <c r="AQ60" s="1887">
        <v>50.7</v>
      </c>
      <c r="AR60" s="1887">
        <v>32.4</v>
      </c>
      <c r="AS60" s="1887">
        <v>27.5</v>
      </c>
      <c r="AT60" s="1882">
        <f t="shared" si="7"/>
        <v>27.5</v>
      </c>
      <c r="AU60" s="1882">
        <f t="shared" si="19"/>
        <v>65.716666666666683</v>
      </c>
      <c r="AW60" s="317">
        <f t="shared" si="9"/>
        <v>-1.8999999999999986</v>
      </c>
      <c r="AX60" s="317">
        <f t="shared" si="10"/>
        <v>16.252777777777787</v>
      </c>
      <c r="AY60" s="1941">
        <f t="shared" si="24"/>
        <v>195.03333333333342</v>
      </c>
      <c r="AZ60" s="594">
        <f t="shared" si="11"/>
        <v>-4.8999999999999986</v>
      </c>
    </row>
    <row r="61" spans="1:52" x14ac:dyDescent="0.55000000000000004">
      <c r="A61" s="7335"/>
      <c r="B61" s="35"/>
      <c r="C61" s="36" t="s">
        <v>172</v>
      </c>
      <c r="D61" s="845">
        <v>30.2</v>
      </c>
      <c r="E61" s="845">
        <v>6</v>
      </c>
      <c r="F61" s="845">
        <v>23.6</v>
      </c>
      <c r="G61" s="845">
        <v>24.8</v>
      </c>
      <c r="H61" s="845">
        <v>25.799999999999997</v>
      </c>
      <c r="I61" s="845">
        <v>31.6</v>
      </c>
      <c r="J61" s="845">
        <v>31</v>
      </c>
      <c r="K61" s="845">
        <v>47.599999999999994</v>
      </c>
      <c r="L61" s="845">
        <v>38.949999999999996</v>
      </c>
      <c r="M61" s="845">
        <v>16.799999999999997</v>
      </c>
      <c r="N61" s="845">
        <v>44.300000000000004</v>
      </c>
      <c r="O61" s="845">
        <v>29.466666666666669</v>
      </c>
      <c r="P61" s="1882">
        <f t="shared" si="15"/>
        <v>29.466666666666669</v>
      </c>
      <c r="Q61" s="1882">
        <f t="shared" si="16"/>
        <v>29.176388888888891</v>
      </c>
      <c r="R61" s="1867"/>
      <c r="S61" s="1886">
        <v>26.666666666666668</v>
      </c>
      <c r="T61" s="1887">
        <v>38.450000000000003</v>
      </c>
      <c r="U61" s="1887">
        <v>61.05</v>
      </c>
      <c r="V61" s="1887">
        <v>38.024999999999999</v>
      </c>
      <c r="W61" s="1887">
        <v>37.5</v>
      </c>
      <c r="X61" s="1887">
        <v>37.224999999999994</v>
      </c>
      <c r="Y61" s="1887">
        <v>21.9</v>
      </c>
      <c r="Z61" s="1887">
        <v>33.075000000000003</v>
      </c>
      <c r="AA61" s="1887">
        <v>25.1</v>
      </c>
      <c r="AB61" s="1887">
        <v>26</v>
      </c>
      <c r="AC61" s="1887">
        <v>26.2</v>
      </c>
      <c r="AD61" s="1887">
        <v>17.8</v>
      </c>
      <c r="AE61" s="1882">
        <f t="shared" si="17"/>
        <v>17.8</v>
      </c>
      <c r="AF61" s="1882">
        <f t="shared" si="18"/>
        <v>32.415972222222223</v>
      </c>
      <c r="AG61" s="1867"/>
      <c r="AH61" s="1886">
        <v>22.7</v>
      </c>
      <c r="AI61" s="1887">
        <v>42.2</v>
      </c>
      <c r="AJ61" s="1887">
        <v>37.1</v>
      </c>
      <c r="AK61" s="1887">
        <v>39.9</v>
      </c>
      <c r="AL61" s="1887">
        <v>27</v>
      </c>
      <c r="AM61" s="1887">
        <v>29.4</v>
      </c>
      <c r="AN61" s="1887">
        <v>59.6</v>
      </c>
      <c r="AO61" s="1887">
        <v>40.1</v>
      </c>
      <c r="AP61" s="1887">
        <v>59.3</v>
      </c>
      <c r="AQ61" s="1887">
        <v>32.1</v>
      </c>
      <c r="AR61" s="1887">
        <v>28.4</v>
      </c>
      <c r="AS61" s="1887">
        <v>19.5</v>
      </c>
      <c r="AT61" s="1882">
        <f t="shared" si="7"/>
        <v>19.5</v>
      </c>
      <c r="AU61" s="1882">
        <f t="shared" si="19"/>
        <v>36.44166666666667</v>
      </c>
      <c r="AW61" s="317">
        <f t="shared" si="9"/>
        <v>1.6999999999999993</v>
      </c>
      <c r="AX61" s="317">
        <f t="shared" si="10"/>
        <v>4.0256944444444471</v>
      </c>
      <c r="AY61" s="1941">
        <f t="shared" si="24"/>
        <v>48.308333333333394</v>
      </c>
      <c r="AZ61" s="594">
        <f t="shared" si="11"/>
        <v>-8.8999999999999986</v>
      </c>
    </row>
    <row r="62" spans="1:52" x14ac:dyDescent="0.55000000000000004">
      <c r="A62" s="7335"/>
      <c r="B62" s="35"/>
      <c r="C62" s="36" t="s">
        <v>173</v>
      </c>
      <c r="D62" s="845">
        <v>32.414285714285718</v>
      </c>
      <c r="E62" s="845">
        <v>28.557142857142853</v>
      </c>
      <c r="F62" s="845">
        <v>27.985714285714288</v>
      </c>
      <c r="G62" s="845">
        <v>28.74285714285714</v>
      </c>
      <c r="H62" s="845">
        <v>34.042857142857144</v>
      </c>
      <c r="I62" s="845">
        <v>29.599999999999998</v>
      </c>
      <c r="J62" s="845">
        <v>21.442857142857143</v>
      </c>
      <c r="K62" s="845">
        <v>38.457142857142856</v>
      </c>
      <c r="L62" s="845">
        <v>28.328571428571429</v>
      </c>
      <c r="M62" s="845">
        <v>21.685714285714287</v>
      </c>
      <c r="N62" s="845">
        <v>16.083333333333332</v>
      </c>
      <c r="O62" s="845">
        <v>12.46</v>
      </c>
      <c r="P62" s="1882">
        <f t="shared" si="15"/>
        <v>12.46</v>
      </c>
      <c r="Q62" s="1882">
        <f t="shared" si="16"/>
        <v>26.650039682539681</v>
      </c>
      <c r="R62" s="1867"/>
      <c r="S62" s="1886">
        <v>11.420000000000002</v>
      </c>
      <c r="T62" s="1887">
        <v>7.6749999999999998</v>
      </c>
      <c r="U62" s="1887">
        <v>13.8</v>
      </c>
      <c r="V62" s="1887">
        <v>22.4</v>
      </c>
      <c r="W62" s="1887">
        <v>31.3</v>
      </c>
      <c r="X62" s="1887">
        <v>21.175000000000001</v>
      </c>
      <c r="Y62" s="1887">
        <v>28.2</v>
      </c>
      <c r="Z62" s="1887">
        <v>18.2</v>
      </c>
      <c r="AA62" s="1887">
        <v>19.899999999999999</v>
      </c>
      <c r="AB62" s="1887">
        <v>25.8</v>
      </c>
      <c r="AC62" s="1887">
        <v>24</v>
      </c>
      <c r="AD62" s="1887">
        <v>20.6</v>
      </c>
      <c r="AE62" s="1882">
        <f t="shared" si="17"/>
        <v>20.6</v>
      </c>
      <c r="AF62" s="1882">
        <f t="shared" si="18"/>
        <v>20.372499999999999</v>
      </c>
      <c r="AG62" s="1867"/>
      <c r="AH62" s="1886">
        <v>14.8</v>
      </c>
      <c r="AI62" s="1887">
        <v>22</v>
      </c>
      <c r="AJ62" s="1887">
        <v>32.200000000000003</v>
      </c>
      <c r="AK62" s="1887">
        <v>44.145454545454548</v>
      </c>
      <c r="AL62" s="1887">
        <v>34.4</v>
      </c>
      <c r="AM62" s="1887">
        <v>25.1</v>
      </c>
      <c r="AN62" s="1887">
        <v>42.2</v>
      </c>
      <c r="AO62" s="1887">
        <v>25.7</v>
      </c>
      <c r="AP62" s="1887">
        <v>29.8</v>
      </c>
      <c r="AQ62" s="1887">
        <v>15.9</v>
      </c>
      <c r="AR62" s="1887">
        <v>9.1999999999999993</v>
      </c>
      <c r="AS62" s="1887">
        <v>8</v>
      </c>
      <c r="AT62" s="1882">
        <f t="shared" si="7"/>
        <v>8</v>
      </c>
      <c r="AU62" s="1882">
        <f t="shared" si="19"/>
        <v>25.28712121212121</v>
      </c>
      <c r="AW62" s="317">
        <f t="shared" si="9"/>
        <v>-12.600000000000001</v>
      </c>
      <c r="AX62" s="317">
        <f t="shared" si="10"/>
        <v>4.9146212121212116</v>
      </c>
      <c r="AY62" s="1941">
        <f t="shared" si="24"/>
        <v>58.975454545454539</v>
      </c>
      <c r="AZ62" s="594">
        <f t="shared" si="11"/>
        <v>-1.1999999999999993</v>
      </c>
    </row>
    <row r="63" spans="1:52" x14ac:dyDescent="0.55000000000000004">
      <c r="A63" s="7335"/>
      <c r="B63" s="35"/>
      <c r="C63" s="36" t="s">
        <v>538</v>
      </c>
      <c r="D63" s="845">
        <v>17.81052631578947</v>
      </c>
      <c r="E63" s="845">
        <v>21.888888888888886</v>
      </c>
      <c r="F63" s="845">
        <v>17.31304347826087</v>
      </c>
      <c r="G63" s="845">
        <v>18.489999999999998</v>
      </c>
      <c r="H63" s="845">
        <v>24.94</v>
      </c>
      <c r="I63" s="845">
        <v>20.472222222222225</v>
      </c>
      <c r="J63" s="845">
        <v>17.166666666666668</v>
      </c>
      <c r="K63" s="845">
        <v>21.455555555555556</v>
      </c>
      <c r="L63" s="845">
        <v>15.442105263157893</v>
      </c>
      <c r="M63" s="845">
        <v>15.527777777777779</v>
      </c>
      <c r="N63" s="845">
        <v>15.833333333333334</v>
      </c>
      <c r="O63" s="845">
        <v>16.375</v>
      </c>
      <c r="P63" s="1882">
        <f t="shared" si="15"/>
        <v>16.375</v>
      </c>
      <c r="Q63" s="1882">
        <f t="shared" si="16"/>
        <v>18.559593291804386</v>
      </c>
      <c r="R63" s="1867"/>
      <c r="S63" s="1886">
        <v>23.849999999999998</v>
      </c>
      <c r="T63" s="1887">
        <v>22.55</v>
      </c>
      <c r="U63" s="1887">
        <v>27.925000000000001</v>
      </c>
      <c r="V63" s="1887">
        <v>12.216666666666667</v>
      </c>
      <c r="W63" s="1887">
        <v>13.2</v>
      </c>
      <c r="X63" s="1887">
        <v>16.453846153846154</v>
      </c>
      <c r="Y63" s="1896">
        <v>14.2</v>
      </c>
      <c r="Z63" s="1887">
        <v>12.1875</v>
      </c>
      <c r="AA63" s="1896">
        <v>7.9</v>
      </c>
      <c r="AB63" s="1887">
        <v>11.6</v>
      </c>
      <c r="AC63" s="1887">
        <v>8.6999999999999993</v>
      </c>
      <c r="AD63" s="1887">
        <v>6</v>
      </c>
      <c r="AE63" s="1882">
        <f t="shared" si="17"/>
        <v>6</v>
      </c>
      <c r="AF63" s="1882">
        <f t="shared" si="18"/>
        <v>14.731917735042735</v>
      </c>
      <c r="AG63" s="1867"/>
      <c r="AH63" s="1886">
        <v>9.8000000000000007</v>
      </c>
      <c r="AI63" s="1887">
        <v>11.4</v>
      </c>
      <c r="AJ63" s="1887">
        <v>26.1</v>
      </c>
      <c r="AK63" s="1887">
        <v>19.842857142857138</v>
      </c>
      <c r="AL63" s="1887">
        <v>19.100000000000001</v>
      </c>
      <c r="AM63" s="1887">
        <v>17.2</v>
      </c>
      <c r="AN63" s="1896">
        <v>29</v>
      </c>
      <c r="AO63" s="1887">
        <v>12.6</v>
      </c>
      <c r="AP63" s="1896">
        <v>37.4</v>
      </c>
      <c r="AQ63" s="1887">
        <v>17.8</v>
      </c>
      <c r="AR63" s="1887">
        <v>24.9</v>
      </c>
      <c r="AS63" s="1887">
        <v>30.2</v>
      </c>
      <c r="AT63" s="1882">
        <f t="shared" si="7"/>
        <v>30.2</v>
      </c>
      <c r="AU63" s="1882">
        <f t="shared" si="19"/>
        <v>21.278571428571428</v>
      </c>
      <c r="AW63" s="317">
        <f t="shared" si="9"/>
        <v>24.2</v>
      </c>
      <c r="AX63" s="317">
        <f t="shared" si="10"/>
        <v>6.5466536935286932</v>
      </c>
      <c r="AY63" s="1941">
        <f t="shared" si="24"/>
        <v>78.559844322344304</v>
      </c>
      <c r="AZ63" s="594">
        <f t="shared" si="11"/>
        <v>5.3000000000000007</v>
      </c>
    </row>
    <row r="64" spans="1:52" x14ac:dyDescent="0.55000000000000004">
      <c r="A64" s="7336"/>
      <c r="B64" s="65"/>
      <c r="C64" s="66" t="s">
        <v>539</v>
      </c>
      <c r="D64" s="882">
        <v>0</v>
      </c>
      <c r="E64" s="883">
        <v>0</v>
      </c>
      <c r="F64" s="883">
        <v>14.233333333333334</v>
      </c>
      <c r="G64" s="883">
        <v>12.86</v>
      </c>
      <c r="H64" s="883">
        <v>15.75</v>
      </c>
      <c r="I64" s="883">
        <v>16.542857142857141</v>
      </c>
      <c r="J64" s="883">
        <v>16.614285714285714</v>
      </c>
      <c r="K64" s="883">
        <v>21.6</v>
      </c>
      <c r="L64" s="883">
        <v>11.95</v>
      </c>
      <c r="M64" s="883">
        <v>11.6875</v>
      </c>
      <c r="N64" s="883">
        <v>10.9125</v>
      </c>
      <c r="O64" s="884">
        <v>10.25</v>
      </c>
      <c r="P64" s="1895">
        <f t="shared" si="15"/>
        <v>0</v>
      </c>
      <c r="Q64" s="1895">
        <f t="shared" si="16"/>
        <v>11.866706349206352</v>
      </c>
      <c r="R64" s="1867"/>
      <c r="S64" s="1886">
        <v>14.025000000000002</v>
      </c>
      <c r="T64" s="1896">
        <v>18.071428571428573</v>
      </c>
      <c r="U64" s="1896">
        <v>21.3</v>
      </c>
      <c r="V64" s="1896">
        <v>0</v>
      </c>
      <c r="W64" s="1896">
        <v>0</v>
      </c>
      <c r="X64" s="1896">
        <v>0</v>
      </c>
      <c r="Y64" s="1896">
        <v>0</v>
      </c>
      <c r="Z64" s="1896">
        <v>0</v>
      </c>
      <c r="AA64" s="1896">
        <v>0</v>
      </c>
      <c r="AB64" s="1887">
        <v>0</v>
      </c>
      <c r="AC64" s="1896">
        <v>0</v>
      </c>
      <c r="AD64" s="1897">
        <v>0</v>
      </c>
      <c r="AE64" s="1895">
        <f t="shared" si="17"/>
        <v>0</v>
      </c>
      <c r="AF64" s="1895">
        <f t="shared" si="18"/>
        <v>4.449702380952381</v>
      </c>
      <c r="AG64" s="1867"/>
      <c r="AH64" s="1886">
        <v>0</v>
      </c>
      <c r="AI64" s="1896">
        <v>0</v>
      </c>
      <c r="AJ64" s="1887">
        <v>0</v>
      </c>
      <c r="AK64" s="1896">
        <v>0</v>
      </c>
      <c r="AL64" s="1896">
        <v>0</v>
      </c>
      <c r="AM64" s="1887">
        <v>0</v>
      </c>
      <c r="AN64" s="1896">
        <v>0</v>
      </c>
      <c r="AO64" s="1887">
        <v>0</v>
      </c>
      <c r="AP64" s="1896">
        <v>0</v>
      </c>
      <c r="AQ64" s="1887">
        <v>0</v>
      </c>
      <c r="AR64" s="1896">
        <v>0</v>
      </c>
      <c r="AS64" s="1897">
        <v>0</v>
      </c>
      <c r="AT64" s="1895">
        <f t="shared" si="7"/>
        <v>0</v>
      </c>
      <c r="AU64" s="1895">
        <f t="shared" si="19"/>
        <v>0</v>
      </c>
      <c r="AW64" s="317">
        <f t="shared" si="9"/>
        <v>0</v>
      </c>
      <c r="AX64" s="317">
        <f t="shared" si="10"/>
        <v>-4.449702380952381</v>
      </c>
      <c r="AY64" s="1941">
        <f t="shared" si="24"/>
        <v>-53.396428571428572</v>
      </c>
      <c r="AZ64" s="594">
        <f t="shared" si="11"/>
        <v>0</v>
      </c>
    </row>
    <row r="65" spans="1:52" x14ac:dyDescent="0.55000000000000004">
      <c r="A65" s="7337" t="s">
        <v>177</v>
      </c>
      <c r="B65" s="470" t="s">
        <v>163</v>
      </c>
      <c r="C65" s="471"/>
      <c r="D65" s="885">
        <f t="shared" ref="D65:O65" si="27">SUM(D66:D70)</f>
        <v>29</v>
      </c>
      <c r="E65" s="885">
        <f t="shared" si="27"/>
        <v>29</v>
      </c>
      <c r="F65" s="885">
        <f t="shared" si="27"/>
        <v>28</v>
      </c>
      <c r="G65" s="885">
        <f t="shared" si="27"/>
        <v>28</v>
      </c>
      <c r="H65" s="885">
        <f t="shared" si="27"/>
        <v>29</v>
      </c>
      <c r="I65" s="885">
        <f t="shared" si="27"/>
        <v>31</v>
      </c>
      <c r="J65" s="885">
        <f t="shared" si="27"/>
        <v>30</v>
      </c>
      <c r="K65" s="885">
        <f t="shared" si="27"/>
        <v>30</v>
      </c>
      <c r="L65" s="885">
        <f t="shared" si="27"/>
        <v>30</v>
      </c>
      <c r="M65" s="885">
        <f t="shared" si="27"/>
        <v>29</v>
      </c>
      <c r="N65" s="885">
        <f t="shared" si="27"/>
        <v>27</v>
      </c>
      <c r="O65" s="885">
        <f t="shared" si="27"/>
        <v>26</v>
      </c>
      <c r="P65" s="1898">
        <f t="shared" si="15"/>
        <v>26</v>
      </c>
      <c r="Q65" s="1898">
        <f t="shared" si="16"/>
        <v>28.833333333333332</v>
      </c>
      <c r="R65" s="1867"/>
      <c r="S65" s="1899">
        <f t="shared" ref="S65:AB65" si="28">SUM(S66:S70)</f>
        <v>25</v>
      </c>
      <c r="T65" s="1900">
        <f t="shared" si="28"/>
        <v>23</v>
      </c>
      <c r="U65" s="1900">
        <f t="shared" si="28"/>
        <v>22</v>
      </c>
      <c r="V65" s="1900">
        <f t="shared" si="28"/>
        <v>26</v>
      </c>
      <c r="W65" s="1900">
        <f t="shared" si="28"/>
        <v>31</v>
      </c>
      <c r="X65" s="1900">
        <f t="shared" si="28"/>
        <v>33</v>
      </c>
      <c r="Y65" s="1900">
        <f t="shared" si="28"/>
        <v>32</v>
      </c>
      <c r="Z65" s="1900">
        <f t="shared" si="28"/>
        <v>32</v>
      </c>
      <c r="AA65" s="1900">
        <f t="shared" si="28"/>
        <v>35</v>
      </c>
      <c r="AB65" s="1900">
        <f t="shared" si="28"/>
        <v>35</v>
      </c>
      <c r="AC65" s="1900">
        <v>34</v>
      </c>
      <c r="AD65" s="1900">
        <v>35</v>
      </c>
      <c r="AE65" s="1898">
        <f t="shared" si="17"/>
        <v>35</v>
      </c>
      <c r="AF65" s="1898">
        <f t="shared" si="18"/>
        <v>30.25</v>
      </c>
      <c r="AG65" s="1867"/>
      <c r="AH65" s="1899">
        <v>41</v>
      </c>
      <c r="AI65" s="1900">
        <v>39</v>
      </c>
      <c r="AJ65" s="1900">
        <v>43</v>
      </c>
      <c r="AK65" s="1900">
        <v>44</v>
      </c>
      <c r="AL65" s="1900">
        <v>43</v>
      </c>
      <c r="AM65" s="1900">
        <v>38</v>
      </c>
      <c r="AN65" s="1900">
        <v>28</v>
      </c>
      <c r="AO65" s="1900">
        <v>28</v>
      </c>
      <c r="AP65" s="1900">
        <v>29</v>
      </c>
      <c r="AQ65" s="1900">
        <v>27</v>
      </c>
      <c r="AR65" s="1900">
        <v>27</v>
      </c>
      <c r="AS65" s="1900">
        <v>17</v>
      </c>
      <c r="AT65" s="1898">
        <f t="shared" si="7"/>
        <v>17</v>
      </c>
      <c r="AU65" s="1898">
        <f t="shared" si="19"/>
        <v>33.666666666666664</v>
      </c>
      <c r="AW65" s="317">
        <f t="shared" si="9"/>
        <v>-18</v>
      </c>
      <c r="AX65" s="317">
        <f t="shared" si="10"/>
        <v>3.4166666666666643</v>
      </c>
      <c r="AY65" s="1941">
        <f t="shared" si="24"/>
        <v>41</v>
      </c>
      <c r="AZ65" s="594">
        <f t="shared" si="11"/>
        <v>-10</v>
      </c>
    </row>
    <row r="66" spans="1:52" x14ac:dyDescent="0.55000000000000004">
      <c r="A66" s="7335"/>
      <c r="B66" s="8" t="s">
        <v>170</v>
      </c>
      <c r="C66" s="19" t="s">
        <v>171</v>
      </c>
      <c r="D66" s="837">
        <v>5</v>
      </c>
      <c r="E66" s="837">
        <v>5</v>
      </c>
      <c r="F66" s="837">
        <v>5</v>
      </c>
      <c r="G66" s="837">
        <v>5</v>
      </c>
      <c r="H66" s="837">
        <v>5</v>
      </c>
      <c r="I66" s="837">
        <v>5</v>
      </c>
      <c r="J66" s="837">
        <v>5</v>
      </c>
      <c r="K66" s="837">
        <v>5</v>
      </c>
      <c r="L66" s="837">
        <v>5</v>
      </c>
      <c r="M66" s="837">
        <v>5</v>
      </c>
      <c r="N66" s="837">
        <v>4</v>
      </c>
      <c r="O66" s="837">
        <v>4</v>
      </c>
      <c r="P66" s="1875">
        <f t="shared" si="15"/>
        <v>4</v>
      </c>
      <c r="Q66" s="1875">
        <f t="shared" si="16"/>
        <v>4.833333333333333</v>
      </c>
      <c r="R66" s="1867"/>
      <c r="S66" s="1876">
        <v>4</v>
      </c>
      <c r="T66" s="1867">
        <v>4</v>
      </c>
      <c r="U66" s="1867">
        <v>4</v>
      </c>
      <c r="V66" s="1867">
        <v>4</v>
      </c>
      <c r="W66" s="1867">
        <v>4</v>
      </c>
      <c r="X66" s="1867">
        <v>4</v>
      </c>
      <c r="Y66" s="1867">
        <v>10</v>
      </c>
      <c r="Z66" s="1867">
        <v>10</v>
      </c>
      <c r="AA66" s="1867">
        <v>10</v>
      </c>
      <c r="AB66" s="1867">
        <v>10</v>
      </c>
      <c r="AC66" s="1867">
        <v>10</v>
      </c>
      <c r="AD66" s="1867">
        <v>8</v>
      </c>
      <c r="AE66" s="1875">
        <f t="shared" si="17"/>
        <v>8</v>
      </c>
      <c r="AF66" s="1875">
        <f t="shared" si="18"/>
        <v>6.833333333333333</v>
      </c>
      <c r="AG66" s="1867"/>
      <c r="AH66" s="1876">
        <v>1</v>
      </c>
      <c r="AI66" s="1867">
        <v>1</v>
      </c>
      <c r="AJ66" s="1867">
        <v>1</v>
      </c>
      <c r="AK66" s="1867">
        <v>7</v>
      </c>
      <c r="AL66" s="1867">
        <v>7</v>
      </c>
      <c r="AM66" s="1867">
        <v>7</v>
      </c>
      <c r="AN66" s="1867">
        <v>8</v>
      </c>
      <c r="AO66" s="1867">
        <v>8</v>
      </c>
      <c r="AP66" s="1867">
        <v>8</v>
      </c>
      <c r="AQ66" s="1867">
        <v>12</v>
      </c>
      <c r="AR66" s="1867">
        <v>12</v>
      </c>
      <c r="AS66" s="1867">
        <v>9</v>
      </c>
      <c r="AT66" s="1875">
        <f t="shared" si="7"/>
        <v>9</v>
      </c>
      <c r="AU66" s="1875">
        <f t="shared" si="19"/>
        <v>6.75</v>
      </c>
      <c r="AW66" s="317">
        <f t="shared" si="9"/>
        <v>1</v>
      </c>
      <c r="AX66" s="317">
        <f t="shared" si="10"/>
        <v>-8.3333333333333037E-2</v>
      </c>
      <c r="AY66" s="1941">
        <f t="shared" si="24"/>
        <v>-1</v>
      </c>
      <c r="AZ66" s="594">
        <f t="shared" si="11"/>
        <v>-3</v>
      </c>
    </row>
    <row r="67" spans="1:52" x14ac:dyDescent="0.55000000000000004">
      <c r="A67" s="7335"/>
      <c r="B67" s="8"/>
      <c r="C67" s="19" t="s">
        <v>172</v>
      </c>
      <c r="D67" s="837">
        <v>0</v>
      </c>
      <c r="E67" s="837">
        <v>0</v>
      </c>
      <c r="F67" s="837">
        <v>0</v>
      </c>
      <c r="G67" s="837">
        <v>0</v>
      </c>
      <c r="H67" s="837">
        <v>0</v>
      </c>
      <c r="I67" s="837">
        <v>0</v>
      </c>
      <c r="J67" s="837">
        <v>0</v>
      </c>
      <c r="K67" s="837">
        <v>0</v>
      </c>
      <c r="L67" s="837">
        <v>0</v>
      </c>
      <c r="M67" s="837">
        <v>0</v>
      </c>
      <c r="N67" s="837">
        <v>8</v>
      </c>
      <c r="O67" s="837">
        <v>8</v>
      </c>
      <c r="P67" s="1875">
        <f t="shared" si="15"/>
        <v>0</v>
      </c>
      <c r="Q67" s="1875">
        <f t="shared" si="16"/>
        <v>1.3333333333333333</v>
      </c>
      <c r="R67" s="1867"/>
      <c r="S67" s="1876">
        <v>8</v>
      </c>
      <c r="T67" s="1867">
        <v>8</v>
      </c>
      <c r="U67" s="1867">
        <v>7</v>
      </c>
      <c r="V67" s="1867">
        <v>5</v>
      </c>
      <c r="W67" s="1867">
        <v>5</v>
      </c>
      <c r="X67" s="1867">
        <v>5</v>
      </c>
      <c r="Y67" s="1867">
        <v>6</v>
      </c>
      <c r="Z67" s="1867">
        <v>6</v>
      </c>
      <c r="AA67" s="1867">
        <v>6</v>
      </c>
      <c r="AB67" s="1867">
        <v>6</v>
      </c>
      <c r="AC67" s="1867">
        <v>6</v>
      </c>
      <c r="AD67" s="1867">
        <v>6</v>
      </c>
      <c r="AE67" s="1875">
        <f t="shared" si="17"/>
        <v>6</v>
      </c>
      <c r="AF67" s="1875">
        <f t="shared" si="18"/>
        <v>6.166666666666667</v>
      </c>
      <c r="AG67" s="1867"/>
      <c r="AH67" s="1876">
        <v>2</v>
      </c>
      <c r="AI67" s="1867">
        <v>2</v>
      </c>
      <c r="AJ67" s="1867">
        <v>2</v>
      </c>
      <c r="AK67" s="1867">
        <v>3</v>
      </c>
      <c r="AL67" s="1867">
        <v>3</v>
      </c>
      <c r="AM67" s="1867">
        <v>3</v>
      </c>
      <c r="AN67" s="1867">
        <v>6</v>
      </c>
      <c r="AO67" s="1867">
        <v>6</v>
      </c>
      <c r="AP67" s="1867">
        <v>6</v>
      </c>
      <c r="AQ67" s="1867">
        <v>4</v>
      </c>
      <c r="AR67" s="1867">
        <v>4</v>
      </c>
      <c r="AS67" s="1867">
        <v>3</v>
      </c>
      <c r="AT67" s="1875">
        <f t="shared" si="7"/>
        <v>3</v>
      </c>
      <c r="AU67" s="1875">
        <f t="shared" si="19"/>
        <v>3.6666666666666665</v>
      </c>
      <c r="AW67" s="317">
        <f t="shared" si="9"/>
        <v>-3</v>
      </c>
      <c r="AX67" s="317">
        <f t="shared" si="10"/>
        <v>-2.5000000000000004</v>
      </c>
      <c r="AY67" s="1941">
        <f t="shared" si="24"/>
        <v>-30</v>
      </c>
      <c r="AZ67" s="594">
        <f t="shared" si="11"/>
        <v>-1</v>
      </c>
    </row>
    <row r="68" spans="1:52" x14ac:dyDescent="0.55000000000000004">
      <c r="A68" s="7335"/>
      <c r="B68" s="8"/>
      <c r="C68" s="19" t="s">
        <v>173</v>
      </c>
      <c r="D68" s="837">
        <v>3</v>
      </c>
      <c r="E68" s="837">
        <v>3</v>
      </c>
      <c r="F68" s="837">
        <v>3</v>
      </c>
      <c r="G68" s="837">
        <v>3</v>
      </c>
      <c r="H68" s="837">
        <v>3</v>
      </c>
      <c r="I68" s="837">
        <v>3</v>
      </c>
      <c r="J68" s="837">
        <v>2</v>
      </c>
      <c r="K68" s="837">
        <v>2</v>
      </c>
      <c r="L68" s="837">
        <v>2</v>
      </c>
      <c r="M68" s="837">
        <v>2</v>
      </c>
      <c r="N68" s="837">
        <v>2</v>
      </c>
      <c r="O68" s="837">
        <v>2</v>
      </c>
      <c r="P68" s="1875">
        <f t="shared" si="15"/>
        <v>2</v>
      </c>
      <c r="Q68" s="1875">
        <f t="shared" si="16"/>
        <v>2.5</v>
      </c>
      <c r="R68" s="1867"/>
      <c r="S68" s="1876">
        <v>2</v>
      </c>
      <c r="T68" s="1867">
        <v>2</v>
      </c>
      <c r="U68" s="1867">
        <v>2</v>
      </c>
      <c r="V68" s="1867">
        <v>6</v>
      </c>
      <c r="W68" s="1867">
        <v>6</v>
      </c>
      <c r="X68" s="1867">
        <v>6</v>
      </c>
      <c r="Y68" s="1867">
        <v>5</v>
      </c>
      <c r="Z68" s="1867">
        <v>5</v>
      </c>
      <c r="AA68" s="1867">
        <v>5</v>
      </c>
      <c r="AB68" s="1867">
        <v>6</v>
      </c>
      <c r="AC68" s="1867">
        <v>5</v>
      </c>
      <c r="AD68" s="1867">
        <v>4</v>
      </c>
      <c r="AE68" s="1875">
        <f>INDEX($S68:$AD68, 1, MATCH(0, $S68:$AD68, -1))</f>
        <v>4</v>
      </c>
      <c r="AF68" s="1875">
        <f t="shared" si="18"/>
        <v>4.5</v>
      </c>
      <c r="AG68" s="1867"/>
      <c r="AH68" s="1876">
        <v>12</v>
      </c>
      <c r="AI68" s="1867">
        <v>12</v>
      </c>
      <c r="AJ68" s="1867">
        <v>12</v>
      </c>
      <c r="AK68" s="1867">
        <v>5</v>
      </c>
      <c r="AL68" s="1867">
        <v>5</v>
      </c>
      <c r="AM68" s="1867">
        <v>5</v>
      </c>
      <c r="AN68" s="1867">
        <v>4</v>
      </c>
      <c r="AO68" s="1867">
        <v>4</v>
      </c>
      <c r="AP68" s="1867">
        <v>4</v>
      </c>
      <c r="AQ68" s="1867">
        <v>8</v>
      </c>
      <c r="AR68" s="1867">
        <v>8</v>
      </c>
      <c r="AS68" s="1867">
        <v>4</v>
      </c>
      <c r="AT68" s="1875">
        <f t="shared" si="7"/>
        <v>4</v>
      </c>
      <c r="AU68" s="1875">
        <f t="shared" si="19"/>
        <v>6.916666666666667</v>
      </c>
      <c r="AW68" s="317">
        <f t="shared" si="9"/>
        <v>0</v>
      </c>
      <c r="AX68" s="317">
        <f t="shared" si="10"/>
        <v>2.416666666666667</v>
      </c>
      <c r="AY68" s="1941">
        <f t="shared" si="24"/>
        <v>29</v>
      </c>
      <c r="AZ68" s="594">
        <f t="shared" si="11"/>
        <v>-4</v>
      </c>
    </row>
    <row r="69" spans="1:52" x14ac:dyDescent="0.55000000000000004">
      <c r="A69" s="7335"/>
      <c r="B69" s="8"/>
      <c r="C69" s="19" t="s">
        <v>538</v>
      </c>
      <c r="D69" s="837">
        <v>16</v>
      </c>
      <c r="E69" s="837">
        <v>15</v>
      </c>
      <c r="F69" s="837">
        <v>14</v>
      </c>
      <c r="G69" s="837">
        <v>13</v>
      </c>
      <c r="H69" s="837">
        <v>14</v>
      </c>
      <c r="I69" s="837">
        <v>16</v>
      </c>
      <c r="J69" s="837">
        <v>16</v>
      </c>
      <c r="K69" s="837">
        <v>16</v>
      </c>
      <c r="L69" s="837">
        <v>16</v>
      </c>
      <c r="M69" s="837">
        <v>15</v>
      </c>
      <c r="N69" s="837">
        <v>6</v>
      </c>
      <c r="O69" s="837">
        <v>6</v>
      </c>
      <c r="P69" s="1875">
        <f t="shared" si="15"/>
        <v>6</v>
      </c>
      <c r="Q69" s="1875">
        <f t="shared" si="16"/>
        <v>13.583333333333334</v>
      </c>
      <c r="R69" s="1867"/>
      <c r="S69" s="1876">
        <v>5</v>
      </c>
      <c r="T69" s="1867">
        <v>3</v>
      </c>
      <c r="U69" s="1867">
        <v>3</v>
      </c>
      <c r="V69" s="1867">
        <v>11</v>
      </c>
      <c r="W69" s="1867">
        <v>16</v>
      </c>
      <c r="X69" s="1867">
        <v>18</v>
      </c>
      <c r="Y69" s="1867">
        <v>11</v>
      </c>
      <c r="Z69" s="1867">
        <v>11</v>
      </c>
      <c r="AA69" s="1867">
        <v>14</v>
      </c>
      <c r="AB69" s="1867">
        <v>13</v>
      </c>
      <c r="AC69" s="1867">
        <v>13</v>
      </c>
      <c r="AD69" s="1867">
        <v>17</v>
      </c>
      <c r="AE69" s="1875">
        <f t="shared" si="17"/>
        <v>17</v>
      </c>
      <c r="AF69" s="1875">
        <f t="shared" si="18"/>
        <v>11.25</v>
      </c>
      <c r="AG69" s="1867"/>
      <c r="AH69" s="1876">
        <v>26</v>
      </c>
      <c r="AI69" s="1867">
        <v>24</v>
      </c>
      <c r="AJ69" s="1867">
        <v>28</v>
      </c>
      <c r="AK69" s="1867">
        <v>29</v>
      </c>
      <c r="AL69" s="1867">
        <v>28</v>
      </c>
      <c r="AM69" s="1867">
        <v>23</v>
      </c>
      <c r="AN69" s="1867">
        <v>10</v>
      </c>
      <c r="AO69" s="1867">
        <v>10</v>
      </c>
      <c r="AP69" s="1867">
        <v>11</v>
      </c>
      <c r="AQ69" s="1867">
        <v>3</v>
      </c>
      <c r="AR69" s="1867">
        <v>3</v>
      </c>
      <c r="AS69" s="1867">
        <v>1</v>
      </c>
      <c r="AT69" s="1875">
        <f t="shared" ref="AT69:AT75" si="29">INDEX($AH69:$AS69, 1, MATCH(0, $AH69:$AS69, -1))</f>
        <v>1</v>
      </c>
      <c r="AU69" s="1875">
        <f t="shared" si="19"/>
        <v>16.333333333333332</v>
      </c>
      <c r="AW69" s="317">
        <f t="shared" ref="AW69:AW113" si="30">HLOOKUP($A$1,$AH$2:$AS$406,ROW()-1,0)-HLOOKUP($A$1,$S$2:$AD$406,ROW()-1,0)</f>
        <v>-16</v>
      </c>
      <c r="AX69" s="317">
        <f t="shared" ref="AX69:AX75" si="31">AU69-AF69</f>
        <v>5.0833333333333321</v>
      </c>
      <c r="AY69" s="1941">
        <f t="shared" si="24"/>
        <v>61</v>
      </c>
      <c r="AZ69" s="594">
        <f t="shared" ref="AZ69:AZ113" si="32">HLOOKUP($A$1,$AH$2:$AS$505,ROW()-1,0)-HLOOKUP($A$1-1,$AH$2:$AS$505,ROW()-1,1)</f>
        <v>-2</v>
      </c>
    </row>
    <row r="70" spans="1:52" x14ac:dyDescent="0.55000000000000004">
      <c r="A70" s="7335"/>
      <c r="B70" s="8"/>
      <c r="C70" s="19" t="s">
        <v>539</v>
      </c>
      <c r="D70" s="837">
        <v>5</v>
      </c>
      <c r="E70" s="837">
        <v>6</v>
      </c>
      <c r="F70" s="837">
        <v>6</v>
      </c>
      <c r="G70" s="837">
        <v>7</v>
      </c>
      <c r="H70" s="837">
        <v>7</v>
      </c>
      <c r="I70" s="837">
        <v>7</v>
      </c>
      <c r="J70" s="837">
        <v>7</v>
      </c>
      <c r="K70" s="837">
        <v>7</v>
      </c>
      <c r="L70" s="837">
        <v>7</v>
      </c>
      <c r="M70" s="837">
        <v>7</v>
      </c>
      <c r="N70" s="837">
        <v>7</v>
      </c>
      <c r="O70" s="837">
        <v>6</v>
      </c>
      <c r="P70" s="1875">
        <f t="shared" si="15"/>
        <v>6</v>
      </c>
      <c r="Q70" s="1875">
        <f t="shared" si="16"/>
        <v>6.583333333333333</v>
      </c>
      <c r="R70" s="1867"/>
      <c r="S70" s="1876">
        <v>6</v>
      </c>
      <c r="T70" s="1867">
        <v>6</v>
      </c>
      <c r="U70" s="1867">
        <v>6</v>
      </c>
      <c r="V70" s="1867">
        <v>0</v>
      </c>
      <c r="W70" s="1867">
        <v>0</v>
      </c>
      <c r="X70" s="1867">
        <v>0</v>
      </c>
      <c r="Y70" s="1867">
        <v>0</v>
      </c>
      <c r="Z70" s="1867">
        <v>0</v>
      </c>
      <c r="AA70" s="1867">
        <v>0</v>
      </c>
      <c r="AB70" s="1867">
        <v>0</v>
      </c>
      <c r="AC70" s="1867">
        <v>0</v>
      </c>
      <c r="AD70" s="1867">
        <v>0</v>
      </c>
      <c r="AE70" s="1875">
        <f t="shared" si="17"/>
        <v>0</v>
      </c>
      <c r="AF70" s="1875">
        <f t="shared" si="18"/>
        <v>1.5</v>
      </c>
      <c r="AG70" s="1867"/>
      <c r="AH70" s="1876">
        <v>0</v>
      </c>
      <c r="AI70" s="1867">
        <v>0</v>
      </c>
      <c r="AJ70" s="1867">
        <v>0</v>
      </c>
      <c r="AK70" s="1867">
        <v>0</v>
      </c>
      <c r="AL70" s="1867">
        <v>0</v>
      </c>
      <c r="AM70" s="1867">
        <v>0</v>
      </c>
      <c r="AN70" s="1867">
        <v>0</v>
      </c>
      <c r="AO70" s="1867">
        <v>0</v>
      </c>
      <c r="AP70" s="1867">
        <v>0</v>
      </c>
      <c r="AQ70" s="1867">
        <v>0</v>
      </c>
      <c r="AR70" s="1867">
        <v>0</v>
      </c>
      <c r="AS70" s="1867">
        <v>0</v>
      </c>
      <c r="AT70" s="1875">
        <f t="shared" si="29"/>
        <v>0</v>
      </c>
      <c r="AU70" s="1875">
        <f t="shared" si="19"/>
        <v>0</v>
      </c>
      <c r="AW70" s="317">
        <f t="shared" si="30"/>
        <v>0</v>
      </c>
      <c r="AX70" s="317">
        <f t="shared" si="31"/>
        <v>-1.5</v>
      </c>
      <c r="AY70" s="1941">
        <f t="shared" si="24"/>
        <v>-18</v>
      </c>
      <c r="AZ70" s="594">
        <f t="shared" si="32"/>
        <v>0</v>
      </c>
    </row>
    <row r="71" spans="1:52" x14ac:dyDescent="0.55000000000000004">
      <c r="A71" s="7335"/>
      <c r="B71" s="35" t="s">
        <v>174</v>
      </c>
      <c r="C71" s="36" t="s">
        <v>171</v>
      </c>
      <c r="D71" s="845">
        <v>48.58</v>
      </c>
      <c r="E71" s="845">
        <v>46.120000000000005</v>
      </c>
      <c r="F71" s="845">
        <v>35.5</v>
      </c>
      <c r="G71" s="845">
        <v>39.76</v>
      </c>
      <c r="H71" s="845">
        <v>39.160000000000004</v>
      </c>
      <c r="I71" s="845">
        <v>48.18</v>
      </c>
      <c r="J71" s="845">
        <v>36.64</v>
      </c>
      <c r="K71" s="845">
        <v>29</v>
      </c>
      <c r="L71" s="845">
        <v>26.4</v>
      </c>
      <c r="M71" s="845">
        <v>26.860000000000003</v>
      </c>
      <c r="N71" s="845">
        <v>46.35</v>
      </c>
      <c r="O71" s="845">
        <v>44.524999999999999</v>
      </c>
      <c r="P71" s="1882">
        <f t="shared" si="15"/>
        <v>44.524999999999999</v>
      </c>
      <c r="Q71" s="1882">
        <f t="shared" si="16"/>
        <v>38.922916666666659</v>
      </c>
      <c r="R71" s="1867"/>
      <c r="S71" s="1886">
        <v>39.275000000000006</v>
      </c>
      <c r="T71" s="1887">
        <v>43.525000000000006</v>
      </c>
      <c r="U71" s="1887">
        <v>42.075000000000003</v>
      </c>
      <c r="V71" s="1887">
        <v>40.700000000000003</v>
      </c>
      <c r="W71" s="1887">
        <v>60.6</v>
      </c>
      <c r="X71" s="1887">
        <v>68.974999999999994</v>
      </c>
      <c r="Y71" s="1887">
        <v>59.1</v>
      </c>
      <c r="Z71" s="1887">
        <v>43.63</v>
      </c>
      <c r="AA71" s="1887">
        <v>52.5</v>
      </c>
      <c r="AB71" s="1887">
        <v>35.5</v>
      </c>
      <c r="AC71" s="1887">
        <v>20.100000000000001</v>
      </c>
      <c r="AD71" s="1887">
        <v>36.5</v>
      </c>
      <c r="AE71" s="1882">
        <f t="shared" si="17"/>
        <v>36.5</v>
      </c>
      <c r="AF71" s="1882">
        <f t="shared" si="18"/>
        <v>45.206666666666671</v>
      </c>
      <c r="AG71" s="1867"/>
      <c r="AH71" s="1886">
        <v>46.3</v>
      </c>
      <c r="AI71" s="1887">
        <v>52.8</v>
      </c>
      <c r="AJ71" s="1887">
        <v>108.2</v>
      </c>
      <c r="AK71" s="1887">
        <v>49.271428571428565</v>
      </c>
      <c r="AL71" s="1887">
        <v>41.2</v>
      </c>
      <c r="AM71" s="1887">
        <v>44.8</v>
      </c>
      <c r="AN71" s="1887">
        <v>93.2</v>
      </c>
      <c r="AO71" s="1887">
        <v>57</v>
      </c>
      <c r="AP71" s="1887">
        <v>73.5</v>
      </c>
      <c r="AQ71" s="1887">
        <v>44.2</v>
      </c>
      <c r="AR71" s="1887">
        <v>38.299999999999997</v>
      </c>
      <c r="AS71" s="1887">
        <v>38.299999999999997</v>
      </c>
      <c r="AT71" s="1882">
        <f t="shared" si="29"/>
        <v>38.299999999999997</v>
      </c>
      <c r="AU71" s="1882">
        <f t="shared" si="19"/>
        <v>57.255952380952372</v>
      </c>
      <c r="AW71" s="317">
        <f t="shared" si="30"/>
        <v>1.7999999999999972</v>
      </c>
      <c r="AX71" s="317">
        <f t="shared" si="31"/>
        <v>12.049285714285702</v>
      </c>
      <c r="AY71" s="1941">
        <f t="shared" si="24"/>
        <v>144.59142857142842</v>
      </c>
      <c r="AZ71" s="594">
        <f t="shared" si="32"/>
        <v>0</v>
      </c>
    </row>
    <row r="72" spans="1:52" x14ac:dyDescent="0.55000000000000004">
      <c r="A72" s="7335"/>
      <c r="B72" s="35"/>
      <c r="C72" s="36" t="s">
        <v>172</v>
      </c>
      <c r="D72" s="845">
        <v>0</v>
      </c>
      <c r="E72" s="845">
        <v>0</v>
      </c>
      <c r="F72" s="845">
        <v>0</v>
      </c>
      <c r="G72" s="845">
        <v>0</v>
      </c>
      <c r="H72" s="845">
        <v>0</v>
      </c>
      <c r="I72" s="845">
        <v>0</v>
      </c>
      <c r="J72" s="845">
        <v>0</v>
      </c>
      <c r="K72" s="845">
        <v>0</v>
      </c>
      <c r="L72" s="845">
        <v>0</v>
      </c>
      <c r="M72" s="845">
        <v>0</v>
      </c>
      <c r="N72" s="845">
        <v>35.762499999999996</v>
      </c>
      <c r="O72" s="845">
        <v>30.599999999999998</v>
      </c>
      <c r="P72" s="1882">
        <f t="shared" si="15"/>
        <v>0</v>
      </c>
      <c r="Q72" s="1882">
        <f t="shared" si="16"/>
        <v>5.5302083333333334</v>
      </c>
      <c r="R72" s="1867"/>
      <c r="S72" s="1886">
        <v>23.037499999999998</v>
      </c>
      <c r="T72" s="1887">
        <v>15.824999999999999</v>
      </c>
      <c r="U72" s="1887">
        <v>24.471428571428572</v>
      </c>
      <c r="V72" s="1887">
        <v>25.42</v>
      </c>
      <c r="W72" s="1887">
        <v>38.1</v>
      </c>
      <c r="X72" s="1887">
        <v>39.160000000000004</v>
      </c>
      <c r="Y72" s="1887">
        <v>39.799999999999997</v>
      </c>
      <c r="Z72" s="1887">
        <v>26.916666666666668</v>
      </c>
      <c r="AA72" s="1887">
        <v>56.6</v>
      </c>
      <c r="AB72" s="1887">
        <v>26.7</v>
      </c>
      <c r="AC72" s="1887">
        <v>21.9</v>
      </c>
      <c r="AD72" s="1887">
        <v>22.2</v>
      </c>
      <c r="AE72" s="1882">
        <f t="shared" si="17"/>
        <v>22.2</v>
      </c>
      <c r="AF72" s="1882">
        <f t="shared" si="18"/>
        <v>30.010882936507929</v>
      </c>
      <c r="AG72" s="1867"/>
      <c r="AH72" s="1886">
        <v>34</v>
      </c>
      <c r="AI72" s="1887">
        <v>85.5</v>
      </c>
      <c r="AJ72" s="1887">
        <v>83.9</v>
      </c>
      <c r="AK72" s="1887">
        <v>69.566666666666677</v>
      </c>
      <c r="AL72" s="1887">
        <v>49.9</v>
      </c>
      <c r="AM72" s="1887">
        <v>53.5</v>
      </c>
      <c r="AN72" s="1887">
        <v>53.6</v>
      </c>
      <c r="AO72" s="1887">
        <v>28.5</v>
      </c>
      <c r="AP72" s="1887">
        <v>77.099999999999994</v>
      </c>
      <c r="AQ72" s="1887">
        <v>30.2</v>
      </c>
      <c r="AR72" s="1887">
        <v>20.9</v>
      </c>
      <c r="AS72" s="1887">
        <v>14.5</v>
      </c>
      <c r="AT72" s="1882">
        <f t="shared" si="29"/>
        <v>14.5</v>
      </c>
      <c r="AU72" s="1882">
        <f t="shared" si="19"/>
        <v>50.097222222222229</v>
      </c>
      <c r="AW72" s="317">
        <f t="shared" si="30"/>
        <v>-7.6999999999999993</v>
      </c>
      <c r="AX72" s="317">
        <f t="shared" si="31"/>
        <v>20.086339285714299</v>
      </c>
      <c r="AY72" s="1941">
        <f t="shared" si="24"/>
        <v>241.03607142857157</v>
      </c>
      <c r="AZ72" s="594">
        <f t="shared" si="32"/>
        <v>-6.3999999999999986</v>
      </c>
    </row>
    <row r="73" spans="1:52" x14ac:dyDescent="0.55000000000000004">
      <c r="A73" s="7335"/>
      <c r="B73" s="35"/>
      <c r="C73" s="36" t="s">
        <v>173</v>
      </c>
      <c r="D73" s="845">
        <v>42</v>
      </c>
      <c r="E73" s="845">
        <v>47</v>
      </c>
      <c r="F73" s="845">
        <v>47.4</v>
      </c>
      <c r="G73" s="845">
        <v>37.5</v>
      </c>
      <c r="H73" s="845">
        <v>46.199999999999996</v>
      </c>
      <c r="I73" s="845">
        <v>34.166666666666664</v>
      </c>
      <c r="J73" s="845">
        <v>32.200000000000003</v>
      </c>
      <c r="K73" s="845">
        <v>48.4</v>
      </c>
      <c r="L73" s="845">
        <v>16.850000000000001</v>
      </c>
      <c r="M73" s="845">
        <v>28.75</v>
      </c>
      <c r="N73" s="845">
        <v>1.1000000000000001</v>
      </c>
      <c r="O73" s="845">
        <v>4</v>
      </c>
      <c r="P73" s="1882">
        <f t="shared" si="15"/>
        <v>4</v>
      </c>
      <c r="Q73" s="1882">
        <f t="shared" si="16"/>
        <v>32.130555555555553</v>
      </c>
      <c r="R73" s="1867"/>
      <c r="S73" s="1886">
        <v>9.5</v>
      </c>
      <c r="T73" s="1887">
        <v>17</v>
      </c>
      <c r="U73" s="1887">
        <v>7.1</v>
      </c>
      <c r="V73" s="1887">
        <v>30.05</v>
      </c>
      <c r="W73" s="1887">
        <v>25.3</v>
      </c>
      <c r="X73" s="1887">
        <v>38.733333333333327</v>
      </c>
      <c r="Y73" s="1887">
        <v>34.299999999999997</v>
      </c>
      <c r="Z73" s="1887">
        <v>28.720000000000006</v>
      </c>
      <c r="AA73" s="1887">
        <v>41.8</v>
      </c>
      <c r="AB73" s="1887">
        <v>12.8</v>
      </c>
      <c r="AC73" s="1887">
        <v>17.3</v>
      </c>
      <c r="AD73" s="1887">
        <v>12.1</v>
      </c>
      <c r="AE73" s="1882">
        <f t="shared" si="17"/>
        <v>12.1</v>
      </c>
      <c r="AF73" s="1882">
        <f t="shared" si="18"/>
        <v>22.891944444444448</v>
      </c>
      <c r="AG73" s="1867"/>
      <c r="AH73" s="1886">
        <v>15.2</v>
      </c>
      <c r="AI73" s="1887">
        <v>31.1</v>
      </c>
      <c r="AJ73" s="1887">
        <v>38.700000000000003</v>
      </c>
      <c r="AK73" s="1887">
        <v>28.720000000000006</v>
      </c>
      <c r="AL73" s="1887">
        <v>50.8</v>
      </c>
      <c r="AM73" s="1887">
        <v>42.7</v>
      </c>
      <c r="AN73" s="1887">
        <v>60.3</v>
      </c>
      <c r="AO73" s="1887">
        <v>35.6</v>
      </c>
      <c r="AP73" s="1887">
        <v>31.4</v>
      </c>
      <c r="AQ73" s="1887">
        <v>27.1</v>
      </c>
      <c r="AR73" s="1887">
        <v>15</v>
      </c>
      <c r="AS73" s="1887">
        <v>11.2</v>
      </c>
      <c r="AT73" s="1882">
        <f t="shared" si="29"/>
        <v>11.2</v>
      </c>
      <c r="AU73" s="1882">
        <f>AVERAGE(AH73:AS73)</f>
        <v>32.318333333333335</v>
      </c>
      <c r="AW73" s="317">
        <f t="shared" si="30"/>
        <v>-0.90000000000000036</v>
      </c>
      <c r="AX73" s="317">
        <f t="shared" si="31"/>
        <v>9.4263888888888872</v>
      </c>
      <c r="AY73" s="1941">
        <f t="shared" si="24"/>
        <v>113.11666666666662</v>
      </c>
      <c r="AZ73" s="594">
        <f t="shared" si="32"/>
        <v>-3.8000000000000007</v>
      </c>
    </row>
    <row r="74" spans="1:52" x14ac:dyDescent="0.55000000000000004">
      <c r="A74" s="7335"/>
      <c r="B74" s="35"/>
      <c r="C74" s="36" t="s">
        <v>538</v>
      </c>
      <c r="D74" s="845">
        <v>11.456250000000001</v>
      </c>
      <c r="E74" s="845">
        <v>17.360000000000003</v>
      </c>
      <c r="F74" s="845">
        <v>21.87142857142857</v>
      </c>
      <c r="G74" s="845">
        <v>19.023076923076925</v>
      </c>
      <c r="H74" s="845">
        <v>20.55</v>
      </c>
      <c r="I74" s="845">
        <v>16.5</v>
      </c>
      <c r="J74" s="845">
        <v>21.056249999999999</v>
      </c>
      <c r="K74" s="845">
        <v>21.200000000000003</v>
      </c>
      <c r="L74" s="845">
        <v>12.462500000000002</v>
      </c>
      <c r="M74" s="845">
        <v>19.233333333333338</v>
      </c>
      <c r="N74" s="845">
        <v>10.983333333333334</v>
      </c>
      <c r="O74" s="845">
        <v>7.2833333333333341</v>
      </c>
      <c r="P74" s="1882">
        <f t="shared" si="15"/>
        <v>7.2833333333333341</v>
      </c>
      <c r="Q74" s="1882">
        <f t="shared" si="16"/>
        <v>16.581625457875457</v>
      </c>
      <c r="R74" s="1867"/>
      <c r="S74" s="1886">
        <v>6</v>
      </c>
      <c r="T74" s="1887">
        <v>11</v>
      </c>
      <c r="U74" s="1887">
        <v>20.433333333333334</v>
      </c>
      <c r="V74" s="1887">
        <v>7.6818181818181817</v>
      </c>
      <c r="W74" s="1887">
        <v>11.8</v>
      </c>
      <c r="X74" s="1887">
        <v>21.516666666666666</v>
      </c>
      <c r="Y74" s="1887">
        <v>9</v>
      </c>
      <c r="Z74" s="1887">
        <v>15.063636363636364</v>
      </c>
      <c r="AA74" s="1887">
        <v>6</v>
      </c>
      <c r="AB74" s="1887">
        <v>9.1999999999999993</v>
      </c>
      <c r="AC74" s="1887">
        <v>18.5</v>
      </c>
      <c r="AD74" s="1887">
        <v>6.7</v>
      </c>
      <c r="AE74" s="1882">
        <f t="shared" si="17"/>
        <v>6.7</v>
      </c>
      <c r="AF74" s="1882">
        <f t="shared" si="18"/>
        <v>11.907954545454544</v>
      </c>
      <c r="AG74" s="1867"/>
      <c r="AH74" s="1886">
        <v>12.2</v>
      </c>
      <c r="AI74" s="1887">
        <v>14.6</v>
      </c>
      <c r="AJ74" s="1887">
        <v>14.1</v>
      </c>
      <c r="AK74" s="1887">
        <v>6.3482758620689665</v>
      </c>
      <c r="AL74" s="1887">
        <v>7.8</v>
      </c>
      <c r="AM74" s="1887">
        <v>24</v>
      </c>
      <c r="AN74" s="1887">
        <v>38.4</v>
      </c>
      <c r="AO74" s="1887">
        <v>25.5</v>
      </c>
      <c r="AP74" s="1887">
        <v>22.4</v>
      </c>
      <c r="AQ74" s="1887">
        <v>3.6</v>
      </c>
      <c r="AR74" s="1887">
        <v>3</v>
      </c>
      <c r="AS74" s="1887">
        <v>11.5</v>
      </c>
      <c r="AT74" s="1882">
        <f t="shared" si="29"/>
        <v>11.5</v>
      </c>
      <c r="AU74" s="1882">
        <f t="shared" si="19"/>
        <v>15.287356321839079</v>
      </c>
      <c r="AW74" s="317">
        <f t="shared" si="30"/>
        <v>4.8</v>
      </c>
      <c r="AX74" s="317">
        <f t="shared" si="31"/>
        <v>3.379401776384535</v>
      </c>
      <c r="AY74" s="1941">
        <f t="shared" si="24"/>
        <v>40.552821316614427</v>
      </c>
      <c r="AZ74" s="594">
        <f t="shared" si="32"/>
        <v>8.5</v>
      </c>
    </row>
    <row r="75" spans="1:52" ht="18" thickBot="1" x14ac:dyDescent="0.6">
      <c r="A75" s="7338"/>
      <c r="B75" s="69"/>
      <c r="C75" s="70" t="s">
        <v>539</v>
      </c>
      <c r="D75" s="870">
        <v>18.619999999999997</v>
      </c>
      <c r="E75" s="871">
        <v>29.833333333333332</v>
      </c>
      <c r="F75" s="871">
        <v>28.866666666666664</v>
      </c>
      <c r="G75" s="871">
        <v>20.228571428571428</v>
      </c>
      <c r="H75" s="871">
        <v>25.185714285714287</v>
      </c>
      <c r="I75" s="871">
        <v>30.728571428571428</v>
      </c>
      <c r="J75" s="871">
        <v>27.528571428571428</v>
      </c>
      <c r="K75" s="871">
        <v>31.328571428571429</v>
      </c>
      <c r="L75" s="871">
        <v>25.099999999999998</v>
      </c>
      <c r="M75" s="871">
        <v>26.614285714285717</v>
      </c>
      <c r="N75" s="871">
        <v>30.25714285714286</v>
      </c>
      <c r="O75" s="872">
        <v>30.100000000000005</v>
      </c>
      <c r="P75" s="1901">
        <f t="shared" si="15"/>
        <v>30.100000000000005</v>
      </c>
      <c r="Q75" s="1901">
        <f t="shared" si="16"/>
        <v>27.03261904761905</v>
      </c>
      <c r="R75" s="1867"/>
      <c r="S75" s="1889">
        <v>29.316666666666666</v>
      </c>
      <c r="T75" s="1890">
        <v>29.95</v>
      </c>
      <c r="U75" s="1890">
        <v>29.833333333333332</v>
      </c>
      <c r="V75" s="1890">
        <v>0</v>
      </c>
      <c r="W75" s="1890">
        <v>0</v>
      </c>
      <c r="X75" s="1890">
        <v>0</v>
      </c>
      <c r="Y75" s="1890">
        <v>0</v>
      </c>
      <c r="Z75" s="1890">
        <v>0</v>
      </c>
      <c r="AA75" s="1890">
        <v>0</v>
      </c>
      <c r="AB75" s="1890">
        <v>0</v>
      </c>
      <c r="AC75" s="1890">
        <v>0</v>
      </c>
      <c r="AD75" s="1891">
        <v>0</v>
      </c>
      <c r="AE75" s="1901">
        <f t="shared" si="17"/>
        <v>0</v>
      </c>
      <c r="AF75" s="1901">
        <f t="shared" si="18"/>
        <v>7.4249999999999998</v>
      </c>
      <c r="AG75" s="1867"/>
      <c r="AH75" s="1889">
        <v>0</v>
      </c>
      <c r="AI75" s="1890">
        <v>0</v>
      </c>
      <c r="AJ75" s="1890">
        <v>0</v>
      </c>
      <c r="AK75" s="1890">
        <v>0</v>
      </c>
      <c r="AL75" s="1890">
        <v>0</v>
      </c>
      <c r="AM75" s="1890">
        <v>0</v>
      </c>
      <c r="AN75" s="1890">
        <v>0</v>
      </c>
      <c r="AO75" s="1890">
        <v>0</v>
      </c>
      <c r="AP75" s="1890">
        <v>0</v>
      </c>
      <c r="AQ75" s="1890">
        <v>0</v>
      </c>
      <c r="AR75" s="1890">
        <v>0</v>
      </c>
      <c r="AS75" s="1891">
        <v>0</v>
      </c>
      <c r="AT75" s="1901">
        <f t="shared" si="29"/>
        <v>0</v>
      </c>
      <c r="AU75" s="1901">
        <f t="shared" si="19"/>
        <v>0</v>
      </c>
      <c r="AW75" s="317">
        <f t="shared" si="30"/>
        <v>0</v>
      </c>
      <c r="AX75" s="317">
        <f t="shared" si="31"/>
        <v>-7.4249999999999998</v>
      </c>
      <c r="AY75" s="1941">
        <f t="shared" si="24"/>
        <v>-89.1</v>
      </c>
      <c r="AZ75" s="594">
        <f t="shared" si="32"/>
        <v>0</v>
      </c>
    </row>
    <row r="76" spans="1:52" ht="18" thickBot="1" x14ac:dyDescent="0.6">
      <c r="A76" s="1"/>
      <c r="B76" s="1"/>
      <c r="C76" s="1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902"/>
      <c r="Q76" s="1902"/>
      <c r="R76" s="1867"/>
      <c r="S76" s="1894"/>
      <c r="T76" s="1867"/>
      <c r="U76" s="1867"/>
      <c r="V76" s="1867"/>
      <c r="W76" s="1867"/>
      <c r="X76" s="1867"/>
      <c r="Y76" s="1867"/>
      <c r="Z76" s="1867"/>
      <c r="AA76" s="1867"/>
      <c r="AB76" s="1867"/>
      <c r="AC76" s="1867"/>
      <c r="AD76" s="1867"/>
      <c r="AE76" s="1894"/>
      <c r="AF76" s="1894"/>
      <c r="AG76" s="1867"/>
      <c r="AH76" s="1894"/>
      <c r="AI76" s="1867"/>
      <c r="AJ76" s="1867"/>
      <c r="AK76" s="1867"/>
      <c r="AL76" s="1867"/>
      <c r="AM76" s="1867"/>
      <c r="AN76" s="1867"/>
      <c r="AO76" s="1867"/>
      <c r="AP76" s="1867"/>
      <c r="AQ76" s="1867"/>
      <c r="AR76" s="1867"/>
      <c r="AS76" s="1867"/>
      <c r="AT76" s="1894"/>
      <c r="AU76" s="1894"/>
      <c r="AZ76" s="594">
        <f t="shared" si="32"/>
        <v>0</v>
      </c>
    </row>
    <row r="77" spans="1:52" x14ac:dyDescent="0.55000000000000004">
      <c r="A77" s="7322" t="s">
        <v>93</v>
      </c>
      <c r="B77" s="31" t="s">
        <v>1043</v>
      </c>
      <c r="C77" s="32"/>
      <c r="D77" s="886">
        <v>727</v>
      </c>
      <c r="E77" s="887">
        <v>1370</v>
      </c>
      <c r="F77" s="887">
        <v>588</v>
      </c>
      <c r="G77" s="887">
        <v>636</v>
      </c>
      <c r="H77" s="887">
        <v>779</v>
      </c>
      <c r="I77" s="887">
        <v>442</v>
      </c>
      <c r="J77" s="887">
        <v>390</v>
      </c>
      <c r="K77" s="887">
        <v>639</v>
      </c>
      <c r="L77" s="887">
        <v>238</v>
      </c>
      <c r="M77" s="887">
        <v>545</v>
      </c>
      <c r="N77" s="887">
        <v>249</v>
      </c>
      <c r="O77" s="888">
        <v>167</v>
      </c>
      <c r="P77" s="1903">
        <f>SUM(D77:O77)</f>
        <v>6770</v>
      </c>
      <c r="Q77" s="1903">
        <f>AVERAGE(D77:O77)</f>
        <v>564.16666666666663</v>
      </c>
      <c r="R77" s="1867"/>
      <c r="S77" s="1904">
        <v>318</v>
      </c>
      <c r="T77" s="1905">
        <v>183</v>
      </c>
      <c r="U77" s="1905">
        <v>261</v>
      </c>
      <c r="V77" s="1905">
        <v>242</v>
      </c>
      <c r="W77" s="1905">
        <v>330</v>
      </c>
      <c r="X77" s="1905">
        <v>206</v>
      </c>
      <c r="Y77" s="1905">
        <v>690</v>
      </c>
      <c r="Z77" s="1905">
        <v>217</v>
      </c>
      <c r="AA77" s="1905">
        <v>261</v>
      </c>
      <c r="AB77" s="1905">
        <v>226</v>
      </c>
      <c r="AC77" s="1905">
        <v>147</v>
      </c>
      <c r="AD77" s="1906">
        <v>111</v>
      </c>
      <c r="AE77" s="1903">
        <f t="shared" ref="AE77:AE113" si="33">SUM(S77:AD77)</f>
        <v>3192</v>
      </c>
      <c r="AF77" s="1903">
        <f>AVERAGE(S77:X77)</f>
        <v>256.66666666666669</v>
      </c>
      <c r="AG77" s="1867"/>
      <c r="AH77" s="1904">
        <v>154</v>
      </c>
      <c r="AI77" s="1905">
        <v>399</v>
      </c>
      <c r="AJ77" s="1905">
        <v>169</v>
      </c>
      <c r="AK77" s="1905">
        <v>287</v>
      </c>
      <c r="AL77" s="1905">
        <v>431</v>
      </c>
      <c r="AM77" s="1905">
        <v>191</v>
      </c>
      <c r="AN77" s="1905">
        <v>638</v>
      </c>
      <c r="AO77" s="1905">
        <v>196</v>
      </c>
      <c r="AP77" s="1905">
        <v>309</v>
      </c>
      <c r="AQ77" s="1905">
        <v>259</v>
      </c>
      <c r="AR77" s="1905">
        <v>194</v>
      </c>
      <c r="AS77" s="1906">
        <v>103</v>
      </c>
      <c r="AT77" s="1903">
        <f t="shared" ref="AT77:AT87" si="34">SUM(AH77:AS77)</f>
        <v>3330</v>
      </c>
      <c r="AU77" s="1903">
        <f>AVERAGE(AH77:AS77)</f>
        <v>277.5</v>
      </c>
      <c r="AV77" s="751">
        <f>AU77/AVERAGE(S77:AA77)</f>
        <v>0.92226735598227472</v>
      </c>
      <c r="AW77" s="317">
        <f t="shared" si="30"/>
        <v>-8</v>
      </c>
      <c r="AX77" s="317">
        <f t="shared" ref="AX77:AX87" si="35">AU77-AF77</f>
        <v>20.833333333333314</v>
      </c>
      <c r="AY77" s="1941">
        <f t="shared" ref="AY77:AY87" si="36">SUM(AH77:AS77)-SUM(S77:AD77)</f>
        <v>138</v>
      </c>
      <c r="AZ77" s="594">
        <f t="shared" si="32"/>
        <v>-91</v>
      </c>
    </row>
    <row r="78" spans="1:52" x14ac:dyDescent="0.55000000000000004">
      <c r="A78" s="7323"/>
      <c r="B78" s="8" t="s">
        <v>777</v>
      </c>
      <c r="C78" s="19"/>
      <c r="D78" s="171">
        <v>561</v>
      </c>
      <c r="E78" s="171">
        <v>1124</v>
      </c>
      <c r="F78" s="171">
        <v>570</v>
      </c>
      <c r="G78" s="171">
        <v>499</v>
      </c>
      <c r="H78" s="171">
        <v>589</v>
      </c>
      <c r="I78" s="171">
        <v>256</v>
      </c>
      <c r="J78" s="171">
        <v>220</v>
      </c>
      <c r="K78" s="171">
        <v>501</v>
      </c>
      <c r="L78" s="171">
        <v>131</v>
      </c>
      <c r="M78" s="171">
        <v>403</v>
      </c>
      <c r="N78" s="171">
        <v>136</v>
      </c>
      <c r="O78" s="171">
        <v>68</v>
      </c>
      <c r="P78" s="1875">
        <v>5058</v>
      </c>
      <c r="Q78" s="1875">
        <v>421.5</v>
      </c>
      <c r="R78" s="1867"/>
      <c r="S78" s="1876">
        <v>115</v>
      </c>
      <c r="T78" s="1894">
        <v>139</v>
      </c>
      <c r="U78" s="1894">
        <v>209</v>
      </c>
      <c r="V78" s="1894">
        <v>181</v>
      </c>
      <c r="W78" s="1894">
        <v>274</v>
      </c>
      <c r="X78" s="1894">
        <v>170</v>
      </c>
      <c r="Y78" s="1894">
        <v>649</v>
      </c>
      <c r="Z78" s="1894">
        <v>171</v>
      </c>
      <c r="AA78" s="1894">
        <v>211</v>
      </c>
      <c r="AB78" s="1894">
        <v>171</v>
      </c>
      <c r="AC78" s="1894">
        <v>126</v>
      </c>
      <c r="AD78" s="1894">
        <v>92</v>
      </c>
      <c r="AE78" s="1875">
        <v>2508</v>
      </c>
      <c r="AF78" s="1875">
        <v>181.33333333333334</v>
      </c>
      <c r="AG78" s="1867"/>
      <c r="AH78" s="1876">
        <v>111</v>
      </c>
      <c r="AI78" s="1894">
        <v>343</v>
      </c>
      <c r="AJ78" s="1867">
        <v>117</v>
      </c>
      <c r="AK78" s="1894">
        <v>122</v>
      </c>
      <c r="AL78" s="1894">
        <v>172</v>
      </c>
      <c r="AM78" s="1867">
        <v>123</v>
      </c>
      <c r="AN78" s="1894">
        <v>276</v>
      </c>
      <c r="AO78" s="1867">
        <v>99</v>
      </c>
      <c r="AP78" s="1894">
        <v>200</v>
      </c>
      <c r="AQ78" s="1894">
        <v>186</v>
      </c>
      <c r="AR78" s="1894">
        <v>131</v>
      </c>
      <c r="AS78" s="1894">
        <v>74</v>
      </c>
      <c r="AT78" s="1875">
        <f t="shared" si="34"/>
        <v>1954</v>
      </c>
      <c r="AU78" s="1875">
        <f t="shared" ref="AU78:AU87" si="37">AVERAGE(AH78:AS78)</f>
        <v>162.83333333333334</v>
      </c>
      <c r="AW78" s="317">
        <f t="shared" si="30"/>
        <v>-18</v>
      </c>
      <c r="AX78" s="317">
        <f t="shared" si="35"/>
        <v>-18.5</v>
      </c>
      <c r="AY78" s="1941">
        <f t="shared" si="36"/>
        <v>-554</v>
      </c>
      <c r="AZ78" s="594">
        <f t="shared" si="32"/>
        <v>-57</v>
      </c>
    </row>
    <row r="79" spans="1:52" x14ac:dyDescent="0.55000000000000004">
      <c r="A79" s="7323"/>
      <c r="B79" s="8" t="s">
        <v>164</v>
      </c>
      <c r="C79" s="19"/>
      <c r="D79" s="170">
        <v>504</v>
      </c>
      <c r="E79" s="170">
        <v>648</v>
      </c>
      <c r="F79" s="170">
        <v>734</v>
      </c>
      <c r="G79" s="170">
        <v>726</v>
      </c>
      <c r="H79" s="170">
        <v>831</v>
      </c>
      <c r="I79" s="170">
        <v>801</v>
      </c>
      <c r="J79" s="170">
        <v>715</v>
      </c>
      <c r="K79" s="170">
        <v>688</v>
      </c>
      <c r="L79" s="170">
        <v>679</v>
      </c>
      <c r="M79" s="170">
        <v>643</v>
      </c>
      <c r="N79" s="170">
        <v>747</v>
      </c>
      <c r="O79" s="170">
        <v>703</v>
      </c>
      <c r="P79" s="1875">
        <f>SUM(D79:O79)</f>
        <v>8419</v>
      </c>
      <c r="Q79" s="1875">
        <f t="shared" ref="Q79:Q113" si="38">AVERAGE(D79:O79)</f>
        <v>701.58333333333337</v>
      </c>
      <c r="R79" s="1867"/>
      <c r="S79" s="1876">
        <v>774</v>
      </c>
      <c r="T79" s="1867">
        <v>624</v>
      </c>
      <c r="U79" s="1867">
        <v>731</v>
      </c>
      <c r="V79" s="1867">
        <v>672</v>
      </c>
      <c r="W79" s="1867">
        <v>727</v>
      </c>
      <c r="X79" s="1867">
        <v>945</v>
      </c>
      <c r="Y79" s="1867">
        <v>851</v>
      </c>
      <c r="Z79" s="1867">
        <v>711</v>
      </c>
      <c r="AA79" s="1867">
        <v>892</v>
      </c>
      <c r="AB79" s="1867">
        <v>808</v>
      </c>
      <c r="AC79" s="1867">
        <v>582</v>
      </c>
      <c r="AD79" s="1867">
        <v>533</v>
      </c>
      <c r="AE79" s="1875">
        <f t="shared" si="33"/>
        <v>8850</v>
      </c>
      <c r="AF79" s="1875">
        <f t="shared" ref="AF79:AF87" si="39">AVERAGE(S79:X79)</f>
        <v>745.5</v>
      </c>
      <c r="AG79" s="1867"/>
      <c r="AH79" s="1876">
        <v>551</v>
      </c>
      <c r="AI79" s="1867">
        <v>529</v>
      </c>
      <c r="AJ79" s="1867">
        <v>775</v>
      </c>
      <c r="AK79" s="1867">
        <v>791</v>
      </c>
      <c r="AL79" s="1867">
        <v>958</v>
      </c>
      <c r="AM79" s="1867">
        <v>807</v>
      </c>
      <c r="AN79" s="1867">
        <v>1071</v>
      </c>
      <c r="AO79" s="1867">
        <v>830</v>
      </c>
      <c r="AP79" s="1867">
        <v>887</v>
      </c>
      <c r="AQ79" s="1867">
        <v>578</v>
      </c>
      <c r="AR79" s="1867">
        <v>487</v>
      </c>
      <c r="AS79" s="1867">
        <v>381</v>
      </c>
      <c r="AT79" s="1875">
        <f t="shared" si="34"/>
        <v>8645</v>
      </c>
      <c r="AU79" s="1875">
        <f t="shared" si="37"/>
        <v>720.41666666666663</v>
      </c>
      <c r="AV79" s="751">
        <f>AU79/AVERAGE(S79:AA79)</f>
        <v>0.93601126028583803</v>
      </c>
      <c r="AW79" s="317">
        <f t="shared" si="30"/>
        <v>-152</v>
      </c>
      <c r="AX79" s="317">
        <f t="shared" si="35"/>
        <v>-25.083333333333371</v>
      </c>
      <c r="AY79" s="1941">
        <f t="shared" si="36"/>
        <v>-205</v>
      </c>
      <c r="AZ79" s="594">
        <f t="shared" si="32"/>
        <v>-106</v>
      </c>
    </row>
    <row r="80" spans="1:52" x14ac:dyDescent="0.55000000000000004">
      <c r="A80" s="7323"/>
      <c r="B80" s="8" t="s">
        <v>165</v>
      </c>
      <c r="C80" s="19"/>
      <c r="D80" s="170">
        <f>SUM(D81:D82)</f>
        <v>546</v>
      </c>
      <c r="E80" s="170">
        <f t="shared" ref="E80:O80" si="40">SUM(E81:E82)</f>
        <v>786</v>
      </c>
      <c r="F80" s="170">
        <f t="shared" si="40"/>
        <v>876</v>
      </c>
      <c r="G80" s="170">
        <f t="shared" si="40"/>
        <v>897</v>
      </c>
      <c r="H80" s="170">
        <f t="shared" si="40"/>
        <v>1358</v>
      </c>
      <c r="I80" s="170">
        <f t="shared" si="40"/>
        <v>1186</v>
      </c>
      <c r="J80" s="170">
        <f t="shared" si="40"/>
        <v>840</v>
      </c>
      <c r="K80" s="170">
        <f t="shared" si="40"/>
        <v>1020</v>
      </c>
      <c r="L80" s="170">
        <f t="shared" si="40"/>
        <v>789</v>
      </c>
      <c r="M80" s="171">
        <f t="shared" si="40"/>
        <v>580</v>
      </c>
      <c r="N80" s="170">
        <f t="shared" si="40"/>
        <v>685</v>
      </c>
      <c r="O80" s="170">
        <f t="shared" si="40"/>
        <v>771</v>
      </c>
      <c r="P80" s="1875">
        <f t="shared" ref="P80:P86" si="41">SUM(D80:O80)</f>
        <v>10334</v>
      </c>
      <c r="Q80" s="1875">
        <f t="shared" si="38"/>
        <v>861.16666666666663</v>
      </c>
      <c r="R80" s="1867"/>
      <c r="S80" s="1876">
        <f>SUM(S81:S82)</f>
        <v>609</v>
      </c>
      <c r="T80" s="1867">
        <f t="shared" ref="T80:AB80" si="42">SUM(T81:T82)</f>
        <v>499</v>
      </c>
      <c r="U80" s="1867">
        <f t="shared" si="42"/>
        <v>572</v>
      </c>
      <c r="V80" s="1867">
        <f t="shared" si="42"/>
        <v>741</v>
      </c>
      <c r="W80" s="1867">
        <f t="shared" si="42"/>
        <v>865</v>
      </c>
      <c r="X80" s="1867">
        <f t="shared" si="42"/>
        <v>1247</v>
      </c>
      <c r="Y80" s="1867">
        <f t="shared" si="42"/>
        <v>1115</v>
      </c>
      <c r="Z80" s="1867">
        <f t="shared" si="42"/>
        <v>1100</v>
      </c>
      <c r="AA80" s="1867">
        <f t="shared" si="42"/>
        <v>1082</v>
      </c>
      <c r="AB80" s="1867">
        <f t="shared" si="42"/>
        <v>877</v>
      </c>
      <c r="AC80" s="1867">
        <v>588</v>
      </c>
      <c r="AD80" s="1867">
        <v>664</v>
      </c>
      <c r="AE80" s="1875">
        <f t="shared" si="33"/>
        <v>9959</v>
      </c>
      <c r="AF80" s="1875">
        <f t="shared" si="39"/>
        <v>755.5</v>
      </c>
      <c r="AG80" s="1867"/>
      <c r="AH80" s="1876">
        <v>592</v>
      </c>
      <c r="AI80" s="1867">
        <v>662</v>
      </c>
      <c r="AJ80" s="1867">
        <v>750</v>
      </c>
      <c r="AK80" s="1867">
        <v>845</v>
      </c>
      <c r="AL80" s="1867">
        <v>731</v>
      </c>
      <c r="AM80" s="1867">
        <v>987</v>
      </c>
      <c r="AN80" s="1867">
        <v>1307</v>
      </c>
      <c r="AO80" s="1867">
        <v>1446</v>
      </c>
      <c r="AP80" s="1867">
        <v>1370</v>
      </c>
      <c r="AQ80" s="1867">
        <v>1339</v>
      </c>
      <c r="AR80" s="1867">
        <v>826</v>
      </c>
      <c r="AS80" s="1867">
        <v>505</v>
      </c>
      <c r="AT80" s="1875">
        <f t="shared" si="34"/>
        <v>11360</v>
      </c>
      <c r="AU80" s="1875">
        <f t="shared" si="37"/>
        <v>946.66666666666663</v>
      </c>
      <c r="AW80" s="317">
        <f t="shared" si="30"/>
        <v>-159</v>
      </c>
      <c r="AX80" s="317">
        <f t="shared" si="35"/>
        <v>191.16666666666663</v>
      </c>
      <c r="AY80" s="1941">
        <f t="shared" si="36"/>
        <v>1401</v>
      </c>
      <c r="AZ80" s="594">
        <f t="shared" si="32"/>
        <v>-321</v>
      </c>
    </row>
    <row r="81" spans="1:52" x14ac:dyDescent="0.55000000000000004">
      <c r="A81" s="7323"/>
      <c r="B81" s="8"/>
      <c r="C81" s="468" t="s">
        <v>541</v>
      </c>
      <c r="D81" s="170">
        <v>282</v>
      </c>
      <c r="E81" s="170">
        <v>335</v>
      </c>
      <c r="F81" s="170">
        <v>376</v>
      </c>
      <c r="G81" s="170">
        <v>408</v>
      </c>
      <c r="H81" s="170">
        <v>464</v>
      </c>
      <c r="I81" s="170">
        <v>393</v>
      </c>
      <c r="J81" s="170">
        <v>300</v>
      </c>
      <c r="K81" s="170">
        <v>285</v>
      </c>
      <c r="L81" s="170">
        <v>301</v>
      </c>
      <c r="M81" s="170">
        <v>288</v>
      </c>
      <c r="N81" s="170">
        <v>287</v>
      </c>
      <c r="O81" s="170">
        <v>0</v>
      </c>
      <c r="P81" s="1907">
        <f t="shared" si="41"/>
        <v>3719</v>
      </c>
      <c r="Q81" s="1907">
        <f t="shared" si="38"/>
        <v>309.91666666666669</v>
      </c>
      <c r="R81" s="1867"/>
      <c r="S81" s="1876">
        <v>243</v>
      </c>
      <c r="T81" s="1867">
        <v>248</v>
      </c>
      <c r="U81" s="1867">
        <v>272</v>
      </c>
      <c r="V81" s="1867">
        <v>230</v>
      </c>
      <c r="W81" s="1867">
        <v>292</v>
      </c>
      <c r="X81" s="1867">
        <v>453</v>
      </c>
      <c r="Y81" s="1867">
        <v>422</v>
      </c>
      <c r="Z81" s="1867">
        <v>754</v>
      </c>
      <c r="AA81" s="1867">
        <v>489</v>
      </c>
      <c r="AB81" s="1867">
        <v>460</v>
      </c>
      <c r="AC81" s="1867">
        <v>383</v>
      </c>
      <c r="AD81" s="1867">
        <v>265</v>
      </c>
      <c r="AE81" s="1907">
        <f t="shared" si="33"/>
        <v>4511</v>
      </c>
      <c r="AF81" s="1907">
        <f t="shared" si="39"/>
        <v>289.66666666666669</v>
      </c>
      <c r="AG81" s="1867"/>
      <c r="AH81" s="1876">
        <v>276</v>
      </c>
      <c r="AI81" s="1867">
        <v>282</v>
      </c>
      <c r="AJ81" s="1867">
        <v>347</v>
      </c>
      <c r="AK81" s="1867">
        <v>403</v>
      </c>
      <c r="AL81" s="1867">
        <v>527</v>
      </c>
      <c r="AM81" s="1867">
        <v>356</v>
      </c>
      <c r="AN81" s="1867">
        <v>648</v>
      </c>
      <c r="AO81" s="1867">
        <v>349</v>
      </c>
      <c r="AP81" s="1867">
        <v>373</v>
      </c>
      <c r="AQ81" s="1867">
        <v>191</v>
      </c>
      <c r="AR81" s="1867">
        <v>161</v>
      </c>
      <c r="AS81" s="1867">
        <v>128</v>
      </c>
      <c r="AT81" s="1907">
        <f t="shared" si="34"/>
        <v>4041</v>
      </c>
      <c r="AU81" s="1907">
        <f t="shared" si="37"/>
        <v>336.75</v>
      </c>
      <c r="AW81" s="317">
        <f t="shared" si="30"/>
        <v>-137</v>
      </c>
      <c r="AX81" s="317">
        <f t="shared" si="35"/>
        <v>47.083333333333314</v>
      </c>
      <c r="AY81" s="1941">
        <f t="shared" si="36"/>
        <v>-470</v>
      </c>
      <c r="AZ81" s="594">
        <f t="shared" si="32"/>
        <v>-33</v>
      </c>
    </row>
    <row r="82" spans="1:52" x14ac:dyDescent="0.55000000000000004">
      <c r="A82" s="7323"/>
      <c r="B82" s="8"/>
      <c r="C82" s="468" t="s">
        <v>542</v>
      </c>
      <c r="D82" s="170">
        <v>264</v>
      </c>
      <c r="E82" s="170">
        <v>451</v>
      </c>
      <c r="F82" s="170">
        <v>500</v>
      </c>
      <c r="G82" s="170">
        <v>489</v>
      </c>
      <c r="H82" s="170">
        <v>894</v>
      </c>
      <c r="I82" s="170">
        <v>793</v>
      </c>
      <c r="J82" s="170">
        <v>540</v>
      </c>
      <c r="K82" s="170">
        <v>735</v>
      </c>
      <c r="L82" s="170">
        <v>488</v>
      </c>
      <c r="M82" s="170">
        <v>292</v>
      </c>
      <c r="N82" s="170">
        <v>398</v>
      </c>
      <c r="O82" s="170">
        <v>771</v>
      </c>
      <c r="P82" s="1907">
        <f t="shared" si="41"/>
        <v>6615</v>
      </c>
      <c r="Q82" s="1907">
        <f t="shared" si="38"/>
        <v>551.25</v>
      </c>
      <c r="R82" s="1867"/>
      <c r="S82" s="1876">
        <v>366</v>
      </c>
      <c r="T82" s="1867">
        <v>251</v>
      </c>
      <c r="U82" s="1867">
        <v>300</v>
      </c>
      <c r="V82" s="1867">
        <v>511</v>
      </c>
      <c r="W82" s="1867">
        <v>573</v>
      </c>
      <c r="X82" s="1867">
        <v>794</v>
      </c>
      <c r="Y82" s="1867">
        <v>693</v>
      </c>
      <c r="Z82" s="1867">
        <v>346</v>
      </c>
      <c r="AA82" s="1867">
        <v>593</v>
      </c>
      <c r="AB82" s="1867">
        <v>417</v>
      </c>
      <c r="AC82" s="1867">
        <v>205</v>
      </c>
      <c r="AD82" s="1867">
        <v>399</v>
      </c>
      <c r="AE82" s="1907">
        <f t="shared" si="33"/>
        <v>5448</v>
      </c>
      <c r="AF82" s="1907">
        <f t="shared" si="39"/>
        <v>465.83333333333331</v>
      </c>
      <c r="AG82" s="1867"/>
      <c r="AH82" s="1876">
        <v>316</v>
      </c>
      <c r="AI82" s="1867">
        <v>380</v>
      </c>
      <c r="AJ82" s="1867">
        <v>403</v>
      </c>
      <c r="AK82" s="1867">
        <v>442</v>
      </c>
      <c r="AL82" s="1867">
        <v>204</v>
      </c>
      <c r="AM82" s="1867">
        <v>631</v>
      </c>
      <c r="AN82" s="1867">
        <v>659</v>
      </c>
      <c r="AO82" s="1867">
        <v>1097</v>
      </c>
      <c r="AP82" s="1867">
        <v>997</v>
      </c>
      <c r="AQ82" s="1867">
        <v>1148</v>
      </c>
      <c r="AR82" s="1867">
        <v>665</v>
      </c>
      <c r="AS82" s="1867">
        <v>377</v>
      </c>
      <c r="AT82" s="1907">
        <f t="shared" si="34"/>
        <v>7319</v>
      </c>
      <c r="AU82" s="1907">
        <f t="shared" si="37"/>
        <v>609.91666666666663</v>
      </c>
      <c r="AW82" s="317">
        <f t="shared" si="30"/>
        <v>-22</v>
      </c>
      <c r="AX82" s="317">
        <f t="shared" si="35"/>
        <v>144.08333333333331</v>
      </c>
      <c r="AY82" s="1941">
        <f t="shared" si="36"/>
        <v>1871</v>
      </c>
      <c r="AZ82" s="594">
        <f t="shared" si="32"/>
        <v>-288</v>
      </c>
    </row>
    <row r="83" spans="1:52" x14ac:dyDescent="0.55000000000000004">
      <c r="A83" s="7323"/>
      <c r="B83" s="67" t="s">
        <v>166</v>
      </c>
      <c r="C83" s="68"/>
      <c r="D83" s="859"/>
      <c r="E83" s="860"/>
      <c r="F83" s="860"/>
      <c r="G83" s="860"/>
      <c r="H83" s="860"/>
      <c r="I83" s="860"/>
      <c r="J83" s="860"/>
      <c r="K83" s="860"/>
      <c r="L83" s="860"/>
      <c r="M83" s="860"/>
      <c r="N83" s="860"/>
      <c r="O83" s="861"/>
      <c r="P83" s="1908">
        <f t="shared" si="41"/>
        <v>0</v>
      </c>
      <c r="Q83" s="1908"/>
      <c r="R83" s="1867"/>
      <c r="S83" s="1909">
        <v>37</v>
      </c>
      <c r="T83" s="1910">
        <v>57</v>
      </c>
      <c r="U83" s="1910">
        <v>120</v>
      </c>
      <c r="V83" s="1910">
        <v>111</v>
      </c>
      <c r="W83" s="1910">
        <v>111</v>
      </c>
      <c r="X83" s="1910">
        <v>116</v>
      </c>
      <c r="Y83" s="1910">
        <v>170</v>
      </c>
      <c r="Z83" s="1910">
        <v>92</v>
      </c>
      <c r="AA83" s="1910">
        <v>51</v>
      </c>
      <c r="AB83" s="1910">
        <v>52</v>
      </c>
      <c r="AC83" s="1910">
        <v>39</v>
      </c>
      <c r="AD83" s="1911">
        <v>29</v>
      </c>
      <c r="AE83" s="1908">
        <f t="shared" si="33"/>
        <v>985</v>
      </c>
      <c r="AF83" s="1908">
        <f t="shared" si="39"/>
        <v>92</v>
      </c>
      <c r="AG83" s="1867"/>
      <c r="AH83" s="1909">
        <v>28</v>
      </c>
      <c r="AI83" s="1910">
        <v>93</v>
      </c>
      <c r="AJ83" s="1910">
        <v>84</v>
      </c>
      <c r="AK83" s="1910">
        <v>87</v>
      </c>
      <c r="AL83" s="1910">
        <v>147</v>
      </c>
      <c r="AM83" s="1910">
        <v>83</v>
      </c>
      <c r="AN83" s="1910">
        <v>261</v>
      </c>
      <c r="AO83" s="1910">
        <v>80</v>
      </c>
      <c r="AP83" s="1910">
        <v>94</v>
      </c>
      <c r="AQ83" s="1910">
        <v>101</v>
      </c>
      <c r="AR83" s="1910">
        <v>65</v>
      </c>
      <c r="AS83" s="1911">
        <v>24</v>
      </c>
      <c r="AT83" s="1908">
        <f t="shared" si="34"/>
        <v>1147</v>
      </c>
      <c r="AU83" s="1908">
        <f t="shared" si="37"/>
        <v>95.583333333333329</v>
      </c>
      <c r="AW83" s="317">
        <f t="shared" si="30"/>
        <v>-5</v>
      </c>
      <c r="AX83" s="317">
        <f t="shared" si="35"/>
        <v>3.5833333333333286</v>
      </c>
      <c r="AY83" s="1941">
        <f t="shared" si="36"/>
        <v>162</v>
      </c>
      <c r="AZ83" s="594">
        <f t="shared" si="32"/>
        <v>-41</v>
      </c>
    </row>
    <row r="84" spans="1:52" x14ac:dyDescent="0.55000000000000004">
      <c r="A84" s="7323"/>
      <c r="B84" s="8" t="s">
        <v>957</v>
      </c>
      <c r="C84" s="19"/>
      <c r="D84" s="170">
        <v>0</v>
      </c>
      <c r="E84" s="170">
        <v>0</v>
      </c>
      <c r="F84" s="170">
        <v>5</v>
      </c>
      <c r="G84" s="170">
        <v>2</v>
      </c>
      <c r="H84" s="170">
        <v>10</v>
      </c>
      <c r="I84" s="170">
        <v>15</v>
      </c>
      <c r="J84" s="170">
        <v>17</v>
      </c>
      <c r="K84" s="170">
        <v>19</v>
      </c>
      <c r="L84" s="170">
        <v>10</v>
      </c>
      <c r="M84" s="170">
        <v>6</v>
      </c>
      <c r="N84" s="170">
        <v>16</v>
      </c>
      <c r="O84" s="170">
        <v>11</v>
      </c>
      <c r="P84" s="1875">
        <f t="shared" si="41"/>
        <v>111</v>
      </c>
      <c r="Q84" s="1875">
        <f t="shared" si="38"/>
        <v>9.25</v>
      </c>
      <c r="R84" s="1867"/>
      <c r="S84" s="1876">
        <v>10</v>
      </c>
      <c r="T84" s="1867">
        <v>15</v>
      </c>
      <c r="U84" s="1867">
        <v>20</v>
      </c>
      <c r="V84" s="1867">
        <v>39</v>
      </c>
      <c r="W84" s="1867">
        <v>47</v>
      </c>
      <c r="X84" s="1867">
        <v>57</v>
      </c>
      <c r="Y84" s="1867">
        <v>51</v>
      </c>
      <c r="Z84" s="1867">
        <v>57</v>
      </c>
      <c r="AA84" s="1867">
        <v>33</v>
      </c>
      <c r="AB84" s="1867">
        <v>71</v>
      </c>
      <c r="AC84" s="1867">
        <v>49</v>
      </c>
      <c r="AD84" s="1867">
        <v>35</v>
      </c>
      <c r="AE84" s="1875">
        <f t="shared" si="33"/>
        <v>484</v>
      </c>
      <c r="AF84" s="1875">
        <f t="shared" si="39"/>
        <v>31.333333333333332</v>
      </c>
      <c r="AG84" s="1867"/>
      <c r="AH84" s="1876">
        <v>21</v>
      </c>
      <c r="AI84" s="1867">
        <v>41</v>
      </c>
      <c r="AJ84" s="1867">
        <v>49</v>
      </c>
      <c r="AK84" s="1867">
        <v>84</v>
      </c>
      <c r="AL84" s="1867">
        <v>70</v>
      </c>
      <c r="AM84" s="1867">
        <v>56</v>
      </c>
      <c r="AN84" s="1867">
        <v>50</v>
      </c>
      <c r="AO84" s="1867">
        <v>49</v>
      </c>
      <c r="AP84" s="1867">
        <v>77</v>
      </c>
      <c r="AQ84" s="1867">
        <v>51</v>
      </c>
      <c r="AR84" s="1867">
        <v>41</v>
      </c>
      <c r="AS84" s="1867">
        <v>34</v>
      </c>
      <c r="AT84" s="1875">
        <f t="shared" si="34"/>
        <v>623</v>
      </c>
      <c r="AU84" s="1875">
        <f t="shared" si="37"/>
        <v>51.916666666666664</v>
      </c>
      <c r="AW84" s="317">
        <f t="shared" si="30"/>
        <v>-1</v>
      </c>
      <c r="AX84" s="317">
        <f t="shared" si="35"/>
        <v>20.583333333333332</v>
      </c>
      <c r="AY84" s="1941">
        <f t="shared" si="36"/>
        <v>139</v>
      </c>
      <c r="AZ84" s="594">
        <f t="shared" si="32"/>
        <v>-7</v>
      </c>
    </row>
    <row r="85" spans="1:52" x14ac:dyDescent="0.55000000000000004">
      <c r="A85" s="7323"/>
      <c r="B85" s="8"/>
      <c r="C85" s="468" t="s">
        <v>543</v>
      </c>
      <c r="D85" s="170">
        <v>0</v>
      </c>
      <c r="E85" s="170">
        <v>0</v>
      </c>
      <c r="F85" s="170">
        <v>86</v>
      </c>
      <c r="G85" s="170">
        <v>25</v>
      </c>
      <c r="H85" s="170">
        <v>126</v>
      </c>
      <c r="I85" s="170">
        <v>267</v>
      </c>
      <c r="J85" s="170">
        <v>337</v>
      </c>
      <c r="K85" s="170">
        <v>325</v>
      </c>
      <c r="L85" s="170">
        <v>173</v>
      </c>
      <c r="M85" s="170">
        <v>111</v>
      </c>
      <c r="N85" s="170">
        <v>287</v>
      </c>
      <c r="O85" s="170">
        <v>151</v>
      </c>
      <c r="P85" s="1907">
        <f t="shared" si="41"/>
        <v>1888</v>
      </c>
      <c r="Q85" s="1907">
        <f t="shared" si="38"/>
        <v>157.33333333333334</v>
      </c>
      <c r="R85" s="1867"/>
      <c r="S85" s="1876">
        <v>115</v>
      </c>
      <c r="T85" s="1867">
        <v>225</v>
      </c>
      <c r="U85" s="1867">
        <v>335</v>
      </c>
      <c r="V85" s="1867">
        <v>603</v>
      </c>
      <c r="W85" s="1867">
        <v>613</v>
      </c>
      <c r="X85" s="1867">
        <v>876</v>
      </c>
      <c r="Y85" s="1867">
        <v>662</v>
      </c>
      <c r="Z85" s="1867">
        <v>815</v>
      </c>
      <c r="AA85" s="1867">
        <v>534</v>
      </c>
      <c r="AB85" s="1867">
        <v>1051</v>
      </c>
      <c r="AC85" s="1867">
        <v>718</v>
      </c>
      <c r="AD85" s="1867">
        <v>455</v>
      </c>
      <c r="AE85" s="1907">
        <f t="shared" si="33"/>
        <v>7002</v>
      </c>
      <c r="AF85" s="1907">
        <f t="shared" si="39"/>
        <v>461.16666666666669</v>
      </c>
      <c r="AG85" s="1867"/>
      <c r="AH85" s="1876">
        <v>313</v>
      </c>
      <c r="AI85" s="1867">
        <v>669</v>
      </c>
      <c r="AJ85" s="1867">
        <v>803</v>
      </c>
      <c r="AK85" s="1867">
        <v>1178</v>
      </c>
      <c r="AL85" s="1867">
        <v>1081</v>
      </c>
      <c r="AM85" s="1867">
        <v>883</v>
      </c>
      <c r="AN85" s="1867">
        <v>768</v>
      </c>
      <c r="AO85" s="1867">
        <v>661</v>
      </c>
      <c r="AP85" s="1867">
        <v>1263</v>
      </c>
      <c r="AQ85" s="1867">
        <v>748</v>
      </c>
      <c r="AR85" s="1867">
        <v>591</v>
      </c>
      <c r="AS85" s="1867">
        <v>543</v>
      </c>
      <c r="AT85" s="1907">
        <f t="shared" si="34"/>
        <v>9501</v>
      </c>
      <c r="AU85" s="1907">
        <f t="shared" si="37"/>
        <v>791.75</v>
      </c>
      <c r="AV85" s="751">
        <f>AU85/AVERAGE(S85:AA85)</f>
        <v>1.4913666806195061</v>
      </c>
      <c r="AW85" s="317">
        <f t="shared" si="30"/>
        <v>88</v>
      </c>
      <c r="AX85" s="317">
        <f t="shared" si="35"/>
        <v>330.58333333333331</v>
      </c>
      <c r="AY85" s="1941">
        <f t="shared" si="36"/>
        <v>2499</v>
      </c>
      <c r="AZ85" s="594">
        <f t="shared" si="32"/>
        <v>-48</v>
      </c>
    </row>
    <row r="86" spans="1:52" x14ac:dyDescent="0.55000000000000004">
      <c r="A86" s="7323"/>
      <c r="B86" s="8" t="s">
        <v>167</v>
      </c>
      <c r="C86" s="19"/>
      <c r="D86" s="862">
        <v>1</v>
      </c>
      <c r="E86" s="171">
        <v>0</v>
      </c>
      <c r="F86" s="171">
        <v>0</v>
      </c>
      <c r="G86" s="171">
        <v>2</v>
      </c>
      <c r="H86" s="171">
        <v>4</v>
      </c>
      <c r="I86" s="171">
        <v>0</v>
      </c>
      <c r="J86" s="171">
        <v>1</v>
      </c>
      <c r="K86" s="171">
        <v>0</v>
      </c>
      <c r="L86" s="171">
        <v>3</v>
      </c>
      <c r="M86" s="171">
        <v>1</v>
      </c>
      <c r="N86" s="171">
        <v>3</v>
      </c>
      <c r="O86" s="863">
        <v>0</v>
      </c>
      <c r="P86" s="1875">
        <f t="shared" si="41"/>
        <v>15</v>
      </c>
      <c r="Q86" s="1875">
        <f t="shared" si="38"/>
        <v>1.25</v>
      </c>
      <c r="R86" s="1867"/>
      <c r="S86" s="1876">
        <v>0</v>
      </c>
      <c r="T86" s="1894">
        <v>0</v>
      </c>
      <c r="U86" s="1894">
        <v>1</v>
      </c>
      <c r="V86" s="1894">
        <v>6</v>
      </c>
      <c r="W86" s="1894">
        <v>2</v>
      </c>
      <c r="X86" s="1894">
        <v>12</v>
      </c>
      <c r="Y86" s="1894">
        <v>8</v>
      </c>
      <c r="Z86" s="1894">
        <v>13</v>
      </c>
      <c r="AA86" s="1894">
        <v>21</v>
      </c>
      <c r="AB86" s="1867">
        <v>0</v>
      </c>
      <c r="AC86" s="1894">
        <v>1</v>
      </c>
      <c r="AD86" s="1912">
        <v>0</v>
      </c>
      <c r="AE86" s="1875">
        <f t="shared" si="33"/>
        <v>64</v>
      </c>
      <c r="AF86" s="1875">
        <f t="shared" si="39"/>
        <v>3.5</v>
      </c>
      <c r="AG86" s="1867"/>
      <c r="AH86" s="1876">
        <v>1</v>
      </c>
      <c r="AI86" s="1894">
        <v>2</v>
      </c>
      <c r="AJ86" s="1867">
        <v>8</v>
      </c>
      <c r="AK86" s="1894">
        <v>3</v>
      </c>
      <c r="AL86" s="1894">
        <v>15</v>
      </c>
      <c r="AM86" s="1867">
        <v>0</v>
      </c>
      <c r="AN86" s="1894">
        <v>1</v>
      </c>
      <c r="AO86" s="1867">
        <v>3</v>
      </c>
      <c r="AP86" s="1894">
        <v>3</v>
      </c>
      <c r="AQ86" s="1867">
        <v>0</v>
      </c>
      <c r="AR86" s="1894">
        <v>2</v>
      </c>
      <c r="AS86" s="1912">
        <v>0</v>
      </c>
      <c r="AT86" s="1875">
        <f t="shared" si="34"/>
        <v>38</v>
      </c>
      <c r="AU86" s="1875">
        <f t="shared" si="37"/>
        <v>3.1666666666666665</v>
      </c>
      <c r="AW86" s="317">
        <f t="shared" si="30"/>
        <v>0</v>
      </c>
      <c r="AX86" s="317">
        <f t="shared" si="35"/>
        <v>-0.33333333333333348</v>
      </c>
      <c r="AY86" s="1941">
        <f t="shared" si="36"/>
        <v>-26</v>
      </c>
      <c r="AZ86" s="594">
        <f t="shared" si="32"/>
        <v>-2</v>
      </c>
    </row>
    <row r="87" spans="1:52" x14ac:dyDescent="0.55000000000000004">
      <c r="A87" s="7324"/>
      <c r="B87" s="55" t="s">
        <v>168</v>
      </c>
      <c r="C87" s="56"/>
      <c r="D87" s="864"/>
      <c r="E87" s="865"/>
      <c r="F87" s="865"/>
      <c r="G87" s="865"/>
      <c r="H87" s="865"/>
      <c r="I87" s="865"/>
      <c r="J87" s="865"/>
      <c r="K87" s="865"/>
      <c r="L87" s="865"/>
      <c r="M87" s="865"/>
      <c r="N87" s="865"/>
      <c r="O87" s="866"/>
      <c r="P87" s="1913">
        <f t="shared" ref="P87:P113" si="43">SUM(D87:O87)</f>
        <v>0</v>
      </c>
      <c r="Q87" s="1913"/>
      <c r="R87" s="1867"/>
      <c r="S87" s="1914">
        <v>319</v>
      </c>
      <c r="T87" s="1915">
        <v>279</v>
      </c>
      <c r="U87" s="1915">
        <v>342</v>
      </c>
      <c r="V87" s="1915">
        <v>352</v>
      </c>
      <c r="W87" s="1915">
        <v>429</v>
      </c>
      <c r="X87" s="1915">
        <v>282</v>
      </c>
      <c r="Y87" s="1915">
        <v>265</v>
      </c>
      <c r="Z87" s="1915">
        <v>269</v>
      </c>
      <c r="AA87" s="1915">
        <v>230</v>
      </c>
      <c r="AB87" s="1915">
        <v>222</v>
      </c>
      <c r="AC87" s="1915">
        <v>195</v>
      </c>
      <c r="AD87" s="1916">
        <v>283</v>
      </c>
      <c r="AE87" s="1913">
        <f t="shared" si="33"/>
        <v>3467</v>
      </c>
      <c r="AF87" s="1913">
        <f t="shared" si="39"/>
        <v>333.83333333333331</v>
      </c>
      <c r="AG87" s="1867"/>
      <c r="AH87" s="1914">
        <v>145</v>
      </c>
      <c r="AI87" s="1915">
        <v>538</v>
      </c>
      <c r="AJ87" s="1915">
        <v>1274</v>
      </c>
      <c r="AK87" s="1915">
        <v>1344</v>
      </c>
      <c r="AL87" s="1915">
        <v>1234</v>
      </c>
      <c r="AM87" s="1915">
        <v>1278</v>
      </c>
      <c r="AN87" s="1915">
        <v>1983</v>
      </c>
      <c r="AO87" s="1915">
        <v>1534</v>
      </c>
      <c r="AP87" s="1915">
        <v>2433</v>
      </c>
      <c r="AQ87" s="1915">
        <v>1995</v>
      </c>
      <c r="AR87" s="1915">
        <v>1903</v>
      </c>
      <c r="AS87" s="1916">
        <v>1379</v>
      </c>
      <c r="AT87" s="1913">
        <f t="shared" si="34"/>
        <v>17040</v>
      </c>
      <c r="AU87" s="1913">
        <f t="shared" si="37"/>
        <v>1420</v>
      </c>
      <c r="AW87" s="317">
        <f t="shared" si="30"/>
        <v>1096</v>
      </c>
      <c r="AX87" s="317">
        <f t="shared" si="35"/>
        <v>1086.1666666666667</v>
      </c>
      <c r="AY87" s="1941">
        <f t="shared" si="36"/>
        <v>13573</v>
      </c>
      <c r="AZ87" s="594">
        <f t="shared" si="32"/>
        <v>-524</v>
      </c>
    </row>
    <row r="88" spans="1:52" x14ac:dyDescent="0.55000000000000004">
      <c r="A88" s="53"/>
      <c r="B88" s="8"/>
      <c r="C88" s="19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917"/>
      <c r="Q88" s="1917"/>
      <c r="R88" s="1867"/>
      <c r="S88" s="1894"/>
      <c r="T88" s="1867"/>
      <c r="U88" s="1867"/>
      <c r="V88" s="1867"/>
      <c r="W88" s="1867"/>
      <c r="X88" s="1867"/>
      <c r="Y88" s="1867"/>
      <c r="Z88" s="1867"/>
      <c r="AA88" s="1867"/>
      <c r="AB88" s="1867"/>
      <c r="AC88" s="1867"/>
      <c r="AD88" s="1867"/>
      <c r="AE88" s="1918"/>
      <c r="AF88" s="1918"/>
      <c r="AG88" s="1867"/>
      <c r="AH88" s="1894"/>
      <c r="AI88" s="1867"/>
      <c r="AJ88" s="1867"/>
      <c r="AK88" s="1867"/>
      <c r="AL88" s="1867"/>
      <c r="AM88" s="1867"/>
      <c r="AN88" s="1867"/>
      <c r="AO88" s="1867"/>
      <c r="AP88" s="1867"/>
      <c r="AQ88" s="1867"/>
      <c r="AR88" s="1867"/>
      <c r="AS88" s="1867"/>
      <c r="AT88" s="1918"/>
      <c r="AU88" s="1918"/>
      <c r="AZ88" s="594">
        <f t="shared" si="32"/>
        <v>0</v>
      </c>
    </row>
    <row r="89" spans="1:52" x14ac:dyDescent="0.55000000000000004">
      <c r="A89" s="7325" t="s">
        <v>1062</v>
      </c>
      <c r="B89" s="57" t="s">
        <v>68</v>
      </c>
      <c r="C89" s="58"/>
      <c r="D89" s="867">
        <v>41</v>
      </c>
      <c r="E89" s="868">
        <v>216</v>
      </c>
      <c r="F89" s="868">
        <v>72</v>
      </c>
      <c r="G89" s="868">
        <v>61</v>
      </c>
      <c r="H89" s="868">
        <v>76</v>
      </c>
      <c r="I89" s="868">
        <v>59</v>
      </c>
      <c r="J89" s="868">
        <v>62</v>
      </c>
      <c r="K89" s="868">
        <v>89</v>
      </c>
      <c r="L89" s="868">
        <v>40</v>
      </c>
      <c r="M89" s="868">
        <v>68</v>
      </c>
      <c r="N89" s="868">
        <v>49</v>
      </c>
      <c r="O89" s="869">
        <v>39</v>
      </c>
      <c r="P89" s="1919">
        <f>SUM(D89:O89)</f>
        <v>872</v>
      </c>
      <c r="Q89" s="1919">
        <f>AVERAGE(D89:O89)</f>
        <v>72.666666666666671</v>
      </c>
      <c r="R89" s="1867"/>
      <c r="S89" s="1920">
        <v>92</v>
      </c>
      <c r="T89" s="1921">
        <v>54</v>
      </c>
      <c r="U89" s="1921">
        <v>59</v>
      </c>
      <c r="V89" s="1921">
        <v>71</v>
      </c>
      <c r="W89" s="1921">
        <v>67</v>
      </c>
      <c r="X89" s="1921">
        <v>41</v>
      </c>
      <c r="Y89" s="1921">
        <v>130</v>
      </c>
      <c r="Z89" s="1921">
        <v>40</v>
      </c>
      <c r="AA89" s="1921">
        <v>57</v>
      </c>
      <c r="AB89" s="1921">
        <v>41</v>
      </c>
      <c r="AC89" s="1921">
        <v>37</v>
      </c>
      <c r="AD89" s="1922">
        <v>25</v>
      </c>
      <c r="AE89" s="1919">
        <f>SUM(S89:AD89)</f>
        <v>714</v>
      </c>
      <c r="AF89" s="1919">
        <f t="shared" ref="AF89:AF94" si="44">AVERAGE(S89:AD89)</f>
        <v>59.5</v>
      </c>
      <c r="AG89" s="1867"/>
      <c r="AH89" s="1920">
        <v>35</v>
      </c>
      <c r="AI89" s="1921">
        <v>99</v>
      </c>
      <c r="AJ89" s="1921">
        <v>31</v>
      </c>
      <c r="AK89" s="1921">
        <v>83</v>
      </c>
      <c r="AL89" s="1921">
        <v>106</v>
      </c>
      <c r="AM89" s="1921">
        <v>50</v>
      </c>
      <c r="AN89" s="1921">
        <v>114</v>
      </c>
      <c r="AO89" s="1921">
        <v>46</v>
      </c>
      <c r="AP89" s="1921">
        <v>70</v>
      </c>
      <c r="AQ89" s="1921">
        <v>71</v>
      </c>
      <c r="AR89" s="1921">
        <v>36</v>
      </c>
      <c r="AS89" s="1922">
        <v>24</v>
      </c>
      <c r="AT89" s="1919">
        <f>SUM(AH89:AS89)</f>
        <v>765</v>
      </c>
      <c r="AU89" s="1919">
        <f>AVERAGE(AH89:AS89)</f>
        <v>63.75</v>
      </c>
      <c r="AW89" s="317">
        <f t="shared" si="30"/>
        <v>-1</v>
      </c>
      <c r="AX89" s="317">
        <f t="shared" ref="AX89:AX113" si="45">AU89-AF89</f>
        <v>4.25</v>
      </c>
      <c r="AY89" s="1941">
        <f t="shared" ref="AY89:AY113" si="46">SUM(AH89:AS89)-SUM(S89:AD89)</f>
        <v>51</v>
      </c>
      <c r="AZ89" s="594">
        <f t="shared" si="32"/>
        <v>-12</v>
      </c>
    </row>
    <row r="90" spans="1:52" x14ac:dyDescent="0.55000000000000004">
      <c r="A90" s="7326"/>
      <c r="B90" s="8" t="s">
        <v>69</v>
      </c>
      <c r="C90" s="19"/>
      <c r="D90" s="1029">
        <v>99</v>
      </c>
      <c r="E90" s="1029">
        <v>168</v>
      </c>
      <c r="F90" s="1029">
        <v>68</v>
      </c>
      <c r="G90" s="1029">
        <v>71</v>
      </c>
      <c r="H90" s="1029">
        <v>110</v>
      </c>
      <c r="I90" s="1029">
        <v>72</v>
      </c>
      <c r="J90" s="1029">
        <v>67</v>
      </c>
      <c r="K90" s="1029">
        <v>70</v>
      </c>
      <c r="L90" s="1029">
        <v>30</v>
      </c>
      <c r="M90" s="1029">
        <v>90</v>
      </c>
      <c r="N90" s="1029">
        <v>64</v>
      </c>
      <c r="O90" s="1029">
        <v>31</v>
      </c>
      <c r="P90" s="1875">
        <f>SUM(D90:O90)</f>
        <v>940</v>
      </c>
      <c r="Q90" s="1875">
        <f>AVERAGE(D90:O90)</f>
        <v>78.333333333333329</v>
      </c>
      <c r="R90" s="1867"/>
      <c r="S90" s="1876">
        <v>85</v>
      </c>
      <c r="T90" s="1867">
        <v>18</v>
      </c>
      <c r="U90" s="1867">
        <v>42</v>
      </c>
      <c r="V90" s="1867">
        <v>23</v>
      </c>
      <c r="W90" s="1867">
        <v>46</v>
      </c>
      <c r="X90" s="1867">
        <v>43</v>
      </c>
      <c r="Y90" s="1867">
        <v>110</v>
      </c>
      <c r="Z90" s="1867">
        <v>30</v>
      </c>
      <c r="AA90" s="1867">
        <v>37</v>
      </c>
      <c r="AB90" s="1867">
        <v>30</v>
      </c>
      <c r="AC90" s="1867">
        <v>17</v>
      </c>
      <c r="AD90" s="1867">
        <v>9</v>
      </c>
      <c r="AE90" s="1875">
        <f>SUM(S90:AD90)</f>
        <v>490</v>
      </c>
      <c r="AF90" s="1875">
        <f t="shared" si="44"/>
        <v>40.833333333333336</v>
      </c>
      <c r="AG90" s="1867"/>
      <c r="AH90" s="1876">
        <v>7</v>
      </c>
      <c r="AI90" s="1867">
        <v>47</v>
      </c>
      <c r="AJ90" s="1867">
        <v>17</v>
      </c>
      <c r="AK90" s="1867">
        <v>23</v>
      </c>
      <c r="AL90" s="1867">
        <v>63</v>
      </c>
      <c r="AM90" s="1867">
        <v>14</v>
      </c>
      <c r="AN90" s="1867">
        <v>54</v>
      </c>
      <c r="AO90" s="1867">
        <v>16</v>
      </c>
      <c r="AP90" s="1867">
        <v>18</v>
      </c>
      <c r="AQ90" s="1867">
        <v>25</v>
      </c>
      <c r="AR90" s="1867">
        <v>12</v>
      </c>
      <c r="AS90" s="1867">
        <v>10</v>
      </c>
      <c r="AT90" s="1875">
        <f>SUM(AH90:AS90)</f>
        <v>306</v>
      </c>
      <c r="AU90" s="1875">
        <f t="shared" ref="AU90:AU94" si="47">AVERAGE(AH90:AS90)</f>
        <v>25.5</v>
      </c>
      <c r="AW90" s="317">
        <f t="shared" si="30"/>
        <v>1</v>
      </c>
      <c r="AX90" s="317">
        <f t="shared" si="45"/>
        <v>-15.333333333333336</v>
      </c>
      <c r="AY90" s="1941">
        <f t="shared" si="46"/>
        <v>-184</v>
      </c>
      <c r="AZ90" s="594">
        <f t="shared" si="32"/>
        <v>-2</v>
      </c>
    </row>
    <row r="91" spans="1:52" x14ac:dyDescent="0.55000000000000004">
      <c r="A91" s="7326"/>
      <c r="B91" s="8" t="s">
        <v>70</v>
      </c>
      <c r="C91" s="19"/>
      <c r="D91" s="1029">
        <v>139</v>
      </c>
      <c r="E91" s="1029">
        <v>233</v>
      </c>
      <c r="F91" s="1029">
        <v>131</v>
      </c>
      <c r="G91" s="1029">
        <v>154</v>
      </c>
      <c r="H91" s="1029">
        <v>222</v>
      </c>
      <c r="I91" s="1029">
        <v>111</v>
      </c>
      <c r="J91" s="1029">
        <v>75</v>
      </c>
      <c r="K91" s="1029">
        <v>85</v>
      </c>
      <c r="L91" s="1029">
        <v>48</v>
      </c>
      <c r="M91" s="1029">
        <v>77</v>
      </c>
      <c r="N91" s="1029">
        <v>36</v>
      </c>
      <c r="O91" s="1029">
        <v>23</v>
      </c>
      <c r="P91" s="1875">
        <f>SUM(D91:O91)</f>
        <v>1334</v>
      </c>
      <c r="Q91" s="1875">
        <f>AVERAGE(D91:O91)</f>
        <v>111.16666666666667</v>
      </c>
      <c r="R91" s="1867"/>
      <c r="S91" s="1876">
        <v>23</v>
      </c>
      <c r="T91" s="1867">
        <v>28</v>
      </c>
      <c r="U91" s="1867">
        <v>26</v>
      </c>
      <c r="V91" s="1867">
        <v>24</v>
      </c>
      <c r="W91" s="1867">
        <v>35</v>
      </c>
      <c r="X91" s="1867">
        <v>20</v>
      </c>
      <c r="Y91" s="1867">
        <v>133</v>
      </c>
      <c r="Z91" s="1867">
        <v>28</v>
      </c>
      <c r="AA91" s="1867">
        <v>26</v>
      </c>
      <c r="AB91" s="1867">
        <v>20</v>
      </c>
      <c r="AC91" s="1867">
        <v>12</v>
      </c>
      <c r="AD91" s="1867">
        <v>18</v>
      </c>
      <c r="AE91" s="1875">
        <f>SUM(S91:AD91)</f>
        <v>393</v>
      </c>
      <c r="AF91" s="1875">
        <f t="shared" si="44"/>
        <v>32.75</v>
      </c>
      <c r="AG91" s="1867"/>
      <c r="AH91" s="1876">
        <v>22</v>
      </c>
      <c r="AI91" s="1867">
        <v>39</v>
      </c>
      <c r="AJ91" s="1867">
        <v>15</v>
      </c>
      <c r="AK91" s="1867">
        <v>62</v>
      </c>
      <c r="AL91" s="1867">
        <v>63</v>
      </c>
      <c r="AM91" s="1867">
        <v>26</v>
      </c>
      <c r="AN91" s="1867">
        <v>86</v>
      </c>
      <c r="AO91" s="1867">
        <v>28</v>
      </c>
      <c r="AP91" s="1867">
        <v>51</v>
      </c>
      <c r="AQ91" s="1867">
        <v>37</v>
      </c>
      <c r="AR91" s="1867">
        <v>18</v>
      </c>
      <c r="AS91" s="1867">
        <v>26</v>
      </c>
      <c r="AT91" s="1875">
        <f>SUM(AH91:AS91)</f>
        <v>473</v>
      </c>
      <c r="AU91" s="1875">
        <f t="shared" si="47"/>
        <v>39.416666666666664</v>
      </c>
      <c r="AW91" s="317">
        <f t="shared" si="30"/>
        <v>8</v>
      </c>
      <c r="AX91" s="317">
        <f t="shared" si="45"/>
        <v>6.6666666666666643</v>
      </c>
      <c r="AY91" s="1941">
        <f t="shared" si="46"/>
        <v>80</v>
      </c>
      <c r="AZ91" s="594">
        <f t="shared" si="32"/>
        <v>8</v>
      </c>
    </row>
    <row r="92" spans="1:52" x14ac:dyDescent="0.55000000000000004">
      <c r="A92" s="7326"/>
      <c r="B92" s="8" t="s">
        <v>176</v>
      </c>
      <c r="C92" s="19"/>
      <c r="D92" s="1029">
        <v>231</v>
      </c>
      <c r="E92" s="1029">
        <v>387</v>
      </c>
      <c r="F92" s="1029">
        <v>155</v>
      </c>
      <c r="G92" s="1029">
        <v>196</v>
      </c>
      <c r="H92" s="1029">
        <v>232</v>
      </c>
      <c r="I92" s="1029">
        <v>125</v>
      </c>
      <c r="J92" s="1029">
        <v>97</v>
      </c>
      <c r="K92" s="1029">
        <v>287</v>
      </c>
      <c r="L92" s="1029">
        <v>65</v>
      </c>
      <c r="M92" s="1029">
        <v>189</v>
      </c>
      <c r="N92" s="1029">
        <v>48</v>
      </c>
      <c r="O92" s="1029">
        <v>40</v>
      </c>
      <c r="P92" s="1875">
        <f>SUM(D92:O92)</f>
        <v>2052</v>
      </c>
      <c r="Q92" s="1875">
        <f>AVERAGE(D92:O92)</f>
        <v>171</v>
      </c>
      <c r="R92" s="1867"/>
      <c r="S92" s="1876">
        <v>67</v>
      </c>
      <c r="T92" s="1867">
        <v>53</v>
      </c>
      <c r="U92" s="1867">
        <v>86</v>
      </c>
      <c r="V92" s="1867">
        <v>82</v>
      </c>
      <c r="W92" s="1867">
        <v>109</v>
      </c>
      <c r="X92" s="1867">
        <v>62</v>
      </c>
      <c r="Y92" s="1867">
        <v>165</v>
      </c>
      <c r="Z92" s="1867">
        <v>70</v>
      </c>
      <c r="AA92" s="1867">
        <v>75</v>
      </c>
      <c r="AB92" s="1867">
        <v>80</v>
      </c>
      <c r="AC92" s="1867">
        <v>47</v>
      </c>
      <c r="AD92" s="1867">
        <v>38</v>
      </c>
      <c r="AE92" s="1875">
        <f>SUM(S92:AD92)</f>
        <v>934</v>
      </c>
      <c r="AF92" s="1875">
        <f t="shared" si="44"/>
        <v>77.833333333333329</v>
      </c>
      <c r="AG92" s="1867"/>
      <c r="AH92" s="1876">
        <v>49</v>
      </c>
      <c r="AI92" s="1867">
        <v>118</v>
      </c>
      <c r="AJ92" s="1867">
        <v>66</v>
      </c>
      <c r="AK92" s="1867">
        <v>51</v>
      </c>
      <c r="AL92" s="1867">
        <v>77</v>
      </c>
      <c r="AM92" s="1867">
        <v>46</v>
      </c>
      <c r="AN92" s="1867">
        <v>131</v>
      </c>
      <c r="AO92" s="1867">
        <v>43</v>
      </c>
      <c r="AP92" s="1867">
        <v>67</v>
      </c>
      <c r="AQ92" s="1867">
        <v>62</v>
      </c>
      <c r="AR92" s="1867">
        <v>69</v>
      </c>
      <c r="AS92" s="1867">
        <v>15</v>
      </c>
      <c r="AT92" s="1875">
        <f>SUM(AH92:AS92)</f>
        <v>794</v>
      </c>
      <c r="AU92" s="1875">
        <f t="shared" si="47"/>
        <v>66.166666666666671</v>
      </c>
      <c r="AW92" s="317">
        <f t="shared" si="30"/>
        <v>-23</v>
      </c>
      <c r="AX92" s="317">
        <f t="shared" si="45"/>
        <v>-11.666666666666657</v>
      </c>
      <c r="AY92" s="1941">
        <f t="shared" si="46"/>
        <v>-140</v>
      </c>
      <c r="AZ92" s="594">
        <f t="shared" si="32"/>
        <v>-54</v>
      </c>
    </row>
    <row r="93" spans="1:52" x14ac:dyDescent="0.55000000000000004">
      <c r="A93" s="7326"/>
      <c r="B93" s="8" t="s">
        <v>177</v>
      </c>
      <c r="C93" s="19"/>
      <c r="D93" s="1029">
        <v>217</v>
      </c>
      <c r="E93" s="1029">
        <v>366</v>
      </c>
      <c r="F93" s="1029">
        <v>162</v>
      </c>
      <c r="G93" s="1029">
        <v>154</v>
      </c>
      <c r="H93" s="1029">
        <v>139</v>
      </c>
      <c r="I93" s="1029">
        <v>75</v>
      </c>
      <c r="J93" s="1029">
        <v>89</v>
      </c>
      <c r="K93" s="1029">
        <v>108</v>
      </c>
      <c r="L93" s="1029">
        <v>55</v>
      </c>
      <c r="M93" s="1029">
        <v>121</v>
      </c>
      <c r="N93" s="1029">
        <v>52</v>
      </c>
      <c r="O93" s="1029">
        <v>34</v>
      </c>
      <c r="P93" s="1875">
        <f>SUM(D93:O93)</f>
        <v>1572</v>
      </c>
      <c r="Q93" s="1875">
        <f>AVERAGE(D93:O93)</f>
        <v>131</v>
      </c>
      <c r="R93" s="1867"/>
      <c r="S93" s="1876">
        <v>51</v>
      </c>
      <c r="T93" s="1867">
        <v>30</v>
      </c>
      <c r="U93" s="1867">
        <v>48</v>
      </c>
      <c r="V93" s="1867">
        <v>42</v>
      </c>
      <c r="W93" s="1867">
        <v>73</v>
      </c>
      <c r="X93" s="1867">
        <v>40</v>
      </c>
      <c r="Y93" s="1867">
        <v>152</v>
      </c>
      <c r="Z93" s="1867">
        <v>49</v>
      </c>
      <c r="AA93" s="1867">
        <v>66</v>
      </c>
      <c r="AB93" s="1867">
        <v>55</v>
      </c>
      <c r="AC93" s="1867">
        <v>34</v>
      </c>
      <c r="AD93" s="1867">
        <v>21</v>
      </c>
      <c r="AE93" s="1875">
        <f>SUM(S93:AD93)</f>
        <v>661</v>
      </c>
      <c r="AF93" s="1875">
        <f t="shared" si="44"/>
        <v>55.083333333333336</v>
      </c>
      <c r="AG93" s="1867"/>
      <c r="AH93" s="1876">
        <v>41</v>
      </c>
      <c r="AI93" s="1867">
        <v>96</v>
      </c>
      <c r="AJ93" s="1867">
        <v>40</v>
      </c>
      <c r="AK93" s="1867">
        <v>68</v>
      </c>
      <c r="AL93" s="1867">
        <v>122</v>
      </c>
      <c r="AM93" s="1867">
        <v>55</v>
      </c>
      <c r="AN93" s="1867">
        <v>252.5</v>
      </c>
      <c r="AO93" s="1867">
        <v>63</v>
      </c>
      <c r="AP93" s="1867">
        <v>102.5</v>
      </c>
      <c r="AQ93" s="1867">
        <v>64</v>
      </c>
      <c r="AR93" s="1867">
        <v>59</v>
      </c>
      <c r="AS93" s="1867">
        <v>28</v>
      </c>
      <c r="AT93" s="1875">
        <f>SUM(AH93:AS93)</f>
        <v>991</v>
      </c>
      <c r="AU93" s="1875">
        <f t="shared" si="47"/>
        <v>82.583333333333329</v>
      </c>
      <c r="AW93" s="317">
        <f t="shared" si="30"/>
        <v>7</v>
      </c>
      <c r="AX93" s="317">
        <f t="shared" si="45"/>
        <v>27.499999999999993</v>
      </c>
      <c r="AY93" s="1941">
        <f t="shared" si="46"/>
        <v>330</v>
      </c>
      <c r="AZ93" s="594">
        <f t="shared" si="32"/>
        <v>-31</v>
      </c>
    </row>
    <row r="94" spans="1:52" x14ac:dyDescent="0.55000000000000004">
      <c r="A94" s="7325" t="s">
        <v>1078</v>
      </c>
      <c r="B94" s="57" t="s">
        <v>68</v>
      </c>
      <c r="C94" s="58"/>
      <c r="D94" s="867">
        <v>32</v>
      </c>
      <c r="E94" s="868">
        <v>209</v>
      </c>
      <c r="F94" s="868">
        <v>54</v>
      </c>
      <c r="G94" s="868">
        <v>52</v>
      </c>
      <c r="H94" s="868">
        <v>51</v>
      </c>
      <c r="I94" s="868">
        <v>30</v>
      </c>
      <c r="J94" s="868">
        <v>30</v>
      </c>
      <c r="K94" s="868">
        <v>70</v>
      </c>
      <c r="L94" s="868">
        <v>28</v>
      </c>
      <c r="M94" s="868">
        <v>60</v>
      </c>
      <c r="N94" s="868">
        <v>40</v>
      </c>
      <c r="O94" s="869">
        <v>22</v>
      </c>
      <c r="P94" s="1919">
        <f t="shared" si="43"/>
        <v>678</v>
      </c>
      <c r="Q94" s="1919">
        <f t="shared" si="38"/>
        <v>56.5</v>
      </c>
      <c r="R94" s="1867"/>
      <c r="S94" s="1920">
        <v>29</v>
      </c>
      <c r="T94" s="1921">
        <v>37</v>
      </c>
      <c r="U94" s="1921">
        <v>53</v>
      </c>
      <c r="V94" s="1921">
        <v>51</v>
      </c>
      <c r="W94" s="1921">
        <v>61</v>
      </c>
      <c r="X94" s="1921">
        <v>31</v>
      </c>
      <c r="Y94" s="1921">
        <v>122</v>
      </c>
      <c r="Z94" s="1921">
        <v>33</v>
      </c>
      <c r="AA94" s="1921">
        <v>52</v>
      </c>
      <c r="AB94" s="1921">
        <v>31</v>
      </c>
      <c r="AC94" s="1921">
        <v>32</v>
      </c>
      <c r="AD94" s="1922">
        <v>21</v>
      </c>
      <c r="AE94" s="1919">
        <f t="shared" si="33"/>
        <v>553</v>
      </c>
      <c r="AF94" s="1919">
        <f t="shared" si="44"/>
        <v>46.083333333333336</v>
      </c>
      <c r="AG94" s="1867"/>
      <c r="AH94" s="1920">
        <v>29</v>
      </c>
      <c r="AI94" s="1921">
        <v>89</v>
      </c>
      <c r="AJ94" s="1921">
        <v>24</v>
      </c>
      <c r="AK94" s="1921">
        <v>34</v>
      </c>
      <c r="AL94" s="1921">
        <v>50</v>
      </c>
      <c r="AM94" s="1921">
        <v>41</v>
      </c>
      <c r="AN94" s="1921">
        <v>66</v>
      </c>
      <c r="AO94" s="1921">
        <v>27</v>
      </c>
      <c r="AP94" s="1921">
        <v>42</v>
      </c>
      <c r="AQ94" s="1921">
        <v>64</v>
      </c>
      <c r="AR94" s="1921">
        <v>20</v>
      </c>
      <c r="AS94" s="1922">
        <v>18</v>
      </c>
      <c r="AT94" s="1919">
        <f t="shared" ref="AT94:AT113" si="48">SUM(AH94:AS94)</f>
        <v>504</v>
      </c>
      <c r="AU94" s="1919">
        <f t="shared" si="47"/>
        <v>42</v>
      </c>
      <c r="AW94" s="317">
        <f t="shared" si="30"/>
        <v>-3</v>
      </c>
      <c r="AX94" s="317">
        <f t="shared" si="45"/>
        <v>-4.0833333333333357</v>
      </c>
      <c r="AY94" s="1941">
        <f t="shared" si="46"/>
        <v>-49</v>
      </c>
      <c r="AZ94" s="594">
        <f t="shared" si="32"/>
        <v>-2</v>
      </c>
    </row>
    <row r="95" spans="1:52" x14ac:dyDescent="0.55000000000000004">
      <c r="A95" s="7326"/>
      <c r="B95" s="8" t="s">
        <v>69</v>
      </c>
      <c r="C95" s="19"/>
      <c r="D95" s="170">
        <v>74</v>
      </c>
      <c r="E95" s="170">
        <v>130</v>
      </c>
      <c r="F95" s="170">
        <v>68</v>
      </c>
      <c r="G95" s="170">
        <v>54</v>
      </c>
      <c r="H95" s="170">
        <v>79</v>
      </c>
      <c r="I95" s="170">
        <v>45</v>
      </c>
      <c r="J95" s="170">
        <v>31</v>
      </c>
      <c r="K95" s="170">
        <v>50</v>
      </c>
      <c r="L95" s="170">
        <v>19</v>
      </c>
      <c r="M95" s="170">
        <v>56</v>
      </c>
      <c r="N95" s="170">
        <v>34</v>
      </c>
      <c r="O95" s="170">
        <v>13</v>
      </c>
      <c r="P95" s="1875">
        <f t="shared" si="43"/>
        <v>653</v>
      </c>
      <c r="Q95" s="1875">
        <f t="shared" si="38"/>
        <v>54.416666666666664</v>
      </c>
      <c r="R95" s="1867"/>
      <c r="S95" s="1876">
        <v>20</v>
      </c>
      <c r="T95" s="1867">
        <v>15</v>
      </c>
      <c r="U95" s="1867">
        <v>34</v>
      </c>
      <c r="V95" s="1867">
        <v>18</v>
      </c>
      <c r="W95" s="1867">
        <v>38</v>
      </c>
      <c r="X95" s="1867">
        <v>36</v>
      </c>
      <c r="Y95" s="1867">
        <v>95</v>
      </c>
      <c r="Z95" s="1867">
        <v>23</v>
      </c>
      <c r="AA95" s="1867">
        <v>22</v>
      </c>
      <c r="AB95" s="1867">
        <v>18</v>
      </c>
      <c r="AC95" s="1867">
        <v>14</v>
      </c>
      <c r="AD95" s="1867">
        <v>8</v>
      </c>
      <c r="AE95" s="1875">
        <f t="shared" si="33"/>
        <v>341</v>
      </c>
      <c r="AF95" s="1875">
        <f t="shared" ref="AF95:AF113" si="49">AVERAGE(S95:AD95)</f>
        <v>28.416666666666668</v>
      </c>
      <c r="AG95" s="1867"/>
      <c r="AH95" s="1876">
        <v>2</v>
      </c>
      <c r="AI95" s="1867">
        <v>38</v>
      </c>
      <c r="AJ95" s="1867">
        <v>14</v>
      </c>
      <c r="AK95" s="1867">
        <v>12</v>
      </c>
      <c r="AL95" s="1867">
        <v>15</v>
      </c>
      <c r="AM95" s="1867">
        <v>9</v>
      </c>
      <c r="AN95" s="1867">
        <v>29</v>
      </c>
      <c r="AO95" s="1867">
        <v>9</v>
      </c>
      <c r="AP95" s="1867">
        <v>16</v>
      </c>
      <c r="AQ95" s="1867">
        <v>17</v>
      </c>
      <c r="AR95" s="1867">
        <v>5</v>
      </c>
      <c r="AS95" s="1867">
        <v>8</v>
      </c>
      <c r="AT95" s="1875">
        <f t="shared" si="48"/>
        <v>174</v>
      </c>
      <c r="AU95" s="1875">
        <f t="shared" ref="AU95:AU113" si="50">AVERAGE(AH95:AS95)</f>
        <v>14.5</v>
      </c>
      <c r="AW95" s="317">
        <f t="shared" si="30"/>
        <v>0</v>
      </c>
      <c r="AX95" s="317">
        <f t="shared" si="45"/>
        <v>-13.916666666666668</v>
      </c>
      <c r="AY95" s="1941">
        <f t="shared" si="46"/>
        <v>-167</v>
      </c>
      <c r="AZ95" s="594">
        <f t="shared" si="32"/>
        <v>3</v>
      </c>
    </row>
    <row r="96" spans="1:52" x14ac:dyDescent="0.55000000000000004">
      <c r="A96" s="7326"/>
      <c r="B96" s="8" t="s">
        <v>70</v>
      </c>
      <c r="C96" s="19"/>
      <c r="D96" s="170">
        <v>108</v>
      </c>
      <c r="E96" s="170">
        <v>196</v>
      </c>
      <c r="F96" s="170">
        <v>131</v>
      </c>
      <c r="G96" s="170">
        <v>123</v>
      </c>
      <c r="H96" s="170">
        <v>180</v>
      </c>
      <c r="I96" s="170">
        <v>71</v>
      </c>
      <c r="J96" s="170">
        <v>45</v>
      </c>
      <c r="K96" s="170">
        <v>72</v>
      </c>
      <c r="L96" s="170">
        <v>25</v>
      </c>
      <c r="M96" s="170">
        <v>42</v>
      </c>
      <c r="N96" s="170">
        <v>17</v>
      </c>
      <c r="O96" s="170">
        <v>6</v>
      </c>
      <c r="P96" s="1875">
        <f t="shared" si="43"/>
        <v>1016</v>
      </c>
      <c r="Q96" s="1875">
        <f t="shared" si="38"/>
        <v>84.666666666666671</v>
      </c>
      <c r="R96" s="1867"/>
      <c r="S96" s="1876">
        <v>10</v>
      </c>
      <c r="T96" s="1867">
        <v>27</v>
      </c>
      <c r="U96" s="1867">
        <v>22</v>
      </c>
      <c r="V96" s="1867">
        <v>20</v>
      </c>
      <c r="W96" s="1867">
        <v>30</v>
      </c>
      <c r="X96" s="1867">
        <v>18</v>
      </c>
      <c r="Y96" s="1867">
        <v>119</v>
      </c>
      <c r="Z96" s="1867">
        <v>18</v>
      </c>
      <c r="AA96" s="1867">
        <v>20</v>
      </c>
      <c r="AB96" s="1867">
        <v>13</v>
      </c>
      <c r="AC96" s="1867">
        <v>7</v>
      </c>
      <c r="AD96" s="1867">
        <v>12</v>
      </c>
      <c r="AE96" s="1875">
        <f t="shared" si="33"/>
        <v>316</v>
      </c>
      <c r="AF96" s="1875">
        <f t="shared" si="49"/>
        <v>26.333333333333332</v>
      </c>
      <c r="AG96" s="1867"/>
      <c r="AH96" s="1876">
        <v>14</v>
      </c>
      <c r="AI96" s="1867">
        <v>30</v>
      </c>
      <c r="AJ96" s="1867">
        <v>9</v>
      </c>
      <c r="AK96" s="1867">
        <v>15</v>
      </c>
      <c r="AL96" s="1867">
        <v>26</v>
      </c>
      <c r="AM96" s="1867">
        <v>20</v>
      </c>
      <c r="AN96" s="1867">
        <v>50</v>
      </c>
      <c r="AO96" s="1867">
        <v>13</v>
      </c>
      <c r="AP96" s="1867">
        <v>30</v>
      </c>
      <c r="AQ96" s="1867">
        <v>19</v>
      </c>
      <c r="AR96" s="1867">
        <v>9</v>
      </c>
      <c r="AS96" s="1867">
        <v>16</v>
      </c>
      <c r="AT96" s="1875">
        <f t="shared" si="48"/>
        <v>251</v>
      </c>
      <c r="AU96" s="1875">
        <f t="shared" si="50"/>
        <v>20.916666666666668</v>
      </c>
      <c r="AW96" s="317">
        <f t="shared" si="30"/>
        <v>4</v>
      </c>
      <c r="AX96" s="317">
        <f t="shared" si="45"/>
        <v>-5.4166666666666643</v>
      </c>
      <c r="AY96" s="1941">
        <f t="shared" si="46"/>
        <v>-65</v>
      </c>
      <c r="AZ96" s="594">
        <f t="shared" si="32"/>
        <v>7</v>
      </c>
    </row>
    <row r="97" spans="1:52" x14ac:dyDescent="0.55000000000000004">
      <c r="A97" s="7326"/>
      <c r="B97" s="8" t="s">
        <v>176</v>
      </c>
      <c r="C97" s="19"/>
      <c r="D97" s="170">
        <v>196</v>
      </c>
      <c r="E97" s="170">
        <v>334</v>
      </c>
      <c r="F97" s="170">
        <v>155</v>
      </c>
      <c r="G97" s="170">
        <v>154</v>
      </c>
      <c r="H97" s="170">
        <v>182</v>
      </c>
      <c r="I97" s="170">
        <v>85</v>
      </c>
      <c r="J97" s="170">
        <v>63</v>
      </c>
      <c r="K97" s="170">
        <v>243</v>
      </c>
      <c r="L97" s="170">
        <v>36</v>
      </c>
      <c r="M97" s="170">
        <v>164</v>
      </c>
      <c r="N97" s="170">
        <v>27</v>
      </c>
      <c r="O97" s="170">
        <v>16</v>
      </c>
      <c r="P97" s="1875">
        <f t="shared" si="43"/>
        <v>1655</v>
      </c>
      <c r="Q97" s="1875">
        <f t="shared" si="38"/>
        <v>137.91666666666666</v>
      </c>
      <c r="R97" s="1867"/>
      <c r="S97" s="1876">
        <v>38</v>
      </c>
      <c r="T97" s="1867">
        <v>43</v>
      </c>
      <c r="U97" s="1867">
        <v>64</v>
      </c>
      <c r="V97" s="1867">
        <v>59</v>
      </c>
      <c r="W97" s="1867">
        <v>88</v>
      </c>
      <c r="X97" s="1867">
        <v>52</v>
      </c>
      <c r="Y97" s="1867">
        <v>176</v>
      </c>
      <c r="Z97" s="1867">
        <v>56</v>
      </c>
      <c r="AA97" s="1867">
        <v>65</v>
      </c>
      <c r="AB97" s="1867">
        <v>68</v>
      </c>
      <c r="AC97" s="1867">
        <v>43</v>
      </c>
      <c r="AD97" s="1867">
        <v>33</v>
      </c>
      <c r="AE97" s="1875">
        <f t="shared" si="33"/>
        <v>785</v>
      </c>
      <c r="AF97" s="1875">
        <f t="shared" si="49"/>
        <v>65.416666666666671</v>
      </c>
      <c r="AG97" s="1867"/>
      <c r="AH97" s="1876">
        <v>40</v>
      </c>
      <c r="AI97" s="1867">
        <v>109</v>
      </c>
      <c r="AJ97" s="1867">
        <v>53</v>
      </c>
      <c r="AK97" s="1867">
        <v>30</v>
      </c>
      <c r="AL97" s="1867">
        <v>45</v>
      </c>
      <c r="AM97" s="1867">
        <v>24</v>
      </c>
      <c r="AN97" s="1867">
        <v>65</v>
      </c>
      <c r="AO97" s="1867">
        <v>21</v>
      </c>
      <c r="AP97" s="1867">
        <v>46</v>
      </c>
      <c r="AQ97" s="1867">
        <v>54</v>
      </c>
      <c r="AR97" s="1867">
        <v>66</v>
      </c>
      <c r="AS97" s="1867">
        <v>13</v>
      </c>
      <c r="AT97" s="1875">
        <f t="shared" si="48"/>
        <v>566</v>
      </c>
      <c r="AU97" s="1875">
        <f t="shared" si="50"/>
        <v>47.166666666666664</v>
      </c>
      <c r="AW97" s="317">
        <f t="shared" si="30"/>
        <v>-20</v>
      </c>
      <c r="AX97" s="317">
        <f t="shared" si="45"/>
        <v>-18.250000000000007</v>
      </c>
      <c r="AY97" s="1941">
        <f t="shared" si="46"/>
        <v>-219</v>
      </c>
      <c r="AZ97" s="594">
        <f t="shared" si="32"/>
        <v>-53</v>
      </c>
    </row>
    <row r="98" spans="1:52" x14ac:dyDescent="0.55000000000000004">
      <c r="A98" s="7326"/>
      <c r="B98" s="8" t="s">
        <v>177</v>
      </c>
      <c r="C98" s="19"/>
      <c r="D98" s="170">
        <v>151</v>
      </c>
      <c r="E98" s="170">
        <v>255</v>
      </c>
      <c r="F98" s="170">
        <v>162</v>
      </c>
      <c r="G98" s="170">
        <v>116</v>
      </c>
      <c r="H98" s="170">
        <v>97</v>
      </c>
      <c r="I98" s="170">
        <v>25</v>
      </c>
      <c r="J98" s="170">
        <v>51</v>
      </c>
      <c r="K98" s="170">
        <v>66</v>
      </c>
      <c r="L98" s="170">
        <v>23</v>
      </c>
      <c r="M98" s="170">
        <v>81</v>
      </c>
      <c r="N98" s="170">
        <v>18</v>
      </c>
      <c r="O98" s="170">
        <v>11</v>
      </c>
      <c r="P98" s="1875">
        <f t="shared" si="43"/>
        <v>1056</v>
      </c>
      <c r="Q98" s="1875">
        <f t="shared" si="38"/>
        <v>88</v>
      </c>
      <c r="R98" s="1867"/>
      <c r="S98" s="1876">
        <v>18</v>
      </c>
      <c r="T98" s="1867">
        <v>17</v>
      </c>
      <c r="U98" s="1867">
        <v>36</v>
      </c>
      <c r="V98" s="1867">
        <v>33</v>
      </c>
      <c r="W98" s="1867">
        <v>57</v>
      </c>
      <c r="X98" s="1867">
        <v>33</v>
      </c>
      <c r="Y98" s="1867">
        <v>137</v>
      </c>
      <c r="Z98" s="1867">
        <v>41</v>
      </c>
      <c r="AA98" s="1867">
        <v>52</v>
      </c>
      <c r="AB98" s="1867">
        <v>41</v>
      </c>
      <c r="AC98" s="1867">
        <v>30</v>
      </c>
      <c r="AD98" s="1867">
        <v>18</v>
      </c>
      <c r="AE98" s="1875">
        <f t="shared" si="33"/>
        <v>513</v>
      </c>
      <c r="AF98" s="1875">
        <f t="shared" si="49"/>
        <v>42.75</v>
      </c>
      <c r="AG98" s="1867"/>
      <c r="AH98" s="1876">
        <v>26</v>
      </c>
      <c r="AI98" s="1867">
        <v>77</v>
      </c>
      <c r="AJ98" s="1867">
        <v>17</v>
      </c>
      <c r="AK98" s="1867">
        <v>31</v>
      </c>
      <c r="AL98" s="1867">
        <v>36</v>
      </c>
      <c r="AM98" s="1867">
        <v>29</v>
      </c>
      <c r="AN98" s="1867">
        <v>65.5</v>
      </c>
      <c r="AO98" s="1867">
        <v>29</v>
      </c>
      <c r="AP98" s="1867">
        <v>65.5</v>
      </c>
      <c r="AQ98" s="1867">
        <v>32</v>
      </c>
      <c r="AR98" s="1867">
        <v>31</v>
      </c>
      <c r="AS98" s="1867">
        <v>19</v>
      </c>
      <c r="AT98" s="1875">
        <f t="shared" si="48"/>
        <v>458</v>
      </c>
      <c r="AU98" s="1875">
        <f t="shared" si="50"/>
        <v>38.166666666666664</v>
      </c>
      <c r="AW98" s="317">
        <f t="shared" si="30"/>
        <v>1</v>
      </c>
      <c r="AX98" s="317">
        <f t="shared" si="45"/>
        <v>-4.5833333333333357</v>
      </c>
      <c r="AY98" s="1941">
        <f t="shared" si="46"/>
        <v>-55</v>
      </c>
      <c r="AZ98" s="594">
        <f t="shared" si="32"/>
        <v>-12</v>
      </c>
    </row>
    <row r="99" spans="1:52" x14ac:dyDescent="0.55000000000000004">
      <c r="A99" s="7327" t="s">
        <v>179</v>
      </c>
      <c r="B99" s="61" t="s">
        <v>68</v>
      </c>
      <c r="C99" s="62"/>
      <c r="D99" s="850">
        <v>80</v>
      </c>
      <c r="E99" s="851">
        <v>111</v>
      </c>
      <c r="F99" s="851">
        <v>141</v>
      </c>
      <c r="G99" s="851">
        <v>162</v>
      </c>
      <c r="H99" s="851">
        <v>165</v>
      </c>
      <c r="I99" s="851">
        <v>153</v>
      </c>
      <c r="J99" s="851">
        <v>144</v>
      </c>
      <c r="K99" s="851">
        <v>123</v>
      </c>
      <c r="L99" s="851">
        <v>119</v>
      </c>
      <c r="M99" s="851">
        <v>121</v>
      </c>
      <c r="N99" s="851">
        <v>143</v>
      </c>
      <c r="O99" s="852">
        <v>125</v>
      </c>
      <c r="P99" s="1923">
        <f t="shared" si="43"/>
        <v>1587</v>
      </c>
      <c r="Q99" s="1923">
        <f t="shared" si="38"/>
        <v>132.25</v>
      </c>
      <c r="R99" s="1867"/>
      <c r="S99" s="1924">
        <v>127</v>
      </c>
      <c r="T99" s="1925">
        <v>125</v>
      </c>
      <c r="U99" s="1925">
        <v>140</v>
      </c>
      <c r="V99" s="1925">
        <v>136</v>
      </c>
      <c r="W99" s="1925">
        <v>124</v>
      </c>
      <c r="X99" s="1925">
        <v>145</v>
      </c>
      <c r="Y99" s="1925">
        <v>123</v>
      </c>
      <c r="Z99" s="1925">
        <v>180</v>
      </c>
      <c r="AA99" s="1925">
        <v>128</v>
      </c>
      <c r="AB99" s="1925">
        <v>131</v>
      </c>
      <c r="AC99" s="1925">
        <v>113</v>
      </c>
      <c r="AD99" s="1926">
        <v>127</v>
      </c>
      <c r="AE99" s="1923">
        <f t="shared" si="33"/>
        <v>1599</v>
      </c>
      <c r="AF99" s="1923">
        <f t="shared" si="49"/>
        <v>133.25</v>
      </c>
      <c r="AG99" s="1867"/>
      <c r="AH99" s="1924">
        <v>87</v>
      </c>
      <c r="AI99" s="1925">
        <v>97</v>
      </c>
      <c r="AJ99" s="1925">
        <v>130</v>
      </c>
      <c r="AK99" s="1925">
        <v>148</v>
      </c>
      <c r="AL99" s="1925">
        <v>236</v>
      </c>
      <c r="AM99" s="1925">
        <v>164</v>
      </c>
      <c r="AN99" s="1925">
        <v>186</v>
      </c>
      <c r="AO99" s="1925">
        <v>206</v>
      </c>
      <c r="AP99" s="1925">
        <v>179</v>
      </c>
      <c r="AQ99" s="1925">
        <v>173</v>
      </c>
      <c r="AR99" s="1925">
        <v>116</v>
      </c>
      <c r="AS99" s="1926">
        <v>82</v>
      </c>
      <c r="AT99" s="1923">
        <f t="shared" si="48"/>
        <v>1804</v>
      </c>
      <c r="AU99" s="1923">
        <f t="shared" si="50"/>
        <v>150.33333333333334</v>
      </c>
      <c r="AW99" s="317">
        <f t="shared" si="30"/>
        <v>-45</v>
      </c>
      <c r="AX99" s="317">
        <f t="shared" si="45"/>
        <v>17.083333333333343</v>
      </c>
      <c r="AY99" s="1941">
        <f t="shared" si="46"/>
        <v>205</v>
      </c>
      <c r="AZ99" s="594">
        <f t="shared" si="32"/>
        <v>-34</v>
      </c>
    </row>
    <row r="100" spans="1:52" x14ac:dyDescent="0.55000000000000004">
      <c r="A100" s="7328"/>
      <c r="B100" s="10" t="s">
        <v>69</v>
      </c>
      <c r="C100" s="11"/>
      <c r="D100" s="853">
        <v>115</v>
      </c>
      <c r="E100" s="854">
        <v>149</v>
      </c>
      <c r="F100" s="854">
        <v>160</v>
      </c>
      <c r="G100" s="854">
        <v>115</v>
      </c>
      <c r="H100" s="854">
        <v>178</v>
      </c>
      <c r="I100" s="854">
        <v>113</v>
      </c>
      <c r="J100" s="854">
        <v>110</v>
      </c>
      <c r="K100" s="854">
        <v>137</v>
      </c>
      <c r="L100" s="854">
        <v>141</v>
      </c>
      <c r="M100" s="854">
        <v>133</v>
      </c>
      <c r="N100" s="854">
        <v>135</v>
      </c>
      <c r="O100" s="855">
        <v>117</v>
      </c>
      <c r="P100" s="1927">
        <f t="shared" si="43"/>
        <v>1603</v>
      </c>
      <c r="Q100" s="1927">
        <f t="shared" si="38"/>
        <v>133.58333333333334</v>
      </c>
      <c r="R100" s="1867"/>
      <c r="S100" s="1928">
        <v>252</v>
      </c>
      <c r="T100" s="1929">
        <v>104</v>
      </c>
      <c r="U100" s="1929">
        <v>127</v>
      </c>
      <c r="V100" s="1929">
        <v>109</v>
      </c>
      <c r="W100" s="1929">
        <v>88</v>
      </c>
      <c r="X100" s="1929">
        <v>120</v>
      </c>
      <c r="Y100" s="1929">
        <v>104</v>
      </c>
      <c r="Z100" s="1929">
        <v>82</v>
      </c>
      <c r="AA100" s="1929">
        <v>146</v>
      </c>
      <c r="AB100" s="1930">
        <v>128</v>
      </c>
      <c r="AC100" s="1929">
        <v>103</v>
      </c>
      <c r="AD100" s="1931">
        <v>86</v>
      </c>
      <c r="AE100" s="1927">
        <f t="shared" si="33"/>
        <v>1449</v>
      </c>
      <c r="AF100" s="1927">
        <f t="shared" si="49"/>
        <v>120.75</v>
      </c>
      <c r="AG100" s="1867"/>
      <c r="AH100" s="1928">
        <v>67</v>
      </c>
      <c r="AI100" s="1929">
        <v>88</v>
      </c>
      <c r="AJ100" s="1930">
        <v>90</v>
      </c>
      <c r="AK100" s="1929">
        <v>90</v>
      </c>
      <c r="AL100" s="1929">
        <v>196</v>
      </c>
      <c r="AM100" s="1930">
        <v>65</v>
      </c>
      <c r="AN100" s="1929">
        <v>101</v>
      </c>
      <c r="AO100" s="1930">
        <v>71</v>
      </c>
      <c r="AP100" s="1929">
        <v>103</v>
      </c>
      <c r="AQ100" s="1930">
        <v>96</v>
      </c>
      <c r="AR100" s="1929">
        <v>85</v>
      </c>
      <c r="AS100" s="1931">
        <v>55</v>
      </c>
      <c r="AT100" s="1927">
        <f t="shared" si="48"/>
        <v>1107</v>
      </c>
      <c r="AU100" s="1927">
        <f t="shared" si="50"/>
        <v>92.25</v>
      </c>
      <c r="AW100" s="317">
        <f t="shared" si="30"/>
        <v>-31</v>
      </c>
      <c r="AX100" s="317">
        <f t="shared" si="45"/>
        <v>-28.5</v>
      </c>
      <c r="AY100" s="1941">
        <f t="shared" si="46"/>
        <v>-342</v>
      </c>
      <c r="AZ100" s="594">
        <f t="shared" si="32"/>
        <v>-30</v>
      </c>
    </row>
    <row r="101" spans="1:52" x14ac:dyDescent="0.55000000000000004">
      <c r="A101" s="7328"/>
      <c r="B101" s="10" t="s">
        <v>70</v>
      </c>
      <c r="C101" s="11"/>
      <c r="D101" s="853">
        <v>64</v>
      </c>
      <c r="E101" s="854">
        <v>100</v>
      </c>
      <c r="F101" s="854">
        <v>105</v>
      </c>
      <c r="G101" s="854">
        <v>132</v>
      </c>
      <c r="H101" s="854">
        <v>117</v>
      </c>
      <c r="I101" s="854">
        <v>122</v>
      </c>
      <c r="J101" s="854">
        <v>114</v>
      </c>
      <c r="K101" s="854">
        <v>116</v>
      </c>
      <c r="L101" s="854">
        <v>89</v>
      </c>
      <c r="M101" s="854">
        <v>103</v>
      </c>
      <c r="N101" s="854">
        <v>140</v>
      </c>
      <c r="O101" s="855">
        <v>153</v>
      </c>
      <c r="P101" s="1927">
        <f t="shared" si="43"/>
        <v>1355</v>
      </c>
      <c r="Q101" s="1927">
        <f t="shared" si="38"/>
        <v>112.91666666666667</v>
      </c>
      <c r="R101" s="1867"/>
      <c r="S101" s="1928">
        <v>109</v>
      </c>
      <c r="T101" s="1929">
        <v>95</v>
      </c>
      <c r="U101" s="1929">
        <v>103</v>
      </c>
      <c r="V101" s="1929">
        <v>103</v>
      </c>
      <c r="W101" s="1929">
        <v>110</v>
      </c>
      <c r="X101" s="1929">
        <v>115</v>
      </c>
      <c r="Y101" s="1929">
        <v>141</v>
      </c>
      <c r="Z101" s="1929">
        <v>134</v>
      </c>
      <c r="AA101" s="1929">
        <v>111</v>
      </c>
      <c r="AB101" s="1930">
        <v>204</v>
      </c>
      <c r="AC101" s="1929">
        <v>96</v>
      </c>
      <c r="AD101" s="1931">
        <v>80</v>
      </c>
      <c r="AE101" s="1927">
        <f t="shared" si="33"/>
        <v>1401</v>
      </c>
      <c r="AF101" s="1927">
        <f t="shared" si="49"/>
        <v>116.75</v>
      </c>
      <c r="AG101" s="1867"/>
      <c r="AH101" s="1928">
        <v>167</v>
      </c>
      <c r="AI101" s="1929">
        <v>94</v>
      </c>
      <c r="AJ101" s="1930">
        <v>116</v>
      </c>
      <c r="AK101" s="1929">
        <v>110</v>
      </c>
      <c r="AL101" s="1929">
        <v>140</v>
      </c>
      <c r="AM101" s="1930">
        <v>104</v>
      </c>
      <c r="AN101" s="1929">
        <v>130</v>
      </c>
      <c r="AO101" s="1930">
        <v>126</v>
      </c>
      <c r="AP101" s="1929">
        <v>120</v>
      </c>
      <c r="AQ101" s="1930">
        <v>56</v>
      </c>
      <c r="AR101" s="1929">
        <v>95</v>
      </c>
      <c r="AS101" s="1931">
        <v>67</v>
      </c>
      <c r="AT101" s="1927">
        <f t="shared" si="48"/>
        <v>1325</v>
      </c>
      <c r="AU101" s="1927">
        <f t="shared" si="50"/>
        <v>110.41666666666667</v>
      </c>
      <c r="AW101" s="317">
        <f t="shared" si="30"/>
        <v>-13</v>
      </c>
      <c r="AX101" s="317">
        <f t="shared" si="45"/>
        <v>-6.3333333333333286</v>
      </c>
      <c r="AY101" s="1941">
        <f t="shared" si="46"/>
        <v>-76</v>
      </c>
      <c r="AZ101" s="594">
        <f t="shared" si="32"/>
        <v>-28</v>
      </c>
    </row>
    <row r="102" spans="1:52" x14ac:dyDescent="0.55000000000000004">
      <c r="A102" s="7328"/>
      <c r="B102" s="10" t="s">
        <v>176</v>
      </c>
      <c r="C102" s="11"/>
      <c r="D102" s="853">
        <v>104</v>
      </c>
      <c r="E102" s="854">
        <v>124</v>
      </c>
      <c r="F102" s="854">
        <v>152</v>
      </c>
      <c r="G102" s="854">
        <v>155</v>
      </c>
      <c r="H102" s="854">
        <v>182</v>
      </c>
      <c r="I102" s="854">
        <v>176</v>
      </c>
      <c r="J102" s="854">
        <v>160</v>
      </c>
      <c r="K102" s="854">
        <v>159</v>
      </c>
      <c r="L102" s="854">
        <v>198</v>
      </c>
      <c r="M102" s="854">
        <v>138</v>
      </c>
      <c r="N102" s="854">
        <v>155</v>
      </c>
      <c r="O102" s="855">
        <v>155</v>
      </c>
      <c r="P102" s="1927">
        <f t="shared" si="43"/>
        <v>1858</v>
      </c>
      <c r="Q102" s="1927">
        <f t="shared" si="38"/>
        <v>154.83333333333334</v>
      </c>
      <c r="R102" s="1867"/>
      <c r="S102" s="1928">
        <v>143</v>
      </c>
      <c r="T102" s="1929">
        <v>130</v>
      </c>
      <c r="U102" s="1929">
        <v>175</v>
      </c>
      <c r="V102" s="1929">
        <v>178</v>
      </c>
      <c r="W102" s="1929">
        <v>199</v>
      </c>
      <c r="X102" s="1929">
        <v>193</v>
      </c>
      <c r="Y102" s="1929">
        <v>183</v>
      </c>
      <c r="Z102" s="1929">
        <v>138</v>
      </c>
      <c r="AA102" s="1929">
        <v>156</v>
      </c>
      <c r="AB102" s="1930">
        <v>169</v>
      </c>
      <c r="AC102" s="1929">
        <v>98</v>
      </c>
      <c r="AD102" s="1931">
        <v>105</v>
      </c>
      <c r="AE102" s="1927">
        <f t="shared" si="33"/>
        <v>1867</v>
      </c>
      <c r="AF102" s="1927">
        <f t="shared" si="49"/>
        <v>155.58333333333334</v>
      </c>
      <c r="AG102" s="1867"/>
      <c r="AH102" s="1928">
        <v>125</v>
      </c>
      <c r="AI102" s="1929">
        <v>102</v>
      </c>
      <c r="AJ102" s="1930">
        <v>167</v>
      </c>
      <c r="AK102" s="1929">
        <v>303</v>
      </c>
      <c r="AL102" s="1929">
        <v>257</v>
      </c>
      <c r="AM102" s="1930">
        <v>179</v>
      </c>
      <c r="AN102" s="1929">
        <v>417</v>
      </c>
      <c r="AO102" s="1930">
        <v>228</v>
      </c>
      <c r="AP102" s="1929">
        <v>235</v>
      </c>
      <c r="AQ102" s="1930">
        <v>111</v>
      </c>
      <c r="AR102" s="1929">
        <v>72</v>
      </c>
      <c r="AS102" s="1931">
        <v>74</v>
      </c>
      <c r="AT102" s="1927">
        <f t="shared" si="48"/>
        <v>2270</v>
      </c>
      <c r="AU102" s="1927">
        <f t="shared" si="50"/>
        <v>189.16666666666666</v>
      </c>
      <c r="AW102" s="317">
        <f t="shared" si="30"/>
        <v>-31</v>
      </c>
      <c r="AX102" s="317">
        <f t="shared" si="45"/>
        <v>33.583333333333314</v>
      </c>
      <c r="AY102" s="1941">
        <f t="shared" si="46"/>
        <v>403</v>
      </c>
      <c r="AZ102" s="594">
        <f t="shared" si="32"/>
        <v>2</v>
      </c>
    </row>
    <row r="103" spans="1:52" x14ac:dyDescent="0.55000000000000004">
      <c r="A103" s="7329"/>
      <c r="B103" s="63" t="s">
        <v>177</v>
      </c>
      <c r="C103" s="64"/>
      <c r="D103" s="856">
        <v>141</v>
      </c>
      <c r="E103" s="857">
        <v>164</v>
      </c>
      <c r="F103" s="857">
        <v>176</v>
      </c>
      <c r="G103" s="857">
        <v>162</v>
      </c>
      <c r="H103" s="857">
        <v>189</v>
      </c>
      <c r="I103" s="857">
        <v>237</v>
      </c>
      <c r="J103" s="857">
        <v>187</v>
      </c>
      <c r="K103" s="857">
        <v>153</v>
      </c>
      <c r="L103" s="857">
        <v>132</v>
      </c>
      <c r="M103" s="857">
        <v>148</v>
      </c>
      <c r="N103" s="857">
        <v>174</v>
      </c>
      <c r="O103" s="858">
        <v>153</v>
      </c>
      <c r="P103" s="1932">
        <f t="shared" si="43"/>
        <v>2016</v>
      </c>
      <c r="Q103" s="1932">
        <f t="shared" si="38"/>
        <v>168</v>
      </c>
      <c r="R103" s="1867"/>
      <c r="S103" s="1933">
        <v>143</v>
      </c>
      <c r="T103" s="1934">
        <v>170</v>
      </c>
      <c r="U103" s="1934">
        <v>186</v>
      </c>
      <c r="V103" s="1934">
        <v>146</v>
      </c>
      <c r="W103" s="1934">
        <v>206</v>
      </c>
      <c r="X103" s="1934">
        <v>372</v>
      </c>
      <c r="Y103" s="1934">
        <v>300</v>
      </c>
      <c r="Z103" s="1934">
        <v>177</v>
      </c>
      <c r="AA103" s="1934">
        <v>351</v>
      </c>
      <c r="AB103" s="1934">
        <v>176</v>
      </c>
      <c r="AC103" s="1934">
        <v>172</v>
      </c>
      <c r="AD103" s="1935">
        <v>155</v>
      </c>
      <c r="AE103" s="1932">
        <f t="shared" si="33"/>
        <v>2554</v>
      </c>
      <c r="AF103" s="1932">
        <f t="shared" si="49"/>
        <v>212.83333333333334</v>
      </c>
      <c r="AG103" s="1867"/>
      <c r="AH103" s="1933">
        <v>105</v>
      </c>
      <c r="AI103" s="1934">
        <v>148</v>
      </c>
      <c r="AJ103" s="1934">
        <v>272</v>
      </c>
      <c r="AK103" s="1934">
        <v>140</v>
      </c>
      <c r="AL103" s="1934">
        <v>129</v>
      </c>
      <c r="AM103" s="1934">
        <v>295</v>
      </c>
      <c r="AN103" s="1934">
        <v>237</v>
      </c>
      <c r="AO103" s="1934">
        <v>199</v>
      </c>
      <c r="AP103" s="1934">
        <v>250</v>
      </c>
      <c r="AQ103" s="1934">
        <v>142</v>
      </c>
      <c r="AR103" s="1934">
        <v>119</v>
      </c>
      <c r="AS103" s="1935">
        <v>103</v>
      </c>
      <c r="AT103" s="1932">
        <f t="shared" si="48"/>
        <v>2139</v>
      </c>
      <c r="AU103" s="1932">
        <f t="shared" si="50"/>
        <v>178.25</v>
      </c>
      <c r="AW103" s="317">
        <f t="shared" si="30"/>
        <v>-52</v>
      </c>
      <c r="AX103" s="317">
        <f t="shared" si="45"/>
        <v>-34.583333333333343</v>
      </c>
      <c r="AY103" s="1941">
        <f t="shared" si="46"/>
        <v>-415</v>
      </c>
      <c r="AZ103" s="594">
        <f t="shared" si="32"/>
        <v>-16</v>
      </c>
    </row>
    <row r="104" spans="1:52" x14ac:dyDescent="0.55000000000000004">
      <c r="A104" s="7326" t="s">
        <v>180</v>
      </c>
      <c r="B104" s="8" t="s">
        <v>68</v>
      </c>
      <c r="C104" s="19"/>
      <c r="D104" s="170">
        <v>100</v>
      </c>
      <c r="E104" s="170">
        <v>111</v>
      </c>
      <c r="F104" s="170">
        <v>136</v>
      </c>
      <c r="G104" s="170">
        <v>134</v>
      </c>
      <c r="H104" s="170">
        <v>204</v>
      </c>
      <c r="I104" s="170">
        <v>318</v>
      </c>
      <c r="J104" s="170">
        <v>210</v>
      </c>
      <c r="K104" s="170">
        <v>229</v>
      </c>
      <c r="L104" s="170">
        <v>105</v>
      </c>
      <c r="M104" s="170">
        <v>92</v>
      </c>
      <c r="N104" s="170">
        <v>115</v>
      </c>
      <c r="O104" s="170">
        <v>164</v>
      </c>
      <c r="P104" s="1875">
        <f t="shared" si="43"/>
        <v>1918</v>
      </c>
      <c r="Q104" s="1875">
        <f t="shared" si="38"/>
        <v>159.83333333333334</v>
      </c>
      <c r="R104" s="1867"/>
      <c r="S104" s="1876">
        <v>121</v>
      </c>
      <c r="T104" s="1867">
        <v>101</v>
      </c>
      <c r="U104" s="1867">
        <v>140</v>
      </c>
      <c r="V104" s="1867">
        <v>194</v>
      </c>
      <c r="W104" s="1867">
        <v>93</v>
      </c>
      <c r="X104" s="1867">
        <v>306</v>
      </c>
      <c r="Y104" s="1936">
        <v>144</v>
      </c>
      <c r="Z104" s="1867">
        <v>200</v>
      </c>
      <c r="AA104" s="1867">
        <v>166</v>
      </c>
      <c r="AB104" s="1867">
        <v>128</v>
      </c>
      <c r="AC104" s="1867">
        <v>92</v>
      </c>
      <c r="AD104" s="1867">
        <v>97</v>
      </c>
      <c r="AE104" s="1875">
        <f t="shared" si="33"/>
        <v>1782</v>
      </c>
      <c r="AF104" s="1875">
        <f t="shared" si="49"/>
        <v>148.5</v>
      </c>
      <c r="AG104" s="1867"/>
      <c r="AH104" s="1876">
        <v>107</v>
      </c>
      <c r="AI104" s="1867">
        <v>145</v>
      </c>
      <c r="AJ104" s="1867">
        <v>108</v>
      </c>
      <c r="AK104" s="1867">
        <v>160</v>
      </c>
      <c r="AL104" s="1867">
        <v>176</v>
      </c>
      <c r="AM104" s="1867">
        <v>150</v>
      </c>
      <c r="AN104" s="1936">
        <v>358</v>
      </c>
      <c r="AO104" s="1867">
        <v>513</v>
      </c>
      <c r="AP104" s="1867">
        <v>275</v>
      </c>
      <c r="AQ104" s="1867">
        <v>505</v>
      </c>
      <c r="AR104" s="1867">
        <v>148</v>
      </c>
      <c r="AS104" s="1867">
        <v>66</v>
      </c>
      <c r="AT104" s="1875">
        <f t="shared" si="48"/>
        <v>2711</v>
      </c>
      <c r="AU104" s="1875">
        <f t="shared" si="50"/>
        <v>225.91666666666666</v>
      </c>
      <c r="AW104" s="317">
        <f t="shared" si="30"/>
        <v>-31</v>
      </c>
      <c r="AX104" s="317">
        <f t="shared" si="45"/>
        <v>77.416666666666657</v>
      </c>
      <c r="AY104" s="1941">
        <f t="shared" si="46"/>
        <v>929</v>
      </c>
      <c r="AZ104" s="594">
        <f t="shared" si="32"/>
        <v>-82</v>
      </c>
    </row>
    <row r="105" spans="1:52" x14ac:dyDescent="0.55000000000000004">
      <c r="A105" s="7326"/>
      <c r="B105" s="8" t="s">
        <v>69</v>
      </c>
      <c r="C105" s="19"/>
      <c r="D105" s="170">
        <v>77</v>
      </c>
      <c r="E105" s="170">
        <v>160</v>
      </c>
      <c r="F105" s="170">
        <v>109</v>
      </c>
      <c r="G105" s="170">
        <v>247</v>
      </c>
      <c r="H105" s="170">
        <v>391</v>
      </c>
      <c r="I105" s="170">
        <v>142</v>
      </c>
      <c r="J105" s="170">
        <v>130</v>
      </c>
      <c r="K105" s="170">
        <v>173</v>
      </c>
      <c r="L105" s="170">
        <v>207</v>
      </c>
      <c r="M105" s="170">
        <v>86</v>
      </c>
      <c r="N105" s="170">
        <v>55</v>
      </c>
      <c r="O105" s="170">
        <v>80</v>
      </c>
      <c r="P105" s="1875">
        <f t="shared" si="43"/>
        <v>1857</v>
      </c>
      <c r="Q105" s="1875">
        <f t="shared" si="38"/>
        <v>154.75</v>
      </c>
      <c r="R105" s="1867"/>
      <c r="S105" s="1876">
        <v>39</v>
      </c>
      <c r="T105" s="1867">
        <v>45</v>
      </c>
      <c r="U105" s="1867">
        <v>107</v>
      </c>
      <c r="V105" s="1867">
        <v>82</v>
      </c>
      <c r="W105" s="1867">
        <v>124</v>
      </c>
      <c r="X105" s="1867">
        <v>190</v>
      </c>
      <c r="Y105" s="1936">
        <v>73</v>
      </c>
      <c r="Z105" s="1867">
        <v>104</v>
      </c>
      <c r="AA105" s="1867">
        <v>135</v>
      </c>
      <c r="AB105" s="1867">
        <v>178</v>
      </c>
      <c r="AC105" s="1867">
        <v>69</v>
      </c>
      <c r="AD105" s="1867">
        <v>58</v>
      </c>
      <c r="AE105" s="1875">
        <f t="shared" si="33"/>
        <v>1204</v>
      </c>
      <c r="AF105" s="1875">
        <f t="shared" si="49"/>
        <v>100.33333333333333</v>
      </c>
      <c r="AG105" s="1867"/>
      <c r="AH105" s="1876">
        <v>24</v>
      </c>
      <c r="AI105" s="1867">
        <v>50</v>
      </c>
      <c r="AJ105" s="1867">
        <v>46</v>
      </c>
      <c r="AK105" s="1867">
        <v>50</v>
      </c>
      <c r="AL105" s="1867">
        <v>78</v>
      </c>
      <c r="AM105" s="1867">
        <v>19</v>
      </c>
      <c r="AN105" s="1936">
        <v>108</v>
      </c>
      <c r="AO105" s="1867">
        <v>65</v>
      </c>
      <c r="AP105" s="1867">
        <v>118</v>
      </c>
      <c r="AQ105" s="1867">
        <v>135</v>
      </c>
      <c r="AR105" s="1867">
        <v>104</v>
      </c>
      <c r="AS105" s="1867">
        <v>91</v>
      </c>
      <c r="AT105" s="1875">
        <f t="shared" si="48"/>
        <v>888</v>
      </c>
      <c r="AU105" s="1875">
        <f t="shared" si="50"/>
        <v>74</v>
      </c>
      <c r="AW105" s="317">
        <f t="shared" si="30"/>
        <v>33</v>
      </c>
      <c r="AX105" s="317">
        <f t="shared" si="45"/>
        <v>-26.333333333333329</v>
      </c>
      <c r="AY105" s="1941">
        <f t="shared" si="46"/>
        <v>-316</v>
      </c>
      <c r="AZ105" s="594">
        <f t="shared" si="32"/>
        <v>-13</v>
      </c>
    </row>
    <row r="106" spans="1:52" x14ac:dyDescent="0.55000000000000004">
      <c r="A106" s="7326"/>
      <c r="B106" s="8" t="s">
        <v>70</v>
      </c>
      <c r="C106" s="19"/>
      <c r="D106" s="170">
        <v>142</v>
      </c>
      <c r="E106" s="170">
        <v>206</v>
      </c>
      <c r="F106" s="170">
        <v>187</v>
      </c>
      <c r="G106" s="170">
        <v>223</v>
      </c>
      <c r="H106" s="170">
        <v>349</v>
      </c>
      <c r="I106" s="170">
        <v>216</v>
      </c>
      <c r="J106" s="170">
        <v>207</v>
      </c>
      <c r="K106" s="170">
        <v>320</v>
      </c>
      <c r="L106" s="170">
        <v>104</v>
      </c>
      <c r="M106" s="170">
        <v>176</v>
      </c>
      <c r="N106" s="170">
        <v>91</v>
      </c>
      <c r="O106" s="170">
        <v>207</v>
      </c>
      <c r="P106" s="1875">
        <f t="shared" si="43"/>
        <v>2428</v>
      </c>
      <c r="Q106" s="1875">
        <f t="shared" si="38"/>
        <v>202.33333333333334</v>
      </c>
      <c r="R106" s="1867"/>
      <c r="S106" s="1876">
        <v>116</v>
      </c>
      <c r="T106" s="1867">
        <v>123</v>
      </c>
      <c r="U106" s="1867">
        <v>61</v>
      </c>
      <c r="V106" s="1867">
        <v>145</v>
      </c>
      <c r="W106" s="1867">
        <v>180</v>
      </c>
      <c r="X106" s="1867">
        <v>216</v>
      </c>
      <c r="Y106" s="1936">
        <v>326</v>
      </c>
      <c r="Z106" s="1867">
        <v>252</v>
      </c>
      <c r="AA106" s="1867">
        <v>144</v>
      </c>
      <c r="AB106" s="1867">
        <v>192</v>
      </c>
      <c r="AC106" s="1867">
        <v>57</v>
      </c>
      <c r="AD106" s="1867">
        <v>84</v>
      </c>
      <c r="AE106" s="1875">
        <f t="shared" si="33"/>
        <v>1896</v>
      </c>
      <c r="AF106" s="1875">
        <f t="shared" si="49"/>
        <v>158</v>
      </c>
      <c r="AG106" s="1867"/>
      <c r="AH106" s="1876">
        <v>147</v>
      </c>
      <c r="AI106" s="1867">
        <v>61</v>
      </c>
      <c r="AJ106" s="1867">
        <v>133</v>
      </c>
      <c r="AK106" s="1867">
        <v>87</v>
      </c>
      <c r="AL106" s="1867">
        <v>136</v>
      </c>
      <c r="AM106" s="1867">
        <v>123</v>
      </c>
      <c r="AN106" s="1936">
        <v>99</v>
      </c>
      <c r="AO106" s="1867">
        <v>194</v>
      </c>
      <c r="AP106" s="1867">
        <v>137</v>
      </c>
      <c r="AQ106" s="1867">
        <v>33</v>
      </c>
      <c r="AR106" s="1867">
        <v>138</v>
      </c>
      <c r="AS106" s="1867">
        <v>134</v>
      </c>
      <c r="AT106" s="1875">
        <f t="shared" si="48"/>
        <v>1422</v>
      </c>
      <c r="AU106" s="1875">
        <f t="shared" si="50"/>
        <v>118.5</v>
      </c>
      <c r="AW106" s="317">
        <f t="shared" si="30"/>
        <v>50</v>
      </c>
      <c r="AX106" s="317">
        <f t="shared" si="45"/>
        <v>-39.5</v>
      </c>
      <c r="AY106" s="1941">
        <f t="shared" si="46"/>
        <v>-474</v>
      </c>
      <c r="AZ106" s="594">
        <f t="shared" si="32"/>
        <v>-4</v>
      </c>
    </row>
    <row r="107" spans="1:52" x14ac:dyDescent="0.55000000000000004">
      <c r="A107" s="7326"/>
      <c r="B107" s="8" t="s">
        <v>176</v>
      </c>
      <c r="C107" s="19"/>
      <c r="D107" s="170">
        <v>98</v>
      </c>
      <c r="E107" s="170">
        <v>149</v>
      </c>
      <c r="F107" s="170">
        <v>168</v>
      </c>
      <c r="G107" s="170">
        <v>141</v>
      </c>
      <c r="H107" s="170">
        <v>188</v>
      </c>
      <c r="I107" s="170">
        <v>280</v>
      </c>
      <c r="J107" s="170">
        <v>124</v>
      </c>
      <c r="K107" s="170">
        <v>134</v>
      </c>
      <c r="L107" s="170">
        <v>259</v>
      </c>
      <c r="M107" s="170">
        <v>95</v>
      </c>
      <c r="N107" s="170">
        <v>120</v>
      </c>
      <c r="O107" s="170">
        <v>126</v>
      </c>
      <c r="P107" s="1875">
        <f t="shared" si="43"/>
        <v>1882</v>
      </c>
      <c r="Q107" s="1875">
        <f t="shared" si="38"/>
        <v>156.83333333333334</v>
      </c>
      <c r="R107" s="1867"/>
      <c r="S107" s="1876">
        <v>145</v>
      </c>
      <c r="T107" s="1867">
        <v>68</v>
      </c>
      <c r="U107" s="1867">
        <v>167</v>
      </c>
      <c r="V107" s="1867">
        <v>192</v>
      </c>
      <c r="W107" s="1867">
        <v>170</v>
      </c>
      <c r="X107" s="1867">
        <v>259</v>
      </c>
      <c r="Y107" s="1936">
        <v>224</v>
      </c>
      <c r="Z107" s="1867">
        <v>217</v>
      </c>
      <c r="AA107" s="1867">
        <v>181</v>
      </c>
      <c r="AB107" s="1867">
        <v>205</v>
      </c>
      <c r="AC107" s="1867">
        <v>111</v>
      </c>
      <c r="AD107" s="1867">
        <v>98</v>
      </c>
      <c r="AE107" s="1875">
        <f t="shared" si="33"/>
        <v>2037</v>
      </c>
      <c r="AF107" s="1875">
        <f t="shared" si="49"/>
        <v>169.75</v>
      </c>
      <c r="AG107" s="1867"/>
      <c r="AH107" s="1876">
        <v>92</v>
      </c>
      <c r="AI107" s="1867">
        <v>231</v>
      </c>
      <c r="AJ107" s="1867">
        <v>217</v>
      </c>
      <c r="AK107" s="1867">
        <v>405</v>
      </c>
      <c r="AL107" s="1867">
        <v>247</v>
      </c>
      <c r="AM107" s="1867">
        <v>197</v>
      </c>
      <c r="AN107" s="1936">
        <v>390</v>
      </c>
      <c r="AO107" s="1867">
        <v>332</v>
      </c>
      <c r="AP107" s="1867">
        <v>473</v>
      </c>
      <c r="AQ107" s="1867">
        <v>308</v>
      </c>
      <c r="AR107" s="1867">
        <v>111</v>
      </c>
      <c r="AS107" s="1867">
        <v>78</v>
      </c>
      <c r="AT107" s="1875">
        <f t="shared" si="48"/>
        <v>3081</v>
      </c>
      <c r="AU107" s="1875">
        <f t="shared" si="50"/>
        <v>256.75</v>
      </c>
      <c r="AW107" s="317">
        <f t="shared" si="30"/>
        <v>-20</v>
      </c>
      <c r="AX107" s="317">
        <f t="shared" si="45"/>
        <v>87</v>
      </c>
      <c r="AY107" s="1941">
        <f t="shared" si="46"/>
        <v>1044</v>
      </c>
      <c r="AZ107" s="594">
        <f t="shared" si="32"/>
        <v>-33</v>
      </c>
    </row>
    <row r="108" spans="1:52" x14ac:dyDescent="0.55000000000000004">
      <c r="A108" s="7326"/>
      <c r="B108" s="8" t="s">
        <v>177</v>
      </c>
      <c r="C108" s="19"/>
      <c r="D108" s="170">
        <v>129</v>
      </c>
      <c r="E108" s="170">
        <v>160</v>
      </c>
      <c r="F108" s="170">
        <v>276</v>
      </c>
      <c r="G108" s="170">
        <v>152</v>
      </c>
      <c r="H108" s="170">
        <v>226</v>
      </c>
      <c r="I108" s="170">
        <v>230</v>
      </c>
      <c r="J108" s="170">
        <v>169</v>
      </c>
      <c r="K108" s="170">
        <v>164</v>
      </c>
      <c r="L108" s="170">
        <v>114</v>
      </c>
      <c r="M108" s="170">
        <v>131</v>
      </c>
      <c r="N108" s="170">
        <v>304</v>
      </c>
      <c r="O108" s="170">
        <v>194</v>
      </c>
      <c r="P108" s="1875">
        <f t="shared" si="43"/>
        <v>2249</v>
      </c>
      <c r="Q108" s="1875">
        <f t="shared" si="38"/>
        <v>187.41666666666666</v>
      </c>
      <c r="R108" s="1867"/>
      <c r="S108" s="1876">
        <v>189</v>
      </c>
      <c r="T108" s="1867">
        <v>162</v>
      </c>
      <c r="U108" s="1867">
        <v>97</v>
      </c>
      <c r="V108" s="1867">
        <v>128</v>
      </c>
      <c r="W108" s="1867">
        <v>298</v>
      </c>
      <c r="X108" s="1867">
        <v>276</v>
      </c>
      <c r="Y108" s="1936">
        <v>348</v>
      </c>
      <c r="Z108" s="1867">
        <v>327</v>
      </c>
      <c r="AA108" s="1867">
        <v>456</v>
      </c>
      <c r="AB108" s="1867">
        <v>174</v>
      </c>
      <c r="AC108" s="1867">
        <v>259</v>
      </c>
      <c r="AD108" s="1867">
        <v>327</v>
      </c>
      <c r="AE108" s="1875">
        <f t="shared" si="33"/>
        <v>3041</v>
      </c>
      <c r="AF108" s="1875">
        <f t="shared" si="49"/>
        <v>253.41666666666666</v>
      </c>
      <c r="AG108" s="1867"/>
      <c r="AH108" s="1876">
        <v>222</v>
      </c>
      <c r="AI108" s="1867">
        <v>175</v>
      </c>
      <c r="AJ108" s="1867">
        <v>246</v>
      </c>
      <c r="AK108" s="1867">
        <v>143</v>
      </c>
      <c r="AL108" s="1867">
        <v>94</v>
      </c>
      <c r="AM108" s="1867">
        <v>498</v>
      </c>
      <c r="AN108" s="1936">
        <v>351.5</v>
      </c>
      <c r="AO108" s="1867">
        <v>342</v>
      </c>
      <c r="AP108" s="1867">
        <v>367</v>
      </c>
      <c r="AQ108" s="1867">
        <v>358</v>
      </c>
      <c r="AR108" s="1867">
        <v>325</v>
      </c>
      <c r="AS108" s="1867">
        <v>136</v>
      </c>
      <c r="AT108" s="1875">
        <f t="shared" si="48"/>
        <v>3257.5</v>
      </c>
      <c r="AU108" s="1875">
        <f t="shared" si="50"/>
        <v>271.45833333333331</v>
      </c>
      <c r="AW108" s="317">
        <f t="shared" si="30"/>
        <v>-191</v>
      </c>
      <c r="AX108" s="317">
        <f t="shared" si="45"/>
        <v>18.041666666666657</v>
      </c>
      <c r="AY108" s="1941">
        <f t="shared" si="46"/>
        <v>216.5</v>
      </c>
      <c r="AZ108" s="594">
        <f t="shared" si="32"/>
        <v>-189</v>
      </c>
    </row>
    <row r="109" spans="1:52" x14ac:dyDescent="0.55000000000000004">
      <c r="A109" s="7326"/>
      <c r="B109" s="10" t="s">
        <v>182</v>
      </c>
      <c r="C109" s="11" t="s">
        <v>68</v>
      </c>
      <c r="D109" s="846">
        <v>63</v>
      </c>
      <c r="E109" s="846">
        <v>71</v>
      </c>
      <c r="F109" s="846">
        <v>62</v>
      </c>
      <c r="G109" s="846">
        <v>41</v>
      </c>
      <c r="H109" s="846">
        <v>121</v>
      </c>
      <c r="I109" s="846">
        <v>268</v>
      </c>
      <c r="J109" s="846">
        <v>153</v>
      </c>
      <c r="K109" s="846">
        <v>179</v>
      </c>
      <c r="L109" s="846">
        <v>49</v>
      </c>
      <c r="M109" s="846">
        <v>54</v>
      </c>
      <c r="N109" s="846">
        <v>60</v>
      </c>
      <c r="O109" s="846">
        <v>164</v>
      </c>
      <c r="P109" s="1927">
        <f t="shared" si="43"/>
        <v>1285</v>
      </c>
      <c r="Q109" s="1927">
        <f t="shared" si="38"/>
        <v>107.08333333333333</v>
      </c>
      <c r="R109" s="1867"/>
      <c r="S109" s="1928">
        <v>71</v>
      </c>
      <c r="T109" s="1930">
        <v>53</v>
      </c>
      <c r="U109" s="1930">
        <v>98</v>
      </c>
      <c r="V109" s="1930">
        <v>143</v>
      </c>
      <c r="W109" s="1930">
        <v>34</v>
      </c>
      <c r="X109" s="1930">
        <v>252</v>
      </c>
      <c r="Y109" s="1930">
        <v>85</v>
      </c>
      <c r="Z109" s="1930">
        <v>32</v>
      </c>
      <c r="AA109" s="1930">
        <v>99</v>
      </c>
      <c r="AB109" s="1930">
        <v>58</v>
      </c>
      <c r="AC109" s="1930">
        <v>11</v>
      </c>
      <c r="AD109" s="1930">
        <v>40</v>
      </c>
      <c r="AE109" s="1927">
        <f t="shared" si="33"/>
        <v>976</v>
      </c>
      <c r="AF109" s="1927">
        <f t="shared" si="49"/>
        <v>81.333333333333329</v>
      </c>
      <c r="AG109" s="1867"/>
      <c r="AH109" s="1928">
        <v>63</v>
      </c>
      <c r="AI109" s="1930">
        <v>79</v>
      </c>
      <c r="AJ109" s="1930">
        <v>59</v>
      </c>
      <c r="AK109" s="1930">
        <v>105</v>
      </c>
      <c r="AL109" s="1930">
        <v>80</v>
      </c>
      <c r="AM109" s="1930">
        <v>95</v>
      </c>
      <c r="AN109" s="1930">
        <v>281</v>
      </c>
      <c r="AO109" s="1930">
        <v>466</v>
      </c>
      <c r="AP109" s="1930">
        <v>225</v>
      </c>
      <c r="AQ109" s="1930">
        <v>443</v>
      </c>
      <c r="AR109" s="1930">
        <v>103</v>
      </c>
      <c r="AS109" s="1930">
        <v>27</v>
      </c>
      <c r="AT109" s="1927">
        <f t="shared" si="48"/>
        <v>2026</v>
      </c>
      <c r="AU109" s="1927">
        <f t="shared" si="50"/>
        <v>168.83333333333334</v>
      </c>
      <c r="AW109" s="317">
        <f t="shared" si="30"/>
        <v>-13</v>
      </c>
      <c r="AX109" s="317">
        <f t="shared" si="45"/>
        <v>87.500000000000014</v>
      </c>
      <c r="AY109" s="1941">
        <f t="shared" si="46"/>
        <v>1050</v>
      </c>
      <c r="AZ109" s="594">
        <f t="shared" si="32"/>
        <v>-76</v>
      </c>
    </row>
    <row r="110" spans="1:52" x14ac:dyDescent="0.55000000000000004">
      <c r="A110" s="7326"/>
      <c r="B110" s="10"/>
      <c r="C110" s="11" t="s">
        <v>69</v>
      </c>
      <c r="D110" s="846">
        <v>16</v>
      </c>
      <c r="E110" s="846">
        <v>102</v>
      </c>
      <c r="F110" s="846">
        <v>37</v>
      </c>
      <c r="G110" s="846">
        <v>162</v>
      </c>
      <c r="H110" s="846">
        <v>286</v>
      </c>
      <c r="I110" s="846">
        <v>94</v>
      </c>
      <c r="J110" s="846">
        <v>99</v>
      </c>
      <c r="K110" s="846">
        <v>125</v>
      </c>
      <c r="L110" s="846">
        <v>166</v>
      </c>
      <c r="M110" s="846">
        <v>36</v>
      </c>
      <c r="N110" s="846">
        <v>13</v>
      </c>
      <c r="O110" s="846">
        <v>80</v>
      </c>
      <c r="P110" s="1927">
        <f t="shared" si="43"/>
        <v>1216</v>
      </c>
      <c r="Q110" s="1927">
        <f t="shared" si="38"/>
        <v>101.33333333333333</v>
      </c>
      <c r="R110" s="1867"/>
      <c r="S110" s="1928">
        <v>16</v>
      </c>
      <c r="T110" s="1930">
        <v>16</v>
      </c>
      <c r="U110" s="1930">
        <v>81</v>
      </c>
      <c r="V110" s="1930">
        <v>59</v>
      </c>
      <c r="W110" s="1930">
        <v>96</v>
      </c>
      <c r="X110" s="1930">
        <v>150</v>
      </c>
      <c r="Y110" s="1930">
        <v>28</v>
      </c>
      <c r="Z110" s="1930">
        <v>13</v>
      </c>
      <c r="AA110" s="1930">
        <v>64</v>
      </c>
      <c r="AB110" s="1930">
        <v>117</v>
      </c>
      <c r="AC110" s="1930">
        <v>16</v>
      </c>
      <c r="AD110" s="1930">
        <v>20</v>
      </c>
      <c r="AE110" s="1927">
        <f t="shared" si="33"/>
        <v>676</v>
      </c>
      <c r="AF110" s="1927">
        <f t="shared" si="49"/>
        <v>56.333333333333336</v>
      </c>
      <c r="AG110" s="1867"/>
      <c r="AH110" s="1928">
        <v>4</v>
      </c>
      <c r="AI110" s="1930">
        <v>8</v>
      </c>
      <c r="AJ110" s="1930">
        <v>12</v>
      </c>
      <c r="AK110" s="1930">
        <v>18</v>
      </c>
      <c r="AL110" s="1930">
        <v>23</v>
      </c>
      <c r="AM110" s="1930">
        <v>1</v>
      </c>
      <c r="AN110" s="1930">
        <v>85</v>
      </c>
      <c r="AO110" s="1930">
        <v>48</v>
      </c>
      <c r="AP110" s="1930">
        <v>96</v>
      </c>
      <c r="AQ110" s="1930">
        <v>120</v>
      </c>
      <c r="AR110" s="1930">
        <v>87</v>
      </c>
      <c r="AS110" s="1930">
        <v>82</v>
      </c>
      <c r="AT110" s="1927">
        <f t="shared" si="48"/>
        <v>584</v>
      </c>
      <c r="AU110" s="1927">
        <f t="shared" si="50"/>
        <v>48.666666666666664</v>
      </c>
      <c r="AW110" s="317">
        <f t="shared" si="30"/>
        <v>62</v>
      </c>
      <c r="AX110" s="317">
        <f t="shared" si="45"/>
        <v>-7.6666666666666714</v>
      </c>
      <c r="AY110" s="1941">
        <f t="shared" si="46"/>
        <v>-92</v>
      </c>
      <c r="AZ110" s="594">
        <f t="shared" si="32"/>
        <v>-5</v>
      </c>
    </row>
    <row r="111" spans="1:52" x14ac:dyDescent="0.55000000000000004">
      <c r="A111" s="7326"/>
      <c r="B111" s="10"/>
      <c r="C111" s="11" t="s">
        <v>70</v>
      </c>
      <c r="D111" s="846">
        <v>113</v>
      </c>
      <c r="E111" s="846">
        <v>150</v>
      </c>
      <c r="F111" s="846">
        <v>158</v>
      </c>
      <c r="G111" s="846">
        <v>174</v>
      </c>
      <c r="H111" s="846">
        <v>307</v>
      </c>
      <c r="I111" s="846">
        <v>173</v>
      </c>
      <c r="J111" s="846">
        <v>176</v>
      </c>
      <c r="K111" s="846">
        <v>296</v>
      </c>
      <c r="L111" s="846">
        <v>74</v>
      </c>
      <c r="M111" s="846">
        <v>139</v>
      </c>
      <c r="N111" s="846">
        <v>51</v>
      </c>
      <c r="O111" s="846">
        <v>207</v>
      </c>
      <c r="P111" s="1927">
        <f t="shared" si="43"/>
        <v>2018</v>
      </c>
      <c r="Q111" s="1927">
        <f t="shared" si="38"/>
        <v>168.16666666666666</v>
      </c>
      <c r="R111" s="1867"/>
      <c r="S111" s="1928">
        <v>84</v>
      </c>
      <c r="T111" s="1930">
        <v>103</v>
      </c>
      <c r="U111" s="1930">
        <v>27</v>
      </c>
      <c r="V111" s="1930">
        <v>124</v>
      </c>
      <c r="W111" s="1930">
        <v>140</v>
      </c>
      <c r="X111" s="1930">
        <v>187</v>
      </c>
      <c r="Y111" s="1930">
        <v>267</v>
      </c>
      <c r="Z111" s="1930">
        <v>157</v>
      </c>
      <c r="AA111" s="1930">
        <v>106</v>
      </c>
      <c r="AB111" s="1930">
        <v>107</v>
      </c>
      <c r="AC111" s="1930">
        <v>13</v>
      </c>
      <c r="AD111" s="1930">
        <v>44</v>
      </c>
      <c r="AE111" s="1927">
        <f t="shared" si="33"/>
        <v>1359</v>
      </c>
      <c r="AF111" s="1927">
        <f t="shared" si="49"/>
        <v>113.25</v>
      </c>
      <c r="AG111" s="1867"/>
      <c r="AH111" s="1928">
        <v>71</v>
      </c>
      <c r="AI111" s="1930">
        <v>8</v>
      </c>
      <c r="AJ111" s="1930">
        <v>96</v>
      </c>
      <c r="AK111" s="1930">
        <v>51</v>
      </c>
      <c r="AL111" s="1930">
        <v>70</v>
      </c>
      <c r="AM111" s="1930">
        <v>88</v>
      </c>
      <c r="AN111" s="1930">
        <v>59</v>
      </c>
      <c r="AO111" s="1930">
        <v>158</v>
      </c>
      <c r="AP111" s="1930">
        <v>100</v>
      </c>
      <c r="AQ111" s="1930">
        <v>16</v>
      </c>
      <c r="AR111" s="1930">
        <v>123</v>
      </c>
      <c r="AS111" s="1930">
        <v>123</v>
      </c>
      <c r="AT111" s="1927">
        <f t="shared" si="48"/>
        <v>963</v>
      </c>
      <c r="AU111" s="1927">
        <f t="shared" si="50"/>
        <v>80.25</v>
      </c>
      <c r="AW111" s="317">
        <f t="shared" si="30"/>
        <v>79</v>
      </c>
      <c r="AX111" s="317">
        <f t="shared" si="45"/>
        <v>-33</v>
      </c>
      <c r="AY111" s="1941">
        <f t="shared" si="46"/>
        <v>-396</v>
      </c>
      <c r="AZ111" s="594">
        <f t="shared" si="32"/>
        <v>0</v>
      </c>
    </row>
    <row r="112" spans="1:52" x14ac:dyDescent="0.55000000000000004">
      <c r="A112" s="7326"/>
      <c r="B112" s="10"/>
      <c r="C112" s="11" t="s">
        <v>176</v>
      </c>
      <c r="D112" s="846">
        <v>30</v>
      </c>
      <c r="E112" s="846">
        <v>62</v>
      </c>
      <c r="F112" s="846">
        <v>58</v>
      </c>
      <c r="G112" s="846">
        <v>50</v>
      </c>
      <c r="H112" s="846">
        <v>53</v>
      </c>
      <c r="I112" s="846">
        <v>176</v>
      </c>
      <c r="J112" s="846">
        <v>55</v>
      </c>
      <c r="K112" s="846">
        <v>58</v>
      </c>
      <c r="L112" s="846">
        <v>167</v>
      </c>
      <c r="M112" s="846">
        <v>20</v>
      </c>
      <c r="N112" s="846">
        <v>34</v>
      </c>
      <c r="O112" s="846">
        <v>126</v>
      </c>
      <c r="P112" s="1927">
        <f t="shared" si="43"/>
        <v>889</v>
      </c>
      <c r="Q112" s="1927">
        <f t="shared" si="38"/>
        <v>74.083333333333329</v>
      </c>
      <c r="R112" s="1867"/>
      <c r="S112" s="1928">
        <v>68</v>
      </c>
      <c r="T112" s="1930">
        <v>11</v>
      </c>
      <c r="U112" s="1930">
        <v>72</v>
      </c>
      <c r="V112" s="1930">
        <v>114</v>
      </c>
      <c r="W112" s="1930">
        <v>88</v>
      </c>
      <c r="X112" s="1930">
        <v>147</v>
      </c>
      <c r="Y112" s="1930">
        <v>122</v>
      </c>
      <c r="Z112" s="1930">
        <v>9</v>
      </c>
      <c r="AA112" s="1930">
        <v>71</v>
      </c>
      <c r="AB112" s="1930">
        <v>70</v>
      </c>
      <c r="AC112" s="1930">
        <v>14</v>
      </c>
      <c r="AD112" s="1930">
        <v>37</v>
      </c>
      <c r="AE112" s="1927">
        <f t="shared" si="33"/>
        <v>823</v>
      </c>
      <c r="AF112" s="1927">
        <f t="shared" si="49"/>
        <v>68.583333333333329</v>
      </c>
      <c r="AG112" s="1867"/>
      <c r="AH112" s="1928">
        <v>8</v>
      </c>
      <c r="AI112" s="1930">
        <v>183</v>
      </c>
      <c r="AJ112" s="1930">
        <v>117</v>
      </c>
      <c r="AK112" s="1930">
        <v>192</v>
      </c>
      <c r="AL112" s="1930">
        <v>18</v>
      </c>
      <c r="AM112" s="1930">
        <v>98</v>
      </c>
      <c r="AN112" s="1930">
        <v>28</v>
      </c>
      <c r="AO112" s="1930">
        <v>178</v>
      </c>
      <c r="AP112" s="1930">
        <v>315</v>
      </c>
      <c r="AQ112" s="1930">
        <v>273</v>
      </c>
      <c r="AR112" s="1930">
        <v>72</v>
      </c>
      <c r="AS112" s="1930">
        <v>47</v>
      </c>
      <c r="AT112" s="1927">
        <f t="shared" si="48"/>
        <v>1529</v>
      </c>
      <c r="AU112" s="1927">
        <f t="shared" si="50"/>
        <v>127.41666666666667</v>
      </c>
      <c r="AW112" s="317">
        <f t="shared" si="30"/>
        <v>10</v>
      </c>
      <c r="AX112" s="317">
        <f t="shared" si="45"/>
        <v>58.833333333333343</v>
      </c>
      <c r="AY112" s="1941">
        <f t="shared" si="46"/>
        <v>706</v>
      </c>
      <c r="AZ112" s="594">
        <f t="shared" si="32"/>
        <v>-25</v>
      </c>
    </row>
    <row r="113" spans="1:52" ht="18" thickBot="1" x14ac:dyDescent="0.6">
      <c r="A113" s="7330"/>
      <c r="B113" s="59"/>
      <c r="C113" s="60" t="s">
        <v>177</v>
      </c>
      <c r="D113" s="847">
        <v>42</v>
      </c>
      <c r="E113" s="848">
        <v>66</v>
      </c>
      <c r="F113" s="848">
        <v>185</v>
      </c>
      <c r="G113" s="848">
        <v>62</v>
      </c>
      <c r="H113" s="848">
        <v>127</v>
      </c>
      <c r="I113" s="848">
        <v>82</v>
      </c>
      <c r="J113" s="848">
        <v>57</v>
      </c>
      <c r="K113" s="848">
        <v>77</v>
      </c>
      <c r="L113" s="848">
        <v>32</v>
      </c>
      <c r="M113" s="848">
        <v>43</v>
      </c>
      <c r="N113" s="848">
        <v>240</v>
      </c>
      <c r="O113" s="849">
        <v>194</v>
      </c>
      <c r="P113" s="1937">
        <f t="shared" si="43"/>
        <v>1207</v>
      </c>
      <c r="Q113" s="1937">
        <f t="shared" si="38"/>
        <v>100.58333333333333</v>
      </c>
      <c r="R113" s="1867"/>
      <c r="S113" s="1938">
        <v>127</v>
      </c>
      <c r="T113" s="1939">
        <v>68</v>
      </c>
      <c r="U113" s="1939">
        <v>22</v>
      </c>
      <c r="V113" s="1939">
        <v>71</v>
      </c>
      <c r="W113" s="1939">
        <v>215</v>
      </c>
      <c r="X113" s="1939">
        <v>58</v>
      </c>
      <c r="Y113" s="1939">
        <v>191</v>
      </c>
      <c r="Z113" s="1939">
        <v>135</v>
      </c>
      <c r="AA113" s="1939">
        <v>253</v>
      </c>
      <c r="AB113" s="1939">
        <v>65</v>
      </c>
      <c r="AC113" s="1939">
        <v>151</v>
      </c>
      <c r="AD113" s="1940">
        <v>258</v>
      </c>
      <c r="AE113" s="1937">
        <f t="shared" si="33"/>
        <v>1614</v>
      </c>
      <c r="AF113" s="1937">
        <f t="shared" si="49"/>
        <v>134.5</v>
      </c>
      <c r="AG113" s="1867"/>
      <c r="AH113" s="1938">
        <v>170</v>
      </c>
      <c r="AI113" s="1939">
        <v>102</v>
      </c>
      <c r="AJ113" s="1939">
        <v>119</v>
      </c>
      <c r="AK113" s="1939">
        <v>76</v>
      </c>
      <c r="AL113" s="1939">
        <v>13</v>
      </c>
      <c r="AM113" s="1939">
        <v>349</v>
      </c>
      <c r="AN113" s="1939">
        <v>206</v>
      </c>
      <c r="AO113" s="1939">
        <v>247</v>
      </c>
      <c r="AP113" s="1939">
        <v>261</v>
      </c>
      <c r="AQ113" s="1939">
        <v>296</v>
      </c>
      <c r="AR113" s="1939">
        <v>280</v>
      </c>
      <c r="AS113" s="1940">
        <v>98</v>
      </c>
      <c r="AT113" s="1937">
        <f t="shared" si="48"/>
        <v>2217</v>
      </c>
      <c r="AU113" s="1937">
        <f t="shared" si="50"/>
        <v>184.75</v>
      </c>
      <c r="AW113" s="317">
        <f t="shared" si="30"/>
        <v>-160</v>
      </c>
      <c r="AX113" s="317">
        <f t="shared" si="45"/>
        <v>50.25</v>
      </c>
      <c r="AY113" s="1941">
        <f t="shared" si="46"/>
        <v>603</v>
      </c>
      <c r="AZ113" s="594">
        <f t="shared" si="32"/>
        <v>-182</v>
      </c>
    </row>
    <row r="114" spans="1:52" x14ac:dyDescent="0.55000000000000004">
      <c r="AY114" s="731"/>
    </row>
  </sheetData>
  <mergeCells count="11">
    <mergeCell ref="A77:A87"/>
    <mergeCell ref="A94:A98"/>
    <mergeCell ref="A99:A103"/>
    <mergeCell ref="A104:A113"/>
    <mergeCell ref="A4:A19"/>
    <mergeCell ref="A21:A31"/>
    <mergeCell ref="A32:A42"/>
    <mergeCell ref="A43:A53"/>
    <mergeCell ref="A54:A64"/>
    <mergeCell ref="A65:A75"/>
    <mergeCell ref="A89:A9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4717-797C-481F-BA1C-DF1DD6CC575C}">
  <sheetPr codeName="Sheet22">
    <tabColor theme="9" tint="0.79998168889431442"/>
    <pageSetUpPr fitToPage="1"/>
  </sheetPr>
  <dimension ref="A1:BB108"/>
  <sheetViews>
    <sheetView showGridLines="0" zoomScale="55" zoomScaleNormal="55" workbookViewId="0">
      <pane xSplit="3" topLeftCell="AC1" activePane="topRight" state="frozen"/>
      <selection activeCell="N120" sqref="N120"/>
      <selection pane="topRight" activeCell="AS8" sqref="AS8"/>
    </sheetView>
  </sheetViews>
  <sheetFormatPr defaultRowHeight="17.600000000000001" outlineLevelCol="1" x14ac:dyDescent="0.55000000000000004"/>
  <cols>
    <col min="1" max="1" width="17.42578125" customWidth="1"/>
    <col min="2" max="2" width="18" bestFit="1" customWidth="1"/>
    <col min="3" max="3" width="16.35546875" customWidth="1"/>
    <col min="4" max="15" width="8.640625" hidden="1" customWidth="1" outlineLevel="1"/>
    <col min="16" max="16" width="8.640625" customWidth="1" collapsed="1"/>
    <col min="17" max="17" width="8.640625" customWidth="1"/>
    <col min="18" max="18" width="7.35546875" customWidth="1"/>
    <col min="19" max="21" width="8.640625" customWidth="1" outlineLevel="1"/>
    <col min="22" max="22" width="10.85546875" customWidth="1" outlineLevel="1"/>
    <col min="23" max="26" width="8.640625" customWidth="1" outlineLevel="1"/>
    <col min="27" max="27" width="11.35546875" customWidth="1" outlineLevel="1"/>
    <col min="28" max="28" width="10.7109375" customWidth="1" outlineLevel="1"/>
    <col min="29" max="30" width="11.5703125" customWidth="1" outlineLevel="1"/>
    <col min="31" max="31" width="10.85546875" customWidth="1"/>
    <col min="32" max="32" width="9.7109375" customWidth="1"/>
    <col min="33" max="33" width="6.640625" customWidth="1"/>
    <col min="34" max="39" width="12.0703125" customWidth="1"/>
    <col min="40" max="40" width="11.35546875" customWidth="1"/>
    <col min="42" max="42" width="11.35546875" customWidth="1"/>
    <col min="43" max="43" width="10.7109375" bestFit="1" customWidth="1"/>
    <col min="44" max="45" width="11.5703125" customWidth="1"/>
    <col min="46" max="46" width="10.85546875" bestFit="1" customWidth="1"/>
    <col min="47" max="47" width="9.7109375" bestFit="1" customWidth="1"/>
    <col min="48" max="48" width="13.140625" customWidth="1"/>
    <col min="49" max="49" width="13" customWidth="1"/>
    <col min="50" max="50" width="15.7109375" customWidth="1"/>
    <col min="51" max="51" width="18.5703125" customWidth="1"/>
    <col min="52" max="52" width="12.140625" customWidth="1"/>
    <col min="53" max="53" width="8.640625" customWidth="1"/>
  </cols>
  <sheetData>
    <row r="1" spans="1:52" x14ac:dyDescent="0.55000000000000004">
      <c r="A1" s="1444">
        <f>'2-(1) 수수료 기준_가입자(무선)'!A1</f>
        <v>12.000999999999999</v>
      </c>
      <c r="B1" s="2366">
        <f>'※ 영기팀 작성_가입자'!B1</f>
        <v>11.000999999999999</v>
      </c>
      <c r="AN1" s="317"/>
      <c r="AY1" s="318" t="s">
        <v>473</v>
      </c>
    </row>
    <row r="2" spans="1:52" ht="18" thickBot="1" x14ac:dyDescent="0.6">
      <c r="D2" s="1436">
        <v>1.0009999999999999</v>
      </c>
      <c r="E2" s="1436">
        <v>2.0009999999999999</v>
      </c>
      <c r="F2" s="1436" t="s">
        <v>1139</v>
      </c>
      <c r="G2" s="1436">
        <v>4.0010000000000003</v>
      </c>
      <c r="H2" s="1436">
        <v>5.0010000000000003</v>
      </c>
      <c r="I2" s="1436">
        <v>6.0010000000000003</v>
      </c>
      <c r="J2" s="1436">
        <v>7.0010000000000003</v>
      </c>
      <c r="K2" s="1436">
        <v>8.0009999999999994</v>
      </c>
      <c r="L2" s="1436">
        <v>9.0009999999999994</v>
      </c>
      <c r="M2" s="1436">
        <v>10.000999999999999</v>
      </c>
      <c r="N2" s="1436">
        <v>11.000999999999999</v>
      </c>
      <c r="O2" s="1436">
        <v>12.000999999999999</v>
      </c>
      <c r="S2" s="1436">
        <v>1.0009999999999999</v>
      </c>
      <c r="T2" s="1436">
        <v>2.0009999999999999</v>
      </c>
      <c r="U2" s="1436" t="s">
        <v>1139</v>
      </c>
      <c r="V2" s="1436">
        <v>4.0010000000000003</v>
      </c>
      <c r="W2" s="1436">
        <v>5.0010000000000003</v>
      </c>
      <c r="X2" s="1436">
        <v>6.0010000000000003</v>
      </c>
      <c r="Y2" s="1436">
        <v>7.0010000000000003</v>
      </c>
      <c r="Z2" s="1436">
        <v>8.0009999999999994</v>
      </c>
      <c r="AA2" s="1436">
        <v>9.0009999999999994</v>
      </c>
      <c r="AB2" s="1436">
        <v>10.000999999999999</v>
      </c>
      <c r="AC2" s="1436">
        <v>11.000999999999999</v>
      </c>
      <c r="AD2" s="1436">
        <v>12.000999999999999</v>
      </c>
      <c r="AH2" s="1436">
        <v>1.0009999999999999</v>
      </c>
      <c r="AI2" s="1436">
        <v>2.0009999999999999</v>
      </c>
      <c r="AJ2" s="1436">
        <v>3.0009999999999999</v>
      </c>
      <c r="AK2" s="1436">
        <v>4.0010000000000003</v>
      </c>
      <c r="AL2" s="1436">
        <v>5.0010000000000003</v>
      </c>
      <c r="AM2" s="1436">
        <v>6.0010000000000003</v>
      </c>
      <c r="AN2" s="1436">
        <v>7.0010000000000003</v>
      </c>
      <c r="AO2" s="1436">
        <v>8.0009999999999994</v>
      </c>
      <c r="AP2" s="1436">
        <v>9.0009999999999994</v>
      </c>
      <c r="AQ2" s="1436">
        <v>10.000999999999999</v>
      </c>
      <c r="AR2" s="1436">
        <v>11.000999999999999</v>
      </c>
      <c r="AS2" s="1436">
        <v>12.000999999999999</v>
      </c>
    </row>
    <row r="3" spans="1:52" ht="18" thickBot="1" x14ac:dyDescent="0.6">
      <c r="A3" s="3"/>
      <c r="B3" s="4"/>
      <c r="C3" s="4"/>
      <c r="D3" s="890" t="s">
        <v>666</v>
      </c>
      <c r="E3" s="890" t="s">
        <v>667</v>
      </c>
      <c r="F3" s="890" t="s">
        <v>668</v>
      </c>
      <c r="G3" s="890" t="s">
        <v>669</v>
      </c>
      <c r="H3" s="890" t="s">
        <v>670</v>
      </c>
      <c r="I3" s="890" t="s">
        <v>671</v>
      </c>
      <c r="J3" s="890" t="s">
        <v>672</v>
      </c>
      <c r="K3" s="890" t="s">
        <v>673</v>
      </c>
      <c r="L3" s="890" t="s">
        <v>674</v>
      </c>
      <c r="M3" s="890" t="s">
        <v>675</v>
      </c>
      <c r="N3" s="890" t="s">
        <v>676</v>
      </c>
      <c r="O3" s="890" t="s">
        <v>677</v>
      </c>
      <c r="P3" s="890" t="s">
        <v>412</v>
      </c>
      <c r="Q3" s="890" t="s">
        <v>655</v>
      </c>
      <c r="S3" s="889" t="s">
        <v>2</v>
      </c>
      <c r="T3" s="889" t="s">
        <v>653</v>
      </c>
      <c r="U3" s="889" t="s">
        <v>525</v>
      </c>
      <c r="V3" s="889" t="s">
        <v>358</v>
      </c>
      <c r="W3" s="889" t="s">
        <v>359</v>
      </c>
      <c r="X3" s="889" t="s">
        <v>360</v>
      </c>
      <c r="Y3" s="889" t="s">
        <v>361</v>
      </c>
      <c r="Z3" s="889" t="s">
        <v>362</v>
      </c>
      <c r="AA3" s="889" t="s">
        <v>363</v>
      </c>
      <c r="AB3" s="889" t="s">
        <v>364</v>
      </c>
      <c r="AC3" s="889" t="s">
        <v>365</v>
      </c>
      <c r="AD3" s="889" t="s">
        <v>366</v>
      </c>
      <c r="AE3" s="890" t="s">
        <v>654</v>
      </c>
      <c r="AF3" s="890" t="s">
        <v>655</v>
      </c>
      <c r="AH3" s="2374" t="s">
        <v>1021</v>
      </c>
      <c r="AI3" s="2375" t="s">
        <v>1022</v>
      </c>
      <c r="AJ3" s="2375" t="s">
        <v>1024</v>
      </c>
      <c r="AK3" s="2375" t="s">
        <v>1025</v>
      </c>
      <c r="AL3" s="2375" t="s">
        <v>1026</v>
      </c>
      <c r="AM3" s="2375" t="s">
        <v>1027</v>
      </c>
      <c r="AN3" s="2376" t="s">
        <v>1028</v>
      </c>
      <c r="AO3" s="2376" t="s">
        <v>1029</v>
      </c>
      <c r="AP3" s="2376" t="s">
        <v>1030</v>
      </c>
      <c r="AQ3" s="2376" t="s">
        <v>1031</v>
      </c>
      <c r="AR3" s="2376" t="s">
        <v>1032</v>
      </c>
      <c r="AS3" s="2376" t="s">
        <v>1033</v>
      </c>
      <c r="AT3" s="2377" t="s">
        <v>1036</v>
      </c>
      <c r="AU3" s="2378" t="s">
        <v>655</v>
      </c>
      <c r="AW3" s="316" t="s">
        <v>463</v>
      </c>
      <c r="AX3" s="316" t="s">
        <v>465</v>
      </c>
      <c r="AY3" s="1133" t="s">
        <v>471</v>
      </c>
      <c r="AZ3" s="316" t="s">
        <v>133</v>
      </c>
    </row>
    <row r="4" spans="1:52" ht="18" thickTop="1" x14ac:dyDescent="0.55000000000000004">
      <c r="A4" s="7341" t="s">
        <v>106</v>
      </c>
      <c r="B4" s="7343" t="s">
        <v>282</v>
      </c>
      <c r="C4" s="126" t="s">
        <v>309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S4" s="732">
        <v>13958</v>
      </c>
      <c r="T4" s="733">
        <v>64</v>
      </c>
      <c r="U4" s="733">
        <v>2985</v>
      </c>
      <c r="V4" s="733">
        <v>300</v>
      </c>
      <c r="W4" s="733">
        <v>0</v>
      </c>
      <c r="X4" s="893">
        <v>19605</v>
      </c>
      <c r="Y4" s="733">
        <v>0</v>
      </c>
      <c r="Z4" s="893">
        <v>0</v>
      </c>
      <c r="AA4" s="893">
        <v>6556</v>
      </c>
      <c r="AB4" s="893">
        <v>4700</v>
      </c>
      <c r="AC4" s="893">
        <v>1012</v>
      </c>
      <c r="AD4" s="893">
        <v>380</v>
      </c>
      <c r="AE4" s="893">
        <f>SUM(S4:AD4)</f>
        <v>49560</v>
      </c>
      <c r="AF4" s="893">
        <f>AVERAGE(S4:AD4)</f>
        <v>4130</v>
      </c>
      <c r="AH4" s="2063">
        <v>12251</v>
      </c>
      <c r="AI4" s="737">
        <v>0</v>
      </c>
      <c r="AJ4" s="737">
        <v>0</v>
      </c>
      <c r="AK4" s="737">
        <v>0</v>
      </c>
      <c r="AL4" s="737">
        <v>2961</v>
      </c>
      <c r="AM4" s="737">
        <v>55</v>
      </c>
      <c r="AN4" s="737">
        <v>12849</v>
      </c>
      <c r="AO4" s="737">
        <v>0</v>
      </c>
      <c r="AP4" s="737">
        <v>11549</v>
      </c>
      <c r="AQ4" s="737">
        <v>0</v>
      </c>
      <c r="AR4" s="737">
        <v>2051</v>
      </c>
      <c r="AS4" s="737">
        <v>0</v>
      </c>
      <c r="AT4" s="737">
        <f>SUM(AH4:AS4)</f>
        <v>41716</v>
      </c>
      <c r="AU4" s="1665">
        <f>AVERAGE(AH4:AS4)</f>
        <v>3476.3333333333335</v>
      </c>
      <c r="AW4" s="317">
        <f t="shared" ref="AW4:AW35" si="0">HLOOKUP($A$1,$AH$2:$AS$402,ROW()-1,0)-HLOOKUP($A$1,$S$2:$AD$402,ROW()-1,0)</f>
        <v>-380</v>
      </c>
      <c r="AX4" s="317">
        <f>AU4-AF4</f>
        <v>-653.66666666666652</v>
      </c>
      <c r="AY4" s="1386">
        <f t="shared" ref="AY4:AY19" si="1">AT4-SUM(S4:AD4)</f>
        <v>-7844</v>
      </c>
      <c r="AZ4" s="322">
        <f t="shared" ref="AZ4:AZ35" si="2">HLOOKUP($A$1,$AH$2:$AS$401,ROW()-1,0)-HLOOKUP($B$1,$AH$2:$AS$401,ROW()-1,0)</f>
        <v>-2051</v>
      </c>
    </row>
    <row r="5" spans="1:52" x14ac:dyDescent="0.55000000000000004">
      <c r="A5" s="7342"/>
      <c r="B5" s="7344"/>
      <c r="C5" s="127" t="s">
        <v>641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S5" s="734">
        <v>98.3978872</v>
      </c>
      <c r="T5" s="735">
        <v>0.194688</v>
      </c>
      <c r="U5" s="735">
        <v>11.212149</v>
      </c>
      <c r="V5" s="735">
        <v>2.6371199999999999</v>
      </c>
      <c r="W5" s="735">
        <v>0</v>
      </c>
      <c r="X5" s="735">
        <v>135.70529269999997</v>
      </c>
      <c r="Y5" s="735">
        <v>0</v>
      </c>
      <c r="Z5" s="735">
        <v>0</v>
      </c>
      <c r="AA5" s="1096">
        <v>70.5</v>
      </c>
      <c r="AB5" s="735">
        <v>35.799999999999997</v>
      </c>
      <c r="AC5" s="735">
        <v>2.4</v>
      </c>
      <c r="AD5" s="735">
        <v>0.6</v>
      </c>
      <c r="AE5" s="735">
        <f t="shared" ref="AE5:AE28" si="3">SUM(S5:AD5)</f>
        <v>357.44713689999998</v>
      </c>
      <c r="AF5" s="735">
        <f t="shared" ref="AF5:AF28" si="4">AVERAGE(S5:AD5)</f>
        <v>29.787261408333332</v>
      </c>
      <c r="AH5" s="1663">
        <v>142.9925992</v>
      </c>
      <c r="AI5" s="737">
        <v>0</v>
      </c>
      <c r="AJ5" s="737">
        <v>0</v>
      </c>
      <c r="AK5" s="735">
        <v>0</v>
      </c>
      <c r="AL5" s="735">
        <v>35.5</v>
      </c>
      <c r="AM5" s="735">
        <v>0.1</v>
      </c>
      <c r="AN5" s="735">
        <v>10</v>
      </c>
      <c r="AO5" s="735">
        <v>0</v>
      </c>
      <c r="AP5" s="1096">
        <v>10.3</v>
      </c>
      <c r="AQ5" s="735">
        <v>0</v>
      </c>
      <c r="AR5" s="735">
        <v>6.4</v>
      </c>
      <c r="AS5" s="735">
        <v>0</v>
      </c>
      <c r="AT5" s="735">
        <f t="shared" ref="AT5:AT14" si="5">SUM(AH5:AS5)</f>
        <v>205.29259920000001</v>
      </c>
      <c r="AU5" s="1664">
        <f t="shared" ref="AU5:AU19" si="6">AVERAGE(AH5:AS5)</f>
        <v>17.1077166</v>
      </c>
      <c r="AW5" s="317">
        <f t="shared" si="0"/>
        <v>-0.6</v>
      </c>
      <c r="AX5" s="317">
        <f t="shared" ref="AX5:AX67" si="7">AU5-AF5</f>
        <v>-12.679544808333333</v>
      </c>
      <c r="AY5" s="891">
        <f t="shared" si="1"/>
        <v>-152.15453769999996</v>
      </c>
      <c r="AZ5" s="322">
        <f t="shared" si="2"/>
        <v>-6.4</v>
      </c>
    </row>
    <row r="6" spans="1:52" x14ac:dyDescent="0.55000000000000004">
      <c r="A6" s="7342"/>
      <c r="B6" s="7344"/>
      <c r="C6" s="127" t="s">
        <v>310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S6" s="736">
        <v>704956.92219515692</v>
      </c>
      <c r="T6" s="737">
        <v>304200</v>
      </c>
      <c r="U6" s="737">
        <v>375616.38190954772</v>
      </c>
      <c r="V6" s="737">
        <v>879039.99999999988</v>
      </c>
      <c r="W6" s="737">
        <v>0</v>
      </c>
      <c r="X6" s="737">
        <v>692197.36138740112</v>
      </c>
      <c r="Y6" s="737">
        <v>0</v>
      </c>
      <c r="Z6" s="737">
        <v>0</v>
      </c>
      <c r="AA6" s="1097">
        <v>1076625</v>
      </c>
      <c r="AB6" s="737">
        <v>762418</v>
      </c>
      <c r="AC6" s="737">
        <v>245716</v>
      </c>
      <c r="AD6" s="737">
        <v>173478</v>
      </c>
      <c r="AE6" s="737">
        <f t="shared" si="3"/>
        <v>5214247.6654921053</v>
      </c>
      <c r="AF6" s="737">
        <f t="shared" si="4"/>
        <v>434520.63879100879</v>
      </c>
      <c r="AH6" s="2063">
        <v>1167191.2431638234</v>
      </c>
      <c r="AI6" s="737">
        <v>0</v>
      </c>
      <c r="AJ6" s="737">
        <v>0</v>
      </c>
      <c r="AK6" s="737">
        <v>0</v>
      </c>
      <c r="AL6" s="737">
        <v>1199369.1827085444</v>
      </c>
      <c r="AM6" s="737">
        <v>203687</v>
      </c>
      <c r="AN6" s="737">
        <v>788111</v>
      </c>
      <c r="AO6" s="737">
        <v>0</v>
      </c>
      <c r="AP6" s="1097">
        <v>1030114</v>
      </c>
      <c r="AQ6" s="737">
        <v>0</v>
      </c>
      <c r="AR6" s="737">
        <v>313837</v>
      </c>
      <c r="AS6" s="737">
        <v>0</v>
      </c>
      <c r="AT6" s="737">
        <f t="shared" si="5"/>
        <v>4702309.4258723678</v>
      </c>
      <c r="AU6" s="1665">
        <f t="shared" si="6"/>
        <v>391859.11882269732</v>
      </c>
      <c r="AW6" s="317">
        <f t="shared" si="0"/>
        <v>-173478</v>
      </c>
      <c r="AX6" s="317">
        <f t="shared" si="7"/>
        <v>-42661.519968311477</v>
      </c>
      <c r="AY6" s="731">
        <f t="shared" si="1"/>
        <v>-511938.23961973749</v>
      </c>
      <c r="AZ6" s="322">
        <f t="shared" si="2"/>
        <v>-313837</v>
      </c>
    </row>
    <row r="7" spans="1:52" x14ac:dyDescent="0.55000000000000004">
      <c r="A7" s="7342"/>
      <c r="B7" s="7345" t="s">
        <v>308</v>
      </c>
      <c r="C7" s="132" t="s">
        <v>309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S7" s="738">
        <v>3573</v>
      </c>
      <c r="T7" s="739">
        <v>1620</v>
      </c>
      <c r="U7" s="739">
        <v>2059</v>
      </c>
      <c r="V7" s="739">
        <v>2026</v>
      </c>
      <c r="W7" s="739">
        <v>544</v>
      </c>
      <c r="X7" s="739">
        <v>231</v>
      </c>
      <c r="Y7" s="739">
        <v>200</v>
      </c>
      <c r="Z7" s="739">
        <v>5322</v>
      </c>
      <c r="AA7" s="739">
        <v>2005</v>
      </c>
      <c r="AB7" s="739">
        <v>3970</v>
      </c>
      <c r="AC7" s="739">
        <v>2621</v>
      </c>
      <c r="AD7" s="739">
        <v>1478</v>
      </c>
      <c r="AE7" s="739">
        <f t="shared" si="3"/>
        <v>25649</v>
      </c>
      <c r="AF7" s="739">
        <f t="shared" si="4"/>
        <v>2137.4166666666665</v>
      </c>
      <c r="AH7" s="2064">
        <v>3029</v>
      </c>
      <c r="AI7" s="739">
        <v>5439</v>
      </c>
      <c r="AJ7" s="739">
        <v>5783</v>
      </c>
      <c r="AK7" s="739">
        <v>2112</v>
      </c>
      <c r="AL7" s="739">
        <v>4225</v>
      </c>
      <c r="AM7" s="739">
        <v>3329</v>
      </c>
      <c r="AN7" s="739">
        <v>4569</v>
      </c>
      <c r="AO7" s="739">
        <v>14973</v>
      </c>
      <c r="AP7" s="739">
        <v>4169</v>
      </c>
      <c r="AQ7" s="739">
        <v>3440</v>
      </c>
      <c r="AR7" s="739">
        <v>4254</v>
      </c>
      <c r="AS7" s="739">
        <v>1706</v>
      </c>
      <c r="AT7" s="739">
        <f t="shared" si="5"/>
        <v>57028</v>
      </c>
      <c r="AU7" s="1666">
        <f t="shared" si="6"/>
        <v>4752.333333333333</v>
      </c>
      <c r="AW7" s="317">
        <f t="shared" si="0"/>
        <v>228</v>
      </c>
      <c r="AX7" s="317">
        <f t="shared" si="7"/>
        <v>2614.9166666666665</v>
      </c>
      <c r="AY7" s="891">
        <f t="shared" si="1"/>
        <v>31379</v>
      </c>
      <c r="AZ7" s="322">
        <f t="shared" si="2"/>
        <v>-2548</v>
      </c>
    </row>
    <row r="8" spans="1:52" x14ac:dyDescent="0.55000000000000004">
      <c r="A8" s="7342"/>
      <c r="B8" s="7345"/>
      <c r="C8" s="132" t="s">
        <v>643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S8" s="740">
        <v>12.523212285454544</v>
      </c>
      <c r="T8" s="741">
        <v>16.125957572727273</v>
      </c>
      <c r="U8" s="741">
        <v>20.225968825747302</v>
      </c>
      <c r="V8" s="741">
        <v>26.532627268181816</v>
      </c>
      <c r="W8" s="741">
        <v>4.4014404300000001</v>
      </c>
      <c r="X8" s="741">
        <v>2.0114684500000002</v>
      </c>
      <c r="Y8" s="741">
        <v>1.9709799999999997</v>
      </c>
      <c r="Z8" s="741">
        <f>4423553054/100000000</f>
        <v>44.235530539999999</v>
      </c>
      <c r="AA8" s="741">
        <v>9.6999999999999993</v>
      </c>
      <c r="AB8" s="741">
        <v>21.2</v>
      </c>
      <c r="AC8" s="741">
        <v>15</v>
      </c>
      <c r="AD8" s="741">
        <v>7.1</v>
      </c>
      <c r="AE8" s="741">
        <f t="shared" si="3"/>
        <v>181.02718537211089</v>
      </c>
      <c r="AF8" s="741">
        <f t="shared" si="4"/>
        <v>15.08559878100924</v>
      </c>
      <c r="AH8" s="1667">
        <v>8.3175418200000006</v>
      </c>
      <c r="AI8" s="741">
        <v>38</v>
      </c>
      <c r="AJ8" s="741">
        <v>36</v>
      </c>
      <c r="AK8" s="741">
        <v>18.8</v>
      </c>
      <c r="AL8" s="741">
        <v>37.051370730000002</v>
      </c>
      <c r="AM8" s="741">
        <v>40.5</v>
      </c>
      <c r="AN8" s="741">
        <v>42.3</v>
      </c>
      <c r="AO8" s="741">
        <v>13.6</v>
      </c>
      <c r="AP8" s="741">
        <v>42.3</v>
      </c>
      <c r="AQ8" s="741">
        <v>34.299999999999997</v>
      </c>
      <c r="AR8" s="741">
        <v>41.7</v>
      </c>
      <c r="AS8" s="741">
        <v>16.5</v>
      </c>
      <c r="AT8" s="741">
        <f t="shared" si="5"/>
        <v>369.36891255</v>
      </c>
      <c r="AU8" s="1668">
        <f t="shared" si="6"/>
        <v>30.7807427125</v>
      </c>
      <c r="AW8" s="317">
        <f t="shared" si="0"/>
        <v>9.4</v>
      </c>
      <c r="AX8" s="317">
        <f t="shared" si="7"/>
        <v>15.69514393149076</v>
      </c>
      <c r="AY8" s="891">
        <f t="shared" si="1"/>
        <v>188.34172717788911</v>
      </c>
      <c r="AZ8" s="322">
        <f t="shared" si="2"/>
        <v>-25.200000000000003</v>
      </c>
    </row>
    <row r="9" spans="1:52" x14ac:dyDescent="0.55000000000000004">
      <c r="A9" s="7342"/>
      <c r="B9" s="7345"/>
      <c r="C9" s="132" t="s">
        <v>310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S9" s="738">
        <v>350495.72587334301</v>
      </c>
      <c r="T9" s="739">
        <v>995429.47979797982</v>
      </c>
      <c r="U9" s="739">
        <v>982320.00125047599</v>
      </c>
      <c r="V9" s="739">
        <v>1309606.4791797539</v>
      </c>
      <c r="W9" s="739">
        <v>809088.3143382353</v>
      </c>
      <c r="X9" s="739">
        <v>870765.56316410855</v>
      </c>
      <c r="Y9" s="739">
        <v>985489.99999999988</v>
      </c>
      <c r="Z9" s="739">
        <v>831182</v>
      </c>
      <c r="AA9" s="739">
        <v>488090</v>
      </c>
      <c r="AB9" s="739">
        <v>86989</v>
      </c>
      <c r="AC9" s="739">
        <v>576919</v>
      </c>
      <c r="AD9" s="739">
        <v>483110</v>
      </c>
      <c r="AE9" s="739">
        <f t="shared" si="3"/>
        <v>8769485.5636038966</v>
      </c>
      <c r="AF9" s="739">
        <f t="shared" si="4"/>
        <v>730790.46363365802</v>
      </c>
      <c r="AH9" s="2064">
        <v>274596.95675140311</v>
      </c>
      <c r="AI9" s="739">
        <v>698678.07188821479</v>
      </c>
      <c r="AJ9" s="739">
        <v>636855.03233615775</v>
      </c>
      <c r="AK9" s="739">
        <v>891000</v>
      </c>
      <c r="AL9" s="739">
        <v>876956</v>
      </c>
      <c r="AM9" s="739">
        <v>1216582.2499249023</v>
      </c>
      <c r="AN9" s="739">
        <v>927519</v>
      </c>
      <c r="AO9" s="739">
        <v>913439</v>
      </c>
      <c r="AP9" s="739">
        <v>1015619</v>
      </c>
      <c r="AQ9" s="739">
        <v>997532</v>
      </c>
      <c r="AR9" s="739">
        <v>981131</v>
      </c>
      <c r="AS9" s="739">
        <v>964315</v>
      </c>
      <c r="AT9" s="739">
        <f t="shared" si="5"/>
        <v>10394223.310900677</v>
      </c>
      <c r="AU9" s="1666">
        <f t="shared" si="6"/>
        <v>866185.27590838971</v>
      </c>
      <c r="AW9" s="317">
        <f t="shared" si="0"/>
        <v>481205</v>
      </c>
      <c r="AX9" s="317">
        <f t="shared" si="7"/>
        <v>135394.8122747317</v>
      </c>
      <c r="AY9" s="731">
        <f t="shared" si="1"/>
        <v>1624737.7472967803</v>
      </c>
      <c r="AZ9" s="322">
        <f t="shared" si="2"/>
        <v>-16816</v>
      </c>
    </row>
    <row r="10" spans="1:52" x14ac:dyDescent="0.55000000000000004">
      <c r="A10" s="7342"/>
      <c r="B10" s="7346"/>
      <c r="C10" s="829" t="s">
        <v>644</v>
      </c>
      <c r="D10" s="829"/>
      <c r="E10" s="829"/>
      <c r="F10" s="829"/>
      <c r="G10" s="829"/>
      <c r="H10" s="829"/>
      <c r="I10" s="829"/>
      <c r="J10" s="829"/>
      <c r="K10" s="829"/>
      <c r="L10" s="829"/>
      <c r="M10" s="829"/>
      <c r="N10" s="829"/>
      <c r="O10" s="829"/>
      <c r="P10" s="829"/>
      <c r="Q10" s="829"/>
      <c r="S10" s="830">
        <v>0.48144766545454515</v>
      </c>
      <c r="T10" s="831">
        <v>0.99739127272727268</v>
      </c>
      <c r="U10" s="831">
        <v>2.6855136102670771</v>
      </c>
      <c r="V10" s="831">
        <v>6.4702812681818171</v>
      </c>
      <c r="W10" s="831">
        <v>1.61096661</v>
      </c>
      <c r="X10" s="831">
        <v>0.27683669090909141</v>
      </c>
      <c r="Y10" s="831">
        <v>6.3579999999999998E-2</v>
      </c>
      <c r="Z10" s="831">
        <v>6.5029665400000001</v>
      </c>
      <c r="AA10" s="831">
        <v>1.6</v>
      </c>
      <c r="AB10" s="831">
        <v>3.4</v>
      </c>
      <c r="AC10" s="831">
        <v>1.3</v>
      </c>
      <c r="AD10" s="831">
        <v>-1</v>
      </c>
      <c r="AE10" s="831">
        <f t="shared" si="3"/>
        <v>24.388983657539804</v>
      </c>
      <c r="AF10" s="831">
        <f t="shared" si="4"/>
        <v>2.0324153047949838</v>
      </c>
      <c r="AH10" s="1669">
        <v>0.3</v>
      </c>
      <c r="AI10" s="831">
        <v>42</v>
      </c>
      <c r="AJ10" s="831">
        <v>1.3</v>
      </c>
      <c r="AK10" s="831">
        <v>1</v>
      </c>
      <c r="AL10" s="831">
        <v>4.4000000000000004</v>
      </c>
      <c r="AM10" s="831">
        <v>8.1999999999999993</v>
      </c>
      <c r="AN10" s="831">
        <v>2.7</v>
      </c>
      <c r="AO10" s="831">
        <v>6</v>
      </c>
      <c r="AP10" s="831">
        <v>5.9</v>
      </c>
      <c r="AQ10" s="831">
        <v>2</v>
      </c>
      <c r="AR10" s="831">
        <v>2.8</v>
      </c>
      <c r="AS10" s="831">
        <v>1.2</v>
      </c>
      <c r="AT10" s="831">
        <f t="shared" si="5"/>
        <v>77.8</v>
      </c>
      <c r="AU10" s="1670">
        <f t="shared" si="6"/>
        <v>6.4833333333333334</v>
      </c>
      <c r="AW10" s="317">
        <f t="shared" si="0"/>
        <v>2.2000000000000002</v>
      </c>
      <c r="AX10" s="317">
        <f t="shared" si="7"/>
        <v>4.4509180285383501</v>
      </c>
      <c r="AY10" s="891">
        <f t="shared" si="1"/>
        <v>53.411016342460194</v>
      </c>
      <c r="AZ10" s="322">
        <f t="shared" si="2"/>
        <v>-1.5999999999999999</v>
      </c>
    </row>
    <row r="11" spans="1:52" x14ac:dyDescent="0.55000000000000004">
      <c r="A11" s="7342" t="s">
        <v>311</v>
      </c>
      <c r="B11" s="7345" t="s">
        <v>282</v>
      </c>
      <c r="C11" s="132" t="s">
        <v>309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S11" s="738">
        <v>4959</v>
      </c>
      <c r="T11" s="739">
        <v>9335</v>
      </c>
      <c r="U11" s="739">
        <v>2640</v>
      </c>
      <c r="V11" s="739">
        <v>2705</v>
      </c>
      <c r="W11" s="739">
        <v>2320</v>
      </c>
      <c r="X11" s="739">
        <v>2603</v>
      </c>
      <c r="Y11" s="739">
        <v>8418</v>
      </c>
      <c r="Z11" s="739">
        <v>5457</v>
      </c>
      <c r="AA11" s="739">
        <v>2717</v>
      </c>
      <c r="AB11" s="739">
        <v>5566</v>
      </c>
      <c r="AC11" s="739">
        <v>1946</v>
      </c>
      <c r="AD11" s="739">
        <v>1467</v>
      </c>
      <c r="AE11" s="739">
        <f t="shared" si="3"/>
        <v>50133</v>
      </c>
      <c r="AF11" s="739">
        <f t="shared" si="4"/>
        <v>4177.75</v>
      </c>
      <c r="AH11" s="1667">
        <v>1036</v>
      </c>
      <c r="AI11" s="739">
        <v>7664</v>
      </c>
      <c r="AJ11" s="739">
        <v>4086</v>
      </c>
      <c r="AK11" s="739">
        <v>3950</v>
      </c>
      <c r="AL11" s="739">
        <v>4640</v>
      </c>
      <c r="AM11" s="739">
        <v>5274</v>
      </c>
      <c r="AN11" s="739">
        <v>6996</v>
      </c>
      <c r="AO11" s="739">
        <v>4953</v>
      </c>
      <c r="AP11" s="739">
        <v>4596</v>
      </c>
      <c r="AQ11" s="739">
        <v>4073</v>
      </c>
      <c r="AR11" s="739">
        <v>2397</v>
      </c>
      <c r="AS11" s="739">
        <v>1959</v>
      </c>
      <c r="AT11" s="739">
        <f t="shared" si="5"/>
        <v>51624</v>
      </c>
      <c r="AU11" s="1666">
        <f t="shared" si="6"/>
        <v>4302</v>
      </c>
      <c r="AW11" s="317">
        <f t="shared" si="0"/>
        <v>492</v>
      </c>
      <c r="AX11" s="317">
        <f t="shared" si="7"/>
        <v>124.25</v>
      </c>
      <c r="AY11" s="731">
        <f t="shared" si="1"/>
        <v>1491</v>
      </c>
      <c r="AZ11" s="322">
        <f t="shared" si="2"/>
        <v>-438</v>
      </c>
    </row>
    <row r="12" spans="1:52" x14ac:dyDescent="0.55000000000000004">
      <c r="A12" s="7342"/>
      <c r="B12" s="7345"/>
      <c r="C12" s="132" t="s">
        <v>641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S12" s="740">
        <v>16.874919999999999</v>
      </c>
      <c r="T12" s="741">
        <v>36.227789999999999</v>
      </c>
      <c r="U12" s="741">
        <v>4.0498099999999999</v>
      </c>
      <c r="V12" s="741">
        <v>2.2686649999999999</v>
      </c>
      <c r="W12" s="741">
        <v>1.780945</v>
      </c>
      <c r="X12" s="741">
        <v>2.3234949999999999</v>
      </c>
      <c r="Y12" s="741">
        <v>27.781201360000001</v>
      </c>
      <c r="Z12" s="741">
        <v>15.94563409</v>
      </c>
      <c r="AA12" s="741">
        <v>9.8000000000000007</v>
      </c>
      <c r="AB12" s="741">
        <v>20.5</v>
      </c>
      <c r="AC12" s="741">
        <v>5.3</v>
      </c>
      <c r="AD12" s="741">
        <v>2.5</v>
      </c>
      <c r="AE12" s="741">
        <f t="shared" si="3"/>
        <v>145.35246045000002</v>
      </c>
      <c r="AF12" s="741">
        <f t="shared" si="4"/>
        <v>12.112705037500001</v>
      </c>
      <c r="AH12" s="1667">
        <v>1.8</v>
      </c>
      <c r="AI12" s="741">
        <v>13</v>
      </c>
      <c r="AJ12" s="741">
        <v>6</v>
      </c>
      <c r="AK12" s="741">
        <v>4.5999999999999996</v>
      </c>
      <c r="AL12" s="741">
        <v>5.6</v>
      </c>
      <c r="AM12" s="741">
        <v>6.8</v>
      </c>
      <c r="AN12" s="741">
        <v>16.7</v>
      </c>
      <c r="AO12" s="741">
        <v>8.3000000000000007</v>
      </c>
      <c r="AP12" s="739">
        <v>11.6</v>
      </c>
      <c r="AQ12" s="741">
        <v>9.5</v>
      </c>
      <c r="AR12" s="741">
        <v>3.8</v>
      </c>
      <c r="AS12" s="741">
        <v>3.1</v>
      </c>
      <c r="AT12" s="741">
        <f t="shared" si="5"/>
        <v>90.799999999999983</v>
      </c>
      <c r="AU12" s="1668">
        <f t="shared" si="6"/>
        <v>7.5666666666666655</v>
      </c>
      <c r="AW12" s="317">
        <f t="shared" si="0"/>
        <v>0.60000000000000009</v>
      </c>
      <c r="AX12" s="317">
        <f t="shared" si="7"/>
        <v>-4.5460383708333358</v>
      </c>
      <c r="AY12" s="731">
        <f t="shared" si="1"/>
        <v>-54.552460450000041</v>
      </c>
      <c r="AZ12" s="322">
        <f t="shared" si="2"/>
        <v>-0.69999999999999973</v>
      </c>
    </row>
    <row r="13" spans="1:52" x14ac:dyDescent="0.55000000000000004">
      <c r="A13" s="7342"/>
      <c r="B13" s="7348"/>
      <c r="C13" s="132" t="s">
        <v>310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S13" s="738">
        <v>340288.76789675339</v>
      </c>
      <c r="T13" s="739">
        <v>388085.59185859666</v>
      </c>
      <c r="U13" s="739">
        <v>153401.89393939395</v>
      </c>
      <c r="V13" s="739">
        <v>83869.316081330864</v>
      </c>
      <c r="W13" s="739">
        <v>76764.870689655174</v>
      </c>
      <c r="X13" s="739">
        <v>89262.197464464087</v>
      </c>
      <c r="Y13" s="739">
        <v>330021.39890710398</v>
      </c>
      <c r="Z13" s="739">
        <v>291671</v>
      </c>
      <c r="AA13" s="739">
        <v>362380</v>
      </c>
      <c r="AB13" s="739">
        <v>369556</v>
      </c>
      <c r="AC13" s="739">
        <v>271972</v>
      </c>
      <c r="AD13" s="739">
        <v>170416</v>
      </c>
      <c r="AE13" s="739">
        <f t="shared" si="3"/>
        <v>2927689.0368372984</v>
      </c>
      <c r="AF13" s="739">
        <f t="shared" si="4"/>
        <v>243974.0864031082</v>
      </c>
      <c r="AH13" s="1667">
        <v>173874</v>
      </c>
      <c r="AI13" s="739">
        <v>180763.63413361169</v>
      </c>
      <c r="AJ13" s="739">
        <v>149075</v>
      </c>
      <c r="AK13" s="739">
        <v>115565</v>
      </c>
      <c r="AL13" s="739">
        <v>121231</v>
      </c>
      <c r="AM13" s="739">
        <v>134500</v>
      </c>
      <c r="AN13" s="739">
        <v>239982</v>
      </c>
      <c r="AO13" s="739">
        <v>166655</v>
      </c>
      <c r="AP13" s="739">
        <v>252465</v>
      </c>
      <c r="AQ13" s="739">
        <v>234128</v>
      </c>
      <c r="AR13" s="739">
        <v>160956</v>
      </c>
      <c r="AS13" s="739">
        <v>156329</v>
      </c>
      <c r="AT13" s="739">
        <f t="shared" si="5"/>
        <v>2085523.6341336118</v>
      </c>
      <c r="AU13" s="1666">
        <f t="shared" si="6"/>
        <v>173793.63617780097</v>
      </c>
      <c r="AW13" s="317">
        <f t="shared" si="0"/>
        <v>-14087</v>
      </c>
      <c r="AX13" s="317">
        <f t="shared" si="7"/>
        <v>-70180.450225307228</v>
      </c>
      <c r="AY13" s="1386">
        <f t="shared" si="1"/>
        <v>-842165.40270368662</v>
      </c>
      <c r="AZ13" s="322">
        <f t="shared" si="2"/>
        <v>-4627</v>
      </c>
    </row>
    <row r="14" spans="1:52" x14ac:dyDescent="0.55000000000000004">
      <c r="A14" s="7342"/>
      <c r="B14" s="7349" t="s">
        <v>321</v>
      </c>
      <c r="C14" s="130" t="s">
        <v>312</v>
      </c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S14" s="742">
        <v>4255</v>
      </c>
      <c r="T14" s="743">
        <v>5889</v>
      </c>
      <c r="U14" s="743">
        <v>1870</v>
      </c>
      <c r="V14" s="743">
        <v>2066</v>
      </c>
      <c r="W14" s="743">
        <v>1832</v>
      </c>
      <c r="X14" s="743">
        <v>2165</v>
      </c>
      <c r="Y14" s="743">
        <v>3704</v>
      </c>
      <c r="Z14" s="743">
        <v>1836</v>
      </c>
      <c r="AA14" s="743">
        <v>576</v>
      </c>
      <c r="AB14" s="743">
        <v>495</v>
      </c>
      <c r="AC14" s="743">
        <v>459</v>
      </c>
      <c r="AD14" s="743">
        <v>256</v>
      </c>
      <c r="AE14" s="743">
        <f t="shared" si="3"/>
        <v>25403</v>
      </c>
      <c r="AF14" s="743">
        <f t="shared" si="4"/>
        <v>2116.9166666666665</v>
      </c>
      <c r="AH14" s="2060">
        <v>163</v>
      </c>
      <c r="AI14" s="743">
        <v>458</v>
      </c>
      <c r="AJ14" s="743">
        <v>861</v>
      </c>
      <c r="AK14" s="743">
        <v>819</v>
      </c>
      <c r="AL14" s="743">
        <v>909</v>
      </c>
      <c r="AM14" s="743">
        <v>1079</v>
      </c>
      <c r="AN14" s="743">
        <v>1058</v>
      </c>
      <c r="AO14" s="743">
        <v>283</v>
      </c>
      <c r="AP14" s="743">
        <v>0</v>
      </c>
      <c r="AQ14" s="743">
        <v>0</v>
      </c>
      <c r="AR14" s="743">
        <v>0</v>
      </c>
      <c r="AS14" s="743">
        <v>0</v>
      </c>
      <c r="AT14" s="743">
        <f t="shared" si="5"/>
        <v>5630</v>
      </c>
      <c r="AU14" s="1671">
        <f t="shared" si="6"/>
        <v>469.16666666666669</v>
      </c>
      <c r="AW14" s="317">
        <f>HLOOKUP($A$1,$AH$2:$AS$402,ROW()-1,0)-HLOOKUP($A$1,$S$2:$AD$402,ROW()-1,0)</f>
        <v>-256</v>
      </c>
      <c r="AX14" s="317">
        <f t="shared" si="7"/>
        <v>-1647.7499999999998</v>
      </c>
      <c r="AY14" s="731">
        <f t="shared" si="1"/>
        <v>-19773</v>
      </c>
      <c r="AZ14" s="322">
        <f t="shared" si="2"/>
        <v>0</v>
      </c>
    </row>
    <row r="15" spans="1:52" x14ac:dyDescent="0.55000000000000004">
      <c r="A15" s="7342"/>
      <c r="B15" s="7344"/>
      <c r="C15" s="4" t="s">
        <v>679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S15" s="736">
        <v>0</v>
      </c>
      <c r="T15" s="737">
        <v>0</v>
      </c>
      <c r="U15" s="737">
        <v>0</v>
      </c>
      <c r="V15" s="737">
        <v>0</v>
      </c>
      <c r="W15" s="737">
        <v>0</v>
      </c>
      <c r="X15" s="737">
        <v>0</v>
      </c>
      <c r="Y15" s="737">
        <v>3707</v>
      </c>
      <c r="Z15" s="737">
        <v>2694</v>
      </c>
      <c r="AA15" s="737">
        <v>670</v>
      </c>
      <c r="AB15" s="737">
        <v>390</v>
      </c>
      <c r="AC15" s="737">
        <v>538</v>
      </c>
      <c r="AD15" s="737">
        <v>497</v>
      </c>
      <c r="AE15" s="737">
        <f>SUM(S15:AD15)</f>
        <v>8496</v>
      </c>
      <c r="AF15" s="737">
        <f>AVERAGE(S15:AD15)</f>
        <v>708</v>
      </c>
      <c r="AH15" s="1663">
        <v>512</v>
      </c>
      <c r="AI15" s="737">
        <v>1654</v>
      </c>
      <c r="AJ15" s="737">
        <v>2381</v>
      </c>
      <c r="AK15" s="737">
        <v>2542</v>
      </c>
      <c r="AL15" s="737">
        <v>3108</v>
      </c>
      <c r="AM15" s="737">
        <v>3770</v>
      </c>
      <c r="AN15" s="737">
        <v>5175</v>
      </c>
      <c r="AO15" s="737">
        <v>3908</v>
      </c>
      <c r="AP15" s="737">
        <v>3502</v>
      </c>
      <c r="AQ15" s="737">
        <v>2720</v>
      </c>
      <c r="AR15" s="737">
        <v>1951</v>
      </c>
      <c r="AS15" s="737">
        <v>1501</v>
      </c>
      <c r="AT15" s="737">
        <f>SUM(AH15:AS15)</f>
        <v>32724</v>
      </c>
      <c r="AU15" s="1665">
        <f t="shared" si="6"/>
        <v>2727</v>
      </c>
      <c r="AW15" s="317">
        <f t="shared" si="0"/>
        <v>1004</v>
      </c>
      <c r="AX15" s="317">
        <f t="shared" si="7"/>
        <v>2019</v>
      </c>
      <c r="AY15" s="731">
        <f t="shared" si="1"/>
        <v>24228</v>
      </c>
      <c r="AZ15" s="322">
        <f t="shared" si="2"/>
        <v>-450</v>
      </c>
    </row>
    <row r="16" spans="1:52" x14ac:dyDescent="0.55000000000000004">
      <c r="A16" s="7342"/>
      <c r="B16" s="7344"/>
      <c r="C16" s="127" t="s">
        <v>313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S16" s="736">
        <v>310</v>
      </c>
      <c r="T16" s="737">
        <v>2077</v>
      </c>
      <c r="U16" s="737">
        <v>453</v>
      </c>
      <c r="V16" s="737">
        <v>448</v>
      </c>
      <c r="W16" s="737">
        <v>259</v>
      </c>
      <c r="X16" s="737">
        <v>244</v>
      </c>
      <c r="Y16" s="737">
        <v>130</v>
      </c>
      <c r="Z16" s="737">
        <v>36</v>
      </c>
      <c r="AA16" s="737">
        <v>3</v>
      </c>
      <c r="AB16" s="737">
        <v>0</v>
      </c>
      <c r="AC16" s="737">
        <v>0</v>
      </c>
      <c r="AD16" s="737">
        <v>0</v>
      </c>
      <c r="AE16" s="737">
        <f t="shared" si="3"/>
        <v>3960</v>
      </c>
      <c r="AF16" s="737">
        <f t="shared" si="4"/>
        <v>330</v>
      </c>
      <c r="AH16" s="1663">
        <v>0</v>
      </c>
      <c r="AI16" s="737">
        <v>0</v>
      </c>
      <c r="AJ16" s="737"/>
      <c r="AK16" s="737">
        <v>0</v>
      </c>
      <c r="AL16" s="737">
        <v>0</v>
      </c>
      <c r="AM16" s="737">
        <v>0</v>
      </c>
      <c r="AN16" s="737">
        <v>0</v>
      </c>
      <c r="AO16" s="737">
        <v>0</v>
      </c>
      <c r="AP16" s="737">
        <v>0</v>
      </c>
      <c r="AQ16" s="737">
        <v>0</v>
      </c>
      <c r="AR16" s="737">
        <v>0</v>
      </c>
      <c r="AS16" s="737">
        <v>0</v>
      </c>
      <c r="AT16" s="737">
        <f>SUM(AH16:AS16)</f>
        <v>0</v>
      </c>
      <c r="AU16" s="1665">
        <f t="shared" si="6"/>
        <v>0</v>
      </c>
      <c r="AW16" s="317">
        <f t="shared" si="0"/>
        <v>0</v>
      </c>
      <c r="AX16" s="317">
        <f t="shared" si="7"/>
        <v>-330</v>
      </c>
      <c r="AY16" s="731">
        <f t="shared" si="1"/>
        <v>-3960</v>
      </c>
      <c r="AZ16" s="322">
        <f t="shared" si="2"/>
        <v>0</v>
      </c>
    </row>
    <row r="17" spans="1:52" x14ac:dyDescent="0.55000000000000004">
      <c r="A17" s="7342"/>
      <c r="B17" s="7344"/>
      <c r="C17" s="127" t="s">
        <v>314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S17" s="736">
        <v>394</v>
      </c>
      <c r="T17" s="737">
        <v>1369</v>
      </c>
      <c r="U17" s="737">
        <v>317</v>
      </c>
      <c r="V17" s="737">
        <v>191</v>
      </c>
      <c r="W17" s="737">
        <v>229</v>
      </c>
      <c r="X17" s="737">
        <v>194</v>
      </c>
      <c r="Y17" s="737">
        <v>877</v>
      </c>
      <c r="Z17" s="737">
        <v>891</v>
      </c>
      <c r="AA17" s="737">
        <v>1468</v>
      </c>
      <c r="AB17" s="737">
        <v>4681</v>
      </c>
      <c r="AC17" s="737">
        <v>949</v>
      </c>
      <c r="AD17" s="737">
        <v>715</v>
      </c>
      <c r="AE17" s="737">
        <f t="shared" si="3"/>
        <v>12275</v>
      </c>
      <c r="AF17" s="737">
        <f t="shared" si="4"/>
        <v>1022.9166666666666</v>
      </c>
      <c r="AH17" s="1663">
        <v>359</v>
      </c>
      <c r="AI17" s="737">
        <v>5552</v>
      </c>
      <c r="AJ17" s="737">
        <v>844</v>
      </c>
      <c r="AK17" s="737">
        <v>589</v>
      </c>
      <c r="AL17" s="737">
        <v>623</v>
      </c>
      <c r="AM17" s="737">
        <v>550</v>
      </c>
      <c r="AN17" s="737">
        <v>763</v>
      </c>
      <c r="AO17" s="737">
        <v>762</v>
      </c>
      <c r="AP17" s="737">
        <v>1094</v>
      </c>
      <c r="AQ17" s="737">
        <v>1353</v>
      </c>
      <c r="AR17" s="737">
        <v>446</v>
      </c>
      <c r="AS17" s="737">
        <v>458</v>
      </c>
      <c r="AT17" s="737">
        <f>SUM(AH17:AS17)</f>
        <v>13393</v>
      </c>
      <c r="AU17" s="1665">
        <f t="shared" si="6"/>
        <v>1116.0833333333333</v>
      </c>
      <c r="AW17" s="317">
        <f t="shared" si="0"/>
        <v>-257</v>
      </c>
      <c r="AX17" s="317">
        <f t="shared" si="7"/>
        <v>93.166666666666629</v>
      </c>
      <c r="AY17" s="731">
        <f t="shared" si="1"/>
        <v>1118</v>
      </c>
      <c r="AZ17" s="322">
        <f t="shared" si="2"/>
        <v>12</v>
      </c>
    </row>
    <row r="18" spans="1:52" x14ac:dyDescent="0.55000000000000004">
      <c r="A18" s="7342"/>
      <c r="B18" s="7350" t="s">
        <v>322</v>
      </c>
      <c r="C18" s="129" t="s">
        <v>315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S18" s="744">
        <v>1975</v>
      </c>
      <c r="T18" s="745">
        <v>2434</v>
      </c>
      <c r="U18" s="745">
        <v>2354</v>
      </c>
      <c r="V18" s="745">
        <v>2704</v>
      </c>
      <c r="W18" s="745">
        <v>2320</v>
      </c>
      <c r="X18" s="745">
        <v>2512</v>
      </c>
      <c r="Y18" s="745">
        <v>1320</v>
      </c>
      <c r="Z18" s="745">
        <v>1067</v>
      </c>
      <c r="AA18" s="745">
        <f>AA11-AA19</f>
        <v>1899</v>
      </c>
      <c r="AB18" s="745">
        <v>5370</v>
      </c>
      <c r="AC18" s="745">
        <v>1946</v>
      </c>
      <c r="AD18" s="745">
        <v>1467</v>
      </c>
      <c r="AE18" s="745">
        <f t="shared" si="3"/>
        <v>27368</v>
      </c>
      <c r="AF18" s="745">
        <f t="shared" si="4"/>
        <v>2280.6666666666665</v>
      </c>
      <c r="AH18" s="2061">
        <v>1034</v>
      </c>
      <c r="AI18" s="745">
        <v>7664</v>
      </c>
      <c r="AJ18" s="745">
        <v>4086</v>
      </c>
      <c r="AK18" s="745">
        <v>3950</v>
      </c>
      <c r="AL18" s="745">
        <v>4640</v>
      </c>
      <c r="AM18" s="745">
        <v>5399</v>
      </c>
      <c r="AN18" s="745">
        <v>6996</v>
      </c>
      <c r="AO18" s="745">
        <v>4953</v>
      </c>
      <c r="AP18" s="745">
        <v>3980</v>
      </c>
      <c r="AQ18" s="745">
        <v>3879</v>
      </c>
      <c r="AR18" s="745">
        <v>2396</v>
      </c>
      <c r="AS18" s="745">
        <v>1959</v>
      </c>
      <c r="AT18" s="745">
        <f>SUM(AH18:AS18)</f>
        <v>50936</v>
      </c>
      <c r="AU18" s="1672">
        <f t="shared" si="6"/>
        <v>4244.666666666667</v>
      </c>
      <c r="AW18" s="317">
        <f t="shared" si="0"/>
        <v>492</v>
      </c>
      <c r="AX18" s="317">
        <f t="shared" si="7"/>
        <v>1964.0000000000005</v>
      </c>
      <c r="AY18" s="731">
        <f t="shared" si="1"/>
        <v>23568</v>
      </c>
      <c r="AZ18" s="322">
        <f t="shared" si="2"/>
        <v>-437</v>
      </c>
    </row>
    <row r="19" spans="1:52" x14ac:dyDescent="0.55000000000000004">
      <c r="A19" s="7342"/>
      <c r="B19" s="7350"/>
      <c r="C19" s="129" t="s">
        <v>316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S19" s="744">
        <v>2984</v>
      </c>
      <c r="T19" s="745">
        <v>6901</v>
      </c>
      <c r="U19" s="745">
        <v>286</v>
      </c>
      <c r="V19" s="745">
        <v>1</v>
      </c>
      <c r="W19" s="745">
        <v>0</v>
      </c>
      <c r="X19" s="745">
        <v>91</v>
      </c>
      <c r="Y19" s="745">
        <v>7098</v>
      </c>
      <c r="Z19" s="745">
        <v>4400</v>
      </c>
      <c r="AA19" s="745">
        <v>818</v>
      </c>
      <c r="AB19" s="745">
        <v>196</v>
      </c>
      <c r="AC19" s="745">
        <v>0</v>
      </c>
      <c r="AD19" s="745">
        <v>0</v>
      </c>
      <c r="AE19" s="745">
        <f t="shared" si="3"/>
        <v>22775</v>
      </c>
      <c r="AF19" s="745">
        <f t="shared" si="4"/>
        <v>1897.9166666666667</v>
      </c>
      <c r="AH19" s="2061">
        <v>0</v>
      </c>
      <c r="AI19" s="745">
        <v>0</v>
      </c>
      <c r="AJ19" s="745">
        <v>0</v>
      </c>
      <c r="AK19" s="745">
        <v>0</v>
      </c>
      <c r="AL19" s="745">
        <v>0</v>
      </c>
      <c r="AM19" s="745">
        <v>0</v>
      </c>
      <c r="AN19" s="745">
        <v>0</v>
      </c>
      <c r="AO19" s="745"/>
      <c r="AP19" s="745">
        <v>616</v>
      </c>
      <c r="AQ19" s="745">
        <v>194</v>
      </c>
      <c r="AR19" s="745">
        <v>1</v>
      </c>
      <c r="AS19" s="745">
        <v>0</v>
      </c>
      <c r="AT19" s="745">
        <f>SUM(AH19:AS19)</f>
        <v>811</v>
      </c>
      <c r="AU19" s="1672">
        <f t="shared" si="6"/>
        <v>73.727272727272734</v>
      </c>
      <c r="AW19" s="317">
        <f t="shared" si="0"/>
        <v>0</v>
      </c>
      <c r="AX19" s="317">
        <f t="shared" si="7"/>
        <v>-1824.189393939394</v>
      </c>
      <c r="AY19" s="731">
        <f t="shared" si="1"/>
        <v>-21964</v>
      </c>
      <c r="AZ19" s="322">
        <f t="shared" si="2"/>
        <v>-1</v>
      </c>
    </row>
    <row r="20" spans="1:52" x14ac:dyDescent="0.55000000000000004">
      <c r="A20" s="7342"/>
      <c r="B20" s="7350"/>
      <c r="C20" s="131" t="s">
        <v>317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S20" s="746">
        <f t="shared" ref="S20:X20" si="8">S19/SUM(S18:S19)</f>
        <v>0.60173422060899373</v>
      </c>
      <c r="T20" s="747">
        <f t="shared" si="8"/>
        <v>0.73926084627745048</v>
      </c>
      <c r="U20" s="747">
        <f t="shared" si="8"/>
        <v>0.10833333333333334</v>
      </c>
      <c r="V20" s="747">
        <f t="shared" si="8"/>
        <v>3.6968576709796671E-4</v>
      </c>
      <c r="W20" s="747">
        <f t="shared" si="8"/>
        <v>0</v>
      </c>
      <c r="X20" s="747">
        <f t="shared" si="8"/>
        <v>3.4959661928543988E-2</v>
      </c>
      <c r="Y20" s="1004">
        <f>Y19/SUM(Y18:Y19)</f>
        <v>0.84319315751960089</v>
      </c>
      <c r="Z20" s="1004">
        <f>Z19/SUM(Z18:Z19)</f>
        <v>0.8048289738430584</v>
      </c>
      <c r="AA20" s="1004">
        <f>AA19/SUM(AA18:AA19)</f>
        <v>0.30106735369893267</v>
      </c>
      <c r="AB20" s="1004">
        <f>AB19/5566</f>
        <v>3.5213798059647861E-2</v>
      </c>
      <c r="AC20" s="747">
        <v>0</v>
      </c>
      <c r="AD20" s="747">
        <v>0</v>
      </c>
      <c r="AE20" s="896">
        <f>AE19/SUM(AE18:AE19)</f>
        <v>0.45420098518237839</v>
      </c>
      <c r="AF20" s="897">
        <f>AF19/SUM(AF18:AF19)</f>
        <v>0.45420098518237845</v>
      </c>
      <c r="AH20" s="2354">
        <v>0</v>
      </c>
      <c r="AI20" s="2157">
        <v>0</v>
      </c>
      <c r="AJ20" s="896">
        <v>0</v>
      </c>
      <c r="AK20" s="896">
        <v>0</v>
      </c>
      <c r="AL20" s="896">
        <v>0</v>
      </c>
      <c r="AM20" s="2303">
        <v>0</v>
      </c>
      <c r="AN20" s="896">
        <v>0</v>
      </c>
      <c r="AO20" s="2303">
        <v>0</v>
      </c>
      <c r="AP20" s="896">
        <v>0.134029590948651</v>
      </c>
      <c r="AQ20" s="896">
        <v>0.05</v>
      </c>
      <c r="AR20" s="896">
        <v>0</v>
      </c>
      <c r="AS20" s="896">
        <v>0</v>
      </c>
      <c r="AT20" s="896">
        <f>AT19/SUM(AT18:AT19)</f>
        <v>1.567240612982395E-2</v>
      </c>
      <c r="AU20" s="1673">
        <f>AU19/SUM(AU18:AU19)</f>
        <v>1.7072845544429397E-2</v>
      </c>
      <c r="AW20" s="317">
        <f t="shared" si="0"/>
        <v>0</v>
      </c>
      <c r="AX20" s="317">
        <f t="shared" si="7"/>
        <v>-0.43712813963794905</v>
      </c>
      <c r="AY20" s="899">
        <f>AT20-AVERAGE(S20:AD20)</f>
        <v>-0.27340767978989766</v>
      </c>
      <c r="AZ20" s="322">
        <f t="shared" si="2"/>
        <v>0</v>
      </c>
    </row>
    <row r="21" spans="1:52" x14ac:dyDescent="0.55000000000000004">
      <c r="A21" s="7342"/>
      <c r="B21" s="7344" t="s">
        <v>323</v>
      </c>
      <c r="C21" s="127" t="s">
        <v>318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S21" s="736">
        <v>2879</v>
      </c>
      <c r="T21" s="737">
        <v>4570</v>
      </c>
      <c r="U21" s="737">
        <v>2415</v>
      </c>
      <c r="V21" s="737">
        <v>2690</v>
      </c>
      <c r="W21" s="737">
        <v>2650</v>
      </c>
      <c r="X21" s="737">
        <v>2762</v>
      </c>
      <c r="Y21" s="737">
        <v>4790</v>
      </c>
      <c r="Z21" s="737">
        <v>3385</v>
      </c>
      <c r="AA21" s="737">
        <v>1606</v>
      </c>
      <c r="AB21" s="1097">
        <v>1168.8599999999999</v>
      </c>
      <c r="AC21" s="737">
        <v>425</v>
      </c>
      <c r="AD21" s="737">
        <v>571</v>
      </c>
      <c r="AE21" s="737">
        <f t="shared" si="3"/>
        <v>29911.86</v>
      </c>
      <c r="AF21" s="737">
        <f t="shared" si="4"/>
        <v>2492.6550000000002</v>
      </c>
      <c r="AH21" s="1663">
        <v>585</v>
      </c>
      <c r="AI21" s="737">
        <v>6316</v>
      </c>
      <c r="AJ21" s="737">
        <v>3454</v>
      </c>
      <c r="AK21" s="737">
        <v>3497</v>
      </c>
      <c r="AL21" s="737">
        <v>4054</v>
      </c>
      <c r="AM21" s="737">
        <v>4467</v>
      </c>
      <c r="AN21" s="737">
        <v>5031</v>
      </c>
      <c r="AO21" s="737">
        <v>4058</v>
      </c>
      <c r="AP21" s="737">
        <v>3079</v>
      </c>
      <c r="AQ21" s="1097">
        <v>2894</v>
      </c>
      <c r="AR21" s="737">
        <v>1973</v>
      </c>
      <c r="AS21" s="737">
        <v>1669</v>
      </c>
      <c r="AT21" s="737">
        <f>SUM(AH21:AS21)</f>
        <v>41077</v>
      </c>
      <c r="AU21" s="1665">
        <f>AVERAGE(AH21:AS21)</f>
        <v>3423.0833333333335</v>
      </c>
      <c r="AW21" s="317">
        <f t="shared" si="0"/>
        <v>1098</v>
      </c>
      <c r="AX21" s="317">
        <f t="shared" si="7"/>
        <v>930.42833333333328</v>
      </c>
      <c r="AY21" s="731">
        <f>AT21-SUM(S21:AD21)</f>
        <v>11165.14</v>
      </c>
      <c r="AZ21" s="322">
        <f t="shared" si="2"/>
        <v>-304</v>
      </c>
    </row>
    <row r="22" spans="1:52" x14ac:dyDescent="0.55000000000000004">
      <c r="A22" s="7342"/>
      <c r="B22" s="7344"/>
      <c r="C22" s="127" t="s">
        <v>319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S22" s="736">
        <v>1726</v>
      </c>
      <c r="T22" s="737">
        <v>4044</v>
      </c>
      <c r="U22" s="737">
        <v>435</v>
      </c>
      <c r="V22" s="737">
        <v>161</v>
      </c>
      <c r="W22" s="737">
        <v>113</v>
      </c>
      <c r="X22" s="737">
        <v>100</v>
      </c>
      <c r="Y22" s="737">
        <v>2971</v>
      </c>
      <c r="Z22" s="737">
        <v>1663</v>
      </c>
      <c r="AA22" s="737">
        <v>539</v>
      </c>
      <c r="AB22" s="1097">
        <v>1263.482</v>
      </c>
      <c r="AC22" s="737">
        <v>1014</v>
      </c>
      <c r="AD22" s="737">
        <v>731</v>
      </c>
      <c r="AE22" s="737">
        <f t="shared" si="3"/>
        <v>14760.482</v>
      </c>
      <c r="AF22" s="737">
        <f t="shared" si="4"/>
        <v>1230.0401666666667</v>
      </c>
      <c r="AH22" s="1663">
        <v>224</v>
      </c>
      <c r="AI22" s="737">
        <v>1124</v>
      </c>
      <c r="AJ22" s="737">
        <v>582</v>
      </c>
      <c r="AK22" s="737">
        <v>420</v>
      </c>
      <c r="AL22" s="737">
        <v>568</v>
      </c>
      <c r="AM22" s="737">
        <v>879</v>
      </c>
      <c r="AN22" s="737">
        <v>1564</v>
      </c>
      <c r="AO22" s="737">
        <v>697</v>
      </c>
      <c r="AP22" s="737">
        <v>985</v>
      </c>
      <c r="AQ22" s="1097">
        <v>879</v>
      </c>
      <c r="AR22" s="737">
        <v>379</v>
      </c>
      <c r="AS22" s="737">
        <v>238</v>
      </c>
      <c r="AT22" s="737">
        <f>SUM(AH22:AS22)</f>
        <v>8539</v>
      </c>
      <c r="AU22" s="1665">
        <f>AVERAGE(AH22:AS22)</f>
        <v>711.58333333333337</v>
      </c>
      <c r="AW22" s="317">
        <f t="shared" si="0"/>
        <v>-493</v>
      </c>
      <c r="AX22" s="317">
        <f t="shared" si="7"/>
        <v>-518.45683333333329</v>
      </c>
      <c r="AY22" s="731">
        <f>AT22-SUM(S22:AD22)</f>
        <v>-6221.482</v>
      </c>
      <c r="AZ22" s="322">
        <f t="shared" si="2"/>
        <v>-141</v>
      </c>
    </row>
    <row r="23" spans="1:52" x14ac:dyDescent="0.55000000000000004">
      <c r="A23" s="7342"/>
      <c r="B23" s="7344"/>
      <c r="C23" s="127" t="s">
        <v>320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S23" s="736">
        <v>614</v>
      </c>
      <c r="T23" s="737">
        <v>1332</v>
      </c>
      <c r="U23" s="737">
        <v>58</v>
      </c>
      <c r="V23" s="737">
        <v>26</v>
      </c>
      <c r="W23" s="737">
        <v>15</v>
      </c>
      <c r="X23" s="737">
        <v>18</v>
      </c>
      <c r="Y23" s="737">
        <v>855</v>
      </c>
      <c r="Z23" s="737">
        <v>421</v>
      </c>
      <c r="AA23" s="737">
        <v>572</v>
      </c>
      <c r="AB23" s="1097">
        <v>3133.6579999999999</v>
      </c>
      <c r="AC23" s="737">
        <v>507</v>
      </c>
      <c r="AD23" s="737">
        <v>166</v>
      </c>
      <c r="AE23" s="737">
        <f t="shared" si="3"/>
        <v>7717.6579999999994</v>
      </c>
      <c r="AF23" s="737">
        <f t="shared" si="4"/>
        <v>643.13816666666662</v>
      </c>
      <c r="AH23" s="1663">
        <v>224</v>
      </c>
      <c r="AI23" s="737">
        <v>224</v>
      </c>
      <c r="AJ23" s="737">
        <v>50</v>
      </c>
      <c r="AK23" s="737">
        <v>33</v>
      </c>
      <c r="AL23" s="737">
        <v>18</v>
      </c>
      <c r="AM23" s="737">
        <v>53</v>
      </c>
      <c r="AN23" s="737">
        <v>401</v>
      </c>
      <c r="AO23" s="737">
        <v>198</v>
      </c>
      <c r="AP23" s="737">
        <v>532</v>
      </c>
      <c r="AQ23" s="1097">
        <v>300</v>
      </c>
      <c r="AR23" s="737">
        <v>45</v>
      </c>
      <c r="AS23" s="737">
        <v>52</v>
      </c>
      <c r="AT23" s="737">
        <f>SUM(AH23:AS23)</f>
        <v>2130</v>
      </c>
      <c r="AU23" s="1665">
        <f>AVERAGE(AH23:AS23)</f>
        <v>177.5</v>
      </c>
      <c r="AW23" s="317">
        <f t="shared" si="0"/>
        <v>-114</v>
      </c>
      <c r="AX23" s="317">
        <f t="shared" si="7"/>
        <v>-465.63816666666662</v>
      </c>
      <c r="AY23" s="731">
        <f>AT23-SUM(S23:AD23)</f>
        <v>-5587.6579999999994</v>
      </c>
      <c r="AZ23" s="322">
        <f t="shared" si="2"/>
        <v>7</v>
      </c>
    </row>
    <row r="24" spans="1:52" x14ac:dyDescent="0.55000000000000004">
      <c r="A24" s="7342"/>
      <c r="B24" s="7351"/>
      <c r="C24" s="128" t="s">
        <v>324</v>
      </c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S24" s="800">
        <f>S23/SUM(S21:S23)</f>
        <v>0.11764705882352941</v>
      </c>
      <c r="T24" s="832">
        <f>T23/SUM(T21:T23)</f>
        <v>0.13392318520008042</v>
      </c>
      <c r="U24" s="832">
        <f>U23/SUM(U21:U23)</f>
        <v>1.9944979367262722E-2</v>
      </c>
      <c r="V24" s="832">
        <f>V23/SUM(V21:V23)</f>
        <v>9.0371915189433431E-3</v>
      </c>
      <c r="W24" s="832">
        <f>W23/SUM(W21:W23)</f>
        <v>5.3995680345572351E-3</v>
      </c>
      <c r="X24" s="832">
        <v>6.2500000000000003E-3</v>
      </c>
      <c r="Y24" s="1005">
        <v>9.9233983286908078E-2</v>
      </c>
      <c r="Z24" s="1005">
        <v>7.6979338087401719E-2</v>
      </c>
      <c r="AA24" s="1005">
        <f>AA23/AA11</f>
        <v>0.21052631578947367</v>
      </c>
      <c r="AB24" s="1135">
        <f>AB23/AB11</f>
        <v>0.56299999999999994</v>
      </c>
      <c r="AC24" s="1135">
        <f>AC23/AC11</f>
        <v>0.26053442959917777</v>
      </c>
      <c r="AD24" s="832">
        <v>0.113</v>
      </c>
      <c r="AE24" s="896">
        <f>AE23/SUM(AE21:AE23)</f>
        <v>0.14731166253101735</v>
      </c>
      <c r="AF24" s="896">
        <f>AF23/SUM(AF21:AF23)</f>
        <v>0.14731166253101735</v>
      </c>
      <c r="AH24" s="2065">
        <v>0.21684414327202323</v>
      </c>
      <c r="AI24" s="896">
        <v>0.03</v>
      </c>
      <c r="AJ24" s="2157">
        <v>1.2236906510034264E-2</v>
      </c>
      <c r="AK24" s="896">
        <v>8.3544303797468359E-3</v>
      </c>
      <c r="AL24" s="896">
        <v>4.0000000000000001E-3</v>
      </c>
      <c r="AM24" s="2303">
        <v>9.8166327097610664E-3</v>
      </c>
      <c r="AN24" s="896">
        <v>5.7000000000000002E-2</v>
      </c>
      <c r="AO24" s="2303">
        <v>0.04</v>
      </c>
      <c r="AP24" s="896">
        <v>0.11600000000000001</v>
      </c>
      <c r="AQ24" s="896">
        <v>7.3999999999999996E-2</v>
      </c>
      <c r="AR24" s="896">
        <v>1.9E-2</v>
      </c>
      <c r="AS24" s="896">
        <v>2.7E-2</v>
      </c>
      <c r="AT24" s="896">
        <f>AT23/SUM(AT21:AT23)</f>
        <v>4.1162601940246589E-2</v>
      </c>
      <c r="AU24" s="1674">
        <f>AU23/SUM(AU21:AU23)</f>
        <v>4.1162601940246589E-2</v>
      </c>
      <c r="AW24" s="317">
        <f t="shared" si="0"/>
        <v>-8.6000000000000007E-2</v>
      </c>
      <c r="AX24" s="317">
        <f>AU24-AF24</f>
        <v>-0.10614906059077076</v>
      </c>
      <c r="AY24" s="899">
        <f>AT24-AVERAGE(S24:AD24)</f>
        <v>-9.3460402202031279E-2</v>
      </c>
      <c r="AZ24" s="322">
        <f t="shared" si="2"/>
        <v>8.0000000000000002E-3</v>
      </c>
    </row>
    <row r="25" spans="1:52" x14ac:dyDescent="0.55000000000000004">
      <c r="A25" s="7342"/>
      <c r="B25" s="7352" t="s">
        <v>308</v>
      </c>
      <c r="C25" s="133" t="s">
        <v>309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S25" s="748"/>
      <c r="T25" s="749">
        <v>90</v>
      </c>
      <c r="U25" s="749">
        <v>2279</v>
      </c>
      <c r="V25" s="749">
        <v>5953</v>
      </c>
      <c r="W25" s="749">
        <v>7820</v>
      </c>
      <c r="X25" s="749">
        <v>2621</v>
      </c>
      <c r="Y25" s="749">
        <v>15326</v>
      </c>
      <c r="Z25" s="749">
        <v>6429</v>
      </c>
      <c r="AA25" s="749">
        <v>9738</v>
      </c>
      <c r="AB25" s="749">
        <v>8347</v>
      </c>
      <c r="AC25" s="749">
        <v>1190</v>
      </c>
      <c r="AD25" s="749">
        <v>990</v>
      </c>
      <c r="AE25" s="749">
        <f t="shared" si="3"/>
        <v>60783</v>
      </c>
      <c r="AF25" s="749">
        <f t="shared" si="4"/>
        <v>5525.727272727273</v>
      </c>
      <c r="AH25" s="2066">
        <v>2605</v>
      </c>
      <c r="AI25" s="749">
        <v>4093</v>
      </c>
      <c r="AJ25" s="749">
        <v>1616</v>
      </c>
      <c r="AK25" s="749">
        <v>5333</v>
      </c>
      <c r="AL25" s="749">
        <v>1579</v>
      </c>
      <c r="AM25" s="749">
        <v>3074</v>
      </c>
      <c r="AN25" s="749">
        <v>9670</v>
      </c>
      <c r="AO25" s="749">
        <v>3958</v>
      </c>
      <c r="AP25" s="749">
        <v>7538</v>
      </c>
      <c r="AQ25" s="749">
        <v>2781</v>
      </c>
      <c r="AR25" s="749">
        <v>4171</v>
      </c>
      <c r="AS25" s="749">
        <v>2087</v>
      </c>
      <c r="AT25" s="749">
        <f>SUM(AH25:AS25)</f>
        <v>48505</v>
      </c>
      <c r="AU25" s="1675">
        <f>AVERAGE(AH25:AS25)</f>
        <v>4042.0833333333335</v>
      </c>
      <c r="AW25" s="317">
        <f t="shared" si="0"/>
        <v>1097</v>
      </c>
      <c r="AX25" s="317">
        <f t="shared" si="7"/>
        <v>-1483.6439393939395</v>
      </c>
      <c r="AY25" s="731">
        <f t="shared" ref="AY25:AY67" si="9">AT25-SUM(S25:AD25)</f>
        <v>-12278</v>
      </c>
      <c r="AZ25" s="322">
        <f t="shared" si="2"/>
        <v>-2084</v>
      </c>
    </row>
    <row r="26" spans="1:52" x14ac:dyDescent="0.55000000000000004">
      <c r="A26" s="7342"/>
      <c r="B26" s="7345"/>
      <c r="C26" s="132" t="s">
        <v>641</v>
      </c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S26" s="750"/>
      <c r="T26" s="741">
        <v>0.28968181818181815</v>
      </c>
      <c r="U26" s="741">
        <v>7.0096850000000002</v>
      </c>
      <c r="V26" s="741">
        <v>9.9740772727272731</v>
      </c>
      <c r="W26" s="741">
        <v>16.855045449999999</v>
      </c>
      <c r="X26" s="741">
        <v>3.8795000000000002</v>
      </c>
      <c r="Y26" s="741">
        <v>11.372210000000001</v>
      </c>
      <c r="Z26" s="741">
        <f>1835349000/100000000</f>
        <v>18.353490000000001</v>
      </c>
      <c r="AA26" s="741">
        <f>1958776000/100000000</f>
        <v>19.587759999999999</v>
      </c>
      <c r="AB26" s="741">
        <v>25.3</v>
      </c>
      <c r="AC26" s="741">
        <v>2.2999999999999998</v>
      </c>
      <c r="AD26" s="741">
        <v>2.2000000000000002</v>
      </c>
      <c r="AE26" s="741">
        <f t="shared" si="3"/>
        <v>117.1214495409091</v>
      </c>
      <c r="AF26" s="741">
        <f t="shared" si="4"/>
        <v>10.647404503719009</v>
      </c>
      <c r="AH26" s="1667">
        <v>5.0999999999999996</v>
      </c>
      <c r="AI26" s="741">
        <v>4.5</v>
      </c>
      <c r="AJ26" s="741">
        <v>4.4000000000000004</v>
      </c>
      <c r="AK26" s="741">
        <v>8.5</v>
      </c>
      <c r="AL26" s="741">
        <v>2.5</v>
      </c>
      <c r="AM26" s="741">
        <v>4.4000000000000004</v>
      </c>
      <c r="AN26" s="741">
        <v>11.6</v>
      </c>
      <c r="AO26" s="741">
        <v>11.9</v>
      </c>
      <c r="AP26" s="741">
        <v>13.5</v>
      </c>
      <c r="AQ26" s="741">
        <v>8.6</v>
      </c>
      <c r="AR26" s="741">
        <v>13.7</v>
      </c>
      <c r="AS26" s="741">
        <v>4.5</v>
      </c>
      <c r="AT26" s="741">
        <f>SUM(AH26:AS26)</f>
        <v>93.2</v>
      </c>
      <c r="AU26" s="1668">
        <f>AVERAGE(AH26:AS26)</f>
        <v>7.7666666666666666</v>
      </c>
      <c r="AW26" s="317">
        <f t="shared" si="0"/>
        <v>2.2999999999999998</v>
      </c>
      <c r="AX26" s="317">
        <f t="shared" si="7"/>
        <v>-2.8807378370523429</v>
      </c>
      <c r="AY26" s="731">
        <f t="shared" si="9"/>
        <v>-23.921449540909094</v>
      </c>
      <c r="AZ26" s="322">
        <f t="shared" si="2"/>
        <v>-9.1999999999999993</v>
      </c>
    </row>
    <row r="27" spans="1:52" x14ac:dyDescent="0.55000000000000004">
      <c r="A27" s="7342"/>
      <c r="B27" s="7345"/>
      <c r="C27" s="132" t="s">
        <v>310</v>
      </c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S27" s="750"/>
      <c r="T27" s="739">
        <v>321868.68686868687</v>
      </c>
      <c r="U27" s="739">
        <v>307577.2268538833</v>
      </c>
      <c r="V27" s="739">
        <v>167547.07328619642</v>
      </c>
      <c r="W27" s="739">
        <v>215537.665659149</v>
      </c>
      <c r="X27" s="739">
        <v>148016.02441816102</v>
      </c>
      <c r="Y27" s="739">
        <v>74202.074905389527</v>
      </c>
      <c r="Z27" s="739">
        <v>285480</v>
      </c>
      <c r="AA27" s="739">
        <v>201147</v>
      </c>
      <c r="AB27" s="739">
        <v>304103</v>
      </c>
      <c r="AC27" s="739">
        <v>194658</v>
      </c>
      <c r="AD27" s="739">
        <v>220845</v>
      </c>
      <c r="AE27" s="739">
        <f t="shared" si="3"/>
        <v>2440981.7519914662</v>
      </c>
      <c r="AF27" s="739">
        <f t="shared" si="4"/>
        <v>221907.43199922421</v>
      </c>
      <c r="AH27" s="1667">
        <v>197576</v>
      </c>
      <c r="AI27" s="739">
        <v>111747.54580991938</v>
      </c>
      <c r="AJ27" s="739">
        <v>111747.54580991938</v>
      </c>
      <c r="AK27" s="739">
        <v>159387</v>
      </c>
      <c r="AL27" s="739">
        <v>159692</v>
      </c>
      <c r="AM27" s="739">
        <v>144357</v>
      </c>
      <c r="AN27" s="739">
        <v>119763</v>
      </c>
      <c r="AO27" s="739">
        <v>331876</v>
      </c>
      <c r="AP27" s="739">
        <v>180392</v>
      </c>
      <c r="AQ27" s="739">
        <v>311638</v>
      </c>
      <c r="AR27" s="739">
        <v>330230</v>
      </c>
      <c r="AS27" s="739">
        <v>217696</v>
      </c>
      <c r="AT27" s="739">
        <f>SUM(AH27:AS27)</f>
        <v>2376102.091619839</v>
      </c>
      <c r="AU27" s="1666">
        <f>AVERAGE(AH27:AS27)</f>
        <v>198008.50763498657</v>
      </c>
      <c r="AW27" s="317">
        <f t="shared" si="0"/>
        <v>-3149</v>
      </c>
      <c r="AX27" s="317">
        <f t="shared" si="7"/>
        <v>-23898.924364237639</v>
      </c>
      <c r="AY27" s="731">
        <f t="shared" si="9"/>
        <v>-64879.660371627193</v>
      </c>
      <c r="AZ27" s="322">
        <f t="shared" si="2"/>
        <v>-112534</v>
      </c>
    </row>
    <row r="28" spans="1:52" ht="18" thickBot="1" x14ac:dyDescent="0.6">
      <c r="A28" s="7347"/>
      <c r="B28" s="7353"/>
      <c r="C28" s="833" t="s">
        <v>644</v>
      </c>
      <c r="D28" s="833"/>
      <c r="E28" s="833"/>
      <c r="F28" s="833"/>
      <c r="G28" s="833"/>
      <c r="H28" s="833"/>
      <c r="I28" s="833"/>
      <c r="J28" s="833"/>
      <c r="K28" s="833"/>
      <c r="L28" s="833"/>
      <c r="M28" s="833"/>
      <c r="N28" s="833"/>
      <c r="O28" s="833"/>
      <c r="P28" s="833"/>
      <c r="Q28" s="833"/>
      <c r="S28" s="834"/>
      <c r="T28" s="835">
        <v>-1.3027272727272728E-2</v>
      </c>
      <c r="U28" s="836">
        <v>0.18393045454545454</v>
      </c>
      <c r="V28" s="836">
        <v>0.10594545454545536</v>
      </c>
      <c r="W28" s="836">
        <v>1.9991318199999999</v>
      </c>
      <c r="X28" s="836">
        <v>0.7347699999999997</v>
      </c>
      <c r="Y28" s="836">
        <v>1.3721449999999999</v>
      </c>
      <c r="Z28" s="836">
        <f>219696500/100000000</f>
        <v>2.1969650000000001</v>
      </c>
      <c r="AA28" s="836">
        <f>153905955/100000000</f>
        <v>1.5390595499999999</v>
      </c>
      <c r="AB28" s="836">
        <v>1.7</v>
      </c>
      <c r="AC28" s="836">
        <v>0.7</v>
      </c>
      <c r="AD28" s="836">
        <v>0.5</v>
      </c>
      <c r="AE28" s="836">
        <f t="shared" si="3"/>
        <v>11.018920006363635</v>
      </c>
      <c r="AF28" s="836">
        <f t="shared" si="4"/>
        <v>1.0017200005785123</v>
      </c>
      <c r="AH28" s="2062">
        <v>1.4</v>
      </c>
      <c r="AI28" s="1676">
        <v>1.1000000000000001</v>
      </c>
      <c r="AJ28" s="1676">
        <v>1.1000000000000001</v>
      </c>
      <c r="AK28" s="1677">
        <v>1.7</v>
      </c>
      <c r="AL28" s="1677">
        <v>0.3</v>
      </c>
      <c r="AM28" s="1677">
        <v>0.4</v>
      </c>
      <c r="AN28" s="1677">
        <v>0.7</v>
      </c>
      <c r="AO28" s="1677">
        <v>0.3</v>
      </c>
      <c r="AP28" s="1677">
        <v>0.8</v>
      </c>
      <c r="AQ28" s="1677">
        <v>1.4</v>
      </c>
      <c r="AR28" s="1677">
        <v>2.6</v>
      </c>
      <c r="AS28" s="1677">
        <v>1.3</v>
      </c>
      <c r="AT28" s="1677">
        <f>SUM(AH28:AS28)</f>
        <v>13.1</v>
      </c>
      <c r="AU28" s="1678">
        <f>AVERAGE(AH28:AS28)</f>
        <v>1.0916666666666666</v>
      </c>
      <c r="AW28" s="317">
        <f t="shared" si="0"/>
        <v>0.8</v>
      </c>
      <c r="AX28" s="317">
        <f t="shared" si="7"/>
        <v>8.994666608815427E-2</v>
      </c>
      <c r="AY28" s="891">
        <f t="shared" si="9"/>
        <v>2.0810799936363651</v>
      </c>
      <c r="AZ28" s="322">
        <f t="shared" si="2"/>
        <v>-1.3</v>
      </c>
    </row>
    <row r="29" spans="1:52" ht="18" thickBot="1" x14ac:dyDescent="0.6">
      <c r="X29" s="894"/>
      <c r="Y29" s="894"/>
      <c r="Z29" s="894"/>
      <c r="AA29" s="894"/>
      <c r="AC29" s="894"/>
      <c r="AD29" s="894"/>
      <c r="AE29" s="894"/>
      <c r="AF29" s="894"/>
      <c r="AN29" s="2355"/>
      <c r="AP29" s="894"/>
      <c r="AR29" s="894"/>
      <c r="AS29" s="894"/>
      <c r="AT29" s="894"/>
      <c r="AU29" s="894"/>
      <c r="AW29" s="317">
        <f t="shared" si="0"/>
        <v>0</v>
      </c>
      <c r="AX29" s="317">
        <f t="shared" si="7"/>
        <v>0</v>
      </c>
      <c r="AY29" s="891">
        <f t="shared" si="9"/>
        <v>0</v>
      </c>
      <c r="AZ29" s="322">
        <f t="shared" si="2"/>
        <v>0</v>
      </c>
    </row>
    <row r="30" spans="1:52" ht="18" thickTop="1" x14ac:dyDescent="0.55000000000000004">
      <c r="A30" s="7339" t="s">
        <v>108</v>
      </c>
      <c r="B30" s="25" t="s">
        <v>341</v>
      </c>
      <c r="C30" s="25"/>
      <c r="D30" s="25">
        <v>6166</v>
      </c>
      <c r="E30" s="25">
        <v>6318</v>
      </c>
      <c r="F30" s="25">
        <v>6433</v>
      </c>
      <c r="G30" s="25">
        <v>6565</v>
      </c>
      <c r="H30" s="25">
        <v>7850</v>
      </c>
      <c r="I30" s="25">
        <v>8313</v>
      </c>
      <c r="J30" s="25">
        <v>8600</v>
      </c>
      <c r="K30" s="25">
        <v>8695</v>
      </c>
      <c r="L30" s="25">
        <v>8835</v>
      </c>
      <c r="M30" s="25">
        <v>8939</v>
      </c>
      <c r="N30" s="25">
        <v>9075</v>
      </c>
      <c r="O30" s="25">
        <v>9218</v>
      </c>
      <c r="P30" s="25">
        <f>SUM(D30:O30)</f>
        <v>95007</v>
      </c>
      <c r="Q30" s="1498">
        <f>AVERAGE(D30:O30)</f>
        <v>7917.25</v>
      </c>
      <c r="S30" s="549">
        <v>9509</v>
      </c>
      <c r="T30" s="550">
        <v>10675</v>
      </c>
      <c r="U30" s="550">
        <v>11775</v>
      </c>
      <c r="V30" s="550">
        <v>12307</v>
      </c>
      <c r="W30" s="550">
        <v>12783</v>
      </c>
      <c r="X30" s="895">
        <v>13796</v>
      </c>
      <c r="Y30" s="895">
        <v>14385</v>
      </c>
      <c r="Z30" s="895">
        <v>14748</v>
      </c>
      <c r="AA30" s="895">
        <v>14931</v>
      </c>
      <c r="AB30" s="895">
        <v>15204</v>
      </c>
      <c r="AC30" s="895">
        <v>15431</v>
      </c>
      <c r="AD30" s="895">
        <v>15583</v>
      </c>
      <c r="AE30" s="898">
        <f>SUM(S30:AD30)</f>
        <v>161127</v>
      </c>
      <c r="AF30" s="898">
        <f>AVERAGE(S30:AD30)</f>
        <v>13427.25</v>
      </c>
      <c r="AG30" s="1632"/>
      <c r="AH30" s="1633">
        <v>15799</v>
      </c>
      <c r="AI30" s="1634">
        <v>16046</v>
      </c>
      <c r="AJ30" s="1634">
        <v>16287</v>
      </c>
      <c r="AK30" s="1634">
        <v>16464</v>
      </c>
      <c r="AL30" s="1634">
        <v>16415</v>
      </c>
      <c r="AM30" s="1634">
        <v>16502</v>
      </c>
      <c r="AN30" s="1634">
        <v>16561</v>
      </c>
      <c r="AO30" s="1634">
        <v>16624</v>
      </c>
      <c r="AP30" s="1634">
        <v>16704</v>
      </c>
      <c r="AQ30" s="1634">
        <v>16771</v>
      </c>
      <c r="AR30" s="1634">
        <v>12172</v>
      </c>
      <c r="AS30" s="1634">
        <v>12003</v>
      </c>
      <c r="AT30" s="1635">
        <f>SUM(AH30:AS30)</f>
        <v>188348</v>
      </c>
      <c r="AU30" s="1636">
        <f>AVERAGE(AH30:AS30)</f>
        <v>15695.666666666666</v>
      </c>
      <c r="AV30" s="1632"/>
      <c r="AW30" s="317">
        <f t="shared" si="0"/>
        <v>-3580</v>
      </c>
      <c r="AX30" s="317">
        <f t="shared" si="7"/>
        <v>2268.4166666666661</v>
      </c>
      <c r="AY30" s="731">
        <f t="shared" si="9"/>
        <v>27221</v>
      </c>
      <c r="AZ30" s="322">
        <f t="shared" si="2"/>
        <v>-169</v>
      </c>
    </row>
    <row r="31" spans="1:52" x14ac:dyDescent="0.55000000000000004">
      <c r="A31" s="7340"/>
      <c r="B31" s="147" t="s">
        <v>334</v>
      </c>
      <c r="C31" s="147"/>
      <c r="D31" s="147">
        <f>0</f>
        <v>0</v>
      </c>
      <c r="E31" s="147">
        <f>0</f>
        <v>0</v>
      </c>
      <c r="F31" s="147">
        <f>0</f>
        <v>0</v>
      </c>
      <c r="G31" s="147">
        <f>0</f>
        <v>0</v>
      </c>
      <c r="H31" s="147">
        <f>0</f>
        <v>0</v>
      </c>
      <c r="I31" s="147">
        <f>0</f>
        <v>0</v>
      </c>
      <c r="J31" s="147">
        <f>0</f>
        <v>0</v>
      </c>
      <c r="K31" s="147">
        <f>0</f>
        <v>0</v>
      </c>
      <c r="L31" s="147">
        <f>0</f>
        <v>0</v>
      </c>
      <c r="M31" s="147">
        <f>0</f>
        <v>0</v>
      </c>
      <c r="N31" s="147">
        <f>0</f>
        <v>0</v>
      </c>
      <c r="O31" s="147">
        <f>0</f>
        <v>0</v>
      </c>
      <c r="P31" s="147">
        <f>0</f>
        <v>0</v>
      </c>
      <c r="Q31" s="147">
        <f>0</f>
        <v>0</v>
      </c>
      <c r="S31" s="551">
        <v>5682</v>
      </c>
      <c r="T31" s="552">
        <v>6722</v>
      </c>
      <c r="U31" s="552">
        <v>6914</v>
      </c>
      <c r="V31" s="552">
        <v>9765</v>
      </c>
      <c r="W31" s="552">
        <v>9604</v>
      </c>
      <c r="X31" s="552">
        <v>10658</v>
      </c>
      <c r="Y31" s="552">
        <v>8916</v>
      </c>
      <c r="Z31" s="552">
        <v>8582</v>
      </c>
      <c r="AA31" s="552">
        <v>7896</v>
      </c>
      <c r="AB31" s="552">
        <v>7962</v>
      </c>
      <c r="AC31" s="552">
        <v>8556</v>
      </c>
      <c r="AD31" s="552">
        <v>7479</v>
      </c>
      <c r="AE31" s="552">
        <f>SUM(S31:AD31)</f>
        <v>98736</v>
      </c>
      <c r="AF31" s="552">
        <f>AVERAGE(S31:AD31)</f>
        <v>8228</v>
      </c>
      <c r="AH31" s="1637">
        <v>7921</v>
      </c>
      <c r="AI31" s="552">
        <v>6200</v>
      </c>
      <c r="AJ31" s="552">
        <v>5227</v>
      </c>
      <c r="AK31" s="552">
        <v>3519</v>
      </c>
      <c r="AL31" s="552">
        <v>1423</v>
      </c>
      <c r="AM31" s="552">
        <v>1281</v>
      </c>
      <c r="AN31" s="552">
        <v>2850</v>
      </c>
      <c r="AO31" s="552">
        <v>3496</v>
      </c>
      <c r="AP31" s="552">
        <v>3291</v>
      </c>
      <c r="AQ31" s="552">
        <v>1803</v>
      </c>
      <c r="AR31" s="552">
        <v>1218</v>
      </c>
      <c r="AS31" s="552">
        <v>762</v>
      </c>
      <c r="AT31" s="552">
        <f>SUM(AH31:AS31)</f>
        <v>38991</v>
      </c>
      <c r="AU31" s="1638">
        <f>AVERAGE(AH31:AS31)</f>
        <v>3249.25</v>
      </c>
      <c r="AW31" s="317">
        <f t="shared" si="0"/>
        <v>-6717</v>
      </c>
      <c r="AX31" s="317">
        <f t="shared" si="7"/>
        <v>-4978.75</v>
      </c>
      <c r="AY31" s="731">
        <f t="shared" si="9"/>
        <v>-59745</v>
      </c>
      <c r="AZ31" s="322">
        <f t="shared" si="2"/>
        <v>-456</v>
      </c>
    </row>
    <row r="32" spans="1:52" x14ac:dyDescent="0.55000000000000004">
      <c r="A32" s="7340"/>
      <c r="B32" s="147" t="s">
        <v>340</v>
      </c>
      <c r="C32" s="147"/>
      <c r="D32" s="147">
        <v>1555</v>
      </c>
      <c r="E32" s="147">
        <v>1639</v>
      </c>
      <c r="F32" s="147">
        <v>1503</v>
      </c>
      <c r="G32" s="147">
        <v>1430</v>
      </c>
      <c r="H32" s="147">
        <v>1245</v>
      </c>
      <c r="I32" s="147">
        <v>1151</v>
      </c>
      <c r="J32" s="147">
        <v>1100</v>
      </c>
      <c r="K32" s="147">
        <v>1013</v>
      </c>
      <c r="L32" s="147">
        <v>740</v>
      </c>
      <c r="M32" s="147">
        <v>928</v>
      </c>
      <c r="N32" s="147">
        <v>899</v>
      </c>
      <c r="O32" s="147">
        <v>850</v>
      </c>
      <c r="P32" s="147">
        <f t="shared" ref="P32:P43" si="10">SUM(D32:O32)</f>
        <v>14053</v>
      </c>
      <c r="Q32" s="147">
        <f t="shared" ref="Q32:Q43" si="11">AVERAGE(D32:O32)</f>
        <v>1171.0833333333333</v>
      </c>
      <c r="S32" s="551">
        <v>1187</v>
      </c>
      <c r="T32" s="552">
        <v>1225</v>
      </c>
      <c r="U32" s="552">
        <v>1362</v>
      </c>
      <c r="V32" s="552">
        <v>1582</v>
      </c>
      <c r="W32" s="552">
        <v>1715</v>
      </c>
      <c r="X32" s="552">
        <v>1788</v>
      </c>
      <c r="Y32" s="552">
        <v>1745</v>
      </c>
      <c r="Z32" s="552">
        <v>1811</v>
      </c>
      <c r="AA32" s="552">
        <v>1713</v>
      </c>
      <c r="AB32" s="552">
        <v>1662</v>
      </c>
      <c r="AC32" s="552">
        <v>2081</v>
      </c>
      <c r="AD32" s="552">
        <v>2220</v>
      </c>
      <c r="AE32" s="552">
        <f>SUM(S32:AD32)</f>
        <v>20091</v>
      </c>
      <c r="AF32" s="552">
        <f>AVERAGE(S32:AD32)</f>
        <v>1674.25</v>
      </c>
      <c r="AG32" s="321"/>
      <c r="AH32" s="1637">
        <v>2798</v>
      </c>
      <c r="AI32" s="552">
        <v>2245</v>
      </c>
      <c r="AJ32" s="552">
        <v>2011</v>
      </c>
      <c r="AK32" s="552">
        <v>2155</v>
      </c>
      <c r="AL32" s="552">
        <v>1516</v>
      </c>
      <c r="AM32" s="552">
        <v>388</v>
      </c>
      <c r="AN32" s="552">
        <v>790</v>
      </c>
      <c r="AO32" s="552">
        <v>791</v>
      </c>
      <c r="AP32" s="552">
        <v>1237</v>
      </c>
      <c r="AQ32" s="552">
        <v>915</v>
      </c>
      <c r="AR32" s="552">
        <v>553</v>
      </c>
      <c r="AS32" s="552">
        <v>385</v>
      </c>
      <c r="AT32" s="552">
        <f>SUM(AH32:AS32)</f>
        <v>15784</v>
      </c>
      <c r="AU32" s="1638">
        <f>AVERAGE(AH32:AS32)</f>
        <v>1315.3333333333333</v>
      </c>
      <c r="AV32" s="317"/>
      <c r="AW32" s="317">
        <f t="shared" si="0"/>
        <v>-1835</v>
      </c>
      <c r="AX32" s="317">
        <f t="shared" si="7"/>
        <v>-358.91666666666674</v>
      </c>
      <c r="AY32" s="731">
        <f t="shared" si="9"/>
        <v>-4307</v>
      </c>
      <c r="AZ32" s="322">
        <f t="shared" si="2"/>
        <v>-168</v>
      </c>
    </row>
    <row r="33" spans="1:52" x14ac:dyDescent="0.55000000000000004">
      <c r="A33" s="7340"/>
      <c r="B33" s="146" t="s">
        <v>338</v>
      </c>
      <c r="C33" s="146"/>
      <c r="D33" s="146">
        <f>0</f>
        <v>0</v>
      </c>
      <c r="E33" s="146">
        <f>0</f>
        <v>0</v>
      </c>
      <c r="F33" s="146">
        <f>0</f>
        <v>0</v>
      </c>
      <c r="G33" s="146">
        <f>0</f>
        <v>0</v>
      </c>
      <c r="H33" s="146">
        <f>0</f>
        <v>0</v>
      </c>
      <c r="I33" s="146">
        <f>0</f>
        <v>0</v>
      </c>
      <c r="J33" s="146">
        <f>0</f>
        <v>0</v>
      </c>
      <c r="K33" s="146">
        <f>0</f>
        <v>0</v>
      </c>
      <c r="L33" s="146">
        <f>0</f>
        <v>0</v>
      </c>
      <c r="M33" s="146">
        <f>0</f>
        <v>0</v>
      </c>
      <c r="N33" s="146">
        <f>0</f>
        <v>0</v>
      </c>
      <c r="O33" s="146">
        <f>0</f>
        <v>0</v>
      </c>
      <c r="P33" s="146">
        <f>0</f>
        <v>0</v>
      </c>
      <c r="Q33" s="146">
        <f>0</f>
        <v>0</v>
      </c>
      <c r="S33" s="752">
        <v>1.9629317607413648</v>
      </c>
      <c r="T33" s="753">
        <v>3.143673469387755</v>
      </c>
      <c r="U33" s="753">
        <v>2.7753303964757707</v>
      </c>
      <c r="V33" s="753">
        <v>3.3887484197218711</v>
      </c>
      <c r="W33" s="753">
        <v>3.7061224489795919</v>
      </c>
      <c r="X33" s="753">
        <v>3.488255033557047</v>
      </c>
      <c r="Y33" s="753">
        <v>3.3931232091690546</v>
      </c>
      <c r="Z33" s="753">
        <v>3.7</v>
      </c>
      <c r="AA33" s="753">
        <v>3.4109748978400467</v>
      </c>
      <c r="AB33" s="753">
        <v>1.9</v>
      </c>
      <c r="AC33" s="753">
        <v>3.6117251321480057</v>
      </c>
      <c r="AD33" s="753">
        <v>3.5</v>
      </c>
      <c r="AE33" s="753">
        <f>SUM(S33:AD33)</f>
        <v>37.980884768020502</v>
      </c>
      <c r="AF33" s="753">
        <f>AVERAGE(S33:AD33)</f>
        <v>3.1650737306683752</v>
      </c>
      <c r="AG33" s="321"/>
      <c r="AH33" s="1639">
        <v>3.5</v>
      </c>
      <c r="AI33" s="753">
        <v>2.7616926503340755</v>
      </c>
      <c r="AJ33" s="753">
        <v>2.9686723023371457</v>
      </c>
      <c r="AK33" s="753">
        <v>3.3517401392111368</v>
      </c>
      <c r="AL33" s="753">
        <v>2.6</v>
      </c>
      <c r="AM33" s="753">
        <v>2</v>
      </c>
      <c r="AN33" s="753">
        <v>2.2000000000000002</v>
      </c>
      <c r="AO33" s="554">
        <v>2.4</v>
      </c>
      <c r="AP33" s="753">
        <v>2.8</v>
      </c>
      <c r="AQ33" s="753">
        <v>3.1</v>
      </c>
      <c r="AR33" s="753">
        <v>2.6</v>
      </c>
      <c r="AS33" s="753">
        <v>2.8</v>
      </c>
      <c r="AT33" s="753">
        <f>SUM(AH33:AS33)</f>
        <v>33.082105091882354</v>
      </c>
      <c r="AU33" s="1082">
        <f>AVERAGE(AH33:AS33)</f>
        <v>2.7568420909901961</v>
      </c>
      <c r="AV33" s="321"/>
      <c r="AW33" s="317">
        <f t="shared" si="0"/>
        <v>-0.70000000000000018</v>
      </c>
      <c r="AX33" s="317">
        <f t="shared" si="7"/>
        <v>-0.4082316396781791</v>
      </c>
      <c r="AY33" s="891">
        <f t="shared" si="9"/>
        <v>-4.8987796761381475</v>
      </c>
      <c r="AZ33" s="322">
        <f t="shared" si="2"/>
        <v>0.19999999999999973</v>
      </c>
    </row>
    <row r="34" spans="1:52" ht="17.05" customHeight="1" x14ac:dyDescent="0.55000000000000004">
      <c r="A34" s="7340"/>
      <c r="B34" s="146"/>
      <c r="C34" s="146" t="s">
        <v>332</v>
      </c>
      <c r="D34" s="146">
        <f>0</f>
        <v>0</v>
      </c>
      <c r="E34" s="146">
        <f>0</f>
        <v>0</v>
      </c>
      <c r="F34" s="146">
        <f>0</f>
        <v>0</v>
      </c>
      <c r="G34" s="146">
        <f>0</f>
        <v>0</v>
      </c>
      <c r="H34" s="146">
        <f>0</f>
        <v>0</v>
      </c>
      <c r="I34" s="146">
        <f>0</f>
        <v>0</v>
      </c>
      <c r="J34" s="146">
        <f>0</f>
        <v>0</v>
      </c>
      <c r="K34" s="146">
        <f>0</f>
        <v>0</v>
      </c>
      <c r="L34" s="146">
        <f>0</f>
        <v>0</v>
      </c>
      <c r="M34" s="146">
        <f>0</f>
        <v>0</v>
      </c>
      <c r="N34" s="146">
        <f>0</f>
        <v>0</v>
      </c>
      <c r="O34" s="146">
        <f>0</f>
        <v>0</v>
      </c>
      <c r="P34" s="146">
        <f>0</f>
        <v>0</v>
      </c>
      <c r="Q34" s="146">
        <f>0</f>
        <v>0</v>
      </c>
      <c r="S34" s="553"/>
      <c r="T34" s="554"/>
      <c r="U34" s="554"/>
      <c r="V34" s="554"/>
      <c r="W34" s="554"/>
      <c r="X34" s="554">
        <v>6237</v>
      </c>
      <c r="Y34" s="554"/>
      <c r="Z34" s="554"/>
      <c r="AA34" s="554"/>
      <c r="AB34" s="554"/>
      <c r="AC34" s="554"/>
      <c r="AD34" s="554"/>
      <c r="AE34" s="554">
        <f>SUM(S34:AD34)</f>
        <v>6237</v>
      </c>
      <c r="AF34" s="554">
        <f>AVERAGE(S34:AD34)</f>
        <v>6237</v>
      </c>
      <c r="AH34" s="1640"/>
      <c r="AI34" s="554"/>
      <c r="AJ34" s="554"/>
      <c r="AK34" s="554"/>
      <c r="AL34" s="554"/>
      <c r="AM34" s="554"/>
      <c r="AN34" s="554"/>
      <c r="AO34" s="554"/>
      <c r="AP34" s="554"/>
      <c r="AQ34" s="554"/>
      <c r="AR34" s="554"/>
      <c r="AS34" s="554"/>
      <c r="AT34" s="554">
        <f>SUM(AH34:AS34)</f>
        <v>0</v>
      </c>
      <c r="AU34" s="1641"/>
      <c r="AW34" s="317">
        <f t="shared" si="0"/>
        <v>0</v>
      </c>
      <c r="AX34" s="317">
        <f t="shared" si="7"/>
        <v>-6237</v>
      </c>
      <c r="AY34" s="891">
        <f t="shared" si="9"/>
        <v>-6237</v>
      </c>
      <c r="AZ34" s="322">
        <f t="shared" si="2"/>
        <v>0</v>
      </c>
    </row>
    <row r="35" spans="1:52" ht="17.05" customHeight="1" x14ac:dyDescent="0.55000000000000004">
      <c r="A35" s="7340"/>
      <c r="B35" s="146"/>
      <c r="C35" s="146" t="s">
        <v>333</v>
      </c>
      <c r="D35" s="146">
        <f>0</f>
        <v>0</v>
      </c>
      <c r="E35" s="146">
        <f>0</f>
        <v>0</v>
      </c>
      <c r="F35" s="146">
        <f>0</f>
        <v>0</v>
      </c>
      <c r="G35" s="146">
        <f>0</f>
        <v>0</v>
      </c>
      <c r="H35" s="146">
        <f>0</f>
        <v>0</v>
      </c>
      <c r="I35" s="146">
        <f>0</f>
        <v>0</v>
      </c>
      <c r="J35" s="146">
        <f>0</f>
        <v>0</v>
      </c>
      <c r="K35" s="146">
        <f>0</f>
        <v>0</v>
      </c>
      <c r="L35" s="146">
        <f>0</f>
        <v>0</v>
      </c>
      <c r="M35" s="146">
        <f>0</f>
        <v>0</v>
      </c>
      <c r="N35" s="146">
        <f>0</f>
        <v>0</v>
      </c>
      <c r="O35" s="146">
        <f>0</f>
        <v>0</v>
      </c>
      <c r="P35" s="146">
        <f>0</f>
        <v>0</v>
      </c>
      <c r="Q35" s="146">
        <f>0</f>
        <v>0</v>
      </c>
      <c r="S35" s="553"/>
      <c r="T35" s="554"/>
      <c r="U35" s="554"/>
      <c r="V35" s="554"/>
      <c r="W35" s="554"/>
      <c r="X35" s="554"/>
      <c r="Y35" s="554"/>
      <c r="Z35" s="554"/>
      <c r="AA35" s="554"/>
      <c r="AB35" s="554"/>
      <c r="AC35" s="554"/>
      <c r="AD35" s="554"/>
      <c r="AE35" s="554"/>
      <c r="AF35" s="554"/>
      <c r="AG35" s="751"/>
      <c r="AH35" s="1640"/>
      <c r="AI35" s="554"/>
      <c r="AJ35" s="554"/>
      <c r="AK35" s="554"/>
      <c r="AL35" s="554"/>
      <c r="AM35" s="554"/>
      <c r="AN35" s="554"/>
      <c r="AO35" s="554"/>
      <c r="AP35" s="554"/>
      <c r="AQ35" s="554"/>
      <c r="AR35" s="554"/>
      <c r="AS35" s="554"/>
      <c r="AT35" s="554"/>
      <c r="AU35" s="1641"/>
      <c r="AV35" s="751"/>
      <c r="AW35" s="317">
        <f t="shared" si="0"/>
        <v>0</v>
      </c>
      <c r="AX35" s="317">
        <f t="shared" si="7"/>
        <v>0</v>
      </c>
      <c r="AY35" s="317">
        <f t="shared" si="9"/>
        <v>0</v>
      </c>
      <c r="AZ35" s="322">
        <f t="shared" si="2"/>
        <v>0</v>
      </c>
    </row>
    <row r="36" spans="1:52" ht="17.05" customHeight="1" x14ac:dyDescent="0.55000000000000004">
      <c r="A36" s="7340"/>
      <c r="B36" s="146"/>
      <c r="C36" s="146" t="s">
        <v>339</v>
      </c>
      <c r="D36" s="146">
        <f>0</f>
        <v>0</v>
      </c>
      <c r="E36" s="146">
        <f>0</f>
        <v>0</v>
      </c>
      <c r="F36" s="146">
        <f>0</f>
        <v>0</v>
      </c>
      <c r="G36" s="146">
        <f>0</f>
        <v>0</v>
      </c>
      <c r="H36" s="146">
        <f>0</f>
        <v>0</v>
      </c>
      <c r="I36" s="146">
        <f>0</f>
        <v>0</v>
      </c>
      <c r="J36" s="146">
        <f>0</f>
        <v>0</v>
      </c>
      <c r="K36" s="146">
        <f>0</f>
        <v>0</v>
      </c>
      <c r="L36" s="146">
        <f>0</f>
        <v>0</v>
      </c>
      <c r="M36" s="146">
        <f>0</f>
        <v>0</v>
      </c>
      <c r="N36" s="146">
        <f>0</f>
        <v>0</v>
      </c>
      <c r="O36" s="146">
        <f>0</f>
        <v>0</v>
      </c>
      <c r="P36" s="146">
        <f>0</f>
        <v>0</v>
      </c>
      <c r="Q36" s="146">
        <f>0</f>
        <v>0</v>
      </c>
      <c r="S36" s="553"/>
      <c r="T36" s="554"/>
      <c r="U36" s="554"/>
      <c r="V36" s="554"/>
      <c r="W36" s="554"/>
      <c r="X36" s="554"/>
      <c r="Y36" s="554"/>
      <c r="Z36" s="554"/>
      <c r="AA36" s="554"/>
      <c r="AB36" s="554"/>
      <c r="AC36" s="554"/>
      <c r="AD36" s="554"/>
      <c r="AE36" s="554"/>
      <c r="AF36" s="554"/>
      <c r="AH36" s="1640"/>
      <c r="AI36" s="554"/>
      <c r="AJ36" s="554"/>
      <c r="AK36" s="554"/>
      <c r="AL36" s="554"/>
      <c r="AM36" s="554"/>
      <c r="AN36" s="554"/>
      <c r="AO36" s="554"/>
      <c r="AP36" s="554"/>
      <c r="AQ36" s="554"/>
      <c r="AR36" s="554"/>
      <c r="AS36" s="554"/>
      <c r="AT36" s="554"/>
      <c r="AU36" s="1641"/>
      <c r="AW36" s="317">
        <f t="shared" ref="AW36:AW66" si="12">HLOOKUP($A$1,$AH$2:$AS$402,ROW()-1,0)-HLOOKUP($A$1,$S$2:$AD$402,ROW()-1,0)</f>
        <v>0</v>
      </c>
      <c r="AX36" s="317">
        <f t="shared" si="7"/>
        <v>0</v>
      </c>
      <c r="AY36" s="891">
        <f t="shared" si="9"/>
        <v>0</v>
      </c>
      <c r="AZ36" s="322">
        <f t="shared" ref="AZ36:AZ67" si="13">HLOOKUP($A$1,$AH$2:$AS$401,ROW()-1,0)-HLOOKUP($B$1,$AH$2:$AS$401,ROW()-1,0)</f>
        <v>0</v>
      </c>
    </row>
    <row r="37" spans="1:52" x14ac:dyDescent="0.55000000000000004">
      <c r="A37" s="7340"/>
      <c r="B37" s="154" t="s">
        <v>336</v>
      </c>
      <c r="C37" s="155"/>
      <c r="D37" s="155">
        <v>3539</v>
      </c>
      <c r="E37" s="155">
        <v>4129</v>
      </c>
      <c r="F37" s="155">
        <v>3953</v>
      </c>
      <c r="G37" s="155">
        <v>4131</v>
      </c>
      <c r="H37" s="155">
        <v>3409</v>
      </c>
      <c r="I37" s="155">
        <v>3410</v>
      </c>
      <c r="J37" s="155">
        <v>3399</v>
      </c>
      <c r="K37" s="155">
        <v>3795</v>
      </c>
      <c r="L37" s="155">
        <v>2399</v>
      </c>
      <c r="M37" s="155">
        <v>2919</v>
      </c>
      <c r="N37" s="155">
        <v>2565</v>
      </c>
      <c r="O37" s="155">
        <v>2325</v>
      </c>
      <c r="P37" s="155">
        <f t="shared" si="10"/>
        <v>39973</v>
      </c>
      <c r="Q37" s="155">
        <f t="shared" si="11"/>
        <v>3331.0833333333335</v>
      </c>
      <c r="S37" s="555">
        <v>2330</v>
      </c>
      <c r="T37" s="556">
        <v>3851</v>
      </c>
      <c r="U37" s="556">
        <v>3780</v>
      </c>
      <c r="V37" s="556">
        <v>5361</v>
      </c>
      <c r="W37" s="556">
        <v>6356</v>
      </c>
      <c r="X37" s="556">
        <v>6237</v>
      </c>
      <c r="Y37" s="556">
        <v>5921</v>
      </c>
      <c r="Z37" s="556">
        <v>6657</v>
      </c>
      <c r="AA37" s="556">
        <v>5843</v>
      </c>
      <c r="AB37" s="556">
        <v>6028</v>
      </c>
      <c r="AC37" s="556">
        <v>7516</v>
      </c>
      <c r="AD37" s="556">
        <v>7849</v>
      </c>
      <c r="AE37" s="556">
        <f t="shared" ref="AE37:AE51" si="14">SUM(S37:AD37)</f>
        <v>67729</v>
      </c>
      <c r="AF37" s="556">
        <f t="shared" ref="AF37:AF51" si="15">AVERAGE(S37:AD37)</f>
        <v>5644.083333333333</v>
      </c>
      <c r="AG37" s="787"/>
      <c r="AH37" s="1642">
        <v>9867</v>
      </c>
      <c r="AI37" s="556">
        <v>6426</v>
      </c>
      <c r="AJ37" s="556">
        <v>5970</v>
      </c>
      <c r="AK37" s="556">
        <v>7223</v>
      </c>
      <c r="AL37" s="556">
        <v>3960</v>
      </c>
      <c r="AM37" s="556">
        <v>759</v>
      </c>
      <c r="AN37" s="556">
        <v>1716</v>
      </c>
      <c r="AO37" s="556">
        <v>1902</v>
      </c>
      <c r="AP37" s="556">
        <v>3452</v>
      </c>
      <c r="AQ37" s="556">
        <v>2849</v>
      </c>
      <c r="AR37" s="556">
        <v>1416</v>
      </c>
      <c r="AS37" s="556">
        <v>1060</v>
      </c>
      <c r="AT37" s="556">
        <f t="shared" ref="AT37:AT51" si="16">SUM(AH37:AS37)</f>
        <v>46600</v>
      </c>
      <c r="AU37" s="1643">
        <f t="shared" ref="AU37:AU51" si="17">AVERAGE(AH37:AS37)</f>
        <v>3883.3333333333335</v>
      </c>
      <c r="AV37" s="787"/>
      <c r="AW37" s="317">
        <f t="shared" si="12"/>
        <v>-6789</v>
      </c>
      <c r="AX37" s="317">
        <f t="shared" si="7"/>
        <v>-1760.7499999999995</v>
      </c>
      <c r="AY37" s="731">
        <f t="shared" si="9"/>
        <v>-21129</v>
      </c>
      <c r="AZ37" s="322">
        <f t="shared" si="13"/>
        <v>-356</v>
      </c>
    </row>
    <row r="38" spans="1:52" x14ac:dyDescent="0.55000000000000004">
      <c r="A38" s="7340"/>
      <c r="B38" s="150" t="s">
        <v>304</v>
      </c>
      <c r="C38" s="151"/>
      <c r="D38" s="151">
        <v>3406</v>
      </c>
      <c r="E38" s="151">
        <v>4076</v>
      </c>
      <c r="F38" s="151">
        <v>3890</v>
      </c>
      <c r="G38" s="151">
        <v>4056</v>
      </c>
      <c r="H38" s="151">
        <v>3337</v>
      </c>
      <c r="I38" s="151">
        <v>3329</v>
      </c>
      <c r="J38" s="151">
        <v>3323</v>
      </c>
      <c r="K38" s="151">
        <v>3770</v>
      </c>
      <c r="L38" s="151">
        <v>2377</v>
      </c>
      <c r="M38" s="151">
        <v>2893</v>
      </c>
      <c r="N38" s="151">
        <v>2546</v>
      </c>
      <c r="O38" s="151">
        <v>2281</v>
      </c>
      <c r="P38" s="151">
        <f t="shared" si="10"/>
        <v>39284</v>
      </c>
      <c r="Q38" s="151">
        <f t="shared" si="11"/>
        <v>3273.6666666666665</v>
      </c>
      <c r="S38" s="557">
        <v>2293</v>
      </c>
      <c r="T38" s="558">
        <v>3569</v>
      </c>
      <c r="U38" s="558">
        <v>2967</v>
      </c>
      <c r="V38" s="558">
        <v>3993</v>
      </c>
      <c r="W38" s="558">
        <v>4433</v>
      </c>
      <c r="X38" s="558">
        <v>4288</v>
      </c>
      <c r="Y38" s="558">
        <v>3812</v>
      </c>
      <c r="Z38" s="558">
        <v>4207</v>
      </c>
      <c r="AA38" s="558">
        <v>4067</v>
      </c>
      <c r="AB38" s="558">
        <v>4269</v>
      </c>
      <c r="AC38" s="558">
        <v>5259</v>
      </c>
      <c r="AD38" s="558">
        <v>5425</v>
      </c>
      <c r="AE38" s="558">
        <f t="shared" si="14"/>
        <v>48582</v>
      </c>
      <c r="AF38" s="558">
        <f t="shared" si="15"/>
        <v>4048.5</v>
      </c>
      <c r="AH38" s="1644">
        <v>7082</v>
      </c>
      <c r="AI38" s="558">
        <v>4217</v>
      </c>
      <c r="AJ38" s="558">
        <v>3586</v>
      </c>
      <c r="AK38" s="558">
        <v>4254</v>
      </c>
      <c r="AL38" s="558">
        <v>2292</v>
      </c>
      <c r="AM38" s="558">
        <v>376</v>
      </c>
      <c r="AN38" s="558">
        <v>1096</v>
      </c>
      <c r="AO38" s="558">
        <v>1441</v>
      </c>
      <c r="AP38" s="558">
        <v>2452</v>
      </c>
      <c r="AQ38" s="558">
        <v>2197</v>
      </c>
      <c r="AR38" s="558">
        <v>935</v>
      </c>
      <c r="AS38" s="558">
        <v>589</v>
      </c>
      <c r="AT38" s="558">
        <f t="shared" si="16"/>
        <v>30517</v>
      </c>
      <c r="AU38" s="1645">
        <f t="shared" si="17"/>
        <v>2543.0833333333335</v>
      </c>
      <c r="AW38" s="317">
        <f t="shared" si="12"/>
        <v>-4836</v>
      </c>
      <c r="AX38" s="317">
        <f t="shared" si="7"/>
        <v>-1505.4166666666665</v>
      </c>
      <c r="AY38" s="731">
        <f t="shared" si="9"/>
        <v>-18065</v>
      </c>
      <c r="AZ38" s="322">
        <f t="shared" si="13"/>
        <v>-346</v>
      </c>
    </row>
    <row r="39" spans="1:52" x14ac:dyDescent="0.55000000000000004">
      <c r="A39" s="7340"/>
      <c r="B39" s="149"/>
      <c r="C39" s="146" t="s">
        <v>283</v>
      </c>
      <c r="D39" s="146">
        <v>2212</v>
      </c>
      <c r="E39" s="146">
        <v>3079</v>
      </c>
      <c r="F39" s="146">
        <v>2784</v>
      </c>
      <c r="G39" s="146">
        <v>3174</v>
      </c>
      <c r="H39" s="146">
        <v>2564</v>
      </c>
      <c r="I39" s="146">
        <v>2344</v>
      </c>
      <c r="J39" s="146">
        <v>2445</v>
      </c>
      <c r="K39" s="146">
        <v>3016</v>
      </c>
      <c r="L39" s="146">
        <v>1763</v>
      </c>
      <c r="M39" s="146">
        <v>2085</v>
      </c>
      <c r="N39" s="146">
        <v>1620</v>
      </c>
      <c r="O39" s="146">
        <v>1618</v>
      </c>
      <c r="P39" s="146">
        <f t="shared" si="10"/>
        <v>28704</v>
      </c>
      <c r="Q39" s="146">
        <f t="shared" si="11"/>
        <v>2392</v>
      </c>
      <c r="S39" s="553">
        <v>1520</v>
      </c>
      <c r="T39" s="554">
        <v>2973</v>
      </c>
      <c r="U39" s="554">
        <v>2375</v>
      </c>
      <c r="V39" s="554">
        <v>3081</v>
      </c>
      <c r="W39" s="554">
        <v>2584</v>
      </c>
      <c r="X39" s="554">
        <v>2236</v>
      </c>
      <c r="Y39" s="554">
        <v>2336</v>
      </c>
      <c r="Z39" s="554">
        <v>2677</v>
      </c>
      <c r="AA39" s="554">
        <v>2629</v>
      </c>
      <c r="AB39" s="554">
        <v>2847</v>
      </c>
      <c r="AC39" s="554">
        <v>3294</v>
      </c>
      <c r="AD39" s="554">
        <v>3151</v>
      </c>
      <c r="AE39" s="554">
        <f t="shared" si="14"/>
        <v>31703</v>
      </c>
      <c r="AF39" s="554">
        <f t="shared" si="15"/>
        <v>2641.9166666666665</v>
      </c>
      <c r="AH39" s="1640">
        <f>AH38-AH40</f>
        <v>4023</v>
      </c>
      <c r="AI39" s="554">
        <v>2535</v>
      </c>
      <c r="AJ39" s="554">
        <v>2322</v>
      </c>
      <c r="AK39" s="554">
        <v>2521</v>
      </c>
      <c r="AL39" s="554">
        <f>AL38-AL40</f>
        <v>1409</v>
      </c>
      <c r="AM39" s="554">
        <f>AM38-AM40</f>
        <v>278</v>
      </c>
      <c r="AN39" s="554">
        <v>674</v>
      </c>
      <c r="AO39" s="554">
        <v>825</v>
      </c>
      <c r="AP39" s="554">
        <v>1531</v>
      </c>
      <c r="AQ39" s="554">
        <v>1607</v>
      </c>
      <c r="AR39" s="554">
        <v>650</v>
      </c>
      <c r="AS39" s="554">
        <v>500</v>
      </c>
      <c r="AT39" s="554">
        <f t="shared" si="16"/>
        <v>18875</v>
      </c>
      <c r="AU39" s="1641">
        <f t="shared" si="17"/>
        <v>1572.9166666666667</v>
      </c>
      <c r="AW39" s="317">
        <f t="shared" si="12"/>
        <v>-2651</v>
      </c>
      <c r="AX39" s="317">
        <f t="shared" si="7"/>
        <v>-1068.9999999999998</v>
      </c>
      <c r="AY39" s="731">
        <f t="shared" si="9"/>
        <v>-12828</v>
      </c>
      <c r="AZ39" s="322">
        <f t="shared" si="13"/>
        <v>-150</v>
      </c>
    </row>
    <row r="40" spans="1:52" x14ac:dyDescent="0.55000000000000004">
      <c r="A40" s="7340"/>
      <c r="B40" s="149"/>
      <c r="C40" s="146" t="s">
        <v>337</v>
      </c>
      <c r="D40" s="146">
        <v>1194</v>
      </c>
      <c r="E40" s="146">
        <v>997</v>
      </c>
      <c r="F40" s="146">
        <v>1106</v>
      </c>
      <c r="G40" s="146">
        <v>882</v>
      </c>
      <c r="H40" s="146">
        <v>773</v>
      </c>
      <c r="I40" s="146">
        <v>985</v>
      </c>
      <c r="J40" s="146">
        <v>878</v>
      </c>
      <c r="K40" s="146">
        <v>754</v>
      </c>
      <c r="L40" s="146">
        <v>614</v>
      </c>
      <c r="M40" s="146">
        <v>808</v>
      </c>
      <c r="N40" s="146">
        <v>926</v>
      </c>
      <c r="O40" s="146">
        <v>663</v>
      </c>
      <c r="P40" s="146">
        <f t="shared" si="10"/>
        <v>10580</v>
      </c>
      <c r="Q40" s="146">
        <f t="shared" si="11"/>
        <v>881.66666666666663</v>
      </c>
      <c r="S40" s="553">
        <v>773</v>
      </c>
      <c r="T40" s="554">
        <v>596</v>
      </c>
      <c r="U40" s="554">
        <v>592</v>
      </c>
      <c r="V40" s="554">
        <v>912</v>
      </c>
      <c r="W40" s="554">
        <v>1849</v>
      </c>
      <c r="X40" s="554">
        <v>2052</v>
      </c>
      <c r="Y40" s="554">
        <v>1476</v>
      </c>
      <c r="Z40" s="554">
        <v>1530</v>
      </c>
      <c r="AA40" s="554">
        <v>1438</v>
      </c>
      <c r="AB40" s="554">
        <v>1422</v>
      </c>
      <c r="AC40" s="554">
        <v>1965</v>
      </c>
      <c r="AD40" s="554">
        <v>2274</v>
      </c>
      <c r="AE40" s="554">
        <f t="shared" si="14"/>
        <v>16879</v>
      </c>
      <c r="AF40" s="554">
        <f t="shared" si="15"/>
        <v>1406.5833333333333</v>
      </c>
      <c r="AH40" s="1640">
        <v>3059</v>
      </c>
      <c r="AI40" s="554">
        <v>1682</v>
      </c>
      <c r="AJ40" s="554">
        <v>1264</v>
      </c>
      <c r="AK40" s="554">
        <v>1733</v>
      </c>
      <c r="AL40" s="554">
        <v>883</v>
      </c>
      <c r="AM40" s="554">
        <v>98</v>
      </c>
      <c r="AN40" s="554">
        <v>422</v>
      </c>
      <c r="AO40" s="554">
        <v>616</v>
      </c>
      <c r="AP40" s="554">
        <v>921</v>
      </c>
      <c r="AQ40" s="554">
        <v>590</v>
      </c>
      <c r="AR40" s="554">
        <v>285</v>
      </c>
      <c r="AS40" s="554">
        <v>89</v>
      </c>
      <c r="AT40" s="554">
        <f t="shared" si="16"/>
        <v>11642</v>
      </c>
      <c r="AU40" s="1641">
        <f t="shared" si="17"/>
        <v>970.16666666666663</v>
      </c>
      <c r="AW40" s="317">
        <f t="shared" si="12"/>
        <v>-2185</v>
      </c>
      <c r="AX40" s="317">
        <f t="shared" si="7"/>
        <v>-436.41666666666663</v>
      </c>
      <c r="AY40" s="731">
        <f t="shared" si="9"/>
        <v>-5237</v>
      </c>
      <c r="AZ40" s="322">
        <f t="shared" si="13"/>
        <v>-196</v>
      </c>
    </row>
    <row r="41" spans="1:52" x14ac:dyDescent="0.55000000000000004">
      <c r="A41" s="7340"/>
      <c r="B41" s="150" t="s">
        <v>305</v>
      </c>
      <c r="C41" s="151"/>
      <c r="D41" s="151">
        <v>129</v>
      </c>
      <c r="E41" s="151">
        <v>36</v>
      </c>
      <c r="F41" s="151">
        <v>62</v>
      </c>
      <c r="G41" s="151">
        <v>74</v>
      </c>
      <c r="H41" s="151">
        <v>68</v>
      </c>
      <c r="I41" s="151">
        <v>78</v>
      </c>
      <c r="J41" s="151">
        <v>75</v>
      </c>
      <c r="K41" s="151">
        <v>24</v>
      </c>
      <c r="L41" s="151">
        <v>22</v>
      </c>
      <c r="M41" s="151">
        <v>24</v>
      </c>
      <c r="N41" s="151">
        <v>19</v>
      </c>
      <c r="O41" s="151">
        <v>44</v>
      </c>
      <c r="P41" s="151">
        <f t="shared" si="10"/>
        <v>655</v>
      </c>
      <c r="Q41" s="151">
        <f t="shared" si="11"/>
        <v>54.583333333333336</v>
      </c>
      <c r="S41" s="557">
        <v>37</v>
      </c>
      <c r="T41" s="558">
        <v>282</v>
      </c>
      <c r="U41" s="558">
        <v>813</v>
      </c>
      <c r="V41" s="558">
        <v>1368</v>
      </c>
      <c r="W41" s="558">
        <v>1923</v>
      </c>
      <c r="X41" s="558">
        <v>1949</v>
      </c>
      <c r="Y41" s="558">
        <v>2109</v>
      </c>
      <c r="Z41" s="558">
        <v>2450</v>
      </c>
      <c r="AA41" s="558">
        <v>1766</v>
      </c>
      <c r="AB41" s="558">
        <v>1664</v>
      </c>
      <c r="AC41" s="558">
        <v>2192</v>
      </c>
      <c r="AD41" s="558">
        <v>2340</v>
      </c>
      <c r="AE41" s="558">
        <f t="shared" si="14"/>
        <v>18893</v>
      </c>
      <c r="AF41" s="558">
        <f t="shared" si="15"/>
        <v>1574.4166666666667</v>
      </c>
      <c r="AH41" s="1644">
        <v>2671</v>
      </c>
      <c r="AI41" s="558">
        <v>2106</v>
      </c>
      <c r="AJ41" s="558">
        <v>2384</v>
      </c>
      <c r="AK41" s="558">
        <v>2807</v>
      </c>
      <c r="AL41" s="558">
        <v>1528</v>
      </c>
      <c r="AM41" s="558">
        <v>322</v>
      </c>
      <c r="AN41" s="558">
        <v>577</v>
      </c>
      <c r="AO41" s="558">
        <v>450</v>
      </c>
      <c r="AP41" s="558">
        <v>964</v>
      </c>
      <c r="AQ41" s="558">
        <v>598</v>
      </c>
      <c r="AR41" s="558">
        <v>459</v>
      </c>
      <c r="AS41" s="558">
        <v>457</v>
      </c>
      <c r="AT41" s="558">
        <f t="shared" si="16"/>
        <v>15323</v>
      </c>
      <c r="AU41" s="1645">
        <f t="shared" si="17"/>
        <v>1276.9166666666667</v>
      </c>
      <c r="AW41" s="317">
        <f t="shared" si="12"/>
        <v>-1883</v>
      </c>
      <c r="AX41" s="317">
        <f t="shared" si="7"/>
        <v>-297.5</v>
      </c>
      <c r="AY41" s="731">
        <f t="shared" si="9"/>
        <v>-3570</v>
      </c>
      <c r="AZ41" s="322">
        <f t="shared" si="13"/>
        <v>-2</v>
      </c>
    </row>
    <row r="42" spans="1:52" x14ac:dyDescent="0.55000000000000004">
      <c r="A42" s="7340"/>
      <c r="B42" s="149"/>
      <c r="C42" s="146" t="s">
        <v>283</v>
      </c>
      <c r="D42" s="146">
        <v>0</v>
      </c>
      <c r="E42" s="146">
        <v>0</v>
      </c>
      <c r="F42" s="146">
        <v>0</v>
      </c>
      <c r="G42" s="146">
        <v>0</v>
      </c>
      <c r="H42" s="146">
        <v>0</v>
      </c>
      <c r="I42" s="146">
        <v>0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f t="shared" si="10"/>
        <v>0</v>
      </c>
      <c r="Q42" s="146">
        <f t="shared" si="11"/>
        <v>0</v>
      </c>
      <c r="S42" s="553">
        <v>9</v>
      </c>
      <c r="T42" s="554">
        <v>244</v>
      </c>
      <c r="U42" s="554">
        <v>733</v>
      </c>
      <c r="V42" s="554">
        <v>1202</v>
      </c>
      <c r="W42" s="554">
        <v>1736</v>
      </c>
      <c r="X42" s="554">
        <v>1808</v>
      </c>
      <c r="Y42" s="554">
        <v>1997</v>
      </c>
      <c r="Z42" s="554">
        <v>2321</v>
      </c>
      <c r="AA42" s="554">
        <v>1702</v>
      </c>
      <c r="AB42" s="554">
        <v>1583</v>
      </c>
      <c r="AC42" s="554">
        <v>2098</v>
      </c>
      <c r="AD42" s="554">
        <v>2226</v>
      </c>
      <c r="AE42" s="554">
        <f t="shared" si="14"/>
        <v>17659</v>
      </c>
      <c r="AF42" s="554">
        <f t="shared" si="15"/>
        <v>1471.5833333333333</v>
      </c>
      <c r="AH42" s="1640">
        <f>AH41-AH43</f>
        <v>2603</v>
      </c>
      <c r="AI42" s="554">
        <v>2046</v>
      </c>
      <c r="AJ42" s="554">
        <v>2267</v>
      </c>
      <c r="AK42" s="554">
        <v>2661</v>
      </c>
      <c r="AL42" s="554">
        <f>AL41-AL43</f>
        <v>1472</v>
      </c>
      <c r="AM42" s="554">
        <f>AM41-AM43</f>
        <v>302</v>
      </c>
      <c r="AN42" s="554">
        <v>552</v>
      </c>
      <c r="AO42" s="554">
        <v>415</v>
      </c>
      <c r="AP42" s="554">
        <v>834</v>
      </c>
      <c r="AQ42" s="554">
        <v>540</v>
      </c>
      <c r="AR42" s="554">
        <v>416</v>
      </c>
      <c r="AS42" s="554">
        <v>441</v>
      </c>
      <c r="AT42" s="554">
        <f t="shared" si="16"/>
        <v>14549</v>
      </c>
      <c r="AU42" s="1641">
        <f t="shared" si="17"/>
        <v>1212.4166666666667</v>
      </c>
      <c r="AW42" s="317">
        <f t="shared" si="12"/>
        <v>-1785</v>
      </c>
      <c r="AX42" s="317">
        <f t="shared" si="7"/>
        <v>-259.16666666666652</v>
      </c>
      <c r="AY42" s="731">
        <f t="shared" si="9"/>
        <v>-3110</v>
      </c>
      <c r="AZ42" s="322">
        <f t="shared" si="13"/>
        <v>25</v>
      </c>
    </row>
    <row r="43" spans="1:52" x14ac:dyDescent="0.55000000000000004">
      <c r="A43" s="7340"/>
      <c r="B43" s="152"/>
      <c r="C43" s="153" t="s">
        <v>337</v>
      </c>
      <c r="D43" s="153">
        <v>129</v>
      </c>
      <c r="E43" s="153">
        <v>36</v>
      </c>
      <c r="F43" s="153">
        <v>62</v>
      </c>
      <c r="G43" s="153">
        <v>74</v>
      </c>
      <c r="H43" s="153">
        <v>68</v>
      </c>
      <c r="I43" s="153">
        <v>78</v>
      </c>
      <c r="J43" s="153">
        <v>75</v>
      </c>
      <c r="K43" s="153">
        <v>24</v>
      </c>
      <c r="L43" s="153">
        <v>22</v>
      </c>
      <c r="M43" s="153">
        <v>24</v>
      </c>
      <c r="N43" s="153">
        <v>19</v>
      </c>
      <c r="O43" s="153">
        <v>44</v>
      </c>
      <c r="P43" s="153">
        <f t="shared" si="10"/>
        <v>655</v>
      </c>
      <c r="Q43" s="153">
        <f t="shared" si="11"/>
        <v>54.583333333333336</v>
      </c>
      <c r="S43" s="559">
        <v>28</v>
      </c>
      <c r="T43" s="560">
        <v>38</v>
      </c>
      <c r="U43" s="560">
        <v>80</v>
      </c>
      <c r="V43" s="560">
        <v>166</v>
      </c>
      <c r="W43" s="560">
        <v>187</v>
      </c>
      <c r="X43" s="560">
        <v>141</v>
      </c>
      <c r="Y43" s="560">
        <v>112</v>
      </c>
      <c r="Z43" s="560">
        <v>129</v>
      </c>
      <c r="AA43" s="560">
        <v>64</v>
      </c>
      <c r="AB43" s="560">
        <v>81</v>
      </c>
      <c r="AC43" s="560">
        <v>94</v>
      </c>
      <c r="AD43" s="560">
        <v>114</v>
      </c>
      <c r="AE43" s="560">
        <f t="shared" si="14"/>
        <v>1234</v>
      </c>
      <c r="AF43" s="560">
        <f t="shared" si="15"/>
        <v>102.83333333333333</v>
      </c>
      <c r="AH43" s="1646">
        <v>68</v>
      </c>
      <c r="AI43" s="560">
        <v>60</v>
      </c>
      <c r="AJ43" s="560">
        <v>117</v>
      </c>
      <c r="AK43" s="560">
        <v>146</v>
      </c>
      <c r="AL43" s="560">
        <v>56</v>
      </c>
      <c r="AM43" s="560">
        <v>20</v>
      </c>
      <c r="AN43" s="560">
        <v>25</v>
      </c>
      <c r="AO43" s="560">
        <v>35</v>
      </c>
      <c r="AP43" s="560">
        <v>130</v>
      </c>
      <c r="AQ43" s="560">
        <v>58</v>
      </c>
      <c r="AR43" s="560">
        <v>43</v>
      </c>
      <c r="AS43" s="560">
        <v>16</v>
      </c>
      <c r="AT43" s="560">
        <f t="shared" si="16"/>
        <v>774</v>
      </c>
      <c r="AU43" s="1647">
        <f t="shared" si="17"/>
        <v>64.5</v>
      </c>
      <c r="AW43" s="317">
        <f t="shared" si="12"/>
        <v>-98</v>
      </c>
      <c r="AX43" s="317">
        <f t="shared" si="7"/>
        <v>-38.333333333333329</v>
      </c>
      <c r="AY43" s="731">
        <f t="shared" si="9"/>
        <v>-460</v>
      </c>
      <c r="AZ43" s="322">
        <f t="shared" si="13"/>
        <v>-27</v>
      </c>
    </row>
    <row r="44" spans="1:52" x14ac:dyDescent="0.55000000000000004">
      <c r="A44" s="7340"/>
      <c r="B44" s="158" t="s">
        <v>352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S44" s="561">
        <v>302</v>
      </c>
      <c r="T44" s="562">
        <v>517</v>
      </c>
      <c r="U44" s="562">
        <v>515</v>
      </c>
      <c r="V44" s="562">
        <v>716</v>
      </c>
      <c r="W44" s="562">
        <v>664</v>
      </c>
      <c r="X44" s="562">
        <v>475</v>
      </c>
      <c r="Y44" s="562">
        <v>2686</v>
      </c>
      <c r="Z44" s="562">
        <v>1021</v>
      </c>
      <c r="AA44" s="562">
        <v>2259</v>
      </c>
      <c r="AB44" s="562">
        <v>1680</v>
      </c>
      <c r="AC44" s="562">
        <v>734</v>
      </c>
      <c r="AD44" s="562">
        <v>1179</v>
      </c>
      <c r="AE44" s="562">
        <f t="shared" si="14"/>
        <v>12748</v>
      </c>
      <c r="AF44" s="562">
        <f t="shared" si="15"/>
        <v>1062.3333333333333</v>
      </c>
      <c r="AH44" s="1648">
        <v>1359</v>
      </c>
      <c r="AI44" s="562">
        <v>3661</v>
      </c>
      <c r="AJ44" s="562">
        <v>1088</v>
      </c>
      <c r="AK44" s="562">
        <v>746</v>
      </c>
      <c r="AL44" s="562">
        <v>996</v>
      </c>
      <c r="AM44" s="562">
        <v>620</v>
      </c>
      <c r="AN44" s="562">
        <v>956</v>
      </c>
      <c r="AO44" s="562">
        <v>460</v>
      </c>
      <c r="AP44" s="562">
        <v>843</v>
      </c>
      <c r="AQ44" s="562">
        <v>634</v>
      </c>
      <c r="AR44" s="562">
        <v>388</v>
      </c>
      <c r="AS44" s="562">
        <v>487</v>
      </c>
      <c r="AT44" s="562">
        <f t="shared" si="16"/>
        <v>12238</v>
      </c>
      <c r="AU44" s="1649">
        <f t="shared" si="17"/>
        <v>1019.8333333333334</v>
      </c>
      <c r="AW44" s="317">
        <f t="shared" si="12"/>
        <v>-692</v>
      </c>
      <c r="AX44" s="317">
        <f t="shared" si="7"/>
        <v>-42.499999999999886</v>
      </c>
      <c r="AY44" s="1386">
        <f t="shared" si="9"/>
        <v>-510</v>
      </c>
      <c r="AZ44" s="322">
        <f t="shared" si="13"/>
        <v>99</v>
      </c>
    </row>
    <row r="45" spans="1:52" x14ac:dyDescent="0.55000000000000004">
      <c r="A45" s="7340"/>
      <c r="B45" s="160" t="s">
        <v>342</v>
      </c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S45" s="148"/>
      <c r="T45" s="147"/>
      <c r="U45" s="147"/>
      <c r="V45" s="147"/>
      <c r="W45" s="147"/>
      <c r="X45" s="495"/>
      <c r="Y45" s="495"/>
      <c r="Z45" s="495"/>
      <c r="AA45" s="495"/>
      <c r="AB45" s="495"/>
      <c r="AC45" s="552">
        <v>2929</v>
      </c>
      <c r="AD45" s="552">
        <v>1496</v>
      </c>
      <c r="AE45" s="552">
        <f t="shared" si="14"/>
        <v>4425</v>
      </c>
      <c r="AF45" s="495">
        <f t="shared" si="15"/>
        <v>2212.5</v>
      </c>
      <c r="AH45" s="1637">
        <v>3121</v>
      </c>
      <c r="AI45" s="552">
        <v>2802</v>
      </c>
      <c r="AJ45" s="552">
        <v>3544</v>
      </c>
      <c r="AK45" s="147">
        <v>2973</v>
      </c>
      <c r="AL45" s="552">
        <v>3012</v>
      </c>
      <c r="AM45" s="552">
        <v>8320</v>
      </c>
      <c r="AN45" s="2356">
        <v>7119</v>
      </c>
      <c r="AO45" s="552">
        <v>4627</v>
      </c>
      <c r="AP45" s="2356">
        <v>4369</v>
      </c>
      <c r="AQ45" s="2356">
        <v>2979</v>
      </c>
      <c r="AR45" s="552">
        <v>2347</v>
      </c>
      <c r="AS45" s="552">
        <v>2396</v>
      </c>
      <c r="AT45" s="552">
        <f t="shared" si="16"/>
        <v>47609</v>
      </c>
      <c r="AU45" s="1650">
        <f t="shared" si="17"/>
        <v>3967.4166666666665</v>
      </c>
      <c r="AW45" s="317">
        <f t="shared" si="12"/>
        <v>900</v>
      </c>
      <c r="AX45" s="317">
        <f t="shared" si="7"/>
        <v>1754.9166666666665</v>
      </c>
      <c r="AY45" s="891">
        <f t="shared" si="9"/>
        <v>43184</v>
      </c>
      <c r="AZ45" s="322">
        <f t="shared" si="13"/>
        <v>49</v>
      </c>
    </row>
    <row r="46" spans="1:52" x14ac:dyDescent="0.55000000000000004">
      <c r="A46" s="7340"/>
      <c r="B46" s="160"/>
      <c r="C46" s="157" t="s">
        <v>283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S46" s="37"/>
      <c r="T46" s="10"/>
      <c r="U46" s="10"/>
      <c r="V46" s="10"/>
      <c r="W46" s="10"/>
      <c r="X46" s="496"/>
      <c r="Y46" s="496"/>
      <c r="Z46" s="496"/>
      <c r="AA46" s="496"/>
      <c r="AB46" s="496"/>
      <c r="AC46" s="1540">
        <v>1116</v>
      </c>
      <c r="AD46" s="1540">
        <v>367</v>
      </c>
      <c r="AE46" s="1540">
        <f t="shared" si="14"/>
        <v>1483</v>
      </c>
      <c r="AF46" s="496">
        <f t="shared" si="15"/>
        <v>741.5</v>
      </c>
      <c r="AH46" s="2057">
        <v>935</v>
      </c>
      <c r="AI46" s="1540">
        <v>1875</v>
      </c>
      <c r="AJ46" s="1540">
        <v>1477</v>
      </c>
      <c r="AK46" s="10">
        <v>2801</v>
      </c>
      <c r="AL46" s="1540">
        <v>1651</v>
      </c>
      <c r="AM46" s="1540">
        <v>7840</v>
      </c>
      <c r="AN46" s="2357">
        <v>7025</v>
      </c>
      <c r="AO46" s="1540">
        <v>3382</v>
      </c>
      <c r="AP46" s="2357">
        <v>3519</v>
      </c>
      <c r="AQ46" s="2357">
        <v>2029</v>
      </c>
      <c r="AR46" s="1540">
        <v>1529</v>
      </c>
      <c r="AS46" s="1540">
        <v>1619</v>
      </c>
      <c r="AT46" s="1540">
        <f t="shared" si="16"/>
        <v>35682</v>
      </c>
      <c r="AU46" s="1651">
        <f t="shared" si="17"/>
        <v>2973.5</v>
      </c>
      <c r="AW46" s="317">
        <f t="shared" si="12"/>
        <v>1252</v>
      </c>
      <c r="AX46" s="317">
        <f t="shared" si="7"/>
        <v>2232</v>
      </c>
      <c r="AY46" s="891">
        <f t="shared" si="9"/>
        <v>34199</v>
      </c>
      <c r="AZ46" s="322">
        <f t="shared" si="13"/>
        <v>90</v>
      </c>
    </row>
    <row r="47" spans="1:52" x14ac:dyDescent="0.55000000000000004">
      <c r="A47" s="7340"/>
      <c r="B47" s="160"/>
      <c r="C47" s="2304" t="s">
        <v>1148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S47" s="37"/>
      <c r="T47" s="10"/>
      <c r="U47" s="10"/>
      <c r="V47" s="10"/>
      <c r="W47" s="10"/>
      <c r="X47" s="496"/>
      <c r="Y47" s="496"/>
      <c r="Z47" s="496"/>
      <c r="AA47" s="496"/>
      <c r="AB47" s="496"/>
      <c r="AC47" s="1540">
        <v>273</v>
      </c>
      <c r="AD47" s="1540">
        <v>38</v>
      </c>
      <c r="AE47" s="1540">
        <f t="shared" si="14"/>
        <v>311</v>
      </c>
      <c r="AF47" s="496">
        <f t="shared" si="15"/>
        <v>155.5</v>
      </c>
      <c r="AH47" s="2057">
        <v>235</v>
      </c>
      <c r="AI47" s="1540">
        <v>256</v>
      </c>
      <c r="AJ47" s="1540">
        <v>362</v>
      </c>
      <c r="AK47" s="10">
        <v>339</v>
      </c>
      <c r="AL47" s="1540">
        <v>740</v>
      </c>
      <c r="AM47" s="1540">
        <v>5986</v>
      </c>
      <c r="AN47" s="2357">
        <v>4647</v>
      </c>
      <c r="AO47" s="1540">
        <v>2667</v>
      </c>
      <c r="AP47" s="2357">
        <v>2600</v>
      </c>
      <c r="AQ47" s="2357">
        <v>1043</v>
      </c>
      <c r="AR47" s="1540">
        <v>728</v>
      </c>
      <c r="AS47" s="1540">
        <v>527</v>
      </c>
      <c r="AT47" s="1540">
        <f t="shared" si="16"/>
        <v>20130</v>
      </c>
      <c r="AU47" s="1651">
        <f t="shared" si="17"/>
        <v>1677.5</v>
      </c>
      <c r="AW47" s="317">
        <f t="shared" si="12"/>
        <v>489</v>
      </c>
      <c r="AX47" s="317">
        <f t="shared" si="7"/>
        <v>1522</v>
      </c>
      <c r="AY47" s="891">
        <f t="shared" si="9"/>
        <v>19819</v>
      </c>
      <c r="AZ47" s="322">
        <f t="shared" si="13"/>
        <v>-201</v>
      </c>
    </row>
    <row r="48" spans="1:52" x14ac:dyDescent="0.55000000000000004">
      <c r="A48" s="7340"/>
      <c r="B48" s="160"/>
      <c r="C48" s="157" t="s">
        <v>345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S48" s="37"/>
      <c r="T48" s="10"/>
      <c r="U48" s="10"/>
      <c r="V48" s="10"/>
      <c r="W48" s="10"/>
      <c r="X48" s="496"/>
      <c r="Y48" s="496"/>
      <c r="Z48" s="496"/>
      <c r="AA48" s="496"/>
      <c r="AB48" s="496"/>
      <c r="AC48" s="1540">
        <v>430</v>
      </c>
      <c r="AD48" s="1540">
        <v>112</v>
      </c>
      <c r="AE48" s="1540">
        <f t="shared" si="14"/>
        <v>542</v>
      </c>
      <c r="AF48" s="496">
        <f t="shared" si="15"/>
        <v>271</v>
      </c>
      <c r="AH48" s="2057">
        <v>455</v>
      </c>
      <c r="AI48" s="1540">
        <v>923</v>
      </c>
      <c r="AJ48" s="1540">
        <v>550</v>
      </c>
      <c r="AK48" s="10">
        <v>613</v>
      </c>
      <c r="AL48" s="1540">
        <v>634</v>
      </c>
      <c r="AM48" s="1540">
        <v>2525</v>
      </c>
      <c r="AN48" s="2357">
        <v>3466</v>
      </c>
      <c r="AO48" s="1540">
        <v>2260</v>
      </c>
      <c r="AP48" s="2357">
        <v>2285</v>
      </c>
      <c r="AQ48" s="2357">
        <v>1756</v>
      </c>
      <c r="AR48" s="1540">
        <v>1190</v>
      </c>
      <c r="AS48" s="1540">
        <v>1378</v>
      </c>
      <c r="AT48" s="1540">
        <f t="shared" si="16"/>
        <v>18035</v>
      </c>
      <c r="AU48" s="1651">
        <f t="shared" si="17"/>
        <v>1502.9166666666667</v>
      </c>
      <c r="AW48" s="317">
        <f t="shared" si="12"/>
        <v>1266</v>
      </c>
      <c r="AX48" s="317">
        <f t="shared" si="7"/>
        <v>1231.9166666666667</v>
      </c>
      <c r="AY48" s="891">
        <f t="shared" si="9"/>
        <v>17493</v>
      </c>
      <c r="AZ48" s="322">
        <f t="shared" si="13"/>
        <v>188</v>
      </c>
    </row>
    <row r="49" spans="1:52" x14ac:dyDescent="0.55000000000000004">
      <c r="A49" s="7340"/>
      <c r="B49" s="160"/>
      <c r="C49" s="157" t="s">
        <v>346</v>
      </c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S49" s="37"/>
      <c r="T49" s="10"/>
      <c r="U49" s="10"/>
      <c r="V49" s="10"/>
      <c r="W49" s="10"/>
      <c r="X49" s="496"/>
      <c r="Y49" s="496"/>
      <c r="Z49" s="496"/>
      <c r="AA49" s="496"/>
      <c r="AB49" s="496"/>
      <c r="AC49" s="1540">
        <v>339</v>
      </c>
      <c r="AD49" s="1540">
        <v>44</v>
      </c>
      <c r="AE49" s="1540">
        <f t="shared" si="14"/>
        <v>383</v>
      </c>
      <c r="AF49" s="496">
        <f t="shared" si="15"/>
        <v>191.5</v>
      </c>
      <c r="AH49" s="2057">
        <v>288</v>
      </c>
      <c r="AI49" s="1540">
        <v>610</v>
      </c>
      <c r="AJ49" s="1540">
        <v>332</v>
      </c>
      <c r="AK49" s="10">
        <v>436</v>
      </c>
      <c r="AL49" s="1540">
        <v>510</v>
      </c>
      <c r="AM49" s="1540">
        <v>1555</v>
      </c>
      <c r="AN49" s="2357">
        <v>1618</v>
      </c>
      <c r="AO49" s="1540">
        <v>1128</v>
      </c>
      <c r="AP49" s="2357">
        <v>1196</v>
      </c>
      <c r="AQ49" s="2357">
        <v>1096</v>
      </c>
      <c r="AR49" s="1540">
        <v>729</v>
      </c>
      <c r="AS49" s="1540">
        <v>658</v>
      </c>
      <c r="AT49" s="1540">
        <f t="shared" si="16"/>
        <v>10156</v>
      </c>
      <c r="AU49" s="1651">
        <f t="shared" si="17"/>
        <v>846.33333333333337</v>
      </c>
      <c r="AW49" s="317">
        <f t="shared" si="12"/>
        <v>614</v>
      </c>
      <c r="AX49" s="317">
        <f t="shared" si="7"/>
        <v>654.83333333333337</v>
      </c>
      <c r="AY49" s="891">
        <f t="shared" si="9"/>
        <v>9773</v>
      </c>
      <c r="AZ49" s="322">
        <f t="shared" si="13"/>
        <v>-71</v>
      </c>
    </row>
    <row r="50" spans="1:52" x14ac:dyDescent="0.55000000000000004">
      <c r="A50" s="7340"/>
      <c r="B50" s="160"/>
      <c r="C50" s="156" t="s">
        <v>347</v>
      </c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S50" s="18"/>
      <c r="T50" s="8"/>
      <c r="U50" s="8"/>
      <c r="V50" s="8"/>
      <c r="W50" s="8"/>
      <c r="X50" s="497"/>
      <c r="Y50" s="497"/>
      <c r="Z50" s="497"/>
      <c r="AA50" s="497"/>
      <c r="AB50" s="497"/>
      <c r="AC50" s="288">
        <v>1888</v>
      </c>
      <c r="AD50" s="288">
        <v>242</v>
      </c>
      <c r="AE50" s="288">
        <f t="shared" si="14"/>
        <v>2130</v>
      </c>
      <c r="AF50" s="497">
        <f t="shared" si="15"/>
        <v>1065</v>
      </c>
      <c r="AH50" s="2058">
        <v>1679</v>
      </c>
      <c r="AI50" s="288">
        <v>1477</v>
      </c>
      <c r="AJ50" s="288">
        <v>2369</v>
      </c>
      <c r="AK50" s="8">
        <v>3852</v>
      </c>
      <c r="AL50" s="288">
        <v>2800</v>
      </c>
      <c r="AM50" s="288">
        <v>11929</v>
      </c>
      <c r="AN50" s="2358">
        <v>12120</v>
      </c>
      <c r="AO50" s="288">
        <v>6776</v>
      </c>
      <c r="AP50" s="2358">
        <v>7003</v>
      </c>
      <c r="AQ50" s="2358">
        <v>4891</v>
      </c>
      <c r="AR50" s="288">
        <v>3453</v>
      </c>
      <c r="AS50" s="288">
        <v>3658</v>
      </c>
      <c r="AT50" s="288">
        <f t="shared" si="16"/>
        <v>62007</v>
      </c>
      <c r="AU50" s="1652">
        <f t="shared" si="17"/>
        <v>5167.25</v>
      </c>
      <c r="AW50" s="317">
        <f t="shared" si="12"/>
        <v>3416</v>
      </c>
      <c r="AX50" s="317">
        <f t="shared" si="7"/>
        <v>4102.25</v>
      </c>
      <c r="AY50" s="891">
        <f t="shared" si="9"/>
        <v>59877</v>
      </c>
      <c r="AZ50" s="322">
        <f t="shared" si="13"/>
        <v>205</v>
      </c>
    </row>
    <row r="51" spans="1:52" x14ac:dyDescent="0.55000000000000004">
      <c r="A51" s="7340"/>
      <c r="B51" s="160"/>
      <c r="C51" s="156" t="s">
        <v>348</v>
      </c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S51" s="18"/>
      <c r="T51" s="8"/>
      <c r="U51" s="8"/>
      <c r="V51" s="8"/>
      <c r="W51" s="8"/>
      <c r="X51" s="497"/>
      <c r="Y51" s="497"/>
      <c r="Z51" s="497"/>
      <c r="AA51" s="497"/>
      <c r="AB51" s="497"/>
      <c r="AC51" s="288">
        <v>1446</v>
      </c>
      <c r="AD51" s="288">
        <v>302</v>
      </c>
      <c r="AE51" s="288">
        <f t="shared" si="14"/>
        <v>1748</v>
      </c>
      <c r="AF51" s="497">
        <f t="shared" si="15"/>
        <v>874</v>
      </c>
      <c r="AH51" s="2058">
        <v>977</v>
      </c>
      <c r="AI51" s="288">
        <v>484</v>
      </c>
      <c r="AJ51" s="288">
        <v>2153</v>
      </c>
      <c r="AK51" s="8">
        <v>3707</v>
      </c>
      <c r="AL51" s="288">
        <v>2369</v>
      </c>
      <c r="AM51" s="288">
        <v>8857</v>
      </c>
      <c r="AN51" s="2358">
        <v>11663</v>
      </c>
      <c r="AO51" s="288">
        <v>6520</v>
      </c>
      <c r="AP51" s="2358">
        <v>5767</v>
      </c>
      <c r="AQ51" s="2358">
        <v>3636</v>
      </c>
      <c r="AR51" s="288">
        <v>3312</v>
      </c>
      <c r="AS51" s="288">
        <v>3419</v>
      </c>
      <c r="AT51" s="288">
        <f t="shared" si="16"/>
        <v>52864</v>
      </c>
      <c r="AU51" s="1652">
        <f t="shared" si="17"/>
        <v>4405.333333333333</v>
      </c>
      <c r="AW51" s="317">
        <f t="shared" si="12"/>
        <v>3117</v>
      </c>
      <c r="AX51" s="317">
        <f t="shared" si="7"/>
        <v>3531.333333333333</v>
      </c>
      <c r="AY51" s="317">
        <f t="shared" si="9"/>
        <v>51116</v>
      </c>
      <c r="AZ51" s="322">
        <f t="shared" si="13"/>
        <v>107</v>
      </c>
    </row>
    <row r="52" spans="1:52" x14ac:dyDescent="0.55000000000000004">
      <c r="A52" s="7340"/>
      <c r="B52" s="160"/>
      <c r="C52" s="156" t="s">
        <v>349</v>
      </c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S52" s="18"/>
      <c r="T52" s="8"/>
      <c r="U52" s="8"/>
      <c r="V52" s="8"/>
      <c r="W52" s="8"/>
      <c r="X52" s="497"/>
      <c r="Y52" s="497"/>
      <c r="Z52" s="497"/>
      <c r="AA52" s="497"/>
      <c r="AB52" s="497"/>
      <c r="AC52" s="497"/>
      <c r="AD52" s="497"/>
      <c r="AE52" s="497"/>
      <c r="AF52" s="497"/>
      <c r="AH52" s="2058"/>
      <c r="AI52" s="288"/>
      <c r="AK52" s="8"/>
      <c r="AL52" s="288"/>
      <c r="AN52" s="2358"/>
      <c r="AO52" s="288"/>
      <c r="AP52" s="497"/>
      <c r="AQ52" s="497"/>
      <c r="AR52" s="497"/>
      <c r="AS52" s="497"/>
      <c r="AT52" s="497"/>
      <c r="AU52" s="1652"/>
      <c r="AW52" s="317">
        <f t="shared" si="12"/>
        <v>0</v>
      </c>
      <c r="AX52" s="317">
        <f t="shared" si="7"/>
        <v>0</v>
      </c>
      <c r="AY52" s="891">
        <f t="shared" si="9"/>
        <v>0</v>
      </c>
      <c r="AZ52" s="322">
        <f t="shared" si="13"/>
        <v>0</v>
      </c>
    </row>
    <row r="53" spans="1:52" x14ac:dyDescent="0.55000000000000004">
      <c r="A53" s="7340"/>
      <c r="B53" s="160"/>
      <c r="C53" s="156" t="s">
        <v>350</v>
      </c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S53" s="18"/>
      <c r="T53" s="8"/>
      <c r="U53" s="8"/>
      <c r="V53" s="8"/>
      <c r="W53" s="8"/>
      <c r="X53" s="497"/>
      <c r="Y53" s="497"/>
      <c r="Z53" s="497"/>
      <c r="AA53" s="497"/>
      <c r="AB53" s="497"/>
      <c r="AC53" s="497"/>
      <c r="AD53" s="497"/>
      <c r="AE53" s="497"/>
      <c r="AF53" s="497"/>
      <c r="AH53" s="2058"/>
      <c r="AI53" s="288"/>
      <c r="AK53" s="8"/>
      <c r="AL53" s="288"/>
      <c r="AN53" s="2358"/>
      <c r="AO53" s="288"/>
      <c r="AP53" s="497"/>
      <c r="AQ53" s="497"/>
      <c r="AR53" s="497"/>
      <c r="AS53" s="497"/>
      <c r="AT53" s="497"/>
      <c r="AU53" s="1652"/>
      <c r="AW53" s="317">
        <f t="shared" si="12"/>
        <v>0</v>
      </c>
      <c r="AX53" s="317">
        <f t="shared" si="7"/>
        <v>0</v>
      </c>
      <c r="AY53" s="891">
        <f t="shared" si="9"/>
        <v>0</v>
      </c>
      <c r="AZ53" s="322">
        <f t="shared" si="13"/>
        <v>0</v>
      </c>
    </row>
    <row r="54" spans="1:52" x14ac:dyDescent="0.55000000000000004">
      <c r="A54" s="7340"/>
      <c r="B54" s="162"/>
      <c r="C54" s="163" t="s">
        <v>351</v>
      </c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S54" s="24"/>
      <c r="T54" s="23"/>
      <c r="U54" s="23"/>
      <c r="V54" s="23"/>
      <c r="W54" s="23"/>
      <c r="X54" s="497"/>
      <c r="Y54" s="497"/>
      <c r="Z54" s="497"/>
      <c r="AA54" s="497"/>
      <c r="AB54" s="497"/>
      <c r="AC54" s="497"/>
      <c r="AD54" s="497"/>
      <c r="AE54" s="497"/>
      <c r="AF54" s="497"/>
      <c r="AH54" s="2059"/>
      <c r="AI54" s="2153"/>
      <c r="AJ54" s="2213"/>
      <c r="AK54" s="23"/>
      <c r="AL54" s="2153"/>
      <c r="AN54" s="2358"/>
      <c r="AO54" s="288"/>
      <c r="AP54" s="497"/>
      <c r="AQ54" s="497"/>
      <c r="AR54" s="497"/>
      <c r="AS54" s="497"/>
      <c r="AT54" s="497"/>
      <c r="AU54" s="1652"/>
      <c r="AW54" s="317">
        <f t="shared" si="12"/>
        <v>0</v>
      </c>
      <c r="AX54" s="317">
        <f t="shared" si="7"/>
        <v>0</v>
      </c>
      <c r="AY54" s="731">
        <f t="shared" si="9"/>
        <v>0</v>
      </c>
      <c r="AZ54" s="322">
        <f t="shared" si="13"/>
        <v>0</v>
      </c>
    </row>
    <row r="55" spans="1:52" x14ac:dyDescent="0.55000000000000004">
      <c r="A55" s="7340"/>
      <c r="B55" s="160" t="s">
        <v>403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S55" s="774"/>
      <c r="T55" s="775"/>
      <c r="U55" s="775"/>
      <c r="V55" s="775"/>
      <c r="W55" s="1083">
        <v>540</v>
      </c>
      <c r="X55" s="1083">
        <v>3686</v>
      </c>
      <c r="Y55" s="1083">
        <v>6932</v>
      </c>
      <c r="Z55" s="1083">
        <v>5381</v>
      </c>
      <c r="AA55" s="1083">
        <v>4948</v>
      </c>
      <c r="AB55" s="1083">
        <v>5610</v>
      </c>
      <c r="AC55" s="1083">
        <v>5781</v>
      </c>
      <c r="AD55" s="1083">
        <v>5790</v>
      </c>
      <c r="AE55" s="1083">
        <f t="shared" ref="AE55:AE67" si="18">SUM(S55:AD55)</f>
        <v>38668</v>
      </c>
      <c r="AF55" s="1083">
        <f t="shared" ref="AF55:AF67" si="19">AVERAGE(S55:AD55)</f>
        <v>4833.5</v>
      </c>
      <c r="AH55" s="2054">
        <v>6160</v>
      </c>
      <c r="AI55" s="1083">
        <v>5855</v>
      </c>
      <c r="AJ55" s="1083">
        <v>5129</v>
      </c>
      <c r="AK55" s="1083">
        <v>4387</v>
      </c>
      <c r="AL55" s="2281">
        <v>3698</v>
      </c>
      <c r="AM55" s="1083">
        <v>2965</v>
      </c>
      <c r="AN55" s="2359">
        <v>2221</v>
      </c>
      <c r="AO55" s="2281">
        <v>2771</v>
      </c>
      <c r="AP55" s="1083">
        <v>1661</v>
      </c>
      <c r="AQ55" s="1083">
        <v>1000</v>
      </c>
      <c r="AR55" s="1083">
        <v>703</v>
      </c>
      <c r="AS55" s="1083">
        <v>567</v>
      </c>
      <c r="AT55" s="1083">
        <f t="shared" ref="AT55:AT64" si="20">SUM(AH55:AS55)</f>
        <v>37117</v>
      </c>
      <c r="AU55" s="1653">
        <f t="shared" ref="AU55:AU67" si="21">AVERAGE(AH55:AS55)</f>
        <v>3093.0833333333335</v>
      </c>
      <c r="AW55" s="317">
        <f t="shared" si="12"/>
        <v>-5223</v>
      </c>
      <c r="AX55" s="317">
        <f t="shared" si="7"/>
        <v>-1740.4166666666665</v>
      </c>
      <c r="AY55" s="731">
        <f t="shared" si="9"/>
        <v>-1551</v>
      </c>
      <c r="AZ55" s="322">
        <f t="shared" si="13"/>
        <v>-136</v>
      </c>
    </row>
    <row r="56" spans="1:52" x14ac:dyDescent="0.55000000000000004">
      <c r="A56" s="7340"/>
      <c r="B56" s="1085" t="s">
        <v>645</v>
      </c>
      <c r="C56" s="1086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S56" s="774"/>
      <c r="T56" s="775"/>
      <c r="U56" s="775"/>
      <c r="V56" s="775"/>
      <c r="W56" s="1084">
        <v>909.47272727272718</v>
      </c>
      <c r="X56" s="1084">
        <v>1118.8454545454545</v>
      </c>
      <c r="Y56" s="1084">
        <v>225750.99999999997</v>
      </c>
      <c r="Z56" s="1084">
        <v>735436.94545454532</v>
      </c>
      <c r="AA56" s="1084">
        <v>810906.66363636369</v>
      </c>
      <c r="AB56" s="1136">
        <v>960529.09090909082</v>
      </c>
      <c r="AC56" s="1084">
        <v>1123390.3909090909</v>
      </c>
      <c r="AD56" s="1084">
        <v>1221879.1545454545</v>
      </c>
      <c r="AE56" s="1084">
        <f t="shared" si="18"/>
        <v>5079921.5636363635</v>
      </c>
      <c r="AF56" s="1084">
        <f t="shared" si="19"/>
        <v>634990.19545454544</v>
      </c>
      <c r="AH56" s="2055">
        <v>1145730.3700000001</v>
      </c>
      <c r="AI56" s="290">
        <v>1076407</v>
      </c>
      <c r="AJ56" s="1084">
        <v>747947.68</v>
      </c>
      <c r="AK56" s="1654">
        <v>459187</v>
      </c>
      <c r="AL56" s="290">
        <v>396699.97000000003</v>
      </c>
      <c r="AM56" s="1084">
        <v>395894.96</v>
      </c>
      <c r="AN56" s="2360">
        <v>43905.19</v>
      </c>
      <c r="AO56" s="290">
        <v>49380.3</v>
      </c>
      <c r="AP56" s="1654">
        <v>34157</v>
      </c>
      <c r="AQ56" s="290">
        <v>26261</v>
      </c>
      <c r="AR56" s="1654">
        <v>25723</v>
      </c>
      <c r="AS56" s="1654">
        <v>17967</v>
      </c>
      <c r="AT56" s="1654">
        <f t="shared" si="20"/>
        <v>4419260.4700000007</v>
      </c>
      <c r="AU56" s="1655">
        <f t="shared" si="21"/>
        <v>368271.70583333337</v>
      </c>
      <c r="AW56" s="317">
        <f t="shared" si="12"/>
        <v>-1203912.1545454545</v>
      </c>
      <c r="AX56" s="317">
        <f t="shared" si="7"/>
        <v>-266718.48962121207</v>
      </c>
      <c r="AY56" s="731">
        <f t="shared" si="9"/>
        <v>-660661.09363636281</v>
      </c>
      <c r="AZ56" s="322">
        <f t="shared" si="13"/>
        <v>-7756</v>
      </c>
    </row>
    <row r="57" spans="1:52" x14ac:dyDescent="0.55000000000000004">
      <c r="A57" s="7340"/>
      <c r="B57" s="1085"/>
      <c r="C57" s="205" t="s">
        <v>106</v>
      </c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S57" s="774"/>
      <c r="T57" s="775"/>
      <c r="U57" s="775"/>
      <c r="V57" s="775"/>
      <c r="W57" s="712">
        <v>0</v>
      </c>
      <c r="X57" s="712">
        <v>0</v>
      </c>
      <c r="Y57" s="712">
        <v>0</v>
      </c>
      <c r="Z57" s="712">
        <v>91636.363636363632</v>
      </c>
      <c r="AA57" s="712">
        <v>0</v>
      </c>
      <c r="AB57" s="322">
        <v>0</v>
      </c>
      <c r="AC57" s="712">
        <v>0</v>
      </c>
      <c r="AD57" s="712">
        <v>0</v>
      </c>
      <c r="AE57" s="712">
        <f t="shared" si="18"/>
        <v>91636.363636363632</v>
      </c>
      <c r="AF57" s="712">
        <f t="shared" si="19"/>
        <v>11454.545454545454</v>
      </c>
      <c r="AH57" s="2056">
        <v>0</v>
      </c>
      <c r="AI57" s="448">
        <v>0</v>
      </c>
      <c r="AJ57" s="448">
        <v>0</v>
      </c>
      <c r="AK57" s="1416">
        <v>0</v>
      </c>
      <c r="AL57" s="448">
        <v>0</v>
      </c>
      <c r="AM57" s="448">
        <v>0</v>
      </c>
      <c r="AN57" s="2361">
        <v>0</v>
      </c>
      <c r="AO57" s="448">
        <v>0</v>
      </c>
      <c r="AP57" s="2361">
        <v>0</v>
      </c>
      <c r="AQ57" s="448">
        <v>0</v>
      </c>
      <c r="AR57" s="2361">
        <v>0</v>
      </c>
      <c r="AS57" s="1416">
        <v>0</v>
      </c>
      <c r="AT57" s="1416">
        <f t="shared" si="20"/>
        <v>0</v>
      </c>
      <c r="AU57" s="1656">
        <f t="shared" si="21"/>
        <v>0</v>
      </c>
      <c r="AW57" s="317">
        <f t="shared" si="12"/>
        <v>0</v>
      </c>
      <c r="AX57" s="317">
        <f t="shared" si="7"/>
        <v>-11454.545454545454</v>
      </c>
      <c r="AY57" s="731">
        <f t="shared" si="9"/>
        <v>-91636.363636363632</v>
      </c>
      <c r="AZ57" s="322">
        <f t="shared" si="13"/>
        <v>0</v>
      </c>
    </row>
    <row r="58" spans="1:52" x14ac:dyDescent="0.55000000000000004">
      <c r="A58" s="7340"/>
      <c r="B58" s="1085"/>
      <c r="C58" s="205" t="s">
        <v>680</v>
      </c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S58" s="774"/>
      <c r="T58" s="775"/>
      <c r="U58" s="775"/>
      <c r="V58" s="775"/>
      <c r="W58" s="712">
        <v>0</v>
      </c>
      <c r="X58" s="712">
        <v>90.909090909090907</v>
      </c>
      <c r="Y58" s="712">
        <v>107618.18181818181</v>
      </c>
      <c r="Z58" s="712">
        <v>384509.09090909088</v>
      </c>
      <c r="AA58" s="712">
        <v>503518.18181818177</v>
      </c>
      <c r="AB58" s="322">
        <v>606927.27272727271</v>
      </c>
      <c r="AC58" s="712">
        <v>631345.45454545447</v>
      </c>
      <c r="AD58" s="712">
        <v>724545.45454545447</v>
      </c>
      <c r="AE58" s="712">
        <f t="shared" si="18"/>
        <v>2958554.5454545454</v>
      </c>
      <c r="AF58" s="712">
        <f t="shared" si="19"/>
        <v>369819.31818181818</v>
      </c>
      <c r="AH58" s="2056">
        <v>559160</v>
      </c>
      <c r="AI58" s="448">
        <v>498940</v>
      </c>
      <c r="AJ58" s="448">
        <v>348310</v>
      </c>
      <c r="AK58" s="1416">
        <v>224850</v>
      </c>
      <c r="AL58" s="448">
        <v>216110</v>
      </c>
      <c r="AM58" s="712">
        <v>217040</v>
      </c>
      <c r="AN58" s="2361">
        <v>0</v>
      </c>
      <c r="AO58" s="448">
        <v>0</v>
      </c>
      <c r="AP58" s="2361">
        <v>0</v>
      </c>
      <c r="AQ58" s="448">
        <v>0</v>
      </c>
      <c r="AR58" s="2361">
        <v>0</v>
      </c>
      <c r="AS58" s="1416">
        <v>0</v>
      </c>
      <c r="AT58" s="1416">
        <f t="shared" si="20"/>
        <v>2064410</v>
      </c>
      <c r="AU58" s="1656">
        <f t="shared" si="21"/>
        <v>172034.16666666666</v>
      </c>
      <c r="AW58" s="317">
        <f t="shared" si="12"/>
        <v>-724545.45454545447</v>
      </c>
      <c r="AX58" s="317">
        <f t="shared" si="7"/>
        <v>-197785.15151515152</v>
      </c>
      <c r="AY58" s="731">
        <f t="shared" si="9"/>
        <v>-894144.54545454541</v>
      </c>
      <c r="AZ58" s="322">
        <f t="shared" si="13"/>
        <v>0</v>
      </c>
    </row>
    <row r="59" spans="1:52" x14ac:dyDescent="0.55000000000000004">
      <c r="A59" s="7340"/>
      <c r="B59" s="1085"/>
      <c r="C59" s="205" t="s">
        <v>681</v>
      </c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S59" s="774"/>
      <c r="T59" s="775"/>
      <c r="U59" s="775"/>
      <c r="V59" s="775"/>
      <c r="W59" s="712">
        <v>0</v>
      </c>
      <c r="X59" s="712">
        <v>0</v>
      </c>
      <c r="Y59" s="712">
        <v>23589.999999999996</v>
      </c>
      <c r="Z59" s="712">
        <v>68390</v>
      </c>
      <c r="AA59" s="712">
        <v>78820</v>
      </c>
      <c r="AB59" s="322">
        <v>44660</v>
      </c>
      <c r="AC59" s="712">
        <v>74200</v>
      </c>
      <c r="AD59" s="712">
        <v>67130</v>
      </c>
      <c r="AE59" s="712">
        <f t="shared" si="18"/>
        <v>356790</v>
      </c>
      <c r="AF59" s="712">
        <f t="shared" si="19"/>
        <v>44598.75</v>
      </c>
      <c r="AH59" s="2056">
        <v>119735</v>
      </c>
      <c r="AI59" s="448">
        <v>73612</v>
      </c>
      <c r="AJ59" s="448">
        <v>67760</v>
      </c>
      <c r="AK59" s="1416">
        <v>39963</v>
      </c>
      <c r="AL59" s="448">
        <v>62909</v>
      </c>
      <c r="AM59" s="712">
        <v>19019</v>
      </c>
      <c r="AN59" s="2361">
        <v>20790</v>
      </c>
      <c r="AO59" s="448">
        <v>16016</v>
      </c>
      <c r="AP59" s="2361">
        <v>13244</v>
      </c>
      <c r="AQ59" s="448">
        <v>12705</v>
      </c>
      <c r="AR59" s="2361">
        <v>13629</v>
      </c>
      <c r="AS59" s="1416">
        <v>6545</v>
      </c>
      <c r="AT59" s="1416">
        <f t="shared" si="20"/>
        <v>465927</v>
      </c>
      <c r="AU59" s="1656">
        <f t="shared" si="21"/>
        <v>38827.25</v>
      </c>
      <c r="AW59" s="317">
        <f t="shared" si="12"/>
        <v>-60585</v>
      </c>
      <c r="AX59" s="317">
        <f t="shared" si="7"/>
        <v>-5771.5</v>
      </c>
      <c r="AY59" s="731">
        <f t="shared" si="9"/>
        <v>109137</v>
      </c>
      <c r="AZ59" s="322">
        <f t="shared" si="13"/>
        <v>-7084</v>
      </c>
    </row>
    <row r="60" spans="1:52" x14ac:dyDescent="0.55000000000000004">
      <c r="A60" s="7340"/>
      <c r="B60" s="1085"/>
      <c r="C60" s="205" t="s">
        <v>723</v>
      </c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S60" s="774"/>
      <c r="T60" s="775"/>
      <c r="U60" s="775"/>
      <c r="V60" s="775"/>
      <c r="W60" s="712">
        <v>0</v>
      </c>
      <c r="X60" s="712">
        <v>0</v>
      </c>
      <c r="Y60" s="712">
        <v>0</v>
      </c>
      <c r="Z60" s="712">
        <v>49585.999999999993</v>
      </c>
      <c r="AA60" s="712">
        <v>63699.818181818177</v>
      </c>
      <c r="AB60" s="322">
        <v>116530.81818181816</v>
      </c>
      <c r="AC60" s="712">
        <v>150103.63636363635</v>
      </c>
      <c r="AD60" s="712">
        <v>221430.90909090906</v>
      </c>
      <c r="AE60" s="712">
        <f t="shared" si="18"/>
        <v>601351.18181818177</v>
      </c>
      <c r="AF60" s="712">
        <f t="shared" si="19"/>
        <v>75168.897727272721</v>
      </c>
      <c r="AH60" s="2056">
        <v>194185</v>
      </c>
      <c r="AI60" s="448">
        <v>209296</v>
      </c>
      <c r="AJ60" s="448">
        <v>110981</v>
      </c>
      <c r="AK60" s="1416">
        <v>50303</v>
      </c>
      <c r="AL60" s="448">
        <v>24058</v>
      </c>
      <c r="AM60" s="712">
        <v>55782</v>
      </c>
      <c r="AN60" s="2361">
        <v>0</v>
      </c>
      <c r="AO60" s="448">
        <v>0</v>
      </c>
      <c r="AP60" s="2361">
        <v>0</v>
      </c>
      <c r="AQ60" s="448">
        <v>0</v>
      </c>
      <c r="AR60" s="2361">
        <v>0</v>
      </c>
      <c r="AS60" s="1416">
        <v>0</v>
      </c>
      <c r="AT60" s="1416">
        <f t="shared" si="20"/>
        <v>644605</v>
      </c>
      <c r="AU60" s="1656">
        <f t="shared" si="21"/>
        <v>53717.083333333336</v>
      </c>
      <c r="AW60" s="317">
        <f t="shared" si="12"/>
        <v>-221430.90909090906</v>
      </c>
      <c r="AX60" s="317">
        <f t="shared" si="7"/>
        <v>-21451.814393939385</v>
      </c>
      <c r="AY60" s="731">
        <f t="shared" si="9"/>
        <v>43253.818181818235</v>
      </c>
      <c r="AZ60" s="322">
        <f t="shared" si="13"/>
        <v>0</v>
      </c>
    </row>
    <row r="61" spans="1:52" x14ac:dyDescent="0.55000000000000004">
      <c r="A61" s="7340"/>
      <c r="B61" s="1085"/>
      <c r="C61" s="205" t="s">
        <v>724</v>
      </c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S61" s="774"/>
      <c r="T61" s="775"/>
      <c r="U61" s="775"/>
      <c r="V61" s="775"/>
      <c r="W61" s="712">
        <v>887.40909090909076</v>
      </c>
      <c r="X61" s="712">
        <v>1011.2090909090907</v>
      </c>
      <c r="Y61" s="712">
        <v>24877.272727272724</v>
      </c>
      <c r="Z61" s="712">
        <v>81533.272727272721</v>
      </c>
      <c r="AA61" s="712">
        <v>76167.954545454544</v>
      </c>
      <c r="AB61" s="322">
        <v>106569.68181818181</v>
      </c>
      <c r="AC61" s="712">
        <v>120332.32727272726</v>
      </c>
      <c r="AD61" s="712">
        <v>104706.65454545454</v>
      </c>
      <c r="AE61" s="712">
        <f t="shared" si="18"/>
        <v>516085.7818181818</v>
      </c>
      <c r="AF61" s="712">
        <f t="shared" si="19"/>
        <v>64510.722727272725</v>
      </c>
      <c r="AH61" s="2056">
        <v>135811.13</v>
      </c>
      <c r="AI61" s="448">
        <v>159039.69</v>
      </c>
      <c r="AJ61" s="448">
        <v>118427.5</v>
      </c>
      <c r="AK61" s="1416">
        <v>75555.67</v>
      </c>
      <c r="AL61" s="448">
        <v>48560.69</v>
      </c>
      <c r="AM61" s="712">
        <v>55557.08</v>
      </c>
      <c r="AN61" s="2361">
        <v>2223</v>
      </c>
      <c r="AO61" s="448">
        <v>156</v>
      </c>
      <c r="AP61" s="2361">
        <v>0</v>
      </c>
      <c r="AQ61" s="448">
        <v>0</v>
      </c>
      <c r="AR61" s="2361">
        <v>0</v>
      </c>
      <c r="AS61" s="1416">
        <v>0</v>
      </c>
      <c r="AT61" s="1416">
        <f t="shared" si="20"/>
        <v>595330.75999999989</v>
      </c>
      <c r="AU61" s="1656">
        <f t="shared" si="21"/>
        <v>49610.89666666666</v>
      </c>
      <c r="AW61" s="317">
        <f t="shared" si="12"/>
        <v>-104706.65454545454</v>
      </c>
      <c r="AX61" s="317">
        <f t="shared" si="7"/>
        <v>-14899.826060606065</v>
      </c>
      <c r="AY61" s="731">
        <f t="shared" si="9"/>
        <v>79244.978181818093</v>
      </c>
      <c r="AZ61" s="322">
        <f t="shared" si="13"/>
        <v>0</v>
      </c>
    </row>
    <row r="62" spans="1:52" x14ac:dyDescent="0.55000000000000004">
      <c r="A62" s="7340"/>
      <c r="B62" s="1085"/>
      <c r="C62" s="205" t="s">
        <v>725</v>
      </c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S62" s="774"/>
      <c r="T62" s="775"/>
      <c r="U62" s="775"/>
      <c r="V62" s="775"/>
      <c r="W62" s="712">
        <v>22.063636363636363</v>
      </c>
      <c r="X62" s="712">
        <v>16.727272727272723</v>
      </c>
      <c r="Y62" s="712">
        <v>10016.636363636362</v>
      </c>
      <c r="Z62" s="712">
        <v>26620.781818181815</v>
      </c>
      <c r="AA62" s="712">
        <v>46454.609090909085</v>
      </c>
      <c r="AB62" s="322">
        <v>33957.699999999997</v>
      </c>
      <c r="AC62" s="712">
        <v>65072.563636363637</v>
      </c>
      <c r="AD62" s="712">
        <v>40684.154545454541</v>
      </c>
      <c r="AE62" s="712">
        <f t="shared" si="18"/>
        <v>222845.23636363636</v>
      </c>
      <c r="AF62" s="712">
        <f t="shared" si="19"/>
        <v>27855.654545454545</v>
      </c>
      <c r="AH62" s="2056">
        <v>46249.34</v>
      </c>
      <c r="AI62" s="448">
        <v>55970.07</v>
      </c>
      <c r="AJ62" s="448">
        <v>30343.53</v>
      </c>
      <c r="AK62" s="1416">
        <v>18656.36</v>
      </c>
      <c r="AL62" s="448">
        <v>13120.63</v>
      </c>
      <c r="AM62" s="712">
        <v>15524.48</v>
      </c>
      <c r="AN62" s="2361">
        <v>0</v>
      </c>
      <c r="AO62" s="448">
        <v>0</v>
      </c>
      <c r="AP62" s="2361">
        <v>0</v>
      </c>
      <c r="AQ62" s="448">
        <v>0</v>
      </c>
      <c r="AR62" s="2361">
        <v>0</v>
      </c>
      <c r="AS62" s="1416">
        <v>0</v>
      </c>
      <c r="AT62" s="1416">
        <f t="shared" si="20"/>
        <v>179864.41</v>
      </c>
      <c r="AU62" s="1656">
        <f t="shared" si="21"/>
        <v>14988.700833333334</v>
      </c>
      <c r="AW62" s="317">
        <f t="shared" si="12"/>
        <v>-40684.154545454541</v>
      </c>
      <c r="AX62" s="317">
        <f t="shared" si="7"/>
        <v>-12866.953712121211</v>
      </c>
      <c r="AY62" s="731">
        <f t="shared" si="9"/>
        <v>-42980.826363636355</v>
      </c>
      <c r="AZ62" s="322">
        <f t="shared" si="13"/>
        <v>0</v>
      </c>
    </row>
    <row r="63" spans="1:52" x14ac:dyDescent="0.55000000000000004">
      <c r="A63" s="7340"/>
      <c r="B63" s="1085"/>
      <c r="C63" s="205" t="s">
        <v>682</v>
      </c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S63" s="774"/>
      <c r="T63" s="775"/>
      <c r="U63" s="775"/>
      <c r="V63" s="775"/>
      <c r="W63" s="712">
        <v>0</v>
      </c>
      <c r="X63" s="712">
        <v>0</v>
      </c>
      <c r="Y63" s="712">
        <v>59018.181818181816</v>
      </c>
      <c r="Z63" s="712">
        <v>9833.181818181818</v>
      </c>
      <c r="AA63" s="712">
        <v>8014.545454545454</v>
      </c>
      <c r="AB63" s="322">
        <v>6551.8181818181811</v>
      </c>
      <c r="AC63" s="712">
        <v>7541.8181818181811</v>
      </c>
      <c r="AD63" s="712">
        <v>3544.545454545454</v>
      </c>
      <c r="AE63" s="712">
        <f t="shared" si="18"/>
        <v>94504.090909090897</v>
      </c>
      <c r="AF63" s="712">
        <f t="shared" si="19"/>
        <v>11813.011363636362</v>
      </c>
      <c r="AH63" s="2056">
        <v>13259</v>
      </c>
      <c r="AI63" s="448">
        <v>6349</v>
      </c>
      <c r="AJ63" s="448">
        <v>3535.5</v>
      </c>
      <c r="AK63" s="1416">
        <v>2147.5</v>
      </c>
      <c r="AL63" s="448">
        <v>4219.5</v>
      </c>
      <c r="AM63" s="712">
        <v>5468</v>
      </c>
      <c r="AN63" s="2361">
        <v>6913.5</v>
      </c>
      <c r="AO63" s="448">
        <v>22687.5</v>
      </c>
      <c r="AP63" s="2361">
        <v>9120</v>
      </c>
      <c r="AQ63" s="448">
        <v>3231</v>
      </c>
      <c r="AR63" s="2361">
        <v>2660</v>
      </c>
      <c r="AS63" s="1416">
        <v>904</v>
      </c>
      <c r="AT63" s="1416">
        <f t="shared" si="20"/>
        <v>80494.5</v>
      </c>
      <c r="AU63" s="1656">
        <f t="shared" si="21"/>
        <v>6707.875</v>
      </c>
      <c r="AW63" s="317">
        <f t="shared" si="12"/>
        <v>-2640.545454545454</v>
      </c>
      <c r="AX63" s="317">
        <f t="shared" si="7"/>
        <v>-5105.1363636363621</v>
      </c>
      <c r="AY63" s="731">
        <f t="shared" si="9"/>
        <v>-14009.590909090897</v>
      </c>
      <c r="AZ63" s="322">
        <f t="shared" si="13"/>
        <v>-1756</v>
      </c>
    </row>
    <row r="64" spans="1:52" x14ac:dyDescent="0.55000000000000004">
      <c r="A64" s="7340"/>
      <c r="B64" s="1085"/>
      <c r="C64" s="205" t="s">
        <v>726</v>
      </c>
      <c r="W64" s="712">
        <v>0</v>
      </c>
      <c r="X64" s="712">
        <v>0</v>
      </c>
      <c r="Y64" s="712">
        <v>0</v>
      </c>
      <c r="Z64" s="712">
        <v>20505.345454545455</v>
      </c>
      <c r="AA64" s="712">
        <v>26664.118181818179</v>
      </c>
      <c r="AB64" s="322">
        <v>25502.245454545453</v>
      </c>
      <c r="AC64" s="712">
        <v>30602.809090909086</v>
      </c>
      <c r="AD64" s="712">
        <v>34087.199999999997</v>
      </c>
      <c r="AE64" s="712">
        <f t="shared" si="18"/>
        <v>137361.71818181817</v>
      </c>
      <c r="AF64" s="712">
        <f t="shared" si="19"/>
        <v>17170.214772727271</v>
      </c>
      <c r="AH64" s="2056">
        <v>7635.56</v>
      </c>
      <c r="AI64" s="448">
        <v>21635.74</v>
      </c>
      <c r="AJ64" s="448">
        <v>18188.8</v>
      </c>
      <c r="AK64" s="1">
        <v>16235.41</v>
      </c>
      <c r="AL64" s="448">
        <v>11010.39</v>
      </c>
      <c r="AM64" s="712">
        <v>5811.63</v>
      </c>
      <c r="AN64" s="2361">
        <v>8164.69</v>
      </c>
      <c r="AO64" s="448">
        <v>5988.8</v>
      </c>
      <c r="AP64" s="2361">
        <v>9913</v>
      </c>
      <c r="AQ64" s="448">
        <v>8135</v>
      </c>
      <c r="AR64" s="2361">
        <v>6681</v>
      </c>
      <c r="AS64" s="1416">
        <v>5931</v>
      </c>
      <c r="AT64" s="1416">
        <f t="shared" si="20"/>
        <v>125331.02000000002</v>
      </c>
      <c r="AU64" s="1656">
        <f t="shared" si="21"/>
        <v>10444.251666666669</v>
      </c>
      <c r="AW64" s="317">
        <f t="shared" si="12"/>
        <v>-28156.199999999997</v>
      </c>
      <c r="AX64" s="317">
        <f t="shared" si="7"/>
        <v>-6725.9631060606025</v>
      </c>
      <c r="AY64" s="731">
        <f t="shared" si="9"/>
        <v>-12030.698181818152</v>
      </c>
      <c r="AZ64" s="322">
        <f t="shared" si="13"/>
        <v>-750</v>
      </c>
    </row>
    <row r="65" spans="1:54" x14ac:dyDescent="0.55000000000000004">
      <c r="A65" s="7340"/>
      <c r="B65" s="1085"/>
      <c r="C65" s="205" t="s">
        <v>933</v>
      </c>
      <c r="W65" s="712">
        <v>0</v>
      </c>
      <c r="X65" s="712">
        <v>0</v>
      </c>
      <c r="Y65" s="712">
        <v>0</v>
      </c>
      <c r="Z65" s="712">
        <v>0</v>
      </c>
      <c r="AA65" s="712">
        <v>0</v>
      </c>
      <c r="AB65" s="712">
        <v>0</v>
      </c>
      <c r="AC65" s="712">
        <v>4290.909090909091</v>
      </c>
      <c r="AD65" s="712">
        <v>21963.63636363636</v>
      </c>
      <c r="AE65" s="712">
        <f>SUM(S65:AD65)</f>
        <v>26254.545454545452</v>
      </c>
      <c r="AF65" s="712">
        <f t="shared" si="19"/>
        <v>3281.8181818181815</v>
      </c>
      <c r="AH65" s="2056">
        <v>9020</v>
      </c>
      <c r="AI65" s="448">
        <v>1900</v>
      </c>
      <c r="AJ65" s="448">
        <v>0</v>
      </c>
      <c r="AK65" s="1">
        <v>0</v>
      </c>
      <c r="AL65" s="448">
        <v>0</v>
      </c>
      <c r="AM65" s="712">
        <v>925</v>
      </c>
      <c r="AN65" s="2361">
        <v>3820</v>
      </c>
      <c r="AO65" s="448">
        <v>3105</v>
      </c>
      <c r="AP65" s="2361">
        <v>1680</v>
      </c>
      <c r="AQ65" s="1416">
        <v>2190</v>
      </c>
      <c r="AR65" s="2361">
        <v>2754</v>
      </c>
      <c r="AS65" s="1416">
        <v>4487</v>
      </c>
      <c r="AT65" s="1416">
        <f>SUM(AH65:AS65)</f>
        <v>29881</v>
      </c>
      <c r="AU65" s="1656">
        <f t="shared" si="21"/>
        <v>2490.0833333333335</v>
      </c>
      <c r="AW65" s="317">
        <f t="shared" si="12"/>
        <v>-17476.63636363636</v>
      </c>
      <c r="AX65" s="317">
        <f t="shared" si="7"/>
        <v>-791.73484848484804</v>
      </c>
      <c r="AY65" s="731">
        <f t="shared" si="9"/>
        <v>3626.4545454545478</v>
      </c>
      <c r="AZ65" s="322">
        <f t="shared" si="13"/>
        <v>1733</v>
      </c>
    </row>
    <row r="66" spans="1:54" x14ac:dyDescent="0.55000000000000004">
      <c r="A66" s="7340"/>
      <c r="B66" s="1085"/>
      <c r="C66" s="205" t="s">
        <v>311</v>
      </c>
      <c r="W66" s="712"/>
      <c r="X66" s="712"/>
      <c r="Y66" s="712"/>
      <c r="Z66" s="712"/>
      <c r="AA66" s="712"/>
      <c r="AB66" s="712"/>
      <c r="AC66" s="712"/>
      <c r="AD66" s="712"/>
      <c r="AE66" s="712"/>
      <c r="AF66" s="712"/>
      <c r="AH66" s="2056"/>
      <c r="AI66" s="448"/>
      <c r="AJ66" s="448"/>
      <c r="AK66" s="1"/>
      <c r="AL66" s="448"/>
      <c r="AM66" s="712"/>
      <c r="AN66" s="2361">
        <v>1939</v>
      </c>
      <c r="AO66" s="448">
        <v>1427</v>
      </c>
      <c r="AP66" s="2361">
        <v>200</v>
      </c>
      <c r="AQ66" s="2361">
        <v>0</v>
      </c>
      <c r="AR66" s="2361">
        <v>0</v>
      </c>
      <c r="AS66" s="1416">
        <v>100</v>
      </c>
      <c r="AT66" s="1416"/>
      <c r="AU66" s="1656"/>
      <c r="AW66" s="317">
        <f t="shared" si="12"/>
        <v>100</v>
      </c>
      <c r="AX66" s="317">
        <f t="shared" ref="AX66" si="22">AU66-AF66</f>
        <v>0</v>
      </c>
      <c r="AY66" s="731">
        <f t="shared" si="9"/>
        <v>0</v>
      </c>
      <c r="AZ66" s="322">
        <f t="shared" si="13"/>
        <v>100</v>
      </c>
    </row>
    <row r="67" spans="1:54" ht="18" thickBot="1" x14ac:dyDescent="0.6">
      <c r="A67" s="7340"/>
      <c r="B67" s="1085"/>
      <c r="C67" s="205" t="s">
        <v>67</v>
      </c>
      <c r="W67" s="712">
        <v>0</v>
      </c>
      <c r="X67" s="712">
        <v>0</v>
      </c>
      <c r="Y67" s="712">
        <v>630.72727272727263</v>
      </c>
      <c r="Z67" s="712">
        <v>2822.9090909090905</v>
      </c>
      <c r="AA67" s="712">
        <v>7567.4363636363632</v>
      </c>
      <c r="AB67" s="322">
        <v>19829.272727272728</v>
      </c>
      <c r="AC67" s="712">
        <v>39900.872727272726</v>
      </c>
      <c r="AD67" s="712">
        <v>37873.799999999996</v>
      </c>
      <c r="AE67" s="712">
        <f t="shared" si="18"/>
        <v>108625.01818181819</v>
      </c>
      <c r="AF67" s="712">
        <f t="shared" si="19"/>
        <v>13578.127272727274</v>
      </c>
      <c r="AH67" s="2053">
        <v>60675.34</v>
      </c>
      <c r="AI67" s="1658">
        <v>49664.160000000003</v>
      </c>
      <c r="AJ67" s="1658">
        <v>50401.35</v>
      </c>
      <c r="AK67" s="1302">
        <v>31476.38</v>
      </c>
      <c r="AL67" s="1658">
        <v>16711.759999999998</v>
      </c>
      <c r="AM67" s="1657">
        <v>20767.77</v>
      </c>
      <c r="AN67" s="2362">
        <v>55</v>
      </c>
      <c r="AO67" s="1658"/>
      <c r="AP67" s="2362">
        <v>0</v>
      </c>
      <c r="AQ67" s="1658">
        <v>0</v>
      </c>
      <c r="AR67" s="2362">
        <v>0</v>
      </c>
      <c r="AS67" s="1657">
        <v>0</v>
      </c>
      <c r="AT67" s="1657">
        <f>SUM(AH67:AS67)</f>
        <v>229751.76</v>
      </c>
      <c r="AU67" s="1659">
        <f t="shared" si="21"/>
        <v>20886.523636363636</v>
      </c>
      <c r="AW67" s="317">
        <f>HLOOKUP($A$1,$AH$2:$AS$402,ROW()-1,0)-HLOOKUP($A$1,$S$2:$AD$402,ROW()-1,0)</f>
        <v>-37873.799999999996</v>
      </c>
      <c r="AX67" s="317">
        <f t="shared" si="7"/>
        <v>7308.3963636363624</v>
      </c>
      <c r="AY67" s="731">
        <f t="shared" si="9"/>
        <v>121126.74181818182</v>
      </c>
      <c r="AZ67" s="322">
        <f t="shared" si="13"/>
        <v>0</v>
      </c>
    </row>
    <row r="68" spans="1:54" x14ac:dyDescent="0.55000000000000004">
      <c r="AN68" s="317"/>
      <c r="AW68" s="317"/>
      <c r="AX68" s="317"/>
      <c r="AY68" s="891"/>
      <c r="AZ68" s="891"/>
      <c r="BA68" s="891"/>
      <c r="BB68" s="891"/>
    </row>
    <row r="69" spans="1:54" x14ac:dyDescent="0.55000000000000004">
      <c r="AN69" s="317"/>
      <c r="AW69" s="317"/>
      <c r="AX69" s="317"/>
      <c r="AY69" s="891"/>
      <c r="AZ69" s="594"/>
    </row>
    <row r="70" spans="1:54" x14ac:dyDescent="0.55000000000000004">
      <c r="AN70" s="317"/>
      <c r="AW70" s="317"/>
      <c r="AX70" s="317"/>
      <c r="AY70" s="891"/>
      <c r="AZ70" s="594"/>
    </row>
    <row r="71" spans="1:54" x14ac:dyDescent="0.55000000000000004">
      <c r="AN71" s="317"/>
      <c r="AW71" s="317"/>
      <c r="AX71" s="317"/>
      <c r="AY71" s="891"/>
      <c r="AZ71" s="594"/>
    </row>
    <row r="72" spans="1:54" x14ac:dyDescent="0.55000000000000004">
      <c r="AN72" s="317"/>
      <c r="AW72" s="317"/>
      <c r="AX72" s="317"/>
      <c r="AY72" s="891"/>
      <c r="AZ72" s="594"/>
    </row>
    <row r="73" spans="1:54" x14ac:dyDescent="0.55000000000000004">
      <c r="AN73" s="317"/>
      <c r="AW73" s="317"/>
      <c r="AX73" s="317"/>
      <c r="AY73" s="891"/>
      <c r="AZ73" s="594"/>
    </row>
    <row r="74" spans="1:54" x14ac:dyDescent="0.55000000000000004">
      <c r="AN74" s="317"/>
      <c r="AW74" s="317"/>
      <c r="AX74" s="317"/>
      <c r="AY74" s="891"/>
      <c r="AZ74" s="594"/>
    </row>
    <row r="75" spans="1:54" x14ac:dyDescent="0.55000000000000004">
      <c r="AN75" s="317"/>
      <c r="AW75" s="317"/>
      <c r="AX75" s="317"/>
      <c r="AY75" s="891"/>
      <c r="AZ75" s="594"/>
    </row>
    <row r="76" spans="1:54" x14ac:dyDescent="0.55000000000000004">
      <c r="AN76" s="317"/>
      <c r="AW76" s="317"/>
      <c r="AX76" s="317"/>
      <c r="AY76" s="891"/>
      <c r="AZ76" s="594"/>
    </row>
    <row r="77" spans="1:54" x14ac:dyDescent="0.55000000000000004">
      <c r="AN77" s="317"/>
      <c r="AW77" s="317"/>
      <c r="AX77" s="317"/>
      <c r="AY77" s="891"/>
    </row>
    <row r="78" spans="1:54" x14ac:dyDescent="0.55000000000000004">
      <c r="AN78" s="317"/>
      <c r="AZ78" s="594"/>
    </row>
    <row r="79" spans="1:54" x14ac:dyDescent="0.55000000000000004">
      <c r="AN79" s="317"/>
      <c r="AZ79" s="594"/>
    </row>
    <row r="80" spans="1:54" x14ac:dyDescent="0.55000000000000004">
      <c r="AN80" s="317"/>
      <c r="AZ80" s="594"/>
    </row>
    <row r="81" spans="40:52" x14ac:dyDescent="0.55000000000000004">
      <c r="AN81" s="317"/>
      <c r="AZ81" s="594"/>
    </row>
    <row r="82" spans="40:52" x14ac:dyDescent="0.55000000000000004">
      <c r="AN82" s="317"/>
      <c r="AZ82" s="594"/>
    </row>
    <row r="83" spans="40:52" x14ac:dyDescent="0.55000000000000004">
      <c r="AN83" s="317"/>
      <c r="AZ83" s="594"/>
    </row>
    <row r="84" spans="40:52" x14ac:dyDescent="0.55000000000000004">
      <c r="AN84" s="317"/>
      <c r="AZ84" s="594"/>
    </row>
    <row r="85" spans="40:52" x14ac:dyDescent="0.55000000000000004">
      <c r="AN85" s="317"/>
      <c r="AZ85" s="594"/>
    </row>
    <row r="86" spans="40:52" x14ac:dyDescent="0.55000000000000004">
      <c r="AN86" s="317"/>
      <c r="AZ86" s="594"/>
    </row>
    <row r="87" spans="40:52" x14ac:dyDescent="0.55000000000000004">
      <c r="AN87" s="317"/>
      <c r="AZ87" s="594"/>
    </row>
    <row r="88" spans="40:52" x14ac:dyDescent="0.55000000000000004">
      <c r="AN88" s="317"/>
    </row>
    <row r="89" spans="40:52" x14ac:dyDescent="0.55000000000000004">
      <c r="AN89" s="317"/>
      <c r="AZ89" s="594"/>
    </row>
    <row r="90" spans="40:52" x14ac:dyDescent="0.55000000000000004">
      <c r="AN90" s="317"/>
      <c r="AZ90" s="594"/>
    </row>
    <row r="91" spans="40:52" x14ac:dyDescent="0.55000000000000004">
      <c r="AN91" s="317"/>
      <c r="AZ91" s="594"/>
    </row>
    <row r="92" spans="40:52" x14ac:dyDescent="0.55000000000000004">
      <c r="AN92" s="317"/>
      <c r="AZ92" s="594"/>
    </row>
    <row r="93" spans="40:52" x14ac:dyDescent="0.55000000000000004">
      <c r="AN93" s="317"/>
      <c r="AZ93" s="594"/>
    </row>
    <row r="94" spans="40:52" x14ac:dyDescent="0.55000000000000004">
      <c r="AN94" s="317"/>
      <c r="AZ94" s="594"/>
    </row>
    <row r="95" spans="40:52" x14ac:dyDescent="0.55000000000000004">
      <c r="AN95" s="317"/>
      <c r="AZ95" s="594"/>
    </row>
    <row r="96" spans="40:52" x14ac:dyDescent="0.55000000000000004">
      <c r="AN96" s="317"/>
      <c r="AZ96" s="594"/>
    </row>
    <row r="97" spans="40:52" x14ac:dyDescent="0.55000000000000004">
      <c r="AN97" s="317"/>
      <c r="AZ97" s="594"/>
    </row>
    <row r="98" spans="40:52" x14ac:dyDescent="0.55000000000000004">
      <c r="AN98" s="317"/>
      <c r="AZ98" s="594"/>
    </row>
    <row r="99" spans="40:52" x14ac:dyDescent="0.55000000000000004">
      <c r="AN99" s="317"/>
      <c r="AZ99" s="594"/>
    </row>
    <row r="100" spans="40:52" x14ac:dyDescent="0.55000000000000004">
      <c r="AN100" s="317"/>
      <c r="AZ100" s="594"/>
    </row>
    <row r="101" spans="40:52" x14ac:dyDescent="0.55000000000000004">
      <c r="AN101" s="317"/>
      <c r="AZ101" s="594"/>
    </row>
    <row r="102" spans="40:52" x14ac:dyDescent="0.55000000000000004">
      <c r="AN102" s="317"/>
      <c r="AZ102" s="594"/>
    </row>
    <row r="103" spans="40:52" x14ac:dyDescent="0.55000000000000004">
      <c r="AN103" s="317"/>
      <c r="AZ103" s="594"/>
    </row>
    <row r="104" spans="40:52" x14ac:dyDescent="0.55000000000000004">
      <c r="AN104" s="317"/>
      <c r="AZ104" s="594"/>
    </row>
    <row r="105" spans="40:52" x14ac:dyDescent="0.55000000000000004">
      <c r="AN105" s="317"/>
      <c r="AZ105" s="594"/>
    </row>
    <row r="106" spans="40:52" x14ac:dyDescent="0.55000000000000004">
      <c r="AN106" s="317"/>
      <c r="AZ106" s="594"/>
    </row>
    <row r="107" spans="40:52" x14ac:dyDescent="0.55000000000000004">
      <c r="AN107" s="317"/>
      <c r="AZ107" s="594"/>
    </row>
    <row r="108" spans="40:52" x14ac:dyDescent="0.55000000000000004">
      <c r="AN108" s="317"/>
      <c r="AZ108" s="594"/>
    </row>
  </sheetData>
  <mergeCells count="10">
    <mergeCell ref="A30:A67"/>
    <mergeCell ref="A4:A10"/>
    <mergeCell ref="B4:B6"/>
    <mergeCell ref="B7:B10"/>
    <mergeCell ref="A11:A28"/>
    <mergeCell ref="B11:B13"/>
    <mergeCell ref="B14:B17"/>
    <mergeCell ref="B18:B20"/>
    <mergeCell ref="B21:B24"/>
    <mergeCell ref="B25:B28"/>
  </mergeCells>
  <phoneticPr fontId="1" type="noConversion"/>
  <conditionalFormatting sqref="AD4:AF28 AD30:AF33 AW30:AW34 AD55:AF65 AW37:AW65 AD37:AF51 AE34:AF34 AX29:AX65 AW4:AX28 AD67:AF67 AW66:AX67 AZ4:AZ67">
    <cfRule type="containsBlanks" dxfId="3" priority="3">
      <formula>LEN(TRIM(AD4))=0</formula>
    </cfRule>
  </conditionalFormatting>
  <conditionalFormatting sqref="AY30:AY34 AY4:AY28 AY37:AY67">
    <cfRule type="containsBlanks" dxfId="2" priority="1">
      <formula>LEN(TRIM(AY4))=0</formula>
    </cfRule>
  </conditionalFormatting>
  <pageMargins left="0.7" right="0.7" top="0.75" bottom="0.75" header="0.3" footer="0.3"/>
  <pageSetup paperSize="9" scale="42" fitToHeight="0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E3CF-E8FC-4ABB-AF22-17FC3B0FE6C8}">
  <sheetPr codeName="Sheet13">
    <tabColor theme="9" tint="0.79998168889431442"/>
    <pageSetUpPr fitToPage="1"/>
  </sheetPr>
  <dimension ref="A1:CB47"/>
  <sheetViews>
    <sheetView topLeftCell="AD1" zoomScale="40" zoomScaleNormal="40" zoomScaleSheetLayoutView="70" workbookViewId="0">
      <selection activeCell="AT11" sqref="AT11"/>
    </sheetView>
  </sheetViews>
  <sheetFormatPr defaultColWidth="8.640625" defaultRowHeight="17.600000000000001" outlineLevelCol="1" x14ac:dyDescent="0.55000000000000004"/>
  <cols>
    <col min="1" max="2" width="8.640625" style="926"/>
    <col min="3" max="3" width="12.140625" style="185" customWidth="1"/>
    <col min="4" max="4" width="10.140625" style="926" customWidth="1"/>
    <col min="5" max="16" width="8.640625" style="926" hidden="1" customWidth="1" outlineLevel="1"/>
    <col min="17" max="17" width="8.640625" style="926" collapsed="1"/>
    <col min="18" max="18" width="8.640625" style="926"/>
    <col min="19" max="30" width="8.640625" style="926" customWidth="1" outlineLevel="1"/>
    <col min="31" max="45" width="8.640625" style="926"/>
    <col min="46" max="46" width="12.92578125" style="926" customWidth="1"/>
    <col min="47" max="47" width="11.2109375" style="926" customWidth="1"/>
    <col min="48" max="53" width="13.140625" style="926" customWidth="1"/>
    <col min="54" max="16384" width="8.640625" style="926"/>
  </cols>
  <sheetData>
    <row r="1" spans="1:80" x14ac:dyDescent="0.55000000000000004">
      <c r="A1" s="1444">
        <f>'2-(1) 수수료 기준_가입자(무선)'!A1</f>
        <v>12.000999999999999</v>
      </c>
      <c r="B1" s="2366">
        <f>'※ 영기팀 작성_가입자'!B1</f>
        <v>11.000999999999999</v>
      </c>
    </row>
    <row r="3" spans="1:80" ht="27" thickBot="1" x14ac:dyDescent="0.6">
      <c r="A3" s="2" t="s">
        <v>806</v>
      </c>
      <c r="B3" s="2"/>
      <c r="E3" s="1281">
        <v>1.0009999999999999</v>
      </c>
      <c r="F3" s="1281">
        <v>2.0009999999999999</v>
      </c>
      <c r="G3" s="1281">
        <v>3.0009999999999999</v>
      </c>
      <c r="H3" s="1281">
        <v>4.0010000000000003</v>
      </c>
      <c r="I3" s="1281">
        <v>5.0010000000000003</v>
      </c>
      <c r="J3" s="1281">
        <v>6.0010000000000003</v>
      </c>
      <c r="K3" s="1281">
        <v>7.0010000000000003</v>
      </c>
      <c r="L3" s="1281">
        <v>8.0009999999999994</v>
      </c>
      <c r="M3" s="1281">
        <v>9.0009999999999994</v>
      </c>
      <c r="N3" s="1281">
        <v>10.000999999999999</v>
      </c>
      <c r="O3" s="1281">
        <v>11.000999999999999</v>
      </c>
      <c r="P3" s="1281">
        <v>12.000999999999999</v>
      </c>
      <c r="S3" s="1281">
        <v>1.0009999999999999</v>
      </c>
      <c r="T3" s="1281">
        <v>2.0009999999999999</v>
      </c>
      <c r="U3" s="1281">
        <v>3.0009999999999999</v>
      </c>
      <c r="V3" s="1281">
        <v>4.0010000000000003</v>
      </c>
      <c r="W3" s="1281">
        <v>5.0010000000000003</v>
      </c>
      <c r="X3" s="1281">
        <v>6.0010000000000003</v>
      </c>
      <c r="Y3" s="1281">
        <v>7.0010000000000003</v>
      </c>
      <c r="Z3" s="1281">
        <v>8.0009999999999994</v>
      </c>
      <c r="AA3" s="1281">
        <v>9.0009999999999994</v>
      </c>
      <c r="AB3" s="1281">
        <v>10.000999999999999</v>
      </c>
      <c r="AC3" s="1281">
        <v>11.000999999999999</v>
      </c>
      <c r="AD3" s="1281">
        <v>12.000999999999999</v>
      </c>
      <c r="AG3" s="1281">
        <v>1.0009999999999999</v>
      </c>
      <c r="AH3" s="1281">
        <v>2.0009999999999999</v>
      </c>
      <c r="AI3" s="1281">
        <v>3.0009999999999999</v>
      </c>
      <c r="AJ3" s="1281">
        <v>4.0010000000000003</v>
      </c>
      <c r="AK3" s="1281">
        <v>5.0010000000000003</v>
      </c>
      <c r="AL3" s="1281">
        <v>6.0010000000000003</v>
      </c>
      <c r="AM3" s="1281">
        <v>7.0010000000000003</v>
      </c>
      <c r="AN3" s="1281">
        <v>8.0009999999999994</v>
      </c>
      <c r="AO3" s="1281">
        <v>9.0009999999999994</v>
      </c>
      <c r="AP3" s="1281">
        <v>10.000999999999999</v>
      </c>
      <c r="AQ3" s="1281">
        <v>11.000999999999999</v>
      </c>
      <c r="AR3" s="1281">
        <v>12.000999999999999</v>
      </c>
      <c r="AY3" s="2365" t="s">
        <v>932</v>
      </c>
      <c r="BD3" s="1281">
        <v>1.0009999999999999</v>
      </c>
      <c r="BE3" s="1281">
        <v>2.0009999999999999</v>
      </c>
      <c r="BF3" s="1281">
        <v>3.0009999999999999</v>
      </c>
      <c r="BG3" s="1281">
        <v>4.0010000000000003</v>
      </c>
      <c r="BH3" s="1281">
        <v>5.0010000000000003</v>
      </c>
      <c r="BI3" s="1281">
        <v>6.0010000000000003</v>
      </c>
      <c r="BJ3" s="1281">
        <v>7.0010000000000003</v>
      </c>
      <c r="BK3" s="1281">
        <v>8.0009999999999994</v>
      </c>
      <c r="BL3" s="1281">
        <v>9.0009999999999994</v>
      </c>
      <c r="BM3" s="1281">
        <v>10.000999999999999</v>
      </c>
      <c r="BN3" s="1281">
        <v>11.000999999999999</v>
      </c>
      <c r="BO3" s="1281">
        <v>12.000999999999999</v>
      </c>
      <c r="BP3" s="1281"/>
      <c r="BQ3" s="1281">
        <v>1.0009999999999999</v>
      </c>
      <c r="BR3" s="1281">
        <v>2.0009999999999999</v>
      </c>
      <c r="BS3" s="1281">
        <v>3.0009999999999999</v>
      </c>
      <c r="BT3" s="1281">
        <v>4.0010000000000003</v>
      </c>
      <c r="BU3" s="1281">
        <v>5.0010000000000003</v>
      </c>
      <c r="BV3" s="1281">
        <v>6.0010000000000003</v>
      </c>
      <c r="BW3" s="1281">
        <v>7.0010000000000003</v>
      </c>
      <c r="BX3" s="1281">
        <v>8.0009999999999994</v>
      </c>
      <c r="BY3" s="1281">
        <v>9.0009999999999994</v>
      </c>
      <c r="BZ3" s="1281">
        <v>10.000999999999999</v>
      </c>
      <c r="CA3" s="1281">
        <v>11.000999999999999</v>
      </c>
      <c r="CB3" s="1281">
        <v>12.000999999999999</v>
      </c>
    </row>
    <row r="4" spans="1:80" ht="27" thickBot="1" x14ac:dyDescent="0.6">
      <c r="A4" s="1237"/>
      <c r="B4" s="1237"/>
      <c r="C4" s="1245"/>
      <c r="D4" s="1238"/>
      <c r="E4" s="927" t="s">
        <v>773</v>
      </c>
      <c r="S4" s="927" t="s">
        <v>1044</v>
      </c>
      <c r="T4" s="1281">
        <v>2.0009999999999999</v>
      </c>
      <c r="U4" s="1281">
        <v>3.0009999999999999</v>
      </c>
      <c r="V4" s="1281">
        <v>4.0010000000000003</v>
      </c>
      <c r="W4" s="1281">
        <v>5.0010000000000003</v>
      </c>
      <c r="X4" s="1281">
        <v>6.0010000000000003</v>
      </c>
      <c r="Y4" s="1281">
        <v>7.0010000000000003</v>
      </c>
      <c r="Z4" s="1281">
        <v>8.0009999999999994</v>
      </c>
      <c r="AA4" s="1281">
        <v>9.0009999999999994</v>
      </c>
      <c r="AB4" s="1281">
        <v>10.000999999999999</v>
      </c>
      <c r="AC4" s="1281">
        <v>11.000999999999999</v>
      </c>
      <c r="AD4" s="1281">
        <v>12.000999999999999</v>
      </c>
      <c r="AG4" s="7378" t="s">
        <v>1</v>
      </c>
      <c r="AH4" s="7379"/>
      <c r="AI4" s="7379"/>
      <c r="AJ4" s="7379"/>
      <c r="AK4" s="7379"/>
      <c r="AL4" s="7379"/>
      <c r="AM4" s="7379"/>
      <c r="AN4" s="7379"/>
      <c r="AO4" s="7379"/>
      <c r="AP4" s="7379"/>
      <c r="AQ4" s="7379"/>
      <c r="AR4" s="7379"/>
      <c r="AS4" s="7380"/>
      <c r="AT4" s="1631"/>
      <c r="AU4" s="1631"/>
      <c r="AV4" s="7373" t="str">
        <f>"연간누적실적(~"&amp;A1-0.001&amp;"월)"</f>
        <v>연간누적실적(~12월)</v>
      </c>
      <c r="AW4" s="7374"/>
      <c r="AX4" s="7374"/>
      <c r="AY4" s="7374"/>
      <c r="AZ4" s="7374"/>
      <c r="BA4" s="7375"/>
      <c r="BD4" s="927" t="s">
        <v>1079</v>
      </c>
      <c r="BQ4" s="927" t="s">
        <v>1192</v>
      </c>
    </row>
    <row r="5" spans="1:80" ht="18" thickBot="1" x14ac:dyDescent="0.6">
      <c r="A5" s="1703"/>
      <c r="B5" s="1704"/>
      <c r="C5" s="1705"/>
      <c r="D5" s="1706"/>
      <c r="E5" s="1946" t="s">
        <v>512</v>
      </c>
      <c r="F5" s="1698" t="s">
        <v>369</v>
      </c>
      <c r="G5" s="1698" t="s">
        <v>370</v>
      </c>
      <c r="H5" s="1698" t="s">
        <v>371</v>
      </c>
      <c r="I5" s="1698" t="s">
        <v>372</v>
      </c>
      <c r="J5" s="1698" t="s">
        <v>373</v>
      </c>
      <c r="K5" s="1698" t="s">
        <v>374</v>
      </c>
      <c r="L5" s="1698" t="s">
        <v>375</v>
      </c>
      <c r="M5" s="1698" t="s">
        <v>376</v>
      </c>
      <c r="N5" s="1698" t="s">
        <v>377</v>
      </c>
      <c r="O5" s="1698" t="s">
        <v>378</v>
      </c>
      <c r="P5" s="1698" t="s">
        <v>379</v>
      </c>
      <c r="Q5" s="1699" t="s">
        <v>412</v>
      </c>
      <c r="R5" s="1701" t="s">
        <v>367</v>
      </c>
      <c r="S5" s="1730" t="s">
        <v>524</v>
      </c>
      <c r="T5" s="1700" t="s">
        <v>3</v>
      </c>
      <c r="U5" s="1700" t="s">
        <v>525</v>
      </c>
      <c r="V5" s="1700" t="s">
        <v>358</v>
      </c>
      <c r="W5" s="1700" t="s">
        <v>359</v>
      </c>
      <c r="X5" s="1700" t="s">
        <v>360</v>
      </c>
      <c r="Y5" s="1700" t="s">
        <v>361</v>
      </c>
      <c r="Z5" s="1700" t="s">
        <v>362</v>
      </c>
      <c r="AA5" s="1700" t="s">
        <v>363</v>
      </c>
      <c r="AB5" s="1700" t="s">
        <v>364</v>
      </c>
      <c r="AC5" s="1700" t="s">
        <v>365</v>
      </c>
      <c r="AD5" s="1700" t="s">
        <v>366</v>
      </c>
      <c r="AE5" s="1699" t="s">
        <v>413</v>
      </c>
      <c r="AF5" s="1699" t="s">
        <v>367</v>
      </c>
      <c r="AG5" s="1945" t="s">
        <v>1021</v>
      </c>
      <c r="AH5" s="110" t="s">
        <v>1022</v>
      </c>
      <c r="AI5" s="110" t="s">
        <v>1024</v>
      </c>
      <c r="AJ5" s="110" t="s">
        <v>1025</v>
      </c>
      <c r="AK5" s="110" t="s">
        <v>1026</v>
      </c>
      <c r="AL5" s="110" t="s">
        <v>1027</v>
      </c>
      <c r="AM5" s="110" t="s">
        <v>1028</v>
      </c>
      <c r="AN5" s="110" t="s">
        <v>1029</v>
      </c>
      <c r="AO5" s="110" t="s">
        <v>1030</v>
      </c>
      <c r="AP5" s="110" t="s">
        <v>1031</v>
      </c>
      <c r="AQ5" s="110" t="s">
        <v>1032</v>
      </c>
      <c r="AR5" s="110" t="s">
        <v>1033</v>
      </c>
      <c r="AS5" s="1712" t="s">
        <v>774</v>
      </c>
      <c r="AT5" s="113" t="s">
        <v>776</v>
      </c>
      <c r="AU5" s="114" t="s">
        <v>463</v>
      </c>
      <c r="AV5" s="115" t="s">
        <v>45</v>
      </c>
      <c r="AW5" s="9" t="s">
        <v>8</v>
      </c>
      <c r="AX5" s="9" t="s">
        <v>775</v>
      </c>
      <c r="AY5" s="9" t="s">
        <v>609</v>
      </c>
      <c r="AZ5" s="15" t="s">
        <v>46</v>
      </c>
      <c r="BA5" s="116" t="s">
        <v>11</v>
      </c>
      <c r="BD5" s="1003" t="s">
        <v>1021</v>
      </c>
      <c r="BE5" s="110" t="s">
        <v>1022</v>
      </c>
      <c r="BF5" s="110" t="s">
        <v>1024</v>
      </c>
      <c r="BG5" s="110" t="s">
        <v>1025</v>
      </c>
      <c r="BH5" s="110" t="s">
        <v>1026</v>
      </c>
      <c r="BI5" s="110" t="s">
        <v>1027</v>
      </c>
      <c r="BJ5" s="110" t="s">
        <v>1028</v>
      </c>
      <c r="BK5" s="110" t="s">
        <v>1029</v>
      </c>
      <c r="BL5" s="110" t="s">
        <v>1030</v>
      </c>
      <c r="BM5" s="110" t="s">
        <v>1031</v>
      </c>
      <c r="BN5" s="110" t="s">
        <v>1032</v>
      </c>
      <c r="BO5" s="110" t="s">
        <v>1033</v>
      </c>
      <c r="BQ5" s="1003" t="s">
        <v>1178</v>
      </c>
      <c r="BR5" s="1003" t="s">
        <v>1179</v>
      </c>
      <c r="BS5" s="1003" t="s">
        <v>1180</v>
      </c>
      <c r="BT5" s="1003" t="s">
        <v>1181</v>
      </c>
      <c r="BU5" s="1003" t="s">
        <v>1182</v>
      </c>
      <c r="BV5" s="1003" t="s">
        <v>1183</v>
      </c>
      <c r="BW5" s="1003" t="s">
        <v>1184</v>
      </c>
      <c r="BX5" s="1003" t="s">
        <v>1185</v>
      </c>
      <c r="BY5" s="1003" t="s">
        <v>1186</v>
      </c>
      <c r="BZ5" s="1003" t="s">
        <v>1187</v>
      </c>
      <c r="CA5" s="1003" t="s">
        <v>1188</v>
      </c>
      <c r="CB5" s="1003" t="s">
        <v>1189</v>
      </c>
    </row>
    <row r="6" spans="1:80" x14ac:dyDescent="0.55000000000000004">
      <c r="A6" s="7357" t="s">
        <v>474</v>
      </c>
      <c r="B6" s="7363" t="s">
        <v>807</v>
      </c>
      <c r="C6" s="1691" t="s">
        <v>1043</v>
      </c>
      <c r="D6" s="1411"/>
      <c r="E6" s="1127">
        <v>4603</v>
      </c>
      <c r="F6" s="1127">
        <v>5783</v>
      </c>
      <c r="G6" s="1127">
        <v>5139</v>
      </c>
      <c r="H6" s="1127">
        <v>3822</v>
      </c>
      <c r="I6" s="1127">
        <v>4905</v>
      </c>
      <c r="J6" s="1127">
        <v>4498</v>
      </c>
      <c r="K6" s="1127">
        <v>3639</v>
      </c>
      <c r="L6" s="1127">
        <v>3650</v>
      </c>
      <c r="M6" s="1127">
        <v>5821</v>
      </c>
      <c r="N6" s="1127">
        <v>7269</v>
      </c>
      <c r="O6" s="1127">
        <v>2708</v>
      </c>
      <c r="P6" s="1127">
        <v>2254</v>
      </c>
      <c r="Q6" s="1127">
        <f t="shared" ref="Q6:Q32" si="0">SUM(E6:P6)</f>
        <v>54091</v>
      </c>
      <c r="R6" s="1702">
        <f>AVERAGE(E6:P6)</f>
        <v>4507.583333333333</v>
      </c>
      <c r="S6" s="1388">
        <v>3260</v>
      </c>
      <c r="T6" s="1127">
        <v>2214</v>
      </c>
      <c r="U6" s="1127">
        <v>1632</v>
      </c>
      <c r="V6" s="1127">
        <v>2415</v>
      </c>
      <c r="W6" s="1127">
        <v>1540</v>
      </c>
      <c r="X6" s="1127">
        <v>2365</v>
      </c>
      <c r="Y6" s="1127">
        <v>2882</v>
      </c>
      <c r="Z6" s="1127">
        <v>2958</v>
      </c>
      <c r="AA6" s="1127">
        <v>3119</v>
      </c>
      <c r="AB6" s="1127">
        <v>6253</v>
      </c>
      <c r="AC6" s="1127">
        <v>2707</v>
      </c>
      <c r="AD6" s="1127">
        <v>1834</v>
      </c>
      <c r="AE6" s="1127">
        <f>SUM(S6:AD6)</f>
        <v>33179</v>
      </c>
      <c r="AF6" s="1702">
        <f>AVERAGE(S6:AD6)</f>
        <v>2764.9166666666665</v>
      </c>
      <c r="AG6" s="1387">
        <v>1913</v>
      </c>
      <c r="AH6" s="1240">
        <v>2778</v>
      </c>
      <c r="AI6" s="1240">
        <v>3485</v>
      </c>
      <c r="AJ6" s="1240">
        <v>2478</v>
      </c>
      <c r="AK6" s="1240">
        <f>AK15+AK24</f>
        <v>2591</v>
      </c>
      <c r="AL6" s="1240">
        <v>1942</v>
      </c>
      <c r="AM6" s="1240">
        <v>4860</v>
      </c>
      <c r="AN6" s="1240">
        <v>1543</v>
      </c>
      <c r="AO6" s="1240">
        <v>2494</v>
      </c>
      <c r="AP6" s="1240">
        <v>5265</v>
      </c>
      <c r="AQ6" s="1240">
        <v>5004</v>
      </c>
      <c r="AR6" s="1240">
        <v>3470</v>
      </c>
      <c r="AS6" s="1713"/>
      <c r="AT6" s="1220">
        <f>HLOOKUP($A$1,$AG$3:$AS$505,ROW()-2,0)-HLOOKUP($A$1-1,$AG$3:$AS$505,ROW()-2,1)</f>
        <v>-1534</v>
      </c>
      <c r="AU6" s="1221">
        <f>HLOOKUP($A$1,$AG$3:$AR$403,ROW()-2,0)-HLOOKUP($A$1,$S$3:$AD$403,ROW()-2,0)</f>
        <v>1636</v>
      </c>
      <c r="AV6" s="1128">
        <f>SUM(AG6:AR6)</f>
        <v>37823</v>
      </c>
      <c r="AW6" s="1241">
        <f>HLOOKUP($A$1,$AG$3:$AR$403,ROW()-2,0)-HLOOKUP($A$1,$BD$3:$BO$403,ROW()-2,0)</f>
        <v>732</v>
      </c>
      <c r="AX6" s="1219">
        <f>HLOOKUP($A$1,$AG$3:$AR$403,ROW()-2,0)/HLOOKUP($A$1,$BD$3:$BO$403,ROW()-2,0)</f>
        <v>1.2673484295105917</v>
      </c>
      <c r="AY6" s="1219">
        <f t="shared" ref="AY6:AY21" si="1">AV6/SUM(S6:AD6)</f>
        <v>1.1399680520811357</v>
      </c>
      <c r="AZ6" s="1129">
        <f>AV6/($A$1-0.001)</f>
        <v>3151.9166666666665</v>
      </c>
      <c r="BA6" s="1242">
        <f>AZ6-AF6</f>
        <v>387</v>
      </c>
      <c r="BD6" s="1196">
        <f>BD15+BD24</f>
        <v>4000</v>
      </c>
      <c r="BE6" s="1196">
        <f t="shared" ref="BE6:BO6" si="2">BE15+BE24</f>
        <v>3661</v>
      </c>
      <c r="BF6" s="1196">
        <f t="shared" si="2"/>
        <v>3663</v>
      </c>
      <c r="BG6" s="1196">
        <f t="shared" si="2"/>
        <v>3663</v>
      </c>
      <c r="BH6" s="1196">
        <f t="shared" si="2"/>
        <v>3663</v>
      </c>
      <c r="BI6" s="1196">
        <f t="shared" si="2"/>
        <v>3663</v>
      </c>
      <c r="BJ6" s="1196">
        <f t="shared" si="2"/>
        <v>3271</v>
      </c>
      <c r="BK6" s="1196">
        <f t="shared" si="2"/>
        <v>3133</v>
      </c>
      <c r="BL6" s="1196">
        <f t="shared" si="2"/>
        <v>3701</v>
      </c>
      <c r="BM6" s="1196">
        <f t="shared" si="2"/>
        <v>4791</v>
      </c>
      <c r="BN6" s="1196">
        <f t="shared" si="2"/>
        <v>3153</v>
      </c>
      <c r="BO6" s="1196">
        <f t="shared" si="2"/>
        <v>2738</v>
      </c>
      <c r="BQ6" s="1196"/>
      <c r="BR6" s="1196"/>
      <c r="BS6" s="1196"/>
      <c r="BT6" s="1196"/>
      <c r="BU6" s="1196"/>
      <c r="BV6" s="1196"/>
      <c r="BW6" s="1196"/>
      <c r="BX6" s="1196"/>
      <c r="BY6" s="1196"/>
      <c r="BZ6" s="1196"/>
      <c r="CA6" s="1196"/>
      <c r="CB6" s="1196"/>
    </row>
    <row r="7" spans="1:80" x14ac:dyDescent="0.55000000000000004">
      <c r="A7" s="7358"/>
      <c r="B7" s="7364"/>
      <c r="C7" s="1048" t="s">
        <v>808</v>
      </c>
      <c r="D7" s="430">
        <v>26350</v>
      </c>
      <c r="E7" s="1127">
        <v>2107</v>
      </c>
      <c r="F7" s="1127">
        <v>1714</v>
      </c>
      <c r="G7" s="1127">
        <v>1396</v>
      </c>
      <c r="H7" s="1127">
        <v>966</v>
      </c>
      <c r="I7" s="1127">
        <v>978</v>
      </c>
      <c r="J7" s="1127">
        <v>760</v>
      </c>
      <c r="K7" s="1127">
        <v>427</v>
      </c>
      <c r="L7" s="1127">
        <v>772</v>
      </c>
      <c r="M7" s="1127">
        <v>224</v>
      </c>
      <c r="N7" s="1127">
        <v>381</v>
      </c>
      <c r="O7" s="1127">
        <v>333</v>
      </c>
      <c r="P7" s="1127">
        <v>309</v>
      </c>
      <c r="Q7" s="1127">
        <f t="shared" si="0"/>
        <v>10367</v>
      </c>
      <c r="R7" s="1702">
        <f t="shared" ref="R7:R32" si="3">AVERAGE(E7:P7)</f>
        <v>863.91666666666663</v>
      </c>
      <c r="S7" s="1388">
        <v>1326</v>
      </c>
      <c r="T7" s="1127">
        <v>1052</v>
      </c>
      <c r="U7" s="1127">
        <v>481</v>
      </c>
      <c r="V7" s="1127">
        <v>276</v>
      </c>
      <c r="W7" s="1127">
        <v>389</v>
      </c>
      <c r="X7" s="1127">
        <v>579</v>
      </c>
      <c r="Y7" s="1127">
        <v>518</v>
      </c>
      <c r="Z7" s="1127">
        <v>1600</v>
      </c>
      <c r="AA7" s="1127">
        <v>633</v>
      </c>
      <c r="AB7" s="1127">
        <v>885</v>
      </c>
      <c r="AC7" s="1127">
        <v>511</v>
      </c>
      <c r="AD7" s="1127">
        <v>1073</v>
      </c>
      <c r="AE7" s="1127">
        <f t="shared" ref="AE7:AE32" si="4">SUM(S7:AD7)</f>
        <v>9323</v>
      </c>
      <c r="AF7" s="1702">
        <f t="shared" ref="AF7:AF32" si="5">AVERAGE(S7:AD7)</f>
        <v>776.91666666666663</v>
      </c>
      <c r="AG7" s="1388">
        <v>686</v>
      </c>
      <c r="AH7" s="1127">
        <v>559</v>
      </c>
      <c r="AI7" s="1120">
        <v>1600</v>
      </c>
      <c r="AJ7" s="1127">
        <v>1354</v>
      </c>
      <c r="AK7" s="1120">
        <f t="shared" ref="AK7:AK14" si="6">AK16+AK25</f>
        <v>909</v>
      </c>
      <c r="AL7" s="1120">
        <v>664</v>
      </c>
      <c r="AM7" s="1127">
        <v>1501</v>
      </c>
      <c r="AN7" s="1120">
        <v>488</v>
      </c>
      <c r="AO7" s="1127">
        <v>749</v>
      </c>
      <c r="AP7" s="1120">
        <v>895</v>
      </c>
      <c r="AQ7" s="1127">
        <v>955</v>
      </c>
      <c r="AR7" s="1127">
        <v>512</v>
      </c>
      <c r="AS7" s="1714"/>
      <c r="AT7" s="1220">
        <f>HLOOKUP($A$1,$AG$3:$AS$505,ROW()-2,0)-HLOOKUP($A$1-1,$AG$3:$AS$505,ROW()-2,1)</f>
        <v>-443</v>
      </c>
      <c r="AU7" s="1221">
        <f t="shared" ref="AU7:AU32" si="7">HLOOKUP($A$1,$AG$3:$AR$403,ROW()-2,0)-HLOOKUP($A$1,$S$3:$AD$403,ROW()-2,0)</f>
        <v>-561</v>
      </c>
      <c r="AV7" s="1128">
        <f t="shared" ref="AV7:AV32" si="8">SUM(AG7:AR7)</f>
        <v>10872</v>
      </c>
      <c r="AW7" s="1230">
        <f t="shared" ref="AW7:AW27" si="9">HLOOKUP($A$1,$AG$3:$AR$403,ROW()-2,0)-HLOOKUP($A$1,$BD$3:$BO$403,ROW()-2,0)</f>
        <v>126</v>
      </c>
      <c r="AX7" s="1219">
        <f>HLOOKUP($A$1,$AG$3:$AR$403,ROW()-2,0)/HLOOKUP($A$1,$BD$3:$BO$403,ROW()-2,0)</f>
        <v>1.3264248704663213</v>
      </c>
      <c r="AY7" s="1219">
        <f t="shared" si="1"/>
        <v>1.1661482355464978</v>
      </c>
      <c r="AZ7" s="1129">
        <f t="shared" ref="AZ7:AZ32" si="10">AV7/($A$1-0.001)</f>
        <v>906</v>
      </c>
      <c r="BA7" s="1222">
        <f>AZ7-AF7</f>
        <v>129.08333333333337</v>
      </c>
      <c r="BD7" s="1196">
        <f t="shared" ref="BD7:BO10" si="11">BD16+BD25</f>
        <v>1000</v>
      </c>
      <c r="BE7" s="1196">
        <f t="shared" si="11"/>
        <v>823</v>
      </c>
      <c r="BF7" s="1196">
        <f t="shared" si="11"/>
        <v>825</v>
      </c>
      <c r="BG7" s="1196">
        <f t="shared" si="11"/>
        <v>825</v>
      </c>
      <c r="BH7" s="1196">
        <f t="shared" si="11"/>
        <v>825</v>
      </c>
      <c r="BI7" s="1196">
        <f t="shared" si="11"/>
        <v>825</v>
      </c>
      <c r="BJ7" s="1196">
        <f t="shared" si="11"/>
        <v>684</v>
      </c>
      <c r="BK7" s="1196">
        <f t="shared" si="11"/>
        <v>665</v>
      </c>
      <c r="BL7" s="1196">
        <f t="shared" si="11"/>
        <v>814</v>
      </c>
      <c r="BM7" s="1196">
        <f t="shared" si="11"/>
        <v>843</v>
      </c>
      <c r="BN7" s="1196">
        <f t="shared" si="11"/>
        <v>585</v>
      </c>
      <c r="BO7" s="1196">
        <f t="shared" si="11"/>
        <v>386</v>
      </c>
      <c r="BQ7" s="1196"/>
      <c r="BR7" s="1196"/>
      <c r="BS7" s="1196"/>
      <c r="BT7" s="1196"/>
      <c r="BU7" s="1196"/>
      <c r="BV7" s="1196"/>
      <c r="BW7" s="1196"/>
      <c r="BX7" s="1196"/>
      <c r="BY7" s="1196"/>
      <c r="BZ7" s="1196"/>
      <c r="CA7" s="1196"/>
      <c r="CB7" s="1196"/>
    </row>
    <row r="8" spans="1:80" x14ac:dyDescent="0.55000000000000004">
      <c r="A8" s="7358"/>
      <c r="B8" s="7364"/>
      <c r="C8" s="1048" t="s">
        <v>809</v>
      </c>
      <c r="D8" s="430">
        <v>49650</v>
      </c>
      <c r="E8" s="1127">
        <v>2496</v>
      </c>
      <c r="F8" s="1127">
        <v>4069</v>
      </c>
      <c r="G8" s="1127">
        <v>3743</v>
      </c>
      <c r="H8" s="1127">
        <v>2856</v>
      </c>
      <c r="I8" s="1127">
        <v>3927</v>
      </c>
      <c r="J8" s="1127">
        <v>3738</v>
      </c>
      <c r="K8" s="1127">
        <v>3212</v>
      </c>
      <c r="L8" s="1127">
        <v>2878</v>
      </c>
      <c r="M8" s="1127">
        <v>5597</v>
      </c>
      <c r="N8" s="1127">
        <v>6888</v>
      </c>
      <c r="O8" s="1127">
        <v>2375</v>
      </c>
      <c r="P8" s="1127">
        <v>1945</v>
      </c>
      <c r="Q8" s="1127">
        <f t="shared" si="0"/>
        <v>43724</v>
      </c>
      <c r="R8" s="1702">
        <f t="shared" si="3"/>
        <v>3643.6666666666665</v>
      </c>
      <c r="S8" s="1388">
        <v>1934</v>
      </c>
      <c r="T8" s="1127">
        <v>1162</v>
      </c>
      <c r="U8" s="1127">
        <v>1151</v>
      </c>
      <c r="V8" s="1127">
        <v>2139</v>
      </c>
      <c r="W8" s="1127">
        <v>1151</v>
      </c>
      <c r="X8" s="1127">
        <v>1786</v>
      </c>
      <c r="Y8" s="1127">
        <v>2364</v>
      </c>
      <c r="Z8" s="1127">
        <v>1358</v>
      </c>
      <c r="AA8" s="1127">
        <v>2486</v>
      </c>
      <c r="AB8" s="1127">
        <v>5368</v>
      </c>
      <c r="AC8" s="1127">
        <v>2196</v>
      </c>
      <c r="AD8" s="1127">
        <v>761</v>
      </c>
      <c r="AE8" s="1127">
        <f t="shared" si="4"/>
        <v>23856</v>
      </c>
      <c r="AF8" s="1702">
        <f t="shared" si="5"/>
        <v>1988</v>
      </c>
      <c r="AG8" s="1388">
        <v>1227</v>
      </c>
      <c r="AH8" s="1127">
        <v>2219</v>
      </c>
      <c r="AI8" s="1120">
        <v>1885</v>
      </c>
      <c r="AJ8" s="1127">
        <v>1124</v>
      </c>
      <c r="AK8" s="1120">
        <f t="shared" si="6"/>
        <v>1682</v>
      </c>
      <c r="AL8" s="1120">
        <v>1278</v>
      </c>
      <c r="AM8" s="1127">
        <v>3359</v>
      </c>
      <c r="AN8" s="1120">
        <v>1055</v>
      </c>
      <c r="AO8" s="1127">
        <v>1745</v>
      </c>
      <c r="AP8" s="1120">
        <v>4370</v>
      </c>
      <c r="AQ8" s="1127">
        <v>4049</v>
      </c>
      <c r="AR8" s="1127">
        <v>2958</v>
      </c>
      <c r="AS8" s="1714"/>
      <c r="AT8" s="1220">
        <f t="shared" ref="AT8:AT32" si="12">HLOOKUP($A$1,$AG$3:$AS$505,ROW()-2,0)-HLOOKUP($A$1-1,$AG$3:$AS$505,ROW()-2,1)</f>
        <v>-1091</v>
      </c>
      <c r="AU8" s="1221">
        <f t="shared" si="7"/>
        <v>2197</v>
      </c>
      <c r="AV8" s="1128">
        <f t="shared" si="8"/>
        <v>26951</v>
      </c>
      <c r="AW8" s="1230">
        <f t="shared" si="9"/>
        <v>606</v>
      </c>
      <c r="AX8" s="1219">
        <f>HLOOKUP($A$1,$AG$3:$AR$403,ROW()-2,0)/HLOOKUP($A$1,$BD$3:$BO$403,ROW()-2,0)</f>
        <v>1.2576530612244898</v>
      </c>
      <c r="AY8" s="1219">
        <f t="shared" si="1"/>
        <v>1.1297367538564722</v>
      </c>
      <c r="AZ8" s="1129">
        <f t="shared" si="10"/>
        <v>2245.9166666666665</v>
      </c>
      <c r="BA8" s="1222">
        <f t="shared" ref="BA8:BA32" si="13">AZ8-AF8</f>
        <v>257.91666666666652</v>
      </c>
      <c r="BD8" s="1196">
        <f t="shared" si="11"/>
        <v>3000</v>
      </c>
      <c r="BE8" s="1196">
        <f t="shared" si="11"/>
        <v>2838</v>
      </c>
      <c r="BF8" s="1196">
        <f t="shared" si="11"/>
        <v>2838</v>
      </c>
      <c r="BG8" s="1196">
        <f t="shared" si="11"/>
        <v>2838</v>
      </c>
      <c r="BH8" s="1196">
        <f t="shared" si="11"/>
        <v>2838</v>
      </c>
      <c r="BI8" s="1196">
        <f t="shared" si="11"/>
        <v>2838</v>
      </c>
      <c r="BJ8" s="1196">
        <f t="shared" si="11"/>
        <v>2587</v>
      </c>
      <c r="BK8" s="1196">
        <f t="shared" si="11"/>
        <v>2468</v>
      </c>
      <c r="BL8" s="1196">
        <f t="shared" si="11"/>
        <v>2887</v>
      </c>
      <c r="BM8" s="1196">
        <f t="shared" si="11"/>
        <v>3948</v>
      </c>
      <c r="BN8" s="1196">
        <f t="shared" si="11"/>
        <v>2568</v>
      </c>
      <c r="BO8" s="1196">
        <f t="shared" si="11"/>
        <v>2352</v>
      </c>
      <c r="BQ8" s="1196"/>
      <c r="BR8" s="1196"/>
      <c r="BS8" s="1196"/>
      <c r="BT8" s="1196"/>
      <c r="BU8" s="1196"/>
      <c r="BV8" s="1196"/>
      <c r="BW8" s="1196"/>
      <c r="BX8" s="1196"/>
      <c r="BY8" s="1196"/>
      <c r="BZ8" s="1196"/>
      <c r="CA8" s="1196"/>
      <c r="CB8" s="1196"/>
    </row>
    <row r="9" spans="1:80" x14ac:dyDescent="0.55000000000000004">
      <c r="A9" s="7358"/>
      <c r="B9" s="7364"/>
      <c r="C9" s="1048" t="s">
        <v>810</v>
      </c>
      <c r="D9" s="430">
        <v>24000</v>
      </c>
      <c r="E9" s="1127">
        <v>1439</v>
      </c>
      <c r="F9" s="1127">
        <v>1684</v>
      </c>
      <c r="G9" s="1127">
        <v>2443</v>
      </c>
      <c r="H9" s="1127">
        <v>3100</v>
      </c>
      <c r="I9" s="1127">
        <v>1829</v>
      </c>
      <c r="J9" s="1127">
        <v>3547</v>
      </c>
      <c r="K9" s="1127">
        <v>1094</v>
      </c>
      <c r="L9" s="1127">
        <v>2425</v>
      </c>
      <c r="M9" s="1127">
        <v>1164</v>
      </c>
      <c r="N9" s="1127">
        <v>1018</v>
      </c>
      <c r="O9" s="1127">
        <v>1353</v>
      </c>
      <c r="P9" s="1127">
        <v>328</v>
      </c>
      <c r="Q9" s="1127">
        <f t="shared" si="0"/>
        <v>21424</v>
      </c>
      <c r="R9" s="1702">
        <f t="shared" si="3"/>
        <v>1785.3333333333333</v>
      </c>
      <c r="S9" s="1388">
        <v>1348</v>
      </c>
      <c r="T9" s="1127">
        <v>2051</v>
      </c>
      <c r="U9" s="1127">
        <v>1887</v>
      </c>
      <c r="V9" s="1127">
        <v>2578</v>
      </c>
      <c r="W9" s="1127">
        <v>1785</v>
      </c>
      <c r="X9" s="1127">
        <v>1696</v>
      </c>
      <c r="Y9" s="1127">
        <v>2031</v>
      </c>
      <c r="Z9" s="1127">
        <v>2201</v>
      </c>
      <c r="AA9" s="1127">
        <v>942</v>
      </c>
      <c r="AB9" s="1127">
        <v>1192</v>
      </c>
      <c r="AC9" s="1127">
        <v>1910</v>
      </c>
      <c r="AD9" s="1127">
        <v>1223</v>
      </c>
      <c r="AE9" s="1127">
        <f t="shared" si="4"/>
        <v>20844</v>
      </c>
      <c r="AF9" s="1702">
        <f t="shared" si="5"/>
        <v>1737</v>
      </c>
      <c r="AG9" s="1388">
        <v>1770</v>
      </c>
      <c r="AH9" s="1127">
        <v>3927</v>
      </c>
      <c r="AI9" s="1120">
        <v>2097</v>
      </c>
      <c r="AJ9" s="1127">
        <v>2052</v>
      </c>
      <c r="AK9" s="1120">
        <f t="shared" si="6"/>
        <v>2379</v>
      </c>
      <c r="AL9" s="1120">
        <v>2328</v>
      </c>
      <c r="AM9" s="1127">
        <v>2097</v>
      </c>
      <c r="AN9" s="1120">
        <v>2318</v>
      </c>
      <c r="AO9" s="1127">
        <v>2038</v>
      </c>
      <c r="AP9" s="1120">
        <v>1226</v>
      </c>
      <c r="AQ9" s="1127">
        <v>1881</v>
      </c>
      <c r="AR9" s="1127">
        <v>2197</v>
      </c>
      <c r="AS9" s="1714"/>
      <c r="AT9" s="1220">
        <f>HLOOKUP($A$1,$AG$3:$AS$505,ROW()-2,0)-HLOOKUP($A$1-1,$AG$3:$AS$505,ROW()-2,1)</f>
        <v>316</v>
      </c>
      <c r="AU9" s="1221">
        <f t="shared" si="7"/>
        <v>974</v>
      </c>
      <c r="AV9" s="1128">
        <f t="shared" si="8"/>
        <v>26310</v>
      </c>
      <c r="AW9" s="1231">
        <f t="shared" si="9"/>
        <v>650</v>
      </c>
      <c r="AX9" s="1219">
        <f>HLOOKUP($A$1,$AG$3:$AR$403,ROW()-2,0)/HLOOKUP($A$1,$BD$3:$BO$403,ROW()-2,0)</f>
        <v>1.4201680672268908</v>
      </c>
      <c r="AY9" s="1219">
        <f t="shared" si="1"/>
        <v>1.2622337363270006</v>
      </c>
      <c r="AZ9" s="1129">
        <f t="shared" si="10"/>
        <v>2192.5</v>
      </c>
      <c r="BA9" s="1222">
        <f t="shared" si="13"/>
        <v>455.5</v>
      </c>
      <c r="BD9" s="1196">
        <f t="shared" si="11"/>
        <v>1600</v>
      </c>
      <c r="BE9" s="1196">
        <f t="shared" si="11"/>
        <v>2139</v>
      </c>
      <c r="BF9" s="1196">
        <f t="shared" si="11"/>
        <v>1967</v>
      </c>
      <c r="BG9" s="1196">
        <f t="shared" si="11"/>
        <v>1967</v>
      </c>
      <c r="BH9" s="1196">
        <f t="shared" si="11"/>
        <v>1922</v>
      </c>
      <c r="BI9" s="1196">
        <f t="shared" si="11"/>
        <v>1922</v>
      </c>
      <c r="BJ9" s="1196">
        <f t="shared" si="11"/>
        <v>1929</v>
      </c>
      <c r="BK9" s="1196">
        <f t="shared" si="11"/>
        <v>1852</v>
      </c>
      <c r="BL9" s="1196">
        <f t="shared" si="11"/>
        <v>4099</v>
      </c>
      <c r="BM9" s="1196">
        <f t="shared" si="11"/>
        <v>2294</v>
      </c>
      <c r="BN9" s="1196">
        <f t="shared" si="11"/>
        <v>1862</v>
      </c>
      <c r="BO9" s="1196">
        <f t="shared" si="11"/>
        <v>1547</v>
      </c>
      <c r="BQ9" s="1196"/>
      <c r="BR9" s="1196"/>
      <c r="BS9" s="1196"/>
      <c r="BT9" s="1196"/>
      <c r="BU9" s="1196"/>
      <c r="BV9" s="1196"/>
      <c r="BW9" s="1196"/>
      <c r="BX9" s="1196"/>
      <c r="BY9" s="1196"/>
      <c r="BZ9" s="1196"/>
      <c r="CA9" s="1196"/>
      <c r="CB9" s="1196"/>
    </row>
    <row r="10" spans="1:80" x14ac:dyDescent="0.55000000000000004">
      <c r="A10" s="7358"/>
      <c r="B10" s="7364"/>
      <c r="C10" s="1048" t="s">
        <v>811</v>
      </c>
      <c r="D10" s="430">
        <v>108800</v>
      </c>
      <c r="E10" s="1127">
        <v>10932</v>
      </c>
      <c r="F10" s="1127">
        <v>5659</v>
      </c>
      <c r="G10" s="1127">
        <v>5073</v>
      </c>
      <c r="H10" s="1127">
        <v>10620</v>
      </c>
      <c r="I10" s="1127">
        <v>5758</v>
      </c>
      <c r="J10" s="1127">
        <v>9038</v>
      </c>
      <c r="K10" s="1127">
        <v>8318</v>
      </c>
      <c r="L10" s="1127">
        <v>10016</v>
      </c>
      <c r="M10" s="1127">
        <v>11650</v>
      </c>
      <c r="N10" s="1127">
        <v>7875</v>
      </c>
      <c r="O10" s="1127">
        <v>9913</v>
      </c>
      <c r="P10" s="1127">
        <v>8568</v>
      </c>
      <c r="Q10" s="1127">
        <f t="shared" si="0"/>
        <v>103420</v>
      </c>
      <c r="R10" s="1702">
        <f t="shared" si="3"/>
        <v>8618.3333333333339</v>
      </c>
      <c r="S10" s="1388">
        <v>10965</v>
      </c>
      <c r="T10" s="1127">
        <v>3910</v>
      </c>
      <c r="U10" s="1127">
        <v>5353</v>
      </c>
      <c r="V10" s="1127">
        <v>2833</v>
      </c>
      <c r="W10" s="1127">
        <v>5360</v>
      </c>
      <c r="X10" s="1127">
        <v>4278</v>
      </c>
      <c r="Y10" s="1127">
        <v>5173</v>
      </c>
      <c r="Z10" s="1127">
        <v>5225</v>
      </c>
      <c r="AA10" s="1127">
        <v>3683</v>
      </c>
      <c r="AB10" s="1127">
        <v>4845</v>
      </c>
      <c r="AC10" s="1127">
        <v>5666</v>
      </c>
      <c r="AD10" s="1127">
        <v>6492</v>
      </c>
      <c r="AE10" s="1127">
        <f t="shared" si="4"/>
        <v>63783</v>
      </c>
      <c r="AF10" s="1702">
        <f t="shared" si="5"/>
        <v>5315.25</v>
      </c>
      <c r="AG10" s="1388">
        <v>5549</v>
      </c>
      <c r="AH10" s="1127">
        <v>3086</v>
      </c>
      <c r="AI10" s="1120">
        <v>2922</v>
      </c>
      <c r="AJ10" s="1127">
        <v>11432</v>
      </c>
      <c r="AK10" s="1120">
        <f t="shared" si="6"/>
        <v>7692</v>
      </c>
      <c r="AL10" s="1120">
        <v>7756</v>
      </c>
      <c r="AM10" s="1127">
        <v>6991</v>
      </c>
      <c r="AN10" s="1120">
        <v>5540</v>
      </c>
      <c r="AO10" s="1127">
        <v>8871</v>
      </c>
      <c r="AP10" s="1120">
        <v>3125</v>
      </c>
      <c r="AQ10" s="1127">
        <v>4673</v>
      </c>
      <c r="AR10" s="1127">
        <v>5204</v>
      </c>
      <c r="AS10" s="1714"/>
      <c r="AT10" s="1220">
        <f t="shared" si="12"/>
        <v>531</v>
      </c>
      <c r="AU10" s="1221">
        <f t="shared" si="7"/>
        <v>-1288</v>
      </c>
      <c r="AV10" s="1128">
        <f t="shared" si="8"/>
        <v>72841</v>
      </c>
      <c r="AW10" s="1231">
        <f>HLOOKUP($A$1,$AG$3:$AR$403,ROW()-2,0)-HLOOKUP($A$1,$BD$3:$BO$403,ROW()-2,0)</f>
        <v>-3566</v>
      </c>
      <c r="AX10" s="1219">
        <f>HLOOKUP($A$1,$AG$3:$AR$403,ROW()-2,0)/HLOOKUP($A$1,$BD$3:$BO$403,ROW()-2,0)</f>
        <v>0.59338654503990873</v>
      </c>
      <c r="AY10" s="1219">
        <f t="shared" si="1"/>
        <v>1.1420127620212281</v>
      </c>
      <c r="AZ10" s="1129">
        <f t="shared" si="10"/>
        <v>6070.083333333333</v>
      </c>
      <c r="BA10" s="1222">
        <f t="shared" si="13"/>
        <v>754.83333333333303</v>
      </c>
      <c r="BD10" s="1196">
        <f t="shared" si="11"/>
        <v>7170</v>
      </c>
      <c r="BE10" s="1196">
        <f t="shared" si="11"/>
        <v>5180</v>
      </c>
      <c r="BF10" s="1196">
        <f t="shared" si="11"/>
        <v>8760</v>
      </c>
      <c r="BG10" s="1196">
        <f t="shared" si="11"/>
        <v>8760</v>
      </c>
      <c r="BH10" s="1196">
        <f t="shared" si="11"/>
        <v>11160</v>
      </c>
      <c r="BI10" s="1196">
        <f t="shared" si="11"/>
        <v>5180</v>
      </c>
      <c r="BJ10" s="1196">
        <f t="shared" si="11"/>
        <v>8770</v>
      </c>
      <c r="BK10" s="1196">
        <f t="shared" si="11"/>
        <v>8760</v>
      </c>
      <c r="BL10" s="1196">
        <f t="shared" si="11"/>
        <v>5180</v>
      </c>
      <c r="BM10" s="1196">
        <f t="shared" si="11"/>
        <v>8760</v>
      </c>
      <c r="BN10" s="1196">
        <f t="shared" si="11"/>
        <v>13550</v>
      </c>
      <c r="BO10" s="1196">
        <f t="shared" si="11"/>
        <v>8770</v>
      </c>
      <c r="BQ10" s="1196"/>
      <c r="BR10" s="1196"/>
      <c r="BS10" s="1196"/>
      <c r="BT10" s="1196"/>
      <c r="BU10" s="1196"/>
      <c r="BV10" s="1196"/>
      <c r="BW10" s="1196"/>
      <c r="BX10" s="1196"/>
      <c r="BY10" s="1196"/>
      <c r="BZ10" s="1196"/>
      <c r="CA10" s="1196"/>
      <c r="CB10" s="1196"/>
    </row>
    <row r="11" spans="1:80" x14ac:dyDescent="0.55000000000000004">
      <c r="A11" s="7358"/>
      <c r="B11" s="7364"/>
      <c r="C11" s="1048" t="s">
        <v>812</v>
      </c>
      <c r="D11" s="430">
        <v>7668.1</v>
      </c>
      <c r="E11" s="1127">
        <v>793</v>
      </c>
      <c r="F11" s="1127">
        <v>812</v>
      </c>
      <c r="G11" s="1127">
        <v>610</v>
      </c>
      <c r="H11" s="1127">
        <v>398</v>
      </c>
      <c r="I11" s="1127">
        <v>693</v>
      </c>
      <c r="J11" s="1127">
        <v>1064</v>
      </c>
      <c r="K11" s="1127">
        <v>512</v>
      </c>
      <c r="L11" s="1127">
        <v>607</v>
      </c>
      <c r="M11" s="1127">
        <v>381</v>
      </c>
      <c r="N11" s="1127">
        <v>470</v>
      </c>
      <c r="O11" s="1127">
        <v>344</v>
      </c>
      <c r="P11" s="1127">
        <v>287</v>
      </c>
      <c r="Q11" s="1127">
        <f t="shared" si="0"/>
        <v>6971</v>
      </c>
      <c r="R11" s="1702">
        <f t="shared" si="3"/>
        <v>580.91666666666663</v>
      </c>
      <c r="S11" s="1388">
        <v>307</v>
      </c>
      <c r="T11" s="1127">
        <v>275</v>
      </c>
      <c r="U11" s="1127">
        <v>430</v>
      </c>
      <c r="V11" s="1127">
        <v>365</v>
      </c>
      <c r="W11" s="1127">
        <v>304</v>
      </c>
      <c r="X11" s="1127">
        <v>597</v>
      </c>
      <c r="Y11" s="1127">
        <v>756</v>
      </c>
      <c r="Z11" s="1127">
        <v>538</v>
      </c>
      <c r="AA11" s="1127">
        <v>1119</v>
      </c>
      <c r="AB11" s="1127">
        <v>293</v>
      </c>
      <c r="AC11" s="1127">
        <v>496</v>
      </c>
      <c r="AD11" s="1127">
        <v>368</v>
      </c>
      <c r="AE11" s="1127">
        <f t="shared" si="4"/>
        <v>5848</v>
      </c>
      <c r="AF11" s="1702">
        <f t="shared" si="5"/>
        <v>487.33333333333331</v>
      </c>
      <c r="AG11" s="1388">
        <v>364</v>
      </c>
      <c r="AH11" s="1127">
        <v>368</v>
      </c>
      <c r="AI11" s="1120">
        <v>1229</v>
      </c>
      <c r="AJ11" s="1127">
        <v>276</v>
      </c>
      <c r="AK11" s="1120">
        <f t="shared" si="6"/>
        <v>770</v>
      </c>
      <c r="AL11" s="1120">
        <v>527</v>
      </c>
      <c r="AM11" s="1127">
        <v>2480</v>
      </c>
      <c r="AN11" s="1120">
        <v>417</v>
      </c>
      <c r="AO11" s="1127">
        <v>650</v>
      </c>
      <c r="AP11" s="1120">
        <v>511</v>
      </c>
      <c r="AQ11" s="1127">
        <v>3155</v>
      </c>
      <c r="AR11" s="1127">
        <v>2175</v>
      </c>
      <c r="AS11" s="1714"/>
      <c r="AT11" s="1220">
        <f t="shared" si="12"/>
        <v>-980</v>
      </c>
      <c r="AU11" s="1221">
        <f t="shared" si="7"/>
        <v>1807</v>
      </c>
      <c r="AV11" s="1128">
        <f t="shared" si="8"/>
        <v>12922</v>
      </c>
      <c r="AW11" s="1231" t="s">
        <v>482</v>
      </c>
      <c r="AX11" s="1219" t="s">
        <v>482</v>
      </c>
      <c r="AY11" s="1219">
        <f t="shared" si="1"/>
        <v>2.2096443228454175</v>
      </c>
      <c r="AZ11" s="1129">
        <f>AV11/($A$1-0.001)</f>
        <v>1076.8333333333333</v>
      </c>
      <c r="BA11" s="1222">
        <f t="shared" si="13"/>
        <v>589.5</v>
      </c>
      <c r="BD11" s="1197"/>
      <c r="BE11" s="1197"/>
      <c r="BF11" s="1197"/>
      <c r="BG11" s="1197"/>
      <c r="BH11" s="1197"/>
      <c r="BI11" s="1197"/>
      <c r="BJ11" s="1197"/>
      <c r="BK11" s="1197"/>
      <c r="BL11" s="1197"/>
      <c r="BM11" s="1197"/>
      <c r="BN11" s="1197"/>
      <c r="BO11" s="1197"/>
      <c r="BQ11" s="1197"/>
      <c r="BR11" s="1197"/>
      <c r="BS11" s="1197"/>
      <c r="BT11" s="1197"/>
      <c r="BU11" s="1197"/>
      <c r="BV11" s="1197"/>
      <c r="BW11" s="1197"/>
      <c r="BX11" s="1197"/>
      <c r="BY11" s="1197"/>
      <c r="BZ11" s="1197"/>
      <c r="CA11" s="1197"/>
      <c r="CB11" s="1197"/>
    </row>
    <row r="12" spans="1:80" x14ac:dyDescent="0.55000000000000004">
      <c r="A12" s="7358"/>
      <c r="B12" s="7364"/>
      <c r="C12" s="1048" t="s">
        <v>813</v>
      </c>
      <c r="D12" s="430">
        <v>16131.500000000002</v>
      </c>
      <c r="E12" s="1127">
        <v>1991</v>
      </c>
      <c r="F12" s="1127">
        <v>1896</v>
      </c>
      <c r="G12" s="1127">
        <v>1892</v>
      </c>
      <c r="H12" s="1127">
        <v>2328</v>
      </c>
      <c r="I12" s="1127">
        <v>2000</v>
      </c>
      <c r="J12" s="1127">
        <v>4403</v>
      </c>
      <c r="K12" s="1127">
        <v>-253</v>
      </c>
      <c r="L12" s="1127">
        <v>1375</v>
      </c>
      <c r="M12" s="1127">
        <v>-1340</v>
      </c>
      <c r="N12" s="1127">
        <v>29</v>
      </c>
      <c r="O12" s="1127">
        <v>447</v>
      </c>
      <c r="P12" s="1127">
        <v>-103</v>
      </c>
      <c r="Q12" s="1127">
        <f t="shared" si="0"/>
        <v>14665</v>
      </c>
      <c r="R12" s="1702">
        <f t="shared" si="3"/>
        <v>1222.0833333333333</v>
      </c>
      <c r="S12" s="1388">
        <v>1560</v>
      </c>
      <c r="T12" s="1127">
        <v>1036</v>
      </c>
      <c r="U12" s="1127">
        <v>1247</v>
      </c>
      <c r="V12" s="1127">
        <v>1351</v>
      </c>
      <c r="W12" s="1127">
        <v>330</v>
      </c>
      <c r="X12" s="1127">
        <v>1906</v>
      </c>
      <c r="Y12" s="1127">
        <v>1994</v>
      </c>
      <c r="Z12" s="1127">
        <v>2385</v>
      </c>
      <c r="AA12" s="1127">
        <v>1459</v>
      </c>
      <c r="AB12" s="1127">
        <v>525</v>
      </c>
      <c r="AC12" s="1127">
        <v>1321</v>
      </c>
      <c r="AD12" s="1127">
        <v>753</v>
      </c>
      <c r="AE12" s="1127">
        <f t="shared" si="4"/>
        <v>15867</v>
      </c>
      <c r="AF12" s="1702">
        <f t="shared" si="5"/>
        <v>1322.25</v>
      </c>
      <c r="AG12" s="1388">
        <v>377</v>
      </c>
      <c r="AH12" s="1127">
        <v>216</v>
      </c>
      <c r="AI12" s="1120">
        <v>1511</v>
      </c>
      <c r="AJ12" s="1127">
        <v>719</v>
      </c>
      <c r="AK12" s="1120">
        <f t="shared" si="6"/>
        <v>709</v>
      </c>
      <c r="AL12" s="1120">
        <v>504</v>
      </c>
      <c r="AM12" s="1127">
        <v>2206</v>
      </c>
      <c r="AN12" s="1120">
        <v>-50</v>
      </c>
      <c r="AO12" s="1127">
        <v>890</v>
      </c>
      <c r="AP12" s="1120">
        <v>359</v>
      </c>
      <c r="AQ12" s="1127">
        <v>3977</v>
      </c>
      <c r="AR12" s="1127">
        <v>69</v>
      </c>
      <c r="AS12" s="1714"/>
      <c r="AT12" s="1220">
        <f t="shared" si="12"/>
        <v>-3908</v>
      </c>
      <c r="AU12" s="1221">
        <f t="shared" si="7"/>
        <v>-684</v>
      </c>
      <c r="AV12" s="1128">
        <f t="shared" si="8"/>
        <v>11487</v>
      </c>
      <c r="AW12" s="1231" t="s">
        <v>482</v>
      </c>
      <c r="AX12" s="1219" t="s">
        <v>482</v>
      </c>
      <c r="AY12" s="1219">
        <f t="shared" si="1"/>
        <v>0.72395537908867458</v>
      </c>
      <c r="AZ12" s="1129">
        <f t="shared" si="10"/>
        <v>957.25</v>
      </c>
      <c r="BA12" s="1222">
        <f t="shared" si="13"/>
        <v>-365</v>
      </c>
      <c r="BD12" s="1197"/>
      <c r="BE12" s="1197"/>
      <c r="BF12" s="1197"/>
      <c r="BG12" s="1197"/>
      <c r="BH12" s="1197"/>
      <c r="BI12" s="1197"/>
      <c r="BJ12" s="1197"/>
      <c r="BK12" s="1197"/>
      <c r="BL12" s="1197"/>
      <c r="BM12" s="1197"/>
      <c r="BN12" s="1197"/>
      <c r="BO12" s="1197"/>
      <c r="BQ12" s="1197"/>
      <c r="BR12" s="1197"/>
      <c r="BS12" s="1197"/>
      <c r="BT12" s="1197"/>
      <c r="BU12" s="1197"/>
      <c r="BV12" s="1197"/>
      <c r="BW12" s="1197"/>
      <c r="BX12" s="1197"/>
      <c r="BY12" s="1197"/>
      <c r="BZ12" s="1197"/>
      <c r="CA12" s="1197"/>
      <c r="CB12" s="1197"/>
    </row>
    <row r="13" spans="1:80" x14ac:dyDescent="0.55000000000000004">
      <c r="A13" s="7358"/>
      <c r="B13" s="7364"/>
      <c r="C13" s="1048" t="s">
        <v>103</v>
      </c>
      <c r="D13" s="430">
        <v>8000</v>
      </c>
      <c r="E13" s="1127">
        <v>0</v>
      </c>
      <c r="F13" s="1127">
        <v>0</v>
      </c>
      <c r="G13" s="1127">
        <v>0</v>
      </c>
      <c r="H13" s="1127">
        <v>0</v>
      </c>
      <c r="I13" s="1127">
        <v>0</v>
      </c>
      <c r="J13" s="1127">
        <v>0</v>
      </c>
      <c r="K13" s="1127">
        <v>0</v>
      </c>
      <c r="L13" s="1127">
        <v>0</v>
      </c>
      <c r="M13" s="1127">
        <v>0</v>
      </c>
      <c r="N13" s="1127">
        <v>0</v>
      </c>
      <c r="O13" s="1127">
        <v>0</v>
      </c>
      <c r="P13" s="1127">
        <v>0</v>
      </c>
      <c r="Q13" s="1127">
        <f t="shared" si="0"/>
        <v>0</v>
      </c>
      <c r="R13" s="1702">
        <f t="shared" si="3"/>
        <v>0</v>
      </c>
      <c r="S13" s="1388">
        <v>0</v>
      </c>
      <c r="T13" s="1127">
        <v>1</v>
      </c>
      <c r="U13" s="1127">
        <v>20</v>
      </c>
      <c r="V13" s="1127">
        <v>275</v>
      </c>
      <c r="W13" s="1127">
        <v>97</v>
      </c>
      <c r="X13" s="1127">
        <v>1</v>
      </c>
      <c r="Y13" s="1127">
        <v>1250</v>
      </c>
      <c r="Z13" s="1127">
        <v>3</v>
      </c>
      <c r="AA13" s="1127">
        <v>352</v>
      </c>
      <c r="AB13" s="1127">
        <v>6</v>
      </c>
      <c r="AC13" s="1127">
        <v>89</v>
      </c>
      <c r="AD13" s="1127">
        <v>0</v>
      </c>
      <c r="AE13" s="1127">
        <f t="shared" si="4"/>
        <v>2094</v>
      </c>
      <c r="AF13" s="1702">
        <f t="shared" si="5"/>
        <v>174.5</v>
      </c>
      <c r="AG13" s="1388">
        <v>81</v>
      </c>
      <c r="AH13" s="1127">
        <v>190</v>
      </c>
      <c r="AI13" s="1120">
        <v>36</v>
      </c>
      <c r="AJ13" s="1127">
        <v>196</v>
      </c>
      <c r="AK13" s="1120">
        <f t="shared" si="6"/>
        <v>101</v>
      </c>
      <c r="AL13" s="1120">
        <v>242</v>
      </c>
      <c r="AM13" s="1127">
        <v>413</v>
      </c>
      <c r="AN13" s="1120">
        <v>166</v>
      </c>
      <c r="AO13" s="1127">
        <v>621</v>
      </c>
      <c r="AP13" s="1120">
        <v>172</v>
      </c>
      <c r="AQ13" s="1127">
        <v>116</v>
      </c>
      <c r="AR13" s="1127">
        <v>232</v>
      </c>
      <c r="AS13" s="1714"/>
      <c r="AT13" s="1220">
        <f t="shared" si="12"/>
        <v>116</v>
      </c>
      <c r="AU13" s="1221">
        <f t="shared" si="7"/>
        <v>232</v>
      </c>
      <c r="AV13" s="1128">
        <f t="shared" si="8"/>
        <v>2566</v>
      </c>
      <c r="AW13" s="1231" t="s">
        <v>482</v>
      </c>
      <c r="AX13" s="1219" t="s">
        <v>482</v>
      </c>
      <c r="AY13" s="1219">
        <f t="shared" si="1"/>
        <v>1.2254059216809934</v>
      </c>
      <c r="AZ13" s="1129">
        <f t="shared" si="10"/>
        <v>213.83333333333334</v>
      </c>
      <c r="BA13" s="1222">
        <f t="shared" si="13"/>
        <v>39.333333333333343</v>
      </c>
      <c r="BD13" s="1197"/>
      <c r="BE13" s="1197"/>
      <c r="BF13" s="1197"/>
      <c r="BG13" s="1197"/>
      <c r="BH13" s="1197"/>
      <c r="BI13" s="1197"/>
      <c r="BJ13" s="1197"/>
      <c r="BK13" s="1197"/>
      <c r="BL13" s="1197"/>
      <c r="BM13" s="1197"/>
      <c r="BN13" s="1197"/>
      <c r="BO13" s="1197"/>
      <c r="BQ13" s="1197"/>
      <c r="BR13" s="1197"/>
      <c r="BS13" s="1197"/>
      <c r="BT13" s="1197"/>
      <c r="BU13" s="1197"/>
      <c r="BV13" s="1197"/>
      <c r="BW13" s="1197"/>
      <c r="BX13" s="1197"/>
      <c r="BY13" s="1197"/>
      <c r="BZ13" s="1197"/>
      <c r="CA13" s="1197"/>
      <c r="CB13" s="1197"/>
    </row>
    <row r="14" spans="1:80" x14ac:dyDescent="0.55000000000000004">
      <c r="A14" s="7358"/>
      <c r="B14" s="7365"/>
      <c r="C14" s="1246" t="s">
        <v>814</v>
      </c>
      <c r="D14" s="1688">
        <v>0</v>
      </c>
      <c r="E14" s="1127">
        <v>0</v>
      </c>
      <c r="F14" s="1127">
        <v>0</v>
      </c>
      <c r="G14" s="1127">
        <v>0</v>
      </c>
      <c r="H14" s="1127">
        <v>0</v>
      </c>
      <c r="I14" s="1127">
        <v>43</v>
      </c>
      <c r="J14" s="1127">
        <v>15</v>
      </c>
      <c r="K14" s="1127">
        <v>38</v>
      </c>
      <c r="L14" s="1127">
        <v>1</v>
      </c>
      <c r="M14" s="1127">
        <v>38</v>
      </c>
      <c r="N14" s="1127">
        <v>0</v>
      </c>
      <c r="O14" s="1127">
        <v>63</v>
      </c>
      <c r="P14" s="1127">
        <v>0</v>
      </c>
      <c r="Q14" s="1127">
        <f t="shared" si="0"/>
        <v>198</v>
      </c>
      <c r="R14" s="1702">
        <f t="shared" si="3"/>
        <v>16.5</v>
      </c>
      <c r="S14" s="1389">
        <v>0</v>
      </c>
      <c r="T14" s="1223">
        <v>4</v>
      </c>
      <c r="U14" s="1223">
        <v>40</v>
      </c>
      <c r="V14" s="1223">
        <v>73</v>
      </c>
      <c r="W14" s="1223">
        <v>6</v>
      </c>
      <c r="X14" s="1223">
        <v>0</v>
      </c>
      <c r="Y14" s="1223">
        <v>0</v>
      </c>
      <c r="Z14" s="1223">
        <v>0</v>
      </c>
      <c r="AA14" s="1223">
        <v>0</v>
      </c>
      <c r="AB14" s="1223">
        <v>0</v>
      </c>
      <c r="AC14" s="1223">
        <v>0</v>
      </c>
      <c r="AD14" s="1223">
        <v>0</v>
      </c>
      <c r="AE14" s="1127">
        <f t="shared" si="4"/>
        <v>123</v>
      </c>
      <c r="AF14" s="1702">
        <f t="shared" si="5"/>
        <v>10.25</v>
      </c>
      <c r="AG14" s="1389">
        <v>4</v>
      </c>
      <c r="AH14" s="1223">
        <v>0</v>
      </c>
      <c r="AI14" s="1223">
        <v>24</v>
      </c>
      <c r="AJ14" s="1223">
        <v>16</v>
      </c>
      <c r="AK14" s="1223">
        <f t="shared" si="6"/>
        <v>21</v>
      </c>
      <c r="AL14" s="1223">
        <v>0</v>
      </c>
      <c r="AM14" s="1223">
        <v>0</v>
      </c>
      <c r="AN14" s="1223">
        <v>0</v>
      </c>
      <c r="AO14" s="1223">
        <v>0</v>
      </c>
      <c r="AP14" s="1223">
        <v>0</v>
      </c>
      <c r="AQ14" s="1223">
        <v>0</v>
      </c>
      <c r="AR14" s="1223">
        <v>0</v>
      </c>
      <c r="AS14" s="1715"/>
      <c r="AT14" s="1224">
        <f t="shared" si="12"/>
        <v>0</v>
      </c>
      <c r="AU14" s="1225">
        <f t="shared" si="7"/>
        <v>0</v>
      </c>
      <c r="AV14" s="1226">
        <f>SUM(AG14:AR14)</f>
        <v>65</v>
      </c>
      <c r="AW14" s="1232" t="s">
        <v>482</v>
      </c>
      <c r="AX14" s="1219" t="s">
        <v>482</v>
      </c>
      <c r="AY14" s="1227">
        <f t="shared" si="1"/>
        <v>0.52845528455284552</v>
      </c>
      <c r="AZ14" s="1228">
        <f t="shared" si="10"/>
        <v>5.416666666666667</v>
      </c>
      <c r="BA14" s="1229">
        <f t="shared" si="13"/>
        <v>-4.833333333333333</v>
      </c>
      <c r="BD14" s="1197"/>
      <c r="BE14" s="1197"/>
      <c r="BF14" s="1197"/>
      <c r="BG14" s="1197"/>
      <c r="BH14" s="1197"/>
      <c r="BI14" s="1197"/>
      <c r="BJ14" s="1197"/>
      <c r="BK14" s="1197"/>
      <c r="BL14" s="1197"/>
      <c r="BM14" s="1197"/>
      <c r="BN14" s="1197"/>
      <c r="BO14" s="1197"/>
      <c r="BQ14" s="1197"/>
      <c r="BR14" s="1197"/>
      <c r="BS14" s="1197"/>
      <c r="BT14" s="1197"/>
      <c r="BU14" s="1197"/>
      <c r="BV14" s="1197"/>
      <c r="BW14" s="1197"/>
      <c r="BX14" s="1197"/>
      <c r="BY14" s="1197"/>
      <c r="BZ14" s="1197"/>
      <c r="CA14" s="1197"/>
      <c r="CB14" s="1197"/>
    </row>
    <row r="15" spans="1:80" x14ac:dyDescent="0.55000000000000004">
      <c r="A15" s="7358"/>
      <c r="B15" s="7366" t="s">
        <v>815</v>
      </c>
      <c r="C15" s="1279" t="s">
        <v>1052</v>
      </c>
      <c r="D15" s="1689"/>
      <c r="E15" s="1689">
        <v>2264</v>
      </c>
      <c r="F15" s="1689">
        <v>1805</v>
      </c>
      <c r="G15" s="1689">
        <v>1468</v>
      </c>
      <c r="H15" s="1689">
        <v>1036</v>
      </c>
      <c r="I15" s="1689">
        <v>674</v>
      </c>
      <c r="J15" s="1689">
        <v>776</v>
      </c>
      <c r="K15" s="1689">
        <v>478</v>
      </c>
      <c r="L15" s="1689">
        <v>638</v>
      </c>
      <c r="M15" s="1689">
        <v>3796</v>
      </c>
      <c r="N15" s="1689">
        <v>4342</v>
      </c>
      <c r="O15" s="1689">
        <v>494</v>
      </c>
      <c r="P15" s="1689">
        <v>360</v>
      </c>
      <c r="Q15" s="1689">
        <f t="shared" si="0"/>
        <v>18131</v>
      </c>
      <c r="R15" s="1707">
        <f t="shared" si="3"/>
        <v>1510.9166666666667</v>
      </c>
      <c r="S15" s="1709">
        <v>1147</v>
      </c>
      <c r="T15" s="1689">
        <v>1094</v>
      </c>
      <c r="U15" s="1689">
        <v>548</v>
      </c>
      <c r="V15" s="1689">
        <v>1658</v>
      </c>
      <c r="W15" s="1689">
        <v>432</v>
      </c>
      <c r="X15" s="1689">
        <v>664</v>
      </c>
      <c r="Y15" s="1689">
        <v>998</v>
      </c>
      <c r="Z15" s="1689">
        <v>1818</v>
      </c>
      <c r="AA15" s="1689">
        <v>965</v>
      </c>
      <c r="AB15" s="1689">
        <v>4864</v>
      </c>
      <c r="AC15" s="1689">
        <v>1223</v>
      </c>
      <c r="AD15" s="1689">
        <v>650</v>
      </c>
      <c r="AE15" s="1689">
        <f t="shared" si="4"/>
        <v>16061</v>
      </c>
      <c r="AF15" s="1707">
        <f t="shared" si="5"/>
        <v>1338.4166666666667</v>
      </c>
      <c r="AG15" s="1942">
        <v>614</v>
      </c>
      <c r="AH15" s="2154">
        <v>1037</v>
      </c>
      <c r="AI15" s="2224">
        <v>2255</v>
      </c>
      <c r="AJ15" s="1248">
        <v>915</v>
      </c>
      <c r="AK15" s="1248">
        <v>781</v>
      </c>
      <c r="AL15" s="1248">
        <v>562</v>
      </c>
      <c r="AM15" s="1248">
        <v>984</v>
      </c>
      <c r="AN15" s="1248">
        <v>368</v>
      </c>
      <c r="AO15" s="1248">
        <v>776</v>
      </c>
      <c r="AP15" s="1248">
        <v>3416</v>
      </c>
      <c r="AQ15" s="1248">
        <v>3718</v>
      </c>
      <c r="AR15" s="1248">
        <v>605</v>
      </c>
      <c r="AS15" s="1716"/>
      <c r="AT15" s="1250">
        <f t="shared" si="12"/>
        <v>-3113</v>
      </c>
      <c r="AU15" s="1251">
        <f t="shared" si="7"/>
        <v>-45</v>
      </c>
      <c r="AV15" s="1252">
        <f t="shared" si="8"/>
        <v>16031</v>
      </c>
      <c r="AW15" s="1233">
        <f t="shared" si="9"/>
        <v>-95</v>
      </c>
      <c r="AX15" s="1218">
        <f>HLOOKUP($A$1,$AG$3:$AR$403,ROW()-2,0)/HLOOKUP($A$1,$BD$3:$BO$403,ROW()-2,0)</f>
        <v>0.86428571428571432</v>
      </c>
      <c r="AY15" s="1249">
        <f t="shared" si="1"/>
        <v>0.9981321212875911</v>
      </c>
      <c r="AZ15" s="1253">
        <f t="shared" si="10"/>
        <v>1335.9166666666667</v>
      </c>
      <c r="BA15" s="1254">
        <f t="shared" si="13"/>
        <v>-2.5</v>
      </c>
      <c r="BD15" s="1198">
        <v>1400</v>
      </c>
      <c r="BE15" s="1199">
        <v>1260</v>
      </c>
      <c r="BF15" s="1199">
        <v>1400</v>
      </c>
      <c r="BG15" s="1199">
        <v>1400</v>
      </c>
      <c r="BH15" s="1199">
        <v>1400</v>
      </c>
      <c r="BI15" s="1199">
        <v>1400</v>
      </c>
      <c r="BJ15" s="1199">
        <v>870</v>
      </c>
      <c r="BK15" s="1199">
        <v>870</v>
      </c>
      <c r="BL15" s="1199">
        <v>1300</v>
      </c>
      <c r="BM15" s="1199">
        <v>2500</v>
      </c>
      <c r="BN15" s="1199">
        <v>1000</v>
      </c>
      <c r="BO15" s="1200">
        <v>700</v>
      </c>
      <c r="BQ15" s="1197"/>
      <c r="BR15" s="1197"/>
      <c r="BS15" s="1197"/>
      <c r="BT15" s="1197"/>
      <c r="BU15" s="1197"/>
      <c r="BV15" s="1197"/>
      <c r="BW15" s="1197"/>
      <c r="BX15" s="1197"/>
      <c r="BY15" s="1197"/>
      <c r="BZ15" s="1197"/>
      <c r="CA15" s="1197"/>
      <c r="CB15" s="1197"/>
    </row>
    <row r="16" spans="1:80" x14ac:dyDescent="0.55000000000000004">
      <c r="A16" s="7358"/>
      <c r="B16" s="7367"/>
      <c r="C16" s="1593" t="s">
        <v>808</v>
      </c>
      <c r="D16" s="554">
        <v>12600</v>
      </c>
      <c r="E16" s="554">
        <v>2001</v>
      </c>
      <c r="F16" s="554">
        <v>1578</v>
      </c>
      <c r="G16" s="554">
        <v>1303</v>
      </c>
      <c r="H16" s="554">
        <v>868</v>
      </c>
      <c r="I16" s="554">
        <v>548</v>
      </c>
      <c r="J16" s="554">
        <v>657</v>
      </c>
      <c r="K16" s="554">
        <v>359</v>
      </c>
      <c r="L16" s="554">
        <v>308</v>
      </c>
      <c r="M16" s="554">
        <v>133</v>
      </c>
      <c r="N16" s="554">
        <v>296</v>
      </c>
      <c r="O16" s="554">
        <v>223</v>
      </c>
      <c r="P16" s="554">
        <v>121</v>
      </c>
      <c r="Q16" s="554">
        <f t="shared" si="0"/>
        <v>8395</v>
      </c>
      <c r="R16" s="1641">
        <f t="shared" si="3"/>
        <v>699.58333333333337</v>
      </c>
      <c r="S16" s="1640">
        <v>520</v>
      </c>
      <c r="T16" s="554">
        <v>911</v>
      </c>
      <c r="U16" s="554">
        <v>403</v>
      </c>
      <c r="V16" s="554">
        <v>208</v>
      </c>
      <c r="W16" s="554">
        <v>216</v>
      </c>
      <c r="X16" s="554">
        <v>475</v>
      </c>
      <c r="Y16" s="554">
        <v>335</v>
      </c>
      <c r="Z16" s="554">
        <v>1496</v>
      </c>
      <c r="AA16" s="554">
        <v>416</v>
      </c>
      <c r="AB16" s="554">
        <v>559</v>
      </c>
      <c r="AC16" s="554">
        <v>439</v>
      </c>
      <c r="AD16" s="554">
        <v>534</v>
      </c>
      <c r="AE16" s="554">
        <f t="shared" si="4"/>
        <v>6512</v>
      </c>
      <c r="AF16" s="1641">
        <f t="shared" si="5"/>
        <v>542.66666666666663</v>
      </c>
      <c r="AG16" s="1943">
        <v>463</v>
      </c>
      <c r="AH16" s="2155">
        <v>459</v>
      </c>
      <c r="AI16" s="1125">
        <f>2255-792</f>
        <v>1463</v>
      </c>
      <c r="AJ16" s="1256">
        <v>702</v>
      </c>
      <c r="AK16" s="1208">
        <f>781-259</f>
        <v>522</v>
      </c>
      <c r="AL16" s="1208">
        <f>562-246</f>
        <v>316</v>
      </c>
      <c r="AM16" s="1256">
        <v>375</v>
      </c>
      <c r="AN16" s="1208">
        <f>368-152</f>
        <v>216</v>
      </c>
      <c r="AO16" s="1256">
        <v>530</v>
      </c>
      <c r="AP16" s="1208">
        <v>292</v>
      </c>
      <c r="AQ16" s="1256">
        <v>707</v>
      </c>
      <c r="AR16" s="1256">
        <v>359</v>
      </c>
      <c r="AS16" s="1714"/>
      <c r="AT16" s="1257">
        <f t="shared" si="12"/>
        <v>-348</v>
      </c>
      <c r="AU16" s="1258">
        <f t="shared" si="7"/>
        <v>-175</v>
      </c>
      <c r="AV16" s="1259">
        <f t="shared" si="8"/>
        <v>6404</v>
      </c>
      <c r="AW16" s="1230">
        <f t="shared" si="9"/>
        <v>59</v>
      </c>
      <c r="AX16" s="1130">
        <f>HLOOKUP($A$1,$AG$3:$AR$403,ROW()-2,0)/HLOOKUP($A$1,$BD$3:$BO$403,ROW()-2,0)</f>
        <v>1.1966666666666668</v>
      </c>
      <c r="AY16" s="439">
        <f t="shared" si="1"/>
        <v>0.9834152334152334</v>
      </c>
      <c r="AZ16" s="1260">
        <f t="shared" si="10"/>
        <v>533.66666666666663</v>
      </c>
      <c r="BA16" s="1261">
        <f t="shared" si="13"/>
        <v>-9</v>
      </c>
      <c r="BD16" s="1198">
        <v>530</v>
      </c>
      <c r="BE16" s="1199">
        <v>390</v>
      </c>
      <c r="BF16" s="1199">
        <v>530</v>
      </c>
      <c r="BG16" s="1199">
        <v>530</v>
      </c>
      <c r="BH16" s="1199">
        <v>530</v>
      </c>
      <c r="BI16" s="1199">
        <v>530</v>
      </c>
      <c r="BJ16" s="1199">
        <v>370</v>
      </c>
      <c r="BK16" s="1199">
        <v>370</v>
      </c>
      <c r="BL16" s="1199">
        <v>500</v>
      </c>
      <c r="BM16" s="1199">
        <v>520</v>
      </c>
      <c r="BN16" s="1199">
        <v>400</v>
      </c>
      <c r="BO16" s="1200">
        <v>300</v>
      </c>
      <c r="BQ16" s="1197"/>
      <c r="BR16" s="1197"/>
      <c r="BS16" s="1197"/>
      <c r="BT16" s="1197"/>
      <c r="BU16" s="1197"/>
      <c r="BV16" s="1197"/>
      <c r="BW16" s="1197"/>
      <c r="BX16" s="1197"/>
      <c r="BY16" s="1197"/>
      <c r="BZ16" s="1197"/>
      <c r="CA16" s="1197"/>
      <c r="CB16" s="1197"/>
    </row>
    <row r="17" spans="1:80" x14ac:dyDescent="0.55000000000000004">
      <c r="A17" s="7358"/>
      <c r="B17" s="7367"/>
      <c r="C17" s="1593" t="s">
        <v>809</v>
      </c>
      <c r="D17" s="554">
        <v>8400</v>
      </c>
      <c r="E17" s="554">
        <v>263</v>
      </c>
      <c r="F17" s="554">
        <v>227</v>
      </c>
      <c r="G17" s="554">
        <v>165</v>
      </c>
      <c r="H17" s="554">
        <v>168</v>
      </c>
      <c r="I17" s="554">
        <v>126</v>
      </c>
      <c r="J17" s="554">
        <v>119</v>
      </c>
      <c r="K17" s="554">
        <v>119</v>
      </c>
      <c r="L17" s="554">
        <v>330</v>
      </c>
      <c r="M17" s="554">
        <v>3663</v>
      </c>
      <c r="N17" s="554">
        <v>4046</v>
      </c>
      <c r="O17" s="554">
        <v>271</v>
      </c>
      <c r="P17" s="554">
        <v>239</v>
      </c>
      <c r="Q17" s="554">
        <f t="shared" si="0"/>
        <v>9736</v>
      </c>
      <c r="R17" s="1641">
        <f t="shared" si="3"/>
        <v>811.33333333333337</v>
      </c>
      <c r="S17" s="1640">
        <v>627</v>
      </c>
      <c r="T17" s="554">
        <v>183</v>
      </c>
      <c r="U17" s="554">
        <v>145</v>
      </c>
      <c r="V17" s="554">
        <v>1450</v>
      </c>
      <c r="W17" s="554">
        <v>216</v>
      </c>
      <c r="X17" s="554">
        <v>189</v>
      </c>
      <c r="Y17" s="554">
        <v>663</v>
      </c>
      <c r="Z17" s="554">
        <v>322</v>
      </c>
      <c r="AA17" s="554">
        <v>549</v>
      </c>
      <c r="AB17" s="554">
        <v>4305</v>
      </c>
      <c r="AC17" s="554">
        <v>784</v>
      </c>
      <c r="AD17" s="554">
        <v>116</v>
      </c>
      <c r="AE17" s="554">
        <f t="shared" si="4"/>
        <v>9549</v>
      </c>
      <c r="AF17" s="1641">
        <f t="shared" si="5"/>
        <v>795.75</v>
      </c>
      <c r="AG17" s="1943">
        <v>151</v>
      </c>
      <c r="AH17" s="2155">
        <v>578</v>
      </c>
      <c r="AI17" s="1125">
        <v>792</v>
      </c>
      <c r="AJ17" s="1256">
        <v>213</v>
      </c>
      <c r="AK17" s="1208">
        <v>259</v>
      </c>
      <c r="AL17" s="1208">
        <v>246</v>
      </c>
      <c r="AM17" s="1256">
        <v>609</v>
      </c>
      <c r="AN17" s="1208">
        <v>152</v>
      </c>
      <c r="AO17" s="1256">
        <v>246</v>
      </c>
      <c r="AP17" s="1208">
        <v>3124</v>
      </c>
      <c r="AQ17" s="1256">
        <v>3011</v>
      </c>
      <c r="AR17" s="1256">
        <v>246</v>
      </c>
      <c r="AS17" s="1714"/>
      <c r="AT17" s="1257">
        <f t="shared" si="12"/>
        <v>-2765</v>
      </c>
      <c r="AU17" s="1258">
        <f t="shared" si="7"/>
        <v>130</v>
      </c>
      <c r="AV17" s="1259">
        <f t="shared" si="8"/>
        <v>9627</v>
      </c>
      <c r="AW17" s="1230">
        <f t="shared" si="9"/>
        <v>-154</v>
      </c>
      <c r="AX17" s="1130">
        <f>HLOOKUP($A$1,$AG$3:$AR$403,ROW()-2,0)/HLOOKUP($A$1,$BD$3:$BO$403,ROW()-2,0)</f>
        <v>0.61499999999999999</v>
      </c>
      <c r="AY17" s="439">
        <f t="shared" si="1"/>
        <v>1.0081683945962927</v>
      </c>
      <c r="AZ17" s="1260">
        <f t="shared" si="10"/>
        <v>802.25</v>
      </c>
      <c r="BA17" s="1261">
        <f t="shared" si="13"/>
        <v>6.5</v>
      </c>
      <c r="BD17" s="1198">
        <v>870</v>
      </c>
      <c r="BE17" s="1199">
        <v>870</v>
      </c>
      <c r="BF17" s="1199">
        <v>870</v>
      </c>
      <c r="BG17" s="1199">
        <v>870</v>
      </c>
      <c r="BH17" s="1199">
        <v>870</v>
      </c>
      <c r="BI17" s="1199">
        <v>870</v>
      </c>
      <c r="BJ17" s="1199">
        <v>500</v>
      </c>
      <c r="BK17" s="1199">
        <v>500</v>
      </c>
      <c r="BL17" s="1199">
        <v>800</v>
      </c>
      <c r="BM17" s="1199">
        <v>1980</v>
      </c>
      <c r="BN17" s="1199">
        <v>600</v>
      </c>
      <c r="BO17" s="1200">
        <v>400</v>
      </c>
      <c r="BQ17" s="1197"/>
      <c r="BR17" s="1197"/>
      <c r="BS17" s="1197"/>
      <c r="BT17" s="1197"/>
      <c r="BU17" s="1197"/>
      <c r="BV17" s="1197"/>
      <c r="BW17" s="1197"/>
      <c r="BX17" s="1197"/>
      <c r="BY17" s="1197"/>
      <c r="BZ17" s="1197"/>
      <c r="CA17" s="1197"/>
      <c r="CB17" s="1197"/>
    </row>
    <row r="18" spans="1:80" x14ac:dyDescent="0.55000000000000004">
      <c r="A18" s="7358"/>
      <c r="B18" s="7367"/>
      <c r="C18" s="1593" t="s">
        <v>810</v>
      </c>
      <c r="D18" s="554">
        <v>9000</v>
      </c>
      <c r="E18" s="554">
        <v>688</v>
      </c>
      <c r="F18" s="554">
        <v>335</v>
      </c>
      <c r="G18" s="554">
        <v>409</v>
      </c>
      <c r="H18" s="554">
        <v>2179</v>
      </c>
      <c r="I18" s="554">
        <v>881</v>
      </c>
      <c r="J18" s="554">
        <v>741</v>
      </c>
      <c r="K18" s="554">
        <v>554</v>
      </c>
      <c r="L18" s="554">
        <v>223</v>
      </c>
      <c r="M18" s="554">
        <v>261</v>
      </c>
      <c r="N18" s="554">
        <v>138</v>
      </c>
      <c r="O18" s="554">
        <v>125</v>
      </c>
      <c r="P18" s="554">
        <v>128</v>
      </c>
      <c r="Q18" s="554">
        <f t="shared" si="0"/>
        <v>6662</v>
      </c>
      <c r="R18" s="1641">
        <f t="shared" si="3"/>
        <v>555.16666666666663</v>
      </c>
      <c r="S18" s="1640">
        <v>754</v>
      </c>
      <c r="T18" s="554">
        <v>246</v>
      </c>
      <c r="U18" s="554">
        <v>660</v>
      </c>
      <c r="V18" s="554">
        <v>635</v>
      </c>
      <c r="W18" s="554">
        <v>105</v>
      </c>
      <c r="X18" s="554">
        <v>305</v>
      </c>
      <c r="Y18" s="554">
        <v>689</v>
      </c>
      <c r="Z18" s="554">
        <v>657</v>
      </c>
      <c r="AA18" s="554">
        <v>261</v>
      </c>
      <c r="AB18" s="554">
        <v>335</v>
      </c>
      <c r="AC18" s="554">
        <v>451</v>
      </c>
      <c r="AD18" s="554">
        <v>315</v>
      </c>
      <c r="AE18" s="554">
        <f t="shared" si="4"/>
        <v>5413</v>
      </c>
      <c r="AF18" s="1641">
        <f t="shared" si="5"/>
        <v>451.08333333333331</v>
      </c>
      <c r="AG18" s="1943">
        <v>533</v>
      </c>
      <c r="AH18" s="2155">
        <v>2378</v>
      </c>
      <c r="AI18" s="1125">
        <v>268</v>
      </c>
      <c r="AJ18" s="1256">
        <v>307</v>
      </c>
      <c r="AK18" s="1208">
        <v>913</v>
      </c>
      <c r="AL18" s="1208">
        <v>821</v>
      </c>
      <c r="AM18" s="1256">
        <v>548</v>
      </c>
      <c r="AN18" s="1208">
        <v>724</v>
      </c>
      <c r="AO18" s="1256">
        <v>726</v>
      </c>
      <c r="AP18" s="1208">
        <v>134</v>
      </c>
      <c r="AQ18" s="1256">
        <v>583</v>
      </c>
      <c r="AR18" s="1256">
        <v>964</v>
      </c>
      <c r="AS18" s="1714"/>
      <c r="AT18" s="1257">
        <f t="shared" si="12"/>
        <v>381</v>
      </c>
      <c r="AU18" s="1258">
        <f t="shared" si="7"/>
        <v>649</v>
      </c>
      <c r="AV18" s="1259">
        <f t="shared" si="8"/>
        <v>8899</v>
      </c>
      <c r="AW18" s="1231">
        <f t="shared" si="9"/>
        <v>564</v>
      </c>
      <c r="AX18" s="1130">
        <f>HLOOKUP($A$1,$AG$3:$AR$403,ROW()-2,0)/HLOOKUP($A$1,$BD$3:$BO$403,ROW()-2,0)</f>
        <v>2.41</v>
      </c>
      <c r="AY18" s="439">
        <f t="shared" si="1"/>
        <v>1.6440051727323111</v>
      </c>
      <c r="AZ18" s="1260">
        <f t="shared" si="10"/>
        <v>741.58333333333337</v>
      </c>
      <c r="BA18" s="1261">
        <f t="shared" si="13"/>
        <v>290.50000000000006</v>
      </c>
      <c r="BD18" s="1198">
        <v>600</v>
      </c>
      <c r="BE18" s="1199">
        <v>740</v>
      </c>
      <c r="BF18" s="1199">
        <v>600</v>
      </c>
      <c r="BG18" s="1199">
        <v>600</v>
      </c>
      <c r="BH18" s="1199">
        <v>600</v>
      </c>
      <c r="BI18" s="1199">
        <v>600</v>
      </c>
      <c r="BJ18" s="1199">
        <v>530</v>
      </c>
      <c r="BK18" s="1199">
        <v>530</v>
      </c>
      <c r="BL18" s="1199">
        <v>2700</v>
      </c>
      <c r="BM18" s="1199">
        <v>1000</v>
      </c>
      <c r="BN18" s="1199">
        <v>600</v>
      </c>
      <c r="BO18" s="1200">
        <v>400</v>
      </c>
      <c r="BQ18" s="1197"/>
      <c r="BR18" s="1197"/>
      <c r="BS18" s="1197"/>
      <c r="BT18" s="1197"/>
      <c r="BU18" s="1197"/>
      <c r="BV18" s="1197"/>
      <c r="BW18" s="1197"/>
      <c r="BX18" s="1197"/>
      <c r="BY18" s="1197"/>
      <c r="BZ18" s="1197"/>
      <c r="CA18" s="1197"/>
      <c r="CB18" s="1197"/>
    </row>
    <row r="19" spans="1:80" x14ac:dyDescent="0.55000000000000004">
      <c r="A19" s="7358"/>
      <c r="B19" s="7367"/>
      <c r="C19" s="1593" t="s">
        <v>811</v>
      </c>
      <c r="D19" s="554">
        <v>107600</v>
      </c>
      <c r="E19" s="554">
        <v>6882</v>
      </c>
      <c r="F19" s="554">
        <v>4992</v>
      </c>
      <c r="G19" s="554">
        <v>4487</v>
      </c>
      <c r="H19" s="554">
        <v>6000</v>
      </c>
      <c r="I19" s="554">
        <v>4825</v>
      </c>
      <c r="J19" s="554">
        <v>5089</v>
      </c>
      <c r="K19" s="554">
        <v>7181</v>
      </c>
      <c r="L19" s="554">
        <v>8279</v>
      </c>
      <c r="M19" s="554">
        <v>11207</v>
      </c>
      <c r="N19" s="554">
        <v>7060</v>
      </c>
      <c r="O19" s="554">
        <v>9262</v>
      </c>
      <c r="P19" s="554">
        <v>6981</v>
      </c>
      <c r="Q19" s="554">
        <f t="shared" si="0"/>
        <v>82245</v>
      </c>
      <c r="R19" s="1641">
        <f t="shared" si="3"/>
        <v>6853.75</v>
      </c>
      <c r="S19" s="1640">
        <v>10654</v>
      </c>
      <c r="T19" s="554">
        <v>3442</v>
      </c>
      <c r="U19" s="554">
        <v>4984</v>
      </c>
      <c r="V19" s="554">
        <v>2695</v>
      </c>
      <c r="W19" s="554">
        <v>5206</v>
      </c>
      <c r="X19" s="554">
        <v>4159</v>
      </c>
      <c r="Y19" s="554">
        <v>5070</v>
      </c>
      <c r="Z19" s="554">
        <v>5133</v>
      </c>
      <c r="AA19" s="554">
        <v>3579</v>
      </c>
      <c r="AB19" s="554">
        <v>4764</v>
      </c>
      <c r="AC19" s="554">
        <v>5588</v>
      </c>
      <c r="AD19" s="554">
        <v>6468</v>
      </c>
      <c r="AE19" s="554">
        <f t="shared" si="4"/>
        <v>61742</v>
      </c>
      <c r="AF19" s="1641">
        <f t="shared" si="5"/>
        <v>5145.166666666667</v>
      </c>
      <c r="AG19" s="1943">
        <v>5542</v>
      </c>
      <c r="AH19" s="2155">
        <v>3049</v>
      </c>
      <c r="AI19" s="1125">
        <v>2873</v>
      </c>
      <c r="AJ19" s="1256">
        <v>11396</v>
      </c>
      <c r="AK19" s="1208">
        <v>7691</v>
      </c>
      <c r="AL19" s="1208">
        <v>7715</v>
      </c>
      <c r="AM19" s="1256">
        <v>6956</v>
      </c>
      <c r="AN19" s="1208">
        <v>5524</v>
      </c>
      <c r="AO19" s="1256">
        <v>8862</v>
      </c>
      <c r="AP19" s="1208">
        <v>3090</v>
      </c>
      <c r="AQ19" s="1256">
        <v>4621</v>
      </c>
      <c r="AR19" s="1256">
        <v>5164</v>
      </c>
      <c r="AS19" s="1714"/>
      <c r="AT19" s="1257">
        <f t="shared" si="12"/>
        <v>543</v>
      </c>
      <c r="AU19" s="1258">
        <f t="shared" si="7"/>
        <v>-1304</v>
      </c>
      <c r="AV19" s="1259">
        <f t="shared" si="8"/>
        <v>72483</v>
      </c>
      <c r="AW19" s="1231">
        <f t="shared" si="9"/>
        <v>-3606</v>
      </c>
      <c r="AX19" s="1130">
        <f>HLOOKUP($A$1,$AG$3:$AR$403,ROW()-2,0)/HLOOKUP($A$1,$BD$3:$BO$403,ROW()-2,0)</f>
        <v>0.58882554161915623</v>
      </c>
      <c r="AY19" s="439">
        <f t="shared" si="1"/>
        <v>1.1739658579249133</v>
      </c>
      <c r="AZ19" s="1260">
        <f t="shared" si="10"/>
        <v>6040.25</v>
      </c>
      <c r="BA19" s="1261">
        <f t="shared" si="13"/>
        <v>895.08333333333303</v>
      </c>
      <c r="BD19" s="1198">
        <v>7170</v>
      </c>
      <c r="BE19" s="1199">
        <v>5180</v>
      </c>
      <c r="BF19" s="1199">
        <v>8760</v>
      </c>
      <c r="BG19" s="1199">
        <v>8760</v>
      </c>
      <c r="BH19" s="1199">
        <v>11160</v>
      </c>
      <c r="BI19" s="1199">
        <v>5180</v>
      </c>
      <c r="BJ19" s="1199">
        <v>8770</v>
      </c>
      <c r="BK19" s="1199">
        <v>8760</v>
      </c>
      <c r="BL19" s="1199">
        <v>5180</v>
      </c>
      <c r="BM19" s="1199">
        <v>8760</v>
      </c>
      <c r="BN19" s="1199">
        <v>13550</v>
      </c>
      <c r="BO19" s="1200">
        <v>8770</v>
      </c>
      <c r="BQ19" s="1197"/>
      <c r="BR19" s="1197"/>
      <c r="BS19" s="1197"/>
      <c r="BT19" s="1197"/>
      <c r="BU19" s="1197"/>
      <c r="BV19" s="1197"/>
      <c r="BW19" s="1197"/>
      <c r="BX19" s="1197"/>
      <c r="BY19" s="1197"/>
      <c r="BZ19" s="1197"/>
      <c r="CA19" s="1197"/>
      <c r="CB19" s="1197"/>
    </row>
    <row r="20" spans="1:80" x14ac:dyDescent="0.55000000000000004">
      <c r="A20" s="7358"/>
      <c r="B20" s="7367"/>
      <c r="C20" s="1593" t="s">
        <v>812</v>
      </c>
      <c r="D20" s="554">
        <v>1210</v>
      </c>
      <c r="E20" s="554">
        <v>219</v>
      </c>
      <c r="F20" s="554">
        <v>117</v>
      </c>
      <c r="G20" s="554">
        <v>79</v>
      </c>
      <c r="H20" s="554">
        <v>88</v>
      </c>
      <c r="I20" s="554">
        <v>59</v>
      </c>
      <c r="J20" s="554">
        <v>62</v>
      </c>
      <c r="K20" s="554">
        <v>57</v>
      </c>
      <c r="L20" s="554">
        <v>74</v>
      </c>
      <c r="M20" s="554">
        <v>67</v>
      </c>
      <c r="N20" s="554">
        <v>96</v>
      </c>
      <c r="O20" s="554">
        <v>68</v>
      </c>
      <c r="P20" s="554">
        <v>114</v>
      </c>
      <c r="Q20" s="554">
        <f t="shared" si="0"/>
        <v>1100</v>
      </c>
      <c r="R20" s="1641">
        <f t="shared" si="3"/>
        <v>91.666666666666671</v>
      </c>
      <c r="S20" s="1640">
        <v>118</v>
      </c>
      <c r="T20" s="554">
        <v>36</v>
      </c>
      <c r="U20" s="554">
        <v>69</v>
      </c>
      <c r="V20" s="554">
        <v>62</v>
      </c>
      <c r="W20" s="554">
        <v>53</v>
      </c>
      <c r="X20" s="554">
        <v>129</v>
      </c>
      <c r="Y20" s="554">
        <v>313</v>
      </c>
      <c r="Z20" s="554">
        <v>235</v>
      </c>
      <c r="AA20" s="554">
        <v>42</v>
      </c>
      <c r="AB20" s="554">
        <v>104</v>
      </c>
      <c r="AC20" s="554">
        <v>65</v>
      </c>
      <c r="AD20" s="554">
        <v>56</v>
      </c>
      <c r="AE20" s="554">
        <f t="shared" si="4"/>
        <v>1282</v>
      </c>
      <c r="AF20" s="1641">
        <f t="shared" si="5"/>
        <v>106.83333333333333</v>
      </c>
      <c r="AG20" s="1943">
        <v>76</v>
      </c>
      <c r="AH20" s="2155">
        <v>103</v>
      </c>
      <c r="AI20" s="1125">
        <v>708</v>
      </c>
      <c r="AJ20" s="1256">
        <v>75</v>
      </c>
      <c r="AK20" s="1208">
        <v>163</v>
      </c>
      <c r="AL20" s="1208">
        <v>163</v>
      </c>
      <c r="AM20" s="1256">
        <v>418</v>
      </c>
      <c r="AN20" s="1208">
        <v>68</v>
      </c>
      <c r="AO20" s="1256">
        <v>185</v>
      </c>
      <c r="AP20" s="1208">
        <v>305</v>
      </c>
      <c r="AQ20" s="1256">
        <v>2794</v>
      </c>
      <c r="AR20" s="1256">
        <v>69</v>
      </c>
      <c r="AS20" s="1714"/>
      <c r="AT20" s="1257">
        <f t="shared" si="12"/>
        <v>-2725</v>
      </c>
      <c r="AU20" s="1258">
        <f t="shared" si="7"/>
        <v>13</v>
      </c>
      <c r="AV20" s="1259">
        <f t="shared" si="8"/>
        <v>5127</v>
      </c>
      <c r="AW20" s="1231" t="s">
        <v>482</v>
      </c>
      <c r="AX20" s="1130" t="s">
        <v>482</v>
      </c>
      <c r="AY20" s="439">
        <f t="shared" si="1"/>
        <v>3.999219968798752</v>
      </c>
      <c r="AZ20" s="1260">
        <f t="shared" si="10"/>
        <v>427.25</v>
      </c>
      <c r="BA20" s="1261">
        <f t="shared" si="13"/>
        <v>320.41666666666669</v>
      </c>
      <c r="BD20" s="1201"/>
      <c r="BE20" s="1202"/>
      <c r="BF20" s="1202"/>
      <c r="BG20" s="1202"/>
      <c r="BH20" s="1202"/>
      <c r="BI20" s="1202"/>
      <c r="BJ20" s="1202"/>
      <c r="BK20" s="1202"/>
      <c r="BL20" s="1202"/>
      <c r="BM20" s="1202"/>
      <c r="BN20" s="1202"/>
      <c r="BO20" s="1203"/>
      <c r="BQ20" s="1201"/>
      <c r="BR20" s="1202"/>
      <c r="BS20" s="1202"/>
      <c r="BT20" s="1202"/>
      <c r="BU20" s="1202"/>
      <c r="BV20" s="1202"/>
      <c r="BW20" s="1202"/>
      <c r="BX20" s="1202"/>
      <c r="BY20" s="1202"/>
      <c r="BZ20" s="1202"/>
      <c r="CA20" s="1202"/>
      <c r="CB20" s="1203"/>
    </row>
    <row r="21" spans="1:80" x14ac:dyDescent="0.55000000000000004">
      <c r="A21" s="7358"/>
      <c r="B21" s="7367"/>
      <c r="C21" s="1593" t="s">
        <v>813</v>
      </c>
      <c r="D21" s="554">
        <v>6217.2000000000007</v>
      </c>
      <c r="E21" s="554">
        <v>1397</v>
      </c>
      <c r="F21" s="554">
        <v>922</v>
      </c>
      <c r="G21" s="554">
        <v>332</v>
      </c>
      <c r="H21" s="554">
        <v>2073</v>
      </c>
      <c r="I21" s="554">
        <v>723</v>
      </c>
      <c r="J21" s="554">
        <v>1107</v>
      </c>
      <c r="K21" s="554">
        <v>-80</v>
      </c>
      <c r="L21" s="554">
        <v>-819</v>
      </c>
      <c r="M21" s="554">
        <v>280</v>
      </c>
      <c r="N21" s="554">
        <v>-295</v>
      </c>
      <c r="O21" s="554">
        <v>-138</v>
      </c>
      <c r="P21" s="554">
        <v>150</v>
      </c>
      <c r="Q21" s="554">
        <f t="shared" si="0"/>
        <v>5652</v>
      </c>
      <c r="R21" s="1641">
        <f t="shared" si="3"/>
        <v>471</v>
      </c>
      <c r="S21" s="1640">
        <v>1019</v>
      </c>
      <c r="T21" s="554">
        <v>755</v>
      </c>
      <c r="U21" s="554">
        <v>468</v>
      </c>
      <c r="V21" s="554">
        <v>-11</v>
      </c>
      <c r="W21" s="554">
        <v>148</v>
      </c>
      <c r="X21" s="554">
        <v>716</v>
      </c>
      <c r="Y21" s="554">
        <v>946</v>
      </c>
      <c r="Z21" s="554">
        <v>1900</v>
      </c>
      <c r="AA21" s="554">
        <v>462</v>
      </c>
      <c r="AB21" s="554">
        <v>52</v>
      </c>
      <c r="AC21" s="554">
        <v>623</v>
      </c>
      <c r="AD21" s="554">
        <v>507</v>
      </c>
      <c r="AE21" s="554">
        <f t="shared" si="4"/>
        <v>7585</v>
      </c>
      <c r="AF21" s="1641">
        <f t="shared" si="5"/>
        <v>632.08333333333337</v>
      </c>
      <c r="AG21" s="1943">
        <v>481</v>
      </c>
      <c r="AH21" s="2155">
        <v>419</v>
      </c>
      <c r="AI21" s="1125">
        <v>1364</v>
      </c>
      <c r="AJ21" s="1256">
        <v>635</v>
      </c>
      <c r="AK21" s="1208">
        <v>183</v>
      </c>
      <c r="AL21" s="1208">
        <v>389</v>
      </c>
      <c r="AM21" s="1256">
        <v>156</v>
      </c>
      <c r="AN21" s="1208">
        <v>196</v>
      </c>
      <c r="AO21" s="1256">
        <v>481</v>
      </c>
      <c r="AP21" s="1208">
        <v>371</v>
      </c>
      <c r="AQ21" s="1256">
        <v>3622</v>
      </c>
      <c r="AR21" s="1256">
        <v>-1463</v>
      </c>
      <c r="AS21" s="1714"/>
      <c r="AT21" s="1257">
        <f t="shared" si="12"/>
        <v>-5085</v>
      </c>
      <c r="AU21" s="1258">
        <f t="shared" si="7"/>
        <v>-1970</v>
      </c>
      <c r="AV21" s="1259">
        <f t="shared" si="8"/>
        <v>6834</v>
      </c>
      <c r="AW21" s="1231" t="s">
        <v>482</v>
      </c>
      <c r="AX21" s="1130" t="s">
        <v>482</v>
      </c>
      <c r="AY21" s="439">
        <f t="shared" si="1"/>
        <v>0.90098879367172047</v>
      </c>
      <c r="AZ21" s="1260">
        <f t="shared" si="10"/>
        <v>569.5</v>
      </c>
      <c r="BA21" s="1261">
        <f t="shared" si="13"/>
        <v>-62.583333333333371</v>
      </c>
      <c r="BD21" s="1201"/>
      <c r="BE21" s="1202"/>
      <c r="BF21" s="1202"/>
      <c r="BG21" s="1202"/>
      <c r="BH21" s="1202"/>
      <c r="BI21" s="1202"/>
      <c r="BJ21" s="1202"/>
      <c r="BK21" s="1202"/>
      <c r="BL21" s="1202"/>
      <c r="BM21" s="1202"/>
      <c r="BN21" s="1202"/>
      <c r="BO21" s="1203"/>
      <c r="BQ21" s="1201"/>
      <c r="BR21" s="1202"/>
      <c r="BS21" s="1202"/>
      <c r="BT21" s="1202"/>
      <c r="BU21" s="1202"/>
      <c r="BV21" s="1202"/>
      <c r="BW21" s="1202"/>
      <c r="BX21" s="1202"/>
      <c r="BY21" s="1202"/>
      <c r="BZ21" s="1202"/>
      <c r="CA21" s="1202"/>
      <c r="CB21" s="1203"/>
    </row>
    <row r="22" spans="1:80" x14ac:dyDescent="0.55000000000000004">
      <c r="A22" s="7358"/>
      <c r="B22" s="7367"/>
      <c r="C22" s="1593" t="s">
        <v>103</v>
      </c>
      <c r="D22" s="554">
        <v>0</v>
      </c>
      <c r="E22" s="554"/>
      <c r="F22" s="554"/>
      <c r="G22" s="554"/>
      <c r="H22" s="554"/>
      <c r="I22" s="554"/>
      <c r="J22" s="554"/>
      <c r="K22" s="554"/>
      <c r="L22" s="554"/>
      <c r="M22" s="554"/>
      <c r="N22" s="554"/>
      <c r="O22" s="554"/>
      <c r="P22" s="554"/>
      <c r="Q22" s="554">
        <f t="shared" si="0"/>
        <v>0</v>
      </c>
      <c r="R22" s="1641"/>
      <c r="S22" s="1640"/>
      <c r="T22" s="554"/>
      <c r="U22" s="554"/>
      <c r="V22" s="554"/>
      <c r="W22" s="554"/>
      <c r="X22" s="554"/>
      <c r="Y22" s="554"/>
      <c r="Z22" s="554"/>
      <c r="AA22" s="554"/>
      <c r="AB22" s="554"/>
      <c r="AC22" s="554"/>
      <c r="AD22" s="554"/>
      <c r="AE22" s="554">
        <f t="shared" si="4"/>
        <v>0</v>
      </c>
      <c r="AF22" s="1641"/>
      <c r="AG22" s="1943"/>
      <c r="AH22" s="2155"/>
      <c r="AI22" s="1125"/>
      <c r="AJ22" s="1256"/>
      <c r="AK22" s="1208"/>
      <c r="AL22" s="1208"/>
      <c r="AM22" s="1256"/>
      <c r="AN22" s="1208"/>
      <c r="AO22" s="1256"/>
      <c r="AP22" s="1208"/>
      <c r="AQ22" s="1256"/>
      <c r="AR22" s="1256"/>
      <c r="AS22" s="1714"/>
      <c r="AT22" s="1257">
        <f t="shared" si="12"/>
        <v>0</v>
      </c>
      <c r="AU22" s="1258">
        <f t="shared" si="7"/>
        <v>0</v>
      </c>
      <c r="AV22" s="1259">
        <f t="shared" si="8"/>
        <v>0</v>
      </c>
      <c r="AW22" s="1231" t="s">
        <v>482</v>
      </c>
      <c r="AX22" s="1130" t="s">
        <v>482</v>
      </c>
      <c r="AY22" s="439"/>
      <c r="AZ22" s="1260"/>
      <c r="BA22" s="1261">
        <f t="shared" si="13"/>
        <v>0</v>
      </c>
      <c r="BD22" s="1201"/>
      <c r="BE22" s="1202"/>
      <c r="BF22" s="1202"/>
      <c r="BG22" s="1202"/>
      <c r="BH22" s="1202"/>
      <c r="BI22" s="1202"/>
      <c r="BJ22" s="1202"/>
      <c r="BK22" s="1202"/>
      <c r="BL22" s="1202"/>
      <c r="BM22" s="1202"/>
      <c r="BN22" s="1202"/>
      <c r="BO22" s="1203"/>
      <c r="BQ22" s="1201"/>
      <c r="BR22" s="1202"/>
      <c r="BS22" s="1202"/>
      <c r="BT22" s="1202"/>
      <c r="BU22" s="1202"/>
      <c r="BV22" s="1202"/>
      <c r="BW22" s="1202"/>
      <c r="BX22" s="1202"/>
      <c r="BY22" s="1202"/>
      <c r="BZ22" s="1202"/>
      <c r="CA22" s="1202"/>
      <c r="CB22" s="1203"/>
    </row>
    <row r="23" spans="1:80" ht="18" thickBot="1" x14ac:dyDescent="0.6">
      <c r="A23" s="7358"/>
      <c r="B23" s="7369"/>
      <c r="C23" s="1280" t="s">
        <v>814</v>
      </c>
      <c r="D23" s="1690">
        <v>0</v>
      </c>
      <c r="E23" s="1690"/>
      <c r="F23" s="1690"/>
      <c r="G23" s="1690"/>
      <c r="H23" s="1690"/>
      <c r="I23" s="1690"/>
      <c r="J23" s="1690"/>
      <c r="K23" s="1690"/>
      <c r="L23" s="1690"/>
      <c r="M23" s="1690"/>
      <c r="N23" s="1690"/>
      <c r="O23" s="1690"/>
      <c r="P23" s="1690"/>
      <c r="Q23" s="1690">
        <f t="shared" si="0"/>
        <v>0</v>
      </c>
      <c r="R23" s="1708"/>
      <c r="S23" s="1710"/>
      <c r="T23" s="1690"/>
      <c r="U23" s="1690"/>
      <c r="V23" s="1690"/>
      <c r="W23" s="1690"/>
      <c r="X23" s="1690"/>
      <c r="Y23" s="1690"/>
      <c r="Z23" s="1690"/>
      <c r="AA23" s="1690"/>
      <c r="AB23" s="1690"/>
      <c r="AC23" s="1690"/>
      <c r="AD23" s="1690"/>
      <c r="AE23" s="1690">
        <f t="shared" si="4"/>
        <v>0</v>
      </c>
      <c r="AF23" s="1708"/>
      <c r="AG23" s="1944"/>
      <c r="AH23" s="2156"/>
      <c r="AI23" s="2225"/>
      <c r="AJ23" s="1262"/>
      <c r="AK23" s="1262"/>
      <c r="AL23" s="1262"/>
      <c r="AM23" s="1262"/>
      <c r="AN23" s="1262"/>
      <c r="AO23" s="1262"/>
      <c r="AP23" s="1262"/>
      <c r="AQ23" s="1262"/>
      <c r="AR23" s="1262"/>
      <c r="AS23" s="1715"/>
      <c r="AT23" s="1263">
        <f t="shared" si="12"/>
        <v>0</v>
      </c>
      <c r="AU23" s="1264">
        <f t="shared" si="7"/>
        <v>0</v>
      </c>
      <c r="AV23" s="1265">
        <f t="shared" si="8"/>
        <v>0</v>
      </c>
      <c r="AW23" s="1232" t="s">
        <v>482</v>
      </c>
      <c r="AX23" s="1217" t="s">
        <v>482</v>
      </c>
      <c r="AY23" s="1266"/>
      <c r="AZ23" s="1267"/>
      <c r="BA23" s="1268">
        <f t="shared" si="13"/>
        <v>0</v>
      </c>
      <c r="BD23" s="1204"/>
      <c r="BE23" s="1205"/>
      <c r="BF23" s="1205"/>
      <c r="BG23" s="1205"/>
      <c r="BH23" s="1205"/>
      <c r="BI23" s="1205"/>
      <c r="BJ23" s="1205"/>
      <c r="BK23" s="1205"/>
      <c r="BL23" s="1205"/>
      <c r="BM23" s="1205"/>
      <c r="BN23" s="1205"/>
      <c r="BO23" s="1206"/>
      <c r="BQ23" s="1204"/>
      <c r="BR23" s="1205"/>
      <c r="BS23" s="1205"/>
      <c r="BT23" s="1205"/>
      <c r="BU23" s="1205"/>
      <c r="BV23" s="1205"/>
      <c r="BW23" s="1205"/>
      <c r="BX23" s="1205"/>
      <c r="BY23" s="1205"/>
      <c r="BZ23" s="1205"/>
      <c r="CA23" s="1205"/>
      <c r="CB23" s="1206"/>
    </row>
    <row r="24" spans="1:80" x14ac:dyDescent="0.55000000000000004">
      <c r="A24" s="7358"/>
      <c r="B24" s="7366" t="s">
        <v>816</v>
      </c>
      <c r="C24" s="1593" t="s">
        <v>1052</v>
      </c>
      <c r="D24" s="554"/>
      <c r="E24" s="1125">
        <v>2339</v>
      </c>
      <c r="F24" s="1125">
        <v>3978</v>
      </c>
      <c r="G24" s="1125">
        <v>3671</v>
      </c>
      <c r="H24" s="1125">
        <v>2786</v>
      </c>
      <c r="I24" s="1125">
        <v>4231</v>
      </c>
      <c r="J24" s="1125">
        <v>3722</v>
      </c>
      <c r="K24" s="1125">
        <v>3161</v>
      </c>
      <c r="L24" s="1125">
        <v>3012</v>
      </c>
      <c r="M24" s="1125">
        <v>2025</v>
      </c>
      <c r="N24" s="1125">
        <v>2927</v>
      </c>
      <c r="O24" s="1125">
        <v>2214</v>
      </c>
      <c r="P24" s="1125">
        <v>1894</v>
      </c>
      <c r="Q24" s="1256">
        <f t="shared" si="0"/>
        <v>35960</v>
      </c>
      <c r="R24" s="1692">
        <f t="shared" si="3"/>
        <v>2996.6666666666665</v>
      </c>
      <c r="S24" s="1390">
        <v>2113</v>
      </c>
      <c r="T24" s="1256">
        <v>1120</v>
      </c>
      <c r="U24" s="1256">
        <v>1084</v>
      </c>
      <c r="V24" s="1256">
        <v>757</v>
      </c>
      <c r="W24" s="1256">
        <v>1108</v>
      </c>
      <c r="X24" s="1256">
        <v>1701</v>
      </c>
      <c r="Y24" s="1256">
        <v>1884</v>
      </c>
      <c r="Z24" s="1256">
        <v>1140</v>
      </c>
      <c r="AA24" s="1256">
        <v>2154</v>
      </c>
      <c r="AB24" s="1256">
        <v>1389</v>
      </c>
      <c r="AC24" s="1256">
        <v>1484</v>
      </c>
      <c r="AD24" s="1256">
        <v>1184</v>
      </c>
      <c r="AE24" s="1256">
        <f t="shared" si="4"/>
        <v>17118</v>
      </c>
      <c r="AF24" s="1692">
        <f t="shared" si="5"/>
        <v>1426.5</v>
      </c>
      <c r="AG24" s="1390">
        <v>1299</v>
      </c>
      <c r="AH24" s="1256">
        <v>1741</v>
      </c>
      <c r="AI24" s="1208">
        <v>1230</v>
      </c>
      <c r="AJ24" s="1256">
        <v>1563</v>
      </c>
      <c r="AK24" s="1208">
        <v>1810</v>
      </c>
      <c r="AL24" s="1208">
        <v>1380</v>
      </c>
      <c r="AM24" s="1256">
        <v>3876</v>
      </c>
      <c r="AN24" s="1208">
        <v>1175</v>
      </c>
      <c r="AO24" s="1256">
        <v>1718</v>
      </c>
      <c r="AP24" s="1208">
        <v>1849</v>
      </c>
      <c r="AQ24" s="1256">
        <v>1286</v>
      </c>
      <c r="AR24" s="1256">
        <v>2865</v>
      </c>
      <c r="AS24" s="1714"/>
      <c r="AT24" s="1257">
        <f t="shared" si="12"/>
        <v>1579</v>
      </c>
      <c r="AU24" s="1258">
        <f t="shared" si="7"/>
        <v>1681</v>
      </c>
      <c r="AV24" s="1259">
        <f t="shared" si="8"/>
        <v>21792</v>
      </c>
      <c r="AW24" s="1230">
        <f t="shared" si="9"/>
        <v>827</v>
      </c>
      <c r="AX24" s="1130">
        <f>HLOOKUP($A$1,$AG$3:$AR$403,ROW()-2,0)/HLOOKUP($A$1,$BD$3:$BO$403,ROW()-2,0)</f>
        <v>1.4057899901864572</v>
      </c>
      <c r="AY24" s="439">
        <f t="shared" ref="AY24:AY32" si="14">AV24/SUM(S24:AD24)</f>
        <v>1.2730459165790395</v>
      </c>
      <c r="AZ24" s="1260">
        <f t="shared" si="10"/>
        <v>1816</v>
      </c>
      <c r="BA24" s="1261">
        <f t="shared" si="13"/>
        <v>389.5</v>
      </c>
      <c r="BD24" s="1198">
        <v>2600</v>
      </c>
      <c r="BE24" s="1199">
        <v>2401</v>
      </c>
      <c r="BF24" s="1199">
        <v>2263</v>
      </c>
      <c r="BG24" s="1199">
        <v>2263</v>
      </c>
      <c r="BH24" s="1199">
        <v>2263</v>
      </c>
      <c r="BI24" s="1199">
        <v>2263</v>
      </c>
      <c r="BJ24" s="1199">
        <v>2401</v>
      </c>
      <c r="BK24" s="1199">
        <v>2263</v>
      </c>
      <c r="BL24" s="1199">
        <v>2401</v>
      </c>
      <c r="BM24" s="1199">
        <v>2291</v>
      </c>
      <c r="BN24" s="1199">
        <v>2153</v>
      </c>
      <c r="BO24" s="1200">
        <v>2038</v>
      </c>
      <c r="BQ24" s="1198"/>
      <c r="BR24" s="1199"/>
      <c r="BS24" s="1199"/>
      <c r="BT24" s="1199"/>
      <c r="BU24" s="1199"/>
      <c r="BV24" s="1199"/>
      <c r="BW24" s="1199"/>
      <c r="BX24" s="1199"/>
      <c r="BY24" s="1199"/>
      <c r="BZ24" s="1199"/>
      <c r="CA24" s="1199"/>
      <c r="CB24" s="1200"/>
    </row>
    <row r="25" spans="1:80" x14ac:dyDescent="0.55000000000000004">
      <c r="A25" s="7358"/>
      <c r="B25" s="7367"/>
      <c r="C25" s="1593" t="s">
        <v>808</v>
      </c>
      <c r="D25" s="554">
        <v>13750</v>
      </c>
      <c r="E25" s="1125">
        <v>106</v>
      </c>
      <c r="F25" s="1125">
        <v>136</v>
      </c>
      <c r="G25" s="1125">
        <v>93</v>
      </c>
      <c r="H25" s="1125">
        <v>98</v>
      </c>
      <c r="I25" s="1125">
        <v>430</v>
      </c>
      <c r="J25" s="1125">
        <v>103</v>
      </c>
      <c r="K25" s="1125">
        <v>68</v>
      </c>
      <c r="L25" s="1125">
        <v>464</v>
      </c>
      <c r="M25" s="1125">
        <v>91</v>
      </c>
      <c r="N25" s="1125">
        <v>85</v>
      </c>
      <c r="O25" s="1125">
        <v>110</v>
      </c>
      <c r="P25" s="1125">
        <v>188</v>
      </c>
      <c r="Q25" s="1256">
        <f t="shared" si="0"/>
        <v>1972</v>
      </c>
      <c r="R25" s="1692">
        <f t="shared" si="3"/>
        <v>164.33333333333334</v>
      </c>
      <c r="S25" s="1390">
        <v>806</v>
      </c>
      <c r="T25" s="1256">
        <v>141</v>
      </c>
      <c r="U25" s="1256">
        <v>78</v>
      </c>
      <c r="V25" s="1256">
        <v>68</v>
      </c>
      <c r="W25" s="1256">
        <v>173</v>
      </c>
      <c r="X25" s="1256">
        <v>104</v>
      </c>
      <c r="Y25" s="1256">
        <v>183</v>
      </c>
      <c r="Z25" s="1256">
        <v>104</v>
      </c>
      <c r="AA25" s="1256">
        <v>217</v>
      </c>
      <c r="AB25" s="1256">
        <v>326</v>
      </c>
      <c r="AC25" s="1256">
        <v>72</v>
      </c>
      <c r="AD25" s="1256">
        <v>539</v>
      </c>
      <c r="AE25" s="1256">
        <f t="shared" si="4"/>
        <v>2811</v>
      </c>
      <c r="AF25" s="1692">
        <f t="shared" si="5"/>
        <v>234.25</v>
      </c>
      <c r="AG25" s="1390">
        <v>223</v>
      </c>
      <c r="AH25" s="1256">
        <v>100</v>
      </c>
      <c r="AI25" s="1208">
        <f>1230-1093</f>
        <v>137</v>
      </c>
      <c r="AJ25" s="1256">
        <v>652</v>
      </c>
      <c r="AK25" s="1208">
        <f>1810-1423</f>
        <v>387</v>
      </c>
      <c r="AL25" s="1208">
        <f>1380-1032</f>
        <v>348</v>
      </c>
      <c r="AM25" s="1256">
        <v>1126</v>
      </c>
      <c r="AN25" s="1208">
        <f>1175-903</f>
        <v>272</v>
      </c>
      <c r="AO25" s="1256">
        <v>219</v>
      </c>
      <c r="AP25" s="1208">
        <v>603</v>
      </c>
      <c r="AQ25" s="1256">
        <v>248</v>
      </c>
      <c r="AR25" s="1256">
        <v>153</v>
      </c>
      <c r="AS25" s="1714"/>
      <c r="AT25" s="1257">
        <f t="shared" si="12"/>
        <v>-95</v>
      </c>
      <c r="AU25" s="1258">
        <f t="shared" si="7"/>
        <v>-386</v>
      </c>
      <c r="AV25" s="1259">
        <f t="shared" si="8"/>
        <v>4468</v>
      </c>
      <c r="AW25" s="1230">
        <f t="shared" si="9"/>
        <v>67</v>
      </c>
      <c r="AX25" s="1130">
        <f>HLOOKUP($A$1,$AG$3:$AR$403,ROW()-2,0)/HLOOKUP($A$1,$BD$3:$BO$403,ROW()-2,0)</f>
        <v>1.7790697674418605</v>
      </c>
      <c r="AY25" s="439">
        <f t="shared" si="14"/>
        <v>1.5894699395233014</v>
      </c>
      <c r="AZ25" s="1260">
        <f t="shared" si="10"/>
        <v>372.33333333333331</v>
      </c>
      <c r="BA25" s="1261">
        <f t="shared" si="13"/>
        <v>138.08333333333331</v>
      </c>
      <c r="BD25" s="1198">
        <v>470</v>
      </c>
      <c r="BE25" s="1199">
        <v>433</v>
      </c>
      <c r="BF25" s="1199">
        <v>295</v>
      </c>
      <c r="BG25" s="1199">
        <v>295</v>
      </c>
      <c r="BH25" s="1199">
        <v>295</v>
      </c>
      <c r="BI25" s="1199">
        <v>295</v>
      </c>
      <c r="BJ25" s="1199">
        <v>314</v>
      </c>
      <c r="BK25" s="1199">
        <v>295</v>
      </c>
      <c r="BL25" s="1199">
        <v>314</v>
      </c>
      <c r="BM25" s="1199">
        <v>323</v>
      </c>
      <c r="BN25" s="1199">
        <v>185</v>
      </c>
      <c r="BO25" s="1200">
        <v>86</v>
      </c>
      <c r="BQ25" s="1198"/>
      <c r="BR25" s="1199"/>
      <c r="BS25" s="1199"/>
      <c r="BT25" s="1199"/>
      <c r="BU25" s="1199"/>
      <c r="BV25" s="1199"/>
      <c r="BW25" s="1199"/>
      <c r="BX25" s="1199"/>
      <c r="BY25" s="1199"/>
      <c r="BZ25" s="1199"/>
      <c r="CA25" s="1199"/>
      <c r="CB25" s="1200"/>
    </row>
    <row r="26" spans="1:80" x14ac:dyDescent="0.55000000000000004">
      <c r="A26" s="7358"/>
      <c r="B26" s="7367"/>
      <c r="C26" s="1593" t="s">
        <v>809</v>
      </c>
      <c r="D26" s="554">
        <v>41250</v>
      </c>
      <c r="E26" s="1125">
        <v>2233</v>
      </c>
      <c r="F26" s="1125">
        <v>3842</v>
      </c>
      <c r="G26" s="1125">
        <v>3578</v>
      </c>
      <c r="H26" s="1125">
        <v>2688</v>
      </c>
      <c r="I26" s="1125">
        <v>3801</v>
      </c>
      <c r="J26" s="1125">
        <v>3619</v>
      </c>
      <c r="K26" s="1125">
        <v>3093</v>
      </c>
      <c r="L26" s="1125">
        <v>2548</v>
      </c>
      <c r="M26" s="1125">
        <v>1934</v>
      </c>
      <c r="N26" s="1125">
        <v>2842</v>
      </c>
      <c r="O26" s="1125">
        <v>2104</v>
      </c>
      <c r="P26" s="1125">
        <v>1706</v>
      </c>
      <c r="Q26" s="1256">
        <f t="shared" si="0"/>
        <v>33988</v>
      </c>
      <c r="R26" s="1692">
        <f t="shared" si="3"/>
        <v>2832.3333333333335</v>
      </c>
      <c r="S26" s="1390">
        <v>1307</v>
      </c>
      <c r="T26" s="1256">
        <v>979</v>
      </c>
      <c r="U26" s="1256">
        <v>1006</v>
      </c>
      <c r="V26" s="1256">
        <v>689</v>
      </c>
      <c r="W26" s="1256">
        <v>935</v>
      </c>
      <c r="X26" s="1256">
        <v>1597</v>
      </c>
      <c r="Y26" s="1256">
        <v>1701</v>
      </c>
      <c r="Z26" s="1256">
        <v>1036</v>
      </c>
      <c r="AA26" s="1256">
        <v>1937</v>
      </c>
      <c r="AB26" s="1256">
        <v>1063</v>
      </c>
      <c r="AC26" s="1256">
        <v>1412</v>
      </c>
      <c r="AD26" s="1256">
        <v>645</v>
      </c>
      <c r="AE26" s="1256">
        <f t="shared" si="4"/>
        <v>14307</v>
      </c>
      <c r="AF26" s="1692">
        <f t="shared" si="5"/>
        <v>1192.25</v>
      </c>
      <c r="AG26" s="1390">
        <v>1076</v>
      </c>
      <c r="AH26" s="1256">
        <v>1641</v>
      </c>
      <c r="AI26" s="1208">
        <v>1093</v>
      </c>
      <c r="AJ26" s="1256">
        <v>911</v>
      </c>
      <c r="AK26" s="1208">
        <v>1423</v>
      </c>
      <c r="AL26" s="1208">
        <v>1032</v>
      </c>
      <c r="AM26" s="1256">
        <v>2750</v>
      </c>
      <c r="AN26" s="1208">
        <v>903</v>
      </c>
      <c r="AO26" s="1256">
        <v>1499</v>
      </c>
      <c r="AP26" s="1208">
        <v>1246</v>
      </c>
      <c r="AQ26" s="1256">
        <v>1038</v>
      </c>
      <c r="AR26" s="1256">
        <v>2712</v>
      </c>
      <c r="AS26" s="1714"/>
      <c r="AT26" s="1257">
        <f t="shared" si="12"/>
        <v>1674</v>
      </c>
      <c r="AU26" s="1258">
        <f t="shared" si="7"/>
        <v>2067</v>
      </c>
      <c r="AV26" s="1259">
        <f t="shared" si="8"/>
        <v>17324</v>
      </c>
      <c r="AW26" s="1230">
        <f t="shared" si="9"/>
        <v>760</v>
      </c>
      <c r="AX26" s="1130">
        <f>HLOOKUP($A$1,$AG$3:$AR$403,ROW()-2,0)/HLOOKUP($A$1,$BD$3:$BO$403,ROW()-2,0)</f>
        <v>1.389344262295082</v>
      </c>
      <c r="AY26" s="439">
        <f t="shared" si="14"/>
        <v>1.2108757950653526</v>
      </c>
      <c r="AZ26" s="1260">
        <f t="shared" si="10"/>
        <v>1443.6666666666667</v>
      </c>
      <c r="BA26" s="1261">
        <f t="shared" si="13"/>
        <v>251.41666666666674</v>
      </c>
      <c r="BD26" s="1198">
        <v>2130</v>
      </c>
      <c r="BE26" s="1199">
        <v>1968</v>
      </c>
      <c r="BF26" s="1199">
        <v>1968</v>
      </c>
      <c r="BG26" s="1199">
        <v>1968</v>
      </c>
      <c r="BH26" s="1199">
        <v>1968</v>
      </c>
      <c r="BI26" s="1199">
        <v>1968</v>
      </c>
      <c r="BJ26" s="1199">
        <v>2087</v>
      </c>
      <c r="BK26" s="1199">
        <v>1968</v>
      </c>
      <c r="BL26" s="1199">
        <v>2087</v>
      </c>
      <c r="BM26" s="1199">
        <v>1968</v>
      </c>
      <c r="BN26" s="1199">
        <v>1968</v>
      </c>
      <c r="BO26" s="1200">
        <v>1952</v>
      </c>
      <c r="BQ26" s="1198"/>
      <c r="BR26" s="1199"/>
      <c r="BS26" s="1199"/>
      <c r="BT26" s="1199"/>
      <c r="BU26" s="1199"/>
      <c r="BV26" s="1199"/>
      <c r="BW26" s="1199"/>
      <c r="BX26" s="1199"/>
      <c r="BY26" s="1199"/>
      <c r="BZ26" s="1199"/>
      <c r="CA26" s="1199"/>
      <c r="CB26" s="1200"/>
    </row>
    <row r="27" spans="1:80" x14ac:dyDescent="0.55000000000000004">
      <c r="A27" s="7358"/>
      <c r="B27" s="7367"/>
      <c r="C27" s="1593" t="s">
        <v>810</v>
      </c>
      <c r="D27" s="554">
        <v>15000</v>
      </c>
      <c r="E27" s="1125">
        <v>751</v>
      </c>
      <c r="F27" s="1125">
        <v>1349</v>
      </c>
      <c r="G27" s="1125">
        <v>2034</v>
      </c>
      <c r="H27" s="1125">
        <v>921</v>
      </c>
      <c r="I27" s="1125">
        <v>948</v>
      </c>
      <c r="J27" s="1125">
        <v>2806</v>
      </c>
      <c r="K27" s="1125">
        <v>540</v>
      </c>
      <c r="L27" s="1125">
        <v>2202</v>
      </c>
      <c r="M27" s="1125">
        <v>903</v>
      </c>
      <c r="N27" s="1125">
        <v>880</v>
      </c>
      <c r="O27" s="1125">
        <v>1228</v>
      </c>
      <c r="P27" s="1125">
        <v>200</v>
      </c>
      <c r="Q27" s="1256">
        <f t="shared" si="0"/>
        <v>14762</v>
      </c>
      <c r="R27" s="1692">
        <f t="shared" si="3"/>
        <v>1230.1666666666667</v>
      </c>
      <c r="S27" s="1390">
        <v>594</v>
      </c>
      <c r="T27" s="1256">
        <v>1805</v>
      </c>
      <c r="U27" s="1256">
        <v>1227</v>
      </c>
      <c r="V27" s="1256">
        <v>1943</v>
      </c>
      <c r="W27" s="1256">
        <v>1680</v>
      </c>
      <c r="X27" s="1256">
        <v>1391</v>
      </c>
      <c r="Y27" s="1256">
        <v>1342</v>
      </c>
      <c r="Z27" s="1256">
        <v>1544</v>
      </c>
      <c r="AA27" s="1256">
        <v>681</v>
      </c>
      <c r="AB27" s="1256">
        <v>857</v>
      </c>
      <c r="AC27" s="1256">
        <v>1459</v>
      </c>
      <c r="AD27" s="1256">
        <v>908</v>
      </c>
      <c r="AE27" s="1256">
        <f t="shared" si="4"/>
        <v>15431</v>
      </c>
      <c r="AF27" s="1692">
        <f t="shared" si="5"/>
        <v>1285.9166666666667</v>
      </c>
      <c r="AG27" s="1390">
        <v>1237</v>
      </c>
      <c r="AH27" s="1256">
        <v>1549</v>
      </c>
      <c r="AI27" s="1208">
        <v>1829</v>
      </c>
      <c r="AJ27" s="1256">
        <v>1745</v>
      </c>
      <c r="AK27" s="1208">
        <v>1466</v>
      </c>
      <c r="AL27" s="1208">
        <v>1507</v>
      </c>
      <c r="AM27" s="1256">
        <v>1549</v>
      </c>
      <c r="AN27" s="1208">
        <v>1594</v>
      </c>
      <c r="AO27" s="1256">
        <v>1312</v>
      </c>
      <c r="AP27" s="1208">
        <v>1092</v>
      </c>
      <c r="AQ27" s="1256">
        <v>1298</v>
      </c>
      <c r="AR27" s="1256">
        <v>1233</v>
      </c>
      <c r="AS27" s="1714"/>
      <c r="AT27" s="1257">
        <f t="shared" si="12"/>
        <v>-65</v>
      </c>
      <c r="AU27" s="1258">
        <f t="shared" si="7"/>
        <v>325</v>
      </c>
      <c r="AV27" s="1259">
        <f t="shared" si="8"/>
        <v>17411</v>
      </c>
      <c r="AW27" s="1231">
        <f t="shared" si="9"/>
        <v>86</v>
      </c>
      <c r="AX27" s="1130">
        <f>HLOOKUP($A$1,$AG$3:$AR$403,ROW()-2,0)/HLOOKUP($A$1,$BD$3:$BO$403,ROW()-2,0)</f>
        <v>1.0749782040104621</v>
      </c>
      <c r="AY27" s="439">
        <f t="shared" si="14"/>
        <v>1.1283131358952758</v>
      </c>
      <c r="AZ27" s="1260">
        <f t="shared" si="10"/>
        <v>1450.9166666666667</v>
      </c>
      <c r="BA27" s="1261">
        <f t="shared" si="13"/>
        <v>165</v>
      </c>
      <c r="BD27" s="1198">
        <v>1000</v>
      </c>
      <c r="BE27" s="1199">
        <v>1399</v>
      </c>
      <c r="BF27" s="1199">
        <v>1367</v>
      </c>
      <c r="BG27" s="1199">
        <v>1367</v>
      </c>
      <c r="BH27" s="1199">
        <v>1322</v>
      </c>
      <c r="BI27" s="1199">
        <v>1322</v>
      </c>
      <c r="BJ27" s="1199">
        <v>1399</v>
      </c>
      <c r="BK27" s="1199">
        <v>1322</v>
      </c>
      <c r="BL27" s="1199">
        <v>1399</v>
      </c>
      <c r="BM27" s="1199">
        <v>1294</v>
      </c>
      <c r="BN27" s="1199">
        <v>1262</v>
      </c>
      <c r="BO27" s="1200">
        <v>1147</v>
      </c>
      <c r="BQ27" s="1198"/>
      <c r="BR27" s="1199"/>
      <c r="BS27" s="1199"/>
      <c r="BT27" s="1199"/>
      <c r="BU27" s="1199"/>
      <c r="BV27" s="1199"/>
      <c r="BW27" s="1199"/>
      <c r="BX27" s="1199"/>
      <c r="BY27" s="1199"/>
      <c r="BZ27" s="1199"/>
      <c r="CA27" s="1199"/>
      <c r="CB27" s="1200"/>
    </row>
    <row r="28" spans="1:80" x14ac:dyDescent="0.55000000000000004">
      <c r="A28" s="7358"/>
      <c r="B28" s="7367"/>
      <c r="C28" s="1593" t="s">
        <v>811</v>
      </c>
      <c r="D28" s="554">
        <v>1200</v>
      </c>
      <c r="E28" s="1125">
        <v>4050</v>
      </c>
      <c r="F28" s="1125">
        <v>667</v>
      </c>
      <c r="G28" s="1125">
        <v>586</v>
      </c>
      <c r="H28" s="1125">
        <v>4620</v>
      </c>
      <c r="I28" s="1125">
        <v>933</v>
      </c>
      <c r="J28" s="1125">
        <v>3949</v>
      </c>
      <c r="K28" s="1125">
        <v>1137</v>
      </c>
      <c r="L28" s="1125">
        <v>1737</v>
      </c>
      <c r="M28" s="1125">
        <v>443</v>
      </c>
      <c r="N28" s="1125">
        <v>815</v>
      </c>
      <c r="O28" s="1125">
        <v>651</v>
      </c>
      <c r="P28" s="1125">
        <v>1587</v>
      </c>
      <c r="Q28" s="1256">
        <f t="shared" si="0"/>
        <v>21175</v>
      </c>
      <c r="R28" s="1692">
        <f t="shared" si="3"/>
        <v>1764.5833333333333</v>
      </c>
      <c r="S28" s="1390">
        <v>311</v>
      </c>
      <c r="T28" s="1256">
        <v>468</v>
      </c>
      <c r="U28" s="1256">
        <v>369</v>
      </c>
      <c r="V28" s="1256">
        <v>138</v>
      </c>
      <c r="W28" s="1256">
        <v>154</v>
      </c>
      <c r="X28" s="1256">
        <v>119</v>
      </c>
      <c r="Y28" s="1256">
        <v>103</v>
      </c>
      <c r="Z28" s="1256">
        <v>92</v>
      </c>
      <c r="AA28" s="1256">
        <v>104</v>
      </c>
      <c r="AB28" s="1256">
        <v>81</v>
      </c>
      <c r="AC28" s="1256">
        <v>78</v>
      </c>
      <c r="AD28" s="1256">
        <v>24</v>
      </c>
      <c r="AE28" s="1256">
        <f t="shared" si="4"/>
        <v>2041</v>
      </c>
      <c r="AF28" s="1692">
        <f t="shared" si="5"/>
        <v>170.08333333333334</v>
      </c>
      <c r="AG28" s="1390">
        <v>7</v>
      </c>
      <c r="AH28" s="1256">
        <v>37</v>
      </c>
      <c r="AI28" s="1208">
        <v>49</v>
      </c>
      <c r="AJ28" s="1256">
        <v>36</v>
      </c>
      <c r="AK28" s="1208">
        <v>1</v>
      </c>
      <c r="AL28" s="1208">
        <v>41</v>
      </c>
      <c r="AM28" s="1256">
        <v>35</v>
      </c>
      <c r="AN28" s="1208">
        <v>16</v>
      </c>
      <c r="AO28" s="1256">
        <v>9</v>
      </c>
      <c r="AP28" s="1208">
        <v>35</v>
      </c>
      <c r="AQ28" s="1256">
        <v>52</v>
      </c>
      <c r="AR28" s="1256">
        <v>40</v>
      </c>
      <c r="AS28" s="1714"/>
      <c r="AT28" s="1257">
        <f t="shared" si="12"/>
        <v>-12</v>
      </c>
      <c r="AU28" s="1258">
        <f t="shared" si="7"/>
        <v>16</v>
      </c>
      <c r="AV28" s="1259">
        <f t="shared" si="8"/>
        <v>358</v>
      </c>
      <c r="AW28" s="1231" t="s">
        <v>482</v>
      </c>
      <c r="AX28" s="1130" t="s">
        <v>482</v>
      </c>
      <c r="AY28" s="439">
        <f t="shared" si="14"/>
        <v>0.17540421362077413</v>
      </c>
      <c r="AZ28" s="1260">
        <f t="shared" si="10"/>
        <v>29.833333333333332</v>
      </c>
      <c r="BA28" s="1261">
        <f>AZ28-AF28</f>
        <v>-140.25</v>
      </c>
      <c r="BD28" s="1198"/>
      <c r="BE28" s="1199"/>
      <c r="BF28" s="1199"/>
      <c r="BG28" s="1199"/>
      <c r="BH28" s="1199"/>
      <c r="BI28" s="1199"/>
      <c r="BJ28" s="1199"/>
      <c r="BK28" s="1199"/>
      <c r="BL28" s="1199"/>
      <c r="BM28" s="1199"/>
      <c r="BN28" s="1199"/>
      <c r="BO28" s="1200"/>
      <c r="BQ28" s="1198"/>
      <c r="BR28" s="1199"/>
      <c r="BS28" s="1199"/>
      <c r="BT28" s="1199"/>
      <c r="BU28" s="1199"/>
      <c r="BV28" s="1199"/>
      <c r="BW28" s="1199"/>
      <c r="BX28" s="1199"/>
      <c r="BY28" s="1199"/>
      <c r="BZ28" s="1199"/>
      <c r="CA28" s="1199"/>
      <c r="CB28" s="1200"/>
    </row>
    <row r="29" spans="1:80" x14ac:dyDescent="0.55000000000000004">
      <c r="A29" s="7358"/>
      <c r="B29" s="7367"/>
      <c r="C29" s="1593" t="s">
        <v>812</v>
      </c>
      <c r="D29" s="554">
        <v>6458.1</v>
      </c>
      <c r="E29" s="1125">
        <v>574</v>
      </c>
      <c r="F29" s="1125">
        <v>695</v>
      </c>
      <c r="G29" s="1125">
        <v>531</v>
      </c>
      <c r="H29" s="1125">
        <v>310</v>
      </c>
      <c r="I29" s="1125">
        <v>634</v>
      </c>
      <c r="J29" s="1125">
        <v>1002</v>
      </c>
      <c r="K29" s="1125">
        <v>455</v>
      </c>
      <c r="L29" s="1125">
        <v>533</v>
      </c>
      <c r="M29" s="1125">
        <v>314</v>
      </c>
      <c r="N29" s="1125">
        <v>374</v>
      </c>
      <c r="O29" s="1125">
        <v>276</v>
      </c>
      <c r="P29" s="1125">
        <v>173</v>
      </c>
      <c r="Q29" s="1256">
        <f t="shared" si="0"/>
        <v>5871</v>
      </c>
      <c r="R29" s="1692">
        <f t="shared" si="3"/>
        <v>489.25</v>
      </c>
      <c r="S29" s="1390">
        <v>189</v>
      </c>
      <c r="T29" s="1256">
        <v>239</v>
      </c>
      <c r="U29" s="1256">
        <v>361</v>
      </c>
      <c r="V29" s="1256">
        <v>303</v>
      </c>
      <c r="W29" s="1256">
        <v>251</v>
      </c>
      <c r="X29" s="1256">
        <v>468</v>
      </c>
      <c r="Y29" s="1256">
        <v>443</v>
      </c>
      <c r="Z29" s="1256">
        <v>303</v>
      </c>
      <c r="AA29" s="1256">
        <v>1077</v>
      </c>
      <c r="AB29" s="1256">
        <v>189</v>
      </c>
      <c r="AC29" s="1256">
        <v>431</v>
      </c>
      <c r="AD29" s="1256">
        <v>312</v>
      </c>
      <c r="AE29" s="1256">
        <f t="shared" si="4"/>
        <v>4566</v>
      </c>
      <c r="AF29" s="1692">
        <f t="shared" si="5"/>
        <v>380.5</v>
      </c>
      <c r="AG29" s="1390">
        <v>288</v>
      </c>
      <c r="AH29" s="1256">
        <v>265</v>
      </c>
      <c r="AI29" s="1208">
        <v>521</v>
      </c>
      <c r="AJ29" s="1256">
        <v>201</v>
      </c>
      <c r="AK29" s="1208">
        <v>607</v>
      </c>
      <c r="AL29" s="1208">
        <v>364</v>
      </c>
      <c r="AM29" s="1256">
        <v>2062</v>
      </c>
      <c r="AN29" s="1208">
        <v>349</v>
      </c>
      <c r="AO29" s="1256">
        <v>465</v>
      </c>
      <c r="AP29" s="1208">
        <v>206</v>
      </c>
      <c r="AQ29" s="1256">
        <v>361</v>
      </c>
      <c r="AR29" s="1256">
        <v>2106</v>
      </c>
      <c r="AS29" s="1714"/>
      <c r="AT29" s="1257">
        <f t="shared" si="12"/>
        <v>1745</v>
      </c>
      <c r="AU29" s="1258">
        <f t="shared" si="7"/>
        <v>1794</v>
      </c>
      <c r="AV29" s="1259">
        <f t="shared" si="8"/>
        <v>7795</v>
      </c>
      <c r="AW29" s="1231" t="s">
        <v>482</v>
      </c>
      <c r="AX29" s="1130" t="s">
        <v>482</v>
      </c>
      <c r="AY29" s="439">
        <f t="shared" si="14"/>
        <v>1.7071835304424003</v>
      </c>
      <c r="AZ29" s="1260">
        <f t="shared" si="10"/>
        <v>649.58333333333337</v>
      </c>
      <c r="BA29" s="1261">
        <f t="shared" si="13"/>
        <v>269.08333333333337</v>
      </c>
      <c r="BD29" s="1201"/>
      <c r="BE29" s="1202"/>
      <c r="BF29" s="1202"/>
      <c r="BG29" s="1202"/>
      <c r="BH29" s="1202"/>
      <c r="BI29" s="1202"/>
      <c r="BJ29" s="1202"/>
      <c r="BK29" s="1202"/>
      <c r="BL29" s="1202"/>
      <c r="BM29" s="1202"/>
      <c r="BN29" s="1202"/>
      <c r="BO29" s="1203"/>
      <c r="BQ29" s="1201"/>
      <c r="BR29" s="1202"/>
      <c r="BS29" s="1202"/>
      <c r="BT29" s="1202"/>
      <c r="BU29" s="1202"/>
      <c r="BV29" s="1202"/>
      <c r="BW29" s="1202"/>
      <c r="BX29" s="1202"/>
      <c r="BY29" s="1202"/>
      <c r="BZ29" s="1202"/>
      <c r="CA29" s="1202"/>
      <c r="CB29" s="1203"/>
    </row>
    <row r="30" spans="1:80" x14ac:dyDescent="0.55000000000000004">
      <c r="A30" s="7358"/>
      <c r="B30" s="7367"/>
      <c r="C30" s="1593" t="s">
        <v>813</v>
      </c>
      <c r="D30" s="554">
        <v>9914.3000000000011</v>
      </c>
      <c r="E30" s="1125">
        <v>594</v>
      </c>
      <c r="F30" s="1125">
        <v>974</v>
      </c>
      <c r="G30" s="1125">
        <v>1560</v>
      </c>
      <c r="H30" s="1125">
        <v>255</v>
      </c>
      <c r="I30" s="1125">
        <v>1277</v>
      </c>
      <c r="J30" s="1125">
        <v>3296</v>
      </c>
      <c r="K30" s="1125">
        <v>-173</v>
      </c>
      <c r="L30" s="1125">
        <v>2194</v>
      </c>
      <c r="M30" s="1125">
        <v>-1620</v>
      </c>
      <c r="N30" s="1125">
        <v>324</v>
      </c>
      <c r="O30" s="1125">
        <v>585</v>
      </c>
      <c r="P30" s="1125">
        <v>-253</v>
      </c>
      <c r="Q30" s="1256">
        <f t="shared" si="0"/>
        <v>9013</v>
      </c>
      <c r="R30" s="1692">
        <f t="shared" si="3"/>
        <v>751.08333333333337</v>
      </c>
      <c r="S30" s="1390">
        <v>541</v>
      </c>
      <c r="T30" s="1256">
        <v>281</v>
      </c>
      <c r="U30" s="1256">
        <v>779</v>
      </c>
      <c r="V30" s="1256">
        <v>1362</v>
      </c>
      <c r="W30" s="1256">
        <v>182</v>
      </c>
      <c r="X30" s="1256">
        <v>1190</v>
      </c>
      <c r="Y30" s="1256">
        <v>1048</v>
      </c>
      <c r="Z30" s="1256">
        <v>485</v>
      </c>
      <c r="AA30" s="1256">
        <v>997</v>
      </c>
      <c r="AB30" s="1256">
        <v>473</v>
      </c>
      <c r="AC30" s="1256">
        <v>698</v>
      </c>
      <c r="AD30" s="1256">
        <v>246</v>
      </c>
      <c r="AE30" s="1256">
        <f t="shared" si="4"/>
        <v>8282</v>
      </c>
      <c r="AF30" s="1692">
        <f t="shared" si="5"/>
        <v>690.16666666666663</v>
      </c>
      <c r="AG30" s="1390">
        <v>-104</v>
      </c>
      <c r="AH30" s="1256">
        <v>-203</v>
      </c>
      <c r="AI30" s="1208">
        <v>147</v>
      </c>
      <c r="AJ30" s="1256">
        <v>84</v>
      </c>
      <c r="AK30" s="1208">
        <v>526</v>
      </c>
      <c r="AL30" s="1208">
        <v>115</v>
      </c>
      <c r="AM30" s="1256">
        <v>2050</v>
      </c>
      <c r="AN30" s="1208">
        <v>-246</v>
      </c>
      <c r="AO30" s="1256">
        <v>409</v>
      </c>
      <c r="AP30" s="1208">
        <v>-12</v>
      </c>
      <c r="AQ30" s="1256">
        <v>355</v>
      </c>
      <c r="AR30" s="1256">
        <v>1532</v>
      </c>
      <c r="AS30" s="1714"/>
      <c r="AT30" s="1257">
        <f t="shared" si="12"/>
        <v>1177</v>
      </c>
      <c r="AU30" s="1258">
        <f t="shared" si="7"/>
        <v>1286</v>
      </c>
      <c r="AV30" s="1259">
        <f t="shared" si="8"/>
        <v>4653</v>
      </c>
      <c r="AW30" s="1231" t="s">
        <v>482</v>
      </c>
      <c r="AX30" s="1130" t="s">
        <v>482</v>
      </c>
      <c r="AY30" s="439">
        <f t="shared" si="14"/>
        <v>0.56182081622796431</v>
      </c>
      <c r="AZ30" s="1260">
        <f t="shared" si="10"/>
        <v>387.75</v>
      </c>
      <c r="BA30" s="1261">
        <f t="shared" si="13"/>
        <v>-302.41666666666663</v>
      </c>
      <c r="BD30" s="1201"/>
      <c r="BE30" s="1202"/>
      <c r="BF30" s="1202"/>
      <c r="BG30" s="1202"/>
      <c r="BH30" s="1202"/>
      <c r="BI30" s="1202"/>
      <c r="BJ30" s="1202"/>
      <c r="BK30" s="1202"/>
      <c r="BL30" s="1202"/>
      <c r="BM30" s="1202"/>
      <c r="BN30" s="1202"/>
      <c r="BO30" s="1203"/>
      <c r="BQ30" s="1201"/>
      <c r="BR30" s="1202"/>
      <c r="BS30" s="1202"/>
      <c r="BT30" s="1202"/>
      <c r="BU30" s="1202"/>
      <c r="BV30" s="1202"/>
      <c r="BW30" s="1202"/>
      <c r="BX30" s="1202"/>
      <c r="BY30" s="1202"/>
      <c r="BZ30" s="1202"/>
      <c r="CA30" s="1202"/>
      <c r="CB30" s="1203"/>
    </row>
    <row r="31" spans="1:80" x14ac:dyDescent="0.55000000000000004">
      <c r="A31" s="7358"/>
      <c r="B31" s="7367"/>
      <c r="C31" s="1593" t="s">
        <v>103</v>
      </c>
      <c r="D31" s="554">
        <v>8000</v>
      </c>
      <c r="E31" s="1125">
        <v>0</v>
      </c>
      <c r="F31" s="1125">
        <v>0</v>
      </c>
      <c r="G31" s="1125">
        <v>0</v>
      </c>
      <c r="H31" s="1125">
        <v>0</v>
      </c>
      <c r="I31" s="1125">
        <v>0</v>
      </c>
      <c r="J31" s="1125">
        <v>0</v>
      </c>
      <c r="K31" s="1125">
        <v>0</v>
      </c>
      <c r="L31" s="1125">
        <v>0</v>
      </c>
      <c r="M31" s="1125">
        <v>0</v>
      </c>
      <c r="N31" s="1125">
        <v>0</v>
      </c>
      <c r="O31" s="1125">
        <v>0</v>
      </c>
      <c r="P31" s="1125">
        <v>0</v>
      </c>
      <c r="Q31" s="1256">
        <f t="shared" si="0"/>
        <v>0</v>
      </c>
      <c r="R31" s="1692">
        <f t="shared" si="3"/>
        <v>0</v>
      </c>
      <c r="S31" s="1390"/>
      <c r="T31" s="1256">
        <v>1</v>
      </c>
      <c r="U31" s="1256">
        <v>20</v>
      </c>
      <c r="V31" s="1256">
        <v>275</v>
      </c>
      <c r="W31" s="1256">
        <v>97</v>
      </c>
      <c r="X31" s="1256">
        <v>1</v>
      </c>
      <c r="Y31" s="1256">
        <v>1250</v>
      </c>
      <c r="Z31" s="1256">
        <v>3</v>
      </c>
      <c r="AA31" s="1256">
        <v>352</v>
      </c>
      <c r="AB31" s="1256">
        <v>6</v>
      </c>
      <c r="AC31" s="1256">
        <v>89</v>
      </c>
      <c r="AD31" s="1256">
        <v>0</v>
      </c>
      <c r="AE31" s="1256">
        <f t="shared" si="4"/>
        <v>2094</v>
      </c>
      <c r="AF31" s="1692">
        <f t="shared" si="5"/>
        <v>190.36363636363637</v>
      </c>
      <c r="AG31" s="1390">
        <v>81</v>
      </c>
      <c r="AH31" s="1256">
        <v>190</v>
      </c>
      <c r="AI31" s="1208">
        <v>36</v>
      </c>
      <c r="AJ31" s="1256">
        <v>196</v>
      </c>
      <c r="AK31" s="1208">
        <v>101</v>
      </c>
      <c r="AL31" s="1208">
        <v>242</v>
      </c>
      <c r="AM31" s="1256">
        <v>413</v>
      </c>
      <c r="AN31" s="1208">
        <v>166</v>
      </c>
      <c r="AO31" s="1256">
        <v>621</v>
      </c>
      <c r="AP31" s="1208">
        <v>172</v>
      </c>
      <c r="AQ31" s="1256">
        <v>116</v>
      </c>
      <c r="AR31" s="1256">
        <v>232</v>
      </c>
      <c r="AS31" s="1714"/>
      <c r="AT31" s="1257">
        <f t="shared" si="12"/>
        <v>116</v>
      </c>
      <c r="AU31" s="1258">
        <f t="shared" si="7"/>
        <v>232</v>
      </c>
      <c r="AV31" s="1259">
        <f t="shared" si="8"/>
        <v>2566</v>
      </c>
      <c r="AW31" s="1231" t="s">
        <v>482</v>
      </c>
      <c r="AX31" s="1130" t="s">
        <v>482</v>
      </c>
      <c r="AY31" s="439">
        <f t="shared" si="14"/>
        <v>1.2254059216809934</v>
      </c>
      <c r="AZ31" s="1260">
        <f t="shared" si="10"/>
        <v>213.83333333333334</v>
      </c>
      <c r="BA31" s="1261">
        <f t="shared" si="13"/>
        <v>23.469696969696969</v>
      </c>
      <c r="BD31" s="1201"/>
      <c r="BE31" s="1202"/>
      <c r="BF31" s="1202"/>
      <c r="BG31" s="1202"/>
      <c r="BH31" s="1202"/>
      <c r="BI31" s="1202"/>
      <c r="BJ31" s="1202"/>
      <c r="BK31" s="1202"/>
      <c r="BL31" s="1202"/>
      <c r="BM31" s="1202"/>
      <c r="BN31" s="1202"/>
      <c r="BO31" s="1203"/>
      <c r="BQ31" s="1201"/>
      <c r="BR31" s="1202"/>
      <c r="BS31" s="1202"/>
      <c r="BT31" s="1202"/>
      <c r="BU31" s="1202"/>
      <c r="BV31" s="1202"/>
      <c r="BW31" s="1202"/>
      <c r="BX31" s="1202"/>
      <c r="BY31" s="1202"/>
      <c r="BZ31" s="1202"/>
      <c r="CA31" s="1202"/>
      <c r="CB31" s="1203"/>
    </row>
    <row r="32" spans="1:80" ht="18" thickBot="1" x14ac:dyDescent="0.6">
      <c r="A32" s="7359"/>
      <c r="B32" s="7368"/>
      <c r="C32" s="1693" t="s">
        <v>814</v>
      </c>
      <c r="D32" s="1694">
        <v>0</v>
      </c>
      <c r="E32" s="1695">
        <v>0</v>
      </c>
      <c r="F32" s="1695">
        <v>0</v>
      </c>
      <c r="G32" s="1695">
        <v>0</v>
      </c>
      <c r="H32" s="1695">
        <v>0</v>
      </c>
      <c r="I32" s="1695">
        <v>43</v>
      </c>
      <c r="J32" s="1695">
        <v>15</v>
      </c>
      <c r="K32" s="1695">
        <v>38</v>
      </c>
      <c r="L32" s="1695">
        <v>1</v>
      </c>
      <c r="M32" s="1695">
        <v>38</v>
      </c>
      <c r="N32" s="1695">
        <v>0</v>
      </c>
      <c r="O32" s="1695">
        <v>63</v>
      </c>
      <c r="P32" s="1695">
        <v>0</v>
      </c>
      <c r="Q32" s="1696">
        <f t="shared" si="0"/>
        <v>198</v>
      </c>
      <c r="R32" s="1697">
        <f t="shared" si="3"/>
        <v>16.5</v>
      </c>
      <c r="S32" s="1711">
        <v>0</v>
      </c>
      <c r="T32" s="1696">
        <v>4</v>
      </c>
      <c r="U32" s="1696">
        <v>40</v>
      </c>
      <c r="V32" s="1696">
        <v>73</v>
      </c>
      <c r="W32" s="1696">
        <v>6</v>
      </c>
      <c r="X32" s="1696">
        <v>0</v>
      </c>
      <c r="Y32" s="1696">
        <v>0</v>
      </c>
      <c r="Z32" s="1696">
        <v>0</v>
      </c>
      <c r="AA32" s="1696">
        <v>0</v>
      </c>
      <c r="AB32" s="1696">
        <v>0</v>
      </c>
      <c r="AC32" s="1696">
        <v>0</v>
      </c>
      <c r="AD32" s="1696">
        <v>0</v>
      </c>
      <c r="AE32" s="1696">
        <f t="shared" si="4"/>
        <v>123</v>
      </c>
      <c r="AF32" s="1697">
        <f t="shared" si="5"/>
        <v>10.25</v>
      </c>
      <c r="AG32" s="1711">
        <v>4</v>
      </c>
      <c r="AH32" s="1696">
        <v>0</v>
      </c>
      <c r="AI32" s="1696">
        <v>24</v>
      </c>
      <c r="AJ32" s="1696">
        <v>16</v>
      </c>
      <c r="AK32" s="1696">
        <v>21</v>
      </c>
      <c r="AL32" s="1696">
        <v>0</v>
      </c>
      <c r="AM32" s="1696">
        <v>0</v>
      </c>
      <c r="AN32" s="1696"/>
      <c r="AO32" s="1696"/>
      <c r="AP32" s="1696"/>
      <c r="AQ32" s="1696"/>
      <c r="AR32" s="1696"/>
      <c r="AS32" s="1717"/>
      <c r="AT32" s="1269">
        <f t="shared" si="12"/>
        <v>0</v>
      </c>
      <c r="AU32" s="1270">
        <f t="shared" si="7"/>
        <v>0</v>
      </c>
      <c r="AV32" s="1271">
        <f t="shared" si="8"/>
        <v>65</v>
      </c>
      <c r="AW32" s="1243" t="s">
        <v>482</v>
      </c>
      <c r="AX32" s="1244" t="s">
        <v>482</v>
      </c>
      <c r="AY32" s="1272">
        <f t="shared" si="14"/>
        <v>0.52845528455284552</v>
      </c>
      <c r="AZ32" s="1273">
        <f t="shared" si="10"/>
        <v>5.416666666666667</v>
      </c>
      <c r="BA32" s="1274">
        <f t="shared" si="13"/>
        <v>-4.833333333333333</v>
      </c>
      <c r="BD32" s="1204"/>
      <c r="BE32" s="1205"/>
      <c r="BF32" s="1205"/>
      <c r="BG32" s="1205"/>
      <c r="BH32" s="1205"/>
      <c r="BI32" s="1205"/>
      <c r="BJ32" s="1205"/>
      <c r="BK32" s="1205"/>
      <c r="BL32" s="1205"/>
      <c r="BM32" s="1205"/>
      <c r="BN32" s="1205"/>
      <c r="BO32" s="1206"/>
      <c r="BQ32" s="1204"/>
      <c r="BR32" s="1205"/>
      <c r="BS32" s="1205"/>
      <c r="BT32" s="1205"/>
      <c r="BU32" s="1205"/>
      <c r="BV32" s="1205"/>
      <c r="BW32" s="1205"/>
      <c r="BX32" s="1205"/>
      <c r="BY32" s="1205"/>
      <c r="BZ32" s="1205"/>
      <c r="CA32" s="1205"/>
      <c r="CB32" s="1206"/>
    </row>
    <row r="33" spans="1:80" ht="18" thickBot="1" x14ac:dyDescent="0.6">
      <c r="Q33" s="1126"/>
      <c r="R33" s="112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865"/>
      <c r="AH33" s="146"/>
      <c r="AJ33" s="146"/>
      <c r="AM33" s="146"/>
      <c r="AO33" s="146"/>
      <c r="AQ33" s="146"/>
      <c r="AR33" s="146"/>
      <c r="AS33" s="146"/>
      <c r="AT33" s="1239"/>
      <c r="AU33" s="1239"/>
    </row>
    <row r="34" spans="1:80" ht="18" thickBot="1" x14ac:dyDescent="0.6">
      <c r="A34" s="1234"/>
      <c r="B34" s="1234"/>
      <c r="C34" s="1247"/>
      <c r="D34" s="1718"/>
      <c r="E34" s="1721" t="s">
        <v>512</v>
      </c>
      <c r="F34" s="988" t="s">
        <v>369</v>
      </c>
      <c r="G34" s="988" t="s">
        <v>370</v>
      </c>
      <c r="H34" s="988" t="s">
        <v>371</v>
      </c>
      <c r="I34" s="988" t="s">
        <v>372</v>
      </c>
      <c r="J34" s="988" t="s">
        <v>373</v>
      </c>
      <c r="K34" s="988" t="s">
        <v>374</v>
      </c>
      <c r="L34" s="988" t="s">
        <v>375</v>
      </c>
      <c r="M34" s="988" t="s">
        <v>376</v>
      </c>
      <c r="N34" s="988" t="s">
        <v>377</v>
      </c>
      <c r="O34" s="988" t="s">
        <v>378</v>
      </c>
      <c r="P34" s="988" t="s">
        <v>379</v>
      </c>
      <c r="Q34" s="1722" t="s">
        <v>412</v>
      </c>
      <c r="R34" s="1722" t="s">
        <v>367</v>
      </c>
      <c r="S34" s="1720" t="s">
        <v>524</v>
      </c>
      <c r="T34" s="1384" t="s">
        <v>3</v>
      </c>
      <c r="U34" s="1384" t="s">
        <v>525</v>
      </c>
      <c r="V34" s="1384" t="s">
        <v>358</v>
      </c>
      <c r="W34" s="1384" t="s">
        <v>359</v>
      </c>
      <c r="X34" s="1384" t="s">
        <v>360</v>
      </c>
      <c r="Y34" s="1384" t="s">
        <v>361</v>
      </c>
      <c r="Z34" s="1384" t="s">
        <v>362</v>
      </c>
      <c r="AA34" s="1384" t="s">
        <v>363</v>
      </c>
      <c r="AB34" s="1384" t="s">
        <v>364</v>
      </c>
      <c r="AC34" s="1384" t="s">
        <v>365</v>
      </c>
      <c r="AD34" s="1384" t="s">
        <v>366</v>
      </c>
      <c r="AE34" s="1384" t="s">
        <v>413</v>
      </c>
      <c r="AF34" s="1384" t="s">
        <v>367</v>
      </c>
      <c r="AG34" s="2207" t="s">
        <v>1020</v>
      </c>
      <c r="AH34" s="987" t="s">
        <v>1022</v>
      </c>
      <c r="AI34" s="987" t="s">
        <v>1024</v>
      </c>
      <c r="AJ34" s="987" t="s">
        <v>1025</v>
      </c>
      <c r="AK34" s="987" t="s">
        <v>1026</v>
      </c>
      <c r="AL34" s="987" t="s">
        <v>1027</v>
      </c>
      <c r="AM34" s="987" t="s">
        <v>1028</v>
      </c>
      <c r="AN34" s="987" t="s">
        <v>1029</v>
      </c>
      <c r="AO34" s="987" t="s">
        <v>1030</v>
      </c>
      <c r="AP34" s="987" t="s">
        <v>1031</v>
      </c>
      <c r="AQ34" s="987" t="s">
        <v>1032</v>
      </c>
      <c r="AR34" s="987" t="s">
        <v>1033</v>
      </c>
      <c r="AS34" s="1723"/>
      <c r="AT34" s="1235" t="s">
        <v>776</v>
      </c>
      <c r="AU34" s="1236" t="s">
        <v>817</v>
      </c>
      <c r="BD34" s="1207"/>
      <c r="BE34" s="1207"/>
      <c r="BF34" s="1207"/>
      <c r="BG34" s="1207"/>
      <c r="BH34" s="1207"/>
      <c r="BI34" s="1207"/>
      <c r="BJ34" s="1207"/>
      <c r="BK34" s="1207"/>
      <c r="BL34" s="1207"/>
      <c r="BM34" s="1207"/>
      <c r="BN34" s="1207"/>
      <c r="BO34" s="1207"/>
      <c r="BQ34" s="1207"/>
      <c r="BR34" s="1207"/>
      <c r="BS34" s="1207"/>
      <c r="BT34" s="1207"/>
      <c r="BU34" s="1207"/>
      <c r="BV34" s="1207"/>
      <c r="BW34" s="1207"/>
      <c r="BX34" s="1207"/>
      <c r="BY34" s="1207"/>
      <c r="BZ34" s="1207"/>
      <c r="CA34" s="1207"/>
      <c r="CB34" s="1207"/>
    </row>
    <row r="35" spans="1:80" x14ac:dyDescent="0.55000000000000004">
      <c r="A35" s="7360" t="s">
        <v>824</v>
      </c>
      <c r="B35" s="7360" t="s">
        <v>807</v>
      </c>
      <c r="C35" s="7376" t="s">
        <v>818</v>
      </c>
      <c r="D35" s="280" t="s">
        <v>819</v>
      </c>
      <c r="E35" s="280">
        <v>195948</v>
      </c>
      <c r="F35" s="280">
        <v>197531</v>
      </c>
      <c r="G35" s="280">
        <v>199620</v>
      </c>
      <c r="H35" s="280">
        <v>200258</v>
      </c>
      <c r="I35" s="280">
        <v>202597</v>
      </c>
      <c r="J35" s="280">
        <v>207684</v>
      </c>
      <c r="K35" s="280">
        <v>207674</v>
      </c>
      <c r="L35" s="280">
        <v>208894</v>
      </c>
      <c r="M35" s="280">
        <v>207656</v>
      </c>
      <c r="N35" s="280">
        <v>208388</v>
      </c>
      <c r="O35" s="280">
        <v>208470</v>
      </c>
      <c r="P35" s="280">
        <v>208459</v>
      </c>
      <c r="Q35" s="280">
        <f>P35</f>
        <v>208459</v>
      </c>
      <c r="R35" s="280">
        <f t="shared" ref="R35:R46" si="15">AVERAGE(E35:P35)</f>
        <v>204431.58333333334</v>
      </c>
      <c r="S35" s="1391">
        <v>208555</v>
      </c>
      <c r="T35" s="1212">
        <v>208695</v>
      </c>
      <c r="U35" s="1212">
        <v>211904</v>
      </c>
      <c r="V35" s="1212">
        <v>208937</v>
      </c>
      <c r="W35" s="1212">
        <v>207650</v>
      </c>
      <c r="X35" s="1212">
        <v>208899</v>
      </c>
      <c r="Y35" s="1212">
        <v>210100</v>
      </c>
      <c r="Z35" s="1212">
        <v>211765</v>
      </c>
      <c r="AA35" s="1212">
        <v>212032</v>
      </c>
      <c r="AB35" s="1212">
        <v>210277</v>
      </c>
      <c r="AC35" s="1212">
        <v>206568</v>
      </c>
      <c r="AD35" s="1212">
        <v>206181</v>
      </c>
      <c r="AE35" s="1212">
        <f>AD35</f>
        <v>206181</v>
      </c>
      <c r="AF35" s="280">
        <f t="shared" ref="AF35:AF46" si="16">AVERAGE(S35:AD35)</f>
        <v>209296.91666666666</v>
      </c>
      <c r="AG35" s="1209">
        <v>205703</v>
      </c>
      <c r="AH35" s="1212">
        <v>207462</v>
      </c>
      <c r="AI35" s="2226">
        <f>AI39+AI43</f>
        <v>208858</v>
      </c>
      <c r="AJ35" s="1212">
        <v>208833</v>
      </c>
      <c r="AK35" s="2226">
        <f>AK39+AK43</f>
        <v>209196</v>
      </c>
      <c r="AL35" s="2226">
        <v>212535</v>
      </c>
      <c r="AM35" s="1212">
        <v>213809</v>
      </c>
      <c r="AN35" s="2226">
        <v>210781</v>
      </c>
      <c r="AO35" s="1212">
        <v>210088</v>
      </c>
      <c r="AP35" s="2226">
        <v>208108</v>
      </c>
      <c r="AQ35" s="1212">
        <v>208510</v>
      </c>
      <c r="AR35" s="1212">
        <v>207314</v>
      </c>
      <c r="AS35" s="1724"/>
      <c r="AT35" s="1210">
        <f t="shared" ref="AT35:AT46" si="17">HLOOKUP($A$1,$AG$3:$AS$505,ROW()-2,0)-HLOOKUP($A$1-1,$AG$3:$AS$505,ROW()-2,1)</f>
        <v>-1196</v>
      </c>
      <c r="AU35" s="1211">
        <f t="shared" ref="AU35:AU46" si="18">HLOOKUP($A$1,$AG$3:$AR$403,ROW()-2,0)-AD35</f>
        <v>1133</v>
      </c>
      <c r="AV35" s="1386"/>
      <c r="BD35" s="1208"/>
      <c r="BE35" s="1208"/>
      <c r="BF35" s="1208"/>
      <c r="BG35" s="1208"/>
      <c r="BH35" s="1208"/>
      <c r="BI35" s="1208"/>
      <c r="BJ35" s="1208"/>
      <c r="BK35" s="1208"/>
      <c r="BL35" s="1208"/>
      <c r="BM35" s="1208"/>
      <c r="BN35" s="1208"/>
      <c r="BO35" s="1208"/>
      <c r="BQ35" s="1208"/>
      <c r="BR35" s="1208"/>
      <c r="BS35" s="1208"/>
      <c r="BT35" s="1208"/>
      <c r="BU35" s="1208"/>
      <c r="BV35" s="1208"/>
      <c r="BW35" s="1208"/>
      <c r="BX35" s="1208"/>
      <c r="BY35" s="1208"/>
      <c r="BZ35" s="1208"/>
      <c r="CA35" s="1208"/>
      <c r="CB35" s="1208"/>
    </row>
    <row r="36" spans="1:80" x14ac:dyDescent="0.55000000000000004">
      <c r="A36" s="7360"/>
      <c r="B36" s="7360"/>
      <c r="C36" s="7376"/>
      <c r="D36" s="280" t="s">
        <v>820</v>
      </c>
      <c r="E36" s="280">
        <v>411876</v>
      </c>
      <c r="F36" s="280">
        <v>406172</v>
      </c>
      <c r="G36" s="280">
        <v>394966</v>
      </c>
      <c r="H36" s="280">
        <v>397471</v>
      </c>
      <c r="I36" s="280">
        <v>397780</v>
      </c>
      <c r="J36" s="280">
        <v>398545</v>
      </c>
      <c r="K36" s="280">
        <v>400986</v>
      </c>
      <c r="L36" s="280">
        <v>404550</v>
      </c>
      <c r="M36" s="280">
        <v>410132</v>
      </c>
      <c r="N36" s="280">
        <v>413864</v>
      </c>
      <c r="O36" s="280">
        <v>419133</v>
      </c>
      <c r="P36" s="280">
        <v>422904</v>
      </c>
      <c r="Q36" s="280">
        <f t="shared" ref="Q36:Q46" si="19">P36</f>
        <v>422904</v>
      </c>
      <c r="R36" s="280">
        <f t="shared" si="15"/>
        <v>406531.58333333331</v>
      </c>
      <c r="S36" s="1391">
        <v>423790</v>
      </c>
      <c r="T36" s="1212">
        <v>407221</v>
      </c>
      <c r="U36" s="1212">
        <v>407097</v>
      </c>
      <c r="V36" s="1212">
        <v>387138</v>
      </c>
      <c r="W36" s="1212">
        <v>374845</v>
      </c>
      <c r="X36" s="1212">
        <v>374952</v>
      </c>
      <c r="Y36" s="1212">
        <v>370571</v>
      </c>
      <c r="Z36" s="1212">
        <v>362880</v>
      </c>
      <c r="AA36" s="1212">
        <v>360824</v>
      </c>
      <c r="AB36" s="1212">
        <v>360009</v>
      </c>
      <c r="AC36" s="1212">
        <v>354826</v>
      </c>
      <c r="AD36" s="1212">
        <v>356314</v>
      </c>
      <c r="AE36" s="1212">
        <f t="shared" ref="AE36:AE46" si="20">AD36</f>
        <v>356314</v>
      </c>
      <c r="AF36" s="280">
        <f t="shared" si="16"/>
        <v>378372.25</v>
      </c>
      <c r="AG36" s="1209">
        <v>358494</v>
      </c>
      <c r="AH36" s="1212">
        <v>354156</v>
      </c>
      <c r="AI36" s="2226">
        <f t="shared" ref="AI36:AI38" si="21">AI40+AI44</f>
        <v>348871</v>
      </c>
      <c r="AJ36" s="1212">
        <v>353902</v>
      </c>
      <c r="AK36" s="2226">
        <f t="shared" ref="AK36:AK38" si="22">AK40+AK44</f>
        <v>355492</v>
      </c>
      <c r="AL36" s="2226">
        <v>351132</v>
      </c>
      <c r="AM36" s="1212">
        <v>351707</v>
      </c>
      <c r="AN36" s="2226">
        <v>350124</v>
      </c>
      <c r="AO36" s="1212">
        <v>354929</v>
      </c>
      <c r="AP36" s="2226">
        <v>351714</v>
      </c>
      <c r="AQ36" s="1212">
        <v>351854</v>
      </c>
      <c r="AR36" s="1212">
        <v>352183</v>
      </c>
      <c r="AS36" s="1724"/>
      <c r="AT36" s="1210">
        <f t="shared" si="17"/>
        <v>329</v>
      </c>
      <c r="AU36" s="1211">
        <f>HLOOKUP($A$1,$AG$3:$AR$403,ROW()-2,0)-AD36</f>
        <v>-4131</v>
      </c>
      <c r="AV36" s="1386"/>
      <c r="BD36" s="1208"/>
      <c r="BE36" s="1208"/>
      <c r="BF36" s="1208"/>
      <c r="BG36" s="1208"/>
      <c r="BH36" s="1208"/>
      <c r="BI36" s="1208"/>
      <c r="BJ36" s="1208"/>
      <c r="BK36" s="1208"/>
      <c r="BL36" s="1208"/>
      <c r="BM36" s="1208"/>
      <c r="BN36" s="1208"/>
      <c r="BO36" s="1208"/>
      <c r="BQ36" s="1208"/>
      <c r="BR36" s="1208"/>
      <c r="BS36" s="1208"/>
      <c r="BT36" s="1208"/>
      <c r="BU36" s="1208"/>
      <c r="BV36" s="1208"/>
      <c r="BW36" s="1208"/>
      <c r="BX36" s="1208"/>
      <c r="BY36" s="1208"/>
      <c r="BZ36" s="1208"/>
      <c r="CA36" s="1208"/>
      <c r="CB36" s="1208"/>
    </row>
    <row r="37" spans="1:80" x14ac:dyDescent="0.55000000000000004">
      <c r="A37" s="7360"/>
      <c r="B37" s="7360"/>
      <c r="C37" s="7376" t="s">
        <v>821</v>
      </c>
      <c r="D37" s="280" t="s">
        <v>819</v>
      </c>
      <c r="E37" s="280">
        <v>186240</v>
      </c>
      <c r="F37" s="280">
        <v>188277</v>
      </c>
      <c r="G37" s="280">
        <v>191487</v>
      </c>
      <c r="H37" s="280">
        <v>192210</v>
      </c>
      <c r="I37" s="280">
        <v>194982</v>
      </c>
      <c r="J37" s="280">
        <v>200121</v>
      </c>
      <c r="K37" s="280">
        <v>200732</v>
      </c>
      <c r="L37" s="280">
        <v>201820</v>
      </c>
      <c r="M37" s="280">
        <v>200799</v>
      </c>
      <c r="N37" s="280">
        <v>201619</v>
      </c>
      <c r="O37" s="280">
        <v>198413</v>
      </c>
      <c r="P37" s="280">
        <v>193239</v>
      </c>
      <c r="Q37" s="280">
        <f t="shared" si="19"/>
        <v>193239</v>
      </c>
      <c r="R37" s="280">
        <f t="shared" si="15"/>
        <v>195828.25</v>
      </c>
      <c r="S37" s="1391">
        <v>192733</v>
      </c>
      <c r="T37" s="1212">
        <v>194304</v>
      </c>
      <c r="U37" s="1212">
        <v>197471</v>
      </c>
      <c r="V37" s="1212">
        <v>195186</v>
      </c>
      <c r="W37" s="1212">
        <v>193283</v>
      </c>
      <c r="X37" s="1212">
        <v>195773</v>
      </c>
      <c r="Y37" s="1212">
        <v>195746</v>
      </c>
      <c r="Z37" s="1212">
        <v>196850</v>
      </c>
      <c r="AA37" s="1212">
        <v>196262</v>
      </c>
      <c r="AB37" s="1212">
        <v>196653</v>
      </c>
      <c r="AC37" s="1212">
        <v>197356</v>
      </c>
      <c r="AD37" s="1212">
        <v>197514</v>
      </c>
      <c r="AE37" s="1212">
        <f t="shared" si="20"/>
        <v>197514</v>
      </c>
      <c r="AF37" s="280">
        <f t="shared" si="16"/>
        <v>195760.91666666666</v>
      </c>
      <c r="AG37" s="1209">
        <v>197571</v>
      </c>
      <c r="AH37" s="1212">
        <v>199293</v>
      </c>
      <c r="AI37" s="2226">
        <f t="shared" si="21"/>
        <v>200674</v>
      </c>
      <c r="AJ37" s="1212">
        <v>200378</v>
      </c>
      <c r="AK37" s="2226">
        <f t="shared" si="22"/>
        <v>200507</v>
      </c>
      <c r="AL37" s="2226">
        <v>203558</v>
      </c>
      <c r="AM37" s="1212">
        <v>200019</v>
      </c>
      <c r="AN37" s="2226">
        <v>203204</v>
      </c>
      <c r="AO37" s="1212">
        <v>201682</v>
      </c>
      <c r="AP37" s="2226">
        <v>201375</v>
      </c>
      <c r="AQ37" s="1212">
        <v>201722</v>
      </c>
      <c r="AR37" s="1212">
        <v>200371</v>
      </c>
      <c r="AS37" s="1724"/>
      <c r="AT37" s="1210">
        <f t="shared" si="17"/>
        <v>-1351</v>
      </c>
      <c r="AU37" s="1211">
        <f t="shared" si="18"/>
        <v>2857</v>
      </c>
      <c r="AV37" s="1386"/>
      <c r="BD37" s="1208"/>
      <c r="BE37" s="1208"/>
      <c r="BF37" s="1208"/>
      <c r="BG37" s="1208"/>
      <c r="BH37" s="1208"/>
      <c r="BI37" s="1208"/>
      <c r="BJ37" s="1208"/>
      <c r="BK37" s="1208"/>
      <c r="BL37" s="1208"/>
      <c r="BM37" s="1208"/>
      <c r="BN37" s="1208"/>
      <c r="BO37" s="1208"/>
      <c r="BP37" s="1208"/>
      <c r="BQ37" s="1208"/>
      <c r="BR37" s="1208"/>
      <c r="BS37" s="1208"/>
      <c r="BT37" s="1208"/>
      <c r="BU37" s="1208"/>
      <c r="BV37" s="1208"/>
      <c r="BW37" s="1208"/>
      <c r="BX37" s="1208"/>
      <c r="BY37" s="1208"/>
      <c r="BZ37" s="1208"/>
      <c r="CA37" s="1208"/>
      <c r="CB37" s="1208"/>
    </row>
    <row r="38" spans="1:80" ht="18" thickBot="1" x14ac:dyDescent="0.6">
      <c r="A38" s="7360"/>
      <c r="B38" s="7361"/>
      <c r="C38" s="7377"/>
      <c r="D38" s="1382" t="s">
        <v>820</v>
      </c>
      <c r="E38" s="1382">
        <v>358324</v>
      </c>
      <c r="F38" s="1382">
        <v>360809</v>
      </c>
      <c r="G38" s="1382">
        <v>347622</v>
      </c>
      <c r="H38" s="1382">
        <v>350768</v>
      </c>
      <c r="I38" s="1382">
        <v>343192</v>
      </c>
      <c r="J38" s="1382">
        <v>345289</v>
      </c>
      <c r="K38" s="1382">
        <v>346878</v>
      </c>
      <c r="L38" s="1382">
        <v>347693</v>
      </c>
      <c r="M38" s="1382">
        <v>348848</v>
      </c>
      <c r="N38" s="1382">
        <v>352418</v>
      </c>
      <c r="O38" s="1382">
        <v>355857</v>
      </c>
      <c r="P38" s="1382">
        <v>356674</v>
      </c>
      <c r="Q38" s="1382">
        <f t="shared" si="19"/>
        <v>356674</v>
      </c>
      <c r="R38" s="1382">
        <f t="shared" si="15"/>
        <v>351197.66666666669</v>
      </c>
      <c r="S38" s="1392">
        <v>359184</v>
      </c>
      <c r="T38" s="1214">
        <v>359922</v>
      </c>
      <c r="U38" s="1214">
        <v>358624</v>
      </c>
      <c r="V38" s="1214">
        <v>342152</v>
      </c>
      <c r="W38" s="1214">
        <v>332522</v>
      </c>
      <c r="X38" s="1214">
        <v>330645</v>
      </c>
      <c r="Y38" s="1214">
        <v>327295</v>
      </c>
      <c r="Z38" s="1214">
        <v>324213</v>
      </c>
      <c r="AA38" s="1214">
        <v>319359</v>
      </c>
      <c r="AB38" s="1214">
        <v>318030</v>
      </c>
      <c r="AC38" s="1214">
        <v>310261</v>
      </c>
      <c r="AD38" s="1214">
        <v>315428</v>
      </c>
      <c r="AE38" s="1214">
        <f t="shared" si="20"/>
        <v>315428</v>
      </c>
      <c r="AF38" s="1382">
        <f t="shared" si="16"/>
        <v>333136.25</v>
      </c>
      <c r="AG38" s="1213">
        <v>314324</v>
      </c>
      <c r="AH38" s="1214">
        <v>311050</v>
      </c>
      <c r="AI38" s="1214">
        <f t="shared" si="21"/>
        <v>310010</v>
      </c>
      <c r="AJ38" s="1214">
        <v>314302</v>
      </c>
      <c r="AK38" s="1214">
        <f t="shared" si="22"/>
        <v>316758</v>
      </c>
      <c r="AL38" s="1214">
        <v>313997</v>
      </c>
      <c r="AM38" s="1214">
        <v>317108</v>
      </c>
      <c r="AN38" s="1214">
        <v>313948</v>
      </c>
      <c r="AO38" s="1214">
        <v>314437</v>
      </c>
      <c r="AP38" s="1214">
        <v>314827</v>
      </c>
      <c r="AQ38" s="1214">
        <v>311362</v>
      </c>
      <c r="AR38" s="1214">
        <v>341625</v>
      </c>
      <c r="AS38" s="1725"/>
      <c r="AT38" s="1215">
        <f t="shared" si="17"/>
        <v>30263</v>
      </c>
      <c r="AU38" s="1216">
        <f t="shared" si="18"/>
        <v>26197</v>
      </c>
      <c r="AV38" s="1386"/>
      <c r="BD38" s="1208"/>
      <c r="BE38" s="1208"/>
      <c r="BF38" s="1208"/>
      <c r="BG38" s="1208"/>
      <c r="BH38" s="1208"/>
      <c r="BI38" s="1208"/>
      <c r="BJ38" s="1208"/>
      <c r="BK38" s="1208"/>
      <c r="BL38" s="1208"/>
      <c r="BM38" s="1208"/>
      <c r="BN38" s="1208"/>
      <c r="BO38" s="1208"/>
      <c r="BP38" s="1208"/>
      <c r="BQ38" s="1208"/>
      <c r="BR38" s="1208"/>
      <c r="BS38" s="1208"/>
      <c r="BT38" s="1208"/>
      <c r="BU38" s="1208"/>
      <c r="BV38" s="1208"/>
      <c r="BW38" s="1208"/>
      <c r="BX38" s="1208"/>
      <c r="BY38" s="1208"/>
      <c r="BZ38" s="1208"/>
      <c r="CA38" s="1208"/>
      <c r="CB38" s="1208"/>
    </row>
    <row r="39" spans="1:80" x14ac:dyDescent="0.55000000000000004">
      <c r="A39" s="7360"/>
      <c r="B39" s="7354" t="s">
        <v>815</v>
      </c>
      <c r="C39" s="7370" t="s">
        <v>822</v>
      </c>
      <c r="D39" s="374" t="s">
        <v>102</v>
      </c>
      <c r="E39" s="374">
        <v>67855</v>
      </c>
      <c r="F39" s="374">
        <v>67749</v>
      </c>
      <c r="G39" s="374">
        <v>67024</v>
      </c>
      <c r="H39" s="374">
        <v>66651</v>
      </c>
      <c r="I39" s="374">
        <v>66353</v>
      </c>
      <c r="J39" s="374">
        <v>67199</v>
      </c>
      <c r="K39" s="374">
        <v>66809</v>
      </c>
      <c r="L39" s="374">
        <v>65858</v>
      </c>
      <c r="M39" s="374">
        <v>66008</v>
      </c>
      <c r="N39" s="374">
        <v>65674</v>
      </c>
      <c r="O39" s="374">
        <v>65326</v>
      </c>
      <c r="P39" s="374">
        <v>65198</v>
      </c>
      <c r="Q39" s="374">
        <f t="shared" si="19"/>
        <v>65198</v>
      </c>
      <c r="R39" s="374">
        <f t="shared" si="15"/>
        <v>66475.333333333328</v>
      </c>
      <c r="S39" s="1390">
        <v>66265</v>
      </c>
      <c r="T39" s="1256">
        <v>66935</v>
      </c>
      <c r="U39" s="1256">
        <v>69517</v>
      </c>
      <c r="V39" s="1256">
        <v>67155</v>
      </c>
      <c r="W39" s="1256">
        <v>67122</v>
      </c>
      <c r="X39" s="1256">
        <v>67687</v>
      </c>
      <c r="Y39" s="1256">
        <v>68599</v>
      </c>
      <c r="Z39" s="1256">
        <v>70283</v>
      </c>
      <c r="AA39" s="1256">
        <v>70598</v>
      </c>
      <c r="AB39" s="1256">
        <v>69504</v>
      </c>
      <c r="AC39" s="1256">
        <v>66049</v>
      </c>
      <c r="AD39" s="1256">
        <v>66232</v>
      </c>
      <c r="AE39" s="1256">
        <f t="shared" si="20"/>
        <v>66232</v>
      </c>
      <c r="AF39" s="374">
        <f t="shared" si="16"/>
        <v>67995.5</v>
      </c>
      <c r="AG39" s="1255">
        <v>66118</v>
      </c>
      <c r="AH39" s="1256">
        <v>68614</v>
      </c>
      <c r="AI39" s="1208">
        <v>69318</v>
      </c>
      <c r="AJ39" s="1256">
        <v>69735</v>
      </c>
      <c r="AK39" s="1208">
        <v>70460</v>
      </c>
      <c r="AL39" s="1208">
        <v>74477</v>
      </c>
      <c r="AM39" s="1256">
        <v>74324</v>
      </c>
      <c r="AN39" s="1208">
        <v>73533</v>
      </c>
      <c r="AO39" s="1256">
        <v>73726</v>
      </c>
      <c r="AP39" s="1208">
        <v>72553</v>
      </c>
      <c r="AQ39" s="1256">
        <v>73743</v>
      </c>
      <c r="AR39" s="1256">
        <v>72195</v>
      </c>
      <c r="AS39" s="1726"/>
      <c r="AT39" s="1257">
        <f t="shared" si="17"/>
        <v>-1548</v>
      </c>
      <c r="AU39" s="1258">
        <f t="shared" si="18"/>
        <v>5963</v>
      </c>
      <c r="AV39" s="1386"/>
      <c r="BD39" s="1125"/>
      <c r="BE39" s="1125"/>
      <c r="BF39" s="1125"/>
      <c r="BG39" s="1125"/>
      <c r="BH39" s="1125"/>
      <c r="BI39" s="1125"/>
      <c r="BJ39" s="1125"/>
      <c r="BK39" s="1125"/>
      <c r="BL39" s="1125"/>
      <c r="BM39" s="1125"/>
      <c r="BN39" s="1125"/>
      <c r="BO39" s="1125"/>
      <c r="BP39" s="1125"/>
      <c r="BQ39" s="1125"/>
      <c r="BR39" s="1125"/>
      <c r="BS39" s="1125"/>
      <c r="BT39" s="1125"/>
      <c r="BU39" s="1125"/>
      <c r="BV39" s="1125"/>
      <c r="BW39" s="1125"/>
      <c r="BX39" s="1125"/>
      <c r="BY39" s="1125"/>
      <c r="BZ39" s="1125"/>
      <c r="CA39" s="1125"/>
      <c r="CB39" s="1125"/>
    </row>
    <row r="40" spans="1:80" x14ac:dyDescent="0.55000000000000004">
      <c r="A40" s="7360"/>
      <c r="B40" s="7354"/>
      <c r="C40" s="7370"/>
      <c r="D40" s="374" t="s">
        <v>53</v>
      </c>
      <c r="E40" s="374">
        <v>324827</v>
      </c>
      <c r="F40" s="374">
        <v>320178</v>
      </c>
      <c r="G40" s="374">
        <v>310642</v>
      </c>
      <c r="H40" s="374">
        <v>309810</v>
      </c>
      <c r="I40" s="374">
        <v>310822</v>
      </c>
      <c r="J40" s="374">
        <v>309807</v>
      </c>
      <c r="K40" s="374">
        <v>313204</v>
      </c>
      <c r="L40" s="374">
        <v>316633</v>
      </c>
      <c r="M40" s="374">
        <v>324202</v>
      </c>
      <c r="N40" s="374">
        <v>328658</v>
      </c>
      <c r="O40" s="374">
        <v>334911</v>
      </c>
      <c r="P40" s="374">
        <v>338662</v>
      </c>
      <c r="Q40" s="374">
        <f t="shared" si="19"/>
        <v>338662</v>
      </c>
      <c r="R40" s="374">
        <f t="shared" si="15"/>
        <v>320196.33333333331</v>
      </c>
      <c r="S40" s="1390">
        <v>340450</v>
      </c>
      <c r="T40" s="1256">
        <v>324475</v>
      </c>
      <c r="U40" s="1256">
        <v>324450</v>
      </c>
      <c r="V40" s="1256">
        <v>314876</v>
      </c>
      <c r="W40" s="1256">
        <v>313714</v>
      </c>
      <c r="X40" s="1256">
        <v>315333</v>
      </c>
      <c r="Y40" s="1256">
        <v>312438</v>
      </c>
      <c r="Z40" s="1256">
        <v>306471</v>
      </c>
      <c r="AA40" s="1256">
        <v>305984</v>
      </c>
      <c r="AB40" s="1256">
        <v>307406</v>
      </c>
      <c r="AC40" s="1256">
        <v>304807</v>
      </c>
      <c r="AD40" s="1256">
        <v>307864</v>
      </c>
      <c r="AE40" s="1256">
        <f t="shared" si="20"/>
        <v>307864</v>
      </c>
      <c r="AF40" s="374">
        <f t="shared" si="16"/>
        <v>314855.66666666669</v>
      </c>
      <c r="AG40" s="1255">
        <v>309485</v>
      </c>
      <c r="AH40" s="1256">
        <v>306858</v>
      </c>
      <c r="AI40" s="1208">
        <v>302111</v>
      </c>
      <c r="AJ40" s="1256">
        <v>307843</v>
      </c>
      <c r="AK40" s="1208">
        <v>310848</v>
      </c>
      <c r="AL40" s="1208">
        <v>307172</v>
      </c>
      <c r="AM40" s="1256">
        <v>308139</v>
      </c>
      <c r="AN40" s="1208">
        <v>309299</v>
      </c>
      <c r="AO40" s="1256">
        <v>314651</v>
      </c>
      <c r="AP40" s="1208">
        <v>311837</v>
      </c>
      <c r="AQ40" s="1256">
        <v>312430</v>
      </c>
      <c r="AR40" s="1256">
        <v>313281</v>
      </c>
      <c r="AS40" s="1726"/>
      <c r="AT40" s="1257">
        <f t="shared" si="17"/>
        <v>851</v>
      </c>
      <c r="AU40" s="1258">
        <f t="shared" si="18"/>
        <v>5417</v>
      </c>
      <c r="AV40" s="1386"/>
      <c r="BD40" s="1125"/>
      <c r="BE40" s="1125"/>
      <c r="BF40" s="1125"/>
      <c r="BG40" s="1125"/>
      <c r="BH40" s="1125"/>
      <c r="BI40" s="1125"/>
      <c r="BJ40" s="1125"/>
      <c r="BK40" s="1125"/>
      <c r="BL40" s="1125"/>
      <c r="BM40" s="1125"/>
      <c r="BN40" s="1125"/>
      <c r="BO40" s="1125"/>
      <c r="BP40" s="1125"/>
      <c r="BQ40" s="1125"/>
      <c r="BR40" s="1125"/>
      <c r="BS40" s="1125"/>
      <c r="BT40" s="1125"/>
      <c r="BU40" s="1125"/>
      <c r="BV40" s="1125"/>
      <c r="BW40" s="1125"/>
      <c r="BX40" s="1125"/>
      <c r="BY40" s="1125"/>
      <c r="BZ40" s="1125"/>
      <c r="CA40" s="1125"/>
      <c r="CB40" s="1125"/>
    </row>
    <row r="41" spans="1:80" x14ac:dyDescent="0.55000000000000004">
      <c r="A41" s="7360"/>
      <c r="B41" s="7354"/>
      <c r="C41" s="7370" t="s">
        <v>821</v>
      </c>
      <c r="D41" s="374" t="s">
        <v>819</v>
      </c>
      <c r="E41" s="374">
        <v>63759</v>
      </c>
      <c r="F41" s="374">
        <v>64195</v>
      </c>
      <c r="G41" s="374">
        <v>64382</v>
      </c>
      <c r="H41" s="374">
        <v>64277</v>
      </c>
      <c r="I41" s="374">
        <v>64079</v>
      </c>
      <c r="J41" s="374">
        <v>65000</v>
      </c>
      <c r="K41" s="374">
        <v>64663</v>
      </c>
      <c r="L41" s="374">
        <v>63812</v>
      </c>
      <c r="M41" s="374">
        <v>64008</v>
      </c>
      <c r="N41" s="374">
        <v>63654</v>
      </c>
      <c r="O41" s="374">
        <v>59917</v>
      </c>
      <c r="P41" s="374">
        <v>54665</v>
      </c>
      <c r="Q41" s="374">
        <f t="shared" si="19"/>
        <v>54665</v>
      </c>
      <c r="R41" s="374">
        <f t="shared" si="15"/>
        <v>63034.25</v>
      </c>
      <c r="S41" s="1390">
        <v>55391</v>
      </c>
      <c r="T41" s="1256">
        <v>56225</v>
      </c>
      <c r="U41" s="1256">
        <v>58328</v>
      </c>
      <c r="V41" s="1256">
        <v>56202</v>
      </c>
      <c r="W41" s="1256">
        <v>55739</v>
      </c>
      <c r="X41" s="1256">
        <v>56288</v>
      </c>
      <c r="Y41" s="1256">
        <v>56927</v>
      </c>
      <c r="Z41" s="1256">
        <v>58152</v>
      </c>
      <c r="AA41" s="1256">
        <v>57583</v>
      </c>
      <c r="AB41" s="1256">
        <v>58800</v>
      </c>
      <c r="AC41" s="1256">
        <v>60017</v>
      </c>
      <c r="AD41" s="1256">
        <v>60502</v>
      </c>
      <c r="AE41" s="1256">
        <f t="shared" si="20"/>
        <v>60502</v>
      </c>
      <c r="AF41" s="374">
        <f t="shared" si="16"/>
        <v>57512.833333333336</v>
      </c>
      <c r="AG41" s="1255">
        <v>60871</v>
      </c>
      <c r="AH41" s="1256">
        <v>63516</v>
      </c>
      <c r="AI41" s="1208">
        <v>64308</v>
      </c>
      <c r="AJ41" s="1256">
        <v>64757</v>
      </c>
      <c r="AK41" s="1208">
        <v>65371</v>
      </c>
      <c r="AL41" s="1208">
        <v>69044</v>
      </c>
      <c r="AM41" s="1256">
        <v>69373</v>
      </c>
      <c r="AN41" s="1208">
        <v>69532</v>
      </c>
      <c r="AO41" s="1256">
        <v>69253</v>
      </c>
      <c r="AP41" s="1208">
        <v>69095</v>
      </c>
      <c r="AQ41" s="1256">
        <v>70512</v>
      </c>
      <c r="AR41" s="1256">
        <v>68941</v>
      </c>
      <c r="AS41" s="1726"/>
      <c r="AT41" s="1257">
        <f t="shared" si="17"/>
        <v>-1571</v>
      </c>
      <c r="AU41" s="1258">
        <f t="shared" si="18"/>
        <v>8439</v>
      </c>
      <c r="AV41" s="1386"/>
      <c r="BD41" s="1125"/>
      <c r="BE41" s="1125"/>
      <c r="BF41" s="1125"/>
      <c r="BG41" s="1125"/>
      <c r="BH41" s="1125"/>
      <c r="BI41" s="1125"/>
      <c r="BJ41" s="1125"/>
      <c r="BK41" s="1125"/>
      <c r="BL41" s="1125"/>
      <c r="BM41" s="1125"/>
      <c r="BN41" s="1125"/>
      <c r="BO41" s="1125"/>
      <c r="BP41" s="1125"/>
      <c r="BQ41" s="1125"/>
      <c r="BR41" s="1125"/>
      <c r="BS41" s="1125"/>
      <c r="BT41" s="1125"/>
      <c r="BU41" s="1125"/>
      <c r="BV41" s="1125"/>
      <c r="BW41" s="1125"/>
      <c r="BX41" s="1125"/>
      <c r="BY41" s="1125"/>
      <c r="BZ41" s="1125"/>
      <c r="CA41" s="1125"/>
      <c r="CB41" s="1125"/>
    </row>
    <row r="42" spans="1:80" ht="18" thickBot="1" x14ac:dyDescent="0.6">
      <c r="A42" s="7360"/>
      <c r="B42" s="7355"/>
      <c r="C42" s="7371"/>
      <c r="D42" s="1383" t="s">
        <v>820</v>
      </c>
      <c r="E42" s="1383">
        <v>286905</v>
      </c>
      <c r="F42" s="1383">
        <v>290036</v>
      </c>
      <c r="G42" s="1383">
        <v>277553</v>
      </c>
      <c r="H42" s="1383">
        <v>277437</v>
      </c>
      <c r="I42" s="1383">
        <v>270413</v>
      </c>
      <c r="J42" s="1383">
        <v>269986</v>
      </c>
      <c r="K42" s="1383">
        <v>272283</v>
      </c>
      <c r="L42" s="1383">
        <v>272754</v>
      </c>
      <c r="M42" s="1383">
        <v>275371</v>
      </c>
      <c r="N42" s="1383">
        <v>279361</v>
      </c>
      <c r="O42" s="1383">
        <v>284713</v>
      </c>
      <c r="P42" s="1383">
        <v>286160</v>
      </c>
      <c r="Q42" s="1383">
        <f t="shared" si="19"/>
        <v>286160</v>
      </c>
      <c r="R42" s="1383">
        <f t="shared" si="15"/>
        <v>278581</v>
      </c>
      <c r="S42" s="1393">
        <v>291062</v>
      </c>
      <c r="T42" s="1276">
        <v>290761</v>
      </c>
      <c r="U42" s="1276">
        <v>288670</v>
      </c>
      <c r="V42" s="1276">
        <v>281495</v>
      </c>
      <c r="W42" s="1276">
        <v>282466</v>
      </c>
      <c r="X42" s="1276">
        <v>281082</v>
      </c>
      <c r="Y42" s="1276">
        <v>278139</v>
      </c>
      <c r="Z42" s="1276">
        <v>275640</v>
      </c>
      <c r="AA42" s="1276">
        <v>271676</v>
      </c>
      <c r="AB42" s="1276">
        <v>270831</v>
      </c>
      <c r="AC42" s="1276">
        <v>264537</v>
      </c>
      <c r="AD42" s="1276">
        <v>270003</v>
      </c>
      <c r="AE42" s="1276">
        <f t="shared" si="20"/>
        <v>270003</v>
      </c>
      <c r="AF42" s="1383">
        <f t="shared" si="16"/>
        <v>278863.5</v>
      </c>
      <c r="AG42" s="1275">
        <v>269319</v>
      </c>
      <c r="AH42" s="1276">
        <v>266647</v>
      </c>
      <c r="AI42" s="1276">
        <v>265902</v>
      </c>
      <c r="AJ42" s="1276">
        <v>270627</v>
      </c>
      <c r="AK42" s="1276">
        <v>275369</v>
      </c>
      <c r="AL42" s="1276">
        <v>273476</v>
      </c>
      <c r="AM42" s="1276">
        <v>277421</v>
      </c>
      <c r="AN42" s="1276">
        <v>277121</v>
      </c>
      <c r="AO42" s="1276">
        <v>278745</v>
      </c>
      <c r="AP42" s="1276">
        <v>279157</v>
      </c>
      <c r="AQ42" s="1276">
        <v>277187</v>
      </c>
      <c r="AR42" s="1276">
        <v>308002</v>
      </c>
      <c r="AS42" s="1727"/>
      <c r="AT42" s="1277">
        <f t="shared" si="17"/>
        <v>30815</v>
      </c>
      <c r="AU42" s="1278">
        <f t="shared" si="18"/>
        <v>37999</v>
      </c>
      <c r="AV42" s="1386"/>
      <c r="BD42" s="1125"/>
      <c r="BE42" s="1125"/>
      <c r="BF42" s="1125"/>
      <c r="BG42" s="1125"/>
      <c r="BH42" s="1125"/>
      <c r="BI42" s="1125"/>
      <c r="BJ42" s="1125"/>
      <c r="BK42" s="1125"/>
      <c r="BL42" s="1125"/>
      <c r="BM42" s="1125"/>
      <c r="BN42" s="1125"/>
      <c r="BO42" s="1125"/>
      <c r="BP42" s="1125"/>
      <c r="BQ42" s="1125"/>
      <c r="BR42" s="1125"/>
      <c r="BS42" s="1125"/>
      <c r="BT42" s="1125"/>
      <c r="BU42" s="1125"/>
      <c r="BV42" s="1125"/>
      <c r="BW42" s="1125"/>
      <c r="BX42" s="1125"/>
      <c r="BY42" s="1125"/>
      <c r="BZ42" s="1125"/>
      <c r="CA42" s="1125"/>
      <c r="CB42" s="1125"/>
    </row>
    <row r="43" spans="1:80" x14ac:dyDescent="0.55000000000000004">
      <c r="A43" s="7360"/>
      <c r="B43" s="7354" t="s">
        <v>816</v>
      </c>
      <c r="C43" s="7370" t="s">
        <v>818</v>
      </c>
      <c r="D43" s="374" t="s">
        <v>819</v>
      </c>
      <c r="E43" s="374">
        <v>128093</v>
      </c>
      <c r="F43" s="374">
        <v>129782</v>
      </c>
      <c r="G43" s="374">
        <v>132596</v>
      </c>
      <c r="H43" s="374">
        <v>133607</v>
      </c>
      <c r="I43" s="374">
        <v>136244</v>
      </c>
      <c r="J43" s="374">
        <v>140485</v>
      </c>
      <c r="K43" s="374">
        <v>140865</v>
      </c>
      <c r="L43" s="374">
        <v>143036</v>
      </c>
      <c r="M43" s="374">
        <v>141648</v>
      </c>
      <c r="N43" s="374">
        <v>142714</v>
      </c>
      <c r="O43" s="374">
        <v>143144</v>
      </c>
      <c r="P43" s="374">
        <v>143261</v>
      </c>
      <c r="Q43" s="374">
        <f t="shared" si="19"/>
        <v>143261</v>
      </c>
      <c r="R43" s="374">
        <f t="shared" si="15"/>
        <v>137956.25</v>
      </c>
      <c r="S43" s="1390">
        <v>142290</v>
      </c>
      <c r="T43" s="1256">
        <v>141760</v>
      </c>
      <c r="U43" s="1256">
        <v>142387</v>
      </c>
      <c r="V43" s="1256">
        <v>141782</v>
      </c>
      <c r="W43" s="1256">
        <v>140528</v>
      </c>
      <c r="X43" s="1256">
        <v>141212</v>
      </c>
      <c r="Y43" s="1256">
        <v>141501</v>
      </c>
      <c r="Z43" s="1256">
        <v>141482</v>
      </c>
      <c r="AA43" s="1256">
        <v>141434</v>
      </c>
      <c r="AB43" s="1256">
        <v>140773</v>
      </c>
      <c r="AC43" s="1256">
        <v>140519</v>
      </c>
      <c r="AD43" s="1256">
        <v>139949</v>
      </c>
      <c r="AE43" s="1256">
        <f t="shared" si="20"/>
        <v>139949</v>
      </c>
      <c r="AF43" s="374">
        <f t="shared" si="16"/>
        <v>141301.41666666666</v>
      </c>
      <c r="AG43" s="1255">
        <v>139585</v>
      </c>
      <c r="AH43" s="1256">
        <v>138848</v>
      </c>
      <c r="AI43" s="1208">
        <v>139540</v>
      </c>
      <c r="AJ43" s="1256">
        <v>139098</v>
      </c>
      <c r="AK43" s="1208">
        <v>138736</v>
      </c>
      <c r="AL43" s="1208">
        <v>138058</v>
      </c>
      <c r="AM43" s="1256">
        <v>139485</v>
      </c>
      <c r="AN43" s="1208">
        <v>137248</v>
      </c>
      <c r="AO43" s="1256">
        <v>136362</v>
      </c>
      <c r="AP43" s="1208">
        <v>135555</v>
      </c>
      <c r="AQ43" s="1256">
        <v>134767</v>
      </c>
      <c r="AR43" s="1256">
        <v>135119</v>
      </c>
      <c r="AS43" s="1726"/>
      <c r="AT43" s="1257">
        <f t="shared" si="17"/>
        <v>352</v>
      </c>
      <c r="AU43" s="1258">
        <f t="shared" si="18"/>
        <v>-4830</v>
      </c>
      <c r="AV43" s="1386"/>
      <c r="BD43" s="1125"/>
      <c r="BE43" s="1125"/>
      <c r="BF43" s="1125"/>
      <c r="BG43" s="1125"/>
      <c r="BH43" s="1125"/>
      <c r="BI43" s="1125"/>
      <c r="BJ43" s="1125"/>
      <c r="BK43" s="1125"/>
      <c r="BL43" s="1125"/>
      <c r="BM43" s="1125"/>
      <c r="BN43" s="1125"/>
      <c r="BO43" s="1125"/>
      <c r="BP43" s="1125"/>
      <c r="BQ43" s="1125"/>
      <c r="BR43" s="1125"/>
      <c r="BS43" s="1125"/>
      <c r="BT43" s="1125"/>
      <c r="BU43" s="1125"/>
      <c r="BV43" s="1125"/>
      <c r="BW43" s="1125"/>
      <c r="BX43" s="1125"/>
      <c r="BY43" s="1125"/>
      <c r="BZ43" s="1125"/>
      <c r="CA43" s="1125"/>
      <c r="CB43" s="1125"/>
    </row>
    <row r="44" spans="1:80" x14ac:dyDescent="0.55000000000000004">
      <c r="A44" s="7360"/>
      <c r="B44" s="7354"/>
      <c r="C44" s="7370"/>
      <c r="D44" s="374" t="s">
        <v>820</v>
      </c>
      <c r="E44" s="374">
        <v>87049</v>
      </c>
      <c r="F44" s="374">
        <v>85994</v>
      </c>
      <c r="G44" s="374">
        <v>84324</v>
      </c>
      <c r="H44" s="374">
        <v>87661</v>
      </c>
      <c r="I44" s="374">
        <v>86958</v>
      </c>
      <c r="J44" s="374">
        <v>88738</v>
      </c>
      <c r="K44" s="374">
        <v>87782</v>
      </c>
      <c r="L44" s="374">
        <v>87917</v>
      </c>
      <c r="M44" s="374">
        <v>85930</v>
      </c>
      <c r="N44" s="374">
        <v>85206</v>
      </c>
      <c r="O44" s="374">
        <v>84222</v>
      </c>
      <c r="P44" s="374">
        <v>84242</v>
      </c>
      <c r="Q44" s="374">
        <f t="shared" si="19"/>
        <v>84242</v>
      </c>
      <c r="R44" s="374">
        <f t="shared" si="15"/>
        <v>86335.25</v>
      </c>
      <c r="S44" s="1390">
        <v>83340</v>
      </c>
      <c r="T44" s="1256">
        <v>82746</v>
      </c>
      <c r="U44" s="1256">
        <v>82647</v>
      </c>
      <c r="V44" s="1256">
        <v>72262</v>
      </c>
      <c r="W44" s="1256">
        <v>61131</v>
      </c>
      <c r="X44" s="1256">
        <v>59619</v>
      </c>
      <c r="Y44" s="1256">
        <v>58133</v>
      </c>
      <c r="Z44" s="1256">
        <v>56409</v>
      </c>
      <c r="AA44" s="1256">
        <v>54840</v>
      </c>
      <c r="AB44" s="1256">
        <v>52603</v>
      </c>
      <c r="AC44" s="1256">
        <v>50019</v>
      </c>
      <c r="AD44" s="1256">
        <v>48450</v>
      </c>
      <c r="AE44" s="1256">
        <f t="shared" si="20"/>
        <v>48450</v>
      </c>
      <c r="AF44" s="374">
        <f t="shared" si="16"/>
        <v>63516.583333333336</v>
      </c>
      <c r="AG44" s="1255">
        <v>49009</v>
      </c>
      <c r="AH44" s="1256">
        <v>47298</v>
      </c>
      <c r="AI44" s="1208">
        <v>46760</v>
      </c>
      <c r="AJ44" s="1256">
        <v>46059</v>
      </c>
      <c r="AK44" s="1208">
        <v>44644</v>
      </c>
      <c r="AL44" s="1208">
        <v>43960</v>
      </c>
      <c r="AM44" s="1256">
        <v>43568</v>
      </c>
      <c r="AN44" s="1208">
        <v>40825</v>
      </c>
      <c r="AO44" s="1256">
        <v>40278</v>
      </c>
      <c r="AP44" s="1208">
        <v>39877</v>
      </c>
      <c r="AQ44" s="1256">
        <v>39424</v>
      </c>
      <c r="AR44" s="1256">
        <v>38902</v>
      </c>
      <c r="AS44" s="1726"/>
      <c r="AT44" s="1257">
        <f t="shared" si="17"/>
        <v>-522</v>
      </c>
      <c r="AU44" s="1258">
        <f t="shared" si="18"/>
        <v>-9548</v>
      </c>
      <c r="AV44" s="1386"/>
      <c r="BD44" s="1125"/>
      <c r="BE44" s="1125"/>
      <c r="BF44" s="1125"/>
      <c r="BG44" s="1125"/>
      <c r="BH44" s="1125"/>
      <c r="BI44" s="1125"/>
      <c r="BJ44" s="1125"/>
      <c r="BK44" s="1125"/>
      <c r="BL44" s="1125"/>
      <c r="BM44" s="1125"/>
      <c r="BN44" s="1125"/>
      <c r="BO44" s="1125"/>
      <c r="BP44" s="1125"/>
      <c r="BQ44" s="1125"/>
      <c r="BR44" s="1125"/>
      <c r="BS44" s="1125"/>
      <c r="BT44" s="1125"/>
      <c r="BU44" s="1125"/>
      <c r="BV44" s="1125"/>
      <c r="BW44" s="1125"/>
      <c r="BX44" s="1125"/>
      <c r="BY44" s="1125"/>
      <c r="BZ44" s="1125"/>
      <c r="CA44" s="1125"/>
      <c r="CB44" s="1125"/>
    </row>
    <row r="45" spans="1:80" x14ac:dyDescent="0.55000000000000004">
      <c r="A45" s="7360"/>
      <c r="B45" s="7354"/>
      <c r="C45" s="7370" t="s">
        <v>821</v>
      </c>
      <c r="D45" s="374" t="s">
        <v>819</v>
      </c>
      <c r="E45" s="374">
        <v>122481</v>
      </c>
      <c r="F45" s="374">
        <v>124082</v>
      </c>
      <c r="G45" s="374">
        <v>127105</v>
      </c>
      <c r="H45" s="374">
        <v>127933</v>
      </c>
      <c r="I45" s="374">
        <v>130903</v>
      </c>
      <c r="J45" s="374">
        <v>135121</v>
      </c>
      <c r="K45" s="374">
        <v>136069</v>
      </c>
      <c r="L45" s="374">
        <v>138008</v>
      </c>
      <c r="M45" s="374">
        <v>136791</v>
      </c>
      <c r="N45" s="374">
        <v>137965</v>
      </c>
      <c r="O45" s="374">
        <v>138496</v>
      </c>
      <c r="P45" s="374">
        <v>138574</v>
      </c>
      <c r="Q45" s="374">
        <f t="shared" si="19"/>
        <v>138574</v>
      </c>
      <c r="R45" s="374">
        <f t="shared" si="15"/>
        <v>132794</v>
      </c>
      <c r="S45" s="1390">
        <v>137342</v>
      </c>
      <c r="T45" s="1256">
        <v>138079</v>
      </c>
      <c r="U45" s="1256">
        <v>139143</v>
      </c>
      <c r="V45" s="1256">
        <v>138984</v>
      </c>
      <c r="W45" s="1256">
        <v>137544</v>
      </c>
      <c r="X45" s="1256">
        <v>139485</v>
      </c>
      <c r="Y45" s="1256">
        <v>138819</v>
      </c>
      <c r="Z45" s="1256">
        <v>138698</v>
      </c>
      <c r="AA45" s="1256">
        <v>138679</v>
      </c>
      <c r="AB45" s="1256">
        <v>137853</v>
      </c>
      <c r="AC45" s="1256">
        <v>137339</v>
      </c>
      <c r="AD45" s="1256">
        <v>137012</v>
      </c>
      <c r="AE45" s="1256">
        <f t="shared" si="20"/>
        <v>137012</v>
      </c>
      <c r="AF45" s="374">
        <f t="shared" si="16"/>
        <v>138248.08333333334</v>
      </c>
      <c r="AG45" s="1255">
        <v>136700</v>
      </c>
      <c r="AH45" s="1256">
        <v>135777</v>
      </c>
      <c r="AI45" s="1208">
        <v>136366</v>
      </c>
      <c r="AJ45" s="1256">
        <v>135621</v>
      </c>
      <c r="AK45" s="1208">
        <v>135136</v>
      </c>
      <c r="AL45" s="1208">
        <v>134514</v>
      </c>
      <c r="AM45" s="1256">
        <v>130646</v>
      </c>
      <c r="AN45" s="1208">
        <v>133672</v>
      </c>
      <c r="AO45" s="1256">
        <v>132429</v>
      </c>
      <c r="AP45" s="1208">
        <v>132280</v>
      </c>
      <c r="AQ45" s="1256">
        <v>131210</v>
      </c>
      <c r="AR45" s="1256">
        <v>131430</v>
      </c>
      <c r="AS45" s="1726"/>
      <c r="AT45" s="1257">
        <f t="shared" si="17"/>
        <v>220</v>
      </c>
      <c r="AU45" s="1258">
        <f t="shared" si="18"/>
        <v>-5582</v>
      </c>
      <c r="AV45" s="1386"/>
      <c r="BD45" s="1125"/>
      <c r="BE45" s="1125"/>
      <c r="BF45" s="1125"/>
      <c r="BG45" s="1125"/>
      <c r="BH45" s="1125"/>
      <c r="BI45" s="1125"/>
      <c r="BJ45" s="1125"/>
      <c r="BK45" s="1125"/>
      <c r="BL45" s="1125"/>
      <c r="BM45" s="1125"/>
      <c r="BN45" s="1125"/>
      <c r="BO45" s="1125"/>
      <c r="BP45" s="1125"/>
      <c r="BQ45" s="1125"/>
      <c r="BR45" s="1125"/>
      <c r="BS45" s="1125"/>
      <c r="BT45" s="1125"/>
      <c r="BU45" s="1125"/>
      <c r="BV45" s="1125"/>
      <c r="BW45" s="1125"/>
      <c r="BX45" s="1125"/>
      <c r="BY45" s="1125"/>
      <c r="BZ45" s="1125"/>
      <c r="CA45" s="1125"/>
      <c r="CB45" s="1125"/>
    </row>
    <row r="46" spans="1:80" ht="18" thickBot="1" x14ac:dyDescent="0.6">
      <c r="A46" s="7362"/>
      <c r="B46" s="7356"/>
      <c r="C46" s="7372"/>
      <c r="D46" s="1719" t="s">
        <v>820</v>
      </c>
      <c r="E46" s="1719">
        <v>71419</v>
      </c>
      <c r="F46" s="1719">
        <v>70773</v>
      </c>
      <c r="G46" s="1719">
        <v>70069</v>
      </c>
      <c r="H46" s="1719">
        <v>73331</v>
      </c>
      <c r="I46" s="1719">
        <v>72779</v>
      </c>
      <c r="J46" s="1719">
        <v>75303</v>
      </c>
      <c r="K46" s="1719">
        <v>74595</v>
      </c>
      <c r="L46" s="1719">
        <v>74939</v>
      </c>
      <c r="M46" s="1719">
        <v>73477</v>
      </c>
      <c r="N46" s="1719">
        <v>73057</v>
      </c>
      <c r="O46" s="1719">
        <v>71144</v>
      </c>
      <c r="P46" s="1719">
        <v>70514</v>
      </c>
      <c r="Q46" s="1719">
        <f t="shared" si="19"/>
        <v>70514</v>
      </c>
      <c r="R46" s="1719">
        <f t="shared" si="15"/>
        <v>72616.666666666672</v>
      </c>
      <c r="S46" s="1711">
        <v>68122</v>
      </c>
      <c r="T46" s="1696">
        <v>69161</v>
      </c>
      <c r="U46" s="1696">
        <v>69954</v>
      </c>
      <c r="V46" s="1696">
        <v>60657</v>
      </c>
      <c r="W46" s="1696">
        <v>50056</v>
      </c>
      <c r="X46" s="1696">
        <v>49563</v>
      </c>
      <c r="Y46" s="1696">
        <v>49156</v>
      </c>
      <c r="Z46" s="1696">
        <v>48573</v>
      </c>
      <c r="AA46" s="1696">
        <v>47683</v>
      </c>
      <c r="AB46" s="1696">
        <v>47199</v>
      </c>
      <c r="AC46" s="1696">
        <v>45724</v>
      </c>
      <c r="AD46" s="1696">
        <v>45425</v>
      </c>
      <c r="AE46" s="1696">
        <f t="shared" si="20"/>
        <v>45425</v>
      </c>
      <c r="AF46" s="1719">
        <f t="shared" si="16"/>
        <v>54272.75</v>
      </c>
      <c r="AG46" s="1728">
        <v>45005</v>
      </c>
      <c r="AH46" s="1696">
        <v>44403</v>
      </c>
      <c r="AI46" s="1696">
        <v>44108</v>
      </c>
      <c r="AJ46" s="1696">
        <v>43675</v>
      </c>
      <c r="AK46" s="1696">
        <v>41389</v>
      </c>
      <c r="AL46" s="1696">
        <v>40521</v>
      </c>
      <c r="AM46" s="1696">
        <v>39687</v>
      </c>
      <c r="AN46" s="1696">
        <v>36827</v>
      </c>
      <c r="AO46" s="1696">
        <v>35692</v>
      </c>
      <c r="AP46" s="1696">
        <v>35670</v>
      </c>
      <c r="AQ46" s="1696">
        <v>34175</v>
      </c>
      <c r="AR46" s="1696">
        <v>33623</v>
      </c>
      <c r="AS46" s="1729"/>
      <c r="AT46" s="1277">
        <f t="shared" si="17"/>
        <v>-552</v>
      </c>
      <c r="AU46" s="1278">
        <f t="shared" si="18"/>
        <v>-11802</v>
      </c>
      <c r="AV46" s="1386"/>
      <c r="BD46" s="1125"/>
      <c r="BE46" s="1125"/>
      <c r="BF46" s="1125"/>
      <c r="BG46" s="1125"/>
      <c r="BH46" s="1125"/>
      <c r="BI46" s="1125"/>
      <c r="BJ46" s="1125"/>
      <c r="BK46" s="1125"/>
      <c r="BL46" s="1125"/>
      <c r="BM46" s="1125"/>
      <c r="BN46" s="1125"/>
      <c r="BO46" s="1125"/>
      <c r="BP46" s="1125"/>
      <c r="BQ46" s="1125"/>
      <c r="BR46" s="1125"/>
      <c r="BS46" s="1125"/>
      <c r="BT46" s="1125"/>
      <c r="BU46" s="1125"/>
      <c r="BV46" s="1125"/>
      <c r="BW46" s="1125"/>
      <c r="BX46" s="1125"/>
      <c r="BY46" s="1125"/>
      <c r="BZ46" s="1125"/>
      <c r="CA46" s="1125"/>
      <c r="CB46" s="1125"/>
    </row>
    <row r="47" spans="1:80" x14ac:dyDescent="0.55000000000000004">
      <c r="C47" s="185" t="s">
        <v>823</v>
      </c>
    </row>
  </sheetData>
  <mergeCells count="16">
    <mergeCell ref="C39:C40"/>
    <mergeCell ref="C41:C42"/>
    <mergeCell ref="C43:C44"/>
    <mergeCell ref="C45:C46"/>
    <mergeCell ref="AV4:BA4"/>
    <mergeCell ref="C35:C36"/>
    <mergeCell ref="C37:C38"/>
    <mergeCell ref="AG4:AS4"/>
    <mergeCell ref="B39:B42"/>
    <mergeCell ref="B43:B46"/>
    <mergeCell ref="A6:A32"/>
    <mergeCell ref="B35:B38"/>
    <mergeCell ref="A35:A46"/>
    <mergeCell ref="B6:B14"/>
    <mergeCell ref="B24:B32"/>
    <mergeCell ref="B15:B23"/>
  </mergeCells>
  <phoneticPr fontId="1" type="noConversion"/>
  <printOptions horizontalCentered="1"/>
  <pageMargins left="0.11811023622047245" right="0.11811023622047245" top="0.75" bottom="0.16" header="0.31496062992125984" footer="0.12"/>
  <pageSetup paperSize="9" scale="2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BH117"/>
  <sheetViews>
    <sheetView showGridLines="0" view="pageBreakPreview" zoomScale="55" zoomScaleNormal="100" zoomScaleSheetLayoutView="55" workbookViewId="0">
      <pane xSplit="4" ySplit="6" topLeftCell="E31" activePane="bottomRight" state="frozen"/>
      <selection activeCell="AG13" sqref="AG13"/>
      <selection pane="topRight" activeCell="AG13" sqref="AG13"/>
      <selection pane="bottomLeft" activeCell="AG13" sqref="AG13"/>
      <selection pane="bottomRight" activeCell="AG13" sqref="AG13"/>
    </sheetView>
  </sheetViews>
  <sheetFormatPr defaultRowHeight="15" outlineLevelCol="2" x14ac:dyDescent="0.55000000000000004"/>
  <cols>
    <col min="1" max="1" width="0.42578125" style="2441" customWidth="1"/>
    <col min="2" max="2" width="9.140625" style="2441"/>
    <col min="3" max="3" width="13" style="2441" customWidth="1"/>
    <col min="4" max="4" width="19.140625" style="2441" customWidth="1"/>
    <col min="5" max="5" width="10.0703125" style="2441" customWidth="1"/>
    <col min="6" max="6" width="9.92578125" style="2441" customWidth="1"/>
    <col min="7" max="7" width="10.640625" style="2441" customWidth="1" outlineLevel="1"/>
    <col min="8" max="8" width="9.5" style="2441" customWidth="1" outlineLevel="1"/>
    <col min="9" max="9" width="10.0703125" style="2441" customWidth="1" outlineLevel="1"/>
    <col min="10" max="10" width="10.0703125" style="2441" customWidth="1" outlineLevel="2"/>
    <col min="11" max="17" width="11.640625" style="2441" customWidth="1" outlineLevel="2"/>
    <col min="18" max="23" width="12.85546875" style="2441" customWidth="1"/>
    <col min="24" max="24" width="10.5" style="2441" customWidth="1"/>
    <col min="25" max="25" width="11.85546875" style="2441" bestFit="1" customWidth="1"/>
    <col min="26" max="27" width="13" style="2441" hidden="1" customWidth="1"/>
    <col min="28" max="16384" width="9.140625" style="2441"/>
  </cols>
  <sheetData>
    <row r="1" spans="1:60" x14ac:dyDescent="0.55000000000000004">
      <c r="D1" s="2987"/>
      <c r="E1" s="2987" t="s">
        <v>663</v>
      </c>
      <c r="F1" s="2987" t="s">
        <v>460</v>
      </c>
      <c r="G1" s="2987" t="s">
        <v>459</v>
      </c>
      <c r="H1" s="2987" t="s">
        <v>461</v>
      </c>
      <c r="I1" s="2987" t="s">
        <v>665</v>
      </c>
      <c r="J1" s="2987" t="s">
        <v>642</v>
      </c>
      <c r="K1" s="2987" t="s">
        <v>650</v>
      </c>
      <c r="L1" s="2987" t="s">
        <v>1151</v>
      </c>
      <c r="M1" s="2987" t="s">
        <v>1154</v>
      </c>
      <c r="N1" s="2987" t="s">
        <v>1165</v>
      </c>
      <c r="O1" s="2987" t="s">
        <v>737</v>
      </c>
      <c r="P1" s="2987" t="s">
        <v>929</v>
      </c>
      <c r="Q1" s="2987" t="s">
        <v>1190</v>
      </c>
      <c r="R1" s="2987" t="s">
        <v>468</v>
      </c>
      <c r="S1" s="2987" t="s">
        <v>738</v>
      </c>
      <c r="T1" s="2987" t="s">
        <v>462</v>
      </c>
      <c r="U1" s="2987" t="s">
        <v>467</v>
      </c>
      <c r="V1" s="2987" t="s">
        <v>469</v>
      </c>
      <c r="W1" s="2987" t="s">
        <v>466</v>
      </c>
      <c r="X1" s="2991" t="s">
        <v>474</v>
      </c>
    </row>
    <row r="2" spans="1:60" ht="15.45" thickBot="1" x14ac:dyDescent="0.6">
      <c r="D2" s="2987"/>
      <c r="E2" s="2987"/>
      <c r="F2" s="2987" t="s">
        <v>460</v>
      </c>
      <c r="G2" s="2987" t="s">
        <v>658</v>
      </c>
      <c r="H2" s="2987" t="s">
        <v>659</v>
      </c>
      <c r="I2" s="2987" t="s">
        <v>660</v>
      </c>
      <c r="J2" s="2987" t="s">
        <v>661</v>
      </c>
      <c r="K2" s="2987" t="s">
        <v>662</v>
      </c>
      <c r="L2" s="2987" t="s">
        <v>1151</v>
      </c>
      <c r="M2" s="2987" t="s">
        <v>1154</v>
      </c>
      <c r="N2" s="2987" t="s">
        <v>1165</v>
      </c>
      <c r="O2" s="2987" t="s">
        <v>737</v>
      </c>
      <c r="P2" s="2987" t="s">
        <v>929</v>
      </c>
      <c r="Q2" s="2987" t="s">
        <v>1190</v>
      </c>
    </row>
    <row r="3" spans="1:60" ht="60" customHeight="1" thickTop="1" thickBot="1" x14ac:dyDescent="0.6">
      <c r="A3" s="6946"/>
      <c r="B3" s="7078" t="s">
        <v>915</v>
      </c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6946"/>
      <c r="Y3" s="6946"/>
      <c r="Z3" s="6955">
        <v>7</v>
      </c>
      <c r="AA3" s="6946"/>
    </row>
    <row r="4" spans="1:60" s="2444" customFormat="1" ht="15.55" customHeight="1" thickTop="1" thickBot="1" x14ac:dyDescent="0.6">
      <c r="A4" s="2447"/>
      <c r="B4" s="2992"/>
      <c r="C4" s="2992"/>
      <c r="D4" s="2992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E4" s="2445"/>
      <c r="AG4" s="2445"/>
      <c r="AH4" s="2445"/>
      <c r="AI4" s="2446"/>
      <c r="AK4" s="2445"/>
      <c r="AL4" s="2446"/>
      <c r="BD4" s="2449"/>
      <c r="BE4" s="2449"/>
      <c r="BF4" s="2449"/>
      <c r="BG4" s="2449"/>
      <c r="BH4" s="2449"/>
    </row>
    <row r="5" spans="1:60" ht="17.5" customHeight="1" thickBot="1" x14ac:dyDescent="0.6">
      <c r="B5" s="4416"/>
      <c r="C5" s="4416"/>
      <c r="D5" s="4416"/>
      <c r="E5" s="3313"/>
      <c r="F5" s="7266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93"/>
      <c r="T5" s="7086" t="str">
        <f>"연간누적실적(~"&amp;'※ 유통플랫폼 세부데이터'!A1-0.001&amp;"월)"</f>
        <v>연간누적실적(~12월)</v>
      </c>
      <c r="U5" s="7087"/>
      <c r="V5" s="7087"/>
      <c r="W5" s="7088"/>
      <c r="Z5" s="3053">
        <v>1000000</v>
      </c>
      <c r="AA5" s="3053">
        <v>100000000</v>
      </c>
    </row>
    <row r="6" spans="1:60" ht="16.75" thickBot="1" x14ac:dyDescent="0.6">
      <c r="B6" s="7398" t="s">
        <v>127</v>
      </c>
      <c r="C6" s="7399"/>
      <c r="D6" s="7399"/>
      <c r="E6" s="4417" t="s">
        <v>889</v>
      </c>
      <c r="F6" s="4418" t="str" cm="1">
        <f t="array" aca="1" ref="F6" ca="1">INDIRECT("'※ 유통플랫폼 세부데이터'!"&amp;F$1&amp;$X6, TRUE)</f>
        <v>'25.1월</v>
      </c>
      <c r="G6" s="2429" t="str" cm="1">
        <f t="array" aca="1" ref="G6" ca="1">INDIRECT("'※ 유통플랫폼 세부데이터'!"&amp;G$1&amp;$X6, TRUE)</f>
        <v>'25.2월</v>
      </c>
      <c r="H6" s="2429" t="str" cm="1">
        <f t="array" aca="1" ref="H6" ca="1">INDIRECT("'※ 유통플랫폼 세부데이터'!"&amp;H$1&amp;$X6, TRUE)</f>
        <v>'25.3월</v>
      </c>
      <c r="I6" s="2429" t="str" cm="1">
        <f t="array" aca="1" ref="I6" ca="1">INDIRECT("'※ 유통플랫폼 세부데이터'!"&amp;I$1&amp;$X6, TRUE)</f>
        <v>'25.4월</v>
      </c>
      <c r="J6" s="2429" t="str" cm="1">
        <f t="array" aca="1" ref="J6" ca="1">INDIRECT("'※ 유통플랫폼 세부데이터'!"&amp;J$1&amp;$X6, TRUE)</f>
        <v>'25.5월</v>
      </c>
      <c r="K6" s="2429" t="str" cm="1">
        <f t="array" aca="1" ref="K6" ca="1">INDIRECT("'※ 유통플랫폼 세부데이터'!"&amp;K$1&amp;$X6, TRUE)</f>
        <v>'25.6월</v>
      </c>
      <c r="L6" s="2429" t="str" cm="1">
        <f t="array" aca="1" ref="L6" ca="1">INDIRECT("'※ 유통플랫폼 세부데이터'!"&amp;L$1&amp;$X6, TRUE)</f>
        <v>'25.7월</v>
      </c>
      <c r="M6" s="2429" t="str" cm="1">
        <f t="array" aca="1" ref="M6" ca="1">INDIRECT("'※ 유통플랫폼 세부데이터'!"&amp;M$1&amp;$X6, TRUE)</f>
        <v>'25.8월</v>
      </c>
      <c r="N6" s="2429" t="str" cm="1">
        <f t="array" aca="1" ref="N6" ca="1">INDIRECT("'※ 유통플랫폼 세부데이터'!"&amp;N$1&amp;$X6, TRUE)</f>
        <v>'25.9월</v>
      </c>
      <c r="O6" s="2429" t="str" cm="1">
        <f t="array" aca="1" ref="O6" ca="1">INDIRECT("'※ 유통플랫폼 세부데이터'!"&amp;O$1&amp;$X6, TRUE)</f>
        <v>'25.10월</v>
      </c>
      <c r="P6" s="2429" t="str" cm="1">
        <f t="array" aca="1" ref="P6" ca="1">INDIRECT("'※ 유통플랫폼 세부데이터'!"&amp;P$1&amp;$X6, TRUE)</f>
        <v>'25.11월</v>
      </c>
      <c r="Q6" s="2429" t="str" cm="1">
        <f t="array" aca="1" ref="Q6" ca="1">INDIRECT("'※ 유통플랫폼 세부데이터'!"&amp;Q$1&amp;$X6, TRUE)</f>
        <v>'25.12월</v>
      </c>
      <c r="R6" s="2997" t="s">
        <v>133</v>
      </c>
      <c r="S6" s="2998" t="s">
        <v>463</v>
      </c>
      <c r="T6" s="2999" t="s">
        <v>45</v>
      </c>
      <c r="U6" s="2993" t="s">
        <v>608</v>
      </c>
      <c r="V6" s="3000" t="s">
        <v>46</v>
      </c>
      <c r="W6" s="3001" t="s">
        <v>11</v>
      </c>
      <c r="X6" s="3693">
        <f>ROW('※ 유통플랫폼 세부데이터'!J3)</f>
        <v>3</v>
      </c>
    </row>
    <row r="7" spans="1:60" ht="16" customHeight="1" x14ac:dyDescent="0.55000000000000004">
      <c r="B7" s="7385" t="s">
        <v>306</v>
      </c>
      <c r="C7" s="7397" t="s">
        <v>307</v>
      </c>
      <c r="D7" s="4419" t="s">
        <v>309</v>
      </c>
      <c r="E7" s="4420" cm="1">
        <f t="array" aca="1" ref="E7" ca="1">INDIRECT("'※ 유통플랫폼 세부데이터'!"&amp;E$1&amp;$X7, TRUE)</f>
        <v>49560</v>
      </c>
      <c r="F7" s="4421" cm="1">
        <f t="array" aca="1" ref="F7" ca="1">INDIRECT("'※ 유통플랫폼 세부데이터'!"&amp;F$1&amp;$X7, TRUE)</f>
        <v>12251</v>
      </c>
      <c r="G7" s="4422"/>
      <c r="H7" s="4422"/>
      <c r="I7" s="4422"/>
      <c r="J7" s="4423" cm="1">
        <f t="array" aca="1" ref="J7" ca="1">INDIRECT("'※ 유통플랫폼 세부데이터'!"&amp;J$1&amp;$X7, TRUE)</f>
        <v>2961</v>
      </c>
      <c r="K7" s="4423" cm="1">
        <f t="array" aca="1" ref="K7" ca="1">INDIRECT("'※ 유통플랫폼 세부데이터'!"&amp;K$1&amp;$X7, TRUE)</f>
        <v>55</v>
      </c>
      <c r="L7" s="4423" cm="1">
        <f t="array" aca="1" ref="L7" ca="1">INDIRECT("'※ 유통플랫폼 세부데이터'!"&amp;L$1&amp;$X7, TRUE)</f>
        <v>12849</v>
      </c>
      <c r="M7" s="4422"/>
      <c r="N7" s="4423" cm="1">
        <f t="array" aca="1" ref="N7" ca="1">INDIRECT("'※ 유통플랫폼 세부데이터'!"&amp;N$1&amp;$X7, TRUE)</f>
        <v>11549</v>
      </c>
      <c r="O7" s="4422"/>
      <c r="P7" s="4423" cm="1">
        <f t="array" aca="1" ref="P7" ca="1">INDIRECT("'※ 유통플랫폼 세부데이터'!"&amp;P$1&amp;$X7, TRUE)</f>
        <v>2051</v>
      </c>
      <c r="Q7" s="4422"/>
      <c r="R7" s="4424" cm="1">
        <f t="array" aca="1" ref="R7" ca="1">INDIRECT("'※ 유통플랫폼 세부데이터'!"&amp;R$1&amp;$X7, TRUE)</f>
        <v>-2051</v>
      </c>
      <c r="S7" s="4424" cm="1">
        <f t="array" aca="1" ref="S7" ca="1">INDIRECT("'※ 유통플랫폼 세부데이터'!"&amp;S$1&amp;$X7, TRUE)</f>
        <v>-380</v>
      </c>
      <c r="T7" s="4425" cm="1">
        <f t="array" aca="1" ref="T7" ca="1">INDIRECT("'※ 유통플랫폼 세부데이터'!"&amp;T$1&amp;$X7, TRUE)</f>
        <v>41716</v>
      </c>
      <c r="U7" s="4424" cm="1">
        <f t="array" aca="1" ref="U7" ca="1">INDIRECT("'※ 유통플랫폼 세부데이터'!"&amp;U$1&amp;$X7, TRUE)</f>
        <v>-7844</v>
      </c>
      <c r="V7" s="4426" cm="1">
        <f t="array" aca="1" ref="V7" ca="1">INDIRECT("'※ 유통플랫폼 세부데이터'!"&amp;V$1&amp;$X7, TRUE)</f>
        <v>3476.3333333333335</v>
      </c>
      <c r="W7" s="4424" cm="1">
        <f t="array" aca="1" ref="W7" ca="1">INDIRECT("'※ 유통플랫폼 세부데이터'!"&amp;W$1&amp;$X7, TRUE)</f>
        <v>-653.66666666666652</v>
      </c>
      <c r="X7" s="3693">
        <f>ROW('※ 유통플랫폼 세부데이터'!J4)</f>
        <v>4</v>
      </c>
    </row>
    <row r="8" spans="1:60" ht="16" customHeight="1" x14ac:dyDescent="0.55000000000000004">
      <c r="B8" s="7386"/>
      <c r="C8" s="7389"/>
      <c r="D8" s="3679" t="s">
        <v>1207</v>
      </c>
      <c r="E8" s="4427" cm="1">
        <f t="array" aca="1" ref="E8" ca="1">INDIRECT("'※ 유통플랫폼 세부데이터'!"&amp;E$1&amp;$X8, TRUE)</f>
        <v>357.44713689999998</v>
      </c>
      <c r="F8" s="4428" cm="1">
        <f t="array" aca="1" ref="F8" ca="1">INDIRECT("'※ 유통플랫폼 세부데이터'!"&amp;F$1&amp;$X8, TRUE)</f>
        <v>142.9925992</v>
      </c>
      <c r="G8" s="4429"/>
      <c r="H8" s="4429"/>
      <c r="I8" s="4429"/>
      <c r="J8" s="4430" cm="1">
        <f t="array" aca="1" ref="J8" ca="1">INDIRECT("'※ 유통플랫폼 세부데이터'!"&amp;J$1&amp;$X8, TRUE)</f>
        <v>35.5</v>
      </c>
      <c r="K8" s="4430" cm="1">
        <f t="array" aca="1" ref="K8" ca="1">INDIRECT("'※ 유통플랫폼 세부데이터'!"&amp;K$1&amp;$X8, TRUE)</f>
        <v>0.1</v>
      </c>
      <c r="L8" s="4430" cm="1">
        <f t="array" aca="1" ref="L8" ca="1">INDIRECT("'※ 유통플랫폼 세부데이터'!"&amp;L$1&amp;$X8, TRUE)</f>
        <v>10</v>
      </c>
      <c r="M8" s="4429"/>
      <c r="N8" s="4430" cm="1">
        <f t="array" aca="1" ref="N8" ca="1">INDIRECT("'※ 유통플랫폼 세부데이터'!"&amp;N$1&amp;$X8, TRUE)</f>
        <v>10.3</v>
      </c>
      <c r="O8" s="4429"/>
      <c r="P8" s="4430" cm="1">
        <f t="array" aca="1" ref="P8" ca="1">INDIRECT("'※ 유통플랫폼 세부데이터'!"&amp;P$1&amp;$X8, TRUE)</f>
        <v>6.4</v>
      </c>
      <c r="Q8" s="4429"/>
      <c r="R8" s="4431" cm="1">
        <f t="array" aca="1" ref="R8" ca="1">INDIRECT("'※ 유통플랫폼 세부데이터'!"&amp;R$1&amp;$X8, TRUE)</f>
        <v>-6.4</v>
      </c>
      <c r="S8" s="4431" cm="1">
        <f t="array" aca="1" ref="S8" ca="1">INDIRECT("'※ 유통플랫폼 세부데이터'!"&amp;S$1&amp;$X8, TRUE)</f>
        <v>-0.6</v>
      </c>
      <c r="T8" s="4432" cm="1">
        <f t="array" aca="1" ref="T8" ca="1">INDIRECT("'※ 유통플랫폼 세부데이터'!"&amp;T$1&amp;$X8, TRUE)</f>
        <v>205.29259920000001</v>
      </c>
      <c r="U8" s="4431" cm="1">
        <f t="array" aca="1" ref="U8" ca="1">INDIRECT("'※ 유통플랫폼 세부데이터'!"&amp;U$1&amp;$X8, TRUE)</f>
        <v>-152.15453769999996</v>
      </c>
      <c r="V8" s="4433" cm="1">
        <f t="array" aca="1" ref="V8" ca="1">INDIRECT("'※ 유통플랫폼 세부데이터'!"&amp;V$1&amp;$X8, TRUE)</f>
        <v>17.1077166</v>
      </c>
      <c r="W8" s="4431" cm="1">
        <f t="array" aca="1" ref="W8" ca="1">INDIRECT("'※ 유통플랫폼 세부데이터'!"&amp;W$1&amp;$X8, TRUE)</f>
        <v>-12.679544808333333</v>
      </c>
      <c r="X8" s="3693">
        <f>ROW('※ 유통플랫폼 세부데이터'!J5)</f>
        <v>5</v>
      </c>
    </row>
    <row r="9" spans="1:60" ht="16" customHeight="1" x14ac:dyDescent="0.55000000000000004">
      <c r="B9" s="7386"/>
      <c r="C9" s="7389"/>
      <c r="D9" s="3679" t="s">
        <v>310</v>
      </c>
      <c r="E9" s="4434" cm="1">
        <f t="array" aca="1" ref="E9" ca="1">INDIRECT("'※ 유통플랫폼 세부데이터'!"&amp;E$1&amp;$X9, TRUE)</f>
        <v>5214247.6654921053</v>
      </c>
      <c r="F9" s="4435" cm="1">
        <f t="array" aca="1" ref="F9" ca="1">INDIRECT("'※ 유통플랫폼 세부데이터'!"&amp;F$1&amp;$X9, TRUE)</f>
        <v>1167191.2431638234</v>
      </c>
      <c r="G9" s="4436"/>
      <c r="H9" s="4436"/>
      <c r="I9" s="4436"/>
      <c r="J9" s="4437" cm="1">
        <f t="array" aca="1" ref="J9" ca="1">INDIRECT("'※ 유통플랫폼 세부데이터'!"&amp;J$1&amp;$X9, TRUE)</f>
        <v>1199369.1827085444</v>
      </c>
      <c r="K9" s="4437" cm="1">
        <f t="array" aca="1" ref="K9" ca="1">INDIRECT("'※ 유통플랫폼 세부데이터'!"&amp;K$1&amp;$X9, TRUE)</f>
        <v>203687</v>
      </c>
      <c r="L9" s="4437" cm="1">
        <f t="array" aca="1" ref="L9" ca="1">INDIRECT("'※ 유통플랫폼 세부데이터'!"&amp;L$1&amp;$X9, TRUE)</f>
        <v>788111</v>
      </c>
      <c r="M9" s="4436"/>
      <c r="N9" s="4437" cm="1">
        <f t="array" aca="1" ref="N9" ca="1">INDIRECT("'※ 유통플랫폼 세부데이터'!"&amp;N$1&amp;$X9, TRUE)</f>
        <v>1030114</v>
      </c>
      <c r="O9" s="4436"/>
      <c r="P9" s="4437" cm="1">
        <f t="array" aca="1" ref="P9" ca="1">INDIRECT("'※ 유통플랫폼 세부데이터'!"&amp;P$1&amp;$X9, TRUE)</f>
        <v>313837</v>
      </c>
      <c r="Q9" s="4436"/>
      <c r="R9" s="4438" cm="1">
        <f t="array" aca="1" ref="R9" ca="1">INDIRECT("'※ 유통플랫폼 세부데이터'!"&amp;R$1&amp;$X9, TRUE)</f>
        <v>-313837</v>
      </c>
      <c r="S9" s="4438" cm="1">
        <f t="array" aca="1" ref="S9" ca="1">INDIRECT("'※ 유통플랫폼 세부데이터'!"&amp;S$1&amp;$X9, TRUE)</f>
        <v>-173478</v>
      </c>
      <c r="T9" s="4432" cm="1">
        <f t="array" aca="1" ref="T9" ca="1">INDIRECT("'※ 유통플랫폼 세부데이터'!"&amp;T$1&amp;$X9, TRUE)</f>
        <v>4702309.4258723678</v>
      </c>
      <c r="U9" s="4438" cm="1">
        <f t="array" aca="1" ref="U9" ca="1">INDIRECT("'※ 유통플랫폼 세부데이터'!"&amp;U$1&amp;$X9, TRUE)</f>
        <v>-511938.23961973749</v>
      </c>
      <c r="V9" s="4433" cm="1">
        <f t="array" aca="1" ref="V9" ca="1">INDIRECT("'※ 유통플랫폼 세부데이터'!"&amp;V$1&amp;$X9, TRUE)</f>
        <v>391859.11882269732</v>
      </c>
      <c r="W9" s="4438" cm="1">
        <f t="array" aca="1" ref="W9" ca="1">INDIRECT("'※ 유통플랫폼 세부데이터'!"&amp;W$1&amp;$X9, TRUE)</f>
        <v>-42661.519968311477</v>
      </c>
      <c r="X9" s="3693">
        <f>ROW('※ 유통플랫폼 세부데이터'!J6)</f>
        <v>6</v>
      </c>
      <c r="Y9" s="4439"/>
    </row>
    <row r="10" spans="1:60" ht="16" customHeight="1" x14ac:dyDescent="0.55000000000000004">
      <c r="B10" s="7386"/>
      <c r="C10" s="7392" t="s">
        <v>308</v>
      </c>
      <c r="D10" s="4440" t="s">
        <v>309</v>
      </c>
      <c r="E10" s="4441" cm="1">
        <f t="array" aca="1" ref="E10" ca="1">INDIRECT("'※ 유통플랫폼 세부데이터'!"&amp;E$1&amp;$X10, TRUE)</f>
        <v>25649</v>
      </c>
      <c r="F10" s="4442" cm="1">
        <f t="array" aca="1" ref="F10" ca="1">INDIRECT("'※ 유통플랫폼 세부데이터'!"&amp;F$1&amp;$X10, TRUE)</f>
        <v>3029</v>
      </c>
      <c r="G10" s="4443" cm="1">
        <f t="array" aca="1" ref="G10" ca="1">INDIRECT("'※ 유통플랫폼 세부데이터'!"&amp;G$1&amp;$X10, TRUE)</f>
        <v>5439</v>
      </c>
      <c r="H10" s="4443" cm="1">
        <f t="array" aca="1" ref="H10" ca="1">INDIRECT("'※ 유통플랫폼 세부데이터'!"&amp;H$1&amp;$X10, TRUE)</f>
        <v>5783</v>
      </c>
      <c r="I10" s="4444" cm="1">
        <f t="array" aca="1" ref="I10" ca="1">INDIRECT("'※ 유통플랫폼 세부데이터'!"&amp;I$1&amp;$X10, TRUE)</f>
        <v>2112</v>
      </c>
      <c r="J10" s="4445" cm="1">
        <f t="array" aca="1" ref="J10" ca="1">INDIRECT("'※ 유통플랫폼 세부데이터'!"&amp;J$1&amp;$X10, TRUE)</f>
        <v>4225</v>
      </c>
      <c r="K10" s="4445" cm="1">
        <f t="array" aca="1" ref="K10" ca="1">INDIRECT("'※ 유통플랫폼 세부데이터'!"&amp;K$1&amp;$X10, TRUE)</f>
        <v>3329</v>
      </c>
      <c r="L10" s="4445" cm="1">
        <f t="array" aca="1" ref="L10" ca="1">INDIRECT("'※ 유통플랫폼 세부데이터'!"&amp;L$1&amp;$X10, TRUE)</f>
        <v>4569</v>
      </c>
      <c r="M10" s="4445" cm="1">
        <f t="array" aca="1" ref="M10" ca="1">INDIRECT("'※ 유통플랫폼 세부데이터'!"&amp;M$1&amp;$X10, TRUE)</f>
        <v>14973</v>
      </c>
      <c r="N10" s="4445" cm="1">
        <f t="array" aca="1" ref="N10" ca="1">INDIRECT("'※ 유통플랫폼 세부데이터'!"&amp;N$1&amp;$X10, TRUE)</f>
        <v>4169</v>
      </c>
      <c r="O10" s="4445" cm="1">
        <f t="array" aca="1" ref="O10" ca="1">INDIRECT("'※ 유통플랫폼 세부데이터'!"&amp;O$1&amp;$X10, TRUE)</f>
        <v>3440</v>
      </c>
      <c r="P10" s="4445" cm="1">
        <f t="array" aca="1" ref="P10" ca="1">INDIRECT("'※ 유통플랫폼 세부데이터'!"&amp;P$1&amp;$X10, TRUE)</f>
        <v>4254</v>
      </c>
      <c r="Q10" s="4445" cm="1">
        <f t="array" aca="1" ref="Q10" ca="1">INDIRECT("'※ 유통플랫폼 세부데이터'!"&amp;Q$1&amp;$X10, TRUE)</f>
        <v>1706</v>
      </c>
      <c r="R10" s="4446" cm="1">
        <f t="array" aca="1" ref="R10" ca="1">INDIRECT("'※ 유통플랫폼 세부데이터'!"&amp;R$1&amp;$X10, TRUE)</f>
        <v>-2548</v>
      </c>
      <c r="S10" s="4446" cm="1">
        <f t="array" aca="1" ref="S10" ca="1">INDIRECT("'※ 유통플랫폼 세부데이터'!"&amp;S$1&amp;$X10, TRUE)</f>
        <v>228</v>
      </c>
      <c r="T10" s="4447" cm="1">
        <f t="array" aca="1" ref="T10" ca="1">INDIRECT("'※ 유통플랫폼 세부데이터'!"&amp;T$1&amp;$X10, TRUE)</f>
        <v>57028</v>
      </c>
      <c r="U10" s="4446" cm="1">
        <f t="array" aca="1" ref="U10" ca="1">INDIRECT("'※ 유통플랫폼 세부데이터'!"&amp;U$1&amp;$X10, TRUE)</f>
        <v>31379</v>
      </c>
      <c r="V10" s="4448" cm="1">
        <f t="array" aca="1" ref="V10" ca="1">INDIRECT("'※ 유통플랫폼 세부데이터'!"&amp;V$1&amp;$X10, TRUE)</f>
        <v>4752.333333333333</v>
      </c>
      <c r="W10" s="4446" cm="1">
        <f t="array" aca="1" ref="W10" ca="1">INDIRECT("'※ 유통플랫폼 세부데이터'!"&amp;W$1&amp;$X10, TRUE)</f>
        <v>2614.9166666666665</v>
      </c>
      <c r="X10" s="3693">
        <f>ROW('※ 유통플랫폼 세부데이터'!J7)</f>
        <v>7</v>
      </c>
    </row>
    <row r="11" spans="1:60" ht="16" customHeight="1" x14ac:dyDescent="0.55000000000000004">
      <c r="B11" s="7386"/>
      <c r="C11" s="7392"/>
      <c r="D11" s="4440" t="s">
        <v>1208</v>
      </c>
      <c r="E11" s="4449" cm="1">
        <f t="array" aca="1" ref="E11" ca="1">INDIRECT("'※ 유통플랫폼 세부데이터'!"&amp;E$1&amp;$X11, TRUE)</f>
        <v>181.02718537211089</v>
      </c>
      <c r="F11" s="4450" cm="1">
        <f t="array" aca="1" ref="F11" ca="1">INDIRECT("'※ 유통플랫폼 세부데이터'!"&amp;F$1&amp;$X11, TRUE)</f>
        <v>8.3175418200000006</v>
      </c>
      <c r="G11" s="4451" cm="1">
        <f t="array" aca="1" ref="G11" ca="1">INDIRECT("'※ 유통플랫폼 세부데이터'!"&amp;G$1&amp;$X11, TRUE)</f>
        <v>38</v>
      </c>
      <c r="H11" s="4451" cm="1">
        <f t="array" aca="1" ref="H11" ca="1">INDIRECT("'※ 유통플랫폼 세부데이터'!"&amp;H$1&amp;$X11, TRUE)</f>
        <v>36</v>
      </c>
      <c r="I11" s="4451" cm="1">
        <f t="array" aca="1" ref="I11" ca="1">INDIRECT("'※ 유통플랫폼 세부데이터'!"&amp;I$1&amp;$X11, TRUE)</f>
        <v>18.8</v>
      </c>
      <c r="J11" s="4451" cm="1">
        <f t="array" aca="1" ref="J11" ca="1">INDIRECT("'※ 유통플랫폼 세부데이터'!"&amp;J$1&amp;$X11, TRUE)</f>
        <v>37.051370730000002</v>
      </c>
      <c r="K11" s="4451" cm="1">
        <f t="array" aca="1" ref="K11" ca="1">INDIRECT("'※ 유통플랫폼 세부데이터'!"&amp;K$1&amp;$X11, TRUE)</f>
        <v>40.5</v>
      </c>
      <c r="L11" s="4451" cm="1">
        <f t="array" aca="1" ref="L11" ca="1">INDIRECT("'※ 유통플랫폼 세부데이터'!"&amp;L$1&amp;$X11, TRUE)</f>
        <v>42.3</v>
      </c>
      <c r="M11" s="4451" cm="1">
        <f t="array" aca="1" ref="M11" ca="1">INDIRECT("'※ 유통플랫폼 세부데이터'!"&amp;M$1&amp;$X11, TRUE)</f>
        <v>13.6</v>
      </c>
      <c r="N11" s="4451" cm="1">
        <f t="array" aca="1" ref="N11" ca="1">INDIRECT("'※ 유통플랫폼 세부데이터'!"&amp;N$1&amp;$X11, TRUE)</f>
        <v>42.3</v>
      </c>
      <c r="O11" s="4451" cm="1">
        <f t="array" aca="1" ref="O11" ca="1">INDIRECT("'※ 유통플랫폼 세부데이터'!"&amp;O$1&amp;$X11, TRUE)</f>
        <v>34.299999999999997</v>
      </c>
      <c r="P11" s="4451" cm="1">
        <f t="array" aca="1" ref="P11" ca="1">INDIRECT("'※ 유통플랫폼 세부데이터'!"&amp;P$1&amp;$X11, TRUE)</f>
        <v>41.7</v>
      </c>
      <c r="Q11" s="4451" cm="1">
        <f t="array" aca="1" ref="Q11" ca="1">INDIRECT("'※ 유통플랫폼 세부데이터'!"&amp;Q$1&amp;$X11, TRUE)</f>
        <v>16.5</v>
      </c>
      <c r="R11" s="4452" cm="1">
        <f t="array" aca="1" ref="R11" ca="1">INDIRECT("'※ 유통플랫폼 세부데이터'!"&amp;R$1&amp;$X11, TRUE)</f>
        <v>-25.200000000000003</v>
      </c>
      <c r="S11" s="4452" cm="1">
        <f t="array" aca="1" ref="S11" ca="1">INDIRECT("'※ 유통플랫폼 세부데이터'!"&amp;S$1&amp;$X11, TRUE)</f>
        <v>9.4</v>
      </c>
      <c r="T11" s="4447" cm="1">
        <f t="array" aca="1" ref="T11" ca="1">INDIRECT("'※ 유통플랫폼 세부데이터'!"&amp;T$1&amp;$X11, TRUE)</f>
        <v>369.36891255</v>
      </c>
      <c r="U11" s="4452" cm="1">
        <f t="array" aca="1" ref="U11" ca="1">INDIRECT("'※ 유통플랫폼 세부데이터'!"&amp;U$1&amp;$X11, TRUE)</f>
        <v>188.34172717788911</v>
      </c>
      <c r="V11" s="4448" cm="1">
        <f t="array" aca="1" ref="V11" ca="1">INDIRECT("'※ 유통플랫폼 세부데이터'!"&amp;V$1&amp;$X11, TRUE)</f>
        <v>30.7807427125</v>
      </c>
      <c r="W11" s="4452" cm="1">
        <f t="array" aca="1" ref="W11" ca="1">INDIRECT("'※ 유통플랫폼 세부데이터'!"&amp;W$1&amp;$X11, TRUE)</f>
        <v>15.69514393149076</v>
      </c>
      <c r="X11" s="3693">
        <f>ROW('※ 유통플랫폼 세부데이터'!J8)</f>
        <v>8</v>
      </c>
    </row>
    <row r="12" spans="1:60" ht="16" customHeight="1" x14ac:dyDescent="0.55000000000000004">
      <c r="B12" s="7386"/>
      <c r="C12" s="7392"/>
      <c r="D12" s="4440" t="s">
        <v>310</v>
      </c>
      <c r="E12" s="4441" cm="1">
        <f t="array" aca="1" ref="E12" ca="1">INDIRECT("'※ 유통플랫폼 세부데이터'!"&amp;E$1&amp;$X12, TRUE)</f>
        <v>8769485.5636038966</v>
      </c>
      <c r="F12" s="4442" cm="1">
        <f t="array" aca="1" ref="F12" ca="1">INDIRECT("'※ 유통플랫폼 세부데이터'!"&amp;F$1&amp;$X12, TRUE)</f>
        <v>274596.95675140311</v>
      </c>
      <c r="G12" s="4443" cm="1">
        <f t="array" aca="1" ref="G12" ca="1">INDIRECT("'※ 유통플랫폼 세부데이터'!"&amp;G$1&amp;$X12, TRUE)</f>
        <v>698678.07188821479</v>
      </c>
      <c r="H12" s="4443" cm="1">
        <f t="array" aca="1" ref="H12" ca="1">INDIRECT("'※ 유통플랫폼 세부데이터'!"&amp;H$1&amp;$X12, TRUE)</f>
        <v>636855.03233615775</v>
      </c>
      <c r="I12" s="4444" cm="1">
        <f t="array" aca="1" ref="I12" ca="1">INDIRECT("'※ 유통플랫폼 세부데이터'!"&amp;I$1&amp;$X12, TRUE)</f>
        <v>891000</v>
      </c>
      <c r="J12" s="4445" cm="1">
        <f t="array" aca="1" ref="J12" ca="1">INDIRECT("'※ 유통플랫폼 세부데이터'!"&amp;J$1&amp;$X12, TRUE)</f>
        <v>876956</v>
      </c>
      <c r="K12" s="4445" cm="1">
        <f t="array" aca="1" ref="K12" ca="1">INDIRECT("'※ 유통플랫폼 세부데이터'!"&amp;K$1&amp;$X12, TRUE)</f>
        <v>1216582.2499249023</v>
      </c>
      <c r="L12" s="4445" cm="1">
        <f t="array" aca="1" ref="L12" ca="1">INDIRECT("'※ 유통플랫폼 세부데이터'!"&amp;L$1&amp;$X12, TRUE)</f>
        <v>927519</v>
      </c>
      <c r="M12" s="4445" cm="1">
        <f t="array" aca="1" ref="M12" ca="1">INDIRECT("'※ 유통플랫폼 세부데이터'!"&amp;M$1&amp;$X12, TRUE)</f>
        <v>913439</v>
      </c>
      <c r="N12" s="4445" cm="1">
        <f t="array" aca="1" ref="N12" ca="1">INDIRECT("'※ 유통플랫폼 세부데이터'!"&amp;N$1&amp;$X12, TRUE)</f>
        <v>1015619</v>
      </c>
      <c r="O12" s="4445" cm="1">
        <f t="array" aca="1" ref="O12" ca="1">INDIRECT("'※ 유통플랫폼 세부데이터'!"&amp;O$1&amp;$X12, TRUE)</f>
        <v>997532</v>
      </c>
      <c r="P12" s="4445" cm="1">
        <f t="array" aca="1" ref="P12" ca="1">INDIRECT("'※ 유통플랫폼 세부데이터'!"&amp;P$1&amp;$X12, TRUE)</f>
        <v>981131</v>
      </c>
      <c r="Q12" s="4445" cm="1">
        <f t="array" aca="1" ref="Q12" ca="1">INDIRECT("'※ 유통플랫폼 세부데이터'!"&amp;Q$1&amp;$X12, TRUE)</f>
        <v>964315</v>
      </c>
      <c r="R12" s="4446" cm="1">
        <f t="array" aca="1" ref="R12" ca="1">INDIRECT("'※ 유통플랫폼 세부데이터'!"&amp;R$1&amp;$X12, TRUE)</f>
        <v>-16816</v>
      </c>
      <c r="S12" s="4446" cm="1">
        <f t="array" aca="1" ref="S12" ca="1">INDIRECT("'※ 유통플랫폼 세부데이터'!"&amp;S$1&amp;$X12, TRUE)</f>
        <v>481205</v>
      </c>
      <c r="T12" s="4447" cm="1">
        <f t="array" aca="1" ref="T12" ca="1">INDIRECT("'※ 유통플랫폼 세부데이터'!"&amp;T$1&amp;$X12, TRUE)</f>
        <v>10394223.310900677</v>
      </c>
      <c r="U12" s="4446" cm="1">
        <f t="array" aca="1" ref="U12" ca="1">INDIRECT("'※ 유통플랫폼 세부데이터'!"&amp;U$1&amp;$X12, TRUE)</f>
        <v>1624737.7472967803</v>
      </c>
      <c r="V12" s="4448" cm="1">
        <f t="array" aca="1" ref="V12" ca="1">INDIRECT("'※ 유통플랫폼 세부데이터'!"&amp;V$1&amp;$X12, TRUE)</f>
        <v>866185.27590838971</v>
      </c>
      <c r="W12" s="4446" cm="1">
        <f t="array" aca="1" ref="W12" ca="1">INDIRECT("'※ 유통플랫폼 세부데이터'!"&amp;W$1&amp;$X12, TRUE)</f>
        <v>135394.8122747317</v>
      </c>
      <c r="X12" s="3693">
        <f>ROW('※ 유통플랫폼 세부데이터'!J9)</f>
        <v>9</v>
      </c>
    </row>
    <row r="13" spans="1:60" ht="16" customHeight="1" x14ac:dyDescent="0.55000000000000004">
      <c r="B13" s="7386"/>
      <c r="C13" s="7394"/>
      <c r="D13" s="4453" t="s">
        <v>1209</v>
      </c>
      <c r="E13" s="4454" cm="1">
        <f t="array" aca="1" ref="E13" ca="1">INDIRECT("'※ 유통플랫폼 세부데이터'!"&amp;E$1&amp;$X13, TRUE)</f>
        <v>24.388983657539804</v>
      </c>
      <c r="F13" s="4455" cm="1">
        <f t="array" aca="1" ref="F13" ca="1">INDIRECT("'※ 유통플랫폼 세부데이터'!"&amp;F$1&amp;$X13, TRUE)</f>
        <v>0.3</v>
      </c>
      <c r="G13" s="4456" cm="1">
        <f t="array" aca="1" ref="G13" ca="1">INDIRECT("'※ 유통플랫폼 세부데이터'!"&amp;G$1&amp;$X13, TRUE)</f>
        <v>42</v>
      </c>
      <c r="H13" s="4456" cm="1">
        <f t="array" aca="1" ref="H13" ca="1">INDIRECT("'※ 유통플랫폼 세부데이터'!"&amp;H$1&amp;$X13, TRUE)</f>
        <v>1.3</v>
      </c>
      <c r="I13" s="4456" cm="1">
        <f t="array" aca="1" ref="I13" ca="1">INDIRECT("'※ 유통플랫폼 세부데이터'!"&amp;I$1&amp;$X13, TRUE)</f>
        <v>1</v>
      </c>
      <c r="J13" s="4456" cm="1">
        <f t="array" aca="1" ref="J13" ca="1">INDIRECT("'※ 유통플랫폼 세부데이터'!"&amp;J$1&amp;$X13, TRUE)</f>
        <v>4.4000000000000004</v>
      </c>
      <c r="K13" s="4457" cm="1">
        <f t="array" aca="1" ref="K13" ca="1">INDIRECT("'※ 유통플랫폼 세부데이터'!"&amp;K$1&amp;$X13, TRUE)</f>
        <v>8.1999999999999993</v>
      </c>
      <c r="L13" s="4457" cm="1">
        <f t="array" aca="1" ref="L13" ca="1">INDIRECT("'※ 유통플랫폼 세부데이터'!"&amp;L$1&amp;$X13, TRUE)</f>
        <v>2.7</v>
      </c>
      <c r="M13" s="4457" cm="1">
        <f t="array" aca="1" ref="M13" ca="1">INDIRECT("'※ 유통플랫폼 세부데이터'!"&amp;M$1&amp;$X13, TRUE)</f>
        <v>6</v>
      </c>
      <c r="N13" s="4457" cm="1">
        <f t="array" aca="1" ref="N13" ca="1">INDIRECT("'※ 유통플랫폼 세부데이터'!"&amp;N$1&amp;$X13, TRUE)</f>
        <v>5.9</v>
      </c>
      <c r="O13" s="4457" cm="1">
        <f t="array" aca="1" ref="O13" ca="1">INDIRECT("'※ 유통플랫폼 세부데이터'!"&amp;O$1&amp;$X13, TRUE)</f>
        <v>2</v>
      </c>
      <c r="P13" s="4457" cm="1">
        <f t="array" aca="1" ref="P13" ca="1">INDIRECT("'※ 유통플랫폼 세부데이터'!"&amp;P$1&amp;$X13, TRUE)</f>
        <v>2.8</v>
      </c>
      <c r="Q13" s="4457" cm="1">
        <f t="array" aca="1" ref="Q13" ca="1">INDIRECT("'※ 유통플랫폼 세부데이터'!"&amp;Q$1&amp;$X13, TRUE)</f>
        <v>1.2</v>
      </c>
      <c r="R13" s="4458" cm="1">
        <f t="array" aca="1" ref="R13" ca="1">INDIRECT("'※ 유통플랫폼 세부데이터'!"&amp;R$1&amp;$X13, TRUE)</f>
        <v>-1.5999999999999999</v>
      </c>
      <c r="S13" s="4458" cm="1">
        <f t="array" aca="1" ref="S13" ca="1">INDIRECT("'※ 유통플랫폼 세부데이터'!"&amp;S$1&amp;$X13, TRUE)</f>
        <v>2.2000000000000002</v>
      </c>
      <c r="T13" s="4459" cm="1">
        <f t="array" aca="1" ref="T13" ca="1">INDIRECT("'※ 유통플랫폼 세부데이터'!"&amp;T$1&amp;$X13, TRUE)</f>
        <v>77.8</v>
      </c>
      <c r="U13" s="4458" cm="1">
        <f t="array" aca="1" ref="U13" ca="1">INDIRECT("'※ 유통플랫폼 세부데이터'!"&amp;U$1&amp;$X13, TRUE)</f>
        <v>53.411016342460194</v>
      </c>
      <c r="V13" s="4460" cm="1">
        <f t="array" aca="1" ref="V13" ca="1">INDIRECT("'※ 유통플랫폼 세부데이터'!"&amp;V$1&amp;$X13, TRUE)</f>
        <v>6.4833333333333334</v>
      </c>
      <c r="W13" s="4458" cm="1">
        <f t="array" aca="1" ref="W13" ca="1">INDIRECT("'※ 유통플랫폼 세부데이터'!"&amp;W$1&amp;$X13, TRUE)</f>
        <v>4.4509180285383501</v>
      </c>
      <c r="X13" s="3693">
        <f>ROW('※ 유통플랫폼 세부데이터'!J10)</f>
        <v>10</v>
      </c>
    </row>
    <row r="14" spans="1:60" ht="16" customHeight="1" x14ac:dyDescent="0.55000000000000004">
      <c r="B14" s="7386" t="s">
        <v>311</v>
      </c>
      <c r="C14" s="7392" t="s">
        <v>307</v>
      </c>
      <c r="D14" s="4440" t="s">
        <v>309</v>
      </c>
      <c r="E14" s="4461" cm="1">
        <f t="array" aca="1" ref="E14" ca="1">INDIRECT("'※ 유통플랫폼 세부데이터'!"&amp;E$1&amp;$X14, TRUE)</f>
        <v>50133</v>
      </c>
      <c r="F14" s="4462" cm="1">
        <f t="array" aca="1" ref="F14" ca="1">INDIRECT("'※ 유통플랫폼 세부데이터'!"&amp;F$1&amp;$X14, TRUE)</f>
        <v>1036</v>
      </c>
      <c r="G14" s="4463" cm="1">
        <f t="array" aca="1" ref="G14" ca="1">INDIRECT("'※ 유통플랫폼 세부데이터'!"&amp;G$1&amp;$X14, TRUE)</f>
        <v>7664</v>
      </c>
      <c r="H14" s="4463" cm="1">
        <f t="array" aca="1" ref="H14" ca="1">INDIRECT("'※ 유통플랫폼 세부데이터'!"&amp;H$1&amp;$X14, TRUE)</f>
        <v>4086</v>
      </c>
      <c r="I14" s="4464" cm="1">
        <f t="array" aca="1" ref="I14" ca="1">INDIRECT("'※ 유통플랫폼 세부데이터'!"&amp;I$1&amp;$X14, TRUE)</f>
        <v>3950</v>
      </c>
      <c r="J14" s="4465" cm="1">
        <f t="array" aca="1" ref="J14" ca="1">INDIRECT("'※ 유통플랫폼 세부데이터'!"&amp;J$1&amp;$X14, TRUE)</f>
        <v>4640</v>
      </c>
      <c r="K14" s="4465" cm="1">
        <f t="array" aca="1" ref="K14" ca="1">INDIRECT("'※ 유통플랫폼 세부데이터'!"&amp;K$1&amp;$X14, TRUE)</f>
        <v>5274</v>
      </c>
      <c r="L14" s="4465" cm="1">
        <f t="array" aca="1" ref="L14" ca="1">INDIRECT("'※ 유통플랫폼 세부데이터'!"&amp;L$1&amp;$X14, TRUE)</f>
        <v>6996</v>
      </c>
      <c r="M14" s="4465" cm="1">
        <f t="array" aca="1" ref="M14" ca="1">INDIRECT("'※ 유통플랫폼 세부데이터'!"&amp;M$1&amp;$X14, TRUE)</f>
        <v>4953</v>
      </c>
      <c r="N14" s="4465" cm="1">
        <f t="array" aca="1" ref="N14" ca="1">INDIRECT("'※ 유통플랫폼 세부데이터'!"&amp;N$1&amp;$X14, TRUE)</f>
        <v>4596</v>
      </c>
      <c r="O14" s="4465" cm="1">
        <f t="array" aca="1" ref="O14" ca="1">INDIRECT("'※ 유통플랫폼 세부데이터'!"&amp;O$1&amp;$X14, TRUE)</f>
        <v>4073</v>
      </c>
      <c r="P14" s="4465" cm="1">
        <f t="array" aca="1" ref="P14" ca="1">INDIRECT("'※ 유통플랫폼 세부데이터'!"&amp;P$1&amp;$X14, TRUE)</f>
        <v>2397</v>
      </c>
      <c r="Q14" s="4465" cm="1">
        <f t="array" aca="1" ref="Q14" ca="1">INDIRECT("'※ 유통플랫폼 세부데이터'!"&amp;Q$1&amp;$X14, TRUE)</f>
        <v>1959</v>
      </c>
      <c r="R14" s="4466" cm="1">
        <f t="array" aca="1" ref="R14" ca="1">INDIRECT("'※ 유통플랫폼 세부데이터'!"&amp;R$1&amp;$X14, TRUE)</f>
        <v>-438</v>
      </c>
      <c r="S14" s="4466" cm="1">
        <f t="array" aca="1" ref="S14" ca="1">INDIRECT("'※ 유통플랫폼 세부데이터'!"&amp;S$1&amp;$X14, TRUE)</f>
        <v>492</v>
      </c>
      <c r="T14" s="4467" cm="1">
        <f t="array" aca="1" ref="T14" ca="1">INDIRECT("'※ 유통플랫폼 세부데이터'!"&amp;T$1&amp;$X14, TRUE)</f>
        <v>51624</v>
      </c>
      <c r="U14" s="4466" cm="1">
        <f t="array" aca="1" ref="U14" ca="1">INDIRECT("'※ 유통플랫폼 세부데이터'!"&amp;U$1&amp;$X14, TRUE)</f>
        <v>1491</v>
      </c>
      <c r="V14" s="4468" cm="1">
        <f t="array" aca="1" ref="V14" ca="1">INDIRECT("'※ 유통플랫폼 세부데이터'!"&amp;V$1&amp;$X14, TRUE)</f>
        <v>4302</v>
      </c>
      <c r="W14" s="4466" cm="1">
        <f t="array" aca="1" ref="W14" ca="1">INDIRECT("'※ 유통플랫폼 세부데이터'!"&amp;W$1&amp;$X14, TRUE)</f>
        <v>124.25</v>
      </c>
      <c r="X14" s="3693">
        <f>ROW('※ 유통플랫폼 세부데이터'!J11)</f>
        <v>11</v>
      </c>
    </row>
    <row r="15" spans="1:60" ht="16" customHeight="1" x14ac:dyDescent="0.55000000000000004">
      <c r="B15" s="7386"/>
      <c r="C15" s="7392"/>
      <c r="D15" s="4440" t="s">
        <v>1207</v>
      </c>
      <c r="E15" s="4469" cm="1">
        <f t="array" aca="1" ref="E15" ca="1">INDIRECT("'※ 유통플랫폼 세부데이터'!"&amp;E$1&amp;$X15, TRUE)</f>
        <v>145.35246045000002</v>
      </c>
      <c r="F15" s="4470" cm="1">
        <f t="array" aca="1" ref="F15" ca="1">INDIRECT("'※ 유통플랫폼 세부데이터'!"&amp;F$1&amp;$X15, TRUE)</f>
        <v>1.8</v>
      </c>
      <c r="G15" s="4471" cm="1">
        <f t="array" aca="1" ref="G15" ca="1">INDIRECT("'※ 유통플랫폼 세부데이터'!"&amp;G$1&amp;$X15, TRUE)</f>
        <v>13</v>
      </c>
      <c r="H15" s="4471" cm="1">
        <f t="array" aca="1" ref="H15" ca="1">INDIRECT("'※ 유통플랫폼 세부데이터'!"&amp;H$1&amp;$X15, TRUE)</f>
        <v>6</v>
      </c>
      <c r="I15" s="4471" cm="1">
        <f t="array" aca="1" ref="I15" ca="1">INDIRECT("'※ 유통플랫폼 세부데이터'!"&amp;I$1&amp;$X15, TRUE)</f>
        <v>4.5999999999999996</v>
      </c>
      <c r="J15" s="4471" cm="1">
        <f t="array" aca="1" ref="J15" ca="1">INDIRECT("'※ 유통플랫폼 세부데이터'!"&amp;J$1&amp;$X15, TRUE)</f>
        <v>5.6</v>
      </c>
      <c r="K15" s="4471" cm="1">
        <f t="array" aca="1" ref="K15" ca="1">INDIRECT("'※ 유통플랫폼 세부데이터'!"&amp;K$1&amp;$X15, TRUE)</f>
        <v>6.8</v>
      </c>
      <c r="L15" s="4471" cm="1">
        <f t="array" aca="1" ref="L15" ca="1">INDIRECT("'※ 유통플랫폼 세부데이터'!"&amp;L$1&amp;$X15, TRUE)</f>
        <v>16.7</v>
      </c>
      <c r="M15" s="4471" cm="1">
        <f t="array" aca="1" ref="M15" ca="1">INDIRECT("'※ 유통플랫폼 세부데이터'!"&amp;M$1&amp;$X15, TRUE)</f>
        <v>8.3000000000000007</v>
      </c>
      <c r="N15" s="4471" cm="1">
        <f t="array" aca="1" ref="N15" ca="1">INDIRECT("'※ 유통플랫폼 세부데이터'!"&amp;N$1&amp;$X15, TRUE)</f>
        <v>11.6</v>
      </c>
      <c r="O15" s="4471" cm="1">
        <f t="array" aca="1" ref="O15" ca="1">INDIRECT("'※ 유통플랫폼 세부데이터'!"&amp;O$1&amp;$X15, TRUE)</f>
        <v>9.5</v>
      </c>
      <c r="P15" s="4471" cm="1">
        <f t="array" aca="1" ref="P15" ca="1">INDIRECT("'※ 유통플랫폼 세부데이터'!"&amp;P$1&amp;$X15, TRUE)</f>
        <v>3.8</v>
      </c>
      <c r="Q15" s="4471" cm="1">
        <f t="array" aca="1" ref="Q15" ca="1">INDIRECT("'※ 유통플랫폼 세부데이터'!"&amp;Q$1&amp;$X15, TRUE)</f>
        <v>3.1</v>
      </c>
      <c r="R15" s="4472" cm="1">
        <f t="array" aca="1" ref="R15" ca="1">INDIRECT("'※ 유통플랫폼 세부데이터'!"&amp;R$1&amp;$X15, TRUE)</f>
        <v>-0.69999999999999973</v>
      </c>
      <c r="S15" s="4472" cm="1">
        <f t="array" aca="1" ref="S15" ca="1">INDIRECT("'※ 유통플랫폼 세부데이터'!"&amp;S$1&amp;$X15, TRUE)</f>
        <v>0.60000000000000009</v>
      </c>
      <c r="T15" s="4473" cm="1">
        <f t="array" aca="1" ref="T15" ca="1">INDIRECT("'※ 유통플랫폼 세부데이터'!"&amp;T$1&amp;$X15, TRUE)</f>
        <v>90.799999999999983</v>
      </c>
      <c r="U15" s="4472" cm="1">
        <f t="array" aca="1" ref="U15" ca="1">INDIRECT("'※ 유통플랫폼 세부데이터'!"&amp;U$1&amp;$X15, TRUE)</f>
        <v>-54.552460450000041</v>
      </c>
      <c r="V15" s="4474" cm="1">
        <f t="array" aca="1" ref="V15" ca="1">INDIRECT("'※ 유통플랫폼 세부데이터'!"&amp;V$1&amp;$X15, TRUE)</f>
        <v>7.5666666666666655</v>
      </c>
      <c r="W15" s="4472" cm="1">
        <f t="array" aca="1" ref="W15" ca="1">INDIRECT("'※ 유통플랫폼 세부데이터'!"&amp;W$1&amp;$X15, TRUE)</f>
        <v>-4.5460383708333358</v>
      </c>
      <c r="X15" s="3693">
        <f>ROW('※ 유통플랫폼 세부데이터'!J12)</f>
        <v>12</v>
      </c>
    </row>
    <row r="16" spans="1:60" ht="16" customHeight="1" x14ac:dyDescent="0.55000000000000004">
      <c r="B16" s="7386"/>
      <c r="C16" s="7393"/>
      <c r="D16" s="4440" t="s">
        <v>310</v>
      </c>
      <c r="E16" s="4461" cm="1">
        <f t="array" aca="1" ref="E16" ca="1">INDIRECT("'※ 유통플랫폼 세부데이터'!"&amp;E$1&amp;$X16, TRUE)</f>
        <v>2927689.0368372984</v>
      </c>
      <c r="F16" s="4462" cm="1">
        <f t="array" aca="1" ref="F16" ca="1">INDIRECT("'※ 유통플랫폼 세부데이터'!"&amp;F$1&amp;$X16, TRUE)</f>
        <v>173874</v>
      </c>
      <c r="G16" s="4463" cm="1">
        <f t="array" aca="1" ref="G16" ca="1">INDIRECT("'※ 유통플랫폼 세부데이터'!"&amp;G$1&amp;$X16, TRUE)</f>
        <v>180763.63413361169</v>
      </c>
      <c r="H16" s="4463" cm="1">
        <f t="array" aca="1" ref="H16" ca="1">INDIRECT("'※ 유통플랫폼 세부데이터'!"&amp;H$1&amp;$X16, TRUE)</f>
        <v>149075</v>
      </c>
      <c r="I16" s="4464" cm="1">
        <f t="array" aca="1" ref="I16" ca="1">INDIRECT("'※ 유통플랫폼 세부데이터'!"&amp;I$1&amp;$X16, TRUE)</f>
        <v>115565</v>
      </c>
      <c r="J16" s="4465" cm="1">
        <f t="array" aca="1" ref="J16" ca="1">INDIRECT("'※ 유통플랫폼 세부데이터'!"&amp;J$1&amp;$X16, TRUE)</f>
        <v>121231</v>
      </c>
      <c r="K16" s="4465" cm="1">
        <f t="array" aca="1" ref="K16" ca="1">INDIRECT("'※ 유통플랫폼 세부데이터'!"&amp;K$1&amp;$X16, TRUE)</f>
        <v>134500</v>
      </c>
      <c r="L16" s="4465" cm="1">
        <f t="array" aca="1" ref="L16" ca="1">INDIRECT("'※ 유통플랫폼 세부데이터'!"&amp;L$1&amp;$X16, TRUE)</f>
        <v>239982</v>
      </c>
      <c r="M16" s="4465" cm="1">
        <f t="array" aca="1" ref="M16" ca="1">INDIRECT("'※ 유통플랫폼 세부데이터'!"&amp;M$1&amp;$X16, TRUE)</f>
        <v>166655</v>
      </c>
      <c r="N16" s="4465" cm="1">
        <f t="array" aca="1" ref="N16" ca="1">INDIRECT("'※ 유통플랫폼 세부데이터'!"&amp;N$1&amp;$X16, TRUE)</f>
        <v>252465</v>
      </c>
      <c r="O16" s="4465" cm="1">
        <f t="array" aca="1" ref="O16" ca="1">INDIRECT("'※ 유통플랫폼 세부데이터'!"&amp;O$1&amp;$X16, TRUE)</f>
        <v>234128</v>
      </c>
      <c r="P16" s="4465" cm="1">
        <f t="array" aca="1" ref="P16" ca="1">INDIRECT("'※ 유통플랫폼 세부데이터'!"&amp;P$1&amp;$X16, TRUE)</f>
        <v>160956</v>
      </c>
      <c r="Q16" s="4465" cm="1">
        <f t="array" aca="1" ref="Q16" ca="1">INDIRECT("'※ 유통플랫폼 세부데이터'!"&amp;Q$1&amp;$X16, TRUE)</f>
        <v>156329</v>
      </c>
      <c r="R16" s="4466" cm="1">
        <f t="array" aca="1" ref="R16" ca="1">INDIRECT("'※ 유통플랫폼 세부데이터'!"&amp;R$1&amp;$X16, TRUE)</f>
        <v>-4627</v>
      </c>
      <c r="S16" s="4466" cm="1">
        <f t="array" aca="1" ref="S16" ca="1">INDIRECT("'※ 유통플랫폼 세부데이터'!"&amp;S$1&amp;$X16, TRUE)</f>
        <v>-14087</v>
      </c>
      <c r="T16" s="4467" cm="1">
        <f t="array" aca="1" ref="T16" ca="1">INDIRECT("'※ 유통플랫폼 세부데이터'!"&amp;T$1&amp;$X16, TRUE)</f>
        <v>2085523.6341336118</v>
      </c>
      <c r="U16" s="4466" cm="1">
        <f t="array" aca="1" ref="U16" ca="1">INDIRECT("'※ 유통플랫폼 세부데이터'!"&amp;U$1&amp;$X16, TRUE)</f>
        <v>-842165.40270368662</v>
      </c>
      <c r="V16" s="4468" cm="1">
        <f t="array" aca="1" ref="V16" ca="1">INDIRECT("'※ 유통플랫폼 세부데이터'!"&amp;V$1&amp;$X16, TRUE)</f>
        <v>173793.63617780097</v>
      </c>
      <c r="W16" s="4466" cm="1">
        <f t="array" aca="1" ref="W16" ca="1">INDIRECT("'※ 유통플랫폼 세부데이터'!"&amp;W$1&amp;$X16, TRUE)</f>
        <v>-70180.450225307228</v>
      </c>
      <c r="X16" s="3693">
        <f>ROW('※ 유통플랫폼 세부데이터'!J13)</f>
        <v>13</v>
      </c>
    </row>
    <row r="17" spans="2:27" ht="16" customHeight="1" x14ac:dyDescent="0.55000000000000004">
      <c r="B17" s="7386"/>
      <c r="C17" s="7388" t="s">
        <v>321</v>
      </c>
      <c r="D17" s="4475" t="s">
        <v>312</v>
      </c>
      <c r="E17" s="4476" cm="1">
        <f t="array" aca="1" ref="E17" ca="1">INDIRECT("'※ 유통플랫폼 세부데이터'!"&amp;E$1&amp;$X17, TRUE)</f>
        <v>25403</v>
      </c>
      <c r="F17" s="4477" cm="1">
        <f t="array" aca="1" ref="F17" ca="1">INDIRECT("'※ 유통플랫폼 세부데이터'!"&amp;F$1&amp;$X17, TRUE)</f>
        <v>163</v>
      </c>
      <c r="G17" s="4478" cm="1">
        <f t="array" aca="1" ref="G17" ca="1">INDIRECT("'※ 유통플랫폼 세부데이터'!"&amp;G$1&amp;$X17, TRUE)</f>
        <v>458</v>
      </c>
      <c r="H17" s="4478" cm="1">
        <f t="array" aca="1" ref="H17" ca="1">INDIRECT("'※ 유통플랫폼 세부데이터'!"&amp;H$1&amp;$X17, TRUE)</f>
        <v>861</v>
      </c>
      <c r="I17" s="4479" cm="1">
        <f t="array" aca="1" ref="I17" ca="1">INDIRECT("'※ 유통플랫폼 세부데이터'!"&amp;I$1&amp;$X17, TRUE)</f>
        <v>819</v>
      </c>
      <c r="J17" s="4480" cm="1">
        <f t="array" aca="1" ref="J17" ca="1">INDIRECT("'※ 유통플랫폼 세부데이터'!"&amp;J$1&amp;$X17, TRUE)</f>
        <v>909</v>
      </c>
      <c r="K17" s="4480" cm="1">
        <f t="array" aca="1" ref="K17" ca="1">INDIRECT("'※ 유통플랫폼 세부데이터'!"&amp;K$1&amp;$X17, TRUE)</f>
        <v>1079</v>
      </c>
      <c r="L17" s="4480" cm="1">
        <f t="array" aca="1" ref="L17" ca="1">INDIRECT("'※ 유통플랫폼 세부데이터'!"&amp;L$1&amp;$X17, TRUE)</f>
        <v>1058</v>
      </c>
      <c r="M17" s="4480" cm="1">
        <f t="array" aca="1" ref="M17" ca="1">INDIRECT("'※ 유통플랫폼 세부데이터'!"&amp;M$1&amp;$X17, TRUE)</f>
        <v>283</v>
      </c>
      <c r="N17" s="4480" cm="1">
        <f t="array" aca="1" ref="N17" ca="1">INDIRECT("'※ 유통플랫폼 세부데이터'!"&amp;N$1&amp;$X17, TRUE)</f>
        <v>0</v>
      </c>
      <c r="O17" s="4480" cm="1">
        <f t="array" aca="1" ref="O17" ca="1">INDIRECT("'※ 유통플랫폼 세부데이터'!"&amp;O$1&amp;$X17, TRUE)</f>
        <v>0</v>
      </c>
      <c r="P17" s="4480" cm="1">
        <f t="array" aca="1" ref="P17" ca="1">INDIRECT("'※ 유통플랫폼 세부데이터'!"&amp;P$1&amp;$X17, TRUE)</f>
        <v>0</v>
      </c>
      <c r="Q17" s="4480" cm="1">
        <f t="array" aca="1" ref="Q17" ca="1">INDIRECT("'※ 유통플랫폼 세부데이터'!"&amp;Q$1&amp;$X17, TRUE)</f>
        <v>0</v>
      </c>
      <c r="R17" s="4481" cm="1">
        <f t="array" aca="1" ref="R17" ca="1">INDIRECT("'※ 유통플랫폼 세부데이터'!"&amp;R$1&amp;$X17, TRUE)</f>
        <v>0</v>
      </c>
      <c r="S17" s="4481" cm="1">
        <f t="array" aca="1" ref="S17" ca="1">INDIRECT("'※ 유통플랫폼 세부데이터'!"&amp;S$1&amp;$X17, TRUE)</f>
        <v>-256</v>
      </c>
      <c r="T17" s="4482" cm="1">
        <f t="array" aca="1" ref="T17" ca="1">INDIRECT("'※ 유통플랫폼 세부데이터'!"&amp;T$1&amp;$X17, TRUE)</f>
        <v>5630</v>
      </c>
      <c r="U17" s="4481" cm="1">
        <f t="array" aca="1" ref="U17" ca="1">INDIRECT("'※ 유통플랫폼 세부데이터'!"&amp;U$1&amp;$X17, TRUE)</f>
        <v>-19773</v>
      </c>
      <c r="V17" s="4483" cm="1">
        <f t="array" aca="1" ref="V17" ca="1">INDIRECT("'※ 유통플랫폼 세부데이터'!"&amp;V$1&amp;$X17, TRUE)</f>
        <v>469.16666666666669</v>
      </c>
      <c r="W17" s="4481" cm="1">
        <f t="array" aca="1" ref="W17" ca="1">INDIRECT("'※ 유통플랫폼 세부데이터'!"&amp;W$1&amp;$X17, TRUE)</f>
        <v>-1647.7499999999998</v>
      </c>
      <c r="X17" s="3693">
        <f>ROW('※ 유통플랫폼 세부데이터'!J14)</f>
        <v>14</v>
      </c>
    </row>
    <row r="18" spans="2:27" ht="16" customHeight="1" x14ac:dyDescent="0.55000000000000004">
      <c r="B18" s="7386"/>
      <c r="C18" s="7389"/>
      <c r="D18" s="3679" t="s">
        <v>679</v>
      </c>
      <c r="E18" s="4484" cm="1">
        <f t="array" aca="1" ref="E18" ca="1">INDIRECT("'※ 유통플랫폼 세부데이터'!"&amp;E$1&amp;$X18, TRUE)</f>
        <v>8496</v>
      </c>
      <c r="F18" s="4485" cm="1">
        <f t="array" aca="1" ref="F18" ca="1">INDIRECT("'※ 유통플랫폼 세부데이터'!"&amp;F$1&amp;$X18, TRUE)</f>
        <v>512</v>
      </c>
      <c r="G18" s="4486" cm="1">
        <f t="array" aca="1" ref="G18" ca="1">INDIRECT("'※ 유통플랫폼 세부데이터'!"&amp;G$1&amp;$X18, TRUE)</f>
        <v>1654</v>
      </c>
      <c r="H18" s="4486" cm="1">
        <f t="array" aca="1" ref="H18" ca="1">INDIRECT("'※ 유통플랫폼 세부데이터'!"&amp;H$1&amp;$X18, TRUE)</f>
        <v>2381</v>
      </c>
      <c r="I18" s="4487" cm="1">
        <f t="array" aca="1" ref="I18" ca="1">INDIRECT("'※ 유통플랫폼 세부데이터'!"&amp;I$1&amp;$X18, TRUE)</f>
        <v>2542</v>
      </c>
      <c r="J18" s="4488" cm="1">
        <f t="array" aca="1" ref="J18" ca="1">INDIRECT("'※ 유통플랫폼 세부데이터'!"&amp;J$1&amp;$X18, TRUE)</f>
        <v>3108</v>
      </c>
      <c r="K18" s="4488" cm="1">
        <f t="array" aca="1" ref="K18" ca="1">INDIRECT("'※ 유통플랫폼 세부데이터'!"&amp;K$1&amp;$X18, TRUE)</f>
        <v>3770</v>
      </c>
      <c r="L18" s="4488" cm="1">
        <f t="array" aca="1" ref="L18" ca="1">INDIRECT("'※ 유통플랫폼 세부데이터'!"&amp;L$1&amp;$X18, TRUE)</f>
        <v>5175</v>
      </c>
      <c r="M18" s="4488" cm="1">
        <f t="array" aca="1" ref="M18" ca="1">INDIRECT("'※ 유통플랫폼 세부데이터'!"&amp;M$1&amp;$X18, TRUE)</f>
        <v>3908</v>
      </c>
      <c r="N18" s="4488" cm="1">
        <f t="array" aca="1" ref="N18" ca="1">INDIRECT("'※ 유통플랫폼 세부데이터'!"&amp;N$1&amp;$X18, TRUE)</f>
        <v>3502</v>
      </c>
      <c r="O18" s="4488" cm="1">
        <f t="array" aca="1" ref="O18" ca="1">INDIRECT("'※ 유통플랫폼 세부데이터'!"&amp;O$1&amp;$X18, TRUE)</f>
        <v>2720</v>
      </c>
      <c r="P18" s="4488" cm="1">
        <f t="array" aca="1" ref="P18" ca="1">INDIRECT("'※ 유통플랫폼 세부데이터'!"&amp;P$1&amp;$X18, TRUE)</f>
        <v>1951</v>
      </c>
      <c r="Q18" s="4488" cm="1">
        <f t="array" aca="1" ref="Q18" ca="1">INDIRECT("'※ 유통플랫폼 세부데이터'!"&amp;Q$1&amp;$X18, TRUE)</f>
        <v>1501</v>
      </c>
      <c r="R18" s="4489" cm="1">
        <f t="array" aca="1" ref="R18" ca="1">INDIRECT("'※ 유통플랫폼 세부데이터'!"&amp;R$1&amp;$X18, TRUE)</f>
        <v>-450</v>
      </c>
      <c r="S18" s="4489" cm="1">
        <f t="array" aca="1" ref="S18" ca="1">INDIRECT("'※ 유통플랫폼 세부데이터'!"&amp;S$1&amp;$X18, TRUE)</f>
        <v>1004</v>
      </c>
      <c r="T18" s="4490" cm="1">
        <f t="array" aca="1" ref="T18" ca="1">INDIRECT("'※ 유통플랫폼 세부데이터'!"&amp;T$1&amp;$X18, TRUE)</f>
        <v>32724</v>
      </c>
      <c r="U18" s="4489" cm="1">
        <f t="array" aca="1" ref="U18" ca="1">INDIRECT("'※ 유통플랫폼 세부데이터'!"&amp;U$1&amp;$X18, TRUE)</f>
        <v>24228</v>
      </c>
      <c r="V18" s="4491" cm="1">
        <f t="array" aca="1" ref="V18" ca="1">INDIRECT("'※ 유통플랫폼 세부데이터'!"&amp;V$1&amp;$X18, TRUE)</f>
        <v>2727</v>
      </c>
      <c r="W18" s="4489" cm="1">
        <f t="array" aca="1" ref="W18" ca="1">INDIRECT("'※ 유통플랫폼 세부데이터'!"&amp;W$1&amp;$X18, TRUE)</f>
        <v>2019</v>
      </c>
      <c r="X18" s="3693">
        <f>ROW('※ 유통플랫폼 세부데이터'!J15)</f>
        <v>15</v>
      </c>
    </row>
    <row r="19" spans="2:27" ht="16" customHeight="1" x14ac:dyDescent="0.55000000000000004">
      <c r="B19" s="7386"/>
      <c r="C19" s="7389"/>
      <c r="D19" s="3679" t="s">
        <v>313</v>
      </c>
      <c r="E19" s="4484" cm="1">
        <f t="array" aca="1" ref="E19" ca="1">INDIRECT("'※ 유통플랫폼 세부데이터'!"&amp;E$1&amp;$X19, TRUE)</f>
        <v>3960</v>
      </c>
      <c r="F19" s="4485" cm="1">
        <f t="array" aca="1" ref="F19" ca="1">INDIRECT("'※ 유통플랫폼 세부데이터'!"&amp;F$1&amp;$X19, TRUE)</f>
        <v>0</v>
      </c>
      <c r="G19" s="4486" cm="1">
        <f t="array" aca="1" ref="G19" ca="1">INDIRECT("'※ 유통플랫폼 세부데이터'!"&amp;G$1&amp;$X19, TRUE)</f>
        <v>0</v>
      </c>
      <c r="H19" s="4486" cm="1">
        <f t="array" aca="1" ref="H19" ca="1">INDIRECT("'※ 유통플랫폼 세부데이터'!"&amp;H$1&amp;$X19, TRUE)</f>
        <v>0</v>
      </c>
      <c r="I19" s="4487" cm="1">
        <f t="array" aca="1" ref="I19" ca="1">INDIRECT("'※ 유통플랫폼 세부데이터'!"&amp;I$1&amp;$X19, TRUE)</f>
        <v>0</v>
      </c>
      <c r="J19" s="4488" cm="1">
        <f t="array" aca="1" ref="J19" ca="1">INDIRECT("'※ 유통플랫폼 세부데이터'!"&amp;J$1&amp;$X19, TRUE)</f>
        <v>0</v>
      </c>
      <c r="K19" s="4488" cm="1">
        <f t="array" aca="1" ref="K19" ca="1">INDIRECT("'※ 유통플랫폼 세부데이터'!"&amp;K$1&amp;$X19, TRUE)</f>
        <v>0</v>
      </c>
      <c r="L19" s="4488" cm="1">
        <f t="array" aca="1" ref="L19" ca="1">INDIRECT("'※ 유통플랫폼 세부데이터'!"&amp;L$1&amp;$X19, TRUE)</f>
        <v>0</v>
      </c>
      <c r="M19" s="4488" cm="1">
        <f t="array" aca="1" ref="M19" ca="1">INDIRECT("'※ 유통플랫폼 세부데이터'!"&amp;M$1&amp;$X19, TRUE)</f>
        <v>0</v>
      </c>
      <c r="N19" s="4488" cm="1">
        <f t="array" aca="1" ref="N19" ca="1">INDIRECT("'※ 유통플랫폼 세부데이터'!"&amp;N$1&amp;$X19, TRUE)</f>
        <v>0</v>
      </c>
      <c r="O19" s="4488" cm="1">
        <f t="array" aca="1" ref="O19" ca="1">INDIRECT("'※ 유통플랫폼 세부데이터'!"&amp;O$1&amp;$X19, TRUE)</f>
        <v>0</v>
      </c>
      <c r="P19" s="4488" cm="1">
        <f t="array" aca="1" ref="P19" ca="1">INDIRECT("'※ 유통플랫폼 세부데이터'!"&amp;P$1&amp;$X19, TRUE)</f>
        <v>0</v>
      </c>
      <c r="Q19" s="4488" cm="1">
        <f t="array" aca="1" ref="Q19" ca="1">INDIRECT("'※ 유통플랫폼 세부데이터'!"&amp;Q$1&amp;$X19, TRUE)</f>
        <v>0</v>
      </c>
      <c r="R19" s="4489" cm="1">
        <f t="array" aca="1" ref="R19" ca="1">INDIRECT("'※ 유통플랫폼 세부데이터'!"&amp;R$1&amp;$X19, TRUE)</f>
        <v>0</v>
      </c>
      <c r="S19" s="4489" cm="1">
        <f t="array" aca="1" ref="S19" ca="1">INDIRECT("'※ 유통플랫폼 세부데이터'!"&amp;S$1&amp;$X19, TRUE)</f>
        <v>0</v>
      </c>
      <c r="T19" s="4490" cm="1">
        <f t="array" aca="1" ref="T19" ca="1">INDIRECT("'※ 유통플랫폼 세부데이터'!"&amp;T$1&amp;$X19, TRUE)</f>
        <v>0</v>
      </c>
      <c r="U19" s="4489" cm="1">
        <f t="array" aca="1" ref="U19" ca="1">INDIRECT("'※ 유통플랫폼 세부데이터'!"&amp;U$1&amp;$X19, TRUE)</f>
        <v>-3960</v>
      </c>
      <c r="V19" s="4491" cm="1">
        <f t="array" aca="1" ref="V19" ca="1">INDIRECT("'※ 유통플랫폼 세부데이터'!"&amp;V$1&amp;$X19, TRUE)</f>
        <v>0</v>
      </c>
      <c r="W19" s="4489" cm="1">
        <f t="array" aca="1" ref="W19" ca="1">INDIRECT("'※ 유통플랫폼 세부데이터'!"&amp;W$1&amp;$X19, TRUE)</f>
        <v>-330</v>
      </c>
      <c r="X19" s="3693">
        <f>ROW('※ 유통플랫폼 세부데이터'!J16)</f>
        <v>16</v>
      </c>
    </row>
    <row r="20" spans="2:27" ht="16" customHeight="1" x14ac:dyDescent="0.55000000000000004">
      <c r="B20" s="7386"/>
      <c r="C20" s="7389"/>
      <c r="D20" s="3679" t="s">
        <v>314</v>
      </c>
      <c r="E20" s="4484" cm="1">
        <f t="array" aca="1" ref="E20" ca="1">INDIRECT("'※ 유통플랫폼 세부데이터'!"&amp;E$1&amp;$X20, TRUE)</f>
        <v>12275</v>
      </c>
      <c r="F20" s="4485" cm="1">
        <f t="array" aca="1" ref="F20" ca="1">INDIRECT("'※ 유통플랫폼 세부데이터'!"&amp;F$1&amp;$X20, TRUE)</f>
        <v>359</v>
      </c>
      <c r="G20" s="4486" cm="1">
        <f t="array" aca="1" ref="G20" ca="1">INDIRECT("'※ 유통플랫폼 세부데이터'!"&amp;G$1&amp;$X20, TRUE)</f>
        <v>5552</v>
      </c>
      <c r="H20" s="4486" cm="1">
        <f t="array" aca="1" ref="H20" ca="1">INDIRECT("'※ 유통플랫폼 세부데이터'!"&amp;H$1&amp;$X20, TRUE)</f>
        <v>844</v>
      </c>
      <c r="I20" s="4487" cm="1">
        <f t="array" aca="1" ref="I20" ca="1">INDIRECT("'※ 유통플랫폼 세부데이터'!"&amp;I$1&amp;$X20, TRUE)</f>
        <v>589</v>
      </c>
      <c r="J20" s="4488" cm="1">
        <f t="array" aca="1" ref="J20" ca="1">INDIRECT("'※ 유통플랫폼 세부데이터'!"&amp;J$1&amp;$X20, TRUE)</f>
        <v>623</v>
      </c>
      <c r="K20" s="4488" cm="1">
        <f t="array" aca="1" ref="K20" ca="1">INDIRECT("'※ 유통플랫폼 세부데이터'!"&amp;K$1&amp;$X20, TRUE)</f>
        <v>550</v>
      </c>
      <c r="L20" s="4488" cm="1">
        <f t="array" aca="1" ref="L20" ca="1">INDIRECT("'※ 유통플랫폼 세부데이터'!"&amp;L$1&amp;$X20, TRUE)</f>
        <v>763</v>
      </c>
      <c r="M20" s="4488" cm="1">
        <f t="array" aca="1" ref="M20" ca="1">INDIRECT("'※ 유통플랫폼 세부데이터'!"&amp;M$1&amp;$X20, TRUE)</f>
        <v>762</v>
      </c>
      <c r="N20" s="4488" cm="1">
        <f t="array" aca="1" ref="N20" ca="1">INDIRECT("'※ 유통플랫폼 세부데이터'!"&amp;N$1&amp;$X20, TRUE)</f>
        <v>1094</v>
      </c>
      <c r="O20" s="4488" cm="1">
        <f t="array" aca="1" ref="O20" ca="1">INDIRECT("'※ 유통플랫폼 세부데이터'!"&amp;O$1&amp;$X20, TRUE)</f>
        <v>1353</v>
      </c>
      <c r="P20" s="4488" cm="1">
        <f t="array" aca="1" ref="P20" ca="1">INDIRECT("'※ 유통플랫폼 세부데이터'!"&amp;P$1&amp;$X20, TRUE)</f>
        <v>446</v>
      </c>
      <c r="Q20" s="4488" cm="1">
        <f t="array" aca="1" ref="Q20" ca="1">INDIRECT("'※ 유통플랫폼 세부데이터'!"&amp;Q$1&amp;$X20, TRUE)</f>
        <v>458</v>
      </c>
      <c r="R20" s="4489" cm="1">
        <f t="array" aca="1" ref="R20" ca="1">INDIRECT("'※ 유통플랫폼 세부데이터'!"&amp;R$1&amp;$X20, TRUE)</f>
        <v>12</v>
      </c>
      <c r="S20" s="4489" cm="1">
        <f t="array" aca="1" ref="S20" ca="1">INDIRECT("'※ 유통플랫폼 세부데이터'!"&amp;S$1&amp;$X20, TRUE)</f>
        <v>-257</v>
      </c>
      <c r="T20" s="4490" cm="1">
        <f t="array" aca="1" ref="T20" ca="1">INDIRECT("'※ 유통플랫폼 세부데이터'!"&amp;T$1&amp;$X20, TRUE)</f>
        <v>13393</v>
      </c>
      <c r="U20" s="4489" cm="1">
        <f t="array" aca="1" ref="U20" ca="1">INDIRECT("'※ 유통플랫폼 세부데이터'!"&amp;U$1&amp;$X20, TRUE)</f>
        <v>1118</v>
      </c>
      <c r="V20" s="4491" cm="1">
        <f t="array" aca="1" ref="V20" ca="1">INDIRECT("'※ 유통플랫폼 세부데이터'!"&amp;V$1&amp;$X20, TRUE)</f>
        <v>1116.0833333333333</v>
      </c>
      <c r="W20" s="4489" cm="1">
        <f t="array" aca="1" ref="W20" ca="1">INDIRECT("'※ 유통플랫폼 세부데이터'!"&amp;W$1&amp;$X20, TRUE)</f>
        <v>93.166666666666629</v>
      </c>
      <c r="X20" s="3693">
        <f>ROW('※ 유통플랫폼 세부데이터'!J17)</f>
        <v>17</v>
      </c>
    </row>
    <row r="21" spans="2:27" ht="16" customHeight="1" x14ac:dyDescent="0.55000000000000004">
      <c r="B21" s="7386"/>
      <c r="C21" s="7390" t="s">
        <v>322</v>
      </c>
      <c r="D21" s="4492" t="s">
        <v>315</v>
      </c>
      <c r="E21" s="4493" cm="1">
        <f t="array" aca="1" ref="E21" ca="1">INDIRECT("'※ 유통플랫폼 세부데이터'!"&amp;E$1&amp;$X21, TRUE)</f>
        <v>27368</v>
      </c>
      <c r="F21" s="4494" cm="1">
        <f t="array" aca="1" ref="F21" ca="1">INDIRECT("'※ 유통플랫폼 세부데이터'!"&amp;F$1&amp;$X21, TRUE)</f>
        <v>1034</v>
      </c>
      <c r="G21" s="4495" cm="1">
        <f t="array" aca="1" ref="G21" ca="1">INDIRECT("'※ 유통플랫폼 세부데이터'!"&amp;G$1&amp;$X21, TRUE)</f>
        <v>7664</v>
      </c>
      <c r="H21" s="4495" cm="1">
        <f t="array" aca="1" ref="H21" ca="1">INDIRECT("'※ 유통플랫폼 세부데이터'!"&amp;H$1&amp;$X21, TRUE)</f>
        <v>4086</v>
      </c>
      <c r="I21" s="4496" cm="1">
        <f t="array" aca="1" ref="I21" ca="1">INDIRECT("'※ 유통플랫폼 세부데이터'!"&amp;I$1&amp;$X21, TRUE)</f>
        <v>3950</v>
      </c>
      <c r="J21" s="4497" cm="1">
        <f t="array" aca="1" ref="J21" ca="1">INDIRECT("'※ 유통플랫폼 세부데이터'!"&amp;J$1&amp;$X21, TRUE)</f>
        <v>4640</v>
      </c>
      <c r="K21" s="4497" cm="1">
        <f t="array" aca="1" ref="K21" ca="1">INDIRECT("'※ 유통플랫폼 세부데이터'!"&amp;K$1&amp;$X21, TRUE)</f>
        <v>5399</v>
      </c>
      <c r="L21" s="4497" cm="1">
        <f t="array" aca="1" ref="L21" ca="1">INDIRECT("'※ 유통플랫폼 세부데이터'!"&amp;L$1&amp;$X21, TRUE)</f>
        <v>6996</v>
      </c>
      <c r="M21" s="4497" cm="1">
        <f t="array" aca="1" ref="M21" ca="1">INDIRECT("'※ 유통플랫폼 세부데이터'!"&amp;M$1&amp;$X21, TRUE)</f>
        <v>4953</v>
      </c>
      <c r="N21" s="4497" cm="1">
        <f t="array" aca="1" ref="N21" ca="1">INDIRECT("'※ 유통플랫폼 세부데이터'!"&amp;N$1&amp;$X21, TRUE)</f>
        <v>3980</v>
      </c>
      <c r="O21" s="4497" cm="1">
        <f t="array" aca="1" ref="O21" ca="1">INDIRECT("'※ 유통플랫폼 세부데이터'!"&amp;O$1&amp;$X21, TRUE)</f>
        <v>3879</v>
      </c>
      <c r="P21" s="4497" cm="1">
        <f t="array" aca="1" ref="P21" ca="1">INDIRECT("'※ 유통플랫폼 세부데이터'!"&amp;P$1&amp;$X21, TRUE)</f>
        <v>2396</v>
      </c>
      <c r="Q21" s="4497" cm="1">
        <f t="array" aca="1" ref="Q21" ca="1">INDIRECT("'※ 유통플랫폼 세부데이터'!"&amp;Q$1&amp;$X21, TRUE)</f>
        <v>1959</v>
      </c>
      <c r="R21" s="4498" cm="1">
        <f t="array" aca="1" ref="R21" ca="1">INDIRECT("'※ 유통플랫폼 세부데이터'!"&amp;R$1&amp;$X21, TRUE)</f>
        <v>-437</v>
      </c>
      <c r="S21" s="4498" cm="1">
        <f t="array" aca="1" ref="S21" ca="1">INDIRECT("'※ 유통플랫폼 세부데이터'!"&amp;S$1&amp;$X21, TRUE)</f>
        <v>492</v>
      </c>
      <c r="T21" s="4499" cm="1">
        <f t="array" aca="1" ref="T21" ca="1">INDIRECT("'※ 유통플랫폼 세부데이터'!"&amp;T$1&amp;$X21, TRUE)</f>
        <v>50936</v>
      </c>
      <c r="U21" s="4498" cm="1">
        <f t="array" aca="1" ref="U21" ca="1">INDIRECT("'※ 유통플랫폼 세부데이터'!"&amp;U$1&amp;$X21, TRUE)</f>
        <v>23568</v>
      </c>
      <c r="V21" s="4500" cm="1">
        <f t="array" aca="1" ref="V21" ca="1">INDIRECT("'※ 유통플랫폼 세부데이터'!"&amp;V$1&amp;$X21, TRUE)</f>
        <v>4244.666666666667</v>
      </c>
      <c r="W21" s="4498" cm="1">
        <f t="array" aca="1" ref="W21" ca="1">INDIRECT("'※ 유통플랫폼 세부데이터'!"&amp;W$1&amp;$X21, TRUE)</f>
        <v>1964.0000000000005</v>
      </c>
      <c r="X21" s="3693">
        <f>ROW('※ 유통플랫폼 세부데이터'!J18)</f>
        <v>18</v>
      </c>
    </row>
    <row r="22" spans="2:27" ht="16" customHeight="1" x14ac:dyDescent="0.55000000000000004">
      <c r="B22" s="7386"/>
      <c r="C22" s="7390"/>
      <c r="D22" s="4492" t="s">
        <v>316</v>
      </c>
      <c r="E22" s="4493" cm="1">
        <f t="array" aca="1" ref="E22" ca="1">INDIRECT("'※ 유통플랫폼 세부데이터'!"&amp;E$1&amp;$X22, TRUE)</f>
        <v>22775</v>
      </c>
      <c r="F22" s="4494" cm="1">
        <f t="array" aca="1" ref="F22" ca="1">INDIRECT("'※ 유통플랫폼 세부데이터'!"&amp;F$1&amp;$X22, TRUE)</f>
        <v>0</v>
      </c>
      <c r="G22" s="4495" cm="1">
        <f t="array" aca="1" ref="G22" ca="1">INDIRECT("'※ 유통플랫폼 세부데이터'!"&amp;G$1&amp;$X22, TRUE)</f>
        <v>0</v>
      </c>
      <c r="H22" s="4495" cm="1">
        <f t="array" aca="1" ref="H22" ca="1">INDIRECT("'※ 유통플랫폼 세부데이터'!"&amp;H$1&amp;$X22, TRUE)</f>
        <v>0</v>
      </c>
      <c r="I22" s="4496" cm="1">
        <f t="array" aca="1" ref="I22" ca="1">INDIRECT("'※ 유통플랫폼 세부데이터'!"&amp;I$1&amp;$X22, TRUE)</f>
        <v>0</v>
      </c>
      <c r="J22" s="4497" cm="1">
        <f t="array" aca="1" ref="J22" ca="1">INDIRECT("'※ 유통플랫폼 세부데이터'!"&amp;J$1&amp;$X22, TRUE)</f>
        <v>0</v>
      </c>
      <c r="K22" s="4497" cm="1">
        <f t="array" aca="1" ref="K22" ca="1">INDIRECT("'※ 유통플랫폼 세부데이터'!"&amp;K$1&amp;$X22, TRUE)</f>
        <v>0</v>
      </c>
      <c r="L22" s="4497" cm="1">
        <f t="array" aca="1" ref="L22" ca="1">INDIRECT("'※ 유통플랫폼 세부데이터'!"&amp;L$1&amp;$X22, TRUE)</f>
        <v>0</v>
      </c>
      <c r="M22" s="4497" cm="1">
        <f t="array" aca="1" ref="M22" ca="1">INDIRECT("'※ 유통플랫폼 세부데이터'!"&amp;M$1&amp;$X22, TRUE)</f>
        <v>0</v>
      </c>
      <c r="N22" s="4497" cm="1">
        <f t="array" aca="1" ref="N22" ca="1">INDIRECT("'※ 유통플랫폼 세부데이터'!"&amp;N$1&amp;$X22, TRUE)</f>
        <v>616</v>
      </c>
      <c r="O22" s="4497" cm="1">
        <f t="array" aca="1" ref="O22" ca="1">INDIRECT("'※ 유통플랫폼 세부데이터'!"&amp;O$1&amp;$X22, TRUE)</f>
        <v>194</v>
      </c>
      <c r="P22" s="4497" cm="1">
        <f t="array" aca="1" ref="P22" ca="1">INDIRECT("'※ 유통플랫폼 세부데이터'!"&amp;P$1&amp;$X22, TRUE)</f>
        <v>1</v>
      </c>
      <c r="Q22" s="4497" cm="1">
        <f t="array" aca="1" ref="Q22" ca="1">INDIRECT("'※ 유통플랫폼 세부데이터'!"&amp;Q$1&amp;$X22, TRUE)</f>
        <v>0</v>
      </c>
      <c r="R22" s="4498" cm="1">
        <f t="array" aca="1" ref="R22" ca="1">INDIRECT("'※ 유통플랫폼 세부데이터'!"&amp;R$1&amp;$X22, TRUE)</f>
        <v>-1</v>
      </c>
      <c r="S22" s="4498" cm="1">
        <f t="array" aca="1" ref="S22" ca="1">INDIRECT("'※ 유통플랫폼 세부데이터'!"&amp;S$1&amp;$X22, TRUE)</f>
        <v>0</v>
      </c>
      <c r="T22" s="4499" cm="1">
        <f t="array" aca="1" ref="T22" ca="1">INDIRECT("'※ 유통플랫폼 세부데이터'!"&amp;T$1&amp;$X22, TRUE)</f>
        <v>811</v>
      </c>
      <c r="U22" s="4498" cm="1">
        <f t="array" aca="1" ref="U22" ca="1">INDIRECT("'※ 유통플랫폼 세부데이터'!"&amp;U$1&amp;$X22, TRUE)</f>
        <v>-21964</v>
      </c>
      <c r="V22" s="4500" cm="1">
        <f t="array" aca="1" ref="V22" ca="1">INDIRECT("'※ 유통플랫폼 세부데이터'!"&amp;V$1&amp;$X22, TRUE)</f>
        <v>73.727272727272734</v>
      </c>
      <c r="W22" s="4498" cm="1">
        <f t="array" aca="1" ref="W22" ca="1">INDIRECT("'※ 유통플랫폼 세부데이터'!"&amp;W$1&amp;$X22, TRUE)</f>
        <v>-1824.189393939394</v>
      </c>
      <c r="X22" s="3693">
        <f>ROW('※ 유통플랫폼 세부데이터'!J19)</f>
        <v>19</v>
      </c>
    </row>
    <row r="23" spans="2:27" ht="16" customHeight="1" x14ac:dyDescent="0.55000000000000004">
      <c r="B23" s="7386"/>
      <c r="C23" s="7390"/>
      <c r="D23" s="4501" t="s">
        <v>317</v>
      </c>
      <c r="E23" s="4502" cm="1">
        <f t="array" aca="1" ref="E23" ca="1">INDIRECT("'※ 유통플랫폼 세부데이터'!"&amp;E$1&amp;$X23, TRUE)</f>
        <v>0.45420098518237839</v>
      </c>
      <c r="F23" s="4503" cm="1">
        <f t="array" aca="1" ref="F23" ca="1">INDIRECT("'※ 유통플랫폼 세부데이터'!"&amp;F$1&amp;$X23, TRUE)</f>
        <v>0</v>
      </c>
      <c r="G23" s="4504" cm="1">
        <f t="array" aca="1" ref="G23" ca="1">INDIRECT("'※ 유통플랫폼 세부데이터'!"&amp;G$1&amp;$X23, TRUE)</f>
        <v>0</v>
      </c>
      <c r="H23" s="4504" cm="1">
        <f t="array" aca="1" ref="H23" ca="1">INDIRECT("'※ 유통플랫폼 세부데이터'!"&amp;H$1&amp;$X23, TRUE)</f>
        <v>0</v>
      </c>
      <c r="I23" s="4505" cm="1">
        <f t="array" aca="1" ref="I23" ca="1">INDIRECT("'※ 유통플랫폼 세부데이터'!"&amp;I$1&amp;$X23, TRUE)</f>
        <v>0</v>
      </c>
      <c r="J23" s="4505" cm="1">
        <f t="array" aca="1" ref="J23" ca="1">INDIRECT("'※ 유통플랫폼 세부데이터'!"&amp;J$1&amp;$X23, TRUE)</f>
        <v>0</v>
      </c>
      <c r="K23" s="4505" cm="1">
        <f t="array" aca="1" ref="K23" ca="1">INDIRECT("'※ 유통플랫폼 세부데이터'!"&amp;K$1&amp;$X23, TRUE)</f>
        <v>0</v>
      </c>
      <c r="L23" s="4505" cm="1">
        <f t="array" aca="1" ref="L23" ca="1">INDIRECT("'※ 유통플랫폼 세부데이터'!"&amp;L$1&amp;$X23, TRUE)</f>
        <v>0</v>
      </c>
      <c r="M23" s="4505" cm="1">
        <f t="array" aca="1" ref="M23" ca="1">INDIRECT("'※ 유통플랫폼 세부데이터'!"&amp;M$1&amp;$X23, TRUE)</f>
        <v>0</v>
      </c>
      <c r="N23" s="4505" cm="1">
        <f t="array" aca="1" ref="N23" ca="1">INDIRECT("'※ 유통플랫폼 세부데이터'!"&amp;N$1&amp;$X23, TRUE)</f>
        <v>0.134029590948651</v>
      </c>
      <c r="O23" s="4505" cm="1">
        <f t="array" aca="1" ref="O23" ca="1">INDIRECT("'※ 유통플랫폼 세부데이터'!"&amp;O$1&amp;$X23, TRUE)</f>
        <v>0.05</v>
      </c>
      <c r="P23" s="4505" cm="1">
        <f t="array" aca="1" ref="P23" ca="1">INDIRECT("'※ 유통플랫폼 세부데이터'!"&amp;P$1&amp;$X23, TRUE)</f>
        <v>0</v>
      </c>
      <c r="Q23" s="4505" cm="1">
        <f t="array" aca="1" ref="Q23" ca="1">INDIRECT("'※ 유통플랫폼 세부데이터'!"&amp;Q$1&amp;$X23, TRUE)</f>
        <v>0</v>
      </c>
      <c r="R23" s="4506" cm="1">
        <f t="array" aca="1" ref="R23" ca="1">INDIRECT("'※ 유통플랫폼 세부데이터'!"&amp;R$1&amp;$X23, TRUE)</f>
        <v>0</v>
      </c>
      <c r="S23" s="4506" cm="1">
        <f t="array" aca="1" ref="S23" ca="1">INDIRECT("'※ 유통플랫폼 세부데이터'!"&amp;S$1&amp;$X23, TRUE)</f>
        <v>0</v>
      </c>
      <c r="T23" s="4507" cm="1">
        <f t="array" aca="1" ref="T23" ca="1">INDIRECT("'※ 유통플랫폼 세부데이터'!"&amp;T$1&amp;$X23, TRUE)</f>
        <v>1.567240612982395E-2</v>
      </c>
      <c r="U23" s="4506" cm="1">
        <f t="array" aca="1" ref="U23" ca="1">INDIRECT("'※ 유통플랫폼 세부데이터'!"&amp;U$1&amp;$X23, TRUE)</f>
        <v>-0.27340767978989766</v>
      </c>
      <c r="V23" s="4508" cm="1">
        <f t="array" aca="1" ref="V23" ca="1">INDIRECT("'※ 유통플랫폼 세부데이터'!"&amp;V$1&amp;$X23, TRUE)</f>
        <v>1.7072845544429397E-2</v>
      </c>
      <c r="W23" s="4506" cm="1">
        <f t="array" aca="1" ref="W23" ca="1">INDIRECT("'※ 유통플랫폼 세부데이터'!"&amp;W$1&amp;$X23, TRUE)</f>
        <v>-0.43712813963794905</v>
      </c>
      <c r="X23" s="3693">
        <f>ROW('※ 유통플랫폼 세부데이터'!J20)</f>
        <v>20</v>
      </c>
    </row>
    <row r="24" spans="2:27" ht="16" customHeight="1" x14ac:dyDescent="0.55000000000000004">
      <c r="B24" s="7386"/>
      <c r="C24" s="7389" t="s">
        <v>323</v>
      </c>
      <c r="D24" s="3679" t="s">
        <v>318</v>
      </c>
      <c r="E24" s="4484" cm="1">
        <f t="array" aca="1" ref="E24" ca="1">INDIRECT("'※ 유통플랫폼 세부데이터'!"&amp;E$1&amp;$X24, TRUE)</f>
        <v>29911.86</v>
      </c>
      <c r="F24" s="4485" cm="1">
        <f t="array" aca="1" ref="F24" ca="1">INDIRECT("'※ 유통플랫폼 세부데이터'!"&amp;F$1&amp;$X24, TRUE)</f>
        <v>585</v>
      </c>
      <c r="G24" s="4486" cm="1">
        <f t="array" aca="1" ref="G24" ca="1">INDIRECT("'※ 유통플랫폼 세부데이터'!"&amp;G$1&amp;$X24, TRUE)</f>
        <v>6316</v>
      </c>
      <c r="H24" s="4486" cm="1">
        <f t="array" aca="1" ref="H24" ca="1">INDIRECT("'※ 유통플랫폼 세부데이터'!"&amp;H$1&amp;$X24, TRUE)</f>
        <v>3454</v>
      </c>
      <c r="I24" s="4487" cm="1">
        <f t="array" aca="1" ref="I24" ca="1">INDIRECT("'※ 유통플랫폼 세부데이터'!"&amp;I$1&amp;$X24, TRUE)</f>
        <v>3497</v>
      </c>
      <c r="J24" s="4488" cm="1">
        <f t="array" aca="1" ref="J24" ca="1">INDIRECT("'※ 유통플랫폼 세부데이터'!"&amp;J$1&amp;$X24, TRUE)</f>
        <v>4054</v>
      </c>
      <c r="K24" s="4488" cm="1">
        <f t="array" aca="1" ref="K24" ca="1">INDIRECT("'※ 유통플랫폼 세부데이터'!"&amp;K$1&amp;$X24, TRUE)</f>
        <v>4467</v>
      </c>
      <c r="L24" s="4488" cm="1">
        <f t="array" aca="1" ref="L24" ca="1">INDIRECT("'※ 유통플랫폼 세부데이터'!"&amp;L$1&amp;$X24, TRUE)</f>
        <v>5031</v>
      </c>
      <c r="M24" s="4488" cm="1">
        <f t="array" aca="1" ref="M24" ca="1">INDIRECT("'※ 유통플랫폼 세부데이터'!"&amp;M$1&amp;$X24, TRUE)</f>
        <v>4058</v>
      </c>
      <c r="N24" s="4488" cm="1">
        <f t="array" aca="1" ref="N24" ca="1">INDIRECT("'※ 유통플랫폼 세부데이터'!"&amp;N$1&amp;$X24, TRUE)</f>
        <v>3079</v>
      </c>
      <c r="O24" s="4488" cm="1">
        <f t="array" aca="1" ref="O24" ca="1">INDIRECT("'※ 유통플랫폼 세부데이터'!"&amp;O$1&amp;$X24, TRUE)</f>
        <v>2894</v>
      </c>
      <c r="P24" s="4488" cm="1">
        <f t="array" aca="1" ref="P24" ca="1">INDIRECT("'※ 유통플랫폼 세부데이터'!"&amp;P$1&amp;$X24, TRUE)</f>
        <v>1973</v>
      </c>
      <c r="Q24" s="4488" cm="1">
        <f t="array" aca="1" ref="Q24" ca="1">INDIRECT("'※ 유통플랫폼 세부데이터'!"&amp;Q$1&amp;$X24, TRUE)</f>
        <v>1669</v>
      </c>
      <c r="R24" s="4509" cm="1">
        <f t="array" aca="1" ref="R24" ca="1">INDIRECT("'※ 유통플랫폼 세부데이터'!"&amp;R$1&amp;$X24, TRUE)</f>
        <v>-304</v>
      </c>
      <c r="S24" s="4509" cm="1">
        <f t="array" aca="1" ref="S24" ca="1">INDIRECT("'※ 유통플랫폼 세부데이터'!"&amp;S$1&amp;$X24, TRUE)</f>
        <v>1098</v>
      </c>
      <c r="T24" s="4490" cm="1">
        <f t="array" aca="1" ref="T24" ca="1">INDIRECT("'※ 유통플랫폼 세부데이터'!"&amp;T$1&amp;$X24, TRUE)</f>
        <v>41077</v>
      </c>
      <c r="U24" s="4509" cm="1">
        <f t="array" aca="1" ref="U24" ca="1">INDIRECT("'※ 유통플랫폼 세부데이터'!"&amp;U$1&amp;$X24, TRUE)</f>
        <v>11165.14</v>
      </c>
      <c r="V24" s="4491" cm="1">
        <f t="array" aca="1" ref="V24" ca="1">INDIRECT("'※ 유통플랫폼 세부데이터'!"&amp;V$1&amp;$X24, TRUE)</f>
        <v>3423.0833333333335</v>
      </c>
      <c r="W24" s="4509" cm="1">
        <f t="array" aca="1" ref="W24" ca="1">INDIRECT("'※ 유통플랫폼 세부데이터'!"&amp;W$1&amp;$X24, TRUE)</f>
        <v>930.42833333333328</v>
      </c>
      <c r="X24" s="3693">
        <f>ROW('※ 유통플랫폼 세부데이터'!J21)</f>
        <v>21</v>
      </c>
    </row>
    <row r="25" spans="2:27" ht="16" customHeight="1" x14ac:dyDescent="0.55000000000000004">
      <c r="B25" s="7386"/>
      <c r="C25" s="7389"/>
      <c r="D25" s="3679" t="s">
        <v>319</v>
      </c>
      <c r="E25" s="4484" cm="1">
        <f t="array" aca="1" ref="E25" ca="1">INDIRECT("'※ 유통플랫폼 세부데이터'!"&amp;E$1&amp;$X25, TRUE)</f>
        <v>14760.482</v>
      </c>
      <c r="F25" s="4485" cm="1">
        <f t="array" aca="1" ref="F25" ca="1">INDIRECT("'※ 유통플랫폼 세부데이터'!"&amp;F$1&amp;$X25, TRUE)</f>
        <v>224</v>
      </c>
      <c r="G25" s="4486" cm="1">
        <f t="array" aca="1" ref="G25" ca="1">INDIRECT("'※ 유통플랫폼 세부데이터'!"&amp;G$1&amp;$X25, TRUE)</f>
        <v>1124</v>
      </c>
      <c r="H25" s="4486" cm="1">
        <f t="array" aca="1" ref="H25" ca="1">INDIRECT("'※ 유통플랫폼 세부데이터'!"&amp;H$1&amp;$X25, TRUE)</f>
        <v>582</v>
      </c>
      <c r="I25" s="4487" cm="1">
        <f t="array" aca="1" ref="I25" ca="1">INDIRECT("'※ 유통플랫폼 세부데이터'!"&amp;I$1&amp;$X25, TRUE)</f>
        <v>420</v>
      </c>
      <c r="J25" s="4488" cm="1">
        <f t="array" aca="1" ref="J25" ca="1">INDIRECT("'※ 유통플랫폼 세부데이터'!"&amp;J$1&amp;$X25, TRUE)</f>
        <v>568</v>
      </c>
      <c r="K25" s="4488" cm="1">
        <f t="array" aca="1" ref="K25" ca="1">INDIRECT("'※ 유통플랫폼 세부데이터'!"&amp;K$1&amp;$X25, TRUE)</f>
        <v>879</v>
      </c>
      <c r="L25" s="4488" cm="1">
        <f t="array" aca="1" ref="L25" ca="1">INDIRECT("'※ 유통플랫폼 세부데이터'!"&amp;L$1&amp;$X25, TRUE)</f>
        <v>1564</v>
      </c>
      <c r="M25" s="4488" cm="1">
        <f t="array" aca="1" ref="M25" ca="1">INDIRECT("'※ 유통플랫폼 세부데이터'!"&amp;M$1&amp;$X25, TRUE)</f>
        <v>697</v>
      </c>
      <c r="N25" s="4488" cm="1">
        <f t="array" aca="1" ref="N25" ca="1">INDIRECT("'※ 유통플랫폼 세부데이터'!"&amp;N$1&amp;$X25, TRUE)</f>
        <v>985</v>
      </c>
      <c r="O25" s="4488" cm="1">
        <f t="array" aca="1" ref="O25" ca="1">INDIRECT("'※ 유통플랫폼 세부데이터'!"&amp;O$1&amp;$X25, TRUE)</f>
        <v>879</v>
      </c>
      <c r="P25" s="4488" cm="1">
        <f t="array" aca="1" ref="P25" ca="1">INDIRECT("'※ 유통플랫폼 세부데이터'!"&amp;P$1&amp;$X25, TRUE)</f>
        <v>379</v>
      </c>
      <c r="Q25" s="4488" cm="1">
        <f t="array" aca="1" ref="Q25" ca="1">INDIRECT("'※ 유통플랫폼 세부데이터'!"&amp;Q$1&amp;$X25, TRUE)</f>
        <v>238</v>
      </c>
      <c r="R25" s="4509" cm="1">
        <f t="array" aca="1" ref="R25" ca="1">INDIRECT("'※ 유통플랫폼 세부데이터'!"&amp;R$1&amp;$X25, TRUE)</f>
        <v>-141</v>
      </c>
      <c r="S25" s="4509" cm="1">
        <f t="array" aca="1" ref="S25" ca="1">INDIRECT("'※ 유통플랫폼 세부데이터'!"&amp;S$1&amp;$X25, TRUE)</f>
        <v>-493</v>
      </c>
      <c r="T25" s="4490" cm="1">
        <f t="array" aca="1" ref="T25" ca="1">INDIRECT("'※ 유통플랫폼 세부데이터'!"&amp;T$1&amp;$X25, TRUE)</f>
        <v>8539</v>
      </c>
      <c r="U25" s="4509" cm="1">
        <f t="array" aca="1" ref="U25" ca="1">INDIRECT("'※ 유통플랫폼 세부데이터'!"&amp;U$1&amp;$X25, TRUE)</f>
        <v>-6221.482</v>
      </c>
      <c r="V25" s="4491" cm="1">
        <f t="array" aca="1" ref="V25" ca="1">INDIRECT("'※ 유통플랫폼 세부데이터'!"&amp;V$1&amp;$X25, TRUE)</f>
        <v>711.58333333333337</v>
      </c>
      <c r="W25" s="4509" cm="1">
        <f t="array" aca="1" ref="W25" ca="1">INDIRECT("'※ 유통플랫폼 세부데이터'!"&amp;W$1&amp;$X25, TRUE)</f>
        <v>-518.45683333333329</v>
      </c>
      <c r="X25" s="3693">
        <f>ROW('※ 유통플랫폼 세부데이터'!J22)</f>
        <v>22</v>
      </c>
    </row>
    <row r="26" spans="2:27" ht="16" customHeight="1" x14ac:dyDescent="0.55000000000000004">
      <c r="B26" s="7386"/>
      <c r="C26" s="7389"/>
      <c r="D26" s="3679" t="s">
        <v>320</v>
      </c>
      <c r="E26" s="4484" cm="1">
        <f t="array" aca="1" ref="E26" ca="1">INDIRECT("'※ 유통플랫폼 세부데이터'!"&amp;E$1&amp;$X26, TRUE)</f>
        <v>7717.6579999999994</v>
      </c>
      <c r="F26" s="4485" cm="1">
        <f t="array" aca="1" ref="F26" ca="1">INDIRECT("'※ 유통플랫폼 세부데이터'!"&amp;F$1&amp;$X26, TRUE)</f>
        <v>224</v>
      </c>
      <c r="G26" s="4486" cm="1">
        <f t="array" aca="1" ref="G26" ca="1">INDIRECT("'※ 유통플랫폼 세부데이터'!"&amp;G$1&amp;$X26, TRUE)</f>
        <v>224</v>
      </c>
      <c r="H26" s="4486" cm="1">
        <f t="array" aca="1" ref="H26" ca="1">INDIRECT("'※ 유통플랫폼 세부데이터'!"&amp;H$1&amp;$X26, TRUE)</f>
        <v>50</v>
      </c>
      <c r="I26" s="4487" cm="1">
        <f t="array" aca="1" ref="I26" ca="1">INDIRECT("'※ 유통플랫폼 세부데이터'!"&amp;I$1&amp;$X26, TRUE)</f>
        <v>33</v>
      </c>
      <c r="J26" s="4488" cm="1">
        <f t="array" aca="1" ref="J26" ca="1">INDIRECT("'※ 유통플랫폼 세부데이터'!"&amp;J$1&amp;$X26, TRUE)</f>
        <v>18</v>
      </c>
      <c r="K26" s="4488" cm="1">
        <f t="array" aca="1" ref="K26" ca="1">INDIRECT("'※ 유통플랫폼 세부데이터'!"&amp;K$1&amp;$X26, TRUE)</f>
        <v>53</v>
      </c>
      <c r="L26" s="4488" cm="1">
        <f t="array" aca="1" ref="L26" ca="1">INDIRECT("'※ 유통플랫폼 세부데이터'!"&amp;L$1&amp;$X26, TRUE)</f>
        <v>401</v>
      </c>
      <c r="M26" s="4488" cm="1">
        <f t="array" aca="1" ref="M26" ca="1">INDIRECT("'※ 유통플랫폼 세부데이터'!"&amp;M$1&amp;$X26, TRUE)</f>
        <v>198</v>
      </c>
      <c r="N26" s="4488" cm="1">
        <f t="array" aca="1" ref="N26" ca="1">INDIRECT("'※ 유통플랫폼 세부데이터'!"&amp;N$1&amp;$X26, TRUE)</f>
        <v>532</v>
      </c>
      <c r="O26" s="4488" cm="1">
        <f t="array" aca="1" ref="O26" ca="1">INDIRECT("'※ 유통플랫폼 세부데이터'!"&amp;O$1&amp;$X26, TRUE)</f>
        <v>300</v>
      </c>
      <c r="P26" s="4488" cm="1">
        <f t="array" aca="1" ref="P26" ca="1">INDIRECT("'※ 유통플랫폼 세부데이터'!"&amp;P$1&amp;$X26, TRUE)</f>
        <v>45</v>
      </c>
      <c r="Q26" s="4488" cm="1">
        <f t="array" aca="1" ref="Q26" ca="1">INDIRECT("'※ 유통플랫폼 세부데이터'!"&amp;Q$1&amp;$X26, TRUE)</f>
        <v>52</v>
      </c>
      <c r="R26" s="4509" cm="1">
        <f t="array" aca="1" ref="R26" ca="1">INDIRECT("'※ 유통플랫폼 세부데이터'!"&amp;R$1&amp;$X26, TRUE)</f>
        <v>7</v>
      </c>
      <c r="S26" s="4509" cm="1">
        <f t="array" aca="1" ref="S26" ca="1">INDIRECT("'※ 유통플랫폼 세부데이터'!"&amp;S$1&amp;$X26, TRUE)</f>
        <v>-114</v>
      </c>
      <c r="T26" s="4490" cm="1">
        <f t="array" aca="1" ref="T26" ca="1">INDIRECT("'※ 유통플랫폼 세부데이터'!"&amp;T$1&amp;$X26, TRUE)</f>
        <v>2130</v>
      </c>
      <c r="U26" s="4509" cm="1">
        <f t="array" aca="1" ref="U26" ca="1">INDIRECT("'※ 유통플랫폼 세부데이터'!"&amp;U$1&amp;$X26, TRUE)</f>
        <v>-5587.6579999999994</v>
      </c>
      <c r="V26" s="4491" cm="1">
        <f t="array" aca="1" ref="V26" ca="1">INDIRECT("'※ 유통플랫폼 세부데이터'!"&amp;V$1&amp;$X26, TRUE)</f>
        <v>177.5</v>
      </c>
      <c r="W26" s="4509" cm="1">
        <f t="array" aca="1" ref="W26" ca="1">INDIRECT("'※ 유통플랫폼 세부데이터'!"&amp;W$1&amp;$X26, TRUE)</f>
        <v>-465.63816666666662</v>
      </c>
      <c r="X26" s="3693">
        <f>ROW('※ 유통플랫폼 세부데이터'!J23)</f>
        <v>23</v>
      </c>
    </row>
    <row r="27" spans="2:27" ht="16" customHeight="1" x14ac:dyDescent="0.55000000000000004">
      <c r="B27" s="7386"/>
      <c r="C27" s="7391"/>
      <c r="D27" s="4510" t="s">
        <v>324</v>
      </c>
      <c r="E27" s="4511" cm="1">
        <f t="array" aca="1" ref="E27" ca="1">INDIRECT("'※ 유통플랫폼 세부데이터'!"&amp;E$1&amp;$X27, TRUE)</f>
        <v>0.14731166253101735</v>
      </c>
      <c r="F27" s="4512" cm="1">
        <f t="array" aca="1" ref="F27" ca="1">INDIRECT("'※ 유통플랫폼 세부데이터'!"&amp;F$1&amp;$X27, TRUE)</f>
        <v>0.21684414327202323</v>
      </c>
      <c r="G27" s="4513" cm="1">
        <f t="array" aca="1" ref="G27" ca="1">INDIRECT("'※ 유통플랫폼 세부데이터'!"&amp;G$1&amp;$X27, TRUE)</f>
        <v>0.03</v>
      </c>
      <c r="H27" s="4513" cm="1">
        <f t="array" aca="1" ref="H27" ca="1">INDIRECT("'※ 유통플랫폼 세부데이터'!"&amp;H$1&amp;$X27, TRUE)</f>
        <v>1.2236906510034264E-2</v>
      </c>
      <c r="I27" s="4514" cm="1">
        <f t="array" aca="1" ref="I27" ca="1">INDIRECT("'※ 유통플랫폼 세부데이터'!"&amp;I$1&amp;$X27, TRUE)</f>
        <v>8.3544303797468359E-3</v>
      </c>
      <c r="J27" s="4514" cm="1">
        <f t="array" aca="1" ref="J27" ca="1">INDIRECT("'※ 유통플랫폼 세부데이터'!"&amp;J$1&amp;$X27, TRUE)</f>
        <v>4.0000000000000001E-3</v>
      </c>
      <c r="K27" s="4514" cm="1">
        <f t="array" aca="1" ref="K27" ca="1">INDIRECT("'※ 유통플랫폼 세부데이터'!"&amp;K$1&amp;$X27, TRUE)</f>
        <v>9.8166327097610664E-3</v>
      </c>
      <c r="L27" s="4514" cm="1">
        <f t="array" aca="1" ref="L27" ca="1">INDIRECT("'※ 유통플랫폼 세부데이터'!"&amp;L$1&amp;$X27, TRUE)</f>
        <v>5.7000000000000002E-2</v>
      </c>
      <c r="M27" s="4514" cm="1">
        <f t="array" aca="1" ref="M27" ca="1">INDIRECT("'※ 유통플랫폼 세부데이터'!"&amp;M$1&amp;$X27, TRUE)</f>
        <v>0.04</v>
      </c>
      <c r="N27" s="4514" cm="1">
        <f t="array" aca="1" ref="N27" ca="1">INDIRECT("'※ 유통플랫폼 세부데이터'!"&amp;N$1&amp;$X27, TRUE)</f>
        <v>0.11600000000000001</v>
      </c>
      <c r="O27" s="4514" cm="1">
        <f t="array" aca="1" ref="O27" ca="1">INDIRECT("'※ 유통플랫폼 세부데이터'!"&amp;O$1&amp;$X27, TRUE)</f>
        <v>7.3999999999999996E-2</v>
      </c>
      <c r="P27" s="4514" cm="1">
        <f t="array" aca="1" ref="P27" ca="1">INDIRECT("'※ 유통플랫폼 세부데이터'!"&amp;P$1&amp;$X27, TRUE)</f>
        <v>1.9E-2</v>
      </c>
      <c r="Q27" s="4514" cm="1">
        <f t="array" aca="1" ref="Q27" ca="1">INDIRECT("'※ 유통플랫폼 세부데이터'!"&amp;Q$1&amp;$X27, TRUE)</f>
        <v>2.7E-2</v>
      </c>
      <c r="R27" s="4515" cm="1">
        <f t="array" aca="1" ref="R27" ca="1">INDIRECT("'※ 유통플랫폼 세부데이터'!"&amp;R$1&amp;$X27, TRUE)</f>
        <v>8.0000000000000002E-3</v>
      </c>
      <c r="S27" s="4515" cm="1">
        <f t="array" aca="1" ref="S27" ca="1">INDIRECT("'※ 유통플랫폼 세부데이터'!"&amp;S$1&amp;$X27, TRUE)</f>
        <v>-8.6000000000000007E-2</v>
      </c>
      <c r="T27" s="4516" cm="1">
        <f t="array" aca="1" ref="T27" ca="1">INDIRECT("'※ 유통플랫폼 세부데이터'!"&amp;T$1&amp;$X27, TRUE)</f>
        <v>4.1162601940246589E-2</v>
      </c>
      <c r="U27" s="4515" cm="1">
        <f t="array" aca="1" ref="U27" ca="1">INDIRECT("'※ 유통플랫폼 세부데이터'!"&amp;U$1&amp;$X27, TRUE)</f>
        <v>-9.3460402202031279E-2</v>
      </c>
      <c r="V27" s="4517" cm="1">
        <f t="array" aca="1" ref="V27" ca="1">INDIRECT("'※ 유통플랫폼 세부데이터'!"&amp;V$1&amp;$X27, TRUE)</f>
        <v>4.1162601940246589E-2</v>
      </c>
      <c r="W27" s="4515" cm="1">
        <f t="array" aca="1" ref="W27" ca="1">INDIRECT("'※ 유통플랫폼 세부데이터'!"&amp;W$1&amp;$X27, TRUE)</f>
        <v>-0.10614906059077076</v>
      </c>
      <c r="X27" s="3693">
        <f>ROW('※ 유통플랫폼 세부데이터'!J24)</f>
        <v>24</v>
      </c>
      <c r="Y27" s="4518"/>
      <c r="Z27" s="4518"/>
      <c r="AA27" s="4518"/>
    </row>
    <row r="28" spans="2:27" ht="16" customHeight="1" x14ac:dyDescent="0.55000000000000004">
      <c r="B28" s="7386"/>
      <c r="C28" s="7395" t="s">
        <v>308</v>
      </c>
      <c r="D28" s="4519" t="s">
        <v>309</v>
      </c>
      <c r="E28" s="4520" cm="1">
        <f t="array" aca="1" ref="E28" ca="1">INDIRECT("'※ 유통플랫폼 세부데이터'!"&amp;E$1&amp;$X28, TRUE)</f>
        <v>60783</v>
      </c>
      <c r="F28" s="4521" cm="1">
        <f t="array" aca="1" ref="F28" ca="1">INDIRECT("'※ 유통플랫폼 세부데이터'!"&amp;F$1&amp;$X28, TRUE)</f>
        <v>2605</v>
      </c>
      <c r="G28" s="4522" cm="1">
        <f t="array" aca="1" ref="G28" ca="1">INDIRECT("'※ 유통플랫폼 세부데이터'!"&amp;G$1&amp;$X28, TRUE)</f>
        <v>4093</v>
      </c>
      <c r="H28" s="4522" cm="1">
        <f t="array" aca="1" ref="H28" ca="1">INDIRECT("'※ 유통플랫폼 세부데이터'!"&amp;H$1&amp;$X28, TRUE)</f>
        <v>1616</v>
      </c>
      <c r="I28" s="4523" cm="1">
        <f t="array" aca="1" ref="I28" ca="1">INDIRECT("'※ 유통플랫폼 세부데이터'!"&amp;I$1&amp;$X28, TRUE)</f>
        <v>5333</v>
      </c>
      <c r="J28" s="4524" cm="1">
        <f t="array" aca="1" ref="J28" ca="1">INDIRECT("'※ 유통플랫폼 세부데이터'!"&amp;J$1&amp;$X28, TRUE)</f>
        <v>1579</v>
      </c>
      <c r="K28" s="4524" cm="1">
        <f t="array" aca="1" ref="K28" ca="1">INDIRECT("'※ 유통플랫폼 세부데이터'!"&amp;K$1&amp;$X28, TRUE)</f>
        <v>3074</v>
      </c>
      <c r="L28" s="4524" cm="1">
        <f t="array" aca="1" ref="L28" ca="1">INDIRECT("'※ 유통플랫폼 세부데이터'!"&amp;L$1&amp;$X28, TRUE)</f>
        <v>9670</v>
      </c>
      <c r="M28" s="4524" cm="1">
        <f t="array" aca="1" ref="M28" ca="1">INDIRECT("'※ 유통플랫폼 세부데이터'!"&amp;M$1&amp;$X28, TRUE)</f>
        <v>3958</v>
      </c>
      <c r="N28" s="4524" cm="1">
        <f t="array" aca="1" ref="N28" ca="1">INDIRECT("'※ 유통플랫폼 세부데이터'!"&amp;N$1&amp;$X28, TRUE)</f>
        <v>7538</v>
      </c>
      <c r="O28" s="4524" cm="1">
        <f t="array" aca="1" ref="O28" ca="1">INDIRECT("'※ 유통플랫폼 세부데이터'!"&amp;O$1&amp;$X28, TRUE)</f>
        <v>2781</v>
      </c>
      <c r="P28" s="4524" cm="1">
        <f t="array" aca="1" ref="P28" ca="1">INDIRECT("'※ 유통플랫폼 세부데이터'!"&amp;P$1&amp;$X28, TRUE)</f>
        <v>4171</v>
      </c>
      <c r="Q28" s="4524" cm="1">
        <f t="array" aca="1" ref="Q28" ca="1">INDIRECT("'※ 유통플랫폼 세부데이터'!"&amp;Q$1&amp;$X28, TRUE)</f>
        <v>2087</v>
      </c>
      <c r="R28" s="4525" cm="1">
        <f t="array" aca="1" ref="R28" ca="1">INDIRECT("'※ 유통플랫폼 세부데이터'!"&amp;R$1&amp;$X28, TRUE)</f>
        <v>-2084</v>
      </c>
      <c r="S28" s="4525" cm="1">
        <f t="array" aca="1" ref="S28" ca="1">INDIRECT("'※ 유통플랫폼 세부데이터'!"&amp;S$1&amp;$X28, TRUE)</f>
        <v>1097</v>
      </c>
      <c r="T28" s="4526" cm="1">
        <f t="array" aca="1" ref="T28" ca="1">INDIRECT("'※ 유통플랫폼 세부데이터'!"&amp;T$1&amp;$X28, TRUE)</f>
        <v>48505</v>
      </c>
      <c r="U28" s="4525" cm="1">
        <f t="array" aca="1" ref="U28" ca="1">INDIRECT("'※ 유통플랫폼 세부데이터'!"&amp;U$1&amp;$X28, TRUE)</f>
        <v>-12278</v>
      </c>
      <c r="V28" s="4527" cm="1">
        <f t="array" aca="1" ref="V28" ca="1">INDIRECT("'※ 유통플랫폼 세부데이터'!"&amp;V$1&amp;$X28, TRUE)</f>
        <v>4042.0833333333335</v>
      </c>
      <c r="W28" s="4525" cm="1">
        <f t="array" aca="1" ref="W28" ca="1">INDIRECT("'※ 유통플랫폼 세부데이터'!"&amp;W$1&amp;$X28, TRUE)</f>
        <v>-1483.6439393939395</v>
      </c>
      <c r="X28" s="3693">
        <f>ROW('※ 유통플랫폼 세부데이터'!J25)</f>
        <v>25</v>
      </c>
    </row>
    <row r="29" spans="2:27" ht="16" customHeight="1" x14ac:dyDescent="0.55000000000000004">
      <c r="B29" s="7386"/>
      <c r="C29" s="7392"/>
      <c r="D29" s="4440" t="s">
        <v>1207</v>
      </c>
      <c r="E29" s="4528" cm="1">
        <f t="array" aca="1" ref="E29" ca="1">INDIRECT("'※ 유통플랫폼 세부데이터'!"&amp;E$1&amp;$X29, TRUE)</f>
        <v>117.1214495409091</v>
      </c>
      <c r="F29" s="4529" cm="1">
        <f t="array" aca="1" ref="F29" ca="1">INDIRECT("'※ 유통플랫폼 세부데이터'!"&amp;F$1&amp;$X29, TRUE)</f>
        <v>5.0999999999999996</v>
      </c>
      <c r="G29" s="4530" cm="1">
        <f t="array" aca="1" ref="G29" ca="1">INDIRECT("'※ 유통플랫폼 세부데이터'!"&amp;G$1&amp;$X29, TRUE)</f>
        <v>4.5</v>
      </c>
      <c r="H29" s="4530" cm="1">
        <f t="array" aca="1" ref="H29" ca="1">INDIRECT("'※ 유통플랫폼 세부데이터'!"&amp;H$1&amp;$X29, TRUE)</f>
        <v>4.4000000000000004</v>
      </c>
      <c r="I29" s="4530" cm="1">
        <f t="array" aca="1" ref="I29" ca="1">INDIRECT("'※ 유통플랫폼 세부데이터'!"&amp;I$1&amp;$X29, TRUE)</f>
        <v>8.5</v>
      </c>
      <c r="J29" s="4530" cm="1">
        <f t="array" aca="1" ref="J29" ca="1">INDIRECT("'※ 유통플랫폼 세부데이터'!"&amp;J$1&amp;$X29, TRUE)</f>
        <v>2.5</v>
      </c>
      <c r="K29" s="4530" cm="1">
        <f t="array" aca="1" ref="K29" ca="1">INDIRECT("'※ 유통플랫폼 세부데이터'!"&amp;K$1&amp;$X29, TRUE)</f>
        <v>4.4000000000000004</v>
      </c>
      <c r="L29" s="4530" cm="1">
        <f t="array" aca="1" ref="L29" ca="1">INDIRECT("'※ 유통플랫폼 세부데이터'!"&amp;L$1&amp;$X29, TRUE)</f>
        <v>11.6</v>
      </c>
      <c r="M29" s="4530" cm="1">
        <f t="array" aca="1" ref="M29" ca="1">INDIRECT("'※ 유통플랫폼 세부데이터'!"&amp;M$1&amp;$X29, TRUE)</f>
        <v>11.9</v>
      </c>
      <c r="N29" s="4530" cm="1">
        <f t="array" aca="1" ref="N29" ca="1">INDIRECT("'※ 유통플랫폼 세부데이터'!"&amp;N$1&amp;$X29, TRUE)</f>
        <v>13.5</v>
      </c>
      <c r="O29" s="4530" cm="1">
        <f t="array" aca="1" ref="O29" ca="1">INDIRECT("'※ 유통플랫폼 세부데이터'!"&amp;O$1&amp;$X29, TRUE)</f>
        <v>8.6</v>
      </c>
      <c r="P29" s="4530" cm="1">
        <f t="array" aca="1" ref="P29" ca="1">INDIRECT("'※ 유통플랫폼 세부데이터'!"&amp;P$1&amp;$X29, TRUE)</f>
        <v>13.7</v>
      </c>
      <c r="Q29" s="4530" cm="1">
        <f t="array" aca="1" ref="Q29" ca="1">INDIRECT("'※ 유통플랫폼 세부데이터'!"&amp;Q$1&amp;$X29, TRUE)</f>
        <v>4.5</v>
      </c>
      <c r="R29" s="4472" cm="1">
        <f t="array" aca="1" ref="R29" ca="1">INDIRECT("'※ 유통플랫폼 세부데이터'!"&amp;R$1&amp;$X29, TRUE)</f>
        <v>-9.1999999999999993</v>
      </c>
      <c r="S29" s="4472" cm="1">
        <f t="array" aca="1" ref="S29" ca="1">INDIRECT("'※ 유통플랫폼 세부데이터'!"&amp;S$1&amp;$X29, TRUE)</f>
        <v>2.2999999999999998</v>
      </c>
      <c r="T29" s="4473" cm="1">
        <f t="array" aca="1" ref="T29" ca="1">INDIRECT("'※ 유통플랫폼 세부데이터'!"&amp;T$1&amp;$X29, TRUE)</f>
        <v>93.2</v>
      </c>
      <c r="U29" s="4472" cm="1">
        <f t="array" aca="1" ref="U29" ca="1">INDIRECT("'※ 유통플랫폼 세부데이터'!"&amp;U$1&amp;$X29, TRUE)</f>
        <v>-23.921449540909094</v>
      </c>
      <c r="V29" s="4474" cm="1">
        <f t="array" aca="1" ref="V29" ca="1">INDIRECT("'※ 유통플랫폼 세부데이터'!"&amp;V$1&amp;$X29, TRUE)</f>
        <v>7.7666666666666666</v>
      </c>
      <c r="W29" s="4472" cm="1">
        <f t="array" aca="1" ref="W29" ca="1">INDIRECT("'※ 유통플랫폼 세부데이터'!"&amp;W$1&amp;$X29, TRUE)</f>
        <v>-2.8807378370523429</v>
      </c>
      <c r="X29" s="3693">
        <f>ROW('※ 유통플랫폼 세부데이터'!J26)</f>
        <v>26</v>
      </c>
    </row>
    <row r="30" spans="2:27" ht="16" customHeight="1" x14ac:dyDescent="0.55000000000000004">
      <c r="B30" s="7386"/>
      <c r="C30" s="7392"/>
      <c r="D30" s="4440" t="s">
        <v>310</v>
      </c>
      <c r="E30" s="4531" cm="1">
        <f t="array" aca="1" ref="E30" ca="1">INDIRECT("'※ 유통플랫폼 세부데이터'!"&amp;E$1&amp;$X30, TRUE)</f>
        <v>2440981.7519914662</v>
      </c>
      <c r="F30" s="4462" cm="1">
        <f t="array" aca="1" ref="F30" ca="1">INDIRECT("'※ 유통플랫폼 세부데이터'!"&amp;F$1&amp;$X30, TRUE)</f>
        <v>197576</v>
      </c>
      <c r="G30" s="4463" cm="1">
        <f t="array" aca="1" ref="G30" ca="1">INDIRECT("'※ 유통플랫폼 세부데이터'!"&amp;G$1&amp;$X30, TRUE)</f>
        <v>111747.54580991938</v>
      </c>
      <c r="H30" s="4463" cm="1">
        <f t="array" aca="1" ref="H30" ca="1">INDIRECT("'※ 유통플랫폼 세부데이터'!"&amp;H$1&amp;$X30, TRUE)</f>
        <v>111747.54580991938</v>
      </c>
      <c r="I30" s="4464" cm="1">
        <f t="array" aca="1" ref="I30" ca="1">INDIRECT("'※ 유통플랫폼 세부데이터'!"&amp;I$1&amp;$X30, TRUE)</f>
        <v>159387</v>
      </c>
      <c r="J30" s="4465" cm="1">
        <f t="array" aca="1" ref="J30" ca="1">INDIRECT("'※ 유통플랫폼 세부데이터'!"&amp;J$1&amp;$X30, TRUE)</f>
        <v>159692</v>
      </c>
      <c r="K30" s="4465" cm="1">
        <f t="array" aca="1" ref="K30" ca="1">INDIRECT("'※ 유통플랫폼 세부데이터'!"&amp;K$1&amp;$X30, TRUE)</f>
        <v>144357</v>
      </c>
      <c r="L30" s="4465" cm="1">
        <f t="array" aca="1" ref="L30" ca="1">INDIRECT("'※ 유통플랫폼 세부데이터'!"&amp;L$1&amp;$X30, TRUE)</f>
        <v>119763</v>
      </c>
      <c r="M30" s="4465" cm="1">
        <f t="array" aca="1" ref="M30" ca="1">INDIRECT("'※ 유통플랫폼 세부데이터'!"&amp;M$1&amp;$X30, TRUE)</f>
        <v>331876</v>
      </c>
      <c r="N30" s="4465" cm="1">
        <f t="array" aca="1" ref="N30" ca="1">INDIRECT("'※ 유통플랫폼 세부데이터'!"&amp;N$1&amp;$X30, TRUE)</f>
        <v>180392</v>
      </c>
      <c r="O30" s="4465" cm="1">
        <f t="array" aca="1" ref="O30" ca="1">INDIRECT("'※ 유통플랫폼 세부데이터'!"&amp;O$1&amp;$X30, TRUE)</f>
        <v>311638</v>
      </c>
      <c r="P30" s="4465" cm="1">
        <f t="array" aca="1" ref="P30" ca="1">INDIRECT("'※ 유통플랫폼 세부데이터'!"&amp;P$1&amp;$X30, TRUE)</f>
        <v>330230</v>
      </c>
      <c r="Q30" s="4465" cm="1">
        <f t="array" aca="1" ref="Q30" ca="1">INDIRECT("'※ 유통플랫폼 세부데이터'!"&amp;Q$1&amp;$X30, TRUE)</f>
        <v>217696</v>
      </c>
      <c r="R30" s="4466" cm="1">
        <f t="array" aca="1" ref="R30" ca="1">INDIRECT("'※ 유통플랫폼 세부데이터'!"&amp;R$1&amp;$X30, TRUE)</f>
        <v>-112534</v>
      </c>
      <c r="S30" s="4466" cm="1">
        <f t="array" aca="1" ref="S30" ca="1">INDIRECT("'※ 유통플랫폼 세부데이터'!"&amp;S$1&amp;$X30, TRUE)</f>
        <v>-3149</v>
      </c>
      <c r="T30" s="4467" cm="1">
        <f t="array" aca="1" ref="T30" ca="1">INDIRECT("'※ 유통플랫폼 세부데이터'!"&amp;T$1&amp;$X30, TRUE)</f>
        <v>2376102.091619839</v>
      </c>
      <c r="U30" s="4466" cm="1">
        <f t="array" aca="1" ref="U30" ca="1">INDIRECT("'※ 유통플랫폼 세부데이터'!"&amp;U$1&amp;$X30, TRUE)</f>
        <v>-64879.660371627193</v>
      </c>
      <c r="V30" s="4468" cm="1">
        <f t="array" aca="1" ref="V30" ca="1">INDIRECT("'※ 유통플랫폼 세부데이터'!"&amp;V$1&amp;$X30, TRUE)</f>
        <v>198008.50763498657</v>
      </c>
      <c r="W30" s="4466" cm="1">
        <f t="array" aca="1" ref="W30" ca="1">INDIRECT("'※ 유통플랫폼 세부데이터'!"&amp;W$1&amp;$X30, TRUE)</f>
        <v>-23898.924364237639</v>
      </c>
      <c r="X30" s="3693">
        <f>ROW('※ 유통플랫폼 세부데이터'!J27)</f>
        <v>27</v>
      </c>
    </row>
    <row r="31" spans="2:27" ht="16" customHeight="1" thickBot="1" x14ac:dyDescent="0.6">
      <c r="B31" s="7387"/>
      <c r="C31" s="7396"/>
      <c r="D31" s="4532" t="s">
        <v>1209</v>
      </c>
      <c r="E31" s="4533" cm="1">
        <f t="array" aca="1" ref="E31" ca="1">INDIRECT("'※ 유통플랫폼 세부데이터'!"&amp;E$1&amp;$X31, TRUE)</f>
        <v>11.018920006363635</v>
      </c>
      <c r="F31" s="4534" cm="1">
        <f t="array" aca="1" ref="F31" ca="1">INDIRECT("'※ 유통플랫폼 세부데이터'!"&amp;F$1&amp;$X31, TRUE)</f>
        <v>1.4</v>
      </c>
      <c r="G31" s="4535" cm="1">
        <f t="array" aca="1" ref="G31" ca="1">INDIRECT("'※ 유통플랫폼 세부데이터'!"&amp;G$1&amp;$X31, TRUE)</f>
        <v>1.1000000000000001</v>
      </c>
      <c r="H31" s="4535" cm="1">
        <f t="array" aca="1" ref="H31" ca="1">INDIRECT("'※ 유통플랫폼 세부데이터'!"&amp;H$1&amp;$X31, TRUE)</f>
        <v>1.1000000000000001</v>
      </c>
      <c r="I31" s="4535" cm="1">
        <f t="array" aca="1" ref="I31" ca="1">INDIRECT("'※ 유통플랫폼 세부데이터'!"&amp;I$1&amp;$X31, TRUE)</f>
        <v>1.7</v>
      </c>
      <c r="J31" s="4535" cm="1">
        <f t="array" aca="1" ref="J31" ca="1">INDIRECT("'※ 유통플랫폼 세부데이터'!"&amp;J$1&amp;$X31, TRUE)</f>
        <v>0.3</v>
      </c>
      <c r="K31" s="4535" cm="1">
        <f t="array" aca="1" ref="K31" ca="1">INDIRECT("'※ 유통플랫폼 세부데이터'!"&amp;K$1&amp;$X31, TRUE)</f>
        <v>0.4</v>
      </c>
      <c r="L31" s="4535" cm="1">
        <f t="array" aca="1" ref="L31" ca="1">INDIRECT("'※ 유통플랫폼 세부데이터'!"&amp;L$1&amp;$X31, TRUE)</f>
        <v>0.7</v>
      </c>
      <c r="M31" s="4535" cm="1">
        <f t="array" aca="1" ref="M31" ca="1">INDIRECT("'※ 유통플랫폼 세부데이터'!"&amp;M$1&amp;$X31, TRUE)</f>
        <v>0.3</v>
      </c>
      <c r="N31" s="4535" cm="1">
        <f t="array" aca="1" ref="N31" ca="1">INDIRECT("'※ 유통플랫폼 세부데이터'!"&amp;N$1&amp;$X31, TRUE)</f>
        <v>0.8</v>
      </c>
      <c r="O31" s="4535" cm="1">
        <f t="array" aca="1" ref="O31" ca="1">INDIRECT("'※ 유통플랫폼 세부데이터'!"&amp;O$1&amp;$X31, TRUE)</f>
        <v>1.4</v>
      </c>
      <c r="P31" s="4535" cm="1">
        <f t="array" aca="1" ref="P31" ca="1">INDIRECT("'※ 유통플랫폼 세부데이터'!"&amp;P$1&amp;$X31, TRUE)</f>
        <v>2.6</v>
      </c>
      <c r="Q31" s="4535" cm="1">
        <f t="array" aca="1" ref="Q31" ca="1">INDIRECT("'※ 유통플랫폼 세부데이터'!"&amp;Q$1&amp;$X31, TRUE)</f>
        <v>1.3</v>
      </c>
      <c r="R31" s="4536" cm="1">
        <f t="array" aca="1" ref="R31" ca="1">INDIRECT("'※ 유통플랫폼 세부데이터'!"&amp;R$1&amp;$X31, TRUE)</f>
        <v>-1.3</v>
      </c>
      <c r="S31" s="4536" cm="1">
        <f t="array" aca="1" ref="S31" ca="1">INDIRECT("'※ 유통플랫폼 세부데이터'!"&amp;S$1&amp;$X31, TRUE)</f>
        <v>0.8</v>
      </c>
      <c r="T31" s="4537" cm="1">
        <f t="array" aca="1" ref="T31" ca="1">INDIRECT("'※ 유통플랫폼 세부데이터'!"&amp;T$1&amp;$X31, TRUE)</f>
        <v>13.1</v>
      </c>
      <c r="U31" s="4536" cm="1">
        <f t="array" aca="1" ref="U31" ca="1">INDIRECT("'※ 유통플랫폼 세부데이터'!"&amp;U$1&amp;$X31, TRUE)</f>
        <v>2.0810799936363651</v>
      </c>
      <c r="V31" s="4538" cm="1">
        <f t="array" aca="1" ref="V31" ca="1">INDIRECT("'※ 유통플랫폼 세부데이터'!"&amp;V$1&amp;$X31, TRUE)</f>
        <v>1.0916666666666666</v>
      </c>
      <c r="W31" s="4536" cm="1">
        <f t="array" aca="1" ref="W31" ca="1">INDIRECT("'※ 유통플랫폼 세부데이터'!"&amp;W$1&amp;$X31, TRUE)</f>
        <v>8.994666608815427E-2</v>
      </c>
      <c r="X31" s="3693">
        <f>ROW('※ 유통플랫폼 세부데이터'!J28)</f>
        <v>28</v>
      </c>
    </row>
    <row r="32" spans="2:27" ht="4.5" customHeight="1" thickBot="1" x14ac:dyDescent="0.6">
      <c r="E32" s="3468"/>
      <c r="F32" s="4539"/>
      <c r="G32" s="3128"/>
      <c r="H32" s="3128"/>
      <c r="I32" s="4540"/>
      <c r="J32" s="4541"/>
      <c r="K32" s="3128"/>
      <c r="L32" s="3128"/>
      <c r="M32" s="3128"/>
      <c r="N32" s="3128"/>
      <c r="O32" s="3128"/>
      <c r="P32" s="3128"/>
      <c r="Q32" s="3128"/>
      <c r="R32" s="3128"/>
      <c r="S32" s="3128"/>
      <c r="T32" s="3468"/>
      <c r="U32" s="3468"/>
      <c r="V32" s="3468"/>
      <c r="W32" s="3468"/>
      <c r="X32" s="3693"/>
    </row>
    <row r="33" spans="2:25" ht="15" customHeight="1" x14ac:dyDescent="0.55000000000000004">
      <c r="B33" s="7381" t="s">
        <v>335</v>
      </c>
      <c r="C33" s="4542" t="s">
        <v>341</v>
      </c>
      <c r="D33" s="4542"/>
      <c r="E33" s="4543" cm="1">
        <f t="array" aca="1" ref="E33" ca="1">INDIRECT("'※ 유통플랫폼 세부데이터'!"&amp;E$1&amp;$X33, TRUE)</f>
        <v>161127</v>
      </c>
      <c r="F33" s="4544" cm="1">
        <f t="array" aca="1" ref="F33" ca="1">INDIRECT("'※ 유통플랫폼 세부데이터'!"&amp;F$1&amp;$X33, TRUE)</f>
        <v>15799</v>
      </c>
      <c r="G33" s="4545" cm="1">
        <f t="array" aca="1" ref="G33" ca="1">INDIRECT("'※ 유통플랫폼 세부데이터'!"&amp;G$1&amp;$X33, TRUE)</f>
        <v>16046</v>
      </c>
      <c r="H33" s="4545" cm="1">
        <f t="array" aca="1" ref="H33" ca="1">INDIRECT("'※ 유통플랫폼 세부데이터'!"&amp;H$1&amp;$X33, TRUE)</f>
        <v>16287</v>
      </c>
      <c r="I33" s="4545" cm="1">
        <f t="array" aca="1" ref="I33" ca="1">INDIRECT("'※ 유통플랫폼 세부데이터'!"&amp;I$1&amp;$X33, TRUE)</f>
        <v>16464</v>
      </c>
      <c r="J33" s="4545" cm="1">
        <f t="array" aca="1" ref="J33" ca="1">INDIRECT("'※ 유통플랫폼 세부데이터'!"&amp;J$1&amp;$X33, TRUE)</f>
        <v>16415</v>
      </c>
      <c r="K33" s="4545" cm="1">
        <f t="array" aca="1" ref="K33" ca="1">INDIRECT("'※ 유통플랫폼 세부데이터'!"&amp;K$1&amp;$X33, TRUE)</f>
        <v>16502</v>
      </c>
      <c r="L33" s="4545" cm="1">
        <f t="array" aca="1" ref="L33" ca="1">INDIRECT("'※ 유통플랫폼 세부데이터'!"&amp;L$1&amp;$X33, TRUE)</f>
        <v>16561</v>
      </c>
      <c r="M33" s="4545" cm="1">
        <f t="array" aca="1" ref="M33" ca="1">INDIRECT("'※ 유통플랫폼 세부데이터'!"&amp;M$1&amp;$X33, TRUE)</f>
        <v>16624</v>
      </c>
      <c r="N33" s="4545" cm="1">
        <f t="array" aca="1" ref="N33" ca="1">INDIRECT("'※ 유통플랫폼 세부데이터'!"&amp;N$1&amp;$X33, TRUE)</f>
        <v>16704</v>
      </c>
      <c r="O33" s="4545" cm="1">
        <f t="array" aca="1" ref="O33" ca="1">INDIRECT("'※ 유통플랫폼 세부데이터'!"&amp;O$1&amp;$X33, TRUE)</f>
        <v>16771</v>
      </c>
      <c r="P33" s="4545" cm="1">
        <f t="array" aca="1" ref="P33" ca="1">INDIRECT("'※ 유통플랫폼 세부데이터'!"&amp;P$1&amp;$X33, TRUE)</f>
        <v>12172</v>
      </c>
      <c r="Q33" s="4545" cm="1">
        <f t="array" aca="1" ref="Q33" ca="1">INDIRECT("'※ 유통플랫폼 세부데이터'!"&amp;Q$1&amp;$X33, TRUE)</f>
        <v>12003</v>
      </c>
      <c r="R33" s="4546" cm="1">
        <f t="array" aca="1" ref="R33" ca="1">INDIRECT("'※ 유통플랫폼 세부데이터'!"&amp;R$1&amp;$X33, TRUE)</f>
        <v>-169</v>
      </c>
      <c r="S33" s="4547" cm="1">
        <f t="array" aca="1" ref="S33" ca="1">INDIRECT("'※ 유통플랫폼 세부데이터'!"&amp;S$1&amp;$X33, TRUE)</f>
        <v>-3580</v>
      </c>
      <c r="T33" s="4548" cm="1">
        <f t="array" aca="1" ref="T33" ca="1">INDIRECT("'※ 유통플랫폼 세부데이터'!"&amp;T$1&amp;$X33, TRUE)</f>
        <v>188348</v>
      </c>
      <c r="U33" s="4545" cm="1">
        <f t="array" aca="1" ref="U33" ca="1">INDIRECT("'※ 유통플랫폼 세부데이터'!"&amp;U$1&amp;$X33, TRUE)</f>
        <v>27221</v>
      </c>
      <c r="V33" s="4549" cm="1">
        <f t="array" aca="1" ref="V33" ca="1">INDIRECT("'※ 유통플랫폼 세부데이터'!"&amp;V$1&amp;$X33, TRUE)</f>
        <v>15695.666666666666</v>
      </c>
      <c r="W33" s="4550" cm="1">
        <f t="array" aca="1" ref="W33" ca="1">INDIRECT("'※ 유통플랫폼 세부데이터'!"&amp;W$1&amp;$X33, TRUE)</f>
        <v>2268.4166666666661</v>
      </c>
      <c r="X33" s="3693">
        <f>ROW('※ 유통플랫폼 세부데이터'!J30)</f>
        <v>30</v>
      </c>
    </row>
    <row r="34" spans="2:25" ht="15" customHeight="1" x14ac:dyDescent="0.55000000000000004">
      <c r="B34" s="7382"/>
      <c r="C34" s="4551" t="s">
        <v>334</v>
      </c>
      <c r="D34" s="4551"/>
      <c r="E34" s="4552" cm="1">
        <f t="array" aca="1" ref="E34" ca="1">INDIRECT("'※ 유통플랫폼 세부데이터'!"&amp;E$1&amp;$X34, TRUE)</f>
        <v>98736</v>
      </c>
      <c r="F34" s="4553" cm="1">
        <f t="array" aca="1" ref="F34" ca="1">INDIRECT("'※ 유통플랫폼 세부데이터'!"&amp;F$1&amp;$X34, TRUE)</f>
        <v>7921</v>
      </c>
      <c r="G34" s="4554" cm="1">
        <f t="array" aca="1" ref="G34" ca="1">INDIRECT("'※ 유통플랫폼 세부데이터'!"&amp;G$1&amp;$X34, TRUE)</f>
        <v>6200</v>
      </c>
      <c r="H34" s="4554" cm="1">
        <f t="array" aca="1" ref="H34" ca="1">INDIRECT("'※ 유통플랫폼 세부데이터'!"&amp;H$1&amp;$X34, TRUE)</f>
        <v>5227</v>
      </c>
      <c r="I34" s="4554" cm="1">
        <f t="array" aca="1" ref="I34" ca="1">INDIRECT("'※ 유통플랫폼 세부데이터'!"&amp;I$1&amp;$X34, TRUE)</f>
        <v>3519</v>
      </c>
      <c r="J34" s="4554" cm="1">
        <f t="array" aca="1" ref="J34" ca="1">INDIRECT("'※ 유통플랫폼 세부데이터'!"&amp;J$1&amp;$X34, TRUE)</f>
        <v>1423</v>
      </c>
      <c r="K34" s="4554" cm="1">
        <f t="array" aca="1" ref="K34" ca="1">INDIRECT("'※ 유통플랫폼 세부데이터'!"&amp;K$1&amp;$X34, TRUE)</f>
        <v>1281</v>
      </c>
      <c r="L34" s="4554" cm="1">
        <f t="array" aca="1" ref="L34" ca="1">INDIRECT("'※ 유통플랫폼 세부데이터'!"&amp;L$1&amp;$X34, TRUE)</f>
        <v>2850</v>
      </c>
      <c r="M34" s="4554" cm="1">
        <f t="array" aca="1" ref="M34" ca="1">INDIRECT("'※ 유통플랫폼 세부데이터'!"&amp;M$1&amp;$X34, TRUE)</f>
        <v>3496</v>
      </c>
      <c r="N34" s="4554" cm="1">
        <f t="array" aca="1" ref="N34" ca="1">INDIRECT("'※ 유통플랫폼 세부데이터'!"&amp;N$1&amp;$X34, TRUE)</f>
        <v>3291</v>
      </c>
      <c r="O34" s="4554" cm="1">
        <f t="array" aca="1" ref="O34" ca="1">INDIRECT("'※ 유통플랫폼 세부데이터'!"&amp;O$1&amp;$X34, TRUE)</f>
        <v>1803</v>
      </c>
      <c r="P34" s="4554" cm="1">
        <f t="array" aca="1" ref="P34" ca="1">INDIRECT("'※ 유통플랫폼 세부데이터'!"&amp;P$1&amp;$X34, TRUE)</f>
        <v>1218</v>
      </c>
      <c r="Q34" s="4554" cm="1">
        <f t="array" aca="1" ref="Q34" ca="1">INDIRECT("'※ 유통플랫폼 세부데이터'!"&amp;Q$1&amp;$X34, TRUE)</f>
        <v>762</v>
      </c>
      <c r="R34" s="4555" cm="1">
        <f t="array" aca="1" ref="R34" ca="1">INDIRECT("'※ 유통플랫폼 세부데이터'!"&amp;R$1&amp;$X34, TRUE)</f>
        <v>-456</v>
      </c>
      <c r="S34" s="4556" cm="1">
        <f t="array" aca="1" ref="S34" ca="1">INDIRECT("'※ 유통플랫폼 세부데이터'!"&amp;S$1&amp;$X34, TRUE)</f>
        <v>-6717</v>
      </c>
      <c r="T34" s="4557" cm="1">
        <f t="array" aca="1" ref="T34" ca="1">INDIRECT("'※ 유통플랫폼 세부데이터'!"&amp;T$1&amp;$X34, TRUE)</f>
        <v>38991</v>
      </c>
      <c r="U34" s="4554" cm="1">
        <f t="array" aca="1" ref="U34" ca="1">INDIRECT("'※ 유통플랫폼 세부데이터'!"&amp;U$1&amp;$X34, TRUE)</f>
        <v>-59745</v>
      </c>
      <c r="V34" s="4558" cm="1">
        <f t="array" aca="1" ref="V34" ca="1">INDIRECT("'※ 유통플랫폼 세부데이터'!"&amp;V$1&amp;$X34, TRUE)</f>
        <v>3249.25</v>
      </c>
      <c r="W34" s="4559" cm="1">
        <f t="array" aca="1" ref="W34" ca="1">INDIRECT("'※ 유통플랫폼 세부데이터'!"&amp;W$1&amp;$X34, TRUE)</f>
        <v>-4978.75</v>
      </c>
      <c r="X34" s="3693">
        <f>ROW('※ 유통플랫폼 세부데이터'!J31)</f>
        <v>31</v>
      </c>
    </row>
    <row r="35" spans="2:25" ht="15" customHeight="1" x14ac:dyDescent="0.55000000000000004">
      <c r="B35" s="7382"/>
      <c r="C35" s="4551" t="s">
        <v>340</v>
      </c>
      <c r="D35" s="4551"/>
      <c r="E35" s="4552" cm="1">
        <f t="array" aca="1" ref="E35" ca="1">INDIRECT("'※ 유통플랫폼 세부데이터'!"&amp;E$1&amp;$X35, TRUE)</f>
        <v>20091</v>
      </c>
      <c r="F35" s="4553" cm="1">
        <f t="array" aca="1" ref="F35" ca="1">INDIRECT("'※ 유통플랫폼 세부데이터'!"&amp;F$1&amp;$X35, TRUE)</f>
        <v>2798</v>
      </c>
      <c r="G35" s="4554" cm="1">
        <f t="array" aca="1" ref="G35" ca="1">INDIRECT("'※ 유통플랫폼 세부데이터'!"&amp;G$1&amp;$X35, TRUE)</f>
        <v>2245</v>
      </c>
      <c r="H35" s="4554" cm="1">
        <f t="array" aca="1" ref="H35" ca="1">INDIRECT("'※ 유통플랫폼 세부데이터'!"&amp;H$1&amp;$X35, TRUE)</f>
        <v>2011</v>
      </c>
      <c r="I35" s="4554" cm="1">
        <f t="array" aca="1" ref="I35" ca="1">INDIRECT("'※ 유통플랫폼 세부데이터'!"&amp;I$1&amp;$X35, TRUE)</f>
        <v>2155</v>
      </c>
      <c r="J35" s="4554" cm="1">
        <f t="array" aca="1" ref="J35" ca="1">INDIRECT("'※ 유통플랫폼 세부데이터'!"&amp;J$1&amp;$X35, TRUE)</f>
        <v>1516</v>
      </c>
      <c r="K35" s="4554" cm="1">
        <f t="array" aca="1" ref="K35" ca="1">INDIRECT("'※ 유통플랫폼 세부데이터'!"&amp;K$1&amp;$X35, TRUE)</f>
        <v>388</v>
      </c>
      <c r="L35" s="4554" cm="1">
        <f t="array" aca="1" ref="L35" ca="1">INDIRECT("'※ 유통플랫폼 세부데이터'!"&amp;L$1&amp;$X35, TRUE)</f>
        <v>790</v>
      </c>
      <c r="M35" s="4554" cm="1">
        <f t="array" aca="1" ref="M35" ca="1">INDIRECT("'※ 유통플랫폼 세부데이터'!"&amp;M$1&amp;$X35, TRUE)</f>
        <v>791</v>
      </c>
      <c r="N35" s="4554" cm="1">
        <f t="array" aca="1" ref="N35" ca="1">INDIRECT("'※ 유통플랫폼 세부데이터'!"&amp;N$1&amp;$X35, TRUE)</f>
        <v>1237</v>
      </c>
      <c r="O35" s="4554" cm="1">
        <f t="array" aca="1" ref="O35" ca="1">INDIRECT("'※ 유통플랫폼 세부데이터'!"&amp;O$1&amp;$X35, TRUE)</f>
        <v>915</v>
      </c>
      <c r="P35" s="4554" cm="1">
        <f t="array" aca="1" ref="P35" ca="1">INDIRECT("'※ 유통플랫폼 세부데이터'!"&amp;P$1&amp;$X35, TRUE)</f>
        <v>553</v>
      </c>
      <c r="Q35" s="4554" cm="1">
        <f t="array" aca="1" ref="Q35" ca="1">INDIRECT("'※ 유통플랫폼 세부데이터'!"&amp;Q$1&amp;$X35, TRUE)</f>
        <v>385</v>
      </c>
      <c r="R35" s="4555" cm="1">
        <f t="array" aca="1" ref="R35" ca="1">INDIRECT("'※ 유통플랫폼 세부데이터'!"&amp;R$1&amp;$X35, TRUE)</f>
        <v>-168</v>
      </c>
      <c r="S35" s="4556" cm="1">
        <f t="array" aca="1" ref="S35" ca="1">INDIRECT("'※ 유통플랫폼 세부데이터'!"&amp;S$1&amp;$X35, TRUE)</f>
        <v>-1835</v>
      </c>
      <c r="T35" s="4557" cm="1">
        <f t="array" aca="1" ref="T35" ca="1">INDIRECT("'※ 유통플랫폼 세부데이터'!"&amp;T$1&amp;$X35, TRUE)</f>
        <v>15784</v>
      </c>
      <c r="U35" s="4554" cm="1">
        <f t="array" aca="1" ref="U35" ca="1">INDIRECT("'※ 유통플랫폼 세부데이터'!"&amp;U$1&amp;$X35, TRUE)</f>
        <v>-4307</v>
      </c>
      <c r="V35" s="4558" cm="1">
        <f t="array" aca="1" ref="V35" ca="1">INDIRECT("'※ 유통플랫폼 세부데이터'!"&amp;V$1&amp;$X35, TRUE)</f>
        <v>1315.3333333333333</v>
      </c>
      <c r="W35" s="4559" cm="1">
        <f t="array" aca="1" ref="W35" ca="1">INDIRECT("'※ 유통플랫폼 세부데이터'!"&amp;W$1&amp;$X35, TRUE)</f>
        <v>-358.91666666666674</v>
      </c>
      <c r="X35" s="3693">
        <f>ROW('※ 유통플랫폼 세부데이터'!J32)</f>
        <v>32</v>
      </c>
    </row>
    <row r="36" spans="2:25" ht="15" customHeight="1" x14ac:dyDescent="0.55000000000000004">
      <c r="B36" s="7382"/>
      <c r="C36" s="2427" t="s">
        <v>338</v>
      </c>
      <c r="D36" s="2427"/>
      <c r="E36" s="4560" cm="1">
        <f t="array" aca="1" ref="E36" ca="1">INDIRECT("'※ 유통플랫폼 세부데이터'!"&amp;E$1&amp;$X36, TRUE)</f>
        <v>37.980884768020502</v>
      </c>
      <c r="F36" s="4561" cm="1">
        <f t="array" aca="1" ref="F36" ca="1">INDIRECT("'※ 유통플랫폼 세부데이터'!"&amp;F$1&amp;$X36, TRUE)</f>
        <v>3.5</v>
      </c>
      <c r="G36" s="4562" cm="1">
        <f t="array" aca="1" ref="G36" ca="1">INDIRECT("'※ 유통플랫폼 세부데이터'!"&amp;G$1&amp;$X36, TRUE)</f>
        <v>2.7616926503340755</v>
      </c>
      <c r="H36" s="4562" cm="1">
        <f t="array" aca="1" ref="H36" ca="1">INDIRECT("'※ 유통플랫폼 세부데이터'!"&amp;H$1&amp;$X36, TRUE)</f>
        <v>2.9686723023371457</v>
      </c>
      <c r="I36" s="4562" cm="1">
        <f t="array" aca="1" ref="I36" ca="1">INDIRECT("'※ 유통플랫폼 세부데이터'!"&amp;I$1&amp;$X36, TRUE)</f>
        <v>3.3517401392111368</v>
      </c>
      <c r="J36" s="4562" cm="1">
        <f t="array" aca="1" ref="J36" ca="1">INDIRECT("'※ 유통플랫폼 세부데이터'!"&amp;J$1&amp;$X36, TRUE)</f>
        <v>2.6</v>
      </c>
      <c r="K36" s="4562" cm="1">
        <f t="array" aca="1" ref="K36" ca="1">INDIRECT("'※ 유통플랫폼 세부데이터'!"&amp;K$1&amp;$X36, TRUE)</f>
        <v>2</v>
      </c>
      <c r="L36" s="4562" cm="1">
        <f t="array" aca="1" ref="L36" ca="1">INDIRECT("'※ 유통플랫폼 세부데이터'!"&amp;L$1&amp;$X36, TRUE)</f>
        <v>2.2000000000000002</v>
      </c>
      <c r="M36" s="4562" cm="1">
        <f t="array" aca="1" ref="M36" ca="1">INDIRECT("'※ 유통플랫폼 세부데이터'!"&amp;M$1&amp;$X36, TRUE)</f>
        <v>2.4</v>
      </c>
      <c r="N36" s="4562" cm="1">
        <f t="array" aca="1" ref="N36" ca="1">INDIRECT("'※ 유통플랫폼 세부데이터'!"&amp;N$1&amp;$X36, TRUE)</f>
        <v>2.8</v>
      </c>
      <c r="O36" s="4562" cm="1">
        <f t="array" aca="1" ref="O36" ca="1">INDIRECT("'※ 유통플랫폼 세부데이터'!"&amp;O$1&amp;$X36, TRUE)</f>
        <v>3.1</v>
      </c>
      <c r="P36" s="4562" cm="1">
        <f t="array" aca="1" ref="P36" ca="1">INDIRECT("'※ 유통플랫폼 세부데이터'!"&amp;P$1&amp;$X36, TRUE)</f>
        <v>2.6</v>
      </c>
      <c r="Q36" s="4562" cm="1">
        <f t="array" aca="1" ref="Q36" ca="1">INDIRECT("'※ 유통플랫폼 세부데이터'!"&amp;Q$1&amp;$X36, TRUE)</f>
        <v>2.8</v>
      </c>
      <c r="R36" s="4563" cm="1">
        <f t="array" aca="1" ref="R36" ca="1">INDIRECT("'※ 유통플랫폼 세부데이터'!"&amp;R$1&amp;$X36, TRUE)</f>
        <v>0.19999999999999973</v>
      </c>
      <c r="S36" s="4564" cm="1">
        <f t="array" aca="1" ref="S36" ca="1">INDIRECT("'※ 유통플랫폼 세부데이터'!"&amp;S$1&amp;$X36, TRUE)</f>
        <v>-0.70000000000000018</v>
      </c>
      <c r="T36" s="4565" cm="1">
        <f t="array" aca="1" ref="T36" ca="1">INDIRECT("'※ 유통플랫폼 세부데이터'!"&amp;T$1&amp;$X36, TRUE)</f>
        <v>33.082105091882354</v>
      </c>
      <c r="U36" s="4562" cm="1">
        <f t="array" aca="1" ref="U36" ca="1">INDIRECT("'※ 유통플랫폼 세부데이터'!"&amp;U$1&amp;$X36, TRUE)</f>
        <v>-4.8987796761381475</v>
      </c>
      <c r="V36" s="4566" cm="1">
        <f t="array" aca="1" ref="V36" ca="1">INDIRECT("'※ 유통플랫폼 세부데이터'!"&amp;V$1&amp;$X36, TRUE)</f>
        <v>2.7568420909901961</v>
      </c>
      <c r="W36" s="4567" cm="1">
        <f t="array" aca="1" ref="W36" ca="1">INDIRECT("'※ 유통플랫폼 세부데이터'!"&amp;W$1&amp;$X36, TRUE)</f>
        <v>-0.4082316396781791</v>
      </c>
      <c r="X36" s="3693">
        <f>ROW('※ 유통플랫폼 세부데이터'!J33)</f>
        <v>33</v>
      </c>
    </row>
    <row r="37" spans="2:25" ht="15" hidden="1" customHeight="1" x14ac:dyDescent="0.55000000000000004">
      <c r="B37" s="7382"/>
      <c r="C37" s="2427"/>
      <c r="D37" s="2427" t="s">
        <v>332</v>
      </c>
      <c r="E37" s="4560" cm="1">
        <f t="array" aca="1" ref="E37" ca="1">INDIRECT("'※ 유통플랫폼 세부데이터'!"&amp;E$1&amp;$X37, TRUE)</f>
        <v>6237</v>
      </c>
      <c r="F37" s="4561" cm="1">
        <f t="array" aca="1" ref="F37" ca="1">INDIRECT("'※ 유통플랫폼 세부데이터'!"&amp;F$1&amp;$X37, TRUE)</f>
        <v>0</v>
      </c>
      <c r="G37" s="4562" cm="1">
        <f t="array" aca="1" ref="G37" ca="1">INDIRECT("'※ 유통플랫폼 세부데이터'!"&amp;G$1&amp;$X37, TRUE)</f>
        <v>0</v>
      </c>
      <c r="H37" s="4562" cm="1">
        <f t="array" aca="1" ref="H37" ca="1">INDIRECT("'※ 유통플랫폼 세부데이터'!"&amp;H$1&amp;$X37, TRUE)</f>
        <v>0</v>
      </c>
      <c r="I37" s="4562" cm="1">
        <f t="array" aca="1" ref="I37" ca="1">INDIRECT("'※ 유통플랫폼 세부데이터'!"&amp;I$1&amp;$X37, TRUE)</f>
        <v>0</v>
      </c>
      <c r="J37" s="4562" cm="1">
        <f t="array" aca="1" ref="J37" ca="1">INDIRECT("'※ 유통플랫폼 세부데이터'!"&amp;J$1&amp;$X37, TRUE)</f>
        <v>0</v>
      </c>
      <c r="K37" s="4562" cm="1">
        <f t="array" aca="1" ref="K37" ca="1">INDIRECT("'※ 유통플랫폼 세부데이터'!"&amp;K$1&amp;$X37, TRUE)</f>
        <v>0</v>
      </c>
      <c r="L37" s="4562" cm="1">
        <f t="array" aca="1" ref="L37" ca="1">INDIRECT("'※ 유통플랫폼 세부데이터'!"&amp;L$1&amp;$X37, TRUE)</f>
        <v>0</v>
      </c>
      <c r="M37" s="4562" cm="1">
        <f t="array" aca="1" ref="M37" ca="1">INDIRECT("'※ 유통플랫폼 세부데이터'!"&amp;M$1&amp;$X37, TRUE)</f>
        <v>0</v>
      </c>
      <c r="N37" s="4562" cm="1">
        <f t="array" aca="1" ref="N37" ca="1">INDIRECT("'※ 유통플랫폼 세부데이터'!"&amp;N$1&amp;$X37, TRUE)</f>
        <v>0</v>
      </c>
      <c r="O37" s="4562" cm="1">
        <f t="array" aca="1" ref="O37" ca="1">INDIRECT("'※ 유통플랫폼 세부데이터'!"&amp;O$1&amp;$X37, TRUE)</f>
        <v>0</v>
      </c>
      <c r="P37" s="4562" cm="1">
        <f t="array" aca="1" ref="P37" ca="1">INDIRECT("'※ 유통플랫폼 세부데이터'!"&amp;P$1&amp;$X37, TRUE)</f>
        <v>0</v>
      </c>
      <c r="Q37" s="4562" cm="1">
        <f t="array" aca="1" ref="Q37" ca="1">INDIRECT("'※ 유통플랫폼 세부데이터'!"&amp;Q$1&amp;$X37, TRUE)</f>
        <v>0</v>
      </c>
      <c r="R37" s="4568" cm="1">
        <f t="array" aca="1" ref="R37" ca="1">INDIRECT("'※ 유통플랫폼 세부데이터'!"&amp;R$1&amp;$X37, TRUE)</f>
        <v>0</v>
      </c>
      <c r="S37" s="4564" cm="1">
        <f t="array" aca="1" ref="S37" ca="1">INDIRECT("'※ 유통플랫폼 세부데이터'!"&amp;S$1&amp;$X37, TRUE)</f>
        <v>0</v>
      </c>
      <c r="T37" s="4565" cm="1">
        <f t="array" aca="1" ref="T37" ca="1">INDIRECT("'※ 유통플랫폼 세부데이터'!"&amp;T$1&amp;$X37, TRUE)</f>
        <v>0</v>
      </c>
      <c r="U37" s="4562" cm="1">
        <f t="array" aca="1" ref="U37" ca="1">INDIRECT("'※ 유통플랫폼 세부데이터'!"&amp;U$1&amp;$X37, TRUE)</f>
        <v>-6237</v>
      </c>
      <c r="V37" s="4566" cm="1">
        <f t="array" aca="1" ref="V37" ca="1">INDIRECT("'※ 유통플랫폼 세부데이터'!"&amp;V$1&amp;$X37, TRUE)</f>
        <v>0</v>
      </c>
      <c r="W37" s="4567" cm="1">
        <f t="array" aca="1" ref="W37" ca="1">INDIRECT("'※ 유통플랫폼 세부데이터'!"&amp;W$1&amp;$X37, TRUE)</f>
        <v>-6237</v>
      </c>
      <c r="X37" s="3693">
        <f>ROW('※ 유통플랫폼 세부데이터'!J34)</f>
        <v>34</v>
      </c>
    </row>
    <row r="38" spans="2:25" ht="15" hidden="1" customHeight="1" x14ac:dyDescent="0.55000000000000004">
      <c r="B38" s="7382"/>
      <c r="C38" s="2427"/>
      <c r="D38" s="2427" t="s">
        <v>333</v>
      </c>
      <c r="E38" s="4560" cm="1">
        <f t="array" aca="1" ref="E38" ca="1">INDIRECT("'※ 유통플랫폼 세부데이터'!"&amp;E$1&amp;$X38, TRUE)</f>
        <v>0</v>
      </c>
      <c r="F38" s="4561" cm="1">
        <f t="array" aca="1" ref="F38" ca="1">INDIRECT("'※ 유통플랫폼 세부데이터'!"&amp;F$1&amp;$X38, TRUE)</f>
        <v>0</v>
      </c>
      <c r="G38" s="4562" cm="1">
        <f t="array" aca="1" ref="G38" ca="1">INDIRECT("'※ 유통플랫폼 세부데이터'!"&amp;G$1&amp;$X38, TRUE)</f>
        <v>0</v>
      </c>
      <c r="H38" s="4562" cm="1">
        <f t="array" aca="1" ref="H38" ca="1">INDIRECT("'※ 유통플랫폼 세부데이터'!"&amp;H$1&amp;$X38, TRUE)</f>
        <v>0</v>
      </c>
      <c r="I38" s="4562" cm="1">
        <f t="array" aca="1" ref="I38" ca="1">INDIRECT("'※ 유통플랫폼 세부데이터'!"&amp;I$1&amp;$X38, TRUE)</f>
        <v>0</v>
      </c>
      <c r="J38" s="4562" cm="1">
        <f t="array" aca="1" ref="J38" ca="1">INDIRECT("'※ 유통플랫폼 세부데이터'!"&amp;J$1&amp;$X38, TRUE)</f>
        <v>0</v>
      </c>
      <c r="K38" s="4562" cm="1">
        <f t="array" aca="1" ref="K38" ca="1">INDIRECT("'※ 유통플랫폼 세부데이터'!"&amp;K$1&amp;$X38, TRUE)</f>
        <v>0</v>
      </c>
      <c r="L38" s="4562" cm="1">
        <f t="array" aca="1" ref="L38" ca="1">INDIRECT("'※ 유통플랫폼 세부데이터'!"&amp;L$1&amp;$X38, TRUE)</f>
        <v>0</v>
      </c>
      <c r="M38" s="4562" cm="1">
        <f t="array" aca="1" ref="M38" ca="1">INDIRECT("'※ 유통플랫폼 세부데이터'!"&amp;M$1&amp;$X38, TRUE)</f>
        <v>0</v>
      </c>
      <c r="N38" s="4562" cm="1">
        <f t="array" aca="1" ref="N38" ca="1">INDIRECT("'※ 유통플랫폼 세부데이터'!"&amp;N$1&amp;$X38, TRUE)</f>
        <v>0</v>
      </c>
      <c r="O38" s="4562" cm="1">
        <f t="array" aca="1" ref="O38" ca="1">INDIRECT("'※ 유통플랫폼 세부데이터'!"&amp;O$1&amp;$X38, TRUE)</f>
        <v>0</v>
      </c>
      <c r="P38" s="4562" cm="1">
        <f t="array" aca="1" ref="P38" ca="1">INDIRECT("'※ 유통플랫폼 세부데이터'!"&amp;P$1&amp;$X38, TRUE)</f>
        <v>0</v>
      </c>
      <c r="Q38" s="4562" cm="1">
        <f t="array" aca="1" ref="Q38" ca="1">INDIRECT("'※ 유통플랫폼 세부데이터'!"&amp;Q$1&amp;$X38, TRUE)</f>
        <v>0</v>
      </c>
      <c r="R38" s="4568" cm="1">
        <f t="array" aca="1" ref="R38" ca="1">INDIRECT("'※ 유통플랫폼 세부데이터'!"&amp;R$1&amp;$X38, TRUE)</f>
        <v>0</v>
      </c>
      <c r="S38" s="4564" cm="1">
        <f t="array" aca="1" ref="S38" ca="1">INDIRECT("'※ 유통플랫폼 세부데이터'!"&amp;S$1&amp;$X38, TRUE)</f>
        <v>0</v>
      </c>
      <c r="T38" s="4565" cm="1">
        <f t="array" aca="1" ref="T38" ca="1">INDIRECT("'※ 유통플랫폼 세부데이터'!"&amp;T$1&amp;$X38, TRUE)</f>
        <v>0</v>
      </c>
      <c r="U38" s="4562" cm="1">
        <f t="array" aca="1" ref="U38" ca="1">INDIRECT("'※ 유통플랫폼 세부데이터'!"&amp;U$1&amp;$X38, TRUE)</f>
        <v>0</v>
      </c>
      <c r="V38" s="4566" cm="1">
        <f t="array" aca="1" ref="V38" ca="1">INDIRECT("'※ 유통플랫폼 세부데이터'!"&amp;V$1&amp;$X38, TRUE)</f>
        <v>0</v>
      </c>
      <c r="W38" s="4567" cm="1">
        <f t="array" aca="1" ref="W38" ca="1">INDIRECT("'※ 유통플랫폼 세부데이터'!"&amp;W$1&amp;$X38, TRUE)</f>
        <v>0</v>
      </c>
      <c r="X38" s="3693">
        <f>ROW('※ 유통플랫폼 세부데이터'!J35)</f>
        <v>35</v>
      </c>
    </row>
    <row r="39" spans="2:25" ht="15" hidden="1" customHeight="1" x14ac:dyDescent="0.55000000000000004">
      <c r="B39" s="7382"/>
      <c r="C39" s="2427"/>
      <c r="D39" s="2427" t="s">
        <v>339</v>
      </c>
      <c r="E39" s="4560" cm="1">
        <f t="array" aca="1" ref="E39" ca="1">INDIRECT("'※ 유통플랫폼 세부데이터'!"&amp;E$1&amp;$X39, TRUE)</f>
        <v>0</v>
      </c>
      <c r="F39" s="4561" cm="1">
        <f t="array" aca="1" ref="F39" ca="1">INDIRECT("'※ 유통플랫폼 세부데이터'!"&amp;F$1&amp;$X39, TRUE)</f>
        <v>0</v>
      </c>
      <c r="G39" s="4562" cm="1">
        <f t="array" aca="1" ref="G39" ca="1">INDIRECT("'※ 유통플랫폼 세부데이터'!"&amp;G$1&amp;$X39, TRUE)</f>
        <v>0</v>
      </c>
      <c r="H39" s="4562" cm="1">
        <f t="array" aca="1" ref="H39" ca="1">INDIRECT("'※ 유통플랫폼 세부데이터'!"&amp;H$1&amp;$X39, TRUE)</f>
        <v>0</v>
      </c>
      <c r="I39" s="4562" cm="1">
        <f t="array" aca="1" ref="I39" ca="1">INDIRECT("'※ 유통플랫폼 세부데이터'!"&amp;I$1&amp;$X39, TRUE)</f>
        <v>0</v>
      </c>
      <c r="J39" s="4562" cm="1">
        <f t="array" aca="1" ref="J39" ca="1">INDIRECT("'※ 유통플랫폼 세부데이터'!"&amp;J$1&amp;$X39, TRUE)</f>
        <v>0</v>
      </c>
      <c r="K39" s="4562" cm="1">
        <f t="array" aca="1" ref="K39" ca="1">INDIRECT("'※ 유통플랫폼 세부데이터'!"&amp;K$1&amp;$X39, TRUE)</f>
        <v>0</v>
      </c>
      <c r="L39" s="4562" cm="1">
        <f t="array" aca="1" ref="L39" ca="1">INDIRECT("'※ 유통플랫폼 세부데이터'!"&amp;L$1&amp;$X39, TRUE)</f>
        <v>0</v>
      </c>
      <c r="M39" s="4562" cm="1">
        <f t="array" aca="1" ref="M39" ca="1">INDIRECT("'※ 유통플랫폼 세부데이터'!"&amp;M$1&amp;$X39, TRUE)</f>
        <v>0</v>
      </c>
      <c r="N39" s="4562" cm="1">
        <f t="array" aca="1" ref="N39" ca="1">INDIRECT("'※ 유통플랫폼 세부데이터'!"&amp;N$1&amp;$X39, TRUE)</f>
        <v>0</v>
      </c>
      <c r="O39" s="4562" cm="1">
        <f t="array" aca="1" ref="O39" ca="1">INDIRECT("'※ 유통플랫폼 세부데이터'!"&amp;O$1&amp;$X39, TRUE)</f>
        <v>0</v>
      </c>
      <c r="P39" s="4562" cm="1">
        <f t="array" aca="1" ref="P39" ca="1">INDIRECT("'※ 유통플랫폼 세부데이터'!"&amp;P$1&amp;$X39, TRUE)</f>
        <v>0</v>
      </c>
      <c r="Q39" s="4562" cm="1">
        <f t="array" aca="1" ref="Q39" ca="1">INDIRECT("'※ 유통플랫폼 세부데이터'!"&amp;Q$1&amp;$X39, TRUE)</f>
        <v>0</v>
      </c>
      <c r="R39" s="4568" cm="1">
        <f t="array" aca="1" ref="R39" ca="1">INDIRECT("'※ 유통플랫폼 세부데이터'!"&amp;R$1&amp;$X39, TRUE)</f>
        <v>0</v>
      </c>
      <c r="S39" s="4564" cm="1">
        <f t="array" aca="1" ref="S39" ca="1">INDIRECT("'※ 유통플랫폼 세부데이터'!"&amp;S$1&amp;$X39, TRUE)</f>
        <v>0</v>
      </c>
      <c r="T39" s="4565" cm="1">
        <f t="array" aca="1" ref="T39" ca="1">INDIRECT("'※ 유통플랫폼 세부데이터'!"&amp;T$1&amp;$X39, TRUE)</f>
        <v>0</v>
      </c>
      <c r="U39" s="4562" cm="1">
        <f t="array" aca="1" ref="U39" ca="1">INDIRECT("'※ 유통플랫폼 세부데이터'!"&amp;U$1&amp;$X39, TRUE)</f>
        <v>0</v>
      </c>
      <c r="V39" s="4566" cm="1">
        <f t="array" aca="1" ref="V39" ca="1">INDIRECT("'※ 유통플랫폼 세부데이터'!"&amp;V$1&amp;$X39, TRUE)</f>
        <v>0</v>
      </c>
      <c r="W39" s="4567" cm="1">
        <f t="array" aca="1" ref="W39" ca="1">INDIRECT("'※ 유통플랫폼 세부데이터'!"&amp;W$1&amp;$X39, TRUE)</f>
        <v>0</v>
      </c>
      <c r="X39" s="3693">
        <f>ROW('※ 유통플랫폼 세부데이터'!J36)</f>
        <v>36</v>
      </c>
    </row>
    <row r="40" spans="2:25" ht="15" customHeight="1" x14ac:dyDescent="0.55000000000000004">
      <c r="B40" s="7382"/>
      <c r="C40" s="4569" t="s">
        <v>336</v>
      </c>
      <c r="D40" s="4570"/>
      <c r="E40" s="4571" cm="1">
        <f t="array" aca="1" ref="E40" ca="1">INDIRECT("'※ 유통플랫폼 세부데이터'!"&amp;E$1&amp;$X40, TRUE)</f>
        <v>67729</v>
      </c>
      <c r="F40" s="4572" cm="1">
        <f t="array" aca="1" ref="F40" ca="1">INDIRECT("'※ 유통플랫폼 세부데이터'!"&amp;F$1&amp;$X40, TRUE)</f>
        <v>9867</v>
      </c>
      <c r="G40" s="4573" cm="1">
        <f t="array" aca="1" ref="G40" ca="1">INDIRECT("'※ 유통플랫폼 세부데이터'!"&amp;G$1&amp;$X40, TRUE)</f>
        <v>6426</v>
      </c>
      <c r="H40" s="4573" cm="1">
        <f t="array" aca="1" ref="H40" ca="1">INDIRECT("'※ 유통플랫폼 세부데이터'!"&amp;H$1&amp;$X40, TRUE)</f>
        <v>5970</v>
      </c>
      <c r="I40" s="4573" cm="1">
        <f t="array" aca="1" ref="I40" ca="1">INDIRECT("'※ 유통플랫폼 세부데이터'!"&amp;I$1&amp;$X40, TRUE)</f>
        <v>7223</v>
      </c>
      <c r="J40" s="4573" cm="1">
        <f t="array" aca="1" ref="J40" ca="1">INDIRECT("'※ 유통플랫폼 세부데이터'!"&amp;J$1&amp;$X40, TRUE)</f>
        <v>3960</v>
      </c>
      <c r="K40" s="4573" cm="1">
        <f t="array" aca="1" ref="K40" ca="1">INDIRECT("'※ 유통플랫폼 세부데이터'!"&amp;K$1&amp;$X40, TRUE)</f>
        <v>759</v>
      </c>
      <c r="L40" s="4573" cm="1">
        <f t="array" aca="1" ref="L40" ca="1">INDIRECT("'※ 유통플랫폼 세부데이터'!"&amp;L$1&amp;$X40, TRUE)</f>
        <v>1716</v>
      </c>
      <c r="M40" s="4573" cm="1">
        <f t="array" aca="1" ref="M40" ca="1">INDIRECT("'※ 유통플랫폼 세부데이터'!"&amp;M$1&amp;$X40, TRUE)</f>
        <v>1902</v>
      </c>
      <c r="N40" s="4573" cm="1">
        <f t="array" aca="1" ref="N40" ca="1">INDIRECT("'※ 유통플랫폼 세부데이터'!"&amp;N$1&amp;$X40, TRUE)</f>
        <v>3452</v>
      </c>
      <c r="O40" s="4573" cm="1">
        <f t="array" aca="1" ref="O40" ca="1">INDIRECT("'※ 유통플랫폼 세부데이터'!"&amp;O$1&amp;$X40, TRUE)</f>
        <v>2849</v>
      </c>
      <c r="P40" s="4573" cm="1">
        <f t="array" aca="1" ref="P40" ca="1">INDIRECT("'※ 유통플랫폼 세부데이터'!"&amp;P$1&amp;$X40, TRUE)</f>
        <v>1416</v>
      </c>
      <c r="Q40" s="4573" cm="1">
        <f t="array" aca="1" ref="Q40" ca="1">INDIRECT("'※ 유통플랫폼 세부데이터'!"&amp;Q$1&amp;$X40, TRUE)</f>
        <v>1060</v>
      </c>
      <c r="R40" s="4574" cm="1">
        <f t="array" aca="1" ref="R40" ca="1">INDIRECT("'※ 유통플랫폼 세부데이터'!"&amp;R$1&amp;$X40, TRUE)</f>
        <v>-356</v>
      </c>
      <c r="S40" s="4575" cm="1">
        <f t="array" aca="1" ref="S40" ca="1">INDIRECT("'※ 유통플랫폼 세부데이터'!"&amp;S$1&amp;$X40, TRUE)</f>
        <v>-6789</v>
      </c>
      <c r="T40" s="4576" cm="1">
        <f t="array" aca="1" ref="T40" ca="1">INDIRECT("'※ 유통플랫폼 세부데이터'!"&amp;T$1&amp;$X40, TRUE)</f>
        <v>46600</v>
      </c>
      <c r="U40" s="4573" cm="1">
        <f t="array" aca="1" ref="U40" ca="1">INDIRECT("'※ 유통플랫폼 세부데이터'!"&amp;U$1&amp;$X40, TRUE)</f>
        <v>-21129</v>
      </c>
      <c r="V40" s="4577" cm="1">
        <f t="array" aca="1" ref="V40" ca="1">INDIRECT("'※ 유통플랫폼 세부데이터'!"&amp;V$1&amp;$X40, TRUE)</f>
        <v>3883.3333333333335</v>
      </c>
      <c r="W40" s="4578" cm="1">
        <f t="array" aca="1" ref="W40" ca="1">INDIRECT("'※ 유통플랫폼 세부데이터'!"&amp;W$1&amp;$X40, TRUE)</f>
        <v>-1760.7499999999995</v>
      </c>
      <c r="X40" s="3693">
        <f>ROW('※ 유통플랫폼 세부데이터'!J37)</f>
        <v>37</v>
      </c>
    </row>
    <row r="41" spans="2:25" ht="15" hidden="1" customHeight="1" x14ac:dyDescent="0.55000000000000004">
      <c r="B41" s="7382"/>
      <c r="C41" s="4579" t="s">
        <v>304</v>
      </c>
      <c r="D41" s="4580"/>
      <c r="E41" s="4581" cm="1">
        <f t="array" aca="1" ref="E41" ca="1">INDIRECT("'※ 유통플랫폼 세부데이터'!"&amp;E$1&amp;$X41, TRUE)</f>
        <v>48582</v>
      </c>
      <c r="F41" s="4582" cm="1">
        <f t="array" aca="1" ref="F41" ca="1">INDIRECT("'※ 유통플랫폼 세부데이터'!"&amp;F$1&amp;$X41, TRUE)</f>
        <v>7082</v>
      </c>
      <c r="G41" s="4583" cm="1">
        <f t="array" aca="1" ref="G41" ca="1">INDIRECT("'※ 유통플랫폼 세부데이터'!"&amp;G$1&amp;$X41, TRUE)</f>
        <v>4217</v>
      </c>
      <c r="H41" s="4583" cm="1">
        <f t="array" aca="1" ref="H41" ca="1">INDIRECT("'※ 유통플랫폼 세부데이터'!"&amp;H$1&amp;$X41, TRUE)</f>
        <v>3586</v>
      </c>
      <c r="I41" s="4583" cm="1">
        <f t="array" aca="1" ref="I41" ca="1">INDIRECT("'※ 유통플랫폼 세부데이터'!"&amp;I$1&amp;$X41, TRUE)</f>
        <v>4254</v>
      </c>
      <c r="J41" s="4583" cm="1">
        <f t="array" aca="1" ref="J41" ca="1">INDIRECT("'※ 유통플랫폼 세부데이터'!"&amp;J$1&amp;$X41, TRUE)</f>
        <v>2292</v>
      </c>
      <c r="K41" s="4583" cm="1">
        <f t="array" aca="1" ref="K41" ca="1">INDIRECT("'※ 유통플랫폼 세부데이터'!"&amp;K$1&amp;$X41, TRUE)</f>
        <v>376</v>
      </c>
      <c r="L41" s="4583" cm="1">
        <f t="array" aca="1" ref="L41" ca="1">INDIRECT("'※ 유통플랫폼 세부데이터'!"&amp;L$1&amp;$X41, TRUE)</f>
        <v>1096</v>
      </c>
      <c r="M41" s="4583" cm="1">
        <f t="array" aca="1" ref="M41" ca="1">INDIRECT("'※ 유통플랫폼 세부데이터'!"&amp;M$1&amp;$X41, TRUE)</f>
        <v>1441</v>
      </c>
      <c r="N41" s="4583" cm="1">
        <f t="array" aca="1" ref="N41" ca="1">INDIRECT("'※ 유통플랫폼 세부데이터'!"&amp;N$1&amp;$X41, TRUE)</f>
        <v>2452</v>
      </c>
      <c r="O41" s="4583" cm="1">
        <f t="array" aca="1" ref="O41" ca="1">INDIRECT("'※ 유통플랫폼 세부데이터'!"&amp;O$1&amp;$X41, TRUE)</f>
        <v>2197</v>
      </c>
      <c r="P41" s="4583" cm="1">
        <f t="array" aca="1" ref="P41" ca="1">INDIRECT("'※ 유통플랫폼 세부데이터'!"&amp;P$1&amp;$X41, TRUE)</f>
        <v>935</v>
      </c>
      <c r="Q41" s="4583" cm="1">
        <f t="array" aca="1" ref="Q41" ca="1">INDIRECT("'※ 유통플랫폼 세부데이터'!"&amp;Q$1&amp;$X41, TRUE)</f>
        <v>589</v>
      </c>
      <c r="R41" s="4584" cm="1">
        <f t="array" aca="1" ref="R41" ca="1">INDIRECT("'※ 유통플랫폼 세부데이터'!"&amp;R$1&amp;$X41, TRUE)</f>
        <v>-346</v>
      </c>
      <c r="S41" s="4585" cm="1">
        <f t="array" aca="1" ref="S41" ca="1">INDIRECT("'※ 유통플랫폼 세부데이터'!"&amp;S$1&amp;$X41, TRUE)</f>
        <v>-4836</v>
      </c>
      <c r="T41" s="4586" cm="1">
        <f t="array" aca="1" ref="T41" ca="1">INDIRECT("'※ 유통플랫폼 세부데이터'!"&amp;T$1&amp;$X41, TRUE)</f>
        <v>30517</v>
      </c>
      <c r="U41" s="4583" cm="1">
        <f t="array" aca="1" ref="U41" ca="1">INDIRECT("'※ 유통플랫폼 세부데이터'!"&amp;U$1&amp;$X41, TRUE)</f>
        <v>-18065</v>
      </c>
      <c r="V41" s="4587" cm="1">
        <f t="array" aca="1" ref="V41" ca="1">INDIRECT("'※ 유통플랫폼 세부데이터'!"&amp;V$1&amp;$X41, TRUE)</f>
        <v>2543.0833333333335</v>
      </c>
      <c r="W41" s="4588" cm="1">
        <f t="array" aca="1" ref="W41" ca="1">INDIRECT("'※ 유통플랫폼 세부데이터'!"&amp;W$1&amp;$X41, TRUE)</f>
        <v>-1505.4166666666665</v>
      </c>
      <c r="X41" s="3693">
        <f>ROW('※ 유통플랫폼 세부데이터'!J38)</f>
        <v>38</v>
      </c>
    </row>
    <row r="42" spans="2:25" ht="15" hidden="1" customHeight="1" x14ac:dyDescent="0.55000000000000004">
      <c r="B42" s="7382"/>
      <c r="C42" s="4589"/>
      <c r="D42" s="2427" t="s">
        <v>331</v>
      </c>
      <c r="E42" s="4560" cm="1">
        <f t="array" aca="1" ref="E42" ca="1">INDIRECT("'※ 유통플랫폼 세부데이터'!"&amp;E$1&amp;$X42, TRUE)</f>
        <v>31703</v>
      </c>
      <c r="F42" s="4561" cm="1">
        <f t="array" aca="1" ref="F42" ca="1">INDIRECT("'※ 유통플랫폼 세부데이터'!"&amp;F$1&amp;$X42, TRUE)</f>
        <v>4023</v>
      </c>
      <c r="G42" s="4562" cm="1">
        <f t="array" aca="1" ref="G42" ca="1">INDIRECT("'※ 유통플랫폼 세부데이터'!"&amp;G$1&amp;$X42, TRUE)</f>
        <v>2535</v>
      </c>
      <c r="H42" s="4562" cm="1">
        <f t="array" aca="1" ref="H42" ca="1">INDIRECT("'※ 유통플랫폼 세부데이터'!"&amp;H$1&amp;$X42, TRUE)</f>
        <v>2322</v>
      </c>
      <c r="I42" s="4562" cm="1">
        <f t="array" aca="1" ref="I42" ca="1">INDIRECT("'※ 유통플랫폼 세부데이터'!"&amp;I$1&amp;$X42, TRUE)</f>
        <v>2521</v>
      </c>
      <c r="J42" s="4562" cm="1">
        <f t="array" aca="1" ref="J42" ca="1">INDIRECT("'※ 유통플랫폼 세부데이터'!"&amp;J$1&amp;$X42, TRUE)</f>
        <v>1409</v>
      </c>
      <c r="K42" s="4562" cm="1">
        <f t="array" aca="1" ref="K42" ca="1">INDIRECT("'※ 유통플랫폼 세부데이터'!"&amp;K$1&amp;$X42, TRUE)</f>
        <v>278</v>
      </c>
      <c r="L42" s="4562" cm="1">
        <f t="array" aca="1" ref="L42" ca="1">INDIRECT("'※ 유통플랫폼 세부데이터'!"&amp;L$1&amp;$X42, TRUE)</f>
        <v>674</v>
      </c>
      <c r="M42" s="4562" cm="1">
        <f t="array" aca="1" ref="M42" ca="1">INDIRECT("'※ 유통플랫폼 세부데이터'!"&amp;M$1&amp;$X42, TRUE)</f>
        <v>825</v>
      </c>
      <c r="N42" s="4562" cm="1">
        <f t="array" aca="1" ref="N42" ca="1">INDIRECT("'※ 유통플랫폼 세부데이터'!"&amp;N$1&amp;$X42, TRUE)</f>
        <v>1531</v>
      </c>
      <c r="O42" s="4562" cm="1">
        <f t="array" aca="1" ref="O42" ca="1">INDIRECT("'※ 유통플랫폼 세부데이터'!"&amp;O$1&amp;$X42, TRUE)</f>
        <v>1607</v>
      </c>
      <c r="P42" s="4562" cm="1">
        <f t="array" aca="1" ref="P42" ca="1">INDIRECT("'※ 유통플랫폼 세부데이터'!"&amp;P$1&amp;$X42, TRUE)</f>
        <v>650</v>
      </c>
      <c r="Q42" s="4562" cm="1">
        <f t="array" aca="1" ref="Q42" ca="1">INDIRECT("'※ 유통플랫폼 세부데이터'!"&amp;Q$1&amp;$X42, TRUE)</f>
        <v>500</v>
      </c>
      <c r="R42" s="4568" cm="1">
        <f t="array" aca="1" ref="R42" ca="1">INDIRECT("'※ 유통플랫폼 세부데이터'!"&amp;R$1&amp;$X42, TRUE)</f>
        <v>-150</v>
      </c>
      <c r="S42" s="4564" cm="1">
        <f t="array" aca="1" ref="S42" ca="1">INDIRECT("'※ 유통플랫폼 세부데이터'!"&amp;S$1&amp;$X42, TRUE)</f>
        <v>-2651</v>
      </c>
      <c r="T42" s="4565" cm="1">
        <f t="array" aca="1" ref="T42" ca="1">INDIRECT("'※ 유통플랫폼 세부데이터'!"&amp;T$1&amp;$X42, TRUE)</f>
        <v>18875</v>
      </c>
      <c r="U42" s="4562" cm="1">
        <f t="array" aca="1" ref="U42" ca="1">INDIRECT("'※ 유통플랫폼 세부데이터'!"&amp;U$1&amp;$X42, TRUE)</f>
        <v>-12828</v>
      </c>
      <c r="V42" s="4566" cm="1">
        <f t="array" aca="1" ref="V42" ca="1">INDIRECT("'※ 유통플랫폼 세부데이터'!"&amp;V$1&amp;$X42, TRUE)</f>
        <v>1572.9166666666667</v>
      </c>
      <c r="W42" s="4567" cm="1">
        <f t="array" aca="1" ref="W42" ca="1">INDIRECT("'※ 유통플랫폼 세부데이터'!"&amp;W$1&amp;$X42, TRUE)</f>
        <v>-1068.9999999999998</v>
      </c>
      <c r="X42" s="3693">
        <f>ROW('※ 유통플랫폼 세부데이터'!J39)</f>
        <v>39</v>
      </c>
    </row>
    <row r="43" spans="2:25" ht="15" hidden="1" customHeight="1" x14ac:dyDescent="0.55000000000000004">
      <c r="B43" s="7382"/>
      <c r="C43" s="4589"/>
      <c r="D43" s="2427" t="s">
        <v>337</v>
      </c>
      <c r="E43" s="4560" cm="1">
        <f t="array" aca="1" ref="E43" ca="1">INDIRECT("'※ 유통플랫폼 세부데이터'!"&amp;E$1&amp;$X43, TRUE)</f>
        <v>16879</v>
      </c>
      <c r="F43" s="4561" cm="1">
        <f t="array" aca="1" ref="F43" ca="1">INDIRECT("'※ 유통플랫폼 세부데이터'!"&amp;F$1&amp;$X43, TRUE)</f>
        <v>3059</v>
      </c>
      <c r="G43" s="4562" cm="1">
        <f t="array" aca="1" ref="G43" ca="1">INDIRECT("'※ 유통플랫폼 세부데이터'!"&amp;G$1&amp;$X43, TRUE)</f>
        <v>1682</v>
      </c>
      <c r="H43" s="4562" cm="1">
        <f t="array" aca="1" ref="H43" ca="1">INDIRECT("'※ 유통플랫폼 세부데이터'!"&amp;H$1&amp;$X43, TRUE)</f>
        <v>1264</v>
      </c>
      <c r="I43" s="4562" cm="1">
        <f t="array" aca="1" ref="I43" ca="1">INDIRECT("'※ 유통플랫폼 세부데이터'!"&amp;I$1&amp;$X43, TRUE)</f>
        <v>1733</v>
      </c>
      <c r="J43" s="4562" cm="1">
        <f t="array" aca="1" ref="J43" ca="1">INDIRECT("'※ 유통플랫폼 세부데이터'!"&amp;J$1&amp;$X43, TRUE)</f>
        <v>883</v>
      </c>
      <c r="K43" s="4562" cm="1">
        <f t="array" aca="1" ref="K43" ca="1">INDIRECT("'※ 유통플랫폼 세부데이터'!"&amp;K$1&amp;$X43, TRUE)</f>
        <v>98</v>
      </c>
      <c r="L43" s="4562" cm="1">
        <f t="array" aca="1" ref="L43" ca="1">INDIRECT("'※ 유통플랫폼 세부데이터'!"&amp;L$1&amp;$X43, TRUE)</f>
        <v>422</v>
      </c>
      <c r="M43" s="4562" cm="1">
        <f t="array" aca="1" ref="M43" ca="1">INDIRECT("'※ 유통플랫폼 세부데이터'!"&amp;M$1&amp;$X43, TRUE)</f>
        <v>616</v>
      </c>
      <c r="N43" s="4562" cm="1">
        <f t="array" aca="1" ref="N43" ca="1">INDIRECT("'※ 유통플랫폼 세부데이터'!"&amp;N$1&amp;$X43, TRUE)</f>
        <v>921</v>
      </c>
      <c r="O43" s="4562" cm="1">
        <f t="array" aca="1" ref="O43" ca="1">INDIRECT("'※ 유통플랫폼 세부데이터'!"&amp;O$1&amp;$X43, TRUE)</f>
        <v>590</v>
      </c>
      <c r="P43" s="4562" cm="1">
        <f t="array" aca="1" ref="P43" ca="1">INDIRECT("'※ 유통플랫폼 세부데이터'!"&amp;P$1&amp;$X43, TRUE)</f>
        <v>285</v>
      </c>
      <c r="Q43" s="4562" cm="1">
        <f t="array" aca="1" ref="Q43" ca="1">INDIRECT("'※ 유통플랫폼 세부데이터'!"&amp;Q$1&amp;$X43, TRUE)</f>
        <v>89</v>
      </c>
      <c r="R43" s="4568" cm="1">
        <f t="array" aca="1" ref="R43" ca="1">INDIRECT("'※ 유통플랫폼 세부데이터'!"&amp;R$1&amp;$X43, TRUE)</f>
        <v>-196</v>
      </c>
      <c r="S43" s="4564" cm="1">
        <f t="array" aca="1" ref="S43" ca="1">INDIRECT("'※ 유통플랫폼 세부데이터'!"&amp;S$1&amp;$X43, TRUE)</f>
        <v>-2185</v>
      </c>
      <c r="T43" s="4565" cm="1">
        <f t="array" aca="1" ref="T43" ca="1">INDIRECT("'※ 유통플랫폼 세부데이터'!"&amp;T$1&amp;$X43, TRUE)</f>
        <v>11642</v>
      </c>
      <c r="U43" s="4562" cm="1">
        <f t="array" aca="1" ref="U43" ca="1">INDIRECT("'※ 유통플랫폼 세부데이터'!"&amp;U$1&amp;$X43, TRUE)</f>
        <v>-5237</v>
      </c>
      <c r="V43" s="4566" cm="1">
        <f t="array" aca="1" ref="V43" ca="1">INDIRECT("'※ 유통플랫폼 세부데이터'!"&amp;V$1&amp;$X43, TRUE)</f>
        <v>970.16666666666663</v>
      </c>
      <c r="W43" s="4567" cm="1">
        <f t="array" aca="1" ref="W43" ca="1">INDIRECT("'※ 유통플랫폼 세부데이터'!"&amp;W$1&amp;$X43, TRUE)</f>
        <v>-436.41666666666663</v>
      </c>
      <c r="X43" s="3693">
        <f>ROW('※ 유통플랫폼 세부데이터'!J40)</f>
        <v>40</v>
      </c>
    </row>
    <row r="44" spans="2:25" ht="15" hidden="1" customHeight="1" x14ac:dyDescent="0.55000000000000004">
      <c r="B44" s="7382"/>
      <c r="C44" s="4579" t="s">
        <v>305</v>
      </c>
      <c r="D44" s="4580"/>
      <c r="E44" s="4581" cm="1">
        <f t="array" aca="1" ref="E44" ca="1">INDIRECT("'※ 유통플랫폼 세부데이터'!"&amp;E$1&amp;$X44, TRUE)</f>
        <v>18893</v>
      </c>
      <c r="F44" s="4582" cm="1">
        <f t="array" aca="1" ref="F44" ca="1">INDIRECT("'※ 유통플랫폼 세부데이터'!"&amp;F$1&amp;$X44, TRUE)</f>
        <v>2671</v>
      </c>
      <c r="G44" s="4583" cm="1">
        <f t="array" aca="1" ref="G44" ca="1">INDIRECT("'※ 유통플랫폼 세부데이터'!"&amp;G$1&amp;$X44, TRUE)</f>
        <v>2106</v>
      </c>
      <c r="H44" s="4583" cm="1">
        <f t="array" aca="1" ref="H44" ca="1">INDIRECT("'※ 유통플랫폼 세부데이터'!"&amp;H$1&amp;$X44, TRUE)</f>
        <v>2384</v>
      </c>
      <c r="I44" s="4583" cm="1">
        <f t="array" aca="1" ref="I44" ca="1">INDIRECT("'※ 유통플랫폼 세부데이터'!"&amp;I$1&amp;$X44, TRUE)</f>
        <v>2807</v>
      </c>
      <c r="J44" s="4583" cm="1">
        <f t="array" aca="1" ref="J44" ca="1">INDIRECT("'※ 유통플랫폼 세부데이터'!"&amp;J$1&amp;$X44, TRUE)</f>
        <v>1528</v>
      </c>
      <c r="K44" s="4583" cm="1">
        <f t="array" aca="1" ref="K44" ca="1">INDIRECT("'※ 유통플랫폼 세부데이터'!"&amp;K$1&amp;$X44, TRUE)</f>
        <v>322</v>
      </c>
      <c r="L44" s="4583" cm="1">
        <f t="array" aca="1" ref="L44" ca="1">INDIRECT("'※ 유통플랫폼 세부데이터'!"&amp;L$1&amp;$X44, TRUE)</f>
        <v>577</v>
      </c>
      <c r="M44" s="4583" cm="1">
        <f t="array" aca="1" ref="M44" ca="1">INDIRECT("'※ 유통플랫폼 세부데이터'!"&amp;M$1&amp;$X44, TRUE)</f>
        <v>450</v>
      </c>
      <c r="N44" s="4583" cm="1">
        <f t="array" aca="1" ref="N44" ca="1">INDIRECT("'※ 유통플랫폼 세부데이터'!"&amp;N$1&amp;$X44, TRUE)</f>
        <v>964</v>
      </c>
      <c r="O44" s="4583" cm="1">
        <f t="array" aca="1" ref="O44" ca="1">INDIRECT("'※ 유통플랫폼 세부데이터'!"&amp;O$1&amp;$X44, TRUE)</f>
        <v>598</v>
      </c>
      <c r="P44" s="4583" cm="1">
        <f t="array" aca="1" ref="P44" ca="1">INDIRECT("'※ 유통플랫폼 세부데이터'!"&amp;P$1&amp;$X44, TRUE)</f>
        <v>459</v>
      </c>
      <c r="Q44" s="4583" cm="1">
        <f t="array" aca="1" ref="Q44" ca="1">INDIRECT("'※ 유통플랫폼 세부데이터'!"&amp;Q$1&amp;$X44, TRUE)</f>
        <v>457</v>
      </c>
      <c r="R44" s="4584" cm="1">
        <f t="array" aca="1" ref="R44" ca="1">INDIRECT("'※ 유통플랫폼 세부데이터'!"&amp;R$1&amp;$X44, TRUE)</f>
        <v>-2</v>
      </c>
      <c r="S44" s="4585" cm="1">
        <f t="array" aca="1" ref="S44" ca="1">INDIRECT("'※ 유통플랫폼 세부데이터'!"&amp;S$1&amp;$X44, TRUE)</f>
        <v>-1883</v>
      </c>
      <c r="T44" s="4586" cm="1">
        <f t="array" aca="1" ref="T44" ca="1">INDIRECT("'※ 유통플랫폼 세부데이터'!"&amp;T$1&amp;$X44, TRUE)</f>
        <v>15323</v>
      </c>
      <c r="U44" s="4583" cm="1">
        <f t="array" aca="1" ref="U44" ca="1">INDIRECT("'※ 유통플랫폼 세부데이터'!"&amp;U$1&amp;$X44, TRUE)</f>
        <v>-3570</v>
      </c>
      <c r="V44" s="4587" cm="1">
        <f t="array" aca="1" ref="V44" ca="1">INDIRECT("'※ 유통플랫폼 세부데이터'!"&amp;V$1&amp;$X44, TRUE)</f>
        <v>1276.9166666666667</v>
      </c>
      <c r="W44" s="4588" cm="1">
        <f t="array" aca="1" ref="W44" ca="1">INDIRECT("'※ 유통플랫폼 세부데이터'!"&amp;W$1&amp;$X44, TRUE)</f>
        <v>-297.5</v>
      </c>
      <c r="X44" s="3693">
        <f>ROW('※ 유통플랫폼 세부데이터'!J41)</f>
        <v>41</v>
      </c>
    </row>
    <row r="45" spans="2:25" ht="15" hidden="1" customHeight="1" x14ac:dyDescent="0.55000000000000004">
      <c r="B45" s="7383"/>
      <c r="C45" s="4590"/>
      <c r="D45" s="2645" t="s">
        <v>283</v>
      </c>
      <c r="E45" s="4560" cm="1">
        <f t="array" aca="1" ref="E45" ca="1">INDIRECT("'※ 유통플랫폼 세부데이터'!"&amp;E$1&amp;$X45, TRUE)</f>
        <v>17659</v>
      </c>
      <c r="F45" s="4561" cm="1">
        <f t="array" aca="1" ref="F45" ca="1">INDIRECT("'※ 유통플랫폼 세부데이터'!"&amp;F$1&amp;$X45, TRUE)</f>
        <v>2603</v>
      </c>
      <c r="G45" s="4562" cm="1">
        <f t="array" aca="1" ref="G45" ca="1">INDIRECT("'※ 유통플랫폼 세부데이터'!"&amp;G$1&amp;$X45, TRUE)</f>
        <v>2046</v>
      </c>
      <c r="H45" s="4562" cm="1">
        <f t="array" aca="1" ref="H45" ca="1">INDIRECT("'※ 유통플랫폼 세부데이터'!"&amp;H$1&amp;$X45, TRUE)</f>
        <v>2267</v>
      </c>
      <c r="I45" s="4562" cm="1">
        <f t="array" aca="1" ref="I45" ca="1">INDIRECT("'※ 유통플랫폼 세부데이터'!"&amp;I$1&amp;$X45, TRUE)</f>
        <v>2661</v>
      </c>
      <c r="J45" s="4562" cm="1">
        <f t="array" aca="1" ref="J45" ca="1">INDIRECT("'※ 유통플랫폼 세부데이터'!"&amp;J$1&amp;$X45, TRUE)</f>
        <v>1472</v>
      </c>
      <c r="K45" s="4562" cm="1">
        <f t="array" aca="1" ref="K45" ca="1">INDIRECT("'※ 유통플랫폼 세부데이터'!"&amp;K$1&amp;$X45, TRUE)</f>
        <v>302</v>
      </c>
      <c r="L45" s="4562" cm="1">
        <f t="array" aca="1" ref="L45" ca="1">INDIRECT("'※ 유통플랫폼 세부데이터'!"&amp;L$1&amp;$X45, TRUE)</f>
        <v>552</v>
      </c>
      <c r="M45" s="4562" cm="1">
        <f t="array" aca="1" ref="M45" ca="1">INDIRECT("'※ 유통플랫폼 세부데이터'!"&amp;M$1&amp;$X45, TRUE)</f>
        <v>415</v>
      </c>
      <c r="N45" s="4562" cm="1">
        <f t="array" aca="1" ref="N45" ca="1">INDIRECT("'※ 유통플랫폼 세부데이터'!"&amp;N$1&amp;$X45, TRUE)</f>
        <v>834</v>
      </c>
      <c r="O45" s="4562" cm="1">
        <f t="array" aca="1" ref="O45" ca="1">INDIRECT("'※ 유통플랫폼 세부데이터'!"&amp;O$1&amp;$X45, TRUE)</f>
        <v>540</v>
      </c>
      <c r="P45" s="4562" cm="1">
        <f t="array" aca="1" ref="P45" ca="1">INDIRECT("'※ 유통플랫폼 세부데이터'!"&amp;P$1&amp;$X45, TRUE)</f>
        <v>416</v>
      </c>
      <c r="Q45" s="4562" cm="1">
        <f t="array" aca="1" ref="Q45" ca="1">INDIRECT("'※ 유통플랫폼 세부데이터'!"&amp;Q$1&amp;$X45, TRUE)</f>
        <v>441</v>
      </c>
      <c r="R45" s="4568" cm="1">
        <f t="array" aca="1" ref="R45" ca="1">INDIRECT("'※ 유통플랫폼 세부데이터'!"&amp;R$1&amp;$X45, TRUE)</f>
        <v>25</v>
      </c>
      <c r="S45" s="4564" cm="1">
        <f t="array" aca="1" ref="S45" ca="1">INDIRECT("'※ 유통플랫폼 세부데이터'!"&amp;S$1&amp;$X45, TRUE)</f>
        <v>-1785</v>
      </c>
      <c r="T45" s="4565" cm="1">
        <f t="array" aca="1" ref="T45" ca="1">INDIRECT("'※ 유통플랫폼 세부데이터'!"&amp;T$1&amp;$X45, TRUE)</f>
        <v>14549</v>
      </c>
      <c r="U45" s="4562" cm="1">
        <f t="array" aca="1" ref="U45" ca="1">INDIRECT("'※ 유통플랫폼 세부데이터'!"&amp;U$1&amp;$X45, TRUE)</f>
        <v>-3110</v>
      </c>
      <c r="V45" s="4566" cm="1">
        <f t="array" aca="1" ref="V45" ca="1">INDIRECT("'※ 유통플랫폼 세부데이터'!"&amp;V$1&amp;$X45, TRUE)</f>
        <v>1212.4166666666667</v>
      </c>
      <c r="W45" s="4567" cm="1">
        <f t="array" aca="1" ref="W45" ca="1">INDIRECT("'※ 유통플랫폼 세부데이터'!"&amp;W$1&amp;$X45, TRUE)</f>
        <v>-259.16666666666652</v>
      </c>
      <c r="X45" s="3769">
        <f>ROW('※ 유통플랫폼 세부데이터'!J42)</f>
        <v>42</v>
      </c>
      <c r="Y45" s="2682"/>
    </row>
    <row r="46" spans="2:25" ht="15" hidden="1" customHeight="1" x14ac:dyDescent="0.55000000000000004">
      <c r="B46" s="7383"/>
      <c r="C46" s="4591"/>
      <c r="D46" s="4592" t="s">
        <v>337</v>
      </c>
      <c r="E46" s="4593" cm="1">
        <f t="array" aca="1" ref="E46" ca="1">INDIRECT("'※ 유통플랫폼 세부데이터'!"&amp;E$1&amp;$X46, TRUE)</f>
        <v>1234</v>
      </c>
      <c r="F46" s="4594" cm="1">
        <f t="array" aca="1" ref="F46" ca="1">INDIRECT("'※ 유통플랫폼 세부데이터'!"&amp;F$1&amp;$X46, TRUE)</f>
        <v>68</v>
      </c>
      <c r="G46" s="4595" cm="1">
        <f t="array" aca="1" ref="G46" ca="1">INDIRECT("'※ 유통플랫폼 세부데이터'!"&amp;G$1&amp;$X46, TRUE)</f>
        <v>60</v>
      </c>
      <c r="H46" s="4595" cm="1">
        <f t="array" aca="1" ref="H46" ca="1">INDIRECT("'※ 유통플랫폼 세부데이터'!"&amp;H$1&amp;$X46, TRUE)</f>
        <v>117</v>
      </c>
      <c r="I46" s="4595" cm="1">
        <f t="array" aca="1" ref="I46" ca="1">INDIRECT("'※ 유통플랫폼 세부데이터'!"&amp;I$1&amp;$X46, TRUE)</f>
        <v>146</v>
      </c>
      <c r="J46" s="4595" cm="1">
        <f t="array" aca="1" ref="J46" ca="1">INDIRECT("'※ 유통플랫폼 세부데이터'!"&amp;J$1&amp;$X46, TRUE)</f>
        <v>56</v>
      </c>
      <c r="K46" s="4595" cm="1">
        <f t="array" aca="1" ref="K46" ca="1">INDIRECT("'※ 유통플랫폼 세부데이터'!"&amp;K$1&amp;$X46, TRUE)</f>
        <v>20</v>
      </c>
      <c r="L46" s="4595" cm="1">
        <f t="array" aca="1" ref="L46" ca="1">INDIRECT("'※ 유통플랫폼 세부데이터'!"&amp;L$1&amp;$X46, TRUE)</f>
        <v>25</v>
      </c>
      <c r="M46" s="4595" cm="1">
        <f t="array" aca="1" ref="M46" ca="1">INDIRECT("'※ 유통플랫폼 세부데이터'!"&amp;M$1&amp;$X46, TRUE)</f>
        <v>35</v>
      </c>
      <c r="N46" s="4595" cm="1">
        <f t="array" aca="1" ref="N46" ca="1">INDIRECT("'※ 유통플랫폼 세부데이터'!"&amp;N$1&amp;$X46, TRUE)</f>
        <v>130</v>
      </c>
      <c r="O46" s="4595" cm="1">
        <f t="array" aca="1" ref="O46" ca="1">INDIRECT("'※ 유통플랫폼 세부데이터'!"&amp;O$1&amp;$X46, TRUE)</f>
        <v>58</v>
      </c>
      <c r="P46" s="4595" cm="1">
        <f t="array" aca="1" ref="P46" ca="1">INDIRECT("'※ 유통플랫폼 세부데이터'!"&amp;P$1&amp;$X46, TRUE)</f>
        <v>43</v>
      </c>
      <c r="Q46" s="4595" cm="1">
        <f t="array" aca="1" ref="Q46" ca="1">INDIRECT("'※ 유통플랫폼 세부데이터'!"&amp;Q$1&amp;$X46, TRUE)</f>
        <v>16</v>
      </c>
      <c r="R46" s="4596" cm="1">
        <f t="array" aca="1" ref="R46" ca="1">INDIRECT("'※ 유통플랫폼 세부데이터'!"&amp;R$1&amp;$X46, TRUE)</f>
        <v>-27</v>
      </c>
      <c r="S46" s="4597" cm="1">
        <f t="array" aca="1" ref="S46" ca="1">INDIRECT("'※ 유통플랫폼 세부데이터'!"&amp;S$1&amp;$X46, TRUE)</f>
        <v>-98</v>
      </c>
      <c r="T46" s="4598" cm="1">
        <f t="array" aca="1" ref="T46" ca="1">INDIRECT("'※ 유통플랫폼 세부데이터'!"&amp;T$1&amp;$X46, TRUE)</f>
        <v>774</v>
      </c>
      <c r="U46" s="4595" cm="1">
        <f t="array" aca="1" ref="U46" ca="1">INDIRECT("'※ 유통플랫폼 세부데이터'!"&amp;U$1&amp;$X46, TRUE)</f>
        <v>-460</v>
      </c>
      <c r="V46" s="4599" cm="1">
        <f t="array" aca="1" ref="V46" ca="1">INDIRECT("'※ 유통플랫폼 세부데이터'!"&amp;V$1&amp;$X46, TRUE)</f>
        <v>64.5</v>
      </c>
      <c r="W46" s="4600" cm="1">
        <f t="array" aca="1" ref="W46" ca="1">INDIRECT("'※ 유통플랫폼 세부데이터'!"&amp;W$1&amp;$X46, TRUE)</f>
        <v>-38.333333333333329</v>
      </c>
      <c r="X46" s="3769">
        <f>ROW('※ 유통플랫폼 세부데이터'!J43)</f>
        <v>43</v>
      </c>
      <c r="Y46" s="2682"/>
    </row>
    <row r="47" spans="2:25" ht="15" customHeight="1" x14ac:dyDescent="0.55000000000000004">
      <c r="B47" s="7383"/>
      <c r="C47" s="4601" t="s">
        <v>352</v>
      </c>
      <c r="D47" s="4602"/>
      <c r="E47" s="4603" cm="1">
        <f t="array" aca="1" ref="E47" ca="1">INDIRECT("'※ 유통플랫폼 세부데이터'!"&amp;E$1&amp;$X47, TRUE)</f>
        <v>12748</v>
      </c>
      <c r="F47" s="4604" cm="1">
        <f t="array" aca="1" ref="F47" ca="1">INDIRECT("'※ 유통플랫폼 세부데이터'!"&amp;F$1&amp;$X47, TRUE)</f>
        <v>1359</v>
      </c>
      <c r="G47" s="4605" cm="1">
        <f t="array" aca="1" ref="G47" ca="1">INDIRECT("'※ 유통플랫폼 세부데이터'!"&amp;G$1&amp;$X47, TRUE)</f>
        <v>3661</v>
      </c>
      <c r="H47" s="4605" cm="1">
        <f t="array" aca="1" ref="H47" ca="1">INDIRECT("'※ 유통플랫폼 세부데이터'!"&amp;H$1&amp;$X47, TRUE)</f>
        <v>1088</v>
      </c>
      <c r="I47" s="4605" cm="1">
        <f t="array" aca="1" ref="I47" ca="1">INDIRECT("'※ 유통플랫폼 세부데이터'!"&amp;I$1&amp;$X47, TRUE)</f>
        <v>746</v>
      </c>
      <c r="J47" s="4605" cm="1">
        <f t="array" aca="1" ref="J47" ca="1">INDIRECT("'※ 유통플랫폼 세부데이터'!"&amp;J$1&amp;$X47, TRUE)</f>
        <v>996</v>
      </c>
      <c r="K47" s="4605" cm="1">
        <f t="array" aca="1" ref="K47" ca="1">INDIRECT("'※ 유통플랫폼 세부데이터'!"&amp;K$1&amp;$X47, TRUE)</f>
        <v>620</v>
      </c>
      <c r="L47" s="4605" cm="1">
        <f t="array" aca="1" ref="L47" ca="1">INDIRECT("'※ 유통플랫폼 세부데이터'!"&amp;L$1&amp;$X47, TRUE)</f>
        <v>956</v>
      </c>
      <c r="M47" s="4605" cm="1">
        <f t="array" aca="1" ref="M47" ca="1">INDIRECT("'※ 유통플랫폼 세부데이터'!"&amp;M$1&amp;$X47, TRUE)</f>
        <v>460</v>
      </c>
      <c r="N47" s="4605" cm="1">
        <f t="array" aca="1" ref="N47" ca="1">INDIRECT("'※ 유통플랫폼 세부데이터'!"&amp;N$1&amp;$X47, TRUE)</f>
        <v>843</v>
      </c>
      <c r="O47" s="4605" cm="1">
        <f t="array" aca="1" ref="O47" ca="1">INDIRECT("'※ 유통플랫폼 세부데이터'!"&amp;O$1&amp;$X47, TRUE)</f>
        <v>634</v>
      </c>
      <c r="P47" s="4605" cm="1">
        <f t="array" aca="1" ref="P47" ca="1">INDIRECT("'※ 유통플랫폼 세부데이터'!"&amp;P$1&amp;$X47, TRUE)</f>
        <v>388</v>
      </c>
      <c r="Q47" s="4605" cm="1">
        <f t="array" aca="1" ref="Q47" ca="1">INDIRECT("'※ 유통플랫폼 세부데이터'!"&amp;Q$1&amp;$X47, TRUE)</f>
        <v>487</v>
      </c>
      <c r="R47" s="4606" cm="1">
        <f t="array" aca="1" ref="R47" ca="1">INDIRECT("'※ 유통플랫폼 세부데이터'!"&amp;R$1&amp;$X47, TRUE)</f>
        <v>99</v>
      </c>
      <c r="S47" s="4607" cm="1">
        <f t="array" aca="1" ref="S47" ca="1">INDIRECT("'※ 유통플랫폼 세부데이터'!"&amp;S$1&amp;$X47, TRUE)</f>
        <v>-692</v>
      </c>
      <c r="T47" s="4608" cm="1">
        <f t="array" aca="1" ref="T47" ca="1">INDIRECT("'※ 유통플랫폼 세부데이터'!"&amp;T$1&amp;$X47, TRUE)</f>
        <v>12238</v>
      </c>
      <c r="U47" s="4609" cm="1">
        <f t="array" aca="1" ref="U47" ca="1">INDIRECT("'※ 유통플랫폼 세부데이터'!"&amp;U$1&amp;$X47, TRUE)</f>
        <v>-510</v>
      </c>
      <c r="V47" s="4610" cm="1">
        <f t="array" aca="1" ref="V47" ca="1">INDIRECT("'※ 유통플랫폼 세부데이터'!"&amp;V$1&amp;$X47, TRUE)</f>
        <v>1019.8333333333334</v>
      </c>
      <c r="W47" s="4611" cm="1">
        <f t="array" aca="1" ref="W47" ca="1">INDIRECT("'※ 유통플랫폼 세부데이터'!"&amp;W$1&amp;$X47, TRUE)</f>
        <v>-42.499999999999886</v>
      </c>
      <c r="X47" s="3769">
        <f>ROW('※ 유통플랫폼 세부데이터'!J44)</f>
        <v>44</v>
      </c>
      <c r="Y47" s="2682"/>
    </row>
    <row r="48" spans="2:25" ht="15" customHeight="1" x14ac:dyDescent="0.55000000000000004">
      <c r="B48" s="7383"/>
      <c r="C48" s="4612" t="s">
        <v>342</v>
      </c>
      <c r="D48" s="4613"/>
      <c r="E48" s="4614"/>
      <c r="F48" s="4615" cm="1">
        <f t="array" aca="1" ref="F48" ca="1">INDIRECT("'※ 유통플랫폼 세부데이터'!"&amp;F$1&amp;$X48, TRUE)</f>
        <v>3121</v>
      </c>
      <c r="G48" s="4616" cm="1">
        <f t="array" aca="1" ref="G48" ca="1">INDIRECT("'※ 유통플랫폼 세부데이터'!"&amp;G$1&amp;$X48, TRUE)</f>
        <v>2802</v>
      </c>
      <c r="H48" s="4616" cm="1">
        <f t="array" aca="1" ref="H48" ca="1">INDIRECT("'※ 유통플랫폼 세부데이터'!"&amp;H$1&amp;$X48, TRUE)</f>
        <v>3544</v>
      </c>
      <c r="I48" s="4616" cm="1">
        <f t="array" aca="1" ref="I48" ca="1">INDIRECT("'※ 유통플랫폼 세부데이터'!"&amp;I$1&amp;$X48, TRUE)</f>
        <v>2973</v>
      </c>
      <c r="J48" s="4616" cm="1">
        <f t="array" aca="1" ref="J48" ca="1">INDIRECT("'※ 유통플랫폼 세부데이터'!"&amp;J$1&amp;$X48, TRUE)</f>
        <v>3012</v>
      </c>
      <c r="K48" s="4617" cm="1">
        <f t="array" aca="1" ref="K48" ca="1">INDIRECT("'※ 유통플랫폼 세부데이터'!"&amp;K$1&amp;$X48, TRUE)</f>
        <v>8320</v>
      </c>
      <c r="L48" s="4617" cm="1">
        <f t="array" aca="1" ref="L48" ca="1">INDIRECT("'※ 유통플랫폼 세부데이터'!"&amp;L$1&amp;$X48, TRUE)</f>
        <v>7119</v>
      </c>
      <c r="M48" s="4617" cm="1">
        <f t="array" aca="1" ref="M48" ca="1">INDIRECT("'※ 유통플랫폼 세부데이터'!"&amp;M$1&amp;$X48, TRUE)</f>
        <v>4627</v>
      </c>
      <c r="N48" s="4617" cm="1">
        <f t="array" aca="1" ref="N48" ca="1">INDIRECT("'※ 유통플랫폼 세부데이터'!"&amp;N$1&amp;$X48, TRUE)</f>
        <v>4369</v>
      </c>
      <c r="O48" s="4617" cm="1">
        <f t="array" aca="1" ref="O48" ca="1">INDIRECT("'※ 유통플랫폼 세부데이터'!"&amp;O$1&amp;$X48, TRUE)</f>
        <v>2979</v>
      </c>
      <c r="P48" s="4617" cm="1">
        <f t="array" aca="1" ref="P48" ca="1">INDIRECT("'※ 유통플랫폼 세부데이터'!"&amp;P$1&amp;$X48, TRUE)</f>
        <v>2347</v>
      </c>
      <c r="Q48" s="4617" cm="1">
        <f t="array" aca="1" ref="Q48" ca="1">INDIRECT("'※ 유통플랫폼 세부데이터'!"&amp;Q$1&amp;$X48, TRUE)</f>
        <v>2396</v>
      </c>
      <c r="R48" s="4618" cm="1">
        <f t="array" aca="1" ref="R48" ca="1">INDIRECT("'※ 유통플랫폼 세부데이터'!"&amp;R$1&amp;$X48, TRUE)</f>
        <v>49</v>
      </c>
      <c r="S48" s="4619" cm="1">
        <f t="array" aca="1" ref="S48" ca="1">INDIRECT("'※ 유통플랫폼 세부데이터'!"&amp;S$1&amp;$X48, TRUE)</f>
        <v>900</v>
      </c>
      <c r="T48" s="4620" cm="1">
        <f t="array" aca="1" ref="T48" ca="1">INDIRECT("'※ 유통플랫폼 세부데이터'!"&amp;T$1&amp;$X48, TRUE)</f>
        <v>47609</v>
      </c>
      <c r="U48" s="4616" cm="1">
        <f t="array" aca="1" ref="U48" ca="1">INDIRECT("'※ 유통플랫폼 세부데이터'!"&amp;U$1&amp;$X48, TRUE)</f>
        <v>43184</v>
      </c>
      <c r="V48" s="4618" cm="1">
        <f t="array" aca="1" ref="V48" ca="1">INDIRECT("'※ 유통플랫폼 세부데이터'!"&amp;V$1&amp;$X48, TRUE)</f>
        <v>3967.4166666666665</v>
      </c>
      <c r="W48" s="4621" cm="1">
        <f t="array" aca="1" ref="W48" ca="1">INDIRECT("'※ 유통플랫폼 세부데이터'!"&amp;W$1&amp;$X48, TRUE)</f>
        <v>1754.9166666666665</v>
      </c>
      <c r="X48" s="3769">
        <f>ROW('※ 유통플랫폼 세부데이터'!J45)</f>
        <v>45</v>
      </c>
      <c r="Y48" s="2682"/>
    </row>
    <row r="49" spans="2:25" ht="12" customHeight="1" x14ac:dyDescent="0.55000000000000004">
      <c r="B49" s="7383"/>
      <c r="C49" s="4612"/>
      <c r="D49" s="4622" t="s">
        <v>343</v>
      </c>
      <c r="E49" s="4623"/>
      <c r="F49" s="4624" cm="1">
        <f t="array" aca="1" ref="F49" ca="1">INDIRECT("'※ 유통플랫폼 세부데이터'!"&amp;F$1&amp;$X49, TRUE)</f>
        <v>935</v>
      </c>
      <c r="G49" s="4625" cm="1">
        <f t="array" aca="1" ref="G49" ca="1">INDIRECT("'※ 유통플랫폼 세부데이터'!"&amp;G$1&amp;$X49, TRUE)</f>
        <v>1875</v>
      </c>
      <c r="H49" s="4625" cm="1">
        <f t="array" aca="1" ref="H49" ca="1">INDIRECT("'※ 유통플랫폼 세부데이터'!"&amp;H$1&amp;$X49, TRUE)</f>
        <v>1477</v>
      </c>
      <c r="I49" s="4625" cm="1">
        <f t="array" aca="1" ref="I49" ca="1">INDIRECT("'※ 유통플랫폼 세부데이터'!"&amp;I$1&amp;$X49, TRUE)</f>
        <v>2801</v>
      </c>
      <c r="J49" s="4625" cm="1">
        <f t="array" aca="1" ref="J49" ca="1">INDIRECT("'※ 유통플랫폼 세부데이터'!"&amp;J$1&amp;$X49, TRUE)</f>
        <v>1651</v>
      </c>
      <c r="K49" s="4626" cm="1">
        <f t="array" aca="1" ref="K49" ca="1">INDIRECT("'※ 유통플랫폼 세부데이터'!"&amp;K$1&amp;$X49, TRUE)</f>
        <v>7840</v>
      </c>
      <c r="L49" s="4626" cm="1">
        <f t="array" aca="1" ref="L49" ca="1">INDIRECT("'※ 유통플랫폼 세부데이터'!"&amp;L$1&amp;$X49, TRUE)</f>
        <v>7025</v>
      </c>
      <c r="M49" s="4626" cm="1">
        <f t="array" aca="1" ref="M49" ca="1">INDIRECT("'※ 유통플랫폼 세부데이터'!"&amp;M$1&amp;$X49, TRUE)</f>
        <v>3382</v>
      </c>
      <c r="N49" s="4626" cm="1">
        <f t="array" aca="1" ref="N49" ca="1">INDIRECT("'※ 유통플랫폼 세부데이터'!"&amp;N$1&amp;$X49, TRUE)</f>
        <v>3519</v>
      </c>
      <c r="O49" s="4626" cm="1">
        <f t="array" aca="1" ref="O49" ca="1">INDIRECT("'※ 유통플랫폼 세부데이터'!"&amp;O$1&amp;$X49, TRUE)</f>
        <v>2029</v>
      </c>
      <c r="P49" s="4626" cm="1">
        <f t="array" aca="1" ref="P49" ca="1">INDIRECT("'※ 유통플랫폼 세부데이터'!"&amp;P$1&amp;$X49, TRUE)</f>
        <v>1529</v>
      </c>
      <c r="Q49" s="4626" cm="1">
        <f t="array" aca="1" ref="Q49" ca="1">INDIRECT("'※ 유통플랫폼 세부데이터'!"&amp;Q$1&amp;$X49, TRUE)</f>
        <v>1619</v>
      </c>
      <c r="R49" s="4627" cm="1">
        <f t="array" aca="1" ref="R49" ca="1">INDIRECT("'※ 유통플랫폼 세부데이터'!"&amp;R$1&amp;$X49, TRUE)</f>
        <v>90</v>
      </c>
      <c r="S49" s="4628" cm="1">
        <f t="array" aca="1" ref="S49" ca="1">INDIRECT("'※ 유통플랫폼 세부데이터'!"&amp;S$1&amp;$X49, TRUE)</f>
        <v>1252</v>
      </c>
      <c r="T49" s="4629" cm="1">
        <f t="array" aca="1" ref="T49" ca="1">INDIRECT("'※ 유통플랫폼 세부데이터'!"&amp;T$1&amp;$X49, TRUE)</f>
        <v>35682</v>
      </c>
      <c r="U49" s="4625" cm="1">
        <f t="array" aca="1" ref="U49" ca="1">INDIRECT("'※ 유통플랫폼 세부데이터'!"&amp;U$1&amp;$X49, TRUE)</f>
        <v>34199</v>
      </c>
      <c r="V49" s="4627" cm="1">
        <f t="array" aca="1" ref="V49" ca="1">INDIRECT("'※ 유통플랫폼 세부데이터'!"&amp;V$1&amp;$X49, TRUE)</f>
        <v>2973.5</v>
      </c>
      <c r="W49" s="4630" cm="1">
        <f t="array" aca="1" ref="W49" ca="1">INDIRECT("'※ 유통플랫폼 세부데이터'!"&amp;W$1&amp;$X49, TRUE)</f>
        <v>2232</v>
      </c>
      <c r="X49" s="3769">
        <f>ROW('※ 유통플랫폼 세부데이터'!J46)</f>
        <v>46</v>
      </c>
      <c r="Y49" s="2682"/>
    </row>
    <row r="50" spans="2:25" ht="12" customHeight="1" x14ac:dyDescent="0.55000000000000004">
      <c r="B50" s="7383"/>
      <c r="C50" s="4612"/>
      <c r="D50" s="4622" t="s">
        <v>344</v>
      </c>
      <c r="E50" s="4623"/>
      <c r="F50" s="4624" cm="1">
        <f t="array" aca="1" ref="F50" ca="1">INDIRECT("'※ 유통플랫폼 세부데이터'!"&amp;F$1&amp;$X50, TRUE)</f>
        <v>235</v>
      </c>
      <c r="G50" s="4625" cm="1">
        <f t="array" aca="1" ref="G50" ca="1">INDIRECT("'※ 유통플랫폼 세부데이터'!"&amp;G$1&amp;$X50, TRUE)</f>
        <v>256</v>
      </c>
      <c r="H50" s="4625" cm="1">
        <f t="array" aca="1" ref="H50" ca="1">INDIRECT("'※ 유통플랫폼 세부데이터'!"&amp;H$1&amp;$X50, TRUE)</f>
        <v>362</v>
      </c>
      <c r="I50" s="4625" cm="1">
        <f t="array" aca="1" ref="I50" ca="1">INDIRECT("'※ 유통플랫폼 세부데이터'!"&amp;I$1&amp;$X50, TRUE)</f>
        <v>339</v>
      </c>
      <c r="J50" s="4625" cm="1">
        <f t="array" aca="1" ref="J50" ca="1">INDIRECT("'※ 유통플랫폼 세부데이터'!"&amp;J$1&amp;$X50, TRUE)</f>
        <v>740</v>
      </c>
      <c r="K50" s="4626" cm="1">
        <f t="array" aca="1" ref="K50" ca="1">INDIRECT("'※ 유통플랫폼 세부데이터'!"&amp;K$1&amp;$X50, TRUE)</f>
        <v>5986</v>
      </c>
      <c r="L50" s="4626" cm="1">
        <f t="array" aca="1" ref="L50" ca="1">INDIRECT("'※ 유통플랫폼 세부데이터'!"&amp;L$1&amp;$X50, TRUE)</f>
        <v>4647</v>
      </c>
      <c r="M50" s="4626" cm="1">
        <f t="array" aca="1" ref="M50" ca="1">INDIRECT("'※ 유통플랫폼 세부데이터'!"&amp;M$1&amp;$X50, TRUE)</f>
        <v>2667</v>
      </c>
      <c r="N50" s="4626" cm="1">
        <f t="array" aca="1" ref="N50" ca="1">INDIRECT("'※ 유통플랫폼 세부데이터'!"&amp;N$1&amp;$X50, TRUE)</f>
        <v>2600</v>
      </c>
      <c r="O50" s="4626" cm="1">
        <f t="array" aca="1" ref="O50" ca="1">INDIRECT("'※ 유통플랫폼 세부데이터'!"&amp;O$1&amp;$X50, TRUE)</f>
        <v>1043</v>
      </c>
      <c r="P50" s="4626" cm="1">
        <f t="array" aca="1" ref="P50" ca="1">INDIRECT("'※ 유통플랫폼 세부데이터'!"&amp;P$1&amp;$X50, TRUE)</f>
        <v>728</v>
      </c>
      <c r="Q50" s="4626" cm="1">
        <f t="array" aca="1" ref="Q50" ca="1">INDIRECT("'※ 유통플랫폼 세부데이터'!"&amp;Q$1&amp;$X50, TRUE)</f>
        <v>527</v>
      </c>
      <c r="R50" s="4627" cm="1">
        <f t="array" aca="1" ref="R50" ca="1">INDIRECT("'※ 유통플랫폼 세부데이터'!"&amp;R$1&amp;$X50, TRUE)</f>
        <v>-201</v>
      </c>
      <c r="S50" s="4628" cm="1">
        <f t="array" aca="1" ref="S50" ca="1">INDIRECT("'※ 유통플랫폼 세부데이터'!"&amp;S$1&amp;$X50, TRUE)</f>
        <v>489</v>
      </c>
      <c r="T50" s="4629" cm="1">
        <f t="array" aca="1" ref="T50" ca="1">INDIRECT("'※ 유통플랫폼 세부데이터'!"&amp;T$1&amp;$X50, TRUE)</f>
        <v>20130</v>
      </c>
      <c r="U50" s="4625" cm="1">
        <f t="array" aca="1" ref="U50" ca="1">INDIRECT("'※ 유통플랫폼 세부데이터'!"&amp;U$1&amp;$X50, TRUE)</f>
        <v>19819</v>
      </c>
      <c r="V50" s="4627" cm="1">
        <f t="array" aca="1" ref="V50" ca="1">INDIRECT("'※ 유통플랫폼 세부데이터'!"&amp;V$1&amp;$X50, TRUE)</f>
        <v>1677.5</v>
      </c>
      <c r="W50" s="4630" cm="1">
        <f t="array" aca="1" ref="W50" ca="1">INDIRECT("'※ 유통플랫폼 세부데이터'!"&amp;W$1&amp;$X50, TRUE)</f>
        <v>1522</v>
      </c>
      <c r="X50" s="3769">
        <f>ROW('※ 유통플랫폼 세부데이터'!J47)</f>
        <v>47</v>
      </c>
      <c r="Y50" s="2682"/>
    </row>
    <row r="51" spans="2:25" ht="12" customHeight="1" x14ac:dyDescent="0.55000000000000004">
      <c r="B51" s="7383"/>
      <c r="C51" s="4612"/>
      <c r="D51" s="4622" t="s">
        <v>345</v>
      </c>
      <c r="E51" s="4623"/>
      <c r="F51" s="4624" cm="1">
        <f t="array" aca="1" ref="F51" ca="1">INDIRECT("'※ 유통플랫폼 세부데이터'!"&amp;F$1&amp;$X51, TRUE)</f>
        <v>455</v>
      </c>
      <c r="G51" s="4625" cm="1">
        <f t="array" aca="1" ref="G51" ca="1">INDIRECT("'※ 유통플랫폼 세부데이터'!"&amp;G$1&amp;$X51, TRUE)</f>
        <v>923</v>
      </c>
      <c r="H51" s="4625" cm="1">
        <f t="array" aca="1" ref="H51" ca="1">INDIRECT("'※ 유통플랫폼 세부데이터'!"&amp;H$1&amp;$X51, TRUE)</f>
        <v>550</v>
      </c>
      <c r="I51" s="4625" cm="1">
        <f t="array" aca="1" ref="I51" ca="1">INDIRECT("'※ 유통플랫폼 세부데이터'!"&amp;I$1&amp;$X51, TRUE)</f>
        <v>613</v>
      </c>
      <c r="J51" s="4625" cm="1">
        <f t="array" aca="1" ref="J51" ca="1">INDIRECT("'※ 유통플랫폼 세부데이터'!"&amp;J$1&amp;$X51, TRUE)</f>
        <v>634</v>
      </c>
      <c r="K51" s="4626" cm="1">
        <f t="array" aca="1" ref="K51" ca="1">INDIRECT("'※ 유통플랫폼 세부데이터'!"&amp;K$1&amp;$X51, TRUE)</f>
        <v>2525</v>
      </c>
      <c r="L51" s="4626" cm="1">
        <f t="array" aca="1" ref="L51" ca="1">INDIRECT("'※ 유통플랫폼 세부데이터'!"&amp;L$1&amp;$X51, TRUE)</f>
        <v>3466</v>
      </c>
      <c r="M51" s="4626" cm="1">
        <f t="array" aca="1" ref="M51" ca="1">INDIRECT("'※ 유통플랫폼 세부데이터'!"&amp;M$1&amp;$X51, TRUE)</f>
        <v>2260</v>
      </c>
      <c r="N51" s="4626" cm="1">
        <f t="array" aca="1" ref="N51" ca="1">INDIRECT("'※ 유통플랫폼 세부데이터'!"&amp;N$1&amp;$X51, TRUE)</f>
        <v>2285</v>
      </c>
      <c r="O51" s="4626" cm="1">
        <f t="array" aca="1" ref="O51" ca="1">INDIRECT("'※ 유통플랫폼 세부데이터'!"&amp;O$1&amp;$X51, TRUE)</f>
        <v>1756</v>
      </c>
      <c r="P51" s="4626" cm="1">
        <f t="array" aca="1" ref="P51" ca="1">INDIRECT("'※ 유통플랫폼 세부데이터'!"&amp;P$1&amp;$X51, TRUE)</f>
        <v>1190</v>
      </c>
      <c r="Q51" s="4626" cm="1">
        <f t="array" aca="1" ref="Q51" ca="1">INDIRECT("'※ 유통플랫폼 세부데이터'!"&amp;Q$1&amp;$X51, TRUE)</f>
        <v>1378</v>
      </c>
      <c r="R51" s="4627" cm="1">
        <f t="array" aca="1" ref="R51" ca="1">INDIRECT("'※ 유통플랫폼 세부데이터'!"&amp;R$1&amp;$X51, TRUE)</f>
        <v>188</v>
      </c>
      <c r="S51" s="4628" cm="1">
        <f t="array" aca="1" ref="S51" ca="1">INDIRECT("'※ 유통플랫폼 세부데이터'!"&amp;S$1&amp;$X51, TRUE)</f>
        <v>1266</v>
      </c>
      <c r="T51" s="4629" cm="1">
        <f t="array" aca="1" ref="T51" ca="1">INDIRECT("'※ 유통플랫폼 세부데이터'!"&amp;T$1&amp;$X51, TRUE)</f>
        <v>18035</v>
      </c>
      <c r="U51" s="4625" cm="1">
        <f t="array" aca="1" ref="U51" ca="1">INDIRECT("'※ 유통플랫폼 세부데이터'!"&amp;U$1&amp;$X51, TRUE)</f>
        <v>17493</v>
      </c>
      <c r="V51" s="4627" cm="1">
        <f t="array" aca="1" ref="V51" ca="1">INDIRECT("'※ 유통플랫폼 세부데이터'!"&amp;V$1&amp;$X51, TRUE)</f>
        <v>1502.9166666666667</v>
      </c>
      <c r="W51" s="4630" cm="1">
        <f t="array" aca="1" ref="W51" ca="1">INDIRECT("'※ 유통플랫폼 세부데이터'!"&amp;W$1&amp;$X51, TRUE)</f>
        <v>1231.9166666666667</v>
      </c>
      <c r="X51" s="3769">
        <f>ROW('※ 유통플랫폼 세부데이터'!J48)</f>
        <v>48</v>
      </c>
      <c r="Y51" s="2682"/>
    </row>
    <row r="52" spans="2:25" ht="12" customHeight="1" x14ac:dyDescent="0.55000000000000004">
      <c r="B52" s="7383"/>
      <c r="C52" s="4612"/>
      <c r="D52" s="4622" t="s">
        <v>346</v>
      </c>
      <c r="E52" s="4623"/>
      <c r="F52" s="4624" cm="1">
        <f t="array" aca="1" ref="F52" ca="1">INDIRECT("'※ 유통플랫폼 세부데이터'!"&amp;F$1&amp;$X52, TRUE)</f>
        <v>288</v>
      </c>
      <c r="G52" s="4625" cm="1">
        <f t="array" aca="1" ref="G52" ca="1">INDIRECT("'※ 유통플랫폼 세부데이터'!"&amp;G$1&amp;$X52, TRUE)</f>
        <v>610</v>
      </c>
      <c r="H52" s="4625" cm="1">
        <f t="array" aca="1" ref="H52" ca="1">INDIRECT("'※ 유통플랫폼 세부데이터'!"&amp;H$1&amp;$X52, TRUE)</f>
        <v>332</v>
      </c>
      <c r="I52" s="4625" cm="1">
        <f t="array" aca="1" ref="I52" ca="1">INDIRECT("'※ 유통플랫폼 세부데이터'!"&amp;I$1&amp;$X52, TRUE)</f>
        <v>436</v>
      </c>
      <c r="J52" s="4625" cm="1">
        <f t="array" aca="1" ref="J52" ca="1">INDIRECT("'※ 유통플랫폼 세부데이터'!"&amp;J$1&amp;$X52, TRUE)</f>
        <v>510</v>
      </c>
      <c r="K52" s="4626" cm="1">
        <f t="array" aca="1" ref="K52" ca="1">INDIRECT("'※ 유통플랫폼 세부데이터'!"&amp;K$1&amp;$X52, TRUE)</f>
        <v>1555</v>
      </c>
      <c r="L52" s="4626" cm="1">
        <f t="array" aca="1" ref="L52" ca="1">INDIRECT("'※ 유통플랫폼 세부데이터'!"&amp;L$1&amp;$X52, TRUE)</f>
        <v>1618</v>
      </c>
      <c r="M52" s="4626" cm="1">
        <f t="array" aca="1" ref="M52" ca="1">INDIRECT("'※ 유통플랫폼 세부데이터'!"&amp;M$1&amp;$X52, TRUE)</f>
        <v>1128</v>
      </c>
      <c r="N52" s="4626" cm="1">
        <f t="array" aca="1" ref="N52" ca="1">INDIRECT("'※ 유통플랫폼 세부데이터'!"&amp;N$1&amp;$X52, TRUE)</f>
        <v>1196</v>
      </c>
      <c r="O52" s="4626" cm="1">
        <f t="array" aca="1" ref="O52" ca="1">INDIRECT("'※ 유통플랫폼 세부데이터'!"&amp;O$1&amp;$X52, TRUE)</f>
        <v>1096</v>
      </c>
      <c r="P52" s="4626" cm="1">
        <f t="array" aca="1" ref="P52" ca="1">INDIRECT("'※ 유통플랫폼 세부데이터'!"&amp;P$1&amp;$X52, TRUE)</f>
        <v>729</v>
      </c>
      <c r="Q52" s="4626" cm="1">
        <f t="array" aca="1" ref="Q52" ca="1">INDIRECT("'※ 유통플랫폼 세부데이터'!"&amp;Q$1&amp;$X52, TRUE)</f>
        <v>658</v>
      </c>
      <c r="R52" s="4627" cm="1">
        <f t="array" aca="1" ref="R52" ca="1">INDIRECT("'※ 유통플랫폼 세부데이터'!"&amp;R$1&amp;$X52, TRUE)</f>
        <v>-71</v>
      </c>
      <c r="S52" s="4628" cm="1">
        <f t="array" aca="1" ref="S52" ca="1">INDIRECT("'※ 유통플랫폼 세부데이터'!"&amp;S$1&amp;$X52, TRUE)</f>
        <v>614</v>
      </c>
      <c r="T52" s="4629" cm="1">
        <f t="array" aca="1" ref="T52" ca="1">INDIRECT("'※ 유통플랫폼 세부데이터'!"&amp;T$1&amp;$X52, TRUE)</f>
        <v>10156</v>
      </c>
      <c r="U52" s="4625" cm="1">
        <f t="array" aca="1" ref="U52" ca="1">INDIRECT("'※ 유통플랫폼 세부데이터'!"&amp;U$1&amp;$X52, TRUE)</f>
        <v>9773</v>
      </c>
      <c r="V52" s="4627" cm="1">
        <f t="array" aca="1" ref="V52" ca="1">INDIRECT("'※ 유통플랫폼 세부데이터'!"&amp;V$1&amp;$X52, TRUE)</f>
        <v>846.33333333333337</v>
      </c>
      <c r="W52" s="4630" cm="1">
        <f t="array" aca="1" ref="W52" ca="1">INDIRECT("'※ 유통플랫폼 세부데이터'!"&amp;W$1&amp;$X52, TRUE)</f>
        <v>654.83333333333337</v>
      </c>
      <c r="X52" s="3769">
        <f>ROW('※ 유통플랫폼 세부데이터'!J49)</f>
        <v>49</v>
      </c>
      <c r="Y52" s="2682"/>
    </row>
    <row r="53" spans="2:25" ht="12" customHeight="1" x14ac:dyDescent="0.55000000000000004">
      <c r="B53" s="7383"/>
      <c r="C53" s="4612"/>
      <c r="D53" s="4631" t="s">
        <v>347</v>
      </c>
      <c r="E53" s="4632"/>
      <c r="F53" s="4633" cm="1">
        <f t="array" aca="1" ref="F53" ca="1">INDIRECT("'※ 유통플랫폼 세부데이터'!"&amp;F$1&amp;$X53, TRUE)</f>
        <v>1679</v>
      </c>
      <c r="G53" s="4634" cm="1">
        <f t="array" aca="1" ref="G53" ca="1">INDIRECT("'※ 유통플랫폼 세부데이터'!"&amp;G$1&amp;$X53, TRUE)</f>
        <v>1477</v>
      </c>
      <c r="H53" s="4634" cm="1">
        <f t="array" aca="1" ref="H53" ca="1">INDIRECT("'※ 유통플랫폼 세부데이터'!"&amp;H$1&amp;$X53, TRUE)</f>
        <v>2369</v>
      </c>
      <c r="I53" s="4634" cm="1">
        <f t="array" aca="1" ref="I53" ca="1">INDIRECT("'※ 유통플랫폼 세부데이터'!"&amp;I$1&amp;$X53, TRUE)</f>
        <v>3852</v>
      </c>
      <c r="J53" s="4634" cm="1">
        <f t="array" aca="1" ref="J53" ca="1">INDIRECT("'※ 유통플랫폼 세부데이터'!"&amp;J$1&amp;$X53, TRUE)</f>
        <v>2800</v>
      </c>
      <c r="K53" s="3647" cm="1">
        <f t="array" aca="1" ref="K53" ca="1">INDIRECT("'※ 유통플랫폼 세부데이터'!"&amp;K$1&amp;$X53, TRUE)</f>
        <v>11929</v>
      </c>
      <c r="L53" s="3647" cm="1">
        <f t="array" aca="1" ref="L53" ca="1">INDIRECT("'※ 유통플랫폼 세부데이터'!"&amp;L$1&amp;$X53, TRUE)</f>
        <v>12120</v>
      </c>
      <c r="M53" s="3647" cm="1">
        <f t="array" aca="1" ref="M53" ca="1">INDIRECT("'※ 유통플랫폼 세부데이터'!"&amp;M$1&amp;$X53, TRUE)</f>
        <v>6776</v>
      </c>
      <c r="N53" s="3647" cm="1">
        <f t="array" aca="1" ref="N53" ca="1">INDIRECT("'※ 유통플랫폼 세부데이터'!"&amp;N$1&amp;$X53, TRUE)</f>
        <v>7003</v>
      </c>
      <c r="O53" s="3647" cm="1">
        <f t="array" aca="1" ref="O53" ca="1">INDIRECT("'※ 유통플랫폼 세부데이터'!"&amp;O$1&amp;$X53, TRUE)</f>
        <v>4891</v>
      </c>
      <c r="P53" s="3647" cm="1">
        <f t="array" aca="1" ref="P53" ca="1">INDIRECT("'※ 유통플랫폼 세부데이터'!"&amp;P$1&amp;$X53, TRUE)</f>
        <v>3453</v>
      </c>
      <c r="Q53" s="3647" cm="1">
        <f t="array" aca="1" ref="Q53" ca="1">INDIRECT("'※ 유통플랫폼 세부데이터'!"&amp;Q$1&amp;$X53, TRUE)</f>
        <v>3658</v>
      </c>
      <c r="R53" s="3650" cm="1">
        <f t="array" aca="1" ref="R53" ca="1">INDIRECT("'※ 유통플랫폼 세부데이터'!"&amp;R$1&amp;$X53, TRUE)</f>
        <v>205</v>
      </c>
      <c r="S53" s="4635" cm="1">
        <f t="array" aca="1" ref="S53" ca="1">INDIRECT("'※ 유통플랫폼 세부데이터'!"&amp;S$1&amp;$X53, TRUE)</f>
        <v>3416</v>
      </c>
      <c r="T53" s="4636" cm="1">
        <f t="array" aca="1" ref="T53" ca="1">INDIRECT("'※ 유통플랫폼 세부데이터'!"&amp;T$1&amp;$X53, TRUE)</f>
        <v>62007</v>
      </c>
      <c r="U53" s="4634" cm="1">
        <f t="array" aca="1" ref="U53" ca="1">INDIRECT("'※ 유통플랫폼 세부데이터'!"&amp;U$1&amp;$X53, TRUE)</f>
        <v>59877</v>
      </c>
      <c r="V53" s="3650" cm="1">
        <f t="array" aca="1" ref="V53" ca="1">INDIRECT("'※ 유통플랫폼 세부데이터'!"&amp;V$1&amp;$X53, TRUE)</f>
        <v>5167.25</v>
      </c>
      <c r="W53" s="4637" cm="1">
        <f t="array" aca="1" ref="W53" ca="1">INDIRECT("'※ 유통플랫폼 세부데이터'!"&amp;W$1&amp;$X53, TRUE)</f>
        <v>4102.25</v>
      </c>
      <c r="X53" s="3769">
        <f>ROW('※ 유통플랫폼 세부데이터'!J50)</f>
        <v>50</v>
      </c>
      <c r="Y53" s="2682"/>
    </row>
    <row r="54" spans="2:25" ht="12" customHeight="1" x14ac:dyDescent="0.55000000000000004">
      <c r="B54" s="7383"/>
      <c r="C54" s="4612"/>
      <c r="D54" s="4631" t="s">
        <v>348</v>
      </c>
      <c r="E54" s="4632"/>
      <c r="F54" s="4633" cm="1">
        <f t="array" aca="1" ref="F54" ca="1">INDIRECT("'※ 유통플랫폼 세부데이터'!"&amp;F$1&amp;$X54, TRUE)</f>
        <v>977</v>
      </c>
      <c r="G54" s="4634" cm="1">
        <f t="array" aca="1" ref="G54" ca="1">INDIRECT("'※ 유통플랫폼 세부데이터'!"&amp;G$1&amp;$X54, TRUE)</f>
        <v>484</v>
      </c>
      <c r="H54" s="4634" cm="1">
        <f t="array" aca="1" ref="H54" ca="1">INDIRECT("'※ 유통플랫폼 세부데이터'!"&amp;H$1&amp;$X54, TRUE)</f>
        <v>2153</v>
      </c>
      <c r="I54" s="4634" cm="1">
        <f t="array" aca="1" ref="I54" ca="1">INDIRECT("'※ 유통플랫폼 세부데이터'!"&amp;I$1&amp;$X54, TRUE)</f>
        <v>3707</v>
      </c>
      <c r="J54" s="4634" cm="1">
        <f t="array" aca="1" ref="J54" ca="1">INDIRECT("'※ 유통플랫폼 세부데이터'!"&amp;J$1&amp;$X54, TRUE)</f>
        <v>2369</v>
      </c>
      <c r="K54" s="3647" cm="1">
        <f t="array" aca="1" ref="K54" ca="1">INDIRECT("'※ 유통플랫폼 세부데이터'!"&amp;K$1&amp;$X54, TRUE)</f>
        <v>8857</v>
      </c>
      <c r="L54" s="3647" cm="1">
        <f t="array" aca="1" ref="L54" ca="1">INDIRECT("'※ 유통플랫폼 세부데이터'!"&amp;L$1&amp;$X54, TRUE)</f>
        <v>11663</v>
      </c>
      <c r="M54" s="3647" cm="1">
        <f t="array" aca="1" ref="M54" ca="1">INDIRECT("'※ 유통플랫폼 세부데이터'!"&amp;M$1&amp;$X54, TRUE)</f>
        <v>6520</v>
      </c>
      <c r="N54" s="3647" cm="1">
        <f t="array" aca="1" ref="N54" ca="1">INDIRECT("'※ 유통플랫폼 세부데이터'!"&amp;N$1&amp;$X54, TRUE)</f>
        <v>5767</v>
      </c>
      <c r="O54" s="3647" cm="1">
        <f t="array" aca="1" ref="O54" ca="1">INDIRECT("'※ 유통플랫폼 세부데이터'!"&amp;O$1&amp;$X54, TRUE)</f>
        <v>3636</v>
      </c>
      <c r="P54" s="3647" cm="1">
        <f t="array" aca="1" ref="P54" ca="1">INDIRECT("'※ 유통플랫폼 세부데이터'!"&amp;P$1&amp;$X54, TRUE)</f>
        <v>3312</v>
      </c>
      <c r="Q54" s="3647" cm="1">
        <f t="array" aca="1" ref="Q54" ca="1">INDIRECT("'※ 유통플랫폼 세부데이터'!"&amp;Q$1&amp;$X54, TRUE)</f>
        <v>3419</v>
      </c>
      <c r="R54" s="3650" cm="1">
        <f t="array" aca="1" ref="R54" ca="1">INDIRECT("'※ 유통플랫폼 세부데이터'!"&amp;R$1&amp;$X54, TRUE)</f>
        <v>107</v>
      </c>
      <c r="S54" s="4635" cm="1">
        <f t="array" aca="1" ref="S54" ca="1">INDIRECT("'※ 유통플랫폼 세부데이터'!"&amp;S$1&amp;$X54, TRUE)</f>
        <v>3117</v>
      </c>
      <c r="T54" s="4636" cm="1">
        <f t="array" aca="1" ref="T54" ca="1">INDIRECT("'※ 유통플랫폼 세부데이터'!"&amp;T$1&amp;$X54, TRUE)</f>
        <v>52864</v>
      </c>
      <c r="U54" s="4634" cm="1">
        <f t="array" aca="1" ref="U54" ca="1">INDIRECT("'※ 유통플랫폼 세부데이터'!"&amp;U$1&amp;$X54, TRUE)</f>
        <v>51116</v>
      </c>
      <c r="V54" s="3650" cm="1">
        <f t="array" aca="1" ref="V54" ca="1">INDIRECT("'※ 유통플랫폼 세부데이터'!"&amp;V$1&amp;$X54, TRUE)</f>
        <v>4405.333333333333</v>
      </c>
      <c r="W54" s="4637" cm="1">
        <f t="array" aca="1" ref="W54" ca="1">INDIRECT("'※ 유통플랫폼 세부데이터'!"&amp;W$1&amp;$X54, TRUE)</f>
        <v>3531.333333333333</v>
      </c>
      <c r="X54" s="3769">
        <f>ROW('※ 유통플랫폼 세부데이터'!J51)</f>
        <v>51</v>
      </c>
      <c r="Y54" s="2682"/>
    </row>
    <row r="55" spans="2:25" ht="15" hidden="1" customHeight="1" x14ac:dyDescent="0.55000000000000004">
      <c r="B55" s="7383"/>
      <c r="C55" s="4612"/>
      <c r="D55" s="4631" t="s">
        <v>349</v>
      </c>
      <c r="E55" s="4638"/>
      <c r="F55" s="4639"/>
      <c r="G55" s="4301"/>
      <c r="H55" s="4301"/>
      <c r="I55" s="4640"/>
      <c r="J55" s="4634"/>
      <c r="K55" s="4641"/>
      <c r="L55" s="4641"/>
      <c r="M55" s="4641"/>
      <c r="N55" s="4641"/>
      <c r="O55" s="4641"/>
      <c r="P55" s="4641"/>
      <c r="Q55" s="4641"/>
      <c r="R55" s="4642"/>
      <c r="S55" s="4643"/>
      <c r="T55" s="4644"/>
      <c r="U55" s="4641"/>
      <c r="V55" s="4642"/>
      <c r="W55" s="4645"/>
      <c r="X55" s="3769"/>
      <c r="Y55" s="2682"/>
    </row>
    <row r="56" spans="2:25" ht="15" hidden="1" customHeight="1" x14ac:dyDescent="0.55000000000000004">
      <c r="B56" s="7383"/>
      <c r="C56" s="4612"/>
      <c r="D56" s="4631" t="s">
        <v>350</v>
      </c>
      <c r="E56" s="4638"/>
      <c r="F56" s="4639"/>
      <c r="G56" s="4301"/>
      <c r="H56" s="4301"/>
      <c r="I56" s="4640"/>
      <c r="J56" s="4634"/>
      <c r="K56" s="4641"/>
      <c r="L56" s="4641"/>
      <c r="M56" s="4641"/>
      <c r="N56" s="4641"/>
      <c r="O56" s="4641"/>
      <c r="P56" s="4641"/>
      <c r="Q56" s="4641"/>
      <c r="R56" s="4642"/>
      <c r="S56" s="4643"/>
      <c r="T56" s="4644"/>
      <c r="U56" s="4641"/>
      <c r="V56" s="4642"/>
      <c r="W56" s="4645"/>
      <c r="X56" s="3769"/>
      <c r="Y56" s="2682"/>
    </row>
    <row r="57" spans="2:25" ht="15" hidden="1" customHeight="1" x14ac:dyDescent="0.55000000000000004">
      <c r="B57" s="7383"/>
      <c r="C57" s="4612"/>
      <c r="D57" s="4631" t="s">
        <v>351</v>
      </c>
      <c r="E57" s="4638"/>
      <c r="F57" s="4639"/>
      <c r="G57" s="4301"/>
      <c r="H57" s="4301"/>
      <c r="I57" s="4640"/>
      <c r="J57" s="4634"/>
      <c r="K57" s="4641"/>
      <c r="L57" s="4641"/>
      <c r="M57" s="4641"/>
      <c r="N57" s="4641"/>
      <c r="O57" s="4641"/>
      <c r="P57" s="4641"/>
      <c r="Q57" s="4641"/>
      <c r="R57" s="4642"/>
      <c r="S57" s="4643"/>
      <c r="T57" s="4644"/>
      <c r="U57" s="4641"/>
      <c r="V57" s="4642"/>
      <c r="W57" s="4645"/>
      <c r="X57" s="3769"/>
      <c r="Y57" s="2682"/>
    </row>
    <row r="58" spans="2:25" ht="15" customHeight="1" x14ac:dyDescent="0.55000000000000004">
      <c r="B58" s="7383"/>
      <c r="C58" s="4646" t="s">
        <v>403</v>
      </c>
      <c r="D58" s="4647"/>
      <c r="E58" s="4648" cm="1">
        <f t="array" aca="1" ref="E58" ca="1">INDIRECT("'※ 유통플랫폼 세부데이터'!"&amp;E$1&amp;$X58, TRUE)</f>
        <v>38668</v>
      </c>
      <c r="F58" s="4649" cm="1">
        <f t="array" aca="1" ref="F58" ca="1">INDIRECT("'※ 유통플랫폼 세부데이터'!"&amp;F$1&amp;$X58, TRUE)</f>
        <v>6160</v>
      </c>
      <c r="G58" s="4650" cm="1">
        <f t="array" aca="1" ref="G58" ca="1">INDIRECT("'※ 유통플랫폼 세부데이터'!"&amp;G$1&amp;$X58, TRUE)</f>
        <v>5855</v>
      </c>
      <c r="H58" s="4650" cm="1">
        <f t="array" aca="1" ref="H58" ca="1">INDIRECT("'※ 유통플랫폼 세부데이터'!"&amp;H$1&amp;$X58, TRUE)</f>
        <v>5129</v>
      </c>
      <c r="I58" s="4651" cm="1">
        <f t="array" aca="1" ref="I58" ca="1">INDIRECT("'※ 유통플랫폼 세부데이터'!"&amp;I$1&amp;$X58, TRUE)</f>
        <v>4387</v>
      </c>
      <c r="J58" s="4652" cm="1">
        <f t="array" aca="1" ref="J58" ca="1">INDIRECT("'※ 유통플랫폼 세부데이터'!"&amp;J$1&amp;$X58, TRUE)</f>
        <v>3698</v>
      </c>
      <c r="K58" s="4653" cm="1">
        <f t="array" aca="1" ref="K58" ca="1">INDIRECT("'※ 유통플랫폼 세부데이터'!"&amp;K$1&amp;$X58, TRUE)</f>
        <v>2965</v>
      </c>
      <c r="L58" s="4653" cm="1">
        <f t="array" aca="1" ref="L58" ca="1">INDIRECT("'※ 유통플랫폼 세부데이터'!"&amp;L$1&amp;$X58, TRUE)</f>
        <v>2221</v>
      </c>
      <c r="M58" s="4653" cm="1">
        <f t="array" aca="1" ref="M58" ca="1">INDIRECT("'※ 유통플랫폼 세부데이터'!"&amp;M$1&amp;$X58, TRUE)</f>
        <v>2771</v>
      </c>
      <c r="N58" s="4653" cm="1">
        <f t="array" aca="1" ref="N58" ca="1">INDIRECT("'※ 유통플랫폼 세부데이터'!"&amp;N$1&amp;$X58, TRUE)</f>
        <v>1661</v>
      </c>
      <c r="O58" s="4653" cm="1">
        <f t="array" aca="1" ref="O58" ca="1">INDIRECT("'※ 유통플랫폼 세부데이터'!"&amp;O$1&amp;$X58, TRUE)</f>
        <v>1000</v>
      </c>
      <c r="P58" s="4653" cm="1">
        <f t="array" aca="1" ref="P58" ca="1">INDIRECT("'※ 유통플랫폼 세부데이터'!"&amp;P$1&amp;$X58, TRUE)</f>
        <v>703</v>
      </c>
      <c r="Q58" s="4653" cm="1">
        <f t="array" aca="1" ref="Q58" ca="1">INDIRECT("'※ 유통플랫폼 세부데이터'!"&amp;Q$1&amp;$X58, TRUE)</f>
        <v>567</v>
      </c>
      <c r="R58" s="4654" cm="1">
        <f t="array" aca="1" ref="R58" ca="1">INDIRECT("'※ 유통플랫폼 세부데이터'!"&amp;R$1&amp;$X58, TRUE)</f>
        <v>-136</v>
      </c>
      <c r="S58" s="4655"/>
      <c r="T58" s="4656" cm="1">
        <f t="array" aca="1" ref="T58" ca="1">INDIRECT("'※ 유통플랫폼 세부데이터'!"&amp;T$1&amp;$X58, TRUE)</f>
        <v>37117</v>
      </c>
      <c r="U58" s="4657"/>
      <c r="V58" s="4658" cm="1">
        <f t="array" aca="1" ref="V58" ca="1">INDIRECT("'※ 유통플랫폼 세부데이터'!"&amp;V$1&amp;$X58, TRUE)</f>
        <v>3093.0833333333335</v>
      </c>
      <c r="W58" s="4659"/>
      <c r="X58" s="3769">
        <f>ROW('※ 유통플랫폼 세부데이터'!J55)</f>
        <v>55</v>
      </c>
      <c r="Y58" s="2682"/>
    </row>
    <row r="59" spans="2:25" ht="15" customHeight="1" x14ac:dyDescent="0.55000000000000004">
      <c r="B59" s="7383"/>
      <c r="C59" s="4660" t="s">
        <v>1210</v>
      </c>
      <c r="D59" s="4661"/>
      <c r="E59" s="4662" cm="1">
        <f t="array" aca="1" ref="E59" ca="1">INDIRECT("'※ 유통플랫폼 세부데이터'!"&amp;E$1&amp;$X59, TRUE)</f>
        <v>5079921.5636363635</v>
      </c>
      <c r="F59" s="4663" cm="1">
        <f t="array" aca="1" ref="F59" ca="1">INDIRECT("'※ 유통플랫폼 세부데이터'!"&amp;F$1&amp;$X59, TRUE)</f>
        <v>1145730.3700000001</v>
      </c>
      <c r="G59" s="4664" cm="1">
        <f t="array" aca="1" ref="G59" ca="1">INDIRECT("'※ 유통플랫폼 세부데이터'!"&amp;G$1&amp;$X59, TRUE)</f>
        <v>1076407</v>
      </c>
      <c r="H59" s="4664" cm="1">
        <f t="array" aca="1" ref="H59" ca="1">INDIRECT("'※ 유통플랫폼 세부데이터'!"&amp;H$1&amp;$X59, TRUE)</f>
        <v>747947.68</v>
      </c>
      <c r="I59" s="4665" cm="1">
        <f t="array" aca="1" ref="I59" ca="1">INDIRECT("'※ 유통플랫폼 세부데이터'!"&amp;I$1&amp;$X59, TRUE)</f>
        <v>459187</v>
      </c>
      <c r="J59" s="4666" cm="1">
        <f t="array" aca="1" ref="J59" ca="1">INDIRECT("'※ 유통플랫폼 세부데이터'!"&amp;J$1&amp;$X59, TRUE)</f>
        <v>396699.97000000003</v>
      </c>
      <c r="K59" s="4667" cm="1">
        <f t="array" aca="1" ref="K59" ca="1">INDIRECT("'※ 유통플랫폼 세부데이터'!"&amp;K$1&amp;$X59, TRUE)</f>
        <v>395894.96</v>
      </c>
      <c r="L59" s="4667" cm="1">
        <f t="array" aca="1" ref="L59" ca="1">INDIRECT("'※ 유통플랫폼 세부데이터'!"&amp;L$1&amp;$X59, TRUE)</f>
        <v>43905.19</v>
      </c>
      <c r="M59" s="4667" cm="1">
        <f t="array" aca="1" ref="M59" ca="1">INDIRECT("'※ 유통플랫폼 세부데이터'!"&amp;M$1&amp;$X59, TRUE)</f>
        <v>49380.3</v>
      </c>
      <c r="N59" s="4667" cm="1">
        <f t="array" aca="1" ref="N59" ca="1">INDIRECT("'※ 유통플랫폼 세부데이터'!"&amp;N$1&amp;$X59, TRUE)</f>
        <v>34157</v>
      </c>
      <c r="O59" s="4667" cm="1">
        <f t="array" aca="1" ref="O59" ca="1">INDIRECT("'※ 유통플랫폼 세부데이터'!"&amp;O$1&amp;$X59, TRUE)</f>
        <v>26261</v>
      </c>
      <c r="P59" s="4667" cm="1">
        <f t="array" aca="1" ref="P59" ca="1">INDIRECT("'※ 유통플랫폼 세부데이터'!"&amp;P$1&amp;$X59, TRUE)</f>
        <v>25723</v>
      </c>
      <c r="Q59" s="4667" cm="1">
        <f t="array" aca="1" ref="Q59" ca="1">INDIRECT("'※ 유통플랫폼 세부데이터'!"&amp;Q$1&amp;$X59, TRUE)</f>
        <v>17967</v>
      </c>
      <c r="R59" s="4668" cm="1">
        <f t="array" aca="1" ref="R59" ca="1">INDIRECT("'※ 유통플랫폼 세부데이터'!"&amp;R$1&amp;$X59, TRUE)</f>
        <v>-7756</v>
      </c>
      <c r="S59" s="4669"/>
      <c r="T59" s="4670" cm="1">
        <f t="array" aca="1" ref="T59" ca="1">INDIRECT("'※ 유통플랫폼 세부데이터'!"&amp;T$1&amp;$X59, TRUE)</f>
        <v>4419260.4700000007</v>
      </c>
      <c r="U59" s="4671"/>
      <c r="V59" s="4672" cm="1">
        <f t="array" aca="1" ref="V59" ca="1">INDIRECT("'※ 유통플랫폼 세부데이터'!"&amp;V$1&amp;$X59, TRUE)</f>
        <v>368271.70583333337</v>
      </c>
      <c r="W59" s="4673"/>
      <c r="X59" s="3769">
        <f>ROW('※ 유통플랫폼 세부데이터'!J56)</f>
        <v>56</v>
      </c>
      <c r="Y59" s="2682"/>
    </row>
    <row r="60" spans="2:25" ht="15" customHeight="1" x14ac:dyDescent="0.55000000000000004">
      <c r="B60" s="7383"/>
      <c r="C60" s="4660"/>
      <c r="D60" s="4674" t="s">
        <v>106</v>
      </c>
      <c r="E60" s="4675" cm="1">
        <f t="array" aca="1" ref="E60" ca="1">INDIRECT("'※ 유통플랫폼 세부데이터'!"&amp;E$1&amp;$X60, TRUE)</f>
        <v>91636.363636363632</v>
      </c>
      <c r="F60" s="4676" cm="1">
        <f t="array" aca="1" ref="F60" ca="1">INDIRECT("'※ 유통플랫폼 세부데이터'!"&amp;F$1&amp;$X60, TRUE)</f>
        <v>0</v>
      </c>
      <c r="G60" s="4677" cm="1">
        <f t="array" aca="1" ref="G60" ca="1">INDIRECT("'※ 유통플랫폼 세부데이터'!"&amp;G$1&amp;$X60, TRUE)</f>
        <v>0</v>
      </c>
      <c r="H60" s="4677" cm="1">
        <f t="array" aca="1" ref="H60" ca="1">INDIRECT("'※ 유통플랫폼 세부데이터'!"&amp;H$1&amp;$X60, TRUE)</f>
        <v>0</v>
      </c>
      <c r="I60" s="4678" cm="1">
        <f t="array" aca="1" ref="I60" ca="1">INDIRECT("'※ 유통플랫폼 세부데이터'!"&amp;I$1&amp;$X60, TRUE)</f>
        <v>0</v>
      </c>
      <c r="J60" s="4634" cm="1">
        <f t="array" aca="1" ref="J60" ca="1">INDIRECT("'※ 유통플랫폼 세부데이터'!"&amp;J$1&amp;$X60, TRUE)</f>
        <v>0</v>
      </c>
      <c r="K60" s="4679" cm="1">
        <f t="array" aca="1" ref="K60" ca="1">INDIRECT("'※ 유통플랫폼 세부데이터'!"&amp;K$1&amp;$X60, TRUE)</f>
        <v>0</v>
      </c>
      <c r="L60" s="4679" cm="1">
        <f t="array" aca="1" ref="L60" ca="1">INDIRECT("'※ 유통플랫폼 세부데이터'!"&amp;L$1&amp;$X60, TRUE)</f>
        <v>0</v>
      </c>
      <c r="M60" s="4679" cm="1">
        <f t="array" aca="1" ref="M60" ca="1">INDIRECT("'※ 유통플랫폼 세부데이터'!"&amp;M$1&amp;$X60, TRUE)</f>
        <v>0</v>
      </c>
      <c r="N60" s="4679" cm="1">
        <f t="array" aca="1" ref="N60" ca="1">INDIRECT("'※ 유통플랫폼 세부데이터'!"&amp;N$1&amp;$X60, TRUE)</f>
        <v>0</v>
      </c>
      <c r="O60" s="4679" cm="1">
        <f t="array" aca="1" ref="O60" ca="1">INDIRECT("'※ 유통플랫폼 세부데이터'!"&amp;O$1&amp;$X60, TRUE)</f>
        <v>0</v>
      </c>
      <c r="P60" s="4679" cm="1">
        <f t="array" aca="1" ref="P60" ca="1">INDIRECT("'※ 유통플랫폼 세부데이터'!"&amp;P$1&amp;$X60, TRUE)</f>
        <v>0</v>
      </c>
      <c r="Q60" s="4679" cm="1">
        <f t="array" aca="1" ref="Q60" ca="1">INDIRECT("'※ 유통플랫폼 세부데이터'!"&amp;Q$1&amp;$X60, TRUE)</f>
        <v>0</v>
      </c>
      <c r="R60" s="4680" cm="1">
        <f t="array" aca="1" ref="R60" ca="1">INDIRECT("'※ 유통플랫폼 세부데이터'!"&amp;R$1&amp;$X60, TRUE)</f>
        <v>0</v>
      </c>
      <c r="S60" s="4669"/>
      <c r="T60" s="4681" cm="1">
        <f t="array" aca="1" ref="T60" ca="1">INDIRECT("'※ 유통플랫폼 세부데이터'!"&amp;T$1&amp;$X60, TRUE)</f>
        <v>0</v>
      </c>
      <c r="U60" s="4671"/>
      <c r="V60" s="4682" cm="1">
        <f t="array" aca="1" ref="V60" ca="1">INDIRECT("'※ 유통플랫폼 세부데이터'!"&amp;V$1&amp;$X60, TRUE)</f>
        <v>0</v>
      </c>
      <c r="W60" s="4673"/>
      <c r="X60" s="3769">
        <f>ROW('※ 유통플랫폼 세부데이터'!J57)</f>
        <v>57</v>
      </c>
      <c r="Y60" s="2682"/>
    </row>
    <row r="61" spans="2:25" ht="15" customHeight="1" x14ac:dyDescent="0.55000000000000004">
      <c r="B61" s="7382"/>
      <c r="C61" s="4683"/>
      <c r="D61" s="4684" t="s">
        <v>680</v>
      </c>
      <c r="E61" s="4675" cm="1">
        <f t="array" aca="1" ref="E61" ca="1">INDIRECT("'※ 유통플랫폼 세부데이터'!"&amp;E$1&amp;$X61, TRUE)</f>
        <v>2958554.5454545454</v>
      </c>
      <c r="F61" s="4676" cm="1">
        <f t="array" aca="1" ref="F61" ca="1">INDIRECT("'※ 유통플랫폼 세부데이터'!"&amp;F$1&amp;$X61, TRUE)</f>
        <v>559160</v>
      </c>
      <c r="G61" s="4677" cm="1">
        <f t="array" aca="1" ref="G61" ca="1">INDIRECT("'※ 유통플랫폼 세부데이터'!"&amp;G$1&amp;$X61, TRUE)</f>
        <v>498940</v>
      </c>
      <c r="H61" s="4677" cm="1">
        <f t="array" aca="1" ref="H61" ca="1">INDIRECT("'※ 유통플랫폼 세부데이터'!"&amp;H$1&amp;$X61, TRUE)</f>
        <v>348310</v>
      </c>
      <c r="I61" s="4678" cm="1">
        <f t="array" aca="1" ref="I61" ca="1">INDIRECT("'※ 유통플랫폼 세부데이터'!"&amp;I$1&amp;$X61, TRUE)</f>
        <v>224850</v>
      </c>
      <c r="J61" s="4634" cm="1">
        <f t="array" aca="1" ref="J61" ca="1">INDIRECT("'※ 유통플랫폼 세부데이터'!"&amp;J$1&amp;$X61, TRUE)</f>
        <v>216110</v>
      </c>
      <c r="K61" s="4679" cm="1">
        <f t="array" aca="1" ref="K61" ca="1">INDIRECT("'※ 유통플랫폼 세부데이터'!"&amp;K$1&amp;$X61, TRUE)</f>
        <v>217040</v>
      </c>
      <c r="L61" s="4679" cm="1">
        <f t="array" aca="1" ref="L61" ca="1">INDIRECT("'※ 유통플랫폼 세부데이터'!"&amp;L$1&amp;$X61, TRUE)</f>
        <v>0</v>
      </c>
      <c r="M61" s="4679" cm="1">
        <f t="array" aca="1" ref="M61" ca="1">INDIRECT("'※ 유통플랫폼 세부데이터'!"&amp;M$1&amp;$X61, TRUE)</f>
        <v>0</v>
      </c>
      <c r="N61" s="4679" cm="1">
        <f t="array" aca="1" ref="N61" ca="1">INDIRECT("'※ 유통플랫폼 세부데이터'!"&amp;N$1&amp;$X61, TRUE)</f>
        <v>0</v>
      </c>
      <c r="O61" s="4679" cm="1">
        <f t="array" aca="1" ref="O61" ca="1">INDIRECT("'※ 유통플랫폼 세부데이터'!"&amp;O$1&amp;$X61, TRUE)</f>
        <v>0</v>
      </c>
      <c r="P61" s="4679" cm="1">
        <f t="array" aca="1" ref="P61" ca="1">INDIRECT("'※ 유통플랫폼 세부데이터'!"&amp;P$1&amp;$X61, TRUE)</f>
        <v>0</v>
      </c>
      <c r="Q61" s="4679" cm="1">
        <f t="array" aca="1" ref="Q61" ca="1">INDIRECT("'※ 유통플랫폼 세부데이터'!"&amp;Q$1&amp;$X61, TRUE)</f>
        <v>0</v>
      </c>
      <c r="R61" s="4680" cm="1">
        <f t="array" aca="1" ref="R61" ca="1">INDIRECT("'※ 유통플랫폼 세부데이터'!"&amp;R$1&amp;$X61, TRUE)</f>
        <v>0</v>
      </c>
      <c r="S61" s="4669"/>
      <c r="T61" s="4681" cm="1">
        <f t="array" aca="1" ref="T61" ca="1">INDIRECT("'※ 유통플랫폼 세부데이터'!"&amp;T$1&amp;$X61, TRUE)</f>
        <v>2064410</v>
      </c>
      <c r="U61" s="4671"/>
      <c r="V61" s="4682" cm="1">
        <f t="array" aca="1" ref="V61" ca="1">INDIRECT("'※ 유통플랫폼 세부데이터'!"&amp;V$1&amp;$X61, TRUE)</f>
        <v>172034.16666666666</v>
      </c>
      <c r="W61" s="4673"/>
      <c r="X61" s="3693">
        <f>ROW('※ 유통플랫폼 세부데이터'!J58)</f>
        <v>58</v>
      </c>
    </row>
    <row r="62" spans="2:25" ht="15" customHeight="1" x14ac:dyDescent="0.55000000000000004">
      <c r="B62" s="7383"/>
      <c r="C62" s="4660"/>
      <c r="D62" s="4674" t="s">
        <v>681</v>
      </c>
      <c r="E62" s="4675" cm="1">
        <f t="array" aca="1" ref="E62" ca="1">INDIRECT("'※ 유통플랫폼 세부데이터'!"&amp;E$1&amp;$X62, TRUE)</f>
        <v>356790</v>
      </c>
      <c r="F62" s="4676" cm="1">
        <f t="array" aca="1" ref="F62" ca="1">INDIRECT("'※ 유통플랫폼 세부데이터'!"&amp;F$1&amp;$X62, TRUE)</f>
        <v>119735</v>
      </c>
      <c r="G62" s="4677" cm="1">
        <f t="array" aca="1" ref="G62" ca="1">INDIRECT("'※ 유통플랫폼 세부데이터'!"&amp;G$1&amp;$X62, TRUE)</f>
        <v>73612</v>
      </c>
      <c r="H62" s="4677" cm="1">
        <f t="array" aca="1" ref="H62" ca="1">INDIRECT("'※ 유통플랫폼 세부데이터'!"&amp;H$1&amp;$X62, TRUE)</f>
        <v>67760</v>
      </c>
      <c r="I62" s="4678" cm="1">
        <f t="array" aca="1" ref="I62" ca="1">INDIRECT("'※ 유통플랫폼 세부데이터'!"&amp;I$1&amp;$X62, TRUE)</f>
        <v>39963</v>
      </c>
      <c r="J62" s="4634" cm="1">
        <f t="array" aca="1" ref="J62" ca="1">INDIRECT("'※ 유통플랫폼 세부데이터'!"&amp;J$1&amp;$X62, TRUE)</f>
        <v>62909</v>
      </c>
      <c r="K62" s="4679" cm="1">
        <f t="array" aca="1" ref="K62" ca="1">INDIRECT("'※ 유통플랫폼 세부데이터'!"&amp;K$1&amp;$X62, TRUE)</f>
        <v>19019</v>
      </c>
      <c r="L62" s="4679" cm="1">
        <f t="array" aca="1" ref="L62" ca="1">INDIRECT("'※ 유통플랫폼 세부데이터'!"&amp;L$1&amp;$X62, TRUE)</f>
        <v>20790</v>
      </c>
      <c r="M62" s="4679" cm="1">
        <f t="array" aca="1" ref="M62" ca="1">INDIRECT("'※ 유통플랫폼 세부데이터'!"&amp;M$1&amp;$X62, TRUE)</f>
        <v>16016</v>
      </c>
      <c r="N62" s="4679" cm="1">
        <f t="array" aca="1" ref="N62" ca="1">INDIRECT("'※ 유통플랫폼 세부데이터'!"&amp;N$1&amp;$X62, TRUE)</f>
        <v>13244</v>
      </c>
      <c r="O62" s="4679" cm="1">
        <f t="array" aca="1" ref="O62" ca="1">INDIRECT("'※ 유통플랫폼 세부데이터'!"&amp;O$1&amp;$X62, TRUE)</f>
        <v>12705</v>
      </c>
      <c r="P62" s="4679" cm="1">
        <f t="array" aca="1" ref="P62" ca="1">INDIRECT("'※ 유통플랫폼 세부데이터'!"&amp;P$1&amp;$X62, TRUE)</f>
        <v>13629</v>
      </c>
      <c r="Q62" s="4679" cm="1">
        <f t="array" aca="1" ref="Q62" ca="1">INDIRECT("'※ 유통플랫폼 세부데이터'!"&amp;Q$1&amp;$X62, TRUE)</f>
        <v>6545</v>
      </c>
      <c r="R62" s="4680" cm="1">
        <f t="array" aca="1" ref="R62" ca="1">INDIRECT("'※ 유통플랫폼 세부데이터'!"&amp;R$1&amp;$X62, TRUE)</f>
        <v>-7084</v>
      </c>
      <c r="S62" s="4669"/>
      <c r="T62" s="4681" cm="1">
        <f t="array" aca="1" ref="T62" ca="1">INDIRECT("'※ 유통플랫폼 세부데이터'!"&amp;T$1&amp;$X62, TRUE)</f>
        <v>465927</v>
      </c>
      <c r="U62" s="4671"/>
      <c r="V62" s="4682" cm="1">
        <f t="array" aca="1" ref="V62" ca="1">INDIRECT("'※ 유통플랫폼 세부데이터'!"&amp;V$1&amp;$X62, TRUE)</f>
        <v>38827.25</v>
      </c>
      <c r="W62" s="4673"/>
      <c r="X62" s="3769">
        <f>ROW('※ 유통플랫폼 세부데이터'!J59)</f>
        <v>59</v>
      </c>
      <c r="Y62" s="2682"/>
    </row>
    <row r="63" spans="2:25" ht="15" customHeight="1" x14ac:dyDescent="0.55000000000000004">
      <c r="B63" s="7383"/>
      <c r="C63" s="4660"/>
      <c r="D63" s="4674" t="s">
        <v>723</v>
      </c>
      <c r="E63" s="4675" cm="1">
        <f t="array" aca="1" ref="E63" ca="1">INDIRECT("'※ 유통플랫폼 세부데이터'!"&amp;E$1&amp;$X63, TRUE)</f>
        <v>601351.18181818177</v>
      </c>
      <c r="F63" s="4676" cm="1">
        <f t="array" aca="1" ref="F63" ca="1">INDIRECT("'※ 유통플랫폼 세부데이터'!"&amp;F$1&amp;$X63, TRUE)</f>
        <v>194185</v>
      </c>
      <c r="G63" s="4677" cm="1">
        <f t="array" aca="1" ref="G63" ca="1">INDIRECT("'※ 유통플랫폼 세부데이터'!"&amp;G$1&amp;$X63, TRUE)</f>
        <v>209296</v>
      </c>
      <c r="H63" s="4677" cm="1">
        <f t="array" aca="1" ref="H63" ca="1">INDIRECT("'※ 유통플랫폼 세부데이터'!"&amp;H$1&amp;$X63, TRUE)</f>
        <v>110981</v>
      </c>
      <c r="I63" s="4678" cm="1">
        <f t="array" aca="1" ref="I63" ca="1">INDIRECT("'※ 유통플랫폼 세부데이터'!"&amp;I$1&amp;$X63, TRUE)</f>
        <v>50303</v>
      </c>
      <c r="J63" s="4634" cm="1">
        <f t="array" aca="1" ref="J63" ca="1">INDIRECT("'※ 유통플랫폼 세부데이터'!"&amp;J$1&amp;$X63, TRUE)</f>
        <v>24058</v>
      </c>
      <c r="K63" s="4679" cm="1">
        <f t="array" aca="1" ref="K63" ca="1">INDIRECT("'※ 유통플랫폼 세부데이터'!"&amp;K$1&amp;$X63, TRUE)</f>
        <v>55782</v>
      </c>
      <c r="L63" s="4679" cm="1">
        <f t="array" aca="1" ref="L63" ca="1">INDIRECT("'※ 유통플랫폼 세부데이터'!"&amp;L$1&amp;$X63, TRUE)</f>
        <v>0</v>
      </c>
      <c r="M63" s="4679" cm="1">
        <f t="array" aca="1" ref="M63" ca="1">INDIRECT("'※ 유통플랫폼 세부데이터'!"&amp;M$1&amp;$X63, TRUE)</f>
        <v>0</v>
      </c>
      <c r="N63" s="4679" cm="1">
        <f t="array" aca="1" ref="N63" ca="1">INDIRECT("'※ 유통플랫폼 세부데이터'!"&amp;N$1&amp;$X63, TRUE)</f>
        <v>0</v>
      </c>
      <c r="O63" s="4679" cm="1">
        <f t="array" aca="1" ref="O63" ca="1">INDIRECT("'※ 유통플랫폼 세부데이터'!"&amp;O$1&amp;$X63, TRUE)</f>
        <v>0</v>
      </c>
      <c r="P63" s="4679" cm="1">
        <f t="array" aca="1" ref="P63" ca="1">INDIRECT("'※ 유통플랫폼 세부데이터'!"&amp;P$1&amp;$X63, TRUE)</f>
        <v>0</v>
      </c>
      <c r="Q63" s="4679" cm="1">
        <f t="array" aca="1" ref="Q63" ca="1">INDIRECT("'※ 유통플랫폼 세부데이터'!"&amp;Q$1&amp;$X63, TRUE)</f>
        <v>0</v>
      </c>
      <c r="R63" s="4680" cm="1">
        <f t="array" aca="1" ref="R63" ca="1">INDIRECT("'※ 유통플랫폼 세부데이터'!"&amp;R$1&amp;$X63, TRUE)</f>
        <v>0</v>
      </c>
      <c r="S63" s="4669"/>
      <c r="T63" s="4681" cm="1">
        <f t="array" aca="1" ref="T63" ca="1">INDIRECT("'※ 유통플랫폼 세부데이터'!"&amp;T$1&amp;$X63, TRUE)</f>
        <v>644605</v>
      </c>
      <c r="U63" s="4671"/>
      <c r="V63" s="4682" cm="1">
        <f t="array" aca="1" ref="V63" ca="1">INDIRECT("'※ 유통플랫폼 세부데이터'!"&amp;V$1&amp;$X63, TRUE)</f>
        <v>53717.083333333336</v>
      </c>
      <c r="W63" s="4673"/>
      <c r="X63" s="3769">
        <f>ROW('※ 유통플랫폼 세부데이터'!J60)</f>
        <v>60</v>
      </c>
      <c r="Y63" s="2682"/>
    </row>
    <row r="64" spans="2:25" ht="15" customHeight="1" x14ac:dyDescent="0.55000000000000004">
      <c r="B64" s="7383"/>
      <c r="C64" s="4660"/>
      <c r="D64" s="4674" t="s">
        <v>724</v>
      </c>
      <c r="E64" s="4675" cm="1">
        <f t="array" aca="1" ref="E64" ca="1">INDIRECT("'※ 유통플랫폼 세부데이터'!"&amp;E$1&amp;$X64, TRUE)</f>
        <v>516085.7818181818</v>
      </c>
      <c r="F64" s="4676" cm="1">
        <f t="array" aca="1" ref="F64" ca="1">INDIRECT("'※ 유통플랫폼 세부데이터'!"&amp;F$1&amp;$X64, TRUE)</f>
        <v>135811.13</v>
      </c>
      <c r="G64" s="4677" cm="1">
        <f t="array" aca="1" ref="G64" ca="1">INDIRECT("'※ 유통플랫폼 세부데이터'!"&amp;G$1&amp;$X64, TRUE)</f>
        <v>159039.69</v>
      </c>
      <c r="H64" s="4677" cm="1">
        <f t="array" aca="1" ref="H64" ca="1">INDIRECT("'※ 유통플랫폼 세부데이터'!"&amp;H$1&amp;$X64, TRUE)</f>
        <v>118427.5</v>
      </c>
      <c r="I64" s="4678" cm="1">
        <f t="array" aca="1" ref="I64" ca="1">INDIRECT("'※ 유통플랫폼 세부데이터'!"&amp;I$1&amp;$X64, TRUE)</f>
        <v>75555.67</v>
      </c>
      <c r="J64" s="4634" cm="1">
        <f t="array" aca="1" ref="J64" ca="1">INDIRECT("'※ 유통플랫폼 세부데이터'!"&amp;J$1&amp;$X64, TRUE)</f>
        <v>48560.69</v>
      </c>
      <c r="K64" s="4679" cm="1">
        <f t="array" aca="1" ref="K64" ca="1">INDIRECT("'※ 유통플랫폼 세부데이터'!"&amp;K$1&amp;$X64, TRUE)</f>
        <v>55557.08</v>
      </c>
      <c r="L64" s="4679" cm="1">
        <f t="array" aca="1" ref="L64" ca="1">INDIRECT("'※ 유통플랫폼 세부데이터'!"&amp;L$1&amp;$X64, TRUE)</f>
        <v>2223</v>
      </c>
      <c r="M64" s="4679" cm="1">
        <f t="array" aca="1" ref="M64" ca="1">INDIRECT("'※ 유통플랫폼 세부데이터'!"&amp;M$1&amp;$X64, TRUE)</f>
        <v>156</v>
      </c>
      <c r="N64" s="4679" cm="1">
        <f t="array" aca="1" ref="N64" ca="1">INDIRECT("'※ 유통플랫폼 세부데이터'!"&amp;N$1&amp;$X64, TRUE)</f>
        <v>0</v>
      </c>
      <c r="O64" s="4679" cm="1">
        <f t="array" aca="1" ref="O64" ca="1">INDIRECT("'※ 유통플랫폼 세부데이터'!"&amp;O$1&amp;$X64, TRUE)</f>
        <v>0</v>
      </c>
      <c r="P64" s="4679" cm="1">
        <f t="array" aca="1" ref="P64" ca="1">INDIRECT("'※ 유통플랫폼 세부데이터'!"&amp;P$1&amp;$X64, TRUE)</f>
        <v>0</v>
      </c>
      <c r="Q64" s="4679" cm="1">
        <f t="array" aca="1" ref="Q64" ca="1">INDIRECT("'※ 유통플랫폼 세부데이터'!"&amp;Q$1&amp;$X64, TRUE)</f>
        <v>0</v>
      </c>
      <c r="R64" s="4680" cm="1">
        <f t="array" aca="1" ref="R64" ca="1">INDIRECT("'※ 유통플랫폼 세부데이터'!"&amp;R$1&amp;$X64, TRUE)</f>
        <v>0</v>
      </c>
      <c r="S64" s="4669"/>
      <c r="T64" s="4681" cm="1">
        <f t="array" aca="1" ref="T64" ca="1">INDIRECT("'※ 유통플랫폼 세부데이터'!"&amp;T$1&amp;$X64, TRUE)</f>
        <v>595330.75999999989</v>
      </c>
      <c r="U64" s="4671"/>
      <c r="V64" s="4682" cm="1">
        <f t="array" aca="1" ref="V64" ca="1">INDIRECT("'※ 유통플랫폼 세부데이터'!"&amp;V$1&amp;$X64, TRUE)</f>
        <v>49610.89666666666</v>
      </c>
      <c r="W64" s="4673"/>
      <c r="X64" s="3769">
        <f>ROW('※ 유통플랫폼 세부데이터'!J61)</f>
        <v>61</v>
      </c>
      <c r="Y64" s="2682"/>
    </row>
    <row r="65" spans="2:25" ht="15" customHeight="1" x14ac:dyDescent="0.55000000000000004">
      <c r="B65" s="7383"/>
      <c r="C65" s="4660"/>
      <c r="D65" s="4674" t="s">
        <v>725</v>
      </c>
      <c r="E65" s="4685" cm="1">
        <f t="array" aca="1" ref="E65" ca="1">INDIRECT("'※ 유통플랫폼 세부데이터'!"&amp;E$1&amp;$X65, TRUE)</f>
        <v>222845.23636363636</v>
      </c>
      <c r="F65" s="4677" cm="1">
        <f t="array" aca="1" ref="F65" ca="1">INDIRECT("'※ 유통플랫폼 세부데이터'!"&amp;F$1&amp;$X65, TRUE)</f>
        <v>46249.34</v>
      </c>
      <c r="G65" s="4677" cm="1">
        <f t="array" aca="1" ref="G65" ca="1">INDIRECT("'※ 유통플랫폼 세부데이터'!"&amp;G$1&amp;$X65, TRUE)</f>
        <v>55970.07</v>
      </c>
      <c r="H65" s="4677" cm="1">
        <f t="array" aca="1" ref="H65" ca="1">INDIRECT("'※ 유통플랫폼 세부데이터'!"&amp;H$1&amp;$X65, TRUE)</f>
        <v>30343.53</v>
      </c>
      <c r="I65" s="4678" cm="1">
        <f t="array" aca="1" ref="I65" ca="1">INDIRECT("'※ 유통플랫폼 세부데이터'!"&amp;I$1&amp;$X65, TRUE)</f>
        <v>18656.36</v>
      </c>
      <c r="J65" s="4634" cm="1">
        <f t="array" aca="1" ref="J65" ca="1">INDIRECT("'※ 유통플랫폼 세부데이터'!"&amp;J$1&amp;$X65, TRUE)</f>
        <v>13120.63</v>
      </c>
      <c r="K65" s="4679" cm="1">
        <f t="array" aca="1" ref="K65" ca="1">INDIRECT("'※ 유통플랫폼 세부데이터'!"&amp;K$1&amp;$X65, TRUE)</f>
        <v>15524.48</v>
      </c>
      <c r="L65" s="4679" cm="1">
        <f t="array" aca="1" ref="L65" ca="1">INDIRECT("'※ 유통플랫폼 세부데이터'!"&amp;L$1&amp;$X65, TRUE)</f>
        <v>0</v>
      </c>
      <c r="M65" s="4679" cm="1">
        <f t="array" aca="1" ref="M65" ca="1">INDIRECT("'※ 유통플랫폼 세부데이터'!"&amp;M$1&amp;$X65, TRUE)</f>
        <v>0</v>
      </c>
      <c r="N65" s="4679" cm="1">
        <f t="array" aca="1" ref="N65" ca="1">INDIRECT("'※ 유통플랫폼 세부데이터'!"&amp;N$1&amp;$X65, TRUE)</f>
        <v>0</v>
      </c>
      <c r="O65" s="4679" cm="1">
        <f t="array" aca="1" ref="O65" ca="1">INDIRECT("'※ 유통플랫폼 세부데이터'!"&amp;O$1&amp;$X65, TRUE)</f>
        <v>0</v>
      </c>
      <c r="P65" s="4679" cm="1">
        <f t="array" aca="1" ref="P65" ca="1">INDIRECT("'※ 유통플랫폼 세부데이터'!"&amp;P$1&amp;$X65, TRUE)</f>
        <v>0</v>
      </c>
      <c r="Q65" s="4679" cm="1">
        <f t="array" aca="1" ref="Q65" ca="1">INDIRECT("'※ 유통플랫폼 세부데이터'!"&amp;Q$1&amp;$X65, TRUE)</f>
        <v>0</v>
      </c>
      <c r="R65" s="4680" cm="1">
        <f t="array" aca="1" ref="R65" ca="1">INDIRECT("'※ 유통플랫폼 세부데이터'!"&amp;R$1&amp;$X65, TRUE)</f>
        <v>0</v>
      </c>
      <c r="S65" s="4669"/>
      <c r="T65" s="4681" cm="1">
        <f t="array" aca="1" ref="T65" ca="1">INDIRECT("'※ 유통플랫폼 세부데이터'!"&amp;T$1&amp;$X65, TRUE)</f>
        <v>179864.41</v>
      </c>
      <c r="U65" s="4671"/>
      <c r="V65" s="4682" cm="1">
        <f t="array" aca="1" ref="V65" ca="1">INDIRECT("'※ 유통플랫폼 세부데이터'!"&amp;V$1&amp;$X65, TRUE)</f>
        <v>14988.700833333334</v>
      </c>
      <c r="W65" s="4673"/>
      <c r="X65" s="3769">
        <f>ROW('※ 유통플랫폼 세부데이터'!J62)</f>
        <v>62</v>
      </c>
      <c r="Y65" s="2682"/>
    </row>
    <row r="66" spans="2:25" ht="15" customHeight="1" x14ac:dyDescent="0.55000000000000004">
      <c r="B66" s="7383"/>
      <c r="C66" s="4660"/>
      <c r="D66" s="4674" t="s">
        <v>682</v>
      </c>
      <c r="E66" s="4685" cm="1">
        <f t="array" aca="1" ref="E66" ca="1">INDIRECT("'※ 유통플랫폼 세부데이터'!"&amp;E$1&amp;$X66, TRUE)</f>
        <v>94504.090909090897</v>
      </c>
      <c r="F66" s="4677" cm="1">
        <f t="array" aca="1" ref="F66" ca="1">INDIRECT("'※ 유통플랫폼 세부데이터'!"&amp;F$1&amp;$X66, TRUE)</f>
        <v>13259</v>
      </c>
      <c r="G66" s="4677" cm="1">
        <f t="array" aca="1" ref="G66" ca="1">INDIRECT("'※ 유통플랫폼 세부데이터'!"&amp;G$1&amp;$X66, TRUE)</f>
        <v>6349</v>
      </c>
      <c r="H66" s="4677" cm="1">
        <f t="array" aca="1" ref="H66" ca="1">INDIRECT("'※ 유통플랫폼 세부데이터'!"&amp;H$1&amp;$X66, TRUE)</f>
        <v>3535.5</v>
      </c>
      <c r="I66" s="4678" cm="1">
        <f t="array" aca="1" ref="I66" ca="1">INDIRECT("'※ 유통플랫폼 세부데이터'!"&amp;I$1&amp;$X66, TRUE)</f>
        <v>2147.5</v>
      </c>
      <c r="J66" s="4634" cm="1">
        <f t="array" aca="1" ref="J66" ca="1">INDIRECT("'※ 유통플랫폼 세부데이터'!"&amp;J$1&amp;$X66, TRUE)</f>
        <v>4219.5</v>
      </c>
      <c r="K66" s="4679" cm="1">
        <f t="array" aca="1" ref="K66" ca="1">INDIRECT("'※ 유통플랫폼 세부데이터'!"&amp;K$1&amp;$X66, TRUE)</f>
        <v>5468</v>
      </c>
      <c r="L66" s="4679" cm="1">
        <f t="array" aca="1" ref="L66" ca="1">INDIRECT("'※ 유통플랫폼 세부데이터'!"&amp;L$1&amp;$X66, TRUE)</f>
        <v>6913.5</v>
      </c>
      <c r="M66" s="4679" cm="1">
        <f t="array" aca="1" ref="M66" ca="1">INDIRECT("'※ 유통플랫폼 세부데이터'!"&amp;M$1&amp;$X66, TRUE)</f>
        <v>22687.5</v>
      </c>
      <c r="N66" s="4679" cm="1">
        <f t="array" aca="1" ref="N66" ca="1">INDIRECT("'※ 유통플랫폼 세부데이터'!"&amp;N$1&amp;$X66, TRUE)</f>
        <v>9120</v>
      </c>
      <c r="O66" s="4679" cm="1">
        <f t="array" aca="1" ref="O66" ca="1">INDIRECT("'※ 유통플랫폼 세부데이터'!"&amp;O$1&amp;$X66, TRUE)</f>
        <v>3231</v>
      </c>
      <c r="P66" s="4679" cm="1">
        <f t="array" aca="1" ref="P66" ca="1">INDIRECT("'※ 유통플랫폼 세부데이터'!"&amp;P$1&amp;$X66, TRUE)</f>
        <v>2660</v>
      </c>
      <c r="Q66" s="4679" cm="1">
        <f t="array" aca="1" ref="Q66" ca="1">INDIRECT("'※ 유통플랫폼 세부데이터'!"&amp;Q$1&amp;$X66, TRUE)</f>
        <v>904</v>
      </c>
      <c r="R66" s="4680" cm="1">
        <f t="array" aca="1" ref="R66" ca="1">INDIRECT("'※ 유통플랫폼 세부데이터'!"&amp;R$1&amp;$X66, TRUE)</f>
        <v>-1756</v>
      </c>
      <c r="S66" s="4669"/>
      <c r="T66" s="4681" cm="1">
        <f t="array" aca="1" ref="T66" ca="1">INDIRECT("'※ 유통플랫폼 세부데이터'!"&amp;T$1&amp;$X66, TRUE)</f>
        <v>80494.5</v>
      </c>
      <c r="U66" s="4671"/>
      <c r="V66" s="4682" cm="1">
        <f t="array" aca="1" ref="V66" ca="1">INDIRECT("'※ 유통플랫폼 세부데이터'!"&amp;V$1&amp;$X66, TRUE)</f>
        <v>6707.875</v>
      </c>
      <c r="W66" s="4673"/>
      <c r="X66" s="3769">
        <f>ROW('※ 유통플랫폼 세부데이터'!J63)</f>
        <v>63</v>
      </c>
      <c r="Y66" s="2682"/>
    </row>
    <row r="67" spans="2:25" ht="15" customHeight="1" x14ac:dyDescent="0.55000000000000004">
      <c r="B67" s="7383"/>
      <c r="C67" s="4660"/>
      <c r="D67" s="4674" t="s">
        <v>726</v>
      </c>
      <c r="E67" s="4685" cm="1">
        <f t="array" aca="1" ref="E67" ca="1">INDIRECT("'※ 유통플랫폼 세부데이터'!"&amp;E$1&amp;$X67, TRUE)</f>
        <v>137361.71818181817</v>
      </c>
      <c r="F67" s="4677" cm="1">
        <f t="array" aca="1" ref="F67" ca="1">INDIRECT("'※ 유통플랫폼 세부데이터'!"&amp;F$1&amp;$X67, TRUE)</f>
        <v>7635.56</v>
      </c>
      <c r="G67" s="4677" cm="1">
        <f t="array" aca="1" ref="G67" ca="1">INDIRECT("'※ 유통플랫폼 세부데이터'!"&amp;G$1&amp;$X67, TRUE)</f>
        <v>21635.74</v>
      </c>
      <c r="H67" s="4677" cm="1">
        <f t="array" aca="1" ref="H67" ca="1">INDIRECT("'※ 유통플랫폼 세부데이터'!"&amp;H$1&amp;$X67, TRUE)</f>
        <v>18188.8</v>
      </c>
      <c r="I67" s="4678" cm="1">
        <f t="array" aca="1" ref="I67" ca="1">INDIRECT("'※ 유통플랫폼 세부데이터'!"&amp;I$1&amp;$X67, TRUE)</f>
        <v>16235.41</v>
      </c>
      <c r="J67" s="4634" cm="1">
        <f t="array" aca="1" ref="J67" ca="1">INDIRECT("'※ 유통플랫폼 세부데이터'!"&amp;J$1&amp;$X67, TRUE)</f>
        <v>11010.39</v>
      </c>
      <c r="K67" s="4679" cm="1">
        <f t="array" aca="1" ref="K67" ca="1">INDIRECT("'※ 유통플랫폼 세부데이터'!"&amp;K$1&amp;$X67, TRUE)</f>
        <v>5811.63</v>
      </c>
      <c r="L67" s="4679" cm="1">
        <f t="array" aca="1" ref="L67" ca="1">INDIRECT("'※ 유통플랫폼 세부데이터'!"&amp;L$1&amp;$X67, TRUE)</f>
        <v>8164.69</v>
      </c>
      <c r="M67" s="4679" cm="1">
        <f t="array" aca="1" ref="M67" ca="1">INDIRECT("'※ 유통플랫폼 세부데이터'!"&amp;M$1&amp;$X67, TRUE)</f>
        <v>5988.8</v>
      </c>
      <c r="N67" s="4679" cm="1">
        <f t="array" aca="1" ref="N67" ca="1">INDIRECT("'※ 유통플랫폼 세부데이터'!"&amp;N$1&amp;$X67, TRUE)</f>
        <v>9913</v>
      </c>
      <c r="O67" s="4679" cm="1">
        <f t="array" aca="1" ref="O67" ca="1">INDIRECT("'※ 유통플랫폼 세부데이터'!"&amp;O$1&amp;$X67, TRUE)</f>
        <v>8135</v>
      </c>
      <c r="P67" s="4679" cm="1">
        <f t="array" aca="1" ref="P67" ca="1">INDIRECT("'※ 유통플랫폼 세부데이터'!"&amp;P$1&amp;$X67, TRUE)</f>
        <v>6681</v>
      </c>
      <c r="Q67" s="4679" cm="1">
        <f t="array" aca="1" ref="Q67" ca="1">INDIRECT("'※ 유통플랫폼 세부데이터'!"&amp;Q$1&amp;$X67, TRUE)</f>
        <v>5931</v>
      </c>
      <c r="R67" s="4680" cm="1">
        <f t="array" aca="1" ref="R67" ca="1">INDIRECT("'※ 유통플랫폼 세부데이터'!"&amp;R$1&amp;$X67, TRUE)</f>
        <v>-750</v>
      </c>
      <c r="S67" s="4669"/>
      <c r="T67" s="4681" cm="1">
        <f t="array" aca="1" ref="T67" ca="1">INDIRECT("'※ 유통플랫폼 세부데이터'!"&amp;T$1&amp;$X67, TRUE)</f>
        <v>125331.02000000002</v>
      </c>
      <c r="U67" s="4671"/>
      <c r="V67" s="4682" cm="1">
        <f t="array" aca="1" ref="V67" ca="1">INDIRECT("'※ 유통플랫폼 세부데이터'!"&amp;V$1&amp;$X67, TRUE)</f>
        <v>10444.251666666669</v>
      </c>
      <c r="W67" s="4673"/>
      <c r="X67" s="3769">
        <f>ROW('※ 유통플랫폼 세부데이터'!J64)</f>
        <v>64</v>
      </c>
      <c r="Y67" s="2682"/>
    </row>
    <row r="68" spans="2:25" ht="15" customHeight="1" x14ac:dyDescent="0.55000000000000004">
      <c r="B68" s="7383"/>
      <c r="C68" s="4660"/>
      <c r="D68" s="4674" t="s">
        <v>933</v>
      </c>
      <c r="E68" s="4686"/>
      <c r="F68" s="4677" cm="1">
        <f t="array" aca="1" ref="F68" ca="1">INDIRECT("'※ 유통플랫폼 세부데이터'!"&amp;F$1&amp;$X68, TRUE)</f>
        <v>9020</v>
      </c>
      <c r="G68" s="4677" cm="1">
        <f t="array" aca="1" ref="G68" ca="1">INDIRECT("'※ 유통플랫폼 세부데이터'!"&amp;G$1&amp;$X68, TRUE)</f>
        <v>1900</v>
      </c>
      <c r="H68" s="4677" cm="1">
        <f t="array" aca="1" ref="H68" ca="1">INDIRECT("'※ 유통플랫폼 세부데이터'!"&amp;H$1&amp;$X68, TRUE)</f>
        <v>0</v>
      </c>
      <c r="I68" s="4678" cm="1">
        <f t="array" aca="1" ref="I68" ca="1">INDIRECT("'※ 유통플랫폼 세부데이터'!"&amp;I$1&amp;$X68, TRUE)</f>
        <v>0</v>
      </c>
      <c r="J68" s="4634" cm="1">
        <f t="array" aca="1" ref="J68" ca="1">INDIRECT("'※ 유통플랫폼 세부데이터'!"&amp;J$1&amp;$X68, TRUE)</f>
        <v>0</v>
      </c>
      <c r="K68" s="4679" cm="1">
        <f t="array" aca="1" ref="K68" ca="1">INDIRECT("'※ 유통플랫폼 세부데이터'!"&amp;K$1&amp;$X68, TRUE)</f>
        <v>925</v>
      </c>
      <c r="L68" s="4679" cm="1">
        <f t="array" aca="1" ref="L68" ca="1">INDIRECT("'※ 유통플랫폼 세부데이터'!"&amp;L$1&amp;$X68, TRUE)</f>
        <v>3820</v>
      </c>
      <c r="M68" s="4679" cm="1">
        <f t="array" aca="1" ref="M68" ca="1">INDIRECT("'※ 유통플랫폼 세부데이터'!"&amp;M$1&amp;$X68, TRUE)</f>
        <v>3105</v>
      </c>
      <c r="N68" s="4679" cm="1">
        <f t="array" aca="1" ref="N68" ca="1">INDIRECT("'※ 유통플랫폼 세부데이터'!"&amp;N$1&amp;$X68, TRUE)</f>
        <v>1680</v>
      </c>
      <c r="O68" s="4679" cm="1">
        <f t="array" aca="1" ref="O68" ca="1">INDIRECT("'※ 유통플랫폼 세부데이터'!"&amp;O$1&amp;$X68, TRUE)</f>
        <v>2190</v>
      </c>
      <c r="P68" s="4679" cm="1">
        <f t="array" aca="1" ref="P68" ca="1">INDIRECT("'※ 유통플랫폼 세부데이터'!"&amp;P$1&amp;$X68, TRUE)</f>
        <v>2754</v>
      </c>
      <c r="Q68" s="4679" cm="1">
        <f t="array" aca="1" ref="Q68" ca="1">INDIRECT("'※ 유통플랫폼 세부데이터'!"&amp;Q$1&amp;$X68, TRUE)</f>
        <v>4487</v>
      </c>
      <c r="R68" s="4680" cm="1">
        <f t="array" aca="1" ref="R68" ca="1">INDIRECT("'※ 유통플랫폼 세부데이터'!"&amp;R$1&amp;$X68, TRUE)</f>
        <v>1733</v>
      </c>
      <c r="S68" s="4669"/>
      <c r="T68" s="4681" cm="1">
        <f t="array" aca="1" ref="T68" ca="1">INDIRECT("'※ 유통플랫폼 세부데이터'!"&amp;T$1&amp;$X68, TRUE)</f>
        <v>29881</v>
      </c>
      <c r="U68" s="4671"/>
      <c r="V68" s="4682" cm="1">
        <f t="array" aca="1" ref="V68" ca="1">INDIRECT("'※ 유통플랫폼 세부데이터'!"&amp;V$1&amp;$X68, TRUE)</f>
        <v>2490.0833333333335</v>
      </c>
      <c r="W68" s="4673"/>
      <c r="X68" s="3769">
        <f>ROW('※ 유통플랫폼 세부데이터'!J65)</f>
        <v>65</v>
      </c>
      <c r="Y68" s="2682"/>
    </row>
    <row r="69" spans="2:25" ht="15" customHeight="1" x14ac:dyDescent="0.55000000000000004">
      <c r="B69" s="7383"/>
      <c r="C69" s="4660"/>
      <c r="D69" s="4674" t="s">
        <v>311</v>
      </c>
      <c r="E69" s="4686"/>
      <c r="F69" s="4687"/>
      <c r="G69" s="4687"/>
      <c r="H69" s="4687"/>
      <c r="I69" s="4688"/>
      <c r="J69" s="4689"/>
      <c r="K69" s="4690"/>
      <c r="L69" s="4679" cm="1">
        <f t="array" aca="1" ref="L69" ca="1">INDIRECT("'※ 유통플랫폼 세부데이터'!"&amp;L$1&amp;$X69, TRUE)</f>
        <v>1939</v>
      </c>
      <c r="M69" s="4679" cm="1">
        <f t="array" aca="1" ref="M69" ca="1">INDIRECT("'※ 유통플랫폼 세부데이터'!"&amp;M$1&amp;$X69, TRUE)</f>
        <v>1427</v>
      </c>
      <c r="N69" s="4679" cm="1">
        <f t="array" aca="1" ref="N69" ca="1">INDIRECT("'※ 유통플랫폼 세부데이터'!"&amp;N$1&amp;$X69, TRUE)</f>
        <v>200</v>
      </c>
      <c r="O69" s="4679" cm="1">
        <f t="array" aca="1" ref="O69" ca="1">INDIRECT("'※ 유통플랫폼 세부데이터'!"&amp;O$1&amp;$X69, TRUE)</f>
        <v>0</v>
      </c>
      <c r="P69" s="4679" cm="1">
        <f t="array" aca="1" ref="P69" ca="1">INDIRECT("'※ 유통플랫폼 세부데이터'!"&amp;P$1&amp;$X69, TRUE)</f>
        <v>0</v>
      </c>
      <c r="Q69" s="4679" cm="1">
        <f t="array" aca="1" ref="Q69" ca="1">INDIRECT("'※ 유통플랫폼 세부데이터'!"&amp;Q$1&amp;$X69, TRUE)</f>
        <v>100</v>
      </c>
      <c r="R69" s="4680" cm="1">
        <f t="array" aca="1" ref="R69" ca="1">INDIRECT("'※ 유통플랫폼 세부데이터'!"&amp;R$1&amp;$X69, TRUE)</f>
        <v>100</v>
      </c>
      <c r="S69" s="4669"/>
      <c r="T69" s="4681" cm="1">
        <f t="array" aca="1" ref="T69" ca="1">INDIRECT("'※ 유통플랫폼 세부데이터'!"&amp;T$1&amp;$X69, TRUE)</f>
        <v>0</v>
      </c>
      <c r="U69" s="4671"/>
      <c r="V69" s="4682" cm="1">
        <f t="array" aca="1" ref="V69" ca="1">INDIRECT("'※ 유통플랫폼 세부데이터'!"&amp;V$1&amp;$X69, TRUE)</f>
        <v>0</v>
      </c>
      <c r="W69" s="4673"/>
      <c r="X69" s="3769">
        <f>ROW('※ 유통플랫폼 세부데이터'!J66)</f>
        <v>66</v>
      </c>
      <c r="Y69" s="2682"/>
    </row>
    <row r="70" spans="2:25" ht="15" customHeight="1" thickBot="1" x14ac:dyDescent="0.6">
      <c r="B70" s="7384"/>
      <c r="C70" s="4691"/>
      <c r="D70" s="4692" t="s">
        <v>67</v>
      </c>
      <c r="E70" s="4693" cm="1">
        <f t="array" aca="1" ref="E70" ca="1">INDIRECT("'※ 유통플랫폼 세부데이터'!"&amp;E$1&amp;$X70, TRUE)</f>
        <v>108625.01818181819</v>
      </c>
      <c r="F70" s="4694" cm="1">
        <f t="array" aca="1" ref="F70" ca="1">INDIRECT("'※ 유통플랫폼 세부데이터'!"&amp;F$1&amp;$X70, TRUE)</f>
        <v>60675.34</v>
      </c>
      <c r="G70" s="4694" cm="1">
        <f t="array" aca="1" ref="G70" ca="1">INDIRECT("'※ 유통플랫폼 세부데이터'!"&amp;G$1&amp;$X70, TRUE)</f>
        <v>49664.160000000003</v>
      </c>
      <c r="H70" s="4694" cm="1">
        <f t="array" aca="1" ref="H70" ca="1">INDIRECT("'※ 유통플랫폼 세부데이터'!"&amp;H$1&amp;$X70, TRUE)</f>
        <v>50401.35</v>
      </c>
      <c r="I70" s="4694" cm="1">
        <f t="array" aca="1" ref="I70" ca="1">INDIRECT("'※ 유통플랫폼 세부데이터'!"&amp;I$1&amp;$X70, TRUE)</f>
        <v>31476.38</v>
      </c>
      <c r="J70" s="4695" cm="1">
        <f t="array" aca="1" ref="J70" ca="1">INDIRECT("'※ 유통플랫폼 세부데이터'!"&amp;J$1&amp;$X70, TRUE)</f>
        <v>16711.759999999998</v>
      </c>
      <c r="K70" s="4696" cm="1">
        <f t="array" aca="1" ref="K70" ca="1">INDIRECT("'※ 유통플랫폼 세부데이터'!"&amp;K$1&amp;$X70, TRUE)</f>
        <v>20767.77</v>
      </c>
      <c r="L70" s="4696" cm="1">
        <f t="array" aca="1" ref="L70" ca="1">INDIRECT("'※ 유통플랫폼 세부데이터'!"&amp;L$1&amp;$X70, TRUE)</f>
        <v>55</v>
      </c>
      <c r="M70" s="4696" cm="1">
        <f t="array" aca="1" ref="M70" ca="1">INDIRECT("'※ 유통플랫폼 세부데이터'!"&amp;M$1&amp;$X70, TRUE)</f>
        <v>0</v>
      </c>
      <c r="N70" s="4696" cm="1">
        <f t="array" aca="1" ref="N70" ca="1">INDIRECT("'※ 유통플랫폼 세부데이터'!"&amp;N$1&amp;$X70, TRUE)</f>
        <v>0</v>
      </c>
      <c r="O70" s="4696" cm="1">
        <f t="array" aca="1" ref="O70" ca="1">INDIRECT("'※ 유통플랫폼 세부데이터'!"&amp;O$1&amp;$X70, TRUE)</f>
        <v>0</v>
      </c>
      <c r="P70" s="4696" cm="1">
        <f t="array" aca="1" ref="P70" ca="1">INDIRECT("'※ 유통플랫폼 세부데이터'!"&amp;P$1&amp;$X70, TRUE)</f>
        <v>0</v>
      </c>
      <c r="Q70" s="4696" cm="1">
        <f t="array" aca="1" ref="Q70" ca="1">INDIRECT("'※ 유통플랫폼 세부데이터'!"&amp;Q$1&amp;$X70, TRUE)</f>
        <v>0</v>
      </c>
      <c r="R70" s="4697" cm="1">
        <f t="array" aca="1" ref="R70" ca="1">INDIRECT("'※ 유통플랫폼 세부데이터'!"&amp;R$1&amp;$X70, TRUE)</f>
        <v>0</v>
      </c>
      <c r="S70" s="4698"/>
      <c r="T70" s="4699" cm="1">
        <f t="array" aca="1" ref="T70" ca="1">INDIRECT("'※ 유통플랫폼 세부데이터'!"&amp;T$1&amp;$X70, TRUE)</f>
        <v>229751.76</v>
      </c>
      <c r="U70" s="4700"/>
      <c r="V70" s="4701" cm="1">
        <f t="array" aca="1" ref="V70" ca="1">INDIRECT("'※ 유통플랫폼 세부데이터'!"&amp;V$1&amp;$X70, TRUE)</f>
        <v>20886.523636363636</v>
      </c>
      <c r="W70" s="4702"/>
      <c r="X70" s="3769">
        <f>ROW('※ 유통플랫폼 세부데이터'!J67)</f>
        <v>67</v>
      </c>
      <c r="Y70" s="2682"/>
    </row>
    <row r="71" spans="2:25" x14ac:dyDescent="0.55000000000000004">
      <c r="B71" s="2682"/>
      <c r="C71" s="2682"/>
      <c r="D71" s="2682"/>
      <c r="E71" s="2682"/>
      <c r="F71" s="2682"/>
      <c r="G71" s="2682"/>
      <c r="H71" s="2682"/>
      <c r="I71" s="2682"/>
      <c r="J71" s="2682"/>
      <c r="K71" s="2682"/>
      <c r="L71" s="2682"/>
      <c r="M71" s="2682"/>
      <c r="N71" s="2682"/>
      <c r="O71" s="2682"/>
      <c r="P71" s="2682"/>
      <c r="Q71" s="2682"/>
      <c r="R71" s="2682"/>
      <c r="S71" s="2682"/>
      <c r="T71" s="2682"/>
      <c r="U71" s="2682"/>
      <c r="V71" s="2682"/>
      <c r="W71" s="2682"/>
      <c r="X71" s="2682"/>
      <c r="Y71" s="2682"/>
    </row>
    <row r="72" spans="2:25" x14ac:dyDescent="0.55000000000000004">
      <c r="B72" s="2682"/>
      <c r="C72" s="2682"/>
      <c r="D72" s="2682"/>
      <c r="E72" s="2682"/>
      <c r="F72" s="2682"/>
      <c r="G72" s="2682"/>
      <c r="H72" s="2682"/>
      <c r="I72" s="2682"/>
      <c r="J72" s="2682"/>
      <c r="K72" s="2682"/>
      <c r="L72" s="2682"/>
      <c r="M72" s="2682"/>
      <c r="N72" s="2682"/>
      <c r="O72" s="2682"/>
      <c r="P72" s="2682"/>
      <c r="Q72" s="2682"/>
      <c r="R72" s="2682"/>
      <c r="S72" s="2682"/>
      <c r="T72" s="2682"/>
      <c r="U72" s="2682"/>
      <c r="V72" s="2682"/>
      <c r="W72" s="2682"/>
      <c r="X72" s="2682"/>
      <c r="Y72" s="2682"/>
    </row>
    <row r="73" spans="2:25" x14ac:dyDescent="0.55000000000000004">
      <c r="B73" s="2682"/>
      <c r="C73" s="2682"/>
      <c r="D73" s="2682"/>
      <c r="E73" s="2682"/>
      <c r="F73" s="2682"/>
      <c r="G73" s="2682"/>
      <c r="H73" s="2682"/>
      <c r="I73" s="2682"/>
      <c r="J73" s="2682"/>
      <c r="K73" s="2682"/>
      <c r="L73" s="2682"/>
      <c r="M73" s="2682"/>
      <c r="N73" s="2682"/>
      <c r="O73" s="2682"/>
      <c r="P73" s="2682"/>
      <c r="Q73" s="2682"/>
      <c r="R73" s="2682"/>
      <c r="S73" s="2682"/>
      <c r="T73" s="2682"/>
      <c r="U73" s="2682"/>
      <c r="V73" s="2682"/>
      <c r="W73" s="2682"/>
      <c r="X73" s="2682"/>
      <c r="Y73" s="2682"/>
    </row>
    <row r="74" spans="2:25" x14ac:dyDescent="0.55000000000000004">
      <c r="B74" s="2682"/>
      <c r="C74" s="2682"/>
      <c r="D74" s="2682"/>
      <c r="E74" s="2682"/>
      <c r="F74" s="2682"/>
      <c r="G74" s="2682"/>
      <c r="H74" s="2682"/>
      <c r="I74" s="2682"/>
      <c r="J74" s="2682"/>
      <c r="K74" s="2682"/>
      <c r="L74" s="2682"/>
      <c r="M74" s="2682"/>
      <c r="N74" s="2682"/>
      <c r="O74" s="2682"/>
      <c r="P74" s="2682"/>
      <c r="Q74" s="2682"/>
      <c r="R74" s="2682"/>
      <c r="S74" s="2682"/>
      <c r="T74" s="2682"/>
      <c r="U74" s="2682"/>
      <c r="V74" s="2682"/>
      <c r="W74" s="2682"/>
      <c r="X74" s="2682"/>
      <c r="Y74" s="2682"/>
    </row>
    <row r="75" spans="2:25" x14ac:dyDescent="0.55000000000000004">
      <c r="B75" s="2682"/>
      <c r="C75" s="2682"/>
      <c r="D75" s="2682"/>
      <c r="E75" s="2682"/>
      <c r="F75" s="2682"/>
      <c r="G75" s="2682"/>
      <c r="H75" s="2682"/>
      <c r="I75" s="2682"/>
      <c r="J75" s="2682"/>
      <c r="K75" s="2682"/>
      <c r="L75" s="2682"/>
      <c r="M75" s="2682"/>
      <c r="N75" s="2682"/>
      <c r="O75" s="2682"/>
      <c r="P75" s="2682"/>
      <c r="Q75" s="2682"/>
      <c r="R75" s="2682"/>
      <c r="S75" s="2682"/>
      <c r="T75" s="2682"/>
      <c r="U75" s="2682"/>
      <c r="V75" s="2682"/>
      <c r="W75" s="2682"/>
      <c r="X75" s="2682"/>
      <c r="Y75" s="2682"/>
    </row>
    <row r="76" spans="2:25" x14ac:dyDescent="0.55000000000000004">
      <c r="B76" s="2682"/>
      <c r="C76" s="2682"/>
      <c r="D76" s="2682"/>
      <c r="E76" s="2682"/>
      <c r="F76" s="2682"/>
      <c r="G76" s="2682"/>
      <c r="H76" s="2682"/>
      <c r="I76" s="2682"/>
      <c r="J76" s="2682"/>
      <c r="K76" s="2682"/>
      <c r="L76" s="2682"/>
      <c r="M76" s="2682"/>
      <c r="N76" s="2682"/>
      <c r="O76" s="2682"/>
      <c r="P76" s="2682"/>
      <c r="Q76" s="2682"/>
      <c r="R76" s="2682"/>
      <c r="S76" s="2682"/>
      <c r="T76" s="2682"/>
      <c r="U76" s="2682"/>
      <c r="V76" s="2682"/>
      <c r="W76" s="2682"/>
      <c r="X76" s="2682"/>
      <c r="Y76" s="2682"/>
    </row>
    <row r="77" spans="2:25" x14ac:dyDescent="0.55000000000000004">
      <c r="B77" s="2682"/>
      <c r="C77" s="2682"/>
      <c r="D77" s="2682"/>
      <c r="E77" s="2682"/>
      <c r="F77" s="2682"/>
      <c r="G77" s="2682"/>
      <c r="H77" s="2682"/>
      <c r="I77" s="2682"/>
      <c r="J77" s="2682"/>
      <c r="K77" s="2682"/>
      <c r="L77" s="2682"/>
      <c r="M77" s="2682"/>
      <c r="N77" s="2682"/>
      <c r="O77" s="2682"/>
      <c r="P77" s="2682"/>
      <c r="Q77" s="2682"/>
      <c r="R77" s="2682"/>
      <c r="S77" s="2682"/>
      <c r="T77" s="2682"/>
      <c r="U77" s="2682"/>
      <c r="V77" s="2682"/>
      <c r="W77" s="2682"/>
      <c r="X77" s="2682"/>
      <c r="Y77" s="2682"/>
    </row>
    <row r="78" spans="2:25" x14ac:dyDescent="0.55000000000000004">
      <c r="B78" s="2682"/>
      <c r="C78" s="2682"/>
      <c r="D78" s="2682"/>
      <c r="E78" s="2682"/>
      <c r="F78" s="2682"/>
      <c r="G78" s="2682"/>
      <c r="H78" s="2682"/>
      <c r="I78" s="2682"/>
      <c r="J78" s="2682"/>
      <c r="K78" s="2682"/>
      <c r="L78" s="2682"/>
      <c r="M78" s="2682"/>
      <c r="N78" s="2682"/>
      <c r="O78" s="2682"/>
      <c r="P78" s="2682"/>
      <c r="Q78" s="2682"/>
      <c r="R78" s="2682"/>
      <c r="S78" s="2682"/>
      <c r="T78" s="2682"/>
      <c r="U78" s="2682"/>
      <c r="V78" s="2682"/>
      <c r="W78" s="2682"/>
      <c r="X78" s="2682"/>
      <c r="Y78" s="2682"/>
    </row>
    <row r="79" spans="2:25" x14ac:dyDescent="0.55000000000000004">
      <c r="B79" s="2682"/>
      <c r="C79" s="2682"/>
      <c r="D79" s="2682"/>
      <c r="E79" s="2682"/>
      <c r="F79" s="2682"/>
      <c r="G79" s="2682"/>
      <c r="H79" s="2682"/>
      <c r="I79" s="2682"/>
      <c r="J79" s="2682"/>
      <c r="K79" s="2682"/>
      <c r="L79" s="2682"/>
      <c r="M79" s="2682"/>
      <c r="N79" s="2682"/>
      <c r="O79" s="2682"/>
      <c r="P79" s="2682"/>
      <c r="Q79" s="2682"/>
      <c r="R79" s="2682"/>
      <c r="S79" s="2682"/>
      <c r="T79" s="2682"/>
      <c r="U79" s="2682"/>
      <c r="V79" s="2682"/>
      <c r="W79" s="2682"/>
      <c r="X79" s="2682"/>
      <c r="Y79" s="2682"/>
    </row>
    <row r="80" spans="2:25" x14ac:dyDescent="0.55000000000000004">
      <c r="B80" s="2682"/>
      <c r="C80" s="2682"/>
      <c r="D80" s="2682"/>
      <c r="E80" s="2682"/>
      <c r="F80" s="2682"/>
      <c r="G80" s="2682"/>
      <c r="H80" s="2682"/>
      <c r="I80" s="2682"/>
      <c r="J80" s="2682"/>
      <c r="K80" s="2682"/>
      <c r="L80" s="2682"/>
      <c r="M80" s="2682"/>
      <c r="N80" s="2682"/>
      <c r="O80" s="2682"/>
      <c r="P80" s="2682"/>
      <c r="Q80" s="2682"/>
      <c r="R80" s="2682"/>
      <c r="S80" s="2682"/>
      <c r="T80" s="2682"/>
      <c r="U80" s="2682"/>
      <c r="V80" s="2682"/>
      <c r="W80" s="2682"/>
      <c r="X80" s="2682"/>
      <c r="Y80" s="2682"/>
    </row>
    <row r="81" spans="2:25" x14ac:dyDescent="0.55000000000000004">
      <c r="B81" s="2682"/>
      <c r="C81" s="2682"/>
      <c r="D81" s="2682"/>
      <c r="E81" s="2682"/>
      <c r="F81" s="2682"/>
      <c r="G81" s="2682"/>
      <c r="H81" s="2682"/>
      <c r="I81" s="2682"/>
      <c r="J81" s="2682"/>
      <c r="K81" s="2682"/>
      <c r="L81" s="2682"/>
      <c r="M81" s="2682"/>
      <c r="N81" s="2682"/>
      <c r="O81" s="2682"/>
      <c r="P81" s="2682"/>
      <c r="Q81" s="2682"/>
      <c r="R81" s="2682"/>
      <c r="S81" s="2682"/>
      <c r="T81" s="2682"/>
      <c r="U81" s="2682"/>
      <c r="V81" s="2682"/>
      <c r="W81" s="2682"/>
      <c r="X81" s="2682"/>
      <c r="Y81" s="2682"/>
    </row>
    <row r="82" spans="2:25" x14ac:dyDescent="0.55000000000000004">
      <c r="B82" s="2682"/>
      <c r="C82" s="2682"/>
      <c r="D82" s="2682"/>
      <c r="E82" s="2682"/>
      <c r="F82" s="2682"/>
      <c r="G82" s="2682"/>
      <c r="H82" s="2682"/>
      <c r="I82" s="2682"/>
      <c r="J82" s="2682"/>
      <c r="K82" s="2682"/>
      <c r="L82" s="2682"/>
      <c r="M82" s="2682"/>
      <c r="N82" s="2682"/>
      <c r="O82" s="2682"/>
      <c r="P82" s="2682"/>
      <c r="Q82" s="2682"/>
      <c r="R82" s="2682"/>
      <c r="S82" s="2682"/>
      <c r="T82" s="2682"/>
      <c r="U82" s="2682"/>
      <c r="V82" s="2682"/>
      <c r="W82" s="2682"/>
      <c r="X82" s="2682"/>
      <c r="Y82" s="2682"/>
    </row>
    <row r="83" spans="2:25" x14ac:dyDescent="0.55000000000000004">
      <c r="B83" s="2682"/>
      <c r="C83" s="2682"/>
      <c r="D83" s="2682"/>
      <c r="E83" s="2682"/>
      <c r="F83" s="2682"/>
      <c r="G83" s="2682"/>
      <c r="H83" s="2682"/>
      <c r="I83" s="2682"/>
      <c r="J83" s="2682"/>
      <c r="K83" s="2682"/>
      <c r="L83" s="2682"/>
      <c r="M83" s="2682"/>
      <c r="N83" s="2682"/>
      <c r="O83" s="2682"/>
      <c r="P83" s="2682"/>
      <c r="Q83" s="2682"/>
      <c r="R83" s="2682"/>
      <c r="S83" s="2682"/>
      <c r="T83" s="2682"/>
      <c r="U83" s="2682"/>
      <c r="V83" s="2682"/>
      <c r="W83" s="2682"/>
      <c r="X83" s="2682"/>
      <c r="Y83" s="2682"/>
    </row>
    <row r="84" spans="2:25" x14ac:dyDescent="0.55000000000000004">
      <c r="B84" s="2682"/>
      <c r="C84" s="2682"/>
      <c r="D84" s="2682"/>
      <c r="E84" s="2682"/>
      <c r="F84" s="2682"/>
      <c r="G84" s="2682"/>
      <c r="H84" s="2682"/>
      <c r="I84" s="2682"/>
      <c r="J84" s="2682"/>
      <c r="K84" s="2682"/>
      <c r="L84" s="2682"/>
      <c r="M84" s="2682"/>
      <c r="N84" s="2682"/>
      <c r="O84" s="2682"/>
      <c r="P84" s="2682"/>
      <c r="Q84" s="2682"/>
      <c r="R84" s="2682"/>
      <c r="S84" s="2682"/>
      <c r="T84" s="2682"/>
      <c r="U84" s="2682"/>
      <c r="V84" s="2682"/>
      <c r="W84" s="2682"/>
      <c r="X84" s="2682"/>
      <c r="Y84" s="2682"/>
    </row>
    <row r="85" spans="2:25" x14ac:dyDescent="0.55000000000000004">
      <c r="B85" s="2682"/>
      <c r="C85" s="2682"/>
      <c r="D85" s="2682"/>
      <c r="E85" s="2682"/>
      <c r="F85" s="2682"/>
      <c r="G85" s="2682"/>
      <c r="H85" s="2682"/>
      <c r="I85" s="2682"/>
      <c r="J85" s="2682"/>
      <c r="K85" s="2682"/>
      <c r="L85" s="2682"/>
      <c r="M85" s="2682"/>
      <c r="N85" s="2682"/>
      <c r="O85" s="2682"/>
      <c r="P85" s="2682"/>
      <c r="Q85" s="2682"/>
      <c r="R85" s="2682"/>
      <c r="S85" s="2682"/>
      <c r="T85" s="2682"/>
      <c r="U85" s="2682"/>
      <c r="V85" s="2682"/>
      <c r="W85" s="2682"/>
      <c r="X85" s="2682"/>
      <c r="Y85" s="2682"/>
    </row>
    <row r="86" spans="2:25" x14ac:dyDescent="0.55000000000000004">
      <c r="B86" s="2682"/>
      <c r="C86" s="2682"/>
      <c r="D86" s="2682"/>
      <c r="E86" s="2682"/>
      <c r="F86" s="2682"/>
      <c r="G86" s="2682"/>
      <c r="H86" s="2682"/>
      <c r="I86" s="2682"/>
      <c r="J86" s="2682"/>
      <c r="K86" s="2682"/>
      <c r="L86" s="2682"/>
      <c r="M86" s="2682"/>
      <c r="N86" s="2682"/>
      <c r="O86" s="2682"/>
      <c r="P86" s="2682"/>
      <c r="Q86" s="2682"/>
      <c r="R86" s="2682"/>
      <c r="S86" s="2682"/>
      <c r="T86" s="2682"/>
      <c r="U86" s="2682"/>
      <c r="V86" s="2682"/>
      <c r="W86" s="2682"/>
      <c r="X86" s="2682"/>
      <c r="Y86" s="2682"/>
    </row>
    <row r="87" spans="2:25" x14ac:dyDescent="0.55000000000000004">
      <c r="B87" s="2682"/>
      <c r="C87" s="2682"/>
      <c r="D87" s="2682"/>
      <c r="E87" s="2682"/>
      <c r="F87" s="2682"/>
      <c r="G87" s="2682"/>
      <c r="H87" s="2682"/>
      <c r="I87" s="2682"/>
      <c r="J87" s="2682"/>
      <c r="K87" s="2682"/>
      <c r="L87" s="2682"/>
      <c r="M87" s="2682"/>
      <c r="N87" s="2682"/>
      <c r="O87" s="2682"/>
      <c r="P87" s="2682"/>
      <c r="Q87" s="2682"/>
      <c r="R87" s="2682"/>
      <c r="S87" s="2682"/>
      <c r="T87" s="2682"/>
      <c r="U87" s="2682"/>
      <c r="V87" s="2682"/>
      <c r="W87" s="2682"/>
      <c r="X87" s="2682"/>
      <c r="Y87" s="2682"/>
    </row>
    <row r="88" spans="2:25" x14ac:dyDescent="0.55000000000000004">
      <c r="B88" s="2682"/>
      <c r="C88" s="2682"/>
      <c r="D88" s="2682"/>
      <c r="E88" s="2682"/>
      <c r="F88" s="2682"/>
      <c r="G88" s="2682"/>
      <c r="H88" s="2682"/>
      <c r="I88" s="2682"/>
      <c r="J88" s="2682"/>
      <c r="K88" s="2682"/>
      <c r="L88" s="2682"/>
      <c r="M88" s="2682"/>
      <c r="N88" s="2682"/>
      <c r="O88" s="2682"/>
      <c r="P88" s="2682"/>
      <c r="Q88" s="2682"/>
      <c r="R88" s="2682"/>
      <c r="S88" s="2682"/>
      <c r="T88" s="2682"/>
      <c r="U88" s="2682"/>
      <c r="V88" s="2682"/>
      <c r="W88" s="2682"/>
      <c r="X88" s="2682"/>
      <c r="Y88" s="2682"/>
    </row>
    <row r="89" spans="2:25" x14ac:dyDescent="0.55000000000000004">
      <c r="B89" s="2682"/>
      <c r="C89" s="2682"/>
      <c r="D89" s="2682"/>
      <c r="E89" s="2682"/>
      <c r="F89" s="2682"/>
      <c r="G89" s="2682"/>
      <c r="H89" s="2682"/>
      <c r="I89" s="2682"/>
      <c r="J89" s="2682"/>
      <c r="K89" s="2682"/>
      <c r="L89" s="2682"/>
      <c r="M89" s="2682"/>
      <c r="N89" s="2682"/>
      <c r="O89" s="2682"/>
      <c r="P89" s="2682"/>
      <c r="Q89" s="2682"/>
      <c r="R89" s="2682"/>
      <c r="S89" s="2682"/>
      <c r="T89" s="2682"/>
      <c r="U89" s="2682"/>
      <c r="V89" s="2682"/>
      <c r="W89" s="2682"/>
      <c r="X89" s="2682"/>
      <c r="Y89" s="2682"/>
    </row>
    <row r="90" spans="2:25" x14ac:dyDescent="0.55000000000000004">
      <c r="B90" s="2682"/>
      <c r="C90" s="2682"/>
      <c r="D90" s="2682"/>
      <c r="E90" s="2682"/>
      <c r="F90" s="2682"/>
      <c r="G90" s="2682"/>
      <c r="H90" s="2682"/>
      <c r="I90" s="2682"/>
      <c r="J90" s="2682"/>
      <c r="K90" s="2682"/>
      <c r="L90" s="2682"/>
      <c r="M90" s="2682"/>
      <c r="N90" s="2682"/>
      <c r="O90" s="2682"/>
      <c r="P90" s="2682"/>
      <c r="Q90" s="2682"/>
      <c r="R90" s="2682"/>
      <c r="S90" s="2682"/>
      <c r="T90" s="2682"/>
      <c r="U90" s="2682"/>
      <c r="V90" s="2682"/>
      <c r="W90" s="2682"/>
      <c r="X90" s="2682"/>
      <c r="Y90" s="2682"/>
    </row>
    <row r="91" spans="2:25" x14ac:dyDescent="0.55000000000000004">
      <c r="B91" s="2682"/>
      <c r="C91" s="2682"/>
      <c r="D91" s="2682"/>
      <c r="E91" s="2682"/>
      <c r="F91" s="2682"/>
      <c r="G91" s="2682"/>
      <c r="H91" s="2682"/>
      <c r="I91" s="2682"/>
      <c r="J91" s="2682"/>
      <c r="K91" s="2682"/>
      <c r="L91" s="2682"/>
      <c r="M91" s="2682"/>
      <c r="N91" s="2682"/>
      <c r="O91" s="2682"/>
      <c r="P91" s="2682"/>
      <c r="Q91" s="2682"/>
      <c r="R91" s="2682"/>
      <c r="S91" s="2682"/>
      <c r="T91" s="2682"/>
      <c r="U91" s="2682"/>
      <c r="V91" s="2682"/>
      <c r="W91" s="2682"/>
      <c r="X91" s="2682"/>
      <c r="Y91" s="2682"/>
    </row>
    <row r="92" spans="2:25" x14ac:dyDescent="0.55000000000000004">
      <c r="B92" s="2682"/>
      <c r="C92" s="2682"/>
      <c r="D92" s="2682"/>
      <c r="E92" s="2682"/>
      <c r="F92" s="2682"/>
      <c r="G92" s="2682"/>
      <c r="H92" s="2682"/>
      <c r="I92" s="2682"/>
      <c r="J92" s="2682"/>
      <c r="K92" s="2682"/>
      <c r="L92" s="2682"/>
      <c r="M92" s="2682"/>
      <c r="N92" s="2682"/>
      <c r="O92" s="2682"/>
      <c r="P92" s="2682"/>
      <c r="Q92" s="2682"/>
      <c r="R92" s="2682"/>
      <c r="S92" s="2682"/>
      <c r="T92" s="2682"/>
      <c r="U92" s="2682"/>
      <c r="V92" s="2682"/>
      <c r="W92" s="2682"/>
      <c r="X92" s="2682"/>
      <c r="Y92" s="2682"/>
    </row>
    <row r="93" spans="2:25" x14ac:dyDescent="0.55000000000000004">
      <c r="B93" s="2682"/>
      <c r="C93" s="2682"/>
      <c r="D93" s="2682"/>
      <c r="E93" s="2682"/>
      <c r="F93" s="2682"/>
      <c r="G93" s="2682"/>
      <c r="H93" s="2682"/>
      <c r="I93" s="2682"/>
      <c r="J93" s="2682"/>
      <c r="K93" s="2682"/>
      <c r="L93" s="2682"/>
      <c r="M93" s="2682"/>
      <c r="N93" s="2682"/>
      <c r="O93" s="2682"/>
      <c r="P93" s="2682"/>
      <c r="Q93" s="2682"/>
      <c r="R93" s="2682"/>
      <c r="S93" s="2682"/>
      <c r="T93" s="2682"/>
      <c r="U93" s="2682"/>
      <c r="V93" s="2682"/>
      <c r="W93" s="2682"/>
      <c r="X93" s="2682"/>
      <c r="Y93" s="2682"/>
    </row>
    <row r="94" spans="2:25" x14ac:dyDescent="0.55000000000000004">
      <c r="B94" s="2682"/>
      <c r="C94" s="2682"/>
      <c r="D94" s="2682"/>
      <c r="E94" s="2682"/>
      <c r="F94" s="2682"/>
      <c r="G94" s="2682"/>
      <c r="H94" s="2682"/>
      <c r="I94" s="2682"/>
      <c r="J94" s="2682"/>
      <c r="K94" s="2682"/>
      <c r="L94" s="2682"/>
      <c r="M94" s="2682"/>
      <c r="N94" s="2682"/>
      <c r="O94" s="2682"/>
      <c r="P94" s="2682"/>
      <c r="Q94" s="2682"/>
      <c r="R94" s="2682"/>
      <c r="S94" s="2682"/>
      <c r="T94" s="2682"/>
      <c r="U94" s="2682"/>
      <c r="V94" s="2682"/>
      <c r="W94" s="2682"/>
      <c r="X94" s="2682"/>
      <c r="Y94" s="2682"/>
    </row>
    <row r="95" spans="2:25" x14ac:dyDescent="0.55000000000000004">
      <c r="B95" s="2682"/>
      <c r="C95" s="2682"/>
      <c r="D95" s="2682"/>
      <c r="E95" s="2682"/>
      <c r="F95" s="2682"/>
      <c r="G95" s="2682"/>
      <c r="H95" s="2682"/>
      <c r="I95" s="2682"/>
      <c r="J95" s="2682"/>
      <c r="K95" s="2682"/>
      <c r="L95" s="2682"/>
      <c r="M95" s="2682"/>
      <c r="N95" s="2682"/>
      <c r="O95" s="2682"/>
      <c r="P95" s="2682"/>
      <c r="Q95" s="2682"/>
      <c r="R95" s="2682"/>
      <c r="S95" s="2682"/>
      <c r="T95" s="2682"/>
      <c r="U95" s="2682"/>
      <c r="V95" s="2682"/>
      <c r="W95" s="2682"/>
      <c r="X95" s="2682"/>
      <c r="Y95" s="2682"/>
    </row>
    <row r="96" spans="2:25" x14ac:dyDescent="0.55000000000000004">
      <c r="B96" s="2682"/>
      <c r="C96" s="2682"/>
      <c r="D96" s="2682"/>
      <c r="E96" s="2682"/>
      <c r="F96" s="2682"/>
      <c r="G96" s="2682"/>
      <c r="H96" s="2682"/>
      <c r="I96" s="2682"/>
      <c r="J96" s="2682"/>
      <c r="K96" s="2682"/>
      <c r="L96" s="2682"/>
      <c r="M96" s="2682"/>
      <c r="N96" s="2682"/>
      <c r="O96" s="2682"/>
      <c r="P96" s="2682"/>
      <c r="Q96" s="2682"/>
      <c r="R96" s="2682"/>
      <c r="S96" s="2682"/>
      <c r="T96" s="2682"/>
      <c r="U96" s="2682"/>
      <c r="V96" s="2682"/>
      <c r="W96" s="2682"/>
      <c r="X96" s="2682"/>
      <c r="Y96" s="2682"/>
    </row>
    <row r="97" spans="2:25" x14ac:dyDescent="0.55000000000000004">
      <c r="B97" s="2682"/>
      <c r="C97" s="2682"/>
      <c r="D97" s="2682"/>
      <c r="E97" s="2682"/>
      <c r="F97" s="2682"/>
      <c r="G97" s="2682"/>
      <c r="H97" s="2682"/>
      <c r="I97" s="2682"/>
      <c r="J97" s="2682"/>
      <c r="K97" s="2682"/>
      <c r="L97" s="2682"/>
      <c r="M97" s="2682"/>
      <c r="N97" s="2682"/>
      <c r="O97" s="2682"/>
      <c r="P97" s="2682"/>
      <c r="Q97" s="2682"/>
      <c r="R97" s="2682"/>
      <c r="S97" s="2682"/>
      <c r="T97" s="2682"/>
      <c r="U97" s="2682"/>
      <c r="V97" s="2682"/>
      <c r="W97" s="2682"/>
      <c r="X97" s="2682"/>
      <c r="Y97" s="2682"/>
    </row>
    <row r="98" spans="2:25" x14ac:dyDescent="0.55000000000000004">
      <c r="B98" s="2682"/>
      <c r="C98" s="2682"/>
      <c r="D98" s="2682"/>
      <c r="E98" s="2682"/>
      <c r="F98" s="2682"/>
      <c r="G98" s="2682"/>
      <c r="H98" s="2682"/>
      <c r="I98" s="2682"/>
      <c r="J98" s="2682"/>
      <c r="K98" s="2682"/>
      <c r="L98" s="2682"/>
      <c r="M98" s="2682"/>
      <c r="N98" s="2682"/>
      <c r="O98" s="2682"/>
      <c r="P98" s="2682"/>
      <c r="Q98" s="2682"/>
      <c r="R98" s="2682"/>
      <c r="S98" s="2682"/>
      <c r="T98" s="2682"/>
      <c r="U98" s="2682"/>
      <c r="V98" s="2682"/>
      <c r="W98" s="2682"/>
      <c r="X98" s="2682"/>
      <c r="Y98" s="2682"/>
    </row>
    <row r="99" spans="2:25" x14ac:dyDescent="0.55000000000000004">
      <c r="B99" s="2682"/>
      <c r="C99" s="2682"/>
      <c r="D99" s="2682"/>
      <c r="E99" s="2682"/>
      <c r="F99" s="2682"/>
      <c r="G99" s="2682"/>
      <c r="H99" s="2682"/>
      <c r="I99" s="2682"/>
      <c r="J99" s="2682"/>
      <c r="K99" s="2682"/>
      <c r="L99" s="2682"/>
      <c r="M99" s="2682"/>
      <c r="N99" s="2682"/>
      <c r="O99" s="2682"/>
      <c r="P99" s="2682"/>
      <c r="Q99" s="2682"/>
      <c r="R99" s="2682"/>
      <c r="S99" s="2682"/>
      <c r="T99" s="2682"/>
      <c r="U99" s="2682"/>
      <c r="V99" s="2682"/>
      <c r="W99" s="2682"/>
      <c r="X99" s="2682"/>
      <c r="Y99" s="2682"/>
    </row>
    <row r="100" spans="2:25" x14ac:dyDescent="0.55000000000000004">
      <c r="B100" s="2682"/>
      <c r="C100" s="2682"/>
      <c r="D100" s="2682"/>
      <c r="E100" s="2682"/>
      <c r="F100" s="2682"/>
      <c r="G100" s="2682"/>
      <c r="H100" s="2682"/>
      <c r="I100" s="2682"/>
      <c r="J100" s="2682"/>
      <c r="K100" s="2682"/>
      <c r="L100" s="2682"/>
      <c r="M100" s="2682"/>
      <c r="N100" s="2682"/>
      <c r="O100" s="2682"/>
      <c r="P100" s="2682"/>
      <c r="Q100" s="2682"/>
      <c r="R100" s="2682"/>
      <c r="S100" s="2682"/>
      <c r="T100" s="2682"/>
      <c r="U100" s="2682"/>
      <c r="V100" s="2682"/>
      <c r="W100" s="2682"/>
      <c r="X100" s="2682"/>
      <c r="Y100" s="2682"/>
    </row>
    <row r="101" spans="2:25" x14ac:dyDescent="0.55000000000000004"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2682"/>
      <c r="S101" s="2682"/>
      <c r="T101" s="2682"/>
      <c r="U101" s="2682"/>
      <c r="V101" s="2682"/>
      <c r="W101" s="2682"/>
      <c r="X101" s="2682"/>
      <c r="Y101" s="2682"/>
    </row>
    <row r="102" spans="2:25" x14ac:dyDescent="0.55000000000000004"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2682"/>
      <c r="S102" s="2682"/>
      <c r="T102" s="2682"/>
      <c r="U102" s="2682"/>
      <c r="V102" s="2682"/>
      <c r="W102" s="2682"/>
      <c r="X102" s="2682"/>
      <c r="Y102" s="2682"/>
    </row>
    <row r="103" spans="2:25" x14ac:dyDescent="0.55000000000000004"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2682"/>
      <c r="S103" s="2682"/>
      <c r="T103" s="2682"/>
      <c r="U103" s="2682"/>
      <c r="V103" s="2682"/>
      <c r="W103" s="2682"/>
      <c r="X103" s="2682"/>
      <c r="Y103" s="2682"/>
    </row>
    <row r="104" spans="2:25" x14ac:dyDescent="0.55000000000000004">
      <c r="B104" s="2682"/>
      <c r="C104" s="2682"/>
      <c r="D104" s="2682"/>
      <c r="E104" s="2682"/>
      <c r="F104" s="2682"/>
      <c r="G104" s="2682"/>
      <c r="H104" s="2682"/>
      <c r="I104" s="2682"/>
      <c r="J104" s="2682"/>
      <c r="K104" s="2682"/>
      <c r="L104" s="2682"/>
      <c r="M104" s="2682"/>
      <c r="N104" s="2682"/>
      <c r="O104" s="2682"/>
      <c r="P104" s="2682"/>
      <c r="Q104" s="2682"/>
      <c r="R104" s="2682"/>
      <c r="S104" s="2682"/>
      <c r="T104" s="2682"/>
      <c r="U104" s="2682"/>
      <c r="V104" s="2682"/>
      <c r="W104" s="2682"/>
      <c r="X104" s="2682"/>
      <c r="Y104" s="2682"/>
    </row>
    <row r="105" spans="2:25" x14ac:dyDescent="0.55000000000000004">
      <c r="B105" s="2682"/>
      <c r="C105" s="2682"/>
      <c r="D105" s="2682"/>
      <c r="E105" s="2682"/>
      <c r="F105" s="2682"/>
      <c r="G105" s="2682"/>
      <c r="H105" s="2682"/>
      <c r="I105" s="2682"/>
      <c r="J105" s="2682"/>
      <c r="K105" s="2682"/>
      <c r="L105" s="2682"/>
      <c r="M105" s="2682"/>
      <c r="N105" s="2682"/>
      <c r="O105" s="2682"/>
      <c r="P105" s="2682"/>
      <c r="Q105" s="2682"/>
      <c r="R105" s="2682"/>
      <c r="S105" s="2682"/>
      <c r="T105" s="2682"/>
      <c r="U105" s="2682"/>
      <c r="V105" s="2682"/>
      <c r="W105" s="2682"/>
      <c r="X105" s="2682"/>
      <c r="Y105" s="2682"/>
    </row>
    <row r="106" spans="2:25" x14ac:dyDescent="0.55000000000000004">
      <c r="B106" s="2682"/>
      <c r="C106" s="2682"/>
      <c r="D106" s="2682"/>
      <c r="E106" s="2682"/>
      <c r="F106" s="2682"/>
      <c r="G106" s="2682"/>
      <c r="H106" s="2682"/>
      <c r="I106" s="2682"/>
      <c r="J106" s="2682"/>
      <c r="K106" s="2682"/>
      <c r="L106" s="2682"/>
      <c r="M106" s="2682"/>
      <c r="N106" s="2682"/>
      <c r="O106" s="2682"/>
      <c r="P106" s="2682"/>
      <c r="Q106" s="2682"/>
      <c r="R106" s="2682"/>
      <c r="S106" s="2682"/>
      <c r="T106" s="2682"/>
      <c r="U106" s="2682"/>
      <c r="V106" s="2682"/>
      <c r="W106" s="2682"/>
      <c r="X106" s="2682"/>
      <c r="Y106" s="2682"/>
    </row>
    <row r="107" spans="2:25" x14ac:dyDescent="0.55000000000000004">
      <c r="B107" s="2682"/>
      <c r="C107" s="2682"/>
      <c r="D107" s="2682"/>
      <c r="E107" s="2682"/>
      <c r="F107" s="2682"/>
      <c r="G107" s="2682"/>
      <c r="H107" s="2682"/>
      <c r="I107" s="2682"/>
      <c r="J107" s="2682"/>
      <c r="K107" s="2682"/>
      <c r="L107" s="2682"/>
      <c r="M107" s="2682"/>
      <c r="N107" s="2682"/>
      <c r="O107" s="2682"/>
      <c r="P107" s="2682"/>
      <c r="Q107" s="2682"/>
      <c r="R107" s="2682"/>
      <c r="S107" s="2682"/>
      <c r="T107" s="2682"/>
      <c r="U107" s="2682"/>
      <c r="V107" s="2682"/>
      <c r="W107" s="2682"/>
      <c r="X107" s="2682"/>
      <c r="Y107" s="2682"/>
    </row>
    <row r="108" spans="2:25" x14ac:dyDescent="0.55000000000000004">
      <c r="B108" s="2682"/>
      <c r="C108" s="2682"/>
      <c r="D108" s="2682"/>
      <c r="E108" s="2682"/>
      <c r="F108" s="2682"/>
      <c r="G108" s="2682"/>
      <c r="H108" s="2682"/>
      <c r="I108" s="2682"/>
      <c r="J108" s="2682"/>
      <c r="K108" s="2682"/>
      <c r="L108" s="2682"/>
      <c r="M108" s="2682"/>
      <c r="N108" s="2682"/>
      <c r="O108" s="2682"/>
      <c r="P108" s="2682"/>
      <c r="Q108" s="2682"/>
      <c r="R108" s="2682"/>
      <c r="S108" s="2682"/>
      <c r="T108" s="2682"/>
      <c r="U108" s="2682"/>
      <c r="V108" s="2682"/>
      <c r="W108" s="2682"/>
      <c r="X108" s="2682"/>
      <c r="Y108" s="2682"/>
    </row>
    <row r="109" spans="2:25" x14ac:dyDescent="0.55000000000000004">
      <c r="B109" s="2682"/>
      <c r="C109" s="2682"/>
      <c r="D109" s="2682"/>
      <c r="E109" s="2682"/>
      <c r="F109" s="2682"/>
      <c r="G109" s="2682"/>
      <c r="H109" s="2682"/>
      <c r="I109" s="2682"/>
      <c r="J109" s="2682"/>
      <c r="K109" s="2682"/>
      <c r="L109" s="2682"/>
      <c r="M109" s="2682"/>
      <c r="N109" s="2682"/>
      <c r="O109" s="2682"/>
      <c r="P109" s="2682"/>
      <c r="Q109" s="2682"/>
      <c r="R109" s="2682"/>
      <c r="S109" s="2682"/>
      <c r="T109" s="2682"/>
      <c r="U109" s="2682"/>
      <c r="V109" s="2682"/>
      <c r="W109" s="2682"/>
      <c r="X109" s="2682"/>
      <c r="Y109" s="2682"/>
    </row>
    <row r="110" spans="2:25" x14ac:dyDescent="0.55000000000000004">
      <c r="B110" s="2682"/>
      <c r="C110" s="2682"/>
      <c r="D110" s="2682"/>
      <c r="E110" s="2682"/>
      <c r="F110" s="2682"/>
      <c r="G110" s="2682"/>
      <c r="H110" s="2682"/>
      <c r="I110" s="2682"/>
      <c r="J110" s="2682"/>
      <c r="K110" s="2682"/>
      <c r="L110" s="2682"/>
      <c r="M110" s="2682"/>
      <c r="N110" s="2682"/>
      <c r="O110" s="2682"/>
      <c r="P110" s="2682"/>
      <c r="Q110" s="2682"/>
      <c r="R110" s="2682"/>
      <c r="S110" s="2682"/>
      <c r="T110" s="2682"/>
      <c r="U110" s="2682"/>
      <c r="V110" s="2682"/>
      <c r="W110" s="2682"/>
      <c r="X110" s="2682"/>
      <c r="Y110" s="2682"/>
    </row>
    <row r="111" spans="2:25" x14ac:dyDescent="0.55000000000000004">
      <c r="B111" s="2682"/>
      <c r="C111" s="2682"/>
      <c r="D111" s="2682"/>
      <c r="E111" s="2682"/>
      <c r="F111" s="2682"/>
      <c r="G111" s="2682"/>
      <c r="H111" s="2682"/>
      <c r="I111" s="2682"/>
      <c r="J111" s="2682"/>
      <c r="K111" s="2682"/>
      <c r="L111" s="2682"/>
      <c r="M111" s="2682"/>
      <c r="N111" s="2682"/>
      <c r="O111" s="2682"/>
      <c r="P111" s="2682"/>
      <c r="Q111" s="2682"/>
      <c r="R111" s="2682"/>
      <c r="S111" s="2682"/>
      <c r="T111" s="2682"/>
      <c r="U111" s="2682"/>
      <c r="V111" s="2682"/>
      <c r="W111" s="2682"/>
      <c r="X111" s="2682"/>
      <c r="Y111" s="2682"/>
    </row>
    <row r="112" spans="2:25" x14ac:dyDescent="0.55000000000000004">
      <c r="B112" s="2682"/>
      <c r="C112" s="2682"/>
      <c r="D112" s="2682"/>
      <c r="E112" s="2682"/>
      <c r="F112" s="2682"/>
      <c r="G112" s="2682"/>
      <c r="H112" s="2682"/>
      <c r="I112" s="2682"/>
      <c r="J112" s="2682"/>
      <c r="K112" s="2682"/>
      <c r="L112" s="2682"/>
      <c r="M112" s="2682"/>
      <c r="N112" s="2682"/>
      <c r="O112" s="2682"/>
      <c r="P112" s="2682"/>
      <c r="Q112" s="2682"/>
      <c r="R112" s="2682"/>
      <c r="S112" s="2682"/>
      <c r="T112" s="2682"/>
      <c r="U112" s="2682"/>
      <c r="V112" s="2682"/>
      <c r="W112" s="2682"/>
      <c r="X112" s="2682"/>
      <c r="Y112" s="2682"/>
    </row>
    <row r="113" spans="2:25" x14ac:dyDescent="0.55000000000000004">
      <c r="B113" s="2682"/>
      <c r="C113" s="2682"/>
      <c r="D113" s="2682"/>
      <c r="E113" s="2682"/>
      <c r="F113" s="2682"/>
      <c r="G113" s="2682"/>
      <c r="H113" s="2682"/>
      <c r="I113" s="2682"/>
      <c r="J113" s="2682"/>
      <c r="K113" s="2682"/>
      <c r="L113" s="2682"/>
      <c r="M113" s="2682"/>
      <c r="N113" s="2682"/>
      <c r="O113" s="2682"/>
      <c r="P113" s="2682"/>
      <c r="Q113" s="2682"/>
      <c r="R113" s="2682"/>
      <c r="S113" s="2682"/>
      <c r="T113" s="2682"/>
      <c r="U113" s="2682"/>
      <c r="V113" s="2682"/>
      <c r="W113" s="2682"/>
      <c r="X113" s="2682"/>
      <c r="Y113" s="2682"/>
    </row>
    <row r="114" spans="2:25" x14ac:dyDescent="0.55000000000000004">
      <c r="B114" s="2682"/>
      <c r="C114" s="2682"/>
      <c r="D114" s="2682"/>
      <c r="E114" s="2682"/>
      <c r="F114" s="2682"/>
      <c r="G114" s="2682"/>
      <c r="H114" s="2682"/>
      <c r="I114" s="2682"/>
      <c r="J114" s="2682"/>
      <c r="K114" s="2682"/>
      <c r="L114" s="2682"/>
      <c r="M114" s="2682"/>
      <c r="N114" s="2682"/>
      <c r="O114" s="2682"/>
      <c r="P114" s="2682"/>
      <c r="Q114" s="2682"/>
      <c r="R114" s="2682"/>
      <c r="S114" s="2682"/>
      <c r="T114" s="2682"/>
      <c r="U114" s="2682"/>
      <c r="V114" s="2682"/>
      <c r="W114" s="2682"/>
      <c r="X114" s="2682"/>
      <c r="Y114" s="2682"/>
    </row>
    <row r="115" spans="2:25" x14ac:dyDescent="0.55000000000000004">
      <c r="B115" s="2682"/>
      <c r="C115" s="2682"/>
      <c r="D115" s="2682"/>
      <c r="E115" s="2682"/>
      <c r="F115" s="2682"/>
      <c r="G115" s="2682"/>
      <c r="H115" s="2682"/>
      <c r="I115" s="2682"/>
      <c r="J115" s="2682"/>
      <c r="K115" s="2682"/>
      <c r="L115" s="2682"/>
      <c r="M115" s="2682"/>
      <c r="N115" s="2682"/>
      <c r="O115" s="2682"/>
      <c r="P115" s="2682"/>
      <c r="Q115" s="2682"/>
      <c r="R115" s="2682"/>
      <c r="S115" s="2682"/>
      <c r="T115" s="2682"/>
      <c r="U115" s="2682"/>
      <c r="V115" s="2682"/>
      <c r="W115" s="2682"/>
      <c r="X115" s="2682"/>
      <c r="Y115" s="2682"/>
    </row>
    <row r="116" spans="2:25" x14ac:dyDescent="0.55000000000000004">
      <c r="B116" s="2682"/>
      <c r="C116" s="2682"/>
      <c r="D116" s="2682"/>
      <c r="E116" s="2682"/>
      <c r="F116" s="2682"/>
      <c r="G116" s="2682"/>
      <c r="H116" s="2682"/>
      <c r="I116" s="2682"/>
      <c r="J116" s="2682"/>
      <c r="K116" s="2682"/>
      <c r="L116" s="2682"/>
      <c r="M116" s="2682"/>
      <c r="N116" s="2682"/>
      <c r="O116" s="2682"/>
      <c r="P116" s="2682"/>
      <c r="Q116" s="2682"/>
      <c r="R116" s="2682"/>
      <c r="S116" s="2682"/>
      <c r="T116" s="2682"/>
      <c r="U116" s="2682"/>
      <c r="V116" s="2682"/>
      <c r="W116" s="2682"/>
      <c r="X116" s="2682"/>
      <c r="Y116" s="2682"/>
    </row>
    <row r="117" spans="2:25" x14ac:dyDescent="0.55000000000000004">
      <c r="B117" s="2682"/>
      <c r="C117" s="2682"/>
      <c r="D117" s="2682"/>
      <c r="E117" s="2682"/>
      <c r="F117" s="2682"/>
      <c r="G117" s="2682"/>
      <c r="H117" s="2682"/>
      <c r="I117" s="2682"/>
      <c r="J117" s="2682"/>
      <c r="K117" s="2682"/>
      <c r="L117" s="2682"/>
      <c r="M117" s="2682"/>
      <c r="N117" s="2682"/>
      <c r="O117" s="2682"/>
      <c r="P117" s="2682"/>
      <c r="Q117" s="2682"/>
      <c r="R117" s="2682"/>
      <c r="S117" s="2682"/>
      <c r="T117" s="2682"/>
      <c r="U117" s="2682"/>
      <c r="V117" s="2682"/>
      <c r="W117" s="2682"/>
      <c r="X117" s="2682"/>
      <c r="Y117" s="2682"/>
    </row>
  </sheetData>
  <mergeCells count="14">
    <mergeCell ref="F5:S5"/>
    <mergeCell ref="B3:W3"/>
    <mergeCell ref="B33:B70"/>
    <mergeCell ref="T5:W5"/>
    <mergeCell ref="B7:B13"/>
    <mergeCell ref="B14:B31"/>
    <mergeCell ref="C17:C20"/>
    <mergeCell ref="C21:C23"/>
    <mergeCell ref="C24:C27"/>
    <mergeCell ref="C14:C16"/>
    <mergeCell ref="C10:C13"/>
    <mergeCell ref="C28:C31"/>
    <mergeCell ref="C7:C9"/>
    <mergeCell ref="B6:D6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0" fitToHeight="0" orientation="landscape" r:id="rId1"/>
  <headerFooter scaleWithDoc="0">
    <oddFooter>&amp;R&amp;"-,기울임꼴"&amp;8&amp;P &amp; 페이지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DBB8-5285-4EFA-8B1F-6B9993E3ED18}">
  <sheetPr codeName="Sheet15">
    <pageSetUpPr fitToPage="1"/>
  </sheetPr>
  <dimension ref="A1:BJ118"/>
  <sheetViews>
    <sheetView showGridLines="0" view="pageBreakPreview" zoomScale="55" zoomScaleNormal="100" zoomScaleSheetLayoutView="55" workbookViewId="0">
      <selection activeCell="AG13" sqref="AG13"/>
    </sheetView>
  </sheetViews>
  <sheetFormatPr defaultRowHeight="15" outlineLevelCol="1" x14ac:dyDescent="0.55000000000000004"/>
  <cols>
    <col min="1" max="1" width="11.42578125" style="2441" customWidth="1"/>
    <col min="2" max="2" width="9.140625" style="2441"/>
    <col min="3" max="5" width="9.92578125" style="2441" customWidth="1"/>
    <col min="6" max="6" width="9.42578125" style="2441" customWidth="1"/>
    <col min="7" max="10" width="9.42578125" style="2441" customWidth="1" outlineLevel="1"/>
    <col min="11" max="17" width="9.7109375" style="2441" customWidth="1" outlineLevel="1"/>
    <col min="18" max="19" width="10.2109375" style="4033" customWidth="1"/>
    <col min="20" max="20" width="10.5" style="4033" customWidth="1"/>
    <col min="21" max="23" width="8.0703125" style="2441" customWidth="1"/>
    <col min="24" max="25" width="8.5703125" style="2441" customWidth="1"/>
    <col min="26" max="28" width="8.35546875" style="2441" customWidth="1"/>
    <col min="29" max="31" width="8.85546875" style="2441" customWidth="1"/>
    <col min="32" max="32" width="7.42578125" style="4035" customWidth="1"/>
    <col min="33" max="34" width="7.42578125" style="4036" customWidth="1"/>
    <col min="35" max="16384" width="9.140625" style="2441"/>
  </cols>
  <sheetData>
    <row r="1" spans="1:62" s="4027" customFormat="1" x14ac:dyDescent="0.55000000000000004">
      <c r="D1" s="4028" t="s">
        <v>664</v>
      </c>
      <c r="E1" s="4029" t="s">
        <v>469</v>
      </c>
      <c r="F1" s="4029" t="s">
        <v>466</v>
      </c>
      <c r="G1" s="4029" t="s">
        <v>467</v>
      </c>
      <c r="H1" s="4029" t="s">
        <v>468</v>
      </c>
      <c r="I1" s="4029" t="s">
        <v>472</v>
      </c>
      <c r="J1" s="4029" t="s">
        <v>927</v>
      </c>
      <c r="K1" s="4029" t="s">
        <v>740</v>
      </c>
      <c r="L1" s="4029" t="s">
        <v>874</v>
      </c>
      <c r="M1" s="4029" t="s">
        <v>875</v>
      </c>
      <c r="N1" s="4029" t="s">
        <v>876</v>
      </c>
      <c r="O1" s="4029" t="s">
        <v>877</v>
      </c>
      <c r="P1" s="4029" t="s">
        <v>878</v>
      </c>
      <c r="Q1" s="4029" t="s">
        <v>879</v>
      </c>
      <c r="R1" s="4030" t="s">
        <v>879</v>
      </c>
      <c r="S1" s="4030" t="s">
        <v>879</v>
      </c>
      <c r="T1" s="4028"/>
      <c r="U1" s="4029" t="s">
        <v>467</v>
      </c>
      <c r="V1" s="4029" t="s">
        <v>468</v>
      </c>
      <c r="W1" s="4028" t="s">
        <v>472</v>
      </c>
      <c r="X1" s="4029" t="s">
        <v>927</v>
      </c>
      <c r="Y1" s="4029" t="s">
        <v>467</v>
      </c>
      <c r="Z1" s="4028" t="s">
        <v>874</v>
      </c>
      <c r="AA1" s="4027" t="s">
        <v>875</v>
      </c>
      <c r="AB1" s="4027" t="s">
        <v>876</v>
      </c>
      <c r="AC1" s="4027" t="s">
        <v>877</v>
      </c>
      <c r="AD1" s="4027" t="s">
        <v>878</v>
      </c>
      <c r="AE1" s="4027" t="s">
        <v>879</v>
      </c>
      <c r="AF1" s="4031" t="s">
        <v>534</v>
      </c>
      <c r="AG1" s="4031" t="s">
        <v>534</v>
      </c>
      <c r="AH1" s="4031" t="s">
        <v>534</v>
      </c>
    </row>
    <row r="2" spans="1:62" ht="15.45" thickBot="1" x14ac:dyDescent="0.6">
      <c r="C2" s="4032"/>
      <c r="D2" s="4032"/>
      <c r="E2" s="4032"/>
      <c r="F2" s="4029" t="s">
        <v>466</v>
      </c>
      <c r="G2" s="4029" t="s">
        <v>467</v>
      </c>
      <c r="H2" s="4029" t="s">
        <v>468</v>
      </c>
      <c r="I2" s="4029" t="s">
        <v>472</v>
      </c>
      <c r="J2" s="4029" t="s">
        <v>927</v>
      </c>
      <c r="K2" s="4029" t="s">
        <v>740</v>
      </c>
      <c r="L2" s="4029" t="s">
        <v>874</v>
      </c>
      <c r="M2" s="4029" t="s">
        <v>875</v>
      </c>
      <c r="N2" s="4029" t="s">
        <v>876</v>
      </c>
      <c r="O2" s="4029" t="s">
        <v>877</v>
      </c>
      <c r="P2" s="4029" t="s">
        <v>878</v>
      </c>
      <c r="Q2" s="4029" t="s">
        <v>879</v>
      </c>
      <c r="AF2" s="4034" t="s">
        <v>535</v>
      </c>
      <c r="AG2" s="4034" t="s">
        <v>536</v>
      </c>
      <c r="AH2" s="4034" t="s">
        <v>537</v>
      </c>
    </row>
    <row r="3" spans="1:62" ht="60" customHeight="1" thickTop="1" thickBot="1" x14ac:dyDescent="0.6">
      <c r="A3" s="7078" t="s">
        <v>916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7078"/>
      <c r="Y3" s="7078"/>
      <c r="Z3" s="7078"/>
      <c r="AA3" s="7078"/>
      <c r="AB3" s="7107"/>
      <c r="AC3" s="7107"/>
      <c r="AD3" s="7107"/>
      <c r="AE3" s="7107"/>
    </row>
    <row r="4" spans="1:62" s="2444" customFormat="1" ht="15.55" customHeight="1" thickTop="1" thickBot="1" x14ac:dyDescent="0.6">
      <c r="A4" s="2447"/>
      <c r="B4" s="2992"/>
      <c r="C4" s="2992"/>
      <c r="D4" s="2992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F4" s="2449"/>
      <c r="BG4" s="2449"/>
      <c r="BH4" s="2449"/>
      <c r="BI4" s="2449"/>
      <c r="BJ4" s="2449"/>
    </row>
    <row r="5" spans="1:62" ht="17.149999999999999" thickTop="1" thickBot="1" x14ac:dyDescent="0.6">
      <c r="A5" s="2493"/>
      <c r="B5" s="3679"/>
      <c r="C5" s="3679"/>
      <c r="D5" s="3679"/>
      <c r="E5" s="3679"/>
      <c r="F5" s="7079" t="s">
        <v>1152</v>
      </c>
      <c r="G5" s="7080"/>
      <c r="H5" s="7080"/>
      <c r="I5" s="7080"/>
      <c r="J5" s="7080"/>
      <c r="K5" s="7080"/>
      <c r="L5" s="7080"/>
      <c r="M5" s="7080"/>
      <c r="N5" s="7080"/>
      <c r="O5" s="7080"/>
      <c r="P5" s="7080"/>
      <c r="Q5" s="7080"/>
      <c r="R5" s="7080"/>
      <c r="S5" s="7080"/>
      <c r="T5" s="7426"/>
      <c r="U5" s="7403" t="s">
        <v>258</v>
      </c>
      <c r="V5" s="7403"/>
      <c r="W5" s="7403"/>
      <c r="X5" s="7404" t="s">
        <v>273</v>
      </c>
      <c r="Y5" s="7405"/>
      <c r="Z5" s="7404" t="str">
        <f>"생산성 월평균(~"&amp;'※ 팀별 작성_인프라_인력'!A1-0.001&amp;"월)"</f>
        <v>생산성 월평균(~12월)</v>
      </c>
      <c r="AA5" s="7074"/>
      <c r="AB5" s="7074"/>
      <c r="AC5" s="7074"/>
      <c r="AD5" s="7074"/>
      <c r="AE5" s="7075"/>
    </row>
    <row r="6" spans="1:62" ht="17.149999999999999" thickTop="1" thickBot="1" x14ac:dyDescent="0.6">
      <c r="A6" s="7415" t="s">
        <v>127</v>
      </c>
      <c r="B6" s="7416"/>
      <c r="C6" s="7417"/>
      <c r="D6" s="3680" t="s">
        <v>906</v>
      </c>
      <c r="E6" s="3681" t="s">
        <v>905</v>
      </c>
      <c r="F6" s="3315" t="str" cm="1">
        <f t="array" aca="1" ref="F6" ca="1">INDIRECT("'※ 팀별 작성_인프라_인력'!"&amp;F$2&amp;$AF6, TRUE)</f>
        <v>'25.1월</v>
      </c>
      <c r="G6" s="3316" t="str" cm="1">
        <f t="array" aca="1" ref="G6" ca="1">INDIRECT("'※ 팀별 작성_인프라_인력'!"&amp;G$2&amp;$AF6, TRUE)</f>
        <v>'25.2월</v>
      </c>
      <c r="H6" s="3316" t="str" cm="1">
        <f t="array" aca="1" ref="H6" ca="1">INDIRECT("'※ 팀별 작성_인프라_인력'!"&amp;H$2&amp;$AF6, TRUE)</f>
        <v>'25.3월</v>
      </c>
      <c r="I6" s="3316" t="str" cm="1">
        <f t="array" aca="1" ref="I6" ca="1">INDIRECT("'※ 팀별 작성_인프라_인력'!"&amp;I$2&amp;$AF6, TRUE)</f>
        <v>'25.4월</v>
      </c>
      <c r="J6" s="3316" t="str" cm="1">
        <f t="array" aca="1" ref="J6" ca="1">INDIRECT("'※ 팀별 작성_인프라_인력'!"&amp;J$2&amp;$AF6, TRUE)</f>
        <v>'25.5월</v>
      </c>
      <c r="K6" s="3316" t="str" cm="1">
        <f t="array" aca="1" ref="K6" ca="1">INDIRECT("'※ 팀별 작성_인프라_인력'!"&amp;K$2&amp;$AF6, TRUE)</f>
        <v>'25.6월</v>
      </c>
      <c r="L6" s="3316" t="str" cm="1">
        <f t="array" aca="1" ref="L6" ca="1">INDIRECT("'※ 팀별 작성_인프라_인력'!"&amp;L$2&amp;$AF6, TRUE)</f>
        <v>'25.7월</v>
      </c>
      <c r="M6" s="3316" t="str" cm="1">
        <f t="array" aca="1" ref="M6" ca="1">INDIRECT("'※ 팀별 작성_인프라_인력'!"&amp;M$2&amp;$AF6, TRUE)</f>
        <v>'25.8월</v>
      </c>
      <c r="N6" s="3316" t="str" cm="1">
        <f t="array" aca="1" ref="N6" ca="1">INDIRECT("'※ 팀별 작성_인프라_인력'!"&amp;N$2&amp;$AF6, TRUE)</f>
        <v>'25.9월</v>
      </c>
      <c r="O6" s="3316" t="str" cm="1">
        <f t="array" aca="1" ref="O6" ca="1">INDIRECT("'※ 팀별 작성_인프라_인력'!"&amp;O$2&amp;$AF6, TRUE)</f>
        <v>'25.10월</v>
      </c>
      <c r="P6" s="3316" t="str" cm="1">
        <f t="array" aca="1" ref="P6" ca="1">INDIRECT("'※ 팀별 작성_인프라_인력'!"&amp;P$2&amp;$AF6, TRUE)</f>
        <v>'25.11월</v>
      </c>
      <c r="Q6" s="3316" t="str" cm="1">
        <f t="array" aca="1" ref="Q6" ca="1">INDIRECT("'※ 팀별 작성_인프라_인력'!"&amp;Q$2&amp;$AF6, TRUE)</f>
        <v>'25.12월</v>
      </c>
      <c r="R6" s="4037" t="s">
        <v>251</v>
      </c>
      <c r="S6" s="4038" t="s">
        <v>252</v>
      </c>
      <c r="T6" s="4039" t="s">
        <v>51</v>
      </c>
      <c r="U6" s="4040" t="s">
        <v>251</v>
      </c>
      <c r="V6" s="4040" t="s">
        <v>252</v>
      </c>
      <c r="W6" s="4040" t="s">
        <v>51</v>
      </c>
      <c r="X6" s="4041" t="s">
        <v>271</v>
      </c>
      <c r="Y6" s="4042" t="s">
        <v>272</v>
      </c>
      <c r="Z6" s="4043" t="s">
        <v>263</v>
      </c>
      <c r="AA6" s="3318" t="s">
        <v>265</v>
      </c>
      <c r="AB6" s="4044" t="s">
        <v>11</v>
      </c>
      <c r="AC6" s="4045" t="s">
        <v>264</v>
      </c>
      <c r="AD6" s="3318" t="s">
        <v>265</v>
      </c>
      <c r="AE6" s="4046" t="s">
        <v>11</v>
      </c>
      <c r="AF6" s="4047">
        <f>ROW('※ 팀별 작성_인프라_인력'!AH2)</f>
        <v>2</v>
      </c>
    </row>
    <row r="7" spans="1:62" ht="17.399999999999999" customHeight="1" x14ac:dyDescent="0.55000000000000004">
      <c r="A7" s="7406" t="s">
        <v>253</v>
      </c>
      <c r="B7" s="3004" t="s">
        <v>259</v>
      </c>
      <c r="C7" s="3004"/>
      <c r="D7" s="4048">
        <f ca="1">SUM(D8:D10)</f>
        <v>256.66666666666669</v>
      </c>
      <c r="E7" s="4048">
        <f ca="1">SUM(E8:E10)</f>
        <v>266.16666666666663</v>
      </c>
      <c r="F7" s="4049">
        <f t="shared" ref="F7" ca="1" si="0">SUM(F8:F10)</f>
        <v>272</v>
      </c>
      <c r="G7" s="4050">
        <f t="shared" ref="G7:R7" ca="1" si="1">SUM(G8:G10)</f>
        <v>269</v>
      </c>
      <c r="H7" s="4050">
        <f t="shared" ca="1" si="1"/>
        <v>262</v>
      </c>
      <c r="I7" s="4050">
        <f t="shared" ca="1" si="1"/>
        <v>258</v>
      </c>
      <c r="J7" s="4050">
        <f t="shared" ca="1" si="1"/>
        <v>257</v>
      </c>
      <c r="K7" s="4050">
        <f t="shared" ca="1" si="1"/>
        <v>252</v>
      </c>
      <c r="L7" s="4050">
        <f t="shared" ref="L7:M7" ca="1" si="2">SUM(L8:L10)</f>
        <v>254</v>
      </c>
      <c r="M7" s="4050">
        <f t="shared" ca="1" si="2"/>
        <v>253</v>
      </c>
      <c r="N7" s="4050">
        <f t="shared" ref="N7:O7" ca="1" si="3">SUM(N8:N10)</f>
        <v>253</v>
      </c>
      <c r="O7" s="4050">
        <f t="shared" ca="1" si="3"/>
        <v>252</v>
      </c>
      <c r="P7" s="4050">
        <f t="shared" ref="P7:Q7" ca="1" si="4">SUM(P8:P10)</f>
        <v>252</v>
      </c>
      <c r="Q7" s="4050">
        <f t="shared" ca="1" si="4"/>
        <v>250</v>
      </c>
      <c r="R7" s="4051">
        <f t="shared" ca="1" si="1"/>
        <v>1</v>
      </c>
      <c r="S7" s="4050">
        <f ca="1">SUM(S8:S10)</f>
        <v>3</v>
      </c>
      <c r="T7" s="4052">
        <f ca="1">R7-S7</f>
        <v>-2</v>
      </c>
      <c r="U7" s="4050">
        <f>SUM(U8:U10)</f>
        <v>5</v>
      </c>
      <c r="V7" s="4050">
        <f>SUM(V8:V10)</f>
        <v>29</v>
      </c>
      <c r="W7" s="4053">
        <f>U7-V7</f>
        <v>-24</v>
      </c>
      <c r="X7" s="4054">
        <f>SUM(X8:X10)</f>
        <v>50.662444796266982</v>
      </c>
      <c r="Y7" s="4055">
        <f>SUM(Y8:Y10)</f>
        <v>63.494708774268815</v>
      </c>
      <c r="Z7" s="4056">
        <f>'※ 팀별 작성_인프라_인력'!BK138</f>
        <v>76.335104150559076</v>
      </c>
      <c r="AA7" s="3008">
        <f>'※ 팀별 작성_인프라_인력'!BK157</f>
        <v>17.959216587564413</v>
      </c>
      <c r="AB7" s="4057">
        <f>'※ 팀별 작성_인프라_인력'!BO157</f>
        <v>2.3358957336921407</v>
      </c>
      <c r="AC7" s="4058">
        <f>'※ 팀별 작성_인프라_인력'!BK174</f>
        <v>15.358742611352005</v>
      </c>
      <c r="AD7" s="3008">
        <f>'※ 팀별 작성_인프라_인력'!BK193</f>
        <v>3.7399109809317279</v>
      </c>
      <c r="AE7" s="3013">
        <f>'※ 팀별 작성_인프라_인력'!BO193</f>
        <v>0.69318608655084102</v>
      </c>
    </row>
    <row r="8" spans="1:62" ht="17.399999999999999" customHeight="1" x14ac:dyDescent="0.55000000000000004">
      <c r="A8" s="7407"/>
      <c r="B8" s="3014"/>
      <c r="C8" s="3707" t="s">
        <v>260</v>
      </c>
      <c r="D8" s="4059" cm="1">
        <f t="array" aca="1" ref="D8" ca="1">INDIRECT("'※ 팀별 작성_인프라_인력'!"&amp;D$1&amp;$AF8, TRUE)</f>
        <v>1</v>
      </c>
      <c r="E8" s="4059" cm="1">
        <f t="array" aca="1" ref="E8" ca="1">INDIRECT("'※ 팀별 작성_인프라_인력'!"&amp;E$1&amp;$AF8, TRUE)</f>
        <v>1</v>
      </c>
      <c r="F8" s="4060" cm="1">
        <f t="array" aca="1" ref="F8" ca="1">INDIRECT("'※ 팀별 작성_인프라_인력'!"&amp;F$1&amp;$AF8, TRUE)</f>
        <v>1</v>
      </c>
      <c r="G8" s="4061" cm="1">
        <f t="array" aca="1" ref="G8" ca="1">INDIRECT("'※ 팀별 작성_인프라_인력'!"&amp;G$1&amp;$AF8, TRUE)</f>
        <v>1</v>
      </c>
      <c r="H8" s="4061" cm="1">
        <f t="array" aca="1" ref="H8" ca="1">INDIRECT("'※ 팀별 작성_인프라_인력'!"&amp;H$1&amp;$AF8, TRUE)</f>
        <v>1</v>
      </c>
      <c r="I8" s="4061" cm="1">
        <f t="array" aca="1" ref="I8" ca="1">INDIRECT("'※ 팀별 작성_인프라_인력'!"&amp;I$1&amp;$AF8, TRUE)</f>
        <v>1</v>
      </c>
      <c r="J8" s="4061" cm="1">
        <f t="array" aca="1" ref="J8" ca="1">INDIRECT("'※ 팀별 작성_인프라_인력'!"&amp;J$1&amp;$AF8, TRUE)</f>
        <v>1</v>
      </c>
      <c r="K8" s="4061" cm="1">
        <f t="array" aca="1" ref="K8" ca="1">INDIRECT("'※ 팀별 작성_인프라_인력'!"&amp;K$1&amp;$AF8, TRUE)</f>
        <v>1</v>
      </c>
      <c r="L8" s="4061" cm="1">
        <f t="array" aca="1" ref="L8" ca="1">INDIRECT("'※ 팀별 작성_인프라_인력'!"&amp;L$1&amp;$AF8, TRUE)</f>
        <v>1</v>
      </c>
      <c r="M8" s="4061" cm="1">
        <f t="array" aca="1" ref="M8" ca="1">INDIRECT("'※ 팀별 작성_인프라_인력'!"&amp;M$1&amp;$AF8, TRUE)</f>
        <v>1</v>
      </c>
      <c r="N8" s="4061" cm="1">
        <f t="array" aca="1" ref="N8" ca="1">INDIRECT("'※ 팀별 작성_인프라_인력'!"&amp;N$1&amp;$AF8, TRUE)</f>
        <v>1</v>
      </c>
      <c r="O8" s="4061" cm="1">
        <f t="array" aca="1" ref="O8" ca="1">INDIRECT("'※ 팀별 작성_인프라_인력'!"&amp;O$1&amp;$AF8, TRUE)</f>
        <v>1</v>
      </c>
      <c r="P8" s="4061" cm="1">
        <f t="array" aca="1" ref="P8" ca="1">INDIRECT("'※ 팀별 작성_인프라_인력'!"&amp;P$1&amp;$AF8, TRUE)</f>
        <v>1</v>
      </c>
      <c r="Q8" s="4061" cm="1">
        <f t="array" aca="1" ref="Q8" ca="1">INDIRECT("'※ 팀별 작성_인프라_인력'!"&amp;Q$1&amp;$AF8, TRUE)</f>
        <v>1</v>
      </c>
      <c r="R8" s="4062" cm="1">
        <f t="array" aca="1" ref="R8" ca="1">INDIRECT("'※ 팀별 작성_인프라_인력'!"&amp;R$1&amp;$AG8, TRUE)</f>
        <v>0</v>
      </c>
      <c r="S8" s="4061" cm="1">
        <f t="array" aca="1" ref="S8" ca="1">INDIRECT("'※ 팀별 작성_인프라_인력'!"&amp;S$1&amp;$AH8, TRUE)</f>
        <v>0</v>
      </c>
      <c r="T8" s="4063">
        <f t="shared" ref="T8:T15" ca="1" si="5">R8-S8</f>
        <v>0</v>
      </c>
      <c r="U8" s="4061">
        <f>'※ 팀별 작성_인프라_인력'!BJ23</f>
        <v>0</v>
      </c>
      <c r="V8" s="4061">
        <f>'※ 팀별 작성_인프라_인력'!BJ42</f>
        <v>0</v>
      </c>
      <c r="W8" s="4064">
        <f t="shared" ref="W8:W25" si="6">U8-V8</f>
        <v>0</v>
      </c>
      <c r="X8" s="4065">
        <f>'※ 팀별 작성_인프라_인력'!BK100</f>
        <v>0.24997916840263312</v>
      </c>
      <c r="Y8" s="4066">
        <f>'※ 팀별 작성_인프라_인력'!BK119</f>
        <v>0</v>
      </c>
      <c r="Z8" s="4067"/>
      <c r="AA8" s="4068"/>
      <c r="AB8" s="4069"/>
      <c r="AC8" s="4070"/>
      <c r="AD8" s="4068"/>
      <c r="AE8" s="4071"/>
      <c r="AF8" s="4047">
        <f>ROW('※ 팀별 작성_인프라_인력'!AH4)</f>
        <v>4</v>
      </c>
      <c r="AG8" s="4036">
        <f>ROW('※ 팀별 작성_인프라_인력'!AI23)</f>
        <v>23</v>
      </c>
      <c r="AH8" s="4036">
        <f>ROW('※ 팀별 작성_인프라_인력'!AJ42)</f>
        <v>42</v>
      </c>
    </row>
    <row r="9" spans="1:62" ht="17.05" customHeight="1" x14ac:dyDescent="0.55000000000000004">
      <c r="A9" s="7407"/>
      <c r="B9" s="3014"/>
      <c r="C9" s="3707" t="s">
        <v>262</v>
      </c>
      <c r="D9" s="4059" cm="1">
        <f t="array" aca="1" ref="D9" ca="1">INDIRECT("'※ 팀별 작성_인프라_인력'!"&amp;D$1&amp;$AF9, TRUE)</f>
        <v>243.08333333333334</v>
      </c>
      <c r="E9" s="4059" cm="1">
        <f t="array" aca="1" ref="E9" ca="1">INDIRECT("'※ 팀별 작성_인프라_인력'!"&amp;E$1&amp;$AF9, TRUE)</f>
        <v>254.91666666666666</v>
      </c>
      <c r="F9" s="4060" cm="1">
        <f t="array" aca="1" ref="F9" ca="1">INDIRECT("'※ 팀별 작성_인프라_인력'!"&amp;F$1&amp;$AF9, TRUE)</f>
        <v>263</v>
      </c>
      <c r="G9" s="4061" cm="1">
        <f t="array" aca="1" ref="G9" ca="1">INDIRECT("'※ 팀별 작성_인프라_인력'!"&amp;G$1&amp;$AF9, TRUE)</f>
        <v>260</v>
      </c>
      <c r="H9" s="4061" cm="1">
        <f t="array" aca="1" ref="H9" ca="1">INDIRECT("'※ 팀별 작성_인프라_인력'!"&amp;H$1&amp;$AF9, TRUE)</f>
        <v>255</v>
      </c>
      <c r="I9" s="4061" cm="1">
        <f t="array" aca="1" ref="I9" ca="1">INDIRECT("'※ 팀별 작성_인프라_인력'!"&amp;I$1&amp;$AF9, TRUE)</f>
        <v>251</v>
      </c>
      <c r="J9" s="4061" cm="1">
        <f t="array" aca="1" ref="J9" ca="1">INDIRECT("'※ 팀별 작성_인프라_인력'!"&amp;J$1&amp;$AF9, TRUE)</f>
        <v>250</v>
      </c>
      <c r="K9" s="4061" cm="1">
        <f t="array" aca="1" ref="K9" ca="1">INDIRECT("'※ 팀별 작성_인프라_인력'!"&amp;K$1&amp;$AF9, TRUE)</f>
        <v>245</v>
      </c>
      <c r="L9" s="4061" cm="1">
        <f t="array" aca="1" ref="L9" ca="1">INDIRECT("'※ 팀별 작성_인프라_인력'!"&amp;L$1&amp;$AF9, TRUE)</f>
        <v>247</v>
      </c>
      <c r="M9" s="4061" cm="1">
        <f t="array" aca="1" ref="M9" ca="1">INDIRECT("'※ 팀별 작성_인프라_인력'!"&amp;M$1&amp;$AF9, TRUE)</f>
        <v>246</v>
      </c>
      <c r="N9" s="4061" cm="1">
        <f t="array" aca="1" ref="N9" ca="1">INDIRECT("'※ 팀별 작성_인프라_인력'!"&amp;N$1&amp;$AF9, TRUE)</f>
        <v>245</v>
      </c>
      <c r="O9" s="4061" cm="1">
        <f t="array" aca="1" ref="O9" ca="1">INDIRECT("'※ 팀별 작성_인프라_인력'!"&amp;O$1&amp;$AF9, TRUE)</f>
        <v>244</v>
      </c>
      <c r="P9" s="4061" cm="1">
        <f t="array" aca="1" ref="P9" ca="1">INDIRECT("'※ 팀별 작성_인프라_인력'!"&amp;P$1&amp;$AF9, TRUE)</f>
        <v>244</v>
      </c>
      <c r="Q9" s="4061" cm="1">
        <f t="array" aca="1" ref="Q9" ca="1">INDIRECT("'※ 팀별 작성_인프라_인력'!"&amp;Q$1&amp;$AF9, TRUE)</f>
        <v>242</v>
      </c>
      <c r="R9" s="4062" cm="1">
        <f t="array" aca="1" ref="R9" ca="1">INDIRECT("'※ 팀별 작성_인프라_인력'!"&amp;R$1&amp;$AG9, TRUE)</f>
        <v>1</v>
      </c>
      <c r="S9" s="4061" cm="1">
        <f t="array" aca="1" ref="S9" ca="1">INDIRECT("'※ 팀별 작성_인프라_인력'!"&amp;S$1&amp;$AH9, TRUE)</f>
        <v>3</v>
      </c>
      <c r="T9" s="4063">
        <f t="shared" ca="1" si="5"/>
        <v>-2</v>
      </c>
      <c r="U9" s="4061">
        <f>'※ 팀별 작성_인프라_인력'!BJ24</f>
        <v>4</v>
      </c>
      <c r="V9" s="4061">
        <f>'※ 팀별 작성_인프라_인력'!BJ43</f>
        <v>26</v>
      </c>
      <c r="W9" s="4064">
        <f>U9-V9</f>
        <v>-22</v>
      </c>
      <c r="X9" s="4065">
        <f>'※ 팀별 작성_인프라_인력'!BK101</f>
        <v>49.579201733188903</v>
      </c>
      <c r="Y9" s="4066">
        <f>'※ 팀별 작성_인프라_인력'!BK120</f>
        <v>60.994917090242481</v>
      </c>
      <c r="Z9" s="4067"/>
      <c r="AA9" s="4068"/>
      <c r="AB9" s="4069"/>
      <c r="AC9" s="4070"/>
      <c r="AD9" s="4068"/>
      <c r="AE9" s="4071"/>
      <c r="AF9" s="4047">
        <f>ROW('※ 팀별 작성_인프라_인력'!AH5)</f>
        <v>5</v>
      </c>
      <c r="AG9" s="4036">
        <f>ROW('※ 팀별 작성_인프라_인력'!AI24)</f>
        <v>24</v>
      </c>
      <c r="AH9" s="4036">
        <f>ROW('※ 팀별 작성_인프라_인력'!AJ43)</f>
        <v>43</v>
      </c>
    </row>
    <row r="10" spans="1:62" ht="17.399999999999999" customHeight="1" x14ac:dyDescent="0.55000000000000004">
      <c r="A10" s="7407"/>
      <c r="B10" s="3014"/>
      <c r="C10" s="3707" t="s">
        <v>261</v>
      </c>
      <c r="D10" s="4059" cm="1">
        <f t="array" aca="1" ref="D10" ca="1">INDIRECT("'※ 팀별 작성_인프라_인력'!"&amp;D$1&amp;$AF10, TRUE)</f>
        <v>12.583333333333334</v>
      </c>
      <c r="E10" s="4059" cm="1">
        <f t="array" aca="1" ref="E10" ca="1">INDIRECT("'※ 팀별 작성_인프라_인력'!"&amp;E$1&amp;$AF10, TRUE)</f>
        <v>10.25</v>
      </c>
      <c r="F10" s="4060" cm="1">
        <f t="array" aca="1" ref="F10" ca="1">INDIRECT("'※ 팀별 작성_인프라_인력'!"&amp;F$1&amp;$AF10, TRUE)</f>
        <v>8</v>
      </c>
      <c r="G10" s="4061" cm="1">
        <f t="array" aca="1" ref="G10" ca="1">INDIRECT("'※ 팀별 작성_인프라_인력'!"&amp;G$1&amp;$AF10, TRUE)</f>
        <v>8</v>
      </c>
      <c r="H10" s="4061" cm="1">
        <f t="array" aca="1" ref="H10" ca="1">INDIRECT("'※ 팀별 작성_인프라_인력'!"&amp;H$1&amp;$AF10, TRUE)</f>
        <v>6</v>
      </c>
      <c r="I10" s="4061" cm="1">
        <f t="array" aca="1" ref="I10" ca="1">INDIRECT("'※ 팀별 작성_인프라_인력'!"&amp;I$1&amp;$AF10, TRUE)</f>
        <v>6</v>
      </c>
      <c r="J10" s="4061" cm="1">
        <f t="array" aca="1" ref="J10" ca="1">INDIRECT("'※ 팀별 작성_인프라_인력'!"&amp;J$1&amp;$AF10, TRUE)</f>
        <v>6</v>
      </c>
      <c r="K10" s="4061" cm="1">
        <f t="array" aca="1" ref="K10" ca="1">INDIRECT("'※ 팀별 작성_인프라_인력'!"&amp;K$1&amp;$AF10, TRUE)</f>
        <v>6</v>
      </c>
      <c r="L10" s="4061" cm="1">
        <f t="array" aca="1" ref="L10" ca="1">INDIRECT("'※ 팀별 작성_인프라_인력'!"&amp;L$1&amp;$AF10, TRUE)</f>
        <v>6</v>
      </c>
      <c r="M10" s="4061" cm="1">
        <f t="array" aca="1" ref="M10" ca="1">INDIRECT("'※ 팀별 작성_인프라_인력'!"&amp;M$1&amp;$AF10, TRUE)</f>
        <v>6</v>
      </c>
      <c r="N10" s="4061" cm="1">
        <f t="array" aca="1" ref="N10" ca="1">INDIRECT("'※ 팀별 작성_인프라_인력'!"&amp;N$1&amp;$AF10, TRUE)</f>
        <v>7</v>
      </c>
      <c r="O10" s="4061" cm="1">
        <f t="array" aca="1" ref="O10" ca="1">INDIRECT("'※ 팀별 작성_인프라_인력'!"&amp;O$1&amp;$AF10, TRUE)</f>
        <v>7</v>
      </c>
      <c r="P10" s="4061" cm="1">
        <f t="array" aca="1" ref="P10" ca="1">INDIRECT("'※ 팀별 작성_인프라_인력'!"&amp;P$1&amp;$AF10, TRUE)</f>
        <v>7</v>
      </c>
      <c r="Q10" s="4061" cm="1">
        <f t="array" aca="1" ref="Q10" ca="1">INDIRECT("'※ 팀별 작성_인프라_인력'!"&amp;Q$1&amp;$AF10, TRUE)</f>
        <v>7</v>
      </c>
      <c r="R10" s="4062" cm="1">
        <f t="array" aca="1" ref="R10" ca="1">INDIRECT("'※ 팀별 작성_인프라_인력'!"&amp;R$1&amp;$AG10, TRUE)</f>
        <v>0</v>
      </c>
      <c r="S10" s="4061" cm="1">
        <f t="array" aca="1" ref="S10" ca="1">INDIRECT("'※ 팀별 작성_인프라_인력'!"&amp;S$1&amp;$AH10, TRUE)</f>
        <v>0</v>
      </c>
      <c r="T10" s="4063">
        <f t="shared" ca="1" si="5"/>
        <v>0</v>
      </c>
      <c r="U10" s="4061">
        <f>'※ 팀별 작성_인프라_인력'!BJ25</f>
        <v>1</v>
      </c>
      <c r="V10" s="4061">
        <f>'※ 팀별 작성_인프라_인력'!BJ44</f>
        <v>3</v>
      </c>
      <c r="W10" s="4064">
        <f t="shared" si="6"/>
        <v>-2</v>
      </c>
      <c r="X10" s="4065">
        <f>'※ 팀별 작성_인프라_인력'!BK102</f>
        <v>0.83326389467544371</v>
      </c>
      <c r="Y10" s="4066">
        <f>'※ 팀별 작성_인프라_인력'!BK121</f>
        <v>2.4997916840263312</v>
      </c>
      <c r="Z10" s="4067"/>
      <c r="AA10" s="4068"/>
      <c r="AB10" s="4069"/>
      <c r="AC10" s="4070"/>
      <c r="AD10" s="4068"/>
      <c r="AE10" s="4071"/>
      <c r="AF10" s="4047">
        <f>ROW('※ 팀별 작성_인프라_인력'!AH6)</f>
        <v>6</v>
      </c>
      <c r="AG10" s="4036">
        <f>ROW('※ 팀별 작성_인프라_인력'!AI25)</f>
        <v>25</v>
      </c>
      <c r="AH10" s="4036">
        <f>ROW('※ 팀별 작성_인프라_인력'!AJ44)</f>
        <v>44</v>
      </c>
    </row>
    <row r="11" spans="1:62" x14ac:dyDescent="0.55000000000000004">
      <c r="A11" s="7407"/>
      <c r="B11" s="4072" t="s">
        <v>222</v>
      </c>
      <c r="C11" s="4073"/>
      <c r="D11" s="4074" cm="1">
        <f t="array" aca="1" ref="D11" ca="1">INDIRECT("'※ 팀별 작성_인프라_인력'!"&amp;D$1&amp;$AF11, TRUE)</f>
        <v>44.5</v>
      </c>
      <c r="E11" s="4074" cm="1">
        <f t="array" aca="1" ref="E11" ca="1">INDIRECT("'※ 팀별 작성_인프라_인력'!"&amp;E$1&amp;$AF11, TRUE)</f>
        <v>50.416666666666664</v>
      </c>
      <c r="F11" s="4075">
        <f t="shared" ref="F11:J11" ca="1" si="7">SUM(F16:F17)</f>
        <v>54</v>
      </c>
      <c r="G11" s="4076">
        <f t="shared" ca="1" si="7"/>
        <v>53</v>
      </c>
      <c r="H11" s="4076">
        <f t="shared" ca="1" si="7"/>
        <v>50</v>
      </c>
      <c r="I11" s="4076">
        <f t="shared" ca="1" si="7"/>
        <v>50</v>
      </c>
      <c r="J11" s="4076">
        <f t="shared" ca="1" si="7"/>
        <v>50</v>
      </c>
      <c r="K11" s="4076">
        <f t="shared" ref="K11:P11" ca="1" si="8">SUM(K16:K17)</f>
        <v>49</v>
      </c>
      <c r="L11" s="4076">
        <f t="shared" ca="1" si="8"/>
        <v>49</v>
      </c>
      <c r="M11" s="4076">
        <f t="shared" ca="1" si="8"/>
        <v>49</v>
      </c>
      <c r="N11" s="4076">
        <f t="shared" ca="1" si="8"/>
        <v>49</v>
      </c>
      <c r="O11" s="4076">
        <f t="shared" ca="1" si="8"/>
        <v>49</v>
      </c>
      <c r="P11" s="4076">
        <f t="shared" ca="1" si="8"/>
        <v>49</v>
      </c>
      <c r="Q11" s="4076">
        <f t="shared" ref="Q11" ca="1" si="9">SUM(Q16:Q17)</f>
        <v>48</v>
      </c>
      <c r="R11" s="4077" cm="1">
        <f t="array" aca="1" ref="R11" ca="1">INDIRECT("'※ 팀별 작성_인프라_인력'!"&amp;R$1&amp;$AG11, TRUE)</f>
        <v>1</v>
      </c>
      <c r="S11" s="4076" cm="1">
        <f t="array" aca="1" ref="S11" ca="1">INDIRECT("'※ 팀별 작성_인프라_인력'!"&amp;S$1&amp;$AH11, TRUE)</f>
        <v>2</v>
      </c>
      <c r="T11" s="4078">
        <f t="shared" ca="1" si="5"/>
        <v>-1</v>
      </c>
      <c r="U11" s="4076">
        <f>'※ 팀별 작성_인프라_인력'!BJ26</f>
        <v>2</v>
      </c>
      <c r="V11" s="4076">
        <f>'※ 팀별 작성_인프라_인력'!BJ45</f>
        <v>8</v>
      </c>
      <c r="W11" s="4079">
        <f t="shared" si="6"/>
        <v>-6</v>
      </c>
      <c r="X11" s="4080">
        <f>'※ 팀별 작성_인프라_인력'!BK103</f>
        <v>7.749354220481627</v>
      </c>
      <c r="Y11" s="4081">
        <f>'※ 팀별 작성_인프라_인력'!BK122</f>
        <v>9.8325139571702369</v>
      </c>
      <c r="Z11" s="4082">
        <f>'※ 팀별 작성_인프라_인력'!BK142</f>
        <v>68.079884180941349</v>
      </c>
      <c r="AA11" s="4083">
        <f>'※ 팀별 작성_인프라_인력'!BK158</f>
        <v>16.358358271675883</v>
      </c>
      <c r="AB11" s="4084">
        <f>'※ 팀별 작성_인프라_인력'!BO158</f>
        <v>2.640369194310324</v>
      </c>
      <c r="AC11" s="4085">
        <f>'※ 팀별 작성_인프라_인력'!BK178</f>
        <v>12.710496124115519</v>
      </c>
      <c r="AD11" s="4083">
        <f>'※ 팀별 작성_인프라_인력'!BK197</f>
        <v>3.0753033126201563</v>
      </c>
      <c r="AE11" s="4086">
        <f>'※ 팀별 작성_인프라_인력'!BO197</f>
        <v>0.71280943294850152</v>
      </c>
      <c r="AF11" s="4047">
        <f>ROW('※ 팀별 작성_인프라_인력'!AH7)</f>
        <v>7</v>
      </c>
      <c r="AG11" s="4036">
        <f>ROW('※ 팀별 작성_인프라_인력'!AI26)</f>
        <v>26</v>
      </c>
      <c r="AH11" s="4036">
        <f>ROW('※ 팀별 작성_인프라_인력'!AJ45)</f>
        <v>45</v>
      </c>
    </row>
    <row r="12" spans="1:62" x14ac:dyDescent="0.55000000000000004">
      <c r="A12" s="7407"/>
      <c r="B12" s="4087" t="s">
        <v>223</v>
      </c>
      <c r="C12" s="3749"/>
      <c r="D12" s="4088" cm="1">
        <f t="array" aca="1" ref="D12" ca="1">INDIRECT("'※ 팀별 작성_인프라_인력'!"&amp;D$1&amp;$AF12, TRUE)</f>
        <v>41.666666666666664</v>
      </c>
      <c r="E12" s="4088" cm="1">
        <f t="array" aca="1" ref="E12" ca="1">INDIRECT("'※ 팀별 작성_인프라_인력'!"&amp;E$1&amp;$AF12, TRUE)</f>
        <v>43.916666666666664</v>
      </c>
      <c r="F12" s="4089">
        <f t="shared" ref="F12:J12" ca="1" si="10">SUM(F18:F19)</f>
        <v>45</v>
      </c>
      <c r="G12" s="4090">
        <f t="shared" ca="1" si="10"/>
        <v>45</v>
      </c>
      <c r="H12" s="4090">
        <f t="shared" ca="1" si="10"/>
        <v>45</v>
      </c>
      <c r="I12" s="4090">
        <f t="shared" ca="1" si="10"/>
        <v>43</v>
      </c>
      <c r="J12" s="4090">
        <f t="shared" ca="1" si="10"/>
        <v>42</v>
      </c>
      <c r="K12" s="4090">
        <f t="shared" ref="K12:P12" ca="1" si="11">SUM(K18:K19)</f>
        <v>42</v>
      </c>
      <c r="L12" s="4090">
        <f t="shared" ca="1" si="11"/>
        <v>42</v>
      </c>
      <c r="M12" s="4090">
        <f t="shared" ca="1" si="11"/>
        <v>41</v>
      </c>
      <c r="N12" s="4090">
        <f t="shared" ca="1" si="11"/>
        <v>41</v>
      </c>
      <c r="O12" s="4090">
        <f t="shared" ca="1" si="11"/>
        <v>41</v>
      </c>
      <c r="P12" s="4090">
        <f t="shared" ca="1" si="11"/>
        <v>41</v>
      </c>
      <c r="Q12" s="4090">
        <f t="shared" ref="Q12" ca="1" si="12">SUM(Q18:Q19)</f>
        <v>41</v>
      </c>
      <c r="R12" s="4091" cm="1">
        <f t="array" aca="1" ref="R12" ca="1">INDIRECT("'※ 팀별 작성_인프라_인력'!"&amp;R$1&amp;$AG12, TRUE)</f>
        <v>0</v>
      </c>
      <c r="S12" s="4090" cm="1">
        <f t="array" aca="1" ref="S12" ca="1">INDIRECT("'※ 팀별 작성_인프라_인력'!"&amp;S$1&amp;$AH12, TRUE)</f>
        <v>0</v>
      </c>
      <c r="T12" s="4092">
        <f t="shared" ca="1" si="5"/>
        <v>0</v>
      </c>
      <c r="U12" s="4090">
        <f>'※ 팀별 작성_인프라_인력'!BJ27</f>
        <v>0</v>
      </c>
      <c r="V12" s="4090">
        <f>'※ 팀별 작성_인프라_인력'!BJ46</f>
        <v>4</v>
      </c>
      <c r="W12" s="4093">
        <f t="shared" si="6"/>
        <v>-4</v>
      </c>
      <c r="X12" s="4094">
        <f>'※ 팀별 작성_인프라_인력'!BK104</f>
        <v>10.915757020248313</v>
      </c>
      <c r="Y12" s="4095">
        <f>'※ 팀별 작성_인프라_인력'!BK123</f>
        <v>11.165736188650946</v>
      </c>
      <c r="Z12" s="4096">
        <f>'※ 팀별 작성_인프라_인력'!BK143</f>
        <v>82.373584474775441</v>
      </c>
      <c r="AA12" s="4097">
        <f>'※ 팀별 작성_인프라_인력'!BK159</f>
        <v>19.59140333430846</v>
      </c>
      <c r="AB12" s="4098">
        <f>'※ 팀별 작성_인프라_인력'!BO159</f>
        <v>4.1806807079940196</v>
      </c>
      <c r="AC12" s="4099">
        <f>'※ 팀별 작성_인프라_인력'!BK179</f>
        <v>16.954283902079851</v>
      </c>
      <c r="AD12" s="4097">
        <f>'※ 팀별 작성_인프라_인력'!BK198</f>
        <v>4.0463667462647068</v>
      </c>
      <c r="AE12" s="4100">
        <f>'※ 팀별 작성_인프라_인력'!BO198</f>
        <v>1.0308204103561622</v>
      </c>
      <c r="AF12" s="4047">
        <f>ROW('※ 팀별 작성_인프라_인력'!AH8)</f>
        <v>8</v>
      </c>
      <c r="AG12" s="4036">
        <f>ROW('※ 팀별 작성_인프라_인력'!AI27)</f>
        <v>27</v>
      </c>
      <c r="AH12" s="4036">
        <f>ROW('※ 팀별 작성_인프라_인력'!AJ46)</f>
        <v>46</v>
      </c>
    </row>
    <row r="13" spans="1:62" x14ac:dyDescent="0.55000000000000004">
      <c r="A13" s="7407"/>
      <c r="B13" s="4087" t="s">
        <v>224</v>
      </c>
      <c r="C13" s="3749"/>
      <c r="D13" s="4088" cm="1">
        <f t="array" aca="1" ref="D13" ca="1">INDIRECT("'※ 팀별 작성_인프라_인력'!"&amp;D$1&amp;$AF13, TRUE)</f>
        <v>51.333333333333336</v>
      </c>
      <c r="E13" s="4088" cm="1">
        <f t="array" aca="1" ref="E13" ca="1">INDIRECT("'※ 팀별 작성_인프라_인력'!"&amp;E$1&amp;$AF13, TRUE)</f>
        <v>53.666666666666664</v>
      </c>
      <c r="F13" s="4089">
        <f t="shared" ref="F13:J13" ca="1" si="13">SUM(F20:F21)</f>
        <v>56</v>
      </c>
      <c r="G13" s="4090">
        <f t="shared" ca="1" si="13"/>
        <v>55</v>
      </c>
      <c r="H13" s="4090">
        <f t="shared" ca="1" si="13"/>
        <v>53</v>
      </c>
      <c r="I13" s="4090">
        <f t="shared" ca="1" si="13"/>
        <v>53</v>
      </c>
      <c r="J13" s="4090">
        <f t="shared" ca="1" si="13"/>
        <v>53</v>
      </c>
      <c r="K13" s="4090">
        <f t="shared" ref="K13:P13" ca="1" si="14">SUM(K20:K21)</f>
        <v>50</v>
      </c>
      <c r="L13" s="4090">
        <f t="shared" ca="1" si="14"/>
        <v>52</v>
      </c>
      <c r="M13" s="4090">
        <f t="shared" ca="1" si="14"/>
        <v>52</v>
      </c>
      <c r="N13" s="4090">
        <f t="shared" ca="1" si="14"/>
        <v>52</v>
      </c>
      <c r="O13" s="4090">
        <f t="shared" ca="1" si="14"/>
        <v>52</v>
      </c>
      <c r="P13" s="4090">
        <f t="shared" ca="1" si="14"/>
        <v>51</v>
      </c>
      <c r="Q13" s="4090">
        <f t="shared" ref="Q13" ca="1" si="15">SUM(Q20:Q21)</f>
        <v>50</v>
      </c>
      <c r="R13" s="4091" cm="1">
        <f t="array" aca="1" ref="R13" ca="1">INDIRECT("'※ 팀별 작성_인프라_인력'!"&amp;R$1&amp;$AG13, TRUE)</f>
        <v>0</v>
      </c>
      <c r="S13" s="4090" cm="1">
        <f t="array" aca="1" ref="S13" ca="1">INDIRECT("'※ 팀별 작성_인프라_인력'!"&amp;S$1&amp;$AH13, TRUE)</f>
        <v>1</v>
      </c>
      <c r="T13" s="4092">
        <f t="shared" ca="1" si="5"/>
        <v>-1</v>
      </c>
      <c r="U13" s="4090">
        <f>'※ 팀별 작성_인프라_인력'!BJ28</f>
        <v>2</v>
      </c>
      <c r="V13" s="4090">
        <f>'※ 팀별 작성_인프라_인력'!BJ47</f>
        <v>8</v>
      </c>
      <c r="W13" s="4093">
        <f t="shared" si="6"/>
        <v>-6</v>
      </c>
      <c r="X13" s="4094">
        <f>'※ 팀별 작성_인프라_인력'!BK105</f>
        <v>8.2493125572868937</v>
      </c>
      <c r="Y13" s="4095">
        <f>'※ 팀별 작성_인프라_인력'!BK124</f>
        <v>11.749020914923756</v>
      </c>
      <c r="Z13" s="4096">
        <f>'※ 팀별 작성_인프라_인력'!BK144</f>
        <v>81.848425121881519</v>
      </c>
      <c r="AA13" s="4097">
        <f>'※ 팀별 작성_인프라_인력'!BK160</f>
        <v>18.173630171126909</v>
      </c>
      <c r="AB13" s="4098">
        <f>'※ 팀별 작성_인프라_인력'!BO160</f>
        <v>2.2346968269253082</v>
      </c>
      <c r="AC13" s="4099">
        <f>'※ 팀별 작성_인프라_인력'!BK180</f>
        <v>18.39443270160152</v>
      </c>
      <c r="AD13" s="4097">
        <f>'※ 팀별 작성_인프라_인력'!BK199</f>
        <v>4.1701356609610265</v>
      </c>
      <c r="AE13" s="4100">
        <f>'※ 팀별 작성_인프라_인력'!BO199</f>
        <v>0.81025211618356918</v>
      </c>
      <c r="AF13" s="4047">
        <f>ROW('※ 팀별 작성_인프라_인력'!AH9)</f>
        <v>9</v>
      </c>
      <c r="AG13" s="4036">
        <f>ROW('※ 팀별 작성_인프라_인력'!AI28)</f>
        <v>28</v>
      </c>
      <c r="AH13" s="4036">
        <f>ROW('※ 팀별 작성_인프라_인력'!AJ47)</f>
        <v>47</v>
      </c>
    </row>
    <row r="14" spans="1:62" x14ac:dyDescent="0.55000000000000004">
      <c r="A14" s="7407"/>
      <c r="B14" s="4087" t="s">
        <v>225</v>
      </c>
      <c r="C14" s="3749"/>
      <c r="D14" s="4088" cm="1">
        <f t="array" aca="1" ref="D14" ca="1">INDIRECT("'※ 팀별 작성_인프라_인력'!"&amp;D$1&amp;$AF14, TRUE)</f>
        <v>63</v>
      </c>
      <c r="E14" s="4088" cm="1">
        <f t="array" aca="1" ref="E14" ca="1">INDIRECT("'※ 팀별 작성_인프라_인력'!"&amp;E$1&amp;$AF14, TRUE)</f>
        <v>60.25</v>
      </c>
      <c r="F14" s="4089">
        <f t="shared" ref="F14:J14" ca="1" si="16">SUM(F22:F23)</f>
        <v>59</v>
      </c>
      <c r="G14" s="4090">
        <f t="shared" ca="1" si="16"/>
        <v>58</v>
      </c>
      <c r="H14" s="4090">
        <f t="shared" ca="1" si="16"/>
        <v>57</v>
      </c>
      <c r="I14" s="4090">
        <f t="shared" ca="1" si="16"/>
        <v>57</v>
      </c>
      <c r="J14" s="4090">
        <f t="shared" ca="1" si="16"/>
        <v>57</v>
      </c>
      <c r="K14" s="4090">
        <f t="shared" ref="K14:P14" ca="1" si="17">SUM(K22:K23)</f>
        <v>57</v>
      </c>
      <c r="L14" s="4090">
        <f t="shared" ca="1" si="17"/>
        <v>57</v>
      </c>
      <c r="M14" s="4090">
        <f t="shared" ca="1" si="17"/>
        <v>57</v>
      </c>
      <c r="N14" s="4090">
        <f t="shared" ca="1" si="17"/>
        <v>57</v>
      </c>
      <c r="O14" s="4090">
        <f t="shared" ca="1" si="17"/>
        <v>57</v>
      </c>
      <c r="P14" s="4090">
        <f t="shared" ca="1" si="17"/>
        <v>57</v>
      </c>
      <c r="Q14" s="4090">
        <f t="shared" ref="Q14" ca="1" si="18">SUM(Q22:Q23)</f>
        <v>57</v>
      </c>
      <c r="R14" s="4091" cm="1">
        <f t="array" aca="1" ref="R14" ca="1">INDIRECT("'※ 팀별 작성_인프라_인력'!"&amp;R$1&amp;$AG14, TRUE)</f>
        <v>0</v>
      </c>
      <c r="S14" s="4090" cm="1">
        <f t="array" aca="1" ref="S14" ca="1">INDIRECT("'※ 팀별 작성_인프라_인력'!"&amp;S$1&amp;$AH14, TRUE)</f>
        <v>0</v>
      </c>
      <c r="T14" s="4092">
        <f t="shared" ca="1" si="5"/>
        <v>0</v>
      </c>
      <c r="U14" s="4090">
        <f>'※ 팀별 작성_인프라_인력'!BJ29</f>
        <v>0</v>
      </c>
      <c r="V14" s="4090">
        <f>'※ 팀별 작성_인프라_인력'!BJ48</f>
        <v>3</v>
      </c>
      <c r="W14" s="4093">
        <f t="shared" si="6"/>
        <v>-3</v>
      </c>
      <c r="X14" s="4094">
        <f>'※ 팀별 작성_인프라_인력'!BK106</f>
        <v>12.498958420131656</v>
      </c>
      <c r="Y14" s="4095">
        <f>'※ 팀별 작성_인프라_인력'!BK125</f>
        <v>12.415632030664112</v>
      </c>
      <c r="Z14" s="4096">
        <f>'※ 팀별 작성_인프라_인력'!BK145</f>
        <v>83.93561655671769</v>
      </c>
      <c r="AA14" s="4097">
        <f>'※ 팀별 작성_인프라_인력'!BK161</f>
        <v>19.756718342784225</v>
      </c>
      <c r="AB14" s="4098">
        <f>'※ 팀별 작성_인프라_인력'!BO161</f>
        <v>2.2409358418749186</v>
      </c>
      <c r="AC14" s="4099">
        <f>'※ 팀별 작성_인프라_인력'!BK181</f>
        <v>18.373599599727804</v>
      </c>
      <c r="AD14" s="4097">
        <f>'※ 팀별 작성_인프라_인력'!BK200</f>
        <v>4.3832716997406589</v>
      </c>
      <c r="AE14" s="4100">
        <f>'※ 팀별 작성_인프라_인력'!BO200</f>
        <v>0.62669468842700793</v>
      </c>
      <c r="AF14" s="4047">
        <f>ROW('※ 팀별 작성_인프라_인력'!AH10)</f>
        <v>10</v>
      </c>
      <c r="AG14" s="4036">
        <f>ROW('※ 팀별 작성_인프라_인력'!AI29)</f>
        <v>29</v>
      </c>
      <c r="AH14" s="4036">
        <f>ROW('※ 팀별 작성_인프라_인력'!AJ48)</f>
        <v>48</v>
      </c>
    </row>
    <row r="15" spans="1:62" x14ac:dyDescent="0.55000000000000004">
      <c r="A15" s="7407"/>
      <c r="B15" s="4101" t="s">
        <v>226</v>
      </c>
      <c r="C15" s="4102"/>
      <c r="D15" s="4103" cm="1">
        <f t="array" aca="1" ref="D15" ca="1">INDIRECT("'※ 팀별 작성_인프라_인력'!"&amp;D$1&amp;$AF15, TRUE)</f>
        <v>56.166666666666664</v>
      </c>
      <c r="E15" s="4103" cm="1">
        <f t="array" aca="1" ref="E15" ca="1">INDIRECT("'※ 팀별 작성_인프라_인력'!"&amp;E$1&amp;$AF15, TRUE)</f>
        <v>57.833333333333336</v>
      </c>
      <c r="F15" s="4104">
        <f t="shared" ref="F15:J15" ca="1" si="19">SUM(F24:F25)</f>
        <v>58</v>
      </c>
      <c r="G15" s="4105">
        <f t="shared" ca="1" si="19"/>
        <v>58</v>
      </c>
      <c r="H15" s="4105">
        <f t="shared" ca="1" si="19"/>
        <v>57</v>
      </c>
      <c r="I15" s="4105">
        <f t="shared" ca="1" si="19"/>
        <v>55</v>
      </c>
      <c r="J15" s="4105">
        <f t="shared" ca="1" si="19"/>
        <v>55</v>
      </c>
      <c r="K15" s="4105">
        <f t="shared" ref="K15:P15" ca="1" si="20">SUM(K24:K25)</f>
        <v>54</v>
      </c>
      <c r="L15" s="4105">
        <f t="shared" ca="1" si="20"/>
        <v>54</v>
      </c>
      <c r="M15" s="4105">
        <f t="shared" ca="1" si="20"/>
        <v>54</v>
      </c>
      <c r="N15" s="4105">
        <f t="shared" ca="1" si="20"/>
        <v>54</v>
      </c>
      <c r="O15" s="4105">
        <f t="shared" ca="1" si="20"/>
        <v>53</v>
      </c>
      <c r="P15" s="4105">
        <f t="shared" ca="1" si="20"/>
        <v>54</v>
      </c>
      <c r="Q15" s="4105">
        <f t="shared" ref="Q15" ca="1" si="21">SUM(Q24:Q25)</f>
        <v>54</v>
      </c>
      <c r="R15" s="4106" cm="1">
        <f t="array" aca="1" ref="R15" ca="1">INDIRECT("'※ 팀별 작성_인프라_인력'!"&amp;R$1&amp;$AG15, TRUE)</f>
        <v>0</v>
      </c>
      <c r="S15" s="4105" cm="1">
        <f t="array" aca="1" ref="S15" ca="1">INDIRECT("'※ 팀별 작성_인프라_인력'!"&amp;S$1&amp;$AH15, TRUE)</f>
        <v>0</v>
      </c>
      <c r="T15" s="4107">
        <f t="shared" ca="1" si="5"/>
        <v>0</v>
      </c>
      <c r="U15" s="4105">
        <f>'※ 팀별 작성_인프라_인력'!BJ30</f>
        <v>1</v>
      </c>
      <c r="V15" s="4105">
        <f>'※ 팀별 작성_인프라_인력'!BJ49</f>
        <v>6</v>
      </c>
      <c r="W15" s="4108">
        <f t="shared" si="6"/>
        <v>-5</v>
      </c>
      <c r="X15" s="4109">
        <f>'※ 팀별 작성_인프라_인력'!BK107</f>
        <v>11.24906257811849</v>
      </c>
      <c r="Y15" s="4110">
        <f>'※ 팀별 작성_인프라_인력'!BK126</f>
        <v>18.331805682859763</v>
      </c>
      <c r="Z15" s="4111">
        <f>'※ 팀별 작성_인프라_인력'!BK146</f>
        <v>67.500510419771103</v>
      </c>
      <c r="AA15" s="4112">
        <f>'※ 팀별 작성_인프라_인력'!BK162</f>
        <v>16.181976602891506</v>
      </c>
      <c r="AB15" s="4113">
        <f>'※ 팀별 작성_인프라_인력'!BO162</f>
        <v>0.7979250572620824</v>
      </c>
      <c r="AC15" s="4114">
        <f>'※ 팀별 작성_인프라_인력'!BK182</f>
        <v>12.499189895054215</v>
      </c>
      <c r="AD15" s="4112">
        <f>'※ 팀별 작성_인프라_인력'!BK201</f>
        <v>3.0282121527655579</v>
      </c>
      <c r="AE15" s="4115">
        <f>'※ 팀별 작성_인프라_인력'!BO201</f>
        <v>0.37632807812934388</v>
      </c>
      <c r="AF15" s="4047">
        <f>ROW('※ 팀별 작성_인프라_인력'!AH11)</f>
        <v>11</v>
      </c>
      <c r="AG15" s="4036">
        <f>ROW('※ 팀별 작성_인프라_인력'!AI30)</f>
        <v>30</v>
      </c>
      <c r="AH15" s="4036">
        <f>ROW('※ 팀별 작성_인프라_인력'!AJ49)</f>
        <v>49</v>
      </c>
    </row>
    <row r="16" spans="1:62" x14ac:dyDescent="0.55000000000000004">
      <c r="A16" s="7407"/>
      <c r="B16" s="4116"/>
      <c r="C16" s="4117" t="s">
        <v>227</v>
      </c>
      <c r="D16" s="4118" cm="1">
        <f t="array" aca="1" ref="D16" ca="1">INDIRECT("'※ 팀별 작성_인프라_인력'!"&amp;D$1&amp;$AF16, TRUE)</f>
        <v>29.166666666666668</v>
      </c>
      <c r="E16" s="4118" cm="1">
        <f t="array" aca="1" ref="E16" ca="1">INDIRECT("'※ 팀별 작성_인프라_인력'!"&amp;E$1&amp;$AF16, TRUE)</f>
        <v>25.083333333333332</v>
      </c>
      <c r="F16" s="4119" cm="1">
        <f t="array" aca="1" ref="F16" ca="1">INDIRECT("'※ 팀별 작성_인프라_인력'!"&amp;F$1&amp;$AF16, TRUE)</f>
        <v>27</v>
      </c>
      <c r="G16" s="4120" cm="1">
        <f t="array" aca="1" ref="G16" ca="1">INDIRECT("'※ 팀별 작성_인프라_인력'!"&amp;G$1&amp;$AF16, TRUE)</f>
        <v>26</v>
      </c>
      <c r="H16" s="4120" cm="1">
        <f t="array" aca="1" ref="H16" ca="1">INDIRECT("'※ 팀별 작성_인프라_인력'!"&amp;H$1&amp;$AF16, TRUE)</f>
        <v>25</v>
      </c>
      <c r="I16" s="4120" cm="1">
        <f t="array" aca="1" ref="I16" ca="1">INDIRECT("'※ 팀별 작성_인프라_인력'!"&amp;I$1&amp;$AF16, TRUE)</f>
        <v>25</v>
      </c>
      <c r="J16" s="4120" cm="1">
        <f t="array" aca="1" ref="J16" ca="1">INDIRECT("'※ 팀별 작성_인프라_인력'!"&amp;J$1&amp;$AF16, TRUE)</f>
        <v>25</v>
      </c>
      <c r="K16" s="4120" cm="1">
        <f t="array" aca="1" ref="K16" ca="1">INDIRECT("'※ 팀별 작성_인프라_인력'!"&amp;K$1&amp;$AF16, TRUE)</f>
        <v>24</v>
      </c>
      <c r="L16" s="4120" cm="1">
        <f t="array" aca="1" ref="L16" ca="1">INDIRECT("'※ 팀별 작성_인프라_인력'!"&amp;L$1&amp;$AF16, TRUE)</f>
        <v>24</v>
      </c>
      <c r="M16" s="4120" cm="1">
        <f t="array" aca="1" ref="M16" ca="1">INDIRECT("'※ 팀별 작성_인프라_인력'!"&amp;M$1&amp;$AF16, TRUE)</f>
        <v>24</v>
      </c>
      <c r="N16" s="4120" cm="1">
        <f t="array" aca="1" ref="N16" ca="1">INDIRECT("'※ 팀별 작성_인프라_인력'!"&amp;N$1&amp;$AF16, TRUE)</f>
        <v>24</v>
      </c>
      <c r="O16" s="4120" cm="1">
        <f t="array" aca="1" ref="O16" ca="1">INDIRECT("'※ 팀별 작성_인프라_인력'!"&amp;O$1&amp;$AF16, TRUE)</f>
        <v>24</v>
      </c>
      <c r="P16" s="4120" cm="1">
        <f t="array" aca="1" ref="P16" ca="1">INDIRECT("'※ 팀별 작성_인프라_인력'!"&amp;P$1&amp;$AF16, TRUE)</f>
        <v>24</v>
      </c>
      <c r="Q16" s="4120" cm="1">
        <f t="array" aca="1" ref="Q16" ca="1">INDIRECT("'※ 팀별 작성_인프라_인력'!"&amp;Q$1&amp;$AF16, TRUE)</f>
        <v>23</v>
      </c>
      <c r="R16" s="4121" cm="1">
        <f t="array" aca="1" ref="R16" ca="1">INDIRECT("'※ 팀별 작성_인프라_인력'!"&amp;R$1&amp;$AG16, TRUE)</f>
        <v>0</v>
      </c>
      <c r="S16" s="4120" cm="1">
        <f t="array" aca="1" ref="S16" ca="1">INDIRECT("'※ 팀별 작성_인프라_인력'!"&amp;S$1&amp;$AH16, TRUE)</f>
        <v>1</v>
      </c>
      <c r="T16" s="4122">
        <f ca="1">R16-S16</f>
        <v>-1</v>
      </c>
      <c r="U16" s="4120">
        <f>'※ 팀별 작성_인프라_인력'!BJ31</f>
        <v>1</v>
      </c>
      <c r="V16" s="4120">
        <f>'※ 팀별 작성_인프라_인력'!BJ50</f>
        <v>5</v>
      </c>
      <c r="W16" s="4123">
        <f t="shared" si="6"/>
        <v>-4</v>
      </c>
      <c r="X16" s="4124">
        <f>'※ 팀별 작성_인프라_인력'!BK108</f>
        <v>3.6663611365719526</v>
      </c>
      <c r="Y16" s="4125">
        <f>'※ 팀별 작성_인프라_인력'!BK127</f>
        <v>4.6662778101824847</v>
      </c>
      <c r="Z16" s="4126">
        <f>'※ 팀별 작성_인프라_인력'!BK147</f>
        <v>68.686697760941584</v>
      </c>
      <c r="AA16" s="4127">
        <f>'※ 팀별 작성_인프라_인력'!BK163</f>
        <v>16.528726595207221</v>
      </c>
      <c r="AB16" s="4128">
        <f>'※ 팀별 작성_인프라_인력'!BO163</f>
        <v>3.0744240346556158</v>
      </c>
      <c r="AC16" s="4129">
        <f>'※ 팀별 작성_인프라_인력'!BK183</f>
        <v>12.445400442650671</v>
      </c>
      <c r="AD16" s="4127">
        <f>'※ 팀별 작성_인프라_인력'!BK202</f>
        <v>3.0097687135333548</v>
      </c>
      <c r="AE16" s="4130">
        <f>'※ 팀별 작성_인프라_인력'!BO202</f>
        <v>0.84174656211560084</v>
      </c>
      <c r="AF16" s="4047">
        <f>ROW('※ 팀별 작성_인프라_인력'!AH12)</f>
        <v>12</v>
      </c>
      <c r="AG16" s="4036">
        <f>ROW('※ 팀별 작성_인프라_인력'!AI31)</f>
        <v>31</v>
      </c>
      <c r="AH16" s="4036">
        <f>ROW('※ 팀별 작성_인프라_인력'!AJ50)</f>
        <v>50</v>
      </c>
    </row>
    <row r="17" spans="1:34" x14ac:dyDescent="0.55000000000000004">
      <c r="A17" s="7407"/>
      <c r="B17" s="4131"/>
      <c r="C17" s="4132" t="s">
        <v>228</v>
      </c>
      <c r="D17" s="4133" cm="1">
        <f t="array" aca="1" ref="D17" ca="1">INDIRECT("'※ 팀별 작성_인프라_인력'!"&amp;D$1&amp;$AF17, TRUE)</f>
        <v>15.333333333333334</v>
      </c>
      <c r="E17" s="4133" cm="1">
        <f t="array" aca="1" ref="E17" ca="1">INDIRECT("'※ 팀별 작성_인프라_인력'!"&amp;E$1&amp;$AF17, TRUE)</f>
        <v>25.333333333333332</v>
      </c>
      <c r="F17" s="4134" cm="1">
        <f t="array" aca="1" ref="F17" ca="1">INDIRECT("'※ 팀별 작성_인프라_인력'!"&amp;F$1&amp;$AF17, TRUE)</f>
        <v>27</v>
      </c>
      <c r="G17" s="4135" cm="1">
        <f t="array" aca="1" ref="G17" ca="1">INDIRECT("'※ 팀별 작성_인프라_인력'!"&amp;G$1&amp;$AF17, TRUE)</f>
        <v>27</v>
      </c>
      <c r="H17" s="4135" cm="1">
        <f t="array" aca="1" ref="H17" ca="1">INDIRECT("'※ 팀별 작성_인프라_인력'!"&amp;H$1&amp;$AF17, TRUE)</f>
        <v>25</v>
      </c>
      <c r="I17" s="4135" cm="1">
        <f t="array" aca="1" ref="I17" ca="1">INDIRECT("'※ 팀별 작성_인프라_인력'!"&amp;I$1&amp;$AF17, TRUE)</f>
        <v>25</v>
      </c>
      <c r="J17" s="4135" cm="1">
        <f t="array" aca="1" ref="J17" ca="1">INDIRECT("'※ 팀별 작성_인프라_인력'!"&amp;J$1&amp;$AF17, TRUE)</f>
        <v>25</v>
      </c>
      <c r="K17" s="4135" cm="1">
        <f t="array" aca="1" ref="K17" ca="1">INDIRECT("'※ 팀별 작성_인프라_인력'!"&amp;K$1&amp;$AF17, TRUE)</f>
        <v>25</v>
      </c>
      <c r="L17" s="4135" cm="1">
        <f t="array" aca="1" ref="L17" ca="1">INDIRECT("'※ 팀별 작성_인프라_인력'!"&amp;L$1&amp;$AF17, TRUE)</f>
        <v>25</v>
      </c>
      <c r="M17" s="4135" cm="1">
        <f t="array" aca="1" ref="M17" ca="1">INDIRECT("'※ 팀별 작성_인프라_인력'!"&amp;M$1&amp;$AF17, TRUE)</f>
        <v>25</v>
      </c>
      <c r="N17" s="4135" cm="1">
        <f t="array" aca="1" ref="N17" ca="1">INDIRECT("'※ 팀별 작성_인프라_인력'!"&amp;N$1&amp;$AF17, TRUE)</f>
        <v>25</v>
      </c>
      <c r="O17" s="4135" cm="1">
        <f t="array" aca="1" ref="O17" ca="1">INDIRECT("'※ 팀별 작성_인프라_인력'!"&amp;O$1&amp;$AF17, TRUE)</f>
        <v>25</v>
      </c>
      <c r="P17" s="4135" cm="1">
        <f t="array" aca="1" ref="P17" ca="1">INDIRECT("'※ 팀별 작성_인프라_인력'!"&amp;P$1&amp;$AF17, TRUE)</f>
        <v>25</v>
      </c>
      <c r="Q17" s="4135" cm="1">
        <f t="array" aca="1" ref="Q17" ca="1">INDIRECT("'※ 팀별 작성_인프라_인력'!"&amp;Q$1&amp;$AF17, TRUE)</f>
        <v>25</v>
      </c>
      <c r="R17" s="4136" cm="1">
        <f t="array" aca="1" ref="R17" ca="1">INDIRECT("'※ 팀별 작성_인프라_인력'!"&amp;R$1&amp;$AG17, TRUE)</f>
        <v>1</v>
      </c>
      <c r="S17" s="4135" cm="1">
        <f t="array" aca="1" ref="S17" ca="1">INDIRECT("'※ 팀별 작성_인프라_인력'!"&amp;S$1&amp;$AH17, TRUE)</f>
        <v>1</v>
      </c>
      <c r="T17" s="4137">
        <f t="shared" ref="T17:T25" ca="1" si="22">R17-S17</f>
        <v>0</v>
      </c>
      <c r="U17" s="4135">
        <f>'※ 팀별 작성_인프라_인력'!BJ32</f>
        <v>1</v>
      </c>
      <c r="V17" s="4135">
        <f>'※ 팀별 작성_인프라_인력'!BJ51</f>
        <v>3</v>
      </c>
      <c r="W17" s="4138">
        <f t="shared" si="6"/>
        <v>-2</v>
      </c>
      <c r="X17" s="4139">
        <f>'※ 팀별 작성_인프라_인력'!BK109</f>
        <v>3.99966669444213</v>
      </c>
      <c r="Y17" s="4140">
        <f>'※ 팀별 작성_인프라_인력'!BK128</f>
        <v>5.1662361469877514</v>
      </c>
      <c r="Z17" s="4141">
        <f>'※ 팀별 작성_인프라_인력'!BK148</f>
        <v>67.487528935741594</v>
      </c>
      <c r="AA17" s="4142">
        <f>'※ 팀별 작성_인프라_인력'!BK164</f>
        <v>16.187989948144548</v>
      </c>
      <c r="AB17" s="4143">
        <f>'※ 팀별 작성_인프라_인력'!BO164</f>
        <v>2.2063143539650358</v>
      </c>
      <c r="AC17" s="4144">
        <f>'※ 팀별 작성_인프라_인력'!BK184</f>
        <v>12.96856790898954</v>
      </c>
      <c r="AD17" s="4142">
        <f>'※ 팀별 작성_인프라_인력'!BK203</f>
        <v>3.140837911706956</v>
      </c>
      <c r="AE17" s="4145">
        <f>'※ 팀별 작성_인프라_인력'!BO203</f>
        <v>0.5838723037814022</v>
      </c>
      <c r="AF17" s="4047">
        <f>ROW('※ 팀별 작성_인프라_인력'!AH13)</f>
        <v>13</v>
      </c>
      <c r="AG17" s="4036">
        <f>ROW('※ 팀별 작성_인프라_인력'!AI32)</f>
        <v>32</v>
      </c>
      <c r="AH17" s="4036">
        <f>ROW('※ 팀별 작성_인프라_인력'!AJ51)</f>
        <v>51</v>
      </c>
    </row>
    <row r="18" spans="1:34" x14ac:dyDescent="0.55000000000000004">
      <c r="A18" s="7407"/>
      <c r="B18" s="4131"/>
      <c r="C18" s="4146" t="s">
        <v>229</v>
      </c>
      <c r="D18" s="4147" cm="1">
        <f t="array" aca="1" ref="D18" ca="1">INDIRECT("'※ 팀별 작성_인프라_인력'!"&amp;D$1&amp;$AF18, TRUE)</f>
        <v>16.75</v>
      </c>
      <c r="E18" s="4147" cm="1">
        <f t="array" aca="1" ref="E18" ca="1">INDIRECT("'※ 팀별 작성_인프라_인력'!"&amp;E$1&amp;$AF18, TRUE)</f>
        <v>18.083333333333332</v>
      </c>
      <c r="F18" s="4148" cm="1">
        <f t="array" aca="1" ref="F18" ca="1">INDIRECT("'※ 팀별 작성_인프라_인력'!"&amp;F$1&amp;$AF18, TRUE)</f>
        <v>19</v>
      </c>
      <c r="G18" s="4149" cm="1">
        <f t="array" aca="1" ref="G18" ca="1">INDIRECT("'※ 팀별 작성_인프라_인력'!"&amp;G$1&amp;$AF18, TRUE)</f>
        <v>19</v>
      </c>
      <c r="H18" s="4149" cm="1">
        <f t="array" aca="1" ref="H18" ca="1">INDIRECT("'※ 팀별 작성_인프라_인력'!"&amp;H$1&amp;$AF18, TRUE)</f>
        <v>19</v>
      </c>
      <c r="I18" s="4149" cm="1">
        <f t="array" aca="1" ref="I18" ca="1">INDIRECT("'※ 팀별 작성_인프라_인력'!"&amp;I$1&amp;$AF18, TRUE)</f>
        <v>17</v>
      </c>
      <c r="J18" s="4149" cm="1">
        <f t="array" aca="1" ref="J18" ca="1">INDIRECT("'※ 팀별 작성_인프라_인력'!"&amp;J$1&amp;$AF18, TRUE)</f>
        <v>17</v>
      </c>
      <c r="K18" s="4149" cm="1">
        <f t="array" aca="1" ref="K18" ca="1">INDIRECT("'※ 팀별 작성_인프라_인력'!"&amp;K$1&amp;$AF18, TRUE)</f>
        <v>17</v>
      </c>
      <c r="L18" s="4149" cm="1">
        <f t="array" aca="1" ref="L18" ca="1">INDIRECT("'※ 팀별 작성_인프라_인력'!"&amp;L$1&amp;$AF18, TRUE)</f>
        <v>17</v>
      </c>
      <c r="M18" s="4149" cm="1">
        <f t="array" aca="1" ref="M18" ca="1">INDIRECT("'※ 팀별 작성_인프라_인력'!"&amp;M$1&amp;$AF18, TRUE)</f>
        <v>16</v>
      </c>
      <c r="N18" s="4149" cm="1">
        <f t="array" aca="1" ref="N18" ca="1">INDIRECT("'※ 팀별 작성_인프라_인력'!"&amp;N$1&amp;$AF18, TRUE)</f>
        <v>16</v>
      </c>
      <c r="O18" s="4149" cm="1">
        <f t="array" aca="1" ref="O18" ca="1">INDIRECT("'※ 팀별 작성_인프라_인력'!"&amp;O$1&amp;$AF18, TRUE)</f>
        <v>16</v>
      </c>
      <c r="P18" s="4149" cm="1">
        <f t="array" aca="1" ref="P18" ca="1">INDIRECT("'※ 팀별 작성_인프라_인력'!"&amp;P$1&amp;$AF18, TRUE)</f>
        <v>16</v>
      </c>
      <c r="Q18" s="4149" cm="1">
        <f t="array" aca="1" ref="Q18" ca="1">INDIRECT("'※ 팀별 작성_인프라_인력'!"&amp;Q$1&amp;$AF18, TRUE)</f>
        <v>16</v>
      </c>
      <c r="R18" s="4150" cm="1">
        <f t="array" aca="1" ref="R18" ca="1">INDIRECT("'※ 팀별 작성_인프라_인력'!"&amp;R$1&amp;$AG18, TRUE)</f>
        <v>0</v>
      </c>
      <c r="S18" s="4149" cm="1">
        <f t="array" aca="1" ref="S18" ca="1">INDIRECT("'※ 팀별 작성_인프라_인력'!"&amp;S$1&amp;$AH18, TRUE)</f>
        <v>0</v>
      </c>
      <c r="T18" s="4151">
        <f t="shared" ca="1" si="22"/>
        <v>0</v>
      </c>
      <c r="U18" s="4149">
        <f>'※ 팀별 작성_인프라_인력'!BJ33</f>
        <v>0</v>
      </c>
      <c r="V18" s="4149">
        <f>'※ 팀별 작성_인프라_인력'!BJ52</f>
        <v>3</v>
      </c>
      <c r="W18" s="4152">
        <f t="shared" si="6"/>
        <v>-3</v>
      </c>
      <c r="X18" s="4153">
        <f>'※ 팀별 작성_인프라_인력'!BK110</f>
        <v>4.082993083909674</v>
      </c>
      <c r="Y18" s="4154">
        <f>'※ 팀별 작성_인프라_인력'!BK129</f>
        <v>3.5830347471044082</v>
      </c>
      <c r="Z18" s="4155">
        <f>'※ 팀별 작성_인프라_인력'!BK149</f>
        <v>92.707541399413827</v>
      </c>
      <c r="AA18" s="4156">
        <f>'※ 팀별 작성_인프라_인력'!BK165</f>
        <v>21.048411024860354</v>
      </c>
      <c r="AB18" s="4157">
        <f>'※ 팀별 작성_인프라_인력'!BO165</f>
        <v>4.7708814973113149</v>
      </c>
      <c r="AC18" s="4158">
        <f>'※ 팀별 작성_인프라_인력'!BK185</f>
        <v>17.667774331499206</v>
      </c>
      <c r="AD18" s="4156">
        <f>'※ 팀별 작성_인프라_인력'!BK204</f>
        <v>4.0673685790101528</v>
      </c>
      <c r="AE18" s="4159">
        <f>'※ 팀별 작성_인프라_인력'!BO204</f>
        <v>1.0071652395536268</v>
      </c>
      <c r="AF18" s="4047">
        <f>ROW('※ 팀별 작성_인프라_인력'!AH14)</f>
        <v>14</v>
      </c>
      <c r="AG18" s="4036">
        <f>ROW('※ 팀별 작성_인프라_인력'!AI33)</f>
        <v>33</v>
      </c>
      <c r="AH18" s="4036">
        <f>ROW('※ 팀별 작성_인프라_인력'!AJ52)</f>
        <v>52</v>
      </c>
    </row>
    <row r="19" spans="1:34" x14ac:dyDescent="0.55000000000000004">
      <c r="A19" s="7407"/>
      <c r="B19" s="4131"/>
      <c r="C19" s="4146" t="s">
        <v>230</v>
      </c>
      <c r="D19" s="4147" cm="1">
        <f t="array" aca="1" ref="D19" ca="1">INDIRECT("'※ 팀별 작성_인프라_인력'!"&amp;D$1&amp;$AF19, TRUE)</f>
        <v>24.916666666666668</v>
      </c>
      <c r="E19" s="4147" cm="1">
        <f t="array" aca="1" ref="E19" ca="1">INDIRECT("'※ 팀별 작성_인프라_인력'!"&amp;E$1&amp;$AF19, TRUE)</f>
        <v>25.833333333333332</v>
      </c>
      <c r="F19" s="4148" cm="1">
        <f t="array" aca="1" ref="F19" ca="1">INDIRECT("'※ 팀별 작성_인프라_인력'!"&amp;F$1&amp;$AF19, TRUE)</f>
        <v>26</v>
      </c>
      <c r="G19" s="4149" cm="1">
        <f t="array" aca="1" ref="G19" ca="1">INDIRECT("'※ 팀별 작성_인프라_인력'!"&amp;G$1&amp;$AF19, TRUE)</f>
        <v>26</v>
      </c>
      <c r="H19" s="4149" cm="1">
        <f t="array" aca="1" ref="H19" ca="1">INDIRECT("'※ 팀별 작성_인프라_인력'!"&amp;H$1&amp;$AF19, TRUE)</f>
        <v>26</v>
      </c>
      <c r="I19" s="4149" cm="1">
        <f t="array" aca="1" ref="I19" ca="1">INDIRECT("'※ 팀별 작성_인프라_인력'!"&amp;I$1&amp;$AF19, TRUE)</f>
        <v>26</v>
      </c>
      <c r="J19" s="4149" cm="1">
        <f t="array" aca="1" ref="J19" ca="1">INDIRECT("'※ 팀별 작성_인프라_인력'!"&amp;J$1&amp;$AF19, TRUE)</f>
        <v>25</v>
      </c>
      <c r="K19" s="4149" cm="1">
        <f t="array" aca="1" ref="K19" ca="1">INDIRECT("'※ 팀별 작성_인프라_인력'!"&amp;K$1&amp;$AF19, TRUE)</f>
        <v>25</v>
      </c>
      <c r="L19" s="4149" cm="1">
        <f t="array" aca="1" ref="L19" ca="1">INDIRECT("'※ 팀별 작성_인프라_인력'!"&amp;L$1&amp;$AF19, TRUE)</f>
        <v>25</v>
      </c>
      <c r="M19" s="4149" cm="1">
        <f t="array" aca="1" ref="M19" ca="1">INDIRECT("'※ 팀별 작성_인프라_인력'!"&amp;M$1&amp;$AF19, TRUE)</f>
        <v>25</v>
      </c>
      <c r="N19" s="4149" cm="1">
        <f t="array" aca="1" ref="N19" ca="1">INDIRECT("'※ 팀별 작성_인프라_인력'!"&amp;N$1&amp;$AF19, TRUE)</f>
        <v>25</v>
      </c>
      <c r="O19" s="4149" cm="1">
        <f t="array" aca="1" ref="O19" ca="1">INDIRECT("'※ 팀별 작성_인프라_인력'!"&amp;O$1&amp;$AF19, TRUE)</f>
        <v>25</v>
      </c>
      <c r="P19" s="4149" cm="1">
        <f t="array" aca="1" ref="P19" ca="1">INDIRECT("'※ 팀별 작성_인프라_인력'!"&amp;P$1&amp;$AF19, TRUE)</f>
        <v>25</v>
      </c>
      <c r="Q19" s="4149" cm="1">
        <f t="array" aca="1" ref="Q19" ca="1">INDIRECT("'※ 팀별 작성_인프라_인력'!"&amp;Q$1&amp;$AF19, TRUE)</f>
        <v>25</v>
      </c>
      <c r="R19" s="4150" cm="1">
        <f t="array" aca="1" ref="R19" ca="1">INDIRECT("'※ 팀별 작성_인프라_인력'!"&amp;R$1&amp;$AG19, TRUE)</f>
        <v>0</v>
      </c>
      <c r="S19" s="4149" cm="1">
        <f t="array" aca="1" ref="S19" ca="1">INDIRECT("'※ 팀별 작성_인프라_인력'!"&amp;S$1&amp;$AH19, TRUE)</f>
        <v>0</v>
      </c>
      <c r="T19" s="4151">
        <f t="shared" ca="1" si="22"/>
        <v>0</v>
      </c>
      <c r="U19" s="4149">
        <f>'※ 팀별 작성_인프라_인력'!BJ34</f>
        <v>0</v>
      </c>
      <c r="V19" s="4149">
        <f>'※ 팀별 작성_인프라_인력'!BJ53</f>
        <v>1</v>
      </c>
      <c r="W19" s="4152">
        <f t="shared" si="6"/>
        <v>-1</v>
      </c>
      <c r="X19" s="4153">
        <f>'※ 팀별 작성_인프라_인력'!BK111</f>
        <v>6.8327639363386385</v>
      </c>
      <c r="Y19" s="4154">
        <f>'※ 팀별 작성_인프라_인력'!BK130</f>
        <v>7.5827014415465381</v>
      </c>
      <c r="Z19" s="4155">
        <f>'※ 팀별 작성_인프라_인력'!BK150</f>
        <v>75.480504829725731</v>
      </c>
      <c r="AA19" s="4156">
        <f>'※ 팀별 작성_인프라_인력'!BK166</f>
        <v>18.204736465914579</v>
      </c>
      <c r="AB19" s="4157">
        <f>'※ 팀별 작성_인프라_인력'!BO166</f>
        <v>3.6608207408347351</v>
      </c>
      <c r="AC19" s="4158">
        <f>'※ 팀별 작성_인프라_인력'!BK186</f>
        <v>16.467473864357455</v>
      </c>
      <c r="AD19" s="4156">
        <f>'※ 팀별 작성_인프라_인력'!BK205</f>
        <v>4.0246414595952027</v>
      </c>
      <c r="AE19" s="4159">
        <f>'※ 팀별 작성_인프라_인력'!BO205</f>
        <v>1.0537521272346391</v>
      </c>
      <c r="AF19" s="4047">
        <f>ROW('※ 팀별 작성_인프라_인력'!AH15)</f>
        <v>15</v>
      </c>
      <c r="AG19" s="4036">
        <f>ROW('※ 팀별 작성_인프라_인력'!AI34)</f>
        <v>34</v>
      </c>
      <c r="AH19" s="4036">
        <f>ROW('※ 팀별 작성_인프라_인력'!AJ53)</f>
        <v>53</v>
      </c>
    </row>
    <row r="20" spans="1:34" x14ac:dyDescent="0.55000000000000004">
      <c r="A20" s="7407"/>
      <c r="B20" s="4131"/>
      <c r="C20" s="4132" t="s">
        <v>231</v>
      </c>
      <c r="D20" s="4133" cm="1">
        <f t="array" aca="1" ref="D20" ca="1">INDIRECT("'※ 팀별 작성_인프라_인력'!"&amp;D$1&amp;$AF20, TRUE)</f>
        <v>27.583333333333332</v>
      </c>
      <c r="E20" s="4133" cm="1">
        <f t="array" aca="1" ref="E20" ca="1">INDIRECT("'※ 팀별 작성_인프라_인력'!"&amp;E$1&amp;$AF20, TRUE)</f>
        <v>31.916666666666668</v>
      </c>
      <c r="F20" s="4134" cm="1">
        <f t="array" aca="1" ref="F20" ca="1">INDIRECT("'※ 팀별 작성_인프라_인력'!"&amp;F$1&amp;$AF20, TRUE)</f>
        <v>34</v>
      </c>
      <c r="G20" s="4135" cm="1">
        <f t="array" aca="1" ref="G20" ca="1">INDIRECT("'※ 팀별 작성_인프라_인력'!"&amp;G$1&amp;$AF20, TRUE)</f>
        <v>33</v>
      </c>
      <c r="H20" s="4135" cm="1">
        <f t="array" aca="1" ref="H20" ca="1">INDIRECT("'※ 팀별 작성_인프라_인력'!"&amp;H$1&amp;$AF20, TRUE)</f>
        <v>31</v>
      </c>
      <c r="I20" s="4135" cm="1">
        <f t="array" aca="1" ref="I20" ca="1">INDIRECT("'※ 팀별 작성_인프라_인력'!"&amp;I$1&amp;$AF20, TRUE)</f>
        <v>31</v>
      </c>
      <c r="J20" s="4135" cm="1">
        <f t="array" aca="1" ref="J20" ca="1">INDIRECT("'※ 팀별 작성_인프라_인력'!"&amp;J$1&amp;$AF20, TRUE)</f>
        <v>31</v>
      </c>
      <c r="K20" s="4135" cm="1">
        <f t="array" aca="1" ref="K20" ca="1">INDIRECT("'※ 팀별 작성_인프라_인력'!"&amp;K$1&amp;$AF20, TRUE)</f>
        <v>29</v>
      </c>
      <c r="L20" s="4135" cm="1">
        <f t="array" aca="1" ref="L20" ca="1">INDIRECT("'※ 팀별 작성_인프라_인력'!"&amp;L$1&amp;$AF20, TRUE)</f>
        <v>31</v>
      </c>
      <c r="M20" s="4135" cm="1">
        <f t="array" aca="1" ref="M20" ca="1">INDIRECT("'※ 팀별 작성_인프라_인력'!"&amp;M$1&amp;$AF20, TRUE)</f>
        <v>31</v>
      </c>
      <c r="N20" s="4135" cm="1">
        <f t="array" aca="1" ref="N20" ca="1">INDIRECT("'※ 팀별 작성_인프라_인력'!"&amp;N$1&amp;$AF20, TRUE)</f>
        <v>31</v>
      </c>
      <c r="O20" s="4135" cm="1">
        <f t="array" aca="1" ref="O20" ca="1">INDIRECT("'※ 팀별 작성_인프라_인력'!"&amp;O$1&amp;$AF20, TRUE)</f>
        <v>31</v>
      </c>
      <c r="P20" s="4135" cm="1">
        <f t="array" aca="1" ref="P20" ca="1">INDIRECT("'※ 팀별 작성_인프라_인력'!"&amp;P$1&amp;$AF20, TRUE)</f>
        <v>30</v>
      </c>
      <c r="Q20" s="4135" cm="1">
        <f t="array" aca="1" ref="Q20" ca="1">INDIRECT("'※ 팀별 작성_인프라_인력'!"&amp;Q$1&amp;$AF20, TRUE)</f>
        <v>30</v>
      </c>
      <c r="R20" s="4136" cm="1">
        <f t="array" aca="1" ref="R20" ca="1">INDIRECT("'※ 팀별 작성_인프라_인력'!"&amp;R$1&amp;$AG20, TRUE)</f>
        <v>0</v>
      </c>
      <c r="S20" s="4135" cm="1">
        <f t="array" aca="1" ref="S20" ca="1">INDIRECT("'※ 팀별 작성_인프라_인력'!"&amp;S$1&amp;$AH20, TRUE)</f>
        <v>0</v>
      </c>
      <c r="T20" s="4137">
        <f ca="1">R20-S20</f>
        <v>0</v>
      </c>
      <c r="U20" s="4135">
        <f>'※ 팀별 작성_인프라_인력'!BJ35</f>
        <v>2</v>
      </c>
      <c r="V20" s="4135">
        <f>'※ 팀별 작성_인프라_인력'!BJ54</f>
        <v>6</v>
      </c>
      <c r="W20" s="4138">
        <f t="shared" si="6"/>
        <v>-4</v>
      </c>
      <c r="X20" s="4139">
        <f>'※ 팀별 작성_인프라_인력'!BK112</f>
        <v>5.2495625364552954</v>
      </c>
      <c r="Y20" s="4140">
        <f>'※ 팀별 작성_인프라_인력'!BK131</f>
        <v>7.6660278310140821</v>
      </c>
      <c r="Z20" s="4141">
        <f>'※ 팀별 작성_인프라_인력'!BK151</f>
        <v>83.822920071670367</v>
      </c>
      <c r="AA20" s="4142">
        <f>'※ 팀별 작성_인프라_인력'!BK167</f>
        <v>18.395803916345088</v>
      </c>
      <c r="AB20" s="4143">
        <f>'※ 팀별 작성_인프라_인력'!BO167</f>
        <v>2.8179672813729244</v>
      </c>
      <c r="AC20" s="4144">
        <f>'※ 팀별 작성_인프라_인력'!BK187</f>
        <v>18.165289457435101</v>
      </c>
      <c r="AD20" s="4142">
        <f>'※ 팀별 작성_인프라_인력'!BK206</f>
        <v>4.030329331933955</v>
      </c>
      <c r="AE20" s="4145">
        <f>'※ 팀별 작성_인프라_인력'!BO206</f>
        <v>0.90228578554584482</v>
      </c>
      <c r="AF20" s="4047">
        <f>ROW('※ 팀별 작성_인프라_인력'!AH16)</f>
        <v>16</v>
      </c>
      <c r="AG20" s="4036">
        <f>ROW('※ 팀별 작성_인프라_인력'!AI35)</f>
        <v>35</v>
      </c>
      <c r="AH20" s="4036">
        <f>ROW('※ 팀별 작성_인프라_인력'!AJ54)</f>
        <v>54</v>
      </c>
    </row>
    <row r="21" spans="1:34" x14ac:dyDescent="0.55000000000000004">
      <c r="A21" s="7407"/>
      <c r="B21" s="4131"/>
      <c r="C21" s="4132" t="s">
        <v>232</v>
      </c>
      <c r="D21" s="4133" cm="1">
        <f t="array" aca="1" ref="D21" ca="1">INDIRECT("'※ 팀별 작성_인프라_인력'!"&amp;D$1&amp;$AF21, TRUE)</f>
        <v>23.75</v>
      </c>
      <c r="E21" s="4133" cm="1">
        <f t="array" aca="1" ref="E21" ca="1">INDIRECT("'※ 팀별 작성_인프라_인력'!"&amp;E$1&amp;$AF21, TRUE)</f>
        <v>21.75</v>
      </c>
      <c r="F21" s="4134" cm="1">
        <f t="array" aca="1" ref="F21" ca="1">INDIRECT("'※ 팀별 작성_인프라_인력'!"&amp;F$1&amp;$AF21, TRUE)</f>
        <v>22</v>
      </c>
      <c r="G21" s="4135" cm="1">
        <f t="array" aca="1" ref="G21" ca="1">INDIRECT("'※ 팀별 작성_인프라_인력'!"&amp;G$1&amp;$AF21, TRUE)</f>
        <v>22</v>
      </c>
      <c r="H21" s="4135" cm="1">
        <f t="array" aca="1" ref="H21" ca="1">INDIRECT("'※ 팀별 작성_인프라_인력'!"&amp;H$1&amp;$AF21, TRUE)</f>
        <v>22</v>
      </c>
      <c r="I21" s="4135" cm="1">
        <f t="array" aca="1" ref="I21" ca="1">INDIRECT("'※ 팀별 작성_인프라_인력'!"&amp;I$1&amp;$AF21, TRUE)</f>
        <v>22</v>
      </c>
      <c r="J21" s="4135" cm="1">
        <f t="array" aca="1" ref="J21" ca="1">INDIRECT("'※ 팀별 작성_인프라_인력'!"&amp;J$1&amp;$AF21, TRUE)</f>
        <v>22</v>
      </c>
      <c r="K21" s="4135" cm="1">
        <f t="array" aca="1" ref="K21" ca="1">INDIRECT("'※ 팀별 작성_인프라_인력'!"&amp;K$1&amp;$AF21, TRUE)</f>
        <v>21</v>
      </c>
      <c r="L21" s="4135" cm="1">
        <f t="array" aca="1" ref="L21" ca="1">INDIRECT("'※ 팀별 작성_인프라_인력'!"&amp;L$1&amp;$AF21, TRUE)</f>
        <v>21</v>
      </c>
      <c r="M21" s="4135" cm="1">
        <f t="array" aca="1" ref="M21" ca="1">INDIRECT("'※ 팀별 작성_인프라_인력'!"&amp;M$1&amp;$AF21, TRUE)</f>
        <v>21</v>
      </c>
      <c r="N21" s="4135" cm="1">
        <f t="array" aca="1" ref="N21" ca="1">INDIRECT("'※ 팀별 작성_인프라_인력'!"&amp;N$1&amp;$AF21, TRUE)</f>
        <v>21</v>
      </c>
      <c r="O21" s="4135" cm="1">
        <f t="array" aca="1" ref="O21" ca="1">INDIRECT("'※ 팀별 작성_인프라_인력'!"&amp;O$1&amp;$AF21, TRUE)</f>
        <v>21</v>
      </c>
      <c r="P21" s="4135" cm="1">
        <f t="array" aca="1" ref="P21" ca="1">INDIRECT("'※ 팀별 작성_인프라_인력'!"&amp;P$1&amp;$AF21, TRUE)</f>
        <v>21</v>
      </c>
      <c r="Q21" s="4135" cm="1">
        <f t="array" aca="1" ref="Q21" ca="1">INDIRECT("'※ 팀별 작성_인프라_인력'!"&amp;Q$1&amp;$AF21, TRUE)</f>
        <v>20</v>
      </c>
      <c r="R21" s="4136" cm="1">
        <f t="array" aca="1" ref="R21" ca="1">INDIRECT("'※ 팀별 작성_인프라_인력'!"&amp;R$1&amp;$AG21, TRUE)</f>
        <v>0</v>
      </c>
      <c r="S21" s="4135" cm="1">
        <f t="array" aca="1" ref="S21" ca="1">INDIRECT("'※ 팀별 작성_인프라_인력'!"&amp;S$1&amp;$AH21, TRUE)</f>
        <v>1</v>
      </c>
      <c r="T21" s="4137">
        <f t="shared" ca="1" si="22"/>
        <v>-1</v>
      </c>
      <c r="U21" s="4135">
        <f>'※ 팀별 작성_인프라_인력'!BJ36</f>
        <v>0</v>
      </c>
      <c r="V21" s="4135">
        <f>'※ 팀별 작성_인프라_인력'!BJ55</f>
        <v>2</v>
      </c>
      <c r="W21" s="4138">
        <f t="shared" si="6"/>
        <v>-2</v>
      </c>
      <c r="X21" s="4139">
        <f>'※ 팀별 작성_인프라_인력'!BK113</f>
        <v>2.9997500208315975</v>
      </c>
      <c r="Y21" s="4140">
        <f>'※ 팀별 작성_인프라_인력'!BK132</f>
        <v>4.082993083909674</v>
      </c>
      <c r="Z21" s="4141">
        <f>'※ 팀별 작성_인프라_인력'!BK152</f>
        <v>79.011633590418711</v>
      </c>
      <c r="AA21" s="4142">
        <f>'※ 팀별 작성_인프라_인력'!BK168</f>
        <v>17.958562321516087</v>
      </c>
      <c r="AB21" s="4143">
        <f>'※ 팀별 작성_인프라_인력'!BO168</f>
        <v>1.6585322680850396</v>
      </c>
      <c r="AC21" s="4144">
        <f>'※ 팀별 작성_인프라_인력'!BK188</f>
        <v>18.745912588092409</v>
      </c>
      <c r="AD21" s="4142">
        <f>'※ 팀별 작성_인프라_인력'!BK207</f>
        <v>4.3172350575141145</v>
      </c>
      <c r="AE21" s="4145">
        <f>'※ 팀별 작성_인프라_인력'!BO207</f>
        <v>0.72551151434730876</v>
      </c>
      <c r="AF21" s="4047">
        <f>ROW('※ 팀별 작성_인프라_인력'!AH17)</f>
        <v>17</v>
      </c>
      <c r="AG21" s="4036">
        <f>ROW('※ 팀별 작성_인프라_인력'!AI36)</f>
        <v>36</v>
      </c>
      <c r="AH21" s="4036">
        <f>ROW('※ 팀별 작성_인프라_인력'!AJ55)</f>
        <v>55</v>
      </c>
    </row>
    <row r="22" spans="1:34" x14ac:dyDescent="0.55000000000000004">
      <c r="A22" s="7407"/>
      <c r="B22" s="4131"/>
      <c r="C22" s="4146" t="s">
        <v>233</v>
      </c>
      <c r="D22" s="4147" cm="1">
        <f t="array" aca="1" ref="D22" ca="1">INDIRECT("'※ 팀별 작성_인프라_인력'!"&amp;D$1&amp;$AF22, TRUE)</f>
        <v>30.583333333333332</v>
      </c>
      <c r="E22" s="4147" cm="1">
        <f t="array" aca="1" ref="E22" ca="1">INDIRECT("'※ 팀별 작성_인프라_인력'!"&amp;E$1&amp;$AF22, TRUE)</f>
        <v>29.416666666666668</v>
      </c>
      <c r="F22" s="4148" cm="1">
        <f t="array" aca="1" ref="F22" ca="1">INDIRECT("'※ 팀별 작성_인프라_인력'!"&amp;F$1&amp;$AF22, TRUE)</f>
        <v>30</v>
      </c>
      <c r="G22" s="4149" cm="1">
        <f t="array" aca="1" ref="G22" ca="1">INDIRECT("'※ 팀별 작성_인프라_인력'!"&amp;G$1&amp;$AF22, TRUE)</f>
        <v>29</v>
      </c>
      <c r="H22" s="4149" cm="1">
        <f t="array" aca="1" ref="H22" ca="1">INDIRECT("'※ 팀별 작성_인프라_인력'!"&amp;H$1&amp;$AF22, TRUE)</f>
        <v>28</v>
      </c>
      <c r="I22" s="4149" cm="1">
        <f t="array" aca="1" ref="I22" ca="1">INDIRECT("'※ 팀별 작성_인프라_인력'!"&amp;I$1&amp;$AF22, TRUE)</f>
        <v>28</v>
      </c>
      <c r="J22" s="4149" cm="1">
        <f t="array" aca="1" ref="J22" ca="1">INDIRECT("'※ 팀별 작성_인프라_인력'!"&amp;J$1&amp;$AF22, TRUE)</f>
        <v>28</v>
      </c>
      <c r="K22" s="4149" cm="1">
        <f t="array" aca="1" ref="K22" ca="1">INDIRECT("'※ 팀별 작성_인프라_인력'!"&amp;K$1&amp;$AF22, TRUE)</f>
        <v>28</v>
      </c>
      <c r="L22" s="4149" cm="1">
        <f t="array" aca="1" ref="L22" ca="1">INDIRECT("'※ 팀별 작성_인프라_인력'!"&amp;L$1&amp;$AF22, TRUE)</f>
        <v>28</v>
      </c>
      <c r="M22" s="4149" cm="1">
        <f t="array" aca="1" ref="M22" ca="1">INDIRECT("'※ 팀별 작성_인프라_인력'!"&amp;M$1&amp;$AF22, TRUE)</f>
        <v>28</v>
      </c>
      <c r="N22" s="4149" cm="1">
        <f t="array" aca="1" ref="N22" ca="1">INDIRECT("'※ 팀별 작성_인프라_인력'!"&amp;N$1&amp;$AF22, TRUE)</f>
        <v>28</v>
      </c>
      <c r="O22" s="4149" cm="1">
        <f t="array" aca="1" ref="O22" ca="1">INDIRECT("'※ 팀별 작성_인프라_인력'!"&amp;O$1&amp;$AF22, TRUE)</f>
        <v>28</v>
      </c>
      <c r="P22" s="4149" cm="1">
        <f t="array" aca="1" ref="P22" ca="1">INDIRECT("'※ 팀별 작성_인프라_인력'!"&amp;P$1&amp;$AF22, TRUE)</f>
        <v>28</v>
      </c>
      <c r="Q22" s="4149" cm="1">
        <f t="array" aca="1" ref="Q22" ca="1">INDIRECT("'※ 팀별 작성_인프라_인력'!"&amp;Q$1&amp;$AF22, TRUE)</f>
        <v>28</v>
      </c>
      <c r="R22" s="4150" cm="1">
        <f t="array" aca="1" ref="R22" ca="1">INDIRECT("'※ 팀별 작성_인프라_인력'!"&amp;R$1&amp;$AG22, TRUE)</f>
        <v>0</v>
      </c>
      <c r="S22" s="4149" cm="1">
        <f t="array" aca="1" ref="S22" ca="1">INDIRECT("'※ 팀별 작성_인프라_인력'!"&amp;S$1&amp;$AH22, TRUE)</f>
        <v>0</v>
      </c>
      <c r="T22" s="4151">
        <f t="shared" ca="1" si="22"/>
        <v>0</v>
      </c>
      <c r="U22" s="4149">
        <f>'※ 팀별 작성_인프라_인력'!BJ37</f>
        <v>0</v>
      </c>
      <c r="V22" s="4149">
        <f>'※ 팀별 작성_인프라_인력'!BJ56</f>
        <v>2</v>
      </c>
      <c r="W22" s="4152">
        <f>U22-V22</f>
        <v>-2</v>
      </c>
      <c r="X22" s="4153">
        <f>'※ 팀별 작성_인프라_인력'!BK114</f>
        <v>7.3327222731439052</v>
      </c>
      <c r="Y22" s="4154">
        <f>'※ 팀별 작성_인프라_인력'!BK133</f>
        <v>6.1661528205982838</v>
      </c>
      <c r="Z22" s="4155">
        <f>'※ 팀별 작성_인프라_인력'!BK153</f>
        <v>88.233362873838246</v>
      </c>
      <c r="AA22" s="4156">
        <f>'※ 팀별 작성_인프라_인력'!BK169</f>
        <v>20.756219675056624</v>
      </c>
      <c r="AB22" s="4157">
        <f>'※ 팀별 작성_인프라_인력'!BO169</f>
        <v>2.2385645843169719</v>
      </c>
      <c r="AC22" s="4158">
        <f>'※ 팀별 작성_인프라_인력'!BK189</f>
        <v>21.694805400042608</v>
      </c>
      <c r="AD22" s="4156">
        <f>'※ 팀별 작성_인프라_인력'!BK208</f>
        <v>5.1788394376088727</v>
      </c>
      <c r="AE22" s="4159">
        <f>'※ 팀별 작성_인프라_인력'!BO208</f>
        <v>0.78820975141169747</v>
      </c>
      <c r="AF22" s="4047">
        <f>ROW('※ 팀별 작성_인프라_인력'!AH18)</f>
        <v>18</v>
      </c>
      <c r="AG22" s="4036">
        <f>ROW('※ 팀별 작성_인프라_인력'!AI37)</f>
        <v>37</v>
      </c>
      <c r="AH22" s="4036">
        <f>ROW('※ 팀별 작성_인프라_인력'!AJ56)</f>
        <v>56</v>
      </c>
    </row>
    <row r="23" spans="1:34" x14ac:dyDescent="0.55000000000000004">
      <c r="A23" s="7407"/>
      <c r="B23" s="4131"/>
      <c r="C23" s="4146" t="s">
        <v>234</v>
      </c>
      <c r="D23" s="4147" cm="1">
        <f t="array" aca="1" ref="D23" ca="1">INDIRECT("'※ 팀별 작성_인프라_인력'!"&amp;D$1&amp;$AF23, TRUE)</f>
        <v>32.416666666666664</v>
      </c>
      <c r="E23" s="4147" cm="1">
        <f t="array" aca="1" ref="E23" ca="1">INDIRECT("'※ 팀별 작성_인프라_인력'!"&amp;E$1&amp;$AF23, TRUE)</f>
        <v>30.833333333333332</v>
      </c>
      <c r="F23" s="4148" cm="1">
        <f t="array" aca="1" ref="F23" ca="1">INDIRECT("'※ 팀별 작성_인프라_인력'!"&amp;F$1&amp;$AF23, TRUE)</f>
        <v>29</v>
      </c>
      <c r="G23" s="4149" cm="1">
        <f t="array" aca="1" ref="G23" ca="1">INDIRECT("'※ 팀별 작성_인프라_인력'!"&amp;G$1&amp;$AF23, TRUE)</f>
        <v>29</v>
      </c>
      <c r="H23" s="4149" cm="1">
        <f t="array" aca="1" ref="H23" ca="1">INDIRECT("'※ 팀별 작성_인프라_인력'!"&amp;H$1&amp;$AF23, TRUE)</f>
        <v>29</v>
      </c>
      <c r="I23" s="4149" cm="1">
        <f t="array" aca="1" ref="I23" ca="1">INDIRECT("'※ 팀별 작성_인프라_인력'!"&amp;I$1&amp;$AF23, TRUE)</f>
        <v>29</v>
      </c>
      <c r="J23" s="4149" cm="1">
        <f t="array" aca="1" ref="J23" ca="1">INDIRECT("'※ 팀별 작성_인프라_인력'!"&amp;J$1&amp;$AF23, TRUE)</f>
        <v>29</v>
      </c>
      <c r="K23" s="4149" cm="1">
        <f t="array" aca="1" ref="K23" ca="1">INDIRECT("'※ 팀별 작성_인프라_인력'!"&amp;K$1&amp;$AF23, TRUE)</f>
        <v>29</v>
      </c>
      <c r="L23" s="4149" cm="1">
        <f t="array" aca="1" ref="L23" ca="1">INDIRECT("'※ 팀별 작성_인프라_인력'!"&amp;L$1&amp;$AF23, TRUE)</f>
        <v>29</v>
      </c>
      <c r="M23" s="4149" cm="1">
        <f t="array" aca="1" ref="M23" ca="1">INDIRECT("'※ 팀별 작성_인프라_인력'!"&amp;M$1&amp;$AF23, TRUE)</f>
        <v>29</v>
      </c>
      <c r="N23" s="4149" cm="1">
        <f t="array" aca="1" ref="N23" ca="1">INDIRECT("'※ 팀별 작성_인프라_인력'!"&amp;N$1&amp;$AF23, TRUE)</f>
        <v>29</v>
      </c>
      <c r="O23" s="4149" cm="1">
        <f t="array" aca="1" ref="O23" ca="1">INDIRECT("'※ 팀별 작성_인프라_인력'!"&amp;O$1&amp;$AF23, TRUE)</f>
        <v>29</v>
      </c>
      <c r="P23" s="4149" cm="1">
        <f t="array" aca="1" ref="P23" ca="1">INDIRECT("'※ 팀별 작성_인프라_인력'!"&amp;P$1&amp;$AF23, TRUE)</f>
        <v>29</v>
      </c>
      <c r="Q23" s="4149" cm="1">
        <f t="array" aca="1" ref="Q23" ca="1">INDIRECT("'※ 팀별 작성_인프라_인력'!"&amp;Q$1&amp;$AF23, TRUE)</f>
        <v>29</v>
      </c>
      <c r="R23" s="4150" cm="1">
        <f t="array" aca="1" ref="R23" ca="1">INDIRECT("'※ 팀별 작성_인프라_인력'!"&amp;R$1&amp;$AG23, TRUE)</f>
        <v>0</v>
      </c>
      <c r="S23" s="4149" cm="1">
        <f t="array" aca="1" ref="S23" ca="1">INDIRECT("'※ 팀별 작성_인프라_인력'!"&amp;S$1&amp;$AH23, TRUE)</f>
        <v>0</v>
      </c>
      <c r="T23" s="4151">
        <f t="shared" ca="1" si="22"/>
        <v>0</v>
      </c>
      <c r="U23" s="4149">
        <f>'※ 팀별 작성_인프라_인력'!BJ38</f>
        <v>0</v>
      </c>
      <c r="V23" s="4149">
        <f>'※ 팀별 작성_인프라_인력'!BJ57</f>
        <v>1</v>
      </c>
      <c r="W23" s="4152">
        <f t="shared" si="6"/>
        <v>-1</v>
      </c>
      <c r="X23" s="4153">
        <f>'※ 팀별 작성_인프라_인력'!BK115</f>
        <v>5.1662361469877514</v>
      </c>
      <c r="Y23" s="4154">
        <f>'※ 팀별 작성_인프라_인력'!BK134</f>
        <v>6.2494792100658278</v>
      </c>
      <c r="Z23" s="4155">
        <f>'※ 팀별 작성_인프라_인력'!BK154</f>
        <v>79.763467986863176</v>
      </c>
      <c r="AA23" s="4156">
        <f>'※ 팀별 작성_인프라_인력'!BK170</f>
        <v>18.787455675873488</v>
      </c>
      <c r="AB23" s="4157">
        <f>'※ 팀별 작성_인프라_인력'!BO170</f>
        <v>2.2735457647945303</v>
      </c>
      <c r="AC23" s="4158">
        <f>'※ 팀별 작성_인프라_인력'!BK190</f>
        <v>15.145289616669871</v>
      </c>
      <c r="AD23" s="4156">
        <f>'※ 팀별 작성_인프라_인력'!BK209</f>
        <v>3.6006103712290809</v>
      </c>
      <c r="AE23" s="4159">
        <f>'※ 팀별 작성_인프라_인력'!BO209</f>
        <v>0.4780860347989524</v>
      </c>
      <c r="AF23" s="4047">
        <f>ROW('※ 팀별 작성_인프라_인력'!AH19)</f>
        <v>19</v>
      </c>
      <c r="AG23" s="4036">
        <f>ROW('※ 팀별 작성_인프라_인력'!AI38)</f>
        <v>38</v>
      </c>
      <c r="AH23" s="4036">
        <f>ROW('※ 팀별 작성_인프라_인력'!AJ57)</f>
        <v>57</v>
      </c>
    </row>
    <row r="24" spans="1:34" x14ac:dyDescent="0.55000000000000004">
      <c r="A24" s="7407"/>
      <c r="B24" s="4131"/>
      <c r="C24" s="4132" t="s">
        <v>235</v>
      </c>
      <c r="D24" s="4133" cm="1">
        <f t="array" aca="1" ref="D24" ca="1">INDIRECT("'※ 팀별 작성_인프라_인력'!"&amp;D$1&amp;$AF24, TRUE)</f>
        <v>28</v>
      </c>
      <c r="E24" s="4133" cm="1">
        <f t="array" aca="1" ref="E24" ca="1">INDIRECT("'※ 팀별 작성_인프라_인력'!"&amp;E$1&amp;$AF24, TRUE)</f>
        <v>28.666666666666668</v>
      </c>
      <c r="F24" s="4134" cm="1">
        <f t="array" aca="1" ref="F24" ca="1">INDIRECT("'※ 팀별 작성_인프라_인력'!"&amp;F$1&amp;$AF24, TRUE)</f>
        <v>29</v>
      </c>
      <c r="G24" s="4135" cm="1">
        <f t="array" aca="1" ref="G24" ca="1">INDIRECT("'※ 팀별 작성_인프라_인력'!"&amp;G$1&amp;$AF24, TRUE)</f>
        <v>29</v>
      </c>
      <c r="H24" s="4135" cm="1">
        <f t="array" aca="1" ref="H24" ca="1">INDIRECT("'※ 팀별 작성_인프라_인력'!"&amp;H$1&amp;$AF24, TRUE)</f>
        <v>28</v>
      </c>
      <c r="I24" s="4135" cm="1">
        <f t="array" aca="1" ref="I24" ca="1">INDIRECT("'※ 팀별 작성_인프라_인력'!"&amp;I$1&amp;$AF24, TRUE)</f>
        <v>28</v>
      </c>
      <c r="J24" s="4135" cm="1">
        <f t="array" aca="1" ref="J24" ca="1">INDIRECT("'※ 팀별 작성_인프라_인력'!"&amp;J$1&amp;$AF24, TRUE)</f>
        <v>28</v>
      </c>
      <c r="K24" s="4135" cm="1">
        <f t="array" aca="1" ref="K24" ca="1">INDIRECT("'※ 팀별 작성_인프라_인력'!"&amp;K$1&amp;$AF24, TRUE)</f>
        <v>27</v>
      </c>
      <c r="L24" s="4135" cm="1">
        <f t="array" aca="1" ref="L24" ca="1">INDIRECT("'※ 팀별 작성_인프라_인력'!"&amp;L$1&amp;$AF24, TRUE)</f>
        <v>27</v>
      </c>
      <c r="M24" s="4135" cm="1">
        <f t="array" aca="1" ref="M24" ca="1">INDIRECT("'※ 팀별 작성_인프라_인력'!"&amp;M$1&amp;$AF24, TRUE)</f>
        <v>27</v>
      </c>
      <c r="N24" s="4135" cm="1">
        <f t="array" aca="1" ref="N24" ca="1">INDIRECT("'※ 팀별 작성_인프라_인력'!"&amp;N$1&amp;$AF24, TRUE)</f>
        <v>27</v>
      </c>
      <c r="O24" s="4135" cm="1">
        <f t="array" aca="1" ref="O24" ca="1">INDIRECT("'※ 팀별 작성_인프라_인력'!"&amp;O$1&amp;$AF24, TRUE)</f>
        <v>27</v>
      </c>
      <c r="P24" s="4135" cm="1">
        <f t="array" aca="1" ref="P24" ca="1">INDIRECT("'※ 팀별 작성_인프라_인력'!"&amp;P$1&amp;$AF24, TRUE)</f>
        <v>27</v>
      </c>
      <c r="Q24" s="4135" cm="1">
        <f t="array" aca="1" ref="Q24" ca="1">INDIRECT("'※ 팀별 작성_인프라_인력'!"&amp;Q$1&amp;$AF24, TRUE)</f>
        <v>27</v>
      </c>
      <c r="R24" s="4136" cm="1">
        <f t="array" aca="1" ref="R24" ca="1">INDIRECT("'※ 팀별 작성_인프라_인력'!"&amp;R$1&amp;$AG24, TRUE)</f>
        <v>0</v>
      </c>
      <c r="S24" s="4135" cm="1">
        <f t="array" aca="1" ref="S24" ca="1">INDIRECT("'※ 팀별 작성_인프라_인력'!"&amp;S$1&amp;$AH24, TRUE)</f>
        <v>0</v>
      </c>
      <c r="T24" s="4137">
        <f t="shared" ca="1" si="22"/>
        <v>0</v>
      </c>
      <c r="U24" s="4135">
        <f>'※ 팀별 작성_인프라_인력'!BJ39</f>
        <v>0</v>
      </c>
      <c r="V24" s="4135">
        <f>'※ 팀별 작성_인프라_인력'!BJ58</f>
        <v>3</v>
      </c>
      <c r="W24" s="4138">
        <f t="shared" si="6"/>
        <v>-3</v>
      </c>
      <c r="X24" s="4139">
        <f>'※ 팀별 작성_인프라_인력'!BK116</f>
        <v>4.8329305891175736</v>
      </c>
      <c r="Y24" s="4140">
        <f>'※ 팀별 작성_인프라_인력'!BK135</f>
        <v>10.249145904507959</v>
      </c>
      <c r="Z24" s="4141">
        <f>'※ 팀별 작성_인프라_인력'!BK155</f>
        <v>69.048763816297566</v>
      </c>
      <c r="AA24" s="4142">
        <f>'※ 팀별 작성_인프라_인력'!BK171</f>
        <v>16.153854032298934</v>
      </c>
      <c r="AB24" s="4143">
        <f>'※ 팀별 작성_인프라_인력'!BO171</f>
        <v>0.61453536082823135</v>
      </c>
      <c r="AC24" s="4144">
        <f>'※ 팀별 작성_인프라_인력'!BK191</f>
        <v>13.153221084887702</v>
      </c>
      <c r="AD24" s="4142">
        <f>'※ 팀별 작성_인프라_인력'!BK210</f>
        <v>3.1150700017699684</v>
      </c>
      <c r="AE24" s="4145">
        <f>'※ 팀별 작성_인프라_인력'!BO210</f>
        <v>0.22437851158144317</v>
      </c>
      <c r="AF24" s="4047">
        <f>ROW('※ 팀별 작성_인프라_인력'!AH20)</f>
        <v>20</v>
      </c>
      <c r="AG24" s="4036">
        <f>ROW('※ 팀별 작성_인프라_인력'!AI39)</f>
        <v>39</v>
      </c>
      <c r="AH24" s="4036">
        <f>ROW('※ 팀별 작성_인프라_인력'!AJ58)</f>
        <v>58</v>
      </c>
    </row>
    <row r="25" spans="1:34" ht="12.55" customHeight="1" thickBot="1" x14ac:dyDescent="0.6">
      <c r="A25" s="7408"/>
      <c r="B25" s="4160"/>
      <c r="C25" s="4161" t="s">
        <v>236</v>
      </c>
      <c r="D25" s="4162" cm="1">
        <f t="array" aca="1" ref="D25" ca="1">INDIRECT("'※ 팀별 작성_인프라_인력'!"&amp;D$1&amp;$AF25, TRUE)</f>
        <v>28.166666666666668</v>
      </c>
      <c r="E25" s="4162" cm="1">
        <f t="array" aca="1" ref="E25" ca="1">INDIRECT("'※ 팀별 작성_인프라_인력'!"&amp;E$1&amp;$AF25, TRUE)</f>
        <v>29.25</v>
      </c>
      <c r="F25" s="4163" cm="1">
        <f t="array" aca="1" ref="F25" ca="1">INDIRECT("'※ 팀별 작성_인프라_인력'!"&amp;F$1&amp;$AF25, TRUE)</f>
        <v>29</v>
      </c>
      <c r="G25" s="4164" cm="1">
        <f t="array" aca="1" ref="G25" ca="1">INDIRECT("'※ 팀별 작성_인프라_인력'!"&amp;G$1&amp;$AF25, TRUE)</f>
        <v>29</v>
      </c>
      <c r="H25" s="4164" cm="1">
        <f t="array" aca="1" ref="H25" ca="1">INDIRECT("'※ 팀별 작성_인프라_인력'!"&amp;H$1&amp;$AF25, TRUE)</f>
        <v>29</v>
      </c>
      <c r="I25" s="4164" cm="1">
        <f t="array" aca="1" ref="I25" ca="1">INDIRECT("'※ 팀별 작성_인프라_인력'!"&amp;I$1&amp;$AF25, TRUE)</f>
        <v>27</v>
      </c>
      <c r="J25" s="4164" cm="1">
        <f t="array" aca="1" ref="J25" ca="1">INDIRECT("'※ 팀별 작성_인프라_인력'!"&amp;J$1&amp;$AF25, TRUE)</f>
        <v>27</v>
      </c>
      <c r="K25" s="4164" cm="1">
        <f t="array" aca="1" ref="K25" ca="1">INDIRECT("'※ 팀별 작성_인프라_인력'!"&amp;K$1&amp;$AF25, TRUE)</f>
        <v>27</v>
      </c>
      <c r="L25" s="4164" cm="1">
        <f t="array" aca="1" ref="L25" ca="1">INDIRECT("'※ 팀별 작성_인프라_인력'!"&amp;L$1&amp;$AF25, TRUE)</f>
        <v>27</v>
      </c>
      <c r="M25" s="4164" cm="1">
        <f t="array" aca="1" ref="M25" ca="1">INDIRECT("'※ 팀별 작성_인프라_인력'!"&amp;M$1&amp;$AF25, TRUE)</f>
        <v>27</v>
      </c>
      <c r="N25" s="4164" cm="1">
        <f t="array" aca="1" ref="N25" ca="1">INDIRECT("'※ 팀별 작성_인프라_인력'!"&amp;N$1&amp;$AF25, TRUE)</f>
        <v>27</v>
      </c>
      <c r="O25" s="4164" cm="1">
        <f t="array" aca="1" ref="O25" ca="1">INDIRECT("'※ 팀별 작성_인프라_인력'!"&amp;O$1&amp;$AF25, TRUE)</f>
        <v>26</v>
      </c>
      <c r="P25" s="4164" cm="1">
        <f t="array" aca="1" ref="P25" ca="1">INDIRECT("'※ 팀별 작성_인프라_인력'!"&amp;P$1&amp;$AF25, TRUE)</f>
        <v>27</v>
      </c>
      <c r="Q25" s="4164" cm="1">
        <f t="array" aca="1" ref="Q25" ca="1">INDIRECT("'※ 팀별 작성_인프라_인력'!"&amp;Q$1&amp;$AF25, TRUE)</f>
        <v>27</v>
      </c>
      <c r="R25" s="4165" cm="1">
        <f t="array" aca="1" ref="R25" ca="1">INDIRECT("'※ 팀별 작성_인프라_인력'!"&amp;R$1&amp;$AG25, TRUE)</f>
        <v>0</v>
      </c>
      <c r="S25" s="4164" cm="1">
        <f t="array" aca="1" ref="S25" ca="1">INDIRECT("'※ 팀별 작성_인프라_인력'!"&amp;S$1&amp;$AH25, TRUE)</f>
        <v>0</v>
      </c>
      <c r="T25" s="4166">
        <f t="shared" ca="1" si="22"/>
        <v>0</v>
      </c>
      <c r="U25" s="4164">
        <f>'※ 팀별 작성_인프라_인력'!BJ40</f>
        <v>1</v>
      </c>
      <c r="V25" s="4164">
        <f>'※ 팀별 작성_인프라_인력'!BJ59</f>
        <v>3</v>
      </c>
      <c r="W25" s="4167">
        <f t="shared" si="6"/>
        <v>-2</v>
      </c>
      <c r="X25" s="4168">
        <f>'※ 팀별 작성_인프라_인력'!BK117</f>
        <v>6.4161319890009167</v>
      </c>
      <c r="Y25" s="4169">
        <f>'※ 팀별 작성_인프라_인력'!BK136</f>
        <v>8.0826597783518039</v>
      </c>
      <c r="Z25" s="4170">
        <f>'※ 팀별 작성_인프라_인력'!BK156</f>
        <v>65.960871928190741</v>
      </c>
      <c r="AA25" s="4171">
        <f>'※ 팀별 작성_인프라_인력'!BK172</f>
        <v>16.2070684456157</v>
      </c>
      <c r="AB25" s="4172">
        <f>'※ 팀별 작성_인프라_인력'!BO172</f>
        <v>0.97828402582755203</v>
      </c>
      <c r="AC25" s="4173">
        <f>'※ 팀별 작성_인프라_인력'!BK192</f>
        <v>11.851396376823853</v>
      </c>
      <c r="AD25" s="4171">
        <f>'※ 팀별 작성_인프라_인력'!BK211</f>
        <v>2.9403965665297243</v>
      </c>
      <c r="AE25" s="4174">
        <f>'※ 팀별 작성_인프라_인력'!BO211</f>
        <v>0.52731990744582191</v>
      </c>
      <c r="AF25" s="4047">
        <f>ROW('※ 팀별 작성_인프라_인력'!AH21)</f>
        <v>21</v>
      </c>
      <c r="AG25" s="4036">
        <f>ROW('※ 팀별 작성_인프라_인력'!AI40)</f>
        <v>40</v>
      </c>
      <c r="AH25" s="4036">
        <f>ROW('※ 팀별 작성_인프라_인력'!AJ59)</f>
        <v>59</v>
      </c>
    </row>
    <row r="26" spans="1:34" s="2426" customFormat="1" ht="16.3" hidden="1" x14ac:dyDescent="0.55000000000000004">
      <c r="A26" s="4175"/>
      <c r="B26" s="4176"/>
      <c r="C26" s="4176"/>
      <c r="D26" s="4177"/>
      <c r="E26" s="4177"/>
      <c r="F26" s="4177"/>
      <c r="G26" s="4177"/>
      <c r="H26" s="4177"/>
      <c r="I26" s="4177"/>
      <c r="J26" s="4177"/>
      <c r="K26" s="4177"/>
      <c r="L26" s="4177"/>
      <c r="M26" s="4177"/>
      <c r="N26" s="4177"/>
      <c r="O26" s="4177"/>
      <c r="P26" s="4177"/>
      <c r="Q26" s="4177"/>
      <c r="R26" s="4177"/>
      <c r="S26" s="4177"/>
      <c r="T26" s="4178"/>
      <c r="U26" s="4177"/>
      <c r="V26" s="4177"/>
      <c r="W26" s="4178"/>
      <c r="X26" s="4177"/>
      <c r="Y26" s="4177"/>
      <c r="Z26" s="4179"/>
      <c r="AA26" s="4179"/>
      <c r="AB26" s="4180"/>
      <c r="AC26" s="4179"/>
      <c r="AD26" s="4179"/>
      <c r="AE26" s="2555"/>
      <c r="AF26" s="4181"/>
      <c r="AG26" s="4182"/>
      <c r="AH26" s="4182"/>
    </row>
    <row r="27" spans="1:34" s="2426" customFormat="1" ht="21" hidden="1" customHeight="1" thickBot="1" x14ac:dyDescent="0.6">
      <c r="A27" s="4175"/>
      <c r="B27" s="4176"/>
      <c r="C27" s="4176"/>
      <c r="D27" s="4177"/>
      <c r="E27" s="4177"/>
      <c r="F27" s="7438"/>
      <c r="G27" s="7438"/>
      <c r="H27" s="7438"/>
      <c r="I27" s="7438"/>
      <c r="J27" s="4183"/>
      <c r="K27" s="4183"/>
      <c r="L27" s="4183"/>
      <c r="M27" s="4183"/>
      <c r="N27" s="4183"/>
      <c r="O27" s="4183"/>
      <c r="P27" s="4183"/>
      <c r="Q27" s="4183"/>
      <c r="R27" s="4184"/>
      <c r="S27" s="4184"/>
      <c r="T27" s="7435" t="s">
        <v>258</v>
      </c>
      <c r="U27" s="7435"/>
      <c r="V27" s="7435"/>
      <c r="W27" s="7422" t="s">
        <v>463</v>
      </c>
      <c r="X27" s="7422"/>
      <c r="Y27" s="7422"/>
      <c r="Z27" s="7422" t="s">
        <v>921</v>
      </c>
      <c r="AA27" s="7422"/>
      <c r="AB27" s="7422"/>
      <c r="AC27" s="7422" t="s">
        <v>922</v>
      </c>
      <c r="AD27" s="7422"/>
      <c r="AE27" s="7422"/>
      <c r="AF27" s="4181"/>
      <c r="AG27" s="4182"/>
      <c r="AH27" s="4182"/>
    </row>
    <row r="28" spans="1:34" s="2426" customFormat="1" ht="17.149999999999999" hidden="1" thickTop="1" thickBot="1" x14ac:dyDescent="0.6">
      <c r="A28" s="2441" t="s">
        <v>839</v>
      </c>
      <c r="B28" s="4185"/>
      <c r="C28" s="4186"/>
      <c r="D28" s="3680" t="s">
        <v>906</v>
      </c>
      <c r="E28" s="3681" t="s">
        <v>905</v>
      </c>
      <c r="F28" s="3316" t="s">
        <v>361</v>
      </c>
      <c r="G28" s="3316" t="s">
        <v>362</v>
      </c>
      <c r="H28" s="3316" t="s">
        <v>363</v>
      </c>
      <c r="I28" s="3316" t="s">
        <v>364</v>
      </c>
      <c r="J28" s="3316" t="s">
        <v>365</v>
      </c>
      <c r="K28" s="4187" t="s">
        <v>366</v>
      </c>
      <c r="L28" s="4187"/>
      <c r="M28" s="4187"/>
      <c r="N28" s="4187"/>
      <c r="O28" s="4187"/>
      <c r="P28" s="4187"/>
      <c r="Q28" s="4187"/>
      <c r="R28" s="7421" t="s">
        <v>926</v>
      </c>
      <c r="S28" s="7421"/>
      <c r="T28" s="4188" t="s">
        <v>894</v>
      </c>
      <c r="U28" s="4188" t="s">
        <v>895</v>
      </c>
      <c r="V28" s="4188" t="s">
        <v>896</v>
      </c>
      <c r="W28" s="4189" t="s">
        <v>894</v>
      </c>
      <c r="X28" s="4189" t="s">
        <v>895</v>
      </c>
      <c r="Y28" s="4190" t="s">
        <v>896</v>
      </c>
      <c r="Z28" s="4189" t="s">
        <v>894</v>
      </c>
      <c r="AA28" s="4189" t="s">
        <v>895</v>
      </c>
      <c r="AB28" s="4191" t="s">
        <v>896</v>
      </c>
      <c r="AC28" s="4189" t="s">
        <v>923</v>
      </c>
      <c r="AD28" s="4189" t="s">
        <v>924</v>
      </c>
      <c r="AE28" s="4191" t="s">
        <v>925</v>
      </c>
      <c r="AF28" s="4181"/>
      <c r="AG28" s="4182"/>
      <c r="AH28" s="4182"/>
    </row>
    <row r="29" spans="1:34" s="2426" customFormat="1" hidden="1" x14ac:dyDescent="0.55000000000000004">
      <c r="A29" s="7418" t="s">
        <v>1206</v>
      </c>
      <c r="B29" s="4192" t="s">
        <v>825</v>
      </c>
      <c r="C29" s="4192"/>
      <c r="D29" s="4193" cm="1">
        <f t="array" aca="1" ref="D29" ca="1">INDIRECT("'※ 팀별 작성_인프라_인력'!"&amp;D$1&amp;$AF29, TRUE)</f>
        <v>45</v>
      </c>
      <c r="E29" s="4193" cm="1">
        <f t="array" aca="1" ref="E29" ca="1">INDIRECT("'※ 팀별 작성_인프라_인력'!"&amp;E$1&amp;$AF29, TRUE)</f>
        <v>45.993323236852675</v>
      </c>
      <c r="F29" s="4194" cm="1">
        <f t="array" aca="1" ref="F29" ca="1">INDIRECT("'※ 팀별 작성_인프라_인력'!"&amp;F$1&amp;$AF29, TRUE)</f>
        <v>0</v>
      </c>
      <c r="G29" s="4194" cm="1">
        <f t="array" aca="1" ref="G29" ca="1">INDIRECT("'※ 팀별 작성_인프라_인력'!"&amp;G$1&amp;$AF29, TRUE)</f>
        <v>0</v>
      </c>
      <c r="H29" s="4194" cm="1">
        <f t="array" aca="1" ref="H29" ca="1">INDIRECT("'※ 팀별 작성_인프라_인력'!"&amp;H$1&amp;$AF29, TRUE)</f>
        <v>0</v>
      </c>
      <c r="I29" s="4194" cm="1">
        <f t="array" aca="1" ref="I29" ca="1">INDIRECT("'※ 팀별 작성_인프라_인력'!"&amp;I$1&amp;$AF29, TRUE)</f>
        <v>0</v>
      </c>
      <c r="J29" s="4194" cm="1">
        <f t="array" aca="1" ref="J29" ca="1">INDIRECT("'※ 팀별 작성_인프라_인력'!"&amp;J$1&amp;$AF29, TRUE)</f>
        <v>0</v>
      </c>
      <c r="K29" s="4194" cm="1">
        <f t="array" aca="1" ref="K29" ca="1">INDIRECT("'※ 팀별 작성_인프라_인력'!"&amp;K$1&amp;$AF29, TRUE)</f>
        <v>0</v>
      </c>
      <c r="L29" s="4195"/>
      <c r="M29" s="4195"/>
      <c r="N29" s="4195"/>
      <c r="O29" s="4195"/>
      <c r="P29" s="4195"/>
      <c r="Q29" s="4195"/>
      <c r="R29" s="7436" cm="1">
        <f t="array" aca="1" ref="R29" ca="1">INDIRECT("'※ 팀별 작성_인프라_인력'!"&amp;R$1&amp;$AF29, TRUE)</f>
        <v>0</v>
      </c>
      <c r="S29" s="7436"/>
      <c r="T29" s="4194" t="e" cm="1">
        <f t="array" aca="1" ref="T29" ca="1">INDIRECT("'※ 팀별 작성_인프라_인력'!"&amp;T$1&amp;$AF29, TRUE)</f>
        <v>#REF!</v>
      </c>
      <c r="U29" s="4194" cm="1">
        <f t="array" aca="1" ref="U29" ca="1">INDIRECT("'※ 팀별 작성_인프라_인력'!"&amp;U$1&amp;$AF29, TRUE)</f>
        <v>0</v>
      </c>
      <c r="V29" s="4194" cm="1">
        <f t="array" aca="1" ref="V29" ca="1">INDIRECT("'※ 팀별 작성_인프라_인력'!"&amp;V$1&amp;$AF29, TRUE)</f>
        <v>0</v>
      </c>
      <c r="W29" s="4196" cm="1">
        <f t="array" aca="1" ref="W29" ca="1">INDIRECT("'※ 팀별 작성_인프라_인력'!"&amp;W$1&amp;$AF29, TRUE)</f>
        <v>0</v>
      </c>
      <c r="X29" s="4196" cm="1">
        <f t="array" aca="1" ref="X29" ca="1">INDIRECT("'※ 팀별 작성_인프라_인력'!"&amp;X$1&amp;$AF29, TRUE)</f>
        <v>0</v>
      </c>
      <c r="Y29" s="4197" cm="1">
        <f t="array" aca="1" ref="Y29" ca="1">INDIRECT("'※ 팀별 작성_인프라_인력'!"&amp;Y$1&amp;$AF29, TRUE)</f>
        <v>0</v>
      </c>
      <c r="Z29" s="4196" cm="1">
        <f t="array" aca="1" ref="Z29" ca="1">INDIRECT("'※ 팀별 작성_인프라_인력'!"&amp;Z$1&amp;$AF29, TRUE)</f>
        <v>0</v>
      </c>
      <c r="AA29" s="4196" cm="1">
        <f t="array" aca="1" ref="AA29" ca="1">INDIRECT("'※ 팀별 작성_인프라_인력'!"&amp;AA$1&amp;$AF29, TRUE)</f>
        <v>0</v>
      </c>
      <c r="AB29" s="4196" cm="1">
        <f t="array" aca="1" ref="AB29" ca="1">INDIRECT("'※ 팀별 작성_인프라_인력'!"&amp;AB$1&amp;$AF29, TRUE)</f>
        <v>0</v>
      </c>
      <c r="AC29" s="4198" cm="1">
        <f t="array" aca="1" ref="AC29" ca="1">INDIRECT("'※ 팀별 작성_인프라_인력'!"&amp;AC$1&amp;$AF29, TRUE)</f>
        <v>0</v>
      </c>
      <c r="AD29" s="4198" cm="1">
        <f t="array" aca="1" ref="AD29" ca="1">INDIRECT("'※ 팀별 작성_인프라_인력'!"&amp;AD$1&amp;$AF29, TRUE)</f>
        <v>0</v>
      </c>
      <c r="AE29" s="4199" cm="1">
        <f t="array" aca="1" ref="AE29" ca="1">INDIRECT("'※ 팀별 작성_인프라_인력'!"&amp;AE$1&amp;$AF29, TRUE)</f>
        <v>0</v>
      </c>
      <c r="AF29" s="4047">
        <f>ROW('※ 팀별 작성_인프라_인력'!AH216)</f>
        <v>216</v>
      </c>
      <c r="AG29" s="4182"/>
      <c r="AH29" s="4182"/>
    </row>
    <row r="30" spans="1:34" s="2426" customFormat="1" hidden="1" x14ac:dyDescent="0.55000000000000004">
      <c r="A30" s="7419"/>
      <c r="B30" s="4200"/>
      <c r="C30" s="3707" t="s">
        <v>826</v>
      </c>
      <c r="D30" s="4201" cm="1">
        <f t="array" aca="1" ref="D30" ca="1">INDIRECT("'※ 팀별 작성_인프라_인력'!"&amp;D$1&amp;$AF30, TRUE)</f>
        <v>72.270124621084534</v>
      </c>
      <c r="E30" s="4201" cm="1">
        <f t="array" aca="1" ref="E30" ca="1">INDIRECT("'※ 팀별 작성_인프라_인력'!"&amp;E$1&amp;$AF30, TRUE)</f>
        <v>73.023403824747518</v>
      </c>
      <c r="F30" s="4202" cm="1">
        <f t="array" aca="1" ref="F30" ca="1">INDIRECT("'※ 팀별 작성_인프라_인력'!"&amp;F$1&amp;$AF30, TRUE)</f>
        <v>0</v>
      </c>
      <c r="G30" s="4202" cm="1">
        <f t="array" aca="1" ref="G30" ca="1">INDIRECT("'※ 팀별 작성_인프라_인력'!"&amp;G$1&amp;$AF30, TRUE)</f>
        <v>0</v>
      </c>
      <c r="H30" s="4202" cm="1">
        <f t="array" aca="1" ref="H30" ca="1">INDIRECT("'※ 팀별 작성_인프라_인력'!"&amp;H$1&amp;$AF30, TRUE)</f>
        <v>0</v>
      </c>
      <c r="I30" s="4202" cm="1">
        <f t="array" aca="1" ref="I30" ca="1">INDIRECT("'※ 팀별 작성_인프라_인력'!"&amp;I$1&amp;$AF30, TRUE)</f>
        <v>0</v>
      </c>
      <c r="J30" s="4202" cm="1">
        <f t="array" aca="1" ref="J30" ca="1">INDIRECT("'※ 팀별 작성_인프라_인력'!"&amp;J$1&amp;$AF30, TRUE)</f>
        <v>0</v>
      </c>
      <c r="K30" s="4202" cm="1">
        <f t="array" aca="1" ref="K30" ca="1">INDIRECT("'※ 팀별 작성_인프라_인력'!"&amp;K$1&amp;$AF30, TRUE)</f>
        <v>0</v>
      </c>
      <c r="L30" s="4202"/>
      <c r="M30" s="4202"/>
      <c r="N30" s="4202"/>
      <c r="O30" s="4202"/>
      <c r="P30" s="4202"/>
      <c r="Q30" s="4202"/>
      <c r="R30" s="7437" cm="1">
        <f t="array" aca="1" ref="R30" ca="1">INDIRECT("'※ 팀별 작성_인프라_인력'!"&amp;R$1&amp;$AF30, TRUE)</f>
        <v>0</v>
      </c>
      <c r="S30" s="7437"/>
      <c r="T30" s="4202" t="e" cm="1">
        <f t="array" aca="1" ref="T30" ca="1">INDIRECT("'※ 팀별 작성_인프라_인력'!"&amp;T$1&amp;$AF30, TRUE)</f>
        <v>#REF!</v>
      </c>
      <c r="U30" s="4202" cm="1">
        <f t="array" aca="1" ref="U30" ca="1">INDIRECT("'※ 팀별 작성_인프라_인력'!"&amp;U$1&amp;$AF30, TRUE)</f>
        <v>0</v>
      </c>
      <c r="V30" s="4202" cm="1">
        <f t="array" aca="1" ref="V30" ca="1">INDIRECT("'※ 팀별 작성_인프라_인력'!"&amp;V$1&amp;$AF30, TRUE)</f>
        <v>0</v>
      </c>
      <c r="W30" s="4203" cm="1">
        <f t="array" aca="1" ref="W30" ca="1">INDIRECT("'※ 팀별 작성_인프라_인력'!"&amp;W$1&amp;$AF30, TRUE)</f>
        <v>0</v>
      </c>
      <c r="X30" s="4203" cm="1">
        <f t="array" aca="1" ref="X30" ca="1">INDIRECT("'※ 팀별 작성_인프라_인력'!"&amp;X$1&amp;$AF30, TRUE)</f>
        <v>0</v>
      </c>
      <c r="Y30" s="4204" cm="1">
        <f t="array" aca="1" ref="Y30" ca="1">INDIRECT("'※ 팀별 작성_인프라_인력'!"&amp;Y$1&amp;$AF30, TRUE)</f>
        <v>0</v>
      </c>
      <c r="Z30" s="4203" cm="1">
        <f t="array" aca="1" ref="Z30" ca="1">INDIRECT("'※ 팀별 작성_인프라_인력'!"&amp;Z$1&amp;$AF30, TRUE)</f>
        <v>0</v>
      </c>
      <c r="AA30" s="4203" cm="1">
        <f t="array" aca="1" ref="AA30" ca="1">INDIRECT("'※ 팀별 작성_인프라_인력'!"&amp;AA$1&amp;$AF30, TRUE)</f>
        <v>0</v>
      </c>
      <c r="AB30" s="4203" cm="1">
        <f t="array" aca="1" ref="AB30" ca="1">INDIRECT("'※ 팀별 작성_인프라_인력'!"&amp;AB$1&amp;$AF30, TRUE)</f>
        <v>0</v>
      </c>
      <c r="AC30" s="4205" cm="1">
        <f t="array" aca="1" ref="AC30" ca="1">INDIRECT("'※ 팀별 작성_인프라_인력'!"&amp;AC$1&amp;$AF30, TRUE)</f>
        <v>0</v>
      </c>
      <c r="AD30" s="4205" cm="1">
        <f t="array" aca="1" ref="AD30" ca="1">INDIRECT("'※ 팀별 작성_인프라_인력'!"&amp;AD$1&amp;$AF30, TRUE)</f>
        <v>0</v>
      </c>
      <c r="AE30" s="4206" cm="1">
        <f t="array" aca="1" ref="AE30" ca="1">INDIRECT("'※ 팀별 작성_인프라_인력'!"&amp;AE$1&amp;$AF30, TRUE)</f>
        <v>0</v>
      </c>
      <c r="AF30" s="4047">
        <f>ROW('※ 팀별 작성_인프라_인력'!AH217)</f>
        <v>217</v>
      </c>
      <c r="AG30" s="4182"/>
      <c r="AH30" s="4182"/>
    </row>
    <row r="31" spans="1:34" s="2426" customFormat="1" hidden="1" x14ac:dyDescent="0.55000000000000004">
      <c r="A31" s="7419"/>
      <c r="B31" s="4200"/>
      <c r="C31" s="3707" t="s">
        <v>827</v>
      </c>
      <c r="D31" s="4201" cm="1">
        <f t="array" aca="1" ref="D31" ca="1">INDIRECT("'※ 팀별 작성_인프라_인력'!"&amp;D$1&amp;$AF31, TRUE)</f>
        <v>71.30441845354126</v>
      </c>
      <c r="E31" s="4201" cm="1">
        <f t="array" aca="1" ref="E31" ca="1">INDIRECT("'※ 팀별 작성_인프라_인력'!"&amp;E$1&amp;$AF31, TRUE)</f>
        <v>71.396351732780886</v>
      </c>
      <c r="F31" s="4202" cm="1">
        <f t="array" aca="1" ref="F31" ca="1">INDIRECT("'※ 팀별 작성_인프라_인력'!"&amp;F$1&amp;$AF31, TRUE)</f>
        <v>0</v>
      </c>
      <c r="G31" s="4202" cm="1">
        <f t="array" aca="1" ref="G31" ca="1">INDIRECT("'※ 팀별 작성_인프라_인력'!"&amp;G$1&amp;$AF31, TRUE)</f>
        <v>0</v>
      </c>
      <c r="H31" s="4202" cm="1">
        <f t="array" aca="1" ref="H31" ca="1">INDIRECT("'※ 팀별 작성_인프라_인력'!"&amp;H$1&amp;$AF31, TRUE)</f>
        <v>0</v>
      </c>
      <c r="I31" s="4202" cm="1">
        <f t="array" aca="1" ref="I31" ca="1">INDIRECT("'※ 팀별 작성_인프라_인력'!"&amp;I$1&amp;$AF31, TRUE)</f>
        <v>0</v>
      </c>
      <c r="J31" s="4202" cm="1">
        <f t="array" aca="1" ref="J31" ca="1">INDIRECT("'※ 팀별 작성_인프라_인력'!"&amp;J$1&amp;$AF31, TRUE)</f>
        <v>0</v>
      </c>
      <c r="K31" s="4202" cm="1">
        <f t="array" aca="1" ref="K31" ca="1">INDIRECT("'※ 팀별 작성_인프라_인력'!"&amp;K$1&amp;$AF31, TRUE)</f>
        <v>0</v>
      </c>
      <c r="L31" s="4202"/>
      <c r="M31" s="4202"/>
      <c r="N31" s="4202"/>
      <c r="O31" s="4202"/>
      <c r="P31" s="4202"/>
      <c r="Q31" s="4202"/>
      <c r="R31" s="7432" cm="1">
        <f t="array" aca="1" ref="R31" ca="1">INDIRECT("'※ 팀별 작성_인프라_인력'!"&amp;R$1&amp;$AF31, TRUE)</f>
        <v>0</v>
      </c>
      <c r="S31" s="7432"/>
      <c r="T31" s="4202" t="e" cm="1">
        <f t="array" aca="1" ref="T31" ca="1">INDIRECT("'※ 팀별 작성_인프라_인력'!"&amp;T$1&amp;$AF31, TRUE)</f>
        <v>#REF!</v>
      </c>
      <c r="U31" s="4202" cm="1">
        <f t="array" aca="1" ref="U31" ca="1">INDIRECT("'※ 팀별 작성_인프라_인력'!"&amp;U$1&amp;$AF31, TRUE)</f>
        <v>0</v>
      </c>
      <c r="V31" s="4202" cm="1">
        <f t="array" aca="1" ref="V31" ca="1">INDIRECT("'※ 팀별 작성_인프라_인력'!"&amp;V$1&amp;$AF31, TRUE)</f>
        <v>0</v>
      </c>
      <c r="W31" s="4203" cm="1">
        <f t="array" aca="1" ref="W31" ca="1">INDIRECT("'※ 팀별 작성_인프라_인력'!"&amp;W$1&amp;$AF31, TRUE)</f>
        <v>0</v>
      </c>
      <c r="X31" s="4203" cm="1">
        <f t="array" aca="1" ref="X31" ca="1">INDIRECT("'※ 팀별 작성_인프라_인력'!"&amp;X$1&amp;$AF31, TRUE)</f>
        <v>0</v>
      </c>
      <c r="Y31" s="4204" cm="1">
        <f t="array" aca="1" ref="Y31" ca="1">INDIRECT("'※ 팀별 작성_인프라_인력'!"&amp;Y$1&amp;$AF31, TRUE)</f>
        <v>0</v>
      </c>
      <c r="Z31" s="4203" cm="1">
        <f t="array" aca="1" ref="Z31" ca="1">INDIRECT("'※ 팀별 작성_인프라_인력'!"&amp;Z$1&amp;$AF31, TRUE)</f>
        <v>0</v>
      </c>
      <c r="AA31" s="4203" cm="1">
        <f t="array" aca="1" ref="AA31" ca="1">INDIRECT("'※ 팀별 작성_인프라_인력'!"&amp;AA$1&amp;$AF31, TRUE)</f>
        <v>0</v>
      </c>
      <c r="AB31" s="4203" cm="1">
        <f t="array" aca="1" ref="AB31" ca="1">INDIRECT("'※ 팀별 작성_인프라_인력'!"&amp;AB$1&amp;$AF31, TRUE)</f>
        <v>0</v>
      </c>
      <c r="AC31" s="4205" cm="1">
        <f t="array" aca="1" ref="AC31" ca="1">INDIRECT("'※ 팀별 작성_인프라_인력'!"&amp;AC$1&amp;$AF31, TRUE)</f>
        <v>0</v>
      </c>
      <c r="AD31" s="4205" cm="1">
        <f t="array" aca="1" ref="AD31" ca="1">INDIRECT("'※ 팀별 작성_인프라_인력'!"&amp;AD$1&amp;$AF31, TRUE)</f>
        <v>0</v>
      </c>
      <c r="AE31" s="4206" cm="1">
        <f t="array" aca="1" ref="AE31" ca="1">INDIRECT("'※ 팀별 작성_인프라_인력'!"&amp;AE$1&amp;$AF31, TRUE)</f>
        <v>0</v>
      </c>
      <c r="AF31" s="4047">
        <f>ROW('※ 팀별 작성_인프라_인력'!AH218)</f>
        <v>218</v>
      </c>
      <c r="AG31" s="4182"/>
      <c r="AH31" s="4182"/>
    </row>
    <row r="32" spans="1:34" s="2426" customFormat="1" hidden="1" x14ac:dyDescent="0.55000000000000004">
      <c r="A32" s="7419"/>
      <c r="B32" s="4207" t="s">
        <v>222</v>
      </c>
      <c r="C32" s="4073"/>
      <c r="D32" s="4208" cm="1">
        <f t="array" aca="1" ref="D32" ca="1">INDIRECT("'※ 팀별 작성_인프라_인력'!"&amp;D$1&amp;$AF32, TRUE)</f>
        <v>42.549019607843135</v>
      </c>
      <c r="E32" s="4208" cm="1">
        <f t="array" aca="1" ref="E32" ca="1">INDIRECT("'※ 팀별 작성_인프라_인력'!"&amp;E$1&amp;$AF32, TRUE)</f>
        <v>46.489105150883333</v>
      </c>
      <c r="F32" s="4209" cm="1">
        <f t="array" aca="1" ref="F32" ca="1">INDIRECT("'※ 팀별 작성_인프라_인력'!"&amp;F$1&amp;$AF32, TRUE)</f>
        <v>0</v>
      </c>
      <c r="G32" s="4209" cm="1">
        <f t="array" aca="1" ref="G32" ca="1">INDIRECT("'※ 팀별 작성_인프라_인력'!"&amp;G$1&amp;$AF32, TRUE)</f>
        <v>0</v>
      </c>
      <c r="H32" s="4209" cm="1">
        <f t="array" aca="1" ref="H32" ca="1">INDIRECT("'※ 팀별 작성_인프라_인력'!"&amp;H$1&amp;$AF32, TRUE)</f>
        <v>0</v>
      </c>
      <c r="I32" s="4209" cm="1">
        <f t="array" aca="1" ref="I32" ca="1">INDIRECT("'※ 팀별 작성_인프라_인력'!"&amp;I$1&amp;$AF32, TRUE)</f>
        <v>0</v>
      </c>
      <c r="J32" s="4209" cm="1">
        <f t="array" aca="1" ref="J32" ca="1">INDIRECT("'※ 팀별 작성_인프라_인력'!"&amp;J$1&amp;$AF32, TRUE)</f>
        <v>0</v>
      </c>
      <c r="K32" s="4209" cm="1">
        <f t="array" aca="1" ref="K32" ca="1">INDIRECT("'※ 팀별 작성_인프라_인력'!"&amp;K$1&amp;$AF32, TRUE)</f>
        <v>0</v>
      </c>
      <c r="L32" s="4209"/>
      <c r="M32" s="4209"/>
      <c r="N32" s="4209"/>
      <c r="O32" s="4209"/>
      <c r="P32" s="4209"/>
      <c r="Q32" s="4209"/>
      <c r="R32" s="7433" cm="1">
        <f t="array" aca="1" ref="R32" ca="1">INDIRECT("'※ 팀별 작성_인프라_인력'!"&amp;R$1&amp;$AF32, TRUE)</f>
        <v>0</v>
      </c>
      <c r="S32" s="7433"/>
      <c r="T32" s="4209" t="e" cm="1">
        <f t="array" aca="1" ref="T32" ca="1">INDIRECT("'※ 팀별 작성_인프라_인력'!"&amp;T$1&amp;$AF32, TRUE)</f>
        <v>#REF!</v>
      </c>
      <c r="U32" s="4209" cm="1">
        <f t="array" aca="1" ref="U32" ca="1">INDIRECT("'※ 팀별 작성_인프라_인력'!"&amp;U$1&amp;$AF32, TRUE)</f>
        <v>0</v>
      </c>
      <c r="V32" s="4209" cm="1">
        <f t="array" aca="1" ref="V32" ca="1">INDIRECT("'※ 팀별 작성_인프라_인력'!"&amp;V$1&amp;$AF32, TRUE)</f>
        <v>0</v>
      </c>
      <c r="W32" s="4210" cm="1">
        <f t="array" aca="1" ref="W32" ca="1">INDIRECT("'※ 팀별 작성_인프라_인력'!"&amp;W$1&amp;$AF32, TRUE)</f>
        <v>0</v>
      </c>
      <c r="X32" s="4210" cm="1">
        <f t="array" aca="1" ref="X32" ca="1">INDIRECT("'※ 팀별 작성_인프라_인력'!"&amp;X$1&amp;$AF32, TRUE)</f>
        <v>0</v>
      </c>
      <c r="Y32" s="4211" cm="1">
        <f t="array" aca="1" ref="Y32" ca="1">INDIRECT("'※ 팀별 작성_인프라_인력'!"&amp;Y$1&amp;$AF32, TRUE)</f>
        <v>0</v>
      </c>
      <c r="Z32" s="4210" cm="1">
        <f t="array" aca="1" ref="Z32" ca="1">INDIRECT("'※ 팀별 작성_인프라_인력'!"&amp;Z$1&amp;$AF32, TRUE)</f>
        <v>0</v>
      </c>
      <c r="AA32" s="4210" cm="1">
        <f t="array" aca="1" ref="AA32" ca="1">INDIRECT("'※ 팀별 작성_인프라_인력'!"&amp;AA$1&amp;$AF32, TRUE)</f>
        <v>0</v>
      </c>
      <c r="AB32" s="4210" cm="1">
        <f t="array" aca="1" ref="AB32" ca="1">INDIRECT("'※ 팀별 작성_인프라_인력'!"&amp;AB$1&amp;$AF32, TRUE)</f>
        <v>0</v>
      </c>
      <c r="AC32" s="4212" cm="1">
        <f t="array" aca="1" ref="AC32" ca="1">INDIRECT("'※ 팀별 작성_인프라_인력'!"&amp;AC$1&amp;$AF32, TRUE)</f>
        <v>0</v>
      </c>
      <c r="AD32" s="4212" cm="1">
        <f t="array" aca="1" ref="AD32" ca="1">INDIRECT("'※ 팀별 작성_인프라_인력'!"&amp;AD$1&amp;$AF32, TRUE)</f>
        <v>0</v>
      </c>
      <c r="AE32" s="4213" cm="1">
        <f t="array" aca="1" ref="AE32" ca="1">INDIRECT("'※ 팀별 작성_인프라_인력'!"&amp;AE$1&amp;$AF32, TRUE)</f>
        <v>0</v>
      </c>
      <c r="AF32" s="4047">
        <f>ROW('※ 팀별 작성_인프라_인력'!AH219)</f>
        <v>219</v>
      </c>
      <c r="AG32" s="4182"/>
      <c r="AH32" s="4182"/>
    </row>
    <row r="33" spans="1:34" s="2426" customFormat="1" hidden="1" x14ac:dyDescent="0.55000000000000004">
      <c r="A33" s="7419"/>
      <c r="B33" s="4214" t="s">
        <v>223</v>
      </c>
      <c r="C33" s="3749"/>
      <c r="D33" s="4215" cm="1">
        <f t="array" aca="1" ref="D33" ca="1">INDIRECT("'※ 팀별 작성_인프라_인력'!"&amp;D$1&amp;$AF33, TRUE)</f>
        <v>43.5</v>
      </c>
      <c r="E33" s="4215" cm="1">
        <f t="array" aca="1" ref="E33" ca="1">INDIRECT("'※ 팀별 작성_인프라_인력'!"&amp;E$1&amp;$AF33, TRUE)</f>
        <v>42.458961753187239</v>
      </c>
      <c r="F33" s="4216" cm="1">
        <f t="array" aca="1" ref="F33" ca="1">INDIRECT("'※ 팀별 작성_인프라_인력'!"&amp;F$1&amp;$AF33, TRUE)</f>
        <v>0</v>
      </c>
      <c r="G33" s="4216" cm="1">
        <f t="array" aca="1" ref="G33" ca="1">INDIRECT("'※ 팀별 작성_인프라_인력'!"&amp;G$1&amp;$AF33, TRUE)</f>
        <v>0</v>
      </c>
      <c r="H33" s="4216" cm="1">
        <f t="array" aca="1" ref="H33" ca="1">INDIRECT("'※ 팀별 작성_인프라_인력'!"&amp;H$1&amp;$AF33, TRUE)</f>
        <v>0</v>
      </c>
      <c r="I33" s="4216" cm="1">
        <f t="array" aca="1" ref="I33" ca="1">INDIRECT("'※ 팀별 작성_인프라_인력'!"&amp;I$1&amp;$AF33, TRUE)</f>
        <v>0</v>
      </c>
      <c r="J33" s="4216" cm="1">
        <f t="array" aca="1" ref="J33" ca="1">INDIRECT("'※ 팀별 작성_인프라_인력'!"&amp;J$1&amp;$AF33, TRUE)</f>
        <v>0</v>
      </c>
      <c r="K33" s="4216" cm="1">
        <f t="array" aca="1" ref="K33" ca="1">INDIRECT("'※ 팀별 작성_인프라_인력'!"&amp;K$1&amp;$AF33, TRUE)</f>
        <v>0</v>
      </c>
      <c r="L33" s="4216"/>
      <c r="M33" s="4216"/>
      <c r="N33" s="4216"/>
      <c r="O33" s="4216"/>
      <c r="P33" s="4216"/>
      <c r="Q33" s="4216"/>
      <c r="R33" s="7434" cm="1">
        <f t="array" aca="1" ref="R33" ca="1">INDIRECT("'※ 팀별 작성_인프라_인력'!"&amp;R$1&amp;$AF33, TRUE)</f>
        <v>0</v>
      </c>
      <c r="S33" s="7434"/>
      <c r="T33" s="4216" t="e" cm="1">
        <f t="array" aca="1" ref="T33" ca="1">INDIRECT("'※ 팀별 작성_인프라_인력'!"&amp;T$1&amp;$AF33, TRUE)</f>
        <v>#REF!</v>
      </c>
      <c r="U33" s="4216" cm="1">
        <f t="array" aca="1" ref="U33" ca="1">INDIRECT("'※ 팀별 작성_인프라_인력'!"&amp;U$1&amp;$AF33, TRUE)</f>
        <v>0</v>
      </c>
      <c r="V33" s="4216" cm="1">
        <f t="array" aca="1" ref="V33" ca="1">INDIRECT("'※ 팀별 작성_인프라_인력'!"&amp;V$1&amp;$AF33, TRUE)</f>
        <v>0</v>
      </c>
      <c r="W33" s="4217" cm="1">
        <f t="array" aca="1" ref="W33" ca="1">INDIRECT("'※ 팀별 작성_인프라_인력'!"&amp;W$1&amp;$AF33, TRUE)</f>
        <v>0</v>
      </c>
      <c r="X33" s="4217" cm="1">
        <f t="array" aca="1" ref="X33" ca="1">INDIRECT("'※ 팀별 작성_인프라_인력'!"&amp;X$1&amp;$AF33, TRUE)</f>
        <v>0</v>
      </c>
      <c r="Y33" s="4218" cm="1">
        <f t="array" aca="1" ref="Y33" ca="1">INDIRECT("'※ 팀별 작성_인프라_인력'!"&amp;Y$1&amp;$AF33, TRUE)</f>
        <v>0</v>
      </c>
      <c r="Z33" s="4217" cm="1">
        <f t="array" aca="1" ref="Z33" ca="1">INDIRECT("'※ 팀별 작성_인프라_인력'!"&amp;Z$1&amp;$AF33, TRUE)</f>
        <v>0</v>
      </c>
      <c r="AA33" s="4217" cm="1">
        <f t="array" aca="1" ref="AA33" ca="1">INDIRECT("'※ 팀별 작성_인프라_인력'!"&amp;AA$1&amp;$AF33, TRUE)</f>
        <v>0</v>
      </c>
      <c r="AB33" s="4217" cm="1">
        <f t="array" aca="1" ref="AB33" ca="1">INDIRECT("'※ 팀별 작성_인프라_인력'!"&amp;AB$1&amp;$AF33, TRUE)</f>
        <v>0</v>
      </c>
      <c r="AC33" s="4219" cm="1">
        <f t="array" aca="1" ref="AC33" ca="1">INDIRECT("'※ 팀별 작성_인프라_인력'!"&amp;AC$1&amp;$AF33, TRUE)</f>
        <v>0</v>
      </c>
      <c r="AD33" s="4219" cm="1">
        <f t="array" aca="1" ref="AD33" ca="1">INDIRECT("'※ 팀별 작성_인프라_인력'!"&amp;AD$1&amp;$AF33, TRUE)</f>
        <v>0</v>
      </c>
      <c r="AE33" s="4220" cm="1">
        <f t="array" aca="1" ref="AE33" ca="1">INDIRECT("'※ 팀별 작성_인프라_인력'!"&amp;AE$1&amp;$AF33, TRUE)</f>
        <v>0</v>
      </c>
      <c r="AF33" s="4047">
        <f>ROW('※ 팀별 작성_인프라_인력'!AH220)</f>
        <v>220</v>
      </c>
      <c r="AG33" s="4182"/>
      <c r="AH33" s="4182"/>
    </row>
    <row r="34" spans="1:34" s="2426" customFormat="1" hidden="1" x14ac:dyDescent="0.55000000000000004">
      <c r="A34" s="7419"/>
      <c r="B34" s="4214" t="s">
        <v>224</v>
      </c>
      <c r="C34" s="3749"/>
      <c r="D34" s="4215" cm="1">
        <f t="array" aca="1" ref="D34" ca="1">INDIRECT("'※ 팀별 작성_인프라_인력'!"&amp;D$1&amp;$AF34, TRUE)</f>
        <v>55.066666666666663</v>
      </c>
      <c r="E34" s="4215" cm="1">
        <f t="array" aca="1" ref="E34" ca="1">INDIRECT("'※ 팀별 작성_인프라_인력'!"&amp;E$1&amp;$AF34, TRUE)</f>
        <v>40.013332222314808</v>
      </c>
      <c r="F34" s="4216" cm="1">
        <f t="array" aca="1" ref="F34" ca="1">INDIRECT("'※ 팀별 작성_인프라_인력'!"&amp;F$1&amp;$AF34, TRUE)</f>
        <v>0</v>
      </c>
      <c r="G34" s="4216" cm="1">
        <f t="array" aca="1" ref="G34" ca="1">INDIRECT("'※ 팀별 작성_인프라_인력'!"&amp;G$1&amp;$AF34, TRUE)</f>
        <v>0</v>
      </c>
      <c r="H34" s="4216" cm="1">
        <f t="array" aca="1" ref="H34" ca="1">INDIRECT("'※ 팀별 작성_인프라_인력'!"&amp;H$1&amp;$AF34, TRUE)</f>
        <v>0</v>
      </c>
      <c r="I34" s="4216" cm="1">
        <f t="array" aca="1" ref="I34" ca="1">INDIRECT("'※ 팀별 작성_인프라_인력'!"&amp;I$1&amp;$AF34, TRUE)</f>
        <v>0</v>
      </c>
      <c r="J34" s="4216" cm="1">
        <f t="array" aca="1" ref="J34" ca="1">INDIRECT("'※ 팀별 작성_인프라_인력'!"&amp;J$1&amp;$AF34, TRUE)</f>
        <v>0</v>
      </c>
      <c r="K34" s="4216" cm="1">
        <f t="array" aca="1" ref="K34" ca="1">INDIRECT("'※ 팀별 작성_인프라_인력'!"&amp;K$1&amp;$AF34, TRUE)</f>
        <v>0</v>
      </c>
      <c r="L34" s="4216"/>
      <c r="M34" s="4216"/>
      <c r="N34" s="4216"/>
      <c r="O34" s="4216"/>
      <c r="P34" s="4216"/>
      <c r="Q34" s="4216"/>
      <c r="R34" s="7434" cm="1">
        <f t="array" aca="1" ref="R34" ca="1">INDIRECT("'※ 팀별 작성_인프라_인력'!"&amp;R$1&amp;$AF34, TRUE)</f>
        <v>0</v>
      </c>
      <c r="S34" s="7434"/>
      <c r="T34" s="4216" t="e" cm="1">
        <f t="array" aca="1" ref="T34" ca="1">INDIRECT("'※ 팀별 작성_인프라_인력'!"&amp;T$1&amp;$AF34, TRUE)</f>
        <v>#REF!</v>
      </c>
      <c r="U34" s="4216" cm="1">
        <f t="array" aca="1" ref="U34" ca="1">INDIRECT("'※ 팀별 작성_인프라_인력'!"&amp;U$1&amp;$AF34, TRUE)</f>
        <v>0</v>
      </c>
      <c r="V34" s="4216" cm="1">
        <f t="array" aca="1" ref="V34" ca="1">INDIRECT("'※ 팀별 작성_인프라_인력'!"&amp;V$1&amp;$AF34, TRUE)</f>
        <v>0</v>
      </c>
      <c r="W34" s="4217" cm="1">
        <f t="array" aca="1" ref="W34" ca="1">INDIRECT("'※ 팀별 작성_인프라_인력'!"&amp;W$1&amp;$AF34, TRUE)</f>
        <v>0</v>
      </c>
      <c r="X34" s="4217" cm="1">
        <f t="array" aca="1" ref="X34" ca="1">INDIRECT("'※ 팀별 작성_인프라_인력'!"&amp;X$1&amp;$AF34, TRUE)</f>
        <v>0</v>
      </c>
      <c r="Y34" s="4218" cm="1">
        <f t="array" aca="1" ref="Y34" ca="1">INDIRECT("'※ 팀별 작성_인프라_인력'!"&amp;Y$1&amp;$AF34, TRUE)</f>
        <v>0</v>
      </c>
      <c r="Z34" s="4217" cm="1">
        <f t="array" aca="1" ref="Z34" ca="1">INDIRECT("'※ 팀별 작성_인프라_인력'!"&amp;Z$1&amp;$AF34, TRUE)</f>
        <v>0</v>
      </c>
      <c r="AA34" s="4217" cm="1">
        <f t="array" aca="1" ref="AA34" ca="1">INDIRECT("'※ 팀별 작성_인프라_인력'!"&amp;AA$1&amp;$AF34, TRUE)</f>
        <v>0</v>
      </c>
      <c r="AB34" s="4217" cm="1">
        <f t="array" aca="1" ref="AB34" ca="1">INDIRECT("'※ 팀별 작성_인프라_인력'!"&amp;AB$1&amp;$AF34, TRUE)</f>
        <v>0</v>
      </c>
      <c r="AC34" s="4219" cm="1">
        <f t="array" aca="1" ref="AC34" ca="1">INDIRECT("'※ 팀별 작성_인프라_인력'!"&amp;AC$1&amp;$AF34, TRUE)</f>
        <v>0</v>
      </c>
      <c r="AD34" s="4219" cm="1">
        <f t="array" aca="1" ref="AD34" ca="1">INDIRECT("'※ 팀별 작성_인프라_인력'!"&amp;AD$1&amp;$AF34, TRUE)</f>
        <v>0</v>
      </c>
      <c r="AE34" s="4220" cm="1">
        <f t="array" aca="1" ref="AE34" ca="1">INDIRECT("'※ 팀별 작성_인프라_인력'!"&amp;AE$1&amp;$AF34, TRUE)</f>
        <v>0</v>
      </c>
      <c r="AF34" s="4047">
        <f>ROW('※ 팀별 작성_인프라_인력'!AH221)</f>
        <v>221</v>
      </c>
      <c r="AG34" s="4182"/>
      <c r="AH34" s="4182"/>
    </row>
    <row r="35" spans="1:34" s="2426" customFormat="1" hidden="1" x14ac:dyDescent="0.55000000000000004">
      <c r="A35" s="7419"/>
      <c r="B35" s="4214" t="s">
        <v>225</v>
      </c>
      <c r="C35" s="3749"/>
      <c r="D35" s="4215" cm="1">
        <f t="array" aca="1" ref="D35" ca="1">INDIRECT("'※ 팀별 작성_인프라_인력'!"&amp;D$1&amp;$AF35, TRUE)</f>
        <v>48.608695652173914</v>
      </c>
      <c r="E35" s="4215" cm="1">
        <f t="array" aca="1" ref="E35" ca="1">INDIRECT("'※ 팀별 작성_인프라_인력'!"&amp;E$1&amp;$AF35, TRUE)</f>
        <v>35.580368302641446</v>
      </c>
      <c r="F35" s="4216" cm="1">
        <f t="array" aca="1" ref="F35" ca="1">INDIRECT("'※ 팀별 작성_인프라_인력'!"&amp;F$1&amp;$AF35, TRUE)</f>
        <v>0</v>
      </c>
      <c r="G35" s="4216" cm="1">
        <f t="array" aca="1" ref="G35" ca="1">INDIRECT("'※ 팀별 작성_인프라_인력'!"&amp;G$1&amp;$AF35, TRUE)</f>
        <v>0</v>
      </c>
      <c r="H35" s="4216" cm="1">
        <f t="array" aca="1" ref="H35" ca="1">INDIRECT("'※ 팀별 작성_인프라_인력'!"&amp;H$1&amp;$AF35, TRUE)</f>
        <v>0</v>
      </c>
      <c r="I35" s="4216" cm="1">
        <f t="array" aca="1" ref="I35" ca="1">INDIRECT("'※ 팀별 작성_인프라_인력'!"&amp;I$1&amp;$AF35, TRUE)</f>
        <v>0</v>
      </c>
      <c r="J35" s="4216" cm="1">
        <f t="array" aca="1" ref="J35" ca="1">INDIRECT("'※ 팀별 작성_인프라_인력'!"&amp;J$1&amp;$AF35, TRUE)</f>
        <v>0</v>
      </c>
      <c r="K35" s="4216" cm="1">
        <f t="array" aca="1" ref="K35" ca="1">INDIRECT("'※ 팀별 작성_인프라_인력'!"&amp;K$1&amp;$AF35, TRUE)</f>
        <v>0</v>
      </c>
      <c r="L35" s="4216"/>
      <c r="M35" s="4216"/>
      <c r="N35" s="4216"/>
      <c r="O35" s="4216"/>
      <c r="P35" s="4216"/>
      <c r="Q35" s="4216"/>
      <c r="R35" s="7434" cm="1">
        <f t="array" aca="1" ref="R35" ca="1">INDIRECT("'※ 팀별 작성_인프라_인력'!"&amp;R$1&amp;$AF35, TRUE)</f>
        <v>0</v>
      </c>
      <c r="S35" s="7434"/>
      <c r="T35" s="4216" t="e" cm="1">
        <f t="array" aca="1" ref="T35" ca="1">INDIRECT("'※ 팀별 작성_인프라_인력'!"&amp;T$1&amp;$AF35, TRUE)</f>
        <v>#REF!</v>
      </c>
      <c r="U35" s="4216" cm="1">
        <f t="array" aca="1" ref="U35" ca="1">INDIRECT("'※ 팀별 작성_인프라_인력'!"&amp;U$1&amp;$AF35, TRUE)</f>
        <v>0</v>
      </c>
      <c r="V35" s="4216" cm="1">
        <f t="array" aca="1" ref="V35" ca="1">INDIRECT("'※ 팀별 작성_인프라_인력'!"&amp;V$1&amp;$AF35, TRUE)</f>
        <v>0</v>
      </c>
      <c r="W35" s="4217" cm="1">
        <f t="array" aca="1" ref="W35" ca="1">INDIRECT("'※ 팀별 작성_인프라_인력'!"&amp;W$1&amp;$AF35, TRUE)</f>
        <v>0</v>
      </c>
      <c r="X35" s="4217" cm="1">
        <f t="array" aca="1" ref="X35" ca="1">INDIRECT("'※ 팀별 작성_인프라_인력'!"&amp;X$1&amp;$AF35, TRUE)</f>
        <v>0</v>
      </c>
      <c r="Y35" s="4218" cm="1">
        <f t="array" aca="1" ref="Y35" ca="1">INDIRECT("'※ 팀별 작성_인프라_인력'!"&amp;Y$1&amp;$AF35, TRUE)</f>
        <v>0</v>
      </c>
      <c r="Z35" s="4217" cm="1">
        <f t="array" aca="1" ref="Z35" ca="1">INDIRECT("'※ 팀별 작성_인프라_인력'!"&amp;Z$1&amp;$AF35, TRUE)</f>
        <v>0</v>
      </c>
      <c r="AA35" s="4217" cm="1">
        <f t="array" aca="1" ref="AA35" ca="1">INDIRECT("'※ 팀별 작성_인프라_인력'!"&amp;AA$1&amp;$AF35, TRUE)</f>
        <v>0</v>
      </c>
      <c r="AB35" s="4217" cm="1">
        <f t="array" aca="1" ref="AB35" ca="1">INDIRECT("'※ 팀별 작성_인프라_인력'!"&amp;AB$1&amp;$AF35, TRUE)</f>
        <v>0</v>
      </c>
      <c r="AC35" s="4219" cm="1">
        <f t="array" aca="1" ref="AC35" ca="1">INDIRECT("'※ 팀별 작성_인프라_인력'!"&amp;AC$1&amp;$AF35, TRUE)</f>
        <v>0</v>
      </c>
      <c r="AD35" s="4219" cm="1">
        <f t="array" aca="1" ref="AD35" ca="1">INDIRECT("'※ 팀별 작성_인프라_인력'!"&amp;AD$1&amp;$AF35, TRUE)</f>
        <v>0</v>
      </c>
      <c r="AE35" s="4220" cm="1">
        <f t="array" aca="1" ref="AE35" ca="1">INDIRECT("'※ 팀별 작성_인프라_인력'!"&amp;AE$1&amp;$AF35, TRUE)</f>
        <v>0</v>
      </c>
      <c r="AF35" s="4047">
        <f>ROW('※ 팀별 작성_인프라_인력'!AH222)</f>
        <v>222</v>
      </c>
      <c r="AG35" s="4182"/>
      <c r="AH35" s="4182"/>
    </row>
    <row r="36" spans="1:34" s="2426" customFormat="1" hidden="1" x14ac:dyDescent="0.55000000000000004">
      <c r="A36" s="7419"/>
      <c r="B36" s="4221" t="s">
        <v>226</v>
      </c>
      <c r="C36" s="4102"/>
      <c r="D36" s="4222" cm="1">
        <f t="array" aca="1" ref="D36" ca="1">INDIRECT("'※ 팀별 작성_인프라_인력'!"&amp;D$1&amp;$AF36, TRUE)</f>
        <v>36.916666666666664</v>
      </c>
      <c r="E36" s="4222" cm="1">
        <f t="array" aca="1" ref="E36" ca="1">INDIRECT("'※ 팀별 작성_인프라_인력'!"&amp;E$1&amp;$AF36, TRUE)</f>
        <v>18.776213093353331</v>
      </c>
      <c r="F36" s="4223" cm="1">
        <f t="array" aca="1" ref="F36" ca="1">INDIRECT("'※ 팀별 작성_인프라_인력'!"&amp;F$1&amp;$AF36, TRUE)</f>
        <v>0</v>
      </c>
      <c r="G36" s="4223" cm="1">
        <f t="array" aca="1" ref="G36" ca="1">INDIRECT("'※ 팀별 작성_인프라_인력'!"&amp;G$1&amp;$AF36, TRUE)</f>
        <v>0</v>
      </c>
      <c r="H36" s="4223" cm="1">
        <f t="array" aca="1" ref="H36" ca="1">INDIRECT("'※ 팀별 작성_인프라_인력'!"&amp;H$1&amp;$AF36, TRUE)</f>
        <v>0</v>
      </c>
      <c r="I36" s="4223" cm="1">
        <f t="array" aca="1" ref="I36" ca="1">INDIRECT("'※ 팀별 작성_인프라_인력'!"&amp;I$1&amp;$AF36, TRUE)</f>
        <v>0</v>
      </c>
      <c r="J36" s="4223" cm="1">
        <f t="array" aca="1" ref="J36" ca="1">INDIRECT("'※ 팀별 작성_인프라_인력'!"&amp;J$1&amp;$AF36, TRUE)</f>
        <v>0</v>
      </c>
      <c r="K36" s="4223" cm="1">
        <f t="array" aca="1" ref="K36" ca="1">INDIRECT("'※ 팀별 작성_인프라_인력'!"&amp;K$1&amp;$AF36, TRUE)</f>
        <v>0</v>
      </c>
      <c r="L36" s="4223"/>
      <c r="M36" s="4223"/>
      <c r="N36" s="4223"/>
      <c r="O36" s="4223"/>
      <c r="P36" s="4223"/>
      <c r="Q36" s="4223"/>
      <c r="R36" s="7430" cm="1">
        <f t="array" aca="1" ref="R36" ca="1">INDIRECT("'※ 팀별 작성_인프라_인력'!"&amp;R$1&amp;$AF36, TRUE)</f>
        <v>0</v>
      </c>
      <c r="S36" s="7430"/>
      <c r="T36" s="4223" t="e" cm="1">
        <f t="array" aca="1" ref="T36" ca="1">INDIRECT("'※ 팀별 작성_인프라_인력'!"&amp;T$1&amp;$AF36, TRUE)</f>
        <v>#REF!</v>
      </c>
      <c r="U36" s="4223" cm="1">
        <f t="array" aca="1" ref="U36" ca="1">INDIRECT("'※ 팀별 작성_인프라_인력'!"&amp;U$1&amp;$AF36, TRUE)</f>
        <v>0</v>
      </c>
      <c r="V36" s="4223" cm="1">
        <f t="array" aca="1" ref="V36" ca="1">INDIRECT("'※ 팀별 작성_인프라_인력'!"&amp;V$1&amp;$AF36, TRUE)</f>
        <v>0</v>
      </c>
      <c r="W36" s="4224" cm="1">
        <f t="array" aca="1" ref="W36" ca="1">INDIRECT("'※ 팀별 작성_인프라_인력'!"&amp;W$1&amp;$AF36, TRUE)</f>
        <v>0</v>
      </c>
      <c r="X36" s="4224" cm="1">
        <f t="array" aca="1" ref="X36" ca="1">INDIRECT("'※ 팀별 작성_인프라_인력'!"&amp;X$1&amp;$AF36, TRUE)</f>
        <v>0</v>
      </c>
      <c r="Y36" s="4225" cm="1">
        <f t="array" aca="1" ref="Y36" ca="1">INDIRECT("'※ 팀별 작성_인프라_인력'!"&amp;Y$1&amp;$AF36, TRUE)</f>
        <v>0</v>
      </c>
      <c r="Z36" s="4224" cm="1">
        <f t="array" aca="1" ref="Z36" ca="1">INDIRECT("'※ 팀별 작성_인프라_인력'!"&amp;Z$1&amp;$AF36, TRUE)</f>
        <v>0</v>
      </c>
      <c r="AA36" s="4224" cm="1">
        <f t="array" aca="1" ref="AA36" ca="1">INDIRECT("'※ 팀별 작성_인프라_인력'!"&amp;AA$1&amp;$AF36, TRUE)</f>
        <v>0</v>
      </c>
      <c r="AB36" s="4224" cm="1">
        <f t="array" aca="1" ref="AB36" ca="1">INDIRECT("'※ 팀별 작성_인프라_인력'!"&amp;AB$1&amp;$AF36, TRUE)</f>
        <v>0</v>
      </c>
      <c r="AC36" s="4226" cm="1">
        <f t="array" aca="1" ref="AC36" ca="1">INDIRECT("'※ 팀별 작성_인프라_인력'!"&amp;AC$1&amp;$AF36, TRUE)</f>
        <v>0</v>
      </c>
      <c r="AD36" s="4226" cm="1">
        <f t="array" aca="1" ref="AD36" ca="1">INDIRECT("'※ 팀별 작성_인프라_인력'!"&amp;AD$1&amp;$AF36, TRUE)</f>
        <v>0</v>
      </c>
      <c r="AE36" s="4227" cm="1">
        <f t="array" aca="1" ref="AE36" ca="1">INDIRECT("'※ 팀별 작성_인프라_인력'!"&amp;AE$1&amp;$AF36, TRUE)</f>
        <v>0</v>
      </c>
      <c r="AF36" s="4047">
        <f>ROW('※ 팀별 작성_인프라_인력'!AH223)</f>
        <v>223</v>
      </c>
      <c r="AG36" s="4182"/>
      <c r="AH36" s="4182"/>
    </row>
    <row r="37" spans="1:34" s="2426" customFormat="1" hidden="1" x14ac:dyDescent="0.55000000000000004">
      <c r="A37" s="7419"/>
      <c r="B37" s="4228"/>
      <c r="C37" s="4117" t="s">
        <v>828</v>
      </c>
      <c r="D37" s="4229" cm="1">
        <f t="array" aca="1" ref="D37" ca="1">INDIRECT("'※ 팀별 작성_인프라_인력'!"&amp;D$1&amp;$AF37, TRUE)</f>
        <v>44.108108108108105</v>
      </c>
      <c r="E37" s="4229" cm="1">
        <f t="array" aca="1" ref="E37" ca="1">INDIRECT("'※ 팀별 작성_인프라_인력'!"&amp;E$1&amp;$AF37, TRUE)</f>
        <v>45.450048474796411</v>
      </c>
      <c r="F37" s="4230" cm="1">
        <f t="array" aca="1" ref="F37" ca="1">INDIRECT("'※ 팀별 작성_인프라_인력'!"&amp;F$1&amp;$AF37, TRUE)</f>
        <v>0</v>
      </c>
      <c r="G37" s="4230" cm="1">
        <f t="array" aca="1" ref="G37" ca="1">INDIRECT("'※ 팀별 작성_인프라_인력'!"&amp;G$1&amp;$AF37, TRUE)</f>
        <v>0</v>
      </c>
      <c r="H37" s="4230" cm="1">
        <f t="array" aca="1" ref="H37" ca="1">INDIRECT("'※ 팀별 작성_인프라_인력'!"&amp;H$1&amp;$AF37, TRUE)</f>
        <v>0</v>
      </c>
      <c r="I37" s="4230" cm="1">
        <f t="array" aca="1" ref="I37" ca="1">INDIRECT("'※ 팀별 작성_인프라_인력'!"&amp;I$1&amp;$AF37, TRUE)</f>
        <v>0</v>
      </c>
      <c r="J37" s="4230" cm="1">
        <f t="array" aca="1" ref="J37" ca="1">INDIRECT("'※ 팀별 작성_인프라_인력'!"&amp;J$1&amp;$AF37, TRUE)</f>
        <v>0</v>
      </c>
      <c r="K37" s="4230" cm="1">
        <f t="array" aca="1" ref="K37" ca="1">INDIRECT("'※ 팀별 작성_인프라_인력'!"&amp;K$1&amp;$AF37, TRUE)</f>
        <v>0</v>
      </c>
      <c r="L37" s="4230"/>
      <c r="M37" s="4230"/>
      <c r="N37" s="4230"/>
      <c r="O37" s="4230"/>
      <c r="P37" s="4230"/>
      <c r="Q37" s="4230"/>
      <c r="R37" s="7431" cm="1">
        <f t="array" aca="1" ref="R37" ca="1">INDIRECT("'※ 팀별 작성_인프라_인력'!"&amp;R$1&amp;$AF37, TRUE)</f>
        <v>0</v>
      </c>
      <c r="S37" s="7431"/>
      <c r="T37" s="4230" t="e" cm="1">
        <f t="array" aca="1" ref="T37" ca="1">INDIRECT("'※ 팀별 작성_인프라_인력'!"&amp;T$1&amp;$AF37, TRUE)</f>
        <v>#REF!</v>
      </c>
      <c r="U37" s="4230" cm="1">
        <f t="array" aca="1" ref="U37" ca="1">INDIRECT("'※ 팀별 작성_인프라_인력'!"&amp;U$1&amp;$AF37, TRUE)</f>
        <v>0</v>
      </c>
      <c r="V37" s="4230" cm="1">
        <f t="array" aca="1" ref="V37" ca="1">INDIRECT("'※ 팀별 작성_인프라_인력'!"&amp;V$1&amp;$AF37, TRUE)</f>
        <v>0</v>
      </c>
      <c r="W37" s="4231" cm="1">
        <f t="array" aca="1" ref="W37" ca="1">INDIRECT("'※ 팀별 작성_인프라_인력'!"&amp;W$1&amp;$AF37, TRUE)</f>
        <v>0</v>
      </c>
      <c r="X37" s="4231" cm="1">
        <f t="array" aca="1" ref="X37" ca="1">INDIRECT("'※ 팀별 작성_인프라_인력'!"&amp;X$1&amp;$AF37, TRUE)</f>
        <v>0</v>
      </c>
      <c r="Y37" s="4232" cm="1">
        <f t="array" aca="1" ref="Y37" ca="1">INDIRECT("'※ 팀별 작성_인프라_인력'!"&amp;Y$1&amp;$AF37, TRUE)</f>
        <v>0</v>
      </c>
      <c r="Z37" s="4231" cm="1">
        <f t="array" aca="1" ref="Z37" ca="1">INDIRECT("'※ 팀별 작성_인프라_인력'!"&amp;Z$1&amp;$AF37, TRUE)</f>
        <v>0</v>
      </c>
      <c r="AA37" s="4231" cm="1">
        <f t="array" aca="1" ref="AA37" ca="1">INDIRECT("'※ 팀별 작성_인프라_인력'!"&amp;AA$1&amp;$AF37, TRUE)</f>
        <v>0</v>
      </c>
      <c r="AB37" s="4231" cm="1">
        <f t="array" aca="1" ref="AB37" ca="1">INDIRECT("'※ 팀별 작성_인프라_인력'!"&amp;AB$1&amp;$AF37, TRUE)</f>
        <v>0</v>
      </c>
      <c r="AC37" s="4233" cm="1">
        <f t="array" aca="1" ref="AC37" ca="1">INDIRECT("'※ 팀별 작성_인프라_인력'!"&amp;AC$1&amp;$AF37, TRUE)</f>
        <v>0</v>
      </c>
      <c r="AD37" s="4233" cm="1">
        <f t="array" aca="1" ref="AD37" ca="1">INDIRECT("'※ 팀별 작성_인프라_인력'!"&amp;AD$1&amp;$AF37, TRUE)</f>
        <v>0</v>
      </c>
      <c r="AE37" s="4234" cm="1">
        <f t="array" aca="1" ref="AE37" ca="1">INDIRECT("'※ 팀별 작성_인프라_인력'!"&amp;AE$1&amp;$AF37, TRUE)</f>
        <v>0</v>
      </c>
      <c r="AF37" s="4047">
        <f>ROW('※ 팀별 작성_인프라_인력'!AH224)</f>
        <v>224</v>
      </c>
      <c r="AG37" s="4182"/>
      <c r="AH37" s="4182"/>
    </row>
    <row r="38" spans="1:34" s="2426" customFormat="1" hidden="1" x14ac:dyDescent="0.55000000000000004">
      <c r="A38" s="7419"/>
      <c r="B38" s="4235"/>
      <c r="C38" s="4132" t="s">
        <v>829</v>
      </c>
      <c r="D38" s="4236" cm="1">
        <f t="array" aca="1" ref="D38" ca="1">INDIRECT("'※ 팀별 작성_인프라_인력'!"&amp;D$1&amp;$AF38, TRUE)</f>
        <v>38.428571428571431</v>
      </c>
      <c r="E38" s="4236" cm="1">
        <f t="array" aca="1" ref="E38" ca="1">INDIRECT("'※ 팀별 작성_인프라_인력'!"&amp;E$1&amp;$AF38, TRUE)</f>
        <v>48.037663528039332</v>
      </c>
      <c r="F38" s="4237" cm="1">
        <f t="array" aca="1" ref="F38" ca="1">INDIRECT("'※ 팀별 작성_인프라_인력'!"&amp;F$1&amp;$AF38, TRUE)</f>
        <v>0</v>
      </c>
      <c r="G38" s="4237" cm="1">
        <f t="array" aca="1" ref="G38" ca="1">INDIRECT("'※ 팀별 작성_인프라_인력'!"&amp;G$1&amp;$AF38, TRUE)</f>
        <v>0</v>
      </c>
      <c r="H38" s="4237" cm="1">
        <f t="array" aca="1" ref="H38" ca="1">INDIRECT("'※ 팀별 작성_인프라_인력'!"&amp;H$1&amp;$AF38, TRUE)</f>
        <v>0</v>
      </c>
      <c r="I38" s="4237" cm="1">
        <f t="array" aca="1" ref="I38" ca="1">INDIRECT("'※ 팀별 작성_인프라_인력'!"&amp;I$1&amp;$AF38, TRUE)</f>
        <v>0</v>
      </c>
      <c r="J38" s="4237" cm="1">
        <f t="array" aca="1" ref="J38" ca="1">INDIRECT("'※ 팀별 작성_인프라_인력'!"&amp;J$1&amp;$AF38, TRUE)</f>
        <v>0</v>
      </c>
      <c r="K38" s="4237" cm="1">
        <f t="array" aca="1" ref="K38" ca="1">INDIRECT("'※ 팀별 작성_인프라_인력'!"&amp;K$1&amp;$AF38, TRUE)</f>
        <v>0</v>
      </c>
      <c r="L38" s="4237"/>
      <c r="M38" s="4237"/>
      <c r="N38" s="4237"/>
      <c r="O38" s="4237"/>
      <c r="P38" s="4237"/>
      <c r="Q38" s="4237"/>
      <c r="R38" s="7425" cm="1">
        <f t="array" aca="1" ref="R38" ca="1">INDIRECT("'※ 팀별 작성_인프라_인력'!"&amp;R$1&amp;$AF38, TRUE)</f>
        <v>0</v>
      </c>
      <c r="S38" s="7425"/>
      <c r="T38" s="4237" t="e" cm="1">
        <f t="array" aca="1" ref="T38" ca="1">INDIRECT("'※ 팀별 작성_인프라_인력'!"&amp;T$1&amp;$AF38, TRUE)</f>
        <v>#REF!</v>
      </c>
      <c r="U38" s="4237" cm="1">
        <f t="array" aca="1" ref="U38" ca="1">INDIRECT("'※ 팀별 작성_인프라_인력'!"&amp;U$1&amp;$AF38, TRUE)</f>
        <v>0</v>
      </c>
      <c r="V38" s="4237" cm="1">
        <f t="array" aca="1" ref="V38" ca="1">INDIRECT("'※ 팀별 작성_인프라_인력'!"&amp;V$1&amp;$AF38, TRUE)</f>
        <v>0</v>
      </c>
      <c r="W38" s="4238" cm="1">
        <f t="array" aca="1" ref="W38" ca="1">INDIRECT("'※ 팀별 작성_인프라_인력'!"&amp;W$1&amp;$AF38, TRUE)</f>
        <v>0</v>
      </c>
      <c r="X38" s="4238" cm="1">
        <f t="array" aca="1" ref="X38" ca="1">INDIRECT("'※ 팀별 작성_인프라_인력'!"&amp;X$1&amp;$AF38, TRUE)</f>
        <v>0</v>
      </c>
      <c r="Y38" s="4239" cm="1">
        <f t="array" aca="1" ref="Y38" ca="1">INDIRECT("'※ 팀별 작성_인프라_인력'!"&amp;Y$1&amp;$AF38, TRUE)</f>
        <v>0</v>
      </c>
      <c r="Z38" s="4238" cm="1">
        <f t="array" aca="1" ref="Z38" ca="1">INDIRECT("'※ 팀별 작성_인프라_인력'!"&amp;Z$1&amp;$AF38, TRUE)</f>
        <v>0</v>
      </c>
      <c r="AA38" s="4238" cm="1">
        <f t="array" aca="1" ref="AA38" ca="1">INDIRECT("'※ 팀별 작성_인프라_인력'!"&amp;AA$1&amp;$AF38, TRUE)</f>
        <v>0</v>
      </c>
      <c r="AB38" s="4238" cm="1">
        <f t="array" aca="1" ref="AB38" ca="1">INDIRECT("'※ 팀별 작성_인프라_인력'!"&amp;AB$1&amp;$AF38, TRUE)</f>
        <v>0</v>
      </c>
      <c r="AC38" s="4240" cm="1">
        <f t="array" aca="1" ref="AC38" ca="1">INDIRECT("'※ 팀별 작성_인프라_인력'!"&amp;AC$1&amp;$AF38, TRUE)</f>
        <v>0</v>
      </c>
      <c r="AD38" s="4240" cm="1">
        <f t="array" aca="1" ref="AD38" ca="1">INDIRECT("'※ 팀별 작성_인프라_인력'!"&amp;AD$1&amp;$AF38, TRUE)</f>
        <v>0</v>
      </c>
      <c r="AE38" s="4241" cm="1">
        <f t="array" aca="1" ref="AE38" ca="1">INDIRECT("'※ 팀별 작성_인프라_인력'!"&amp;AE$1&amp;$AF38, TRUE)</f>
        <v>0</v>
      </c>
      <c r="AF38" s="4047">
        <f>ROW('※ 팀별 작성_인프라_인력'!AH225)</f>
        <v>225</v>
      </c>
      <c r="AG38" s="4182"/>
      <c r="AH38" s="4182"/>
    </row>
    <row r="39" spans="1:34" s="2426" customFormat="1" hidden="1" x14ac:dyDescent="0.55000000000000004">
      <c r="A39" s="7419"/>
      <c r="B39" s="4235"/>
      <c r="C39" s="4146" t="s">
        <v>830</v>
      </c>
      <c r="D39" s="4242" cm="1">
        <f t="array" aca="1" ref="D39" ca="1">INDIRECT("'※ 팀별 작성_인프라_인력'!"&amp;D$1&amp;$AF39, TRUE)</f>
        <v>43.5</v>
      </c>
      <c r="E39" s="4242" cm="1">
        <f t="array" aca="1" ref="E39" ca="1">INDIRECT("'※ 팀별 작성_인프라_인력'!"&amp;E$1&amp;$AF39, TRUE)</f>
        <v>38.795378162930866</v>
      </c>
      <c r="F39" s="4243" cm="1">
        <f t="array" aca="1" ref="F39" ca="1">INDIRECT("'※ 팀별 작성_인프라_인력'!"&amp;F$1&amp;$AF39, TRUE)</f>
        <v>0</v>
      </c>
      <c r="G39" s="4243" cm="1">
        <f t="array" aca="1" ref="G39" ca="1">INDIRECT("'※ 팀별 작성_인프라_인력'!"&amp;G$1&amp;$AF39, TRUE)</f>
        <v>0</v>
      </c>
      <c r="H39" s="4243" cm="1">
        <f t="array" aca="1" ref="H39" ca="1">INDIRECT("'※ 팀별 작성_인프라_인력'!"&amp;H$1&amp;$AF39, TRUE)</f>
        <v>0</v>
      </c>
      <c r="I39" s="4243" cm="1">
        <f t="array" aca="1" ref="I39" ca="1">INDIRECT("'※ 팀별 작성_인프라_인력'!"&amp;I$1&amp;$AF39, TRUE)</f>
        <v>0</v>
      </c>
      <c r="J39" s="4243" cm="1">
        <f t="array" aca="1" ref="J39" ca="1">INDIRECT("'※ 팀별 작성_인프라_인력'!"&amp;J$1&amp;$AF39, TRUE)</f>
        <v>0</v>
      </c>
      <c r="K39" s="4243" cm="1">
        <f t="array" aca="1" ref="K39" ca="1">INDIRECT("'※ 팀별 작성_인프라_인력'!"&amp;K$1&amp;$AF39, TRUE)</f>
        <v>0</v>
      </c>
      <c r="L39" s="4243"/>
      <c r="M39" s="4243"/>
      <c r="N39" s="4243"/>
      <c r="O39" s="4243"/>
      <c r="P39" s="4243"/>
      <c r="Q39" s="4243"/>
      <c r="R39" s="7424" cm="1">
        <f t="array" aca="1" ref="R39" ca="1">INDIRECT("'※ 팀별 작성_인프라_인력'!"&amp;R$1&amp;$AF39, TRUE)</f>
        <v>0</v>
      </c>
      <c r="S39" s="7424"/>
      <c r="T39" s="4243" t="e" cm="1">
        <f t="array" aca="1" ref="T39" ca="1">INDIRECT("'※ 팀별 작성_인프라_인력'!"&amp;T$1&amp;$AF39, TRUE)</f>
        <v>#REF!</v>
      </c>
      <c r="U39" s="4243" cm="1">
        <f t="array" aca="1" ref="U39" ca="1">INDIRECT("'※ 팀별 작성_인프라_인력'!"&amp;U$1&amp;$AF39, TRUE)</f>
        <v>0</v>
      </c>
      <c r="V39" s="4243" cm="1">
        <f t="array" aca="1" ref="V39" ca="1">INDIRECT("'※ 팀별 작성_인프라_인력'!"&amp;V$1&amp;$AF39, TRUE)</f>
        <v>0</v>
      </c>
      <c r="W39" s="4244" cm="1">
        <f t="array" aca="1" ref="W39" ca="1">INDIRECT("'※ 팀별 작성_인프라_인력'!"&amp;W$1&amp;$AF39, TRUE)</f>
        <v>0</v>
      </c>
      <c r="X39" s="4244" cm="1">
        <f t="array" aca="1" ref="X39" ca="1">INDIRECT("'※ 팀별 작성_인프라_인력'!"&amp;X$1&amp;$AF39, TRUE)</f>
        <v>0</v>
      </c>
      <c r="Y39" s="4245" cm="1">
        <f t="array" aca="1" ref="Y39" ca="1">INDIRECT("'※ 팀별 작성_인프라_인력'!"&amp;Y$1&amp;$AF39, TRUE)</f>
        <v>0</v>
      </c>
      <c r="Z39" s="4244" cm="1">
        <f t="array" aca="1" ref="Z39" ca="1">INDIRECT("'※ 팀별 작성_인프라_인력'!"&amp;Z$1&amp;$AF39, TRUE)</f>
        <v>0</v>
      </c>
      <c r="AA39" s="4244" cm="1">
        <f t="array" aca="1" ref="AA39" ca="1">INDIRECT("'※ 팀별 작성_인프라_인력'!"&amp;AA$1&amp;$AF39, TRUE)</f>
        <v>0</v>
      </c>
      <c r="AB39" s="4244" cm="1">
        <f t="array" aca="1" ref="AB39" ca="1">INDIRECT("'※ 팀별 작성_인프라_인력'!"&amp;AB$1&amp;$AF39, TRUE)</f>
        <v>0</v>
      </c>
      <c r="AC39" s="4246" cm="1">
        <f t="array" aca="1" ref="AC39" ca="1">INDIRECT("'※ 팀별 작성_인프라_인력'!"&amp;AC$1&amp;$AF39, TRUE)</f>
        <v>0</v>
      </c>
      <c r="AD39" s="4246" cm="1">
        <f t="array" aca="1" ref="AD39" ca="1">INDIRECT("'※ 팀별 작성_인프라_인력'!"&amp;AD$1&amp;$AF39, TRUE)</f>
        <v>0</v>
      </c>
      <c r="AE39" s="4247" cm="1">
        <f t="array" aca="1" ref="AE39" ca="1">INDIRECT("'※ 팀별 작성_인프라_인력'!"&amp;AE$1&amp;$AF39, TRUE)</f>
        <v>0</v>
      </c>
      <c r="AF39" s="4047">
        <f>ROW('※ 팀별 작성_인프라_인력'!AH226)</f>
        <v>226</v>
      </c>
      <c r="AG39" s="4182"/>
      <c r="AH39" s="4182"/>
    </row>
    <row r="40" spans="1:34" s="2426" customFormat="1" hidden="1" x14ac:dyDescent="0.55000000000000004">
      <c r="A40" s="7419"/>
      <c r="B40" s="4235"/>
      <c r="C40" s="4146" t="s">
        <v>831</v>
      </c>
      <c r="D40" s="4242" t="str" cm="1">
        <f t="array" aca="1" ref="D40" ca="1">INDIRECT("'※ 팀별 작성_인프라_인력'!"&amp;D$1&amp;$AF40, TRUE)</f>
        <v/>
      </c>
      <c r="E40" s="4242" cm="1">
        <f t="array" aca="1" ref="E40" ca="1">INDIRECT("'※ 팀별 작성_인프라_인력'!"&amp;E$1&amp;$AF40, TRUE)</f>
        <v>42.82976418631781</v>
      </c>
      <c r="F40" s="4243" cm="1">
        <f t="array" aca="1" ref="F40" ca="1">INDIRECT("'※ 팀별 작성_인프라_인력'!"&amp;F$1&amp;$AF40, TRUE)</f>
        <v>0</v>
      </c>
      <c r="G40" s="4243" cm="1">
        <f t="array" aca="1" ref="G40" ca="1">INDIRECT("'※ 팀별 작성_인프라_인력'!"&amp;G$1&amp;$AF40, TRUE)</f>
        <v>0</v>
      </c>
      <c r="H40" s="4243" cm="1">
        <f t="array" aca="1" ref="H40" ca="1">INDIRECT("'※ 팀별 작성_인프라_인력'!"&amp;H$1&amp;$AF40, TRUE)</f>
        <v>0</v>
      </c>
      <c r="I40" s="4243" cm="1">
        <f t="array" aca="1" ref="I40" ca="1">INDIRECT("'※ 팀별 작성_인프라_인력'!"&amp;I$1&amp;$AF40, TRUE)</f>
        <v>0</v>
      </c>
      <c r="J40" s="4243" cm="1">
        <f t="array" aca="1" ref="J40" ca="1">INDIRECT("'※ 팀별 작성_인프라_인력'!"&amp;J$1&amp;$AF40, TRUE)</f>
        <v>0</v>
      </c>
      <c r="K40" s="4243" cm="1">
        <f t="array" aca="1" ref="K40" ca="1">INDIRECT("'※ 팀별 작성_인프라_인력'!"&amp;K$1&amp;$AF40, TRUE)</f>
        <v>0</v>
      </c>
      <c r="L40" s="4243"/>
      <c r="M40" s="4243"/>
      <c r="N40" s="4243"/>
      <c r="O40" s="4243"/>
      <c r="P40" s="4243"/>
      <c r="Q40" s="4243"/>
      <c r="R40" s="7424" cm="1">
        <f t="array" aca="1" ref="R40" ca="1">INDIRECT("'※ 팀별 작성_인프라_인력'!"&amp;R$1&amp;$AF40, TRUE)</f>
        <v>0</v>
      </c>
      <c r="S40" s="7424"/>
      <c r="T40" s="4243" t="e" cm="1">
        <f t="array" aca="1" ref="T40" ca="1">INDIRECT("'※ 팀별 작성_인프라_인력'!"&amp;T$1&amp;$AF40, TRUE)</f>
        <v>#REF!</v>
      </c>
      <c r="U40" s="4243" cm="1">
        <f t="array" aca="1" ref="U40" ca="1">INDIRECT("'※ 팀별 작성_인프라_인력'!"&amp;U$1&amp;$AF40, TRUE)</f>
        <v>0</v>
      </c>
      <c r="V40" s="4243" cm="1">
        <f t="array" aca="1" ref="V40" ca="1">INDIRECT("'※ 팀별 작성_인프라_인력'!"&amp;V$1&amp;$AF40, TRUE)</f>
        <v>0</v>
      </c>
      <c r="W40" s="4248"/>
      <c r="X40" s="4248"/>
      <c r="Y40" s="4249"/>
      <c r="Z40" s="4248"/>
      <c r="AA40" s="4248"/>
      <c r="AB40" s="4248"/>
      <c r="AC40" s="4205" cm="1">
        <f t="array" aca="1" ref="AC40" ca="1">INDIRECT("'※ 팀별 작성_인프라_인력'!"&amp;AC$1&amp;$AF40, TRUE)</f>
        <v>0</v>
      </c>
      <c r="AD40" s="4246" cm="1">
        <f t="array" aca="1" ref="AD40" ca="1">INDIRECT("'※ 팀별 작성_인프라_인력'!"&amp;AD$1&amp;$AF40, TRUE)</f>
        <v>0</v>
      </c>
      <c r="AE40" s="4247" cm="1">
        <f t="array" aca="1" ref="AE40" ca="1">INDIRECT("'※ 팀별 작성_인프라_인력'!"&amp;AE$1&amp;$AF40, TRUE)</f>
        <v>0</v>
      </c>
      <c r="AF40" s="4047">
        <f>ROW('※ 팀별 작성_인프라_인력'!AH227)</f>
        <v>227</v>
      </c>
      <c r="AG40" s="4182"/>
      <c r="AH40" s="4182"/>
    </row>
    <row r="41" spans="1:34" s="2426" customFormat="1" hidden="1" x14ac:dyDescent="0.55000000000000004">
      <c r="A41" s="7419"/>
      <c r="B41" s="4235"/>
      <c r="C41" s="4132" t="s">
        <v>832</v>
      </c>
      <c r="D41" s="4236" cm="1">
        <f t="array" aca="1" ref="D41" ca="1">INDIRECT("'※ 팀별 작성_인프라_인력'!"&amp;D$1&amp;$AF41, TRUE)</f>
        <v>55.066666666666663</v>
      </c>
      <c r="E41" s="4236" cm="1">
        <f t="array" aca="1" ref="E41" ca="1">INDIRECT("'※ 팀별 작성_인프라_인력'!"&amp;E$1&amp;$AF41, TRUE)</f>
        <v>24.803488598172379</v>
      </c>
      <c r="F41" s="4237" cm="1">
        <f t="array" aca="1" ref="F41" ca="1">INDIRECT("'※ 팀별 작성_인프라_인력'!"&amp;F$1&amp;$AF41, TRUE)</f>
        <v>0</v>
      </c>
      <c r="G41" s="4237" cm="1">
        <f t="array" aca="1" ref="G41" ca="1">INDIRECT("'※ 팀별 작성_인프라_인력'!"&amp;G$1&amp;$AF41, TRUE)</f>
        <v>0</v>
      </c>
      <c r="H41" s="4237" cm="1">
        <f t="array" aca="1" ref="H41" ca="1">INDIRECT("'※ 팀별 작성_인프라_인력'!"&amp;H$1&amp;$AF41, TRUE)</f>
        <v>0</v>
      </c>
      <c r="I41" s="4237" cm="1">
        <f t="array" aca="1" ref="I41" ca="1">INDIRECT("'※ 팀별 작성_인프라_인력'!"&amp;I$1&amp;$AF41, TRUE)</f>
        <v>0</v>
      </c>
      <c r="J41" s="4237" cm="1">
        <f t="array" aca="1" ref="J41" ca="1">INDIRECT("'※ 팀별 작성_인프라_인력'!"&amp;J$1&amp;$AF41, TRUE)</f>
        <v>0</v>
      </c>
      <c r="K41" s="4237" cm="1">
        <f t="array" aca="1" ref="K41" ca="1">INDIRECT("'※ 팀별 작성_인프라_인력'!"&amp;K$1&amp;$AF41, TRUE)</f>
        <v>0</v>
      </c>
      <c r="L41" s="4237"/>
      <c r="M41" s="4237"/>
      <c r="N41" s="4237"/>
      <c r="O41" s="4237"/>
      <c r="P41" s="4237"/>
      <c r="Q41" s="4237"/>
      <c r="R41" s="7425" cm="1">
        <f t="array" aca="1" ref="R41" ca="1">INDIRECT("'※ 팀별 작성_인프라_인력'!"&amp;R$1&amp;$AF41, TRUE)</f>
        <v>0</v>
      </c>
      <c r="S41" s="7425"/>
      <c r="T41" s="4237" t="e" cm="1">
        <f t="array" aca="1" ref="T41" ca="1">INDIRECT("'※ 팀별 작성_인프라_인력'!"&amp;T$1&amp;$AF41, TRUE)</f>
        <v>#REF!</v>
      </c>
      <c r="U41" s="4237" cm="1">
        <f t="array" aca="1" ref="U41" ca="1">INDIRECT("'※ 팀별 작성_인프라_인력'!"&amp;U$1&amp;$AF41, TRUE)</f>
        <v>0</v>
      </c>
      <c r="V41" s="4237" cm="1">
        <f t="array" aca="1" ref="V41" ca="1">INDIRECT("'※ 팀별 작성_인프라_인력'!"&amp;V$1&amp;$AF41, TRUE)</f>
        <v>0</v>
      </c>
      <c r="W41" s="4238" cm="1">
        <f t="array" aca="1" ref="W41" ca="1">INDIRECT("'※ 팀별 작성_인프라_인력'!"&amp;W$1&amp;$AF41, TRUE)</f>
        <v>0</v>
      </c>
      <c r="X41" s="4238" cm="1">
        <f t="array" aca="1" ref="X41" ca="1">INDIRECT("'※ 팀별 작성_인프라_인력'!"&amp;X$1&amp;$AF41, TRUE)</f>
        <v>0</v>
      </c>
      <c r="Y41" s="4239" cm="1">
        <f t="array" aca="1" ref="Y41" ca="1">INDIRECT("'※ 팀별 작성_인프라_인력'!"&amp;Y$1&amp;$AF41, TRUE)</f>
        <v>0</v>
      </c>
      <c r="Z41" s="4238" cm="1">
        <f t="array" aca="1" ref="Z41" ca="1">INDIRECT("'※ 팀별 작성_인프라_인력'!"&amp;Z$1&amp;$AF41, TRUE)</f>
        <v>0</v>
      </c>
      <c r="AA41" s="4238" cm="1">
        <f t="array" aca="1" ref="AA41" ca="1">INDIRECT("'※ 팀별 작성_인프라_인력'!"&amp;AA$1&amp;$AF41, TRUE)</f>
        <v>0</v>
      </c>
      <c r="AB41" s="4238" cm="1">
        <f t="array" aca="1" ref="AB41" ca="1">INDIRECT("'※ 팀별 작성_인프라_인력'!"&amp;AB$1&amp;$AF41, TRUE)</f>
        <v>0</v>
      </c>
      <c r="AC41" s="4240" cm="1">
        <f t="array" aca="1" ref="AC41" ca="1">INDIRECT("'※ 팀별 작성_인프라_인력'!"&amp;AC$1&amp;$AF41, TRUE)</f>
        <v>0</v>
      </c>
      <c r="AD41" s="4240" cm="1">
        <f t="array" aca="1" ref="AD41" ca="1">INDIRECT("'※ 팀별 작성_인프라_인력'!"&amp;AD$1&amp;$AF41, TRUE)</f>
        <v>0</v>
      </c>
      <c r="AE41" s="4241" cm="1">
        <f t="array" aca="1" ref="AE41" ca="1">INDIRECT("'※ 팀별 작성_인프라_인력'!"&amp;AE$1&amp;$AF41, TRUE)</f>
        <v>0</v>
      </c>
      <c r="AF41" s="4047">
        <f>ROW('※ 팀별 작성_인프라_인력'!AH228)</f>
        <v>228</v>
      </c>
      <c r="AG41" s="4182"/>
      <c r="AH41" s="4182"/>
    </row>
    <row r="42" spans="1:34" s="2426" customFormat="1" hidden="1" x14ac:dyDescent="0.55000000000000004">
      <c r="A42" s="7419"/>
      <c r="B42" s="4235"/>
      <c r="C42" s="4132" t="s">
        <v>833</v>
      </c>
      <c r="D42" s="4236" t="str" cm="1">
        <f t="array" aca="1" ref="D42" ca="1">INDIRECT("'※ 팀별 작성_인프라_인력'!"&amp;D$1&amp;$AF42, TRUE)</f>
        <v/>
      </c>
      <c r="E42" s="4236" cm="1">
        <f t="array" aca="1" ref="E42" ca="1">INDIRECT("'※ 팀별 작성_인프라_인력'!"&amp;E$1&amp;$AF42, TRUE)</f>
        <v>45.496208649279232</v>
      </c>
      <c r="F42" s="4237" cm="1">
        <f t="array" aca="1" ref="F42" ca="1">INDIRECT("'※ 팀별 작성_인프라_인력'!"&amp;F$1&amp;$AF42, TRUE)</f>
        <v>0</v>
      </c>
      <c r="G42" s="4237" cm="1">
        <f t="array" aca="1" ref="G42" ca="1">INDIRECT("'※ 팀별 작성_인프라_인력'!"&amp;G$1&amp;$AF42, TRUE)</f>
        <v>0</v>
      </c>
      <c r="H42" s="4237" cm="1">
        <f t="array" aca="1" ref="H42" ca="1">INDIRECT("'※ 팀별 작성_인프라_인력'!"&amp;H$1&amp;$AF42, TRUE)</f>
        <v>0</v>
      </c>
      <c r="I42" s="4237" cm="1">
        <f t="array" aca="1" ref="I42" ca="1">INDIRECT("'※ 팀별 작성_인프라_인력'!"&amp;I$1&amp;$AF42, TRUE)</f>
        <v>0</v>
      </c>
      <c r="J42" s="4237" cm="1">
        <f t="array" aca="1" ref="J42" ca="1">INDIRECT("'※ 팀별 작성_인프라_인력'!"&amp;J$1&amp;$AF42, TRUE)</f>
        <v>0</v>
      </c>
      <c r="K42" s="4237" cm="1">
        <f t="array" aca="1" ref="K42" ca="1">INDIRECT("'※ 팀별 작성_인프라_인력'!"&amp;K$1&amp;$AF42, TRUE)</f>
        <v>0</v>
      </c>
      <c r="L42" s="4237"/>
      <c r="M42" s="4237"/>
      <c r="N42" s="4237"/>
      <c r="O42" s="4237"/>
      <c r="P42" s="4237"/>
      <c r="Q42" s="4237"/>
      <c r="R42" s="7425" cm="1">
        <f t="array" aca="1" ref="R42" ca="1">INDIRECT("'※ 팀별 작성_인프라_인력'!"&amp;R$1&amp;$AF42, TRUE)</f>
        <v>0</v>
      </c>
      <c r="S42" s="7425"/>
      <c r="T42" s="4237" t="e" cm="1">
        <f t="array" aca="1" ref="T42" ca="1">INDIRECT("'※ 팀별 작성_인프라_인력'!"&amp;T$1&amp;$AF42, TRUE)</f>
        <v>#REF!</v>
      </c>
      <c r="U42" s="4237" cm="1">
        <f t="array" aca="1" ref="U42" ca="1">INDIRECT("'※ 팀별 작성_인프라_인력'!"&amp;U$1&amp;$AF42, TRUE)</f>
        <v>0</v>
      </c>
      <c r="V42" s="4237" cm="1">
        <f t="array" aca="1" ref="V42" ca="1">INDIRECT("'※ 팀별 작성_인프라_인력'!"&amp;V$1&amp;$AF42, TRUE)</f>
        <v>0</v>
      </c>
      <c r="W42" s="4248"/>
      <c r="X42" s="4248"/>
      <c r="Y42" s="4249"/>
      <c r="Z42" s="4248"/>
      <c r="AA42" s="4248"/>
      <c r="AB42" s="4248"/>
      <c r="AC42" s="4205" cm="1">
        <f t="array" aca="1" ref="AC42" ca="1">INDIRECT("'※ 팀별 작성_인프라_인력'!"&amp;AC$1&amp;$AF42, TRUE)</f>
        <v>0</v>
      </c>
      <c r="AD42" s="4240" cm="1">
        <f t="array" aca="1" ref="AD42" ca="1">INDIRECT("'※ 팀별 작성_인프라_인력'!"&amp;AD$1&amp;$AF42, TRUE)</f>
        <v>0</v>
      </c>
      <c r="AE42" s="4241" cm="1">
        <f t="array" aca="1" ref="AE42" ca="1">INDIRECT("'※ 팀별 작성_인프라_인력'!"&amp;AE$1&amp;$AF42, TRUE)</f>
        <v>0</v>
      </c>
      <c r="AF42" s="4047">
        <f>ROW('※ 팀별 작성_인프라_인력'!AH229)</f>
        <v>229</v>
      </c>
      <c r="AG42" s="4182"/>
      <c r="AH42" s="4182"/>
    </row>
    <row r="43" spans="1:34" s="2426" customFormat="1" hidden="1" x14ac:dyDescent="0.55000000000000004">
      <c r="A43" s="7419"/>
      <c r="B43" s="4235"/>
      <c r="C43" s="4146" t="s">
        <v>834</v>
      </c>
      <c r="D43" s="4242" cm="1">
        <f t="array" aca="1" ref="D43" ca="1">INDIRECT("'※ 팀별 작성_인프라_인력'!"&amp;D$1&amp;$AF43, TRUE)</f>
        <v>61.066666666666663</v>
      </c>
      <c r="E43" s="4242" cm="1">
        <f t="array" aca="1" ref="E43" ca="1">INDIRECT("'※ 팀별 작성_인프라_인력'!"&amp;E$1&amp;$AF43, TRUE)</f>
        <v>35.580368302641446</v>
      </c>
      <c r="F43" s="4243" cm="1">
        <f t="array" aca="1" ref="F43" ca="1">INDIRECT("'※ 팀별 작성_인프라_인력'!"&amp;F$1&amp;$AF43, TRUE)</f>
        <v>0</v>
      </c>
      <c r="G43" s="4243" cm="1">
        <f t="array" aca="1" ref="G43" ca="1">INDIRECT("'※ 팀별 작성_인프라_인력'!"&amp;G$1&amp;$AF43, TRUE)</f>
        <v>0</v>
      </c>
      <c r="H43" s="4243" cm="1">
        <f t="array" aca="1" ref="H43" ca="1">INDIRECT("'※ 팀별 작성_인프라_인력'!"&amp;H$1&amp;$AF43, TRUE)</f>
        <v>0</v>
      </c>
      <c r="I43" s="4243" cm="1">
        <f t="array" aca="1" ref="I43" ca="1">INDIRECT("'※ 팀별 작성_인프라_인력'!"&amp;I$1&amp;$AF43, TRUE)</f>
        <v>0</v>
      </c>
      <c r="J43" s="4243" cm="1">
        <f t="array" aca="1" ref="J43" ca="1">INDIRECT("'※ 팀별 작성_인프라_인력'!"&amp;J$1&amp;$AF43, TRUE)</f>
        <v>0</v>
      </c>
      <c r="K43" s="4243" cm="1">
        <f t="array" aca="1" ref="K43" ca="1">INDIRECT("'※ 팀별 작성_인프라_인력'!"&amp;K$1&amp;$AF43, TRUE)</f>
        <v>0</v>
      </c>
      <c r="L43" s="4243"/>
      <c r="M43" s="4243"/>
      <c r="N43" s="4243"/>
      <c r="O43" s="4243"/>
      <c r="P43" s="4243"/>
      <c r="Q43" s="4243"/>
      <c r="R43" s="7424" cm="1">
        <f t="array" aca="1" ref="R43" ca="1">INDIRECT("'※ 팀별 작성_인프라_인력'!"&amp;R$1&amp;$AF43, TRUE)</f>
        <v>0</v>
      </c>
      <c r="S43" s="7424"/>
      <c r="T43" s="4243" t="e" cm="1">
        <f t="array" aca="1" ref="T43" ca="1">INDIRECT("'※ 팀별 작성_인프라_인력'!"&amp;T$1&amp;$AF43, TRUE)</f>
        <v>#REF!</v>
      </c>
      <c r="U43" s="4243" cm="1">
        <f t="array" aca="1" ref="U43" ca="1">INDIRECT("'※ 팀별 작성_인프라_인력'!"&amp;U$1&amp;$AF43, TRUE)</f>
        <v>0</v>
      </c>
      <c r="V43" s="4243" cm="1">
        <f t="array" aca="1" ref="V43" ca="1">INDIRECT("'※ 팀별 작성_인프라_인력'!"&amp;V$1&amp;$AF43, TRUE)</f>
        <v>0</v>
      </c>
      <c r="W43" s="4244" cm="1">
        <f t="array" aca="1" ref="W43" ca="1">INDIRECT("'※ 팀별 작성_인프라_인력'!"&amp;W$1&amp;$AF43, TRUE)</f>
        <v>0</v>
      </c>
      <c r="X43" s="4244" cm="1">
        <f t="array" aca="1" ref="X43" ca="1">INDIRECT("'※ 팀별 작성_인프라_인력'!"&amp;X$1&amp;$AF43, TRUE)</f>
        <v>0</v>
      </c>
      <c r="Y43" s="4245" cm="1">
        <f t="array" aca="1" ref="Y43" ca="1">INDIRECT("'※ 팀별 작성_인프라_인력'!"&amp;Y$1&amp;$AF43, TRUE)</f>
        <v>0</v>
      </c>
      <c r="Z43" s="4244" cm="1">
        <f t="array" aca="1" ref="Z43" ca="1">INDIRECT("'※ 팀별 작성_인프라_인력'!"&amp;Z$1&amp;$AF43, TRUE)</f>
        <v>0</v>
      </c>
      <c r="AA43" s="4244" cm="1">
        <f t="array" aca="1" ref="AA43" ca="1">INDIRECT("'※ 팀별 작성_인프라_인력'!"&amp;AA$1&amp;$AF43, TRUE)</f>
        <v>0</v>
      </c>
      <c r="AB43" s="4244" cm="1">
        <f t="array" aca="1" ref="AB43" ca="1">INDIRECT("'※ 팀별 작성_인프라_인력'!"&amp;AB$1&amp;$AF43, TRUE)</f>
        <v>0</v>
      </c>
      <c r="AC43" s="4246" cm="1">
        <f t="array" aca="1" ref="AC43" ca="1">INDIRECT("'※ 팀별 작성_인프라_인력'!"&amp;AC$1&amp;$AF43, TRUE)</f>
        <v>0</v>
      </c>
      <c r="AD43" s="4246" cm="1">
        <f t="array" aca="1" ref="AD43" ca="1">INDIRECT("'※ 팀별 작성_인프라_인력'!"&amp;AD$1&amp;$AF43, TRUE)</f>
        <v>0</v>
      </c>
      <c r="AE43" s="4247" cm="1">
        <f t="array" aca="1" ref="AE43" ca="1">INDIRECT("'※ 팀별 작성_인프라_인력'!"&amp;AE$1&amp;$AF43, TRUE)</f>
        <v>0</v>
      </c>
      <c r="AF43" s="4047">
        <f>ROW('※ 팀별 작성_인프라_인력'!AH230)</f>
        <v>230</v>
      </c>
      <c r="AG43" s="4182"/>
      <c r="AH43" s="4182"/>
    </row>
    <row r="44" spans="1:34" s="2426" customFormat="1" hidden="1" x14ac:dyDescent="0.55000000000000004">
      <c r="A44" s="7419"/>
      <c r="B44" s="4235"/>
      <c r="C44" s="4146" t="s">
        <v>835</v>
      </c>
      <c r="D44" s="4242" cm="1">
        <f t="array" aca="1" ref="D44" ca="1">INDIRECT("'※ 팀별 작성_인프라_인력'!"&amp;D$1&amp;$AF44, TRUE)</f>
        <v>25.25</v>
      </c>
      <c r="E44" s="4242" cm="1">
        <f t="array" aca="1" ref="E44" ca="1">INDIRECT("'※ 팀별 작성_인프라_인력'!"&amp;E$1&amp;$AF44, TRUE)</f>
        <v>0</v>
      </c>
      <c r="F44" s="4243" cm="1">
        <f t="array" aca="1" ref="F44" ca="1">INDIRECT("'※ 팀별 작성_인프라_인력'!"&amp;F$1&amp;$AF44, TRUE)</f>
        <v>0</v>
      </c>
      <c r="G44" s="4243" cm="1">
        <f t="array" aca="1" ref="G44" ca="1">INDIRECT("'※ 팀별 작성_인프라_인력'!"&amp;G$1&amp;$AF44, TRUE)</f>
        <v>0</v>
      </c>
      <c r="H44" s="4243" cm="1">
        <f t="array" aca="1" ref="H44" ca="1">INDIRECT("'※ 팀별 작성_인프라_인력'!"&amp;H$1&amp;$AF44, TRUE)</f>
        <v>0</v>
      </c>
      <c r="I44" s="4243"/>
      <c r="J44" s="4243"/>
      <c r="K44" s="4243"/>
      <c r="L44" s="4243"/>
      <c r="M44" s="4243"/>
      <c r="N44" s="4243"/>
      <c r="O44" s="4243"/>
      <c r="P44" s="4243"/>
      <c r="Q44" s="4243"/>
      <c r="R44" s="7424" cm="1">
        <f t="array" aca="1" ref="R44" ca="1">INDIRECT("'※ 팀별 작성_인프라_인력'!"&amp;R$1&amp;$AF44, TRUE)</f>
        <v>0</v>
      </c>
      <c r="S44" s="7424"/>
      <c r="T44" s="4243" t="e" cm="1">
        <f t="array" aca="1" ref="T44" ca="1">INDIRECT("'※ 팀별 작성_인프라_인력'!"&amp;T$1&amp;$AF44, TRUE)</f>
        <v>#REF!</v>
      </c>
      <c r="U44" s="4243" cm="1">
        <f t="array" aca="1" ref="U44" ca="1">INDIRECT("'※ 팀별 작성_인프라_인력'!"&amp;U$1&amp;$AF44, TRUE)</f>
        <v>0</v>
      </c>
      <c r="V44" s="4243" cm="1">
        <f t="array" aca="1" ref="V44" ca="1">INDIRECT("'※ 팀별 작성_인프라_인력'!"&amp;V$1&amp;$AF44, TRUE)</f>
        <v>0</v>
      </c>
      <c r="W44" s="4248"/>
      <c r="X44" s="4248"/>
      <c r="Y44" s="4249"/>
      <c r="Z44" s="4248"/>
      <c r="AA44" s="4248"/>
      <c r="AB44" s="4248"/>
      <c r="AC44" s="4246" cm="1">
        <f t="array" aca="1" ref="AC44" ca="1">INDIRECT("'※ 팀별 작성_인프라_인력'!"&amp;AC$1&amp;$AF44, TRUE)</f>
        <v>0</v>
      </c>
      <c r="AD44" s="4205" cm="1">
        <f t="array" aca="1" ref="AD44" ca="1">INDIRECT("'※ 팀별 작성_인프라_인력'!"&amp;AD$1&amp;$AF44, TRUE)</f>
        <v>0</v>
      </c>
      <c r="AE44" s="4247" cm="1">
        <f t="array" aca="1" ref="AE44" ca="1">INDIRECT("'※ 팀별 작성_인프라_인력'!"&amp;AE$1&amp;$AF44, TRUE)</f>
        <v>0</v>
      </c>
      <c r="AF44" s="4047">
        <f>ROW('※ 팀별 작성_인프라_인력'!AH231)</f>
        <v>231</v>
      </c>
      <c r="AG44" s="4182"/>
      <c r="AH44" s="4182"/>
    </row>
    <row r="45" spans="1:34" s="2426" customFormat="1" hidden="1" x14ac:dyDescent="0.55000000000000004">
      <c r="A45" s="7419"/>
      <c r="B45" s="4235"/>
      <c r="C45" s="4132" t="s">
        <v>836</v>
      </c>
      <c r="D45" s="4250" t="str" cm="1">
        <f t="array" aca="1" ref="D45" ca="1">INDIRECT("'※ 팀별 작성_인프라_인력'!"&amp;D$1&amp;$AF45, TRUE)</f>
        <v/>
      </c>
      <c r="E45" s="4250" cm="1">
        <f t="array" aca="1" ref="E45" ca="1">INDIRECT("'※ 팀별 작성_인프라_인력'!"&amp;E$1&amp;$AF45, TRUE)</f>
        <v>17.193011693469991</v>
      </c>
      <c r="F45" s="4251" cm="1">
        <f t="array" aca="1" ref="F45" ca="1">INDIRECT("'※ 팀별 작성_인프라_인력'!"&amp;F$1&amp;$AF45, TRUE)</f>
        <v>0</v>
      </c>
      <c r="G45" s="4251" cm="1">
        <f t="array" aca="1" ref="G45" ca="1">INDIRECT("'※ 팀별 작성_인프라_인력'!"&amp;G$1&amp;$AF45, TRUE)</f>
        <v>0</v>
      </c>
      <c r="H45" s="4251" cm="1">
        <f t="array" aca="1" ref="H45" ca="1">INDIRECT("'※ 팀별 작성_인프라_인력'!"&amp;H$1&amp;$AF45, TRUE)</f>
        <v>0</v>
      </c>
      <c r="I45" s="4251" cm="1">
        <f t="array" aca="1" ref="I45" ca="1">INDIRECT("'※ 팀별 작성_인프라_인력'!"&amp;I$1&amp;$AF45, TRUE)</f>
        <v>0</v>
      </c>
      <c r="J45" s="4251" cm="1">
        <f t="array" aca="1" ref="J45" ca="1">INDIRECT("'※ 팀별 작성_인프라_인력'!"&amp;J$1&amp;$AF45, TRUE)</f>
        <v>0</v>
      </c>
      <c r="K45" s="4251" cm="1">
        <f t="array" aca="1" ref="K45" ca="1">INDIRECT("'※ 팀별 작성_인프라_인력'!"&amp;K$1&amp;$AF45, TRUE)</f>
        <v>0</v>
      </c>
      <c r="L45" s="4251"/>
      <c r="M45" s="4251"/>
      <c r="N45" s="4251"/>
      <c r="O45" s="4251"/>
      <c r="P45" s="4251"/>
      <c r="Q45" s="4251"/>
      <c r="R45" s="7439" cm="1">
        <f t="array" aca="1" ref="R45" ca="1">INDIRECT("'※ 팀별 작성_인프라_인력'!"&amp;R$1&amp;$AF45, TRUE)</f>
        <v>0</v>
      </c>
      <c r="S45" s="7439"/>
      <c r="T45" s="4251" t="e" cm="1">
        <f t="array" aca="1" ref="T45" ca="1">INDIRECT("'※ 팀별 작성_인프라_인력'!"&amp;T$1&amp;$AF45, TRUE)</f>
        <v>#REF!</v>
      </c>
      <c r="U45" s="4251" cm="1">
        <f t="array" aca="1" ref="U45" ca="1">INDIRECT("'※ 팀별 작성_인프라_인력'!"&amp;U$1&amp;$AF45, TRUE)</f>
        <v>0</v>
      </c>
      <c r="V45" s="4251" cm="1">
        <f t="array" aca="1" ref="V45" ca="1">INDIRECT("'※ 팀별 작성_인프라_인력'!"&amp;V$1&amp;$AF45, TRUE)</f>
        <v>0</v>
      </c>
      <c r="W45" s="4252"/>
      <c r="X45" s="4252"/>
      <c r="Y45" s="4253"/>
      <c r="Z45" s="4248"/>
      <c r="AA45" s="4248"/>
      <c r="AB45" s="4248"/>
      <c r="AC45" s="4205" cm="1">
        <f t="array" aca="1" ref="AC45" ca="1">INDIRECT("'※ 팀별 작성_인프라_인력'!"&amp;AC$1&amp;$AF45, TRUE)</f>
        <v>0</v>
      </c>
      <c r="AD45" s="4240" cm="1">
        <f t="array" aca="1" ref="AD45" ca="1">INDIRECT("'※ 팀별 작성_인프라_인력'!"&amp;AD$1&amp;$AF45, TRUE)</f>
        <v>0</v>
      </c>
      <c r="AE45" s="4241" cm="1">
        <f t="array" aca="1" ref="AE45" ca="1">INDIRECT("'※ 팀별 작성_인프라_인력'!"&amp;AE$1&amp;$AF45, TRUE)</f>
        <v>0</v>
      </c>
      <c r="AF45" s="4047">
        <f>ROW('※ 팀별 작성_인프라_인력'!AH232)</f>
        <v>232</v>
      </c>
      <c r="AG45" s="4182"/>
      <c r="AH45" s="4182"/>
    </row>
    <row r="46" spans="1:34" s="2426" customFormat="1" ht="15.45" hidden="1" thickBot="1" x14ac:dyDescent="0.6">
      <c r="A46" s="7420"/>
      <c r="B46" s="4254"/>
      <c r="C46" s="4255" t="s">
        <v>837</v>
      </c>
      <c r="D46" s="4256" cm="1">
        <f t="array" aca="1" ref="D46" ca="1">INDIRECT("'※ 팀별 작성_인프라_인력'!"&amp;D$1&amp;$AF46, TRUE)</f>
        <v>36.916666666666664</v>
      </c>
      <c r="E46" s="4256" cm="1">
        <f t="array" aca="1" ref="E46" ca="1">INDIRECT("'※ 팀별 작성_인프라_인력'!"&amp;E$1&amp;$AF46, TRUE)</f>
        <v>21.039913340554953</v>
      </c>
      <c r="F46" s="4257" cm="1">
        <f t="array" aca="1" ref="F46" ca="1">INDIRECT("'※ 팀별 작성_인프라_인력'!"&amp;F$1&amp;$AF46, TRUE)</f>
        <v>0</v>
      </c>
      <c r="G46" s="4257" cm="1">
        <f t="array" aca="1" ref="G46" ca="1">INDIRECT("'※ 팀별 작성_인프라_인력'!"&amp;G$1&amp;$AF46, TRUE)</f>
        <v>0</v>
      </c>
      <c r="H46" s="4257" cm="1">
        <f t="array" aca="1" ref="H46" ca="1">INDIRECT("'※ 팀별 작성_인프라_인력'!"&amp;H$1&amp;$AF46, TRUE)</f>
        <v>0</v>
      </c>
      <c r="I46" s="4257" cm="1">
        <f t="array" aca="1" ref="I46" ca="1">INDIRECT("'※ 팀별 작성_인프라_인력'!"&amp;I$1&amp;$AF46, TRUE)</f>
        <v>0</v>
      </c>
      <c r="J46" s="4257" cm="1">
        <f t="array" aca="1" ref="J46" ca="1">INDIRECT("'※ 팀별 작성_인프라_인력'!"&amp;J$1&amp;$AF46, TRUE)</f>
        <v>0</v>
      </c>
      <c r="K46" s="4257" cm="1">
        <f t="array" aca="1" ref="K46" ca="1">INDIRECT("'※ 팀별 작성_인프라_인력'!"&amp;K$1&amp;$AF46, TRUE)</f>
        <v>0</v>
      </c>
      <c r="L46" s="4257"/>
      <c r="M46" s="4257"/>
      <c r="N46" s="4257"/>
      <c r="O46" s="4257"/>
      <c r="P46" s="4257"/>
      <c r="Q46" s="4257"/>
      <c r="R46" s="7423" cm="1">
        <f t="array" aca="1" ref="R46" ca="1">INDIRECT("'※ 팀별 작성_인프라_인력'!"&amp;R$1&amp;$AF46, TRUE)</f>
        <v>0</v>
      </c>
      <c r="S46" s="7423"/>
      <c r="T46" s="4257" t="e" cm="1">
        <f t="array" aca="1" ref="T46" ca="1">INDIRECT("'※ 팀별 작성_인프라_인력'!"&amp;T$1&amp;$AF46, TRUE)</f>
        <v>#REF!</v>
      </c>
      <c r="U46" s="4257" cm="1">
        <f t="array" aca="1" ref="U46" ca="1">INDIRECT("'※ 팀별 작성_인프라_인력'!"&amp;U$1&amp;$AF46, TRUE)</f>
        <v>0</v>
      </c>
      <c r="V46" s="4257" cm="1">
        <f t="array" aca="1" ref="V46" ca="1">INDIRECT("'※ 팀별 작성_인프라_인력'!"&amp;V$1&amp;$AF46, TRUE)</f>
        <v>0</v>
      </c>
      <c r="W46" s="4258" cm="1">
        <f t="array" aca="1" ref="W46" ca="1">INDIRECT("'※ 팀별 작성_인프라_인력'!"&amp;W$1&amp;$AF46, TRUE)</f>
        <v>0</v>
      </c>
      <c r="X46" s="4258" cm="1">
        <f t="array" aca="1" ref="X46" ca="1">INDIRECT("'※ 팀별 작성_인프라_인력'!"&amp;X$1&amp;$AF46, TRUE)</f>
        <v>0</v>
      </c>
      <c r="Y46" s="4259" cm="1">
        <f t="array" aca="1" ref="Y46" ca="1">INDIRECT("'※ 팀별 작성_인프라_인력'!"&amp;Y$1&amp;$AF46, TRUE)</f>
        <v>0</v>
      </c>
      <c r="Z46" s="4260" cm="1">
        <f t="array" aca="1" ref="Z46" ca="1">INDIRECT("'※ 팀별 작성_인프라_인력'!"&amp;Z$1&amp;$AF46, TRUE)</f>
        <v>0</v>
      </c>
      <c r="AA46" s="4260" cm="1">
        <f t="array" aca="1" ref="AA46" ca="1">INDIRECT("'※ 팀별 작성_인프라_인력'!"&amp;AA$1&amp;$AF46, TRUE)</f>
        <v>0</v>
      </c>
      <c r="AB46" s="4260" cm="1">
        <f t="array" aca="1" ref="AB46" ca="1">INDIRECT("'※ 팀별 작성_인프라_인력'!"&amp;AB$1&amp;$AF46, TRUE)</f>
        <v>0</v>
      </c>
      <c r="AC46" s="4261" cm="1">
        <f t="array" aca="1" ref="AC46" ca="1">INDIRECT("'※ 팀별 작성_인프라_인력'!"&amp;AC$1&amp;$AF46, TRUE)</f>
        <v>0</v>
      </c>
      <c r="AD46" s="4261" cm="1">
        <f t="array" aca="1" ref="AD46" ca="1">INDIRECT("'※ 팀별 작성_인프라_인력'!"&amp;AD$1&amp;$AF46, TRUE)</f>
        <v>0</v>
      </c>
      <c r="AE46" s="4262" cm="1">
        <f t="array" aca="1" ref="AE46" ca="1">INDIRECT("'※ 팀별 작성_인프라_인력'!"&amp;AE$1&amp;$AF46, TRUE)</f>
        <v>0</v>
      </c>
      <c r="AF46" s="4047">
        <f>ROW('※ 팀별 작성_인프라_인력'!AH233)</f>
        <v>233</v>
      </c>
      <c r="AG46" s="4182"/>
      <c r="AH46" s="4182"/>
    </row>
    <row r="47" spans="1:34" s="2426" customFormat="1" ht="12.9" customHeight="1" thickBot="1" x14ac:dyDescent="0.6">
      <c r="A47" s="4175"/>
      <c r="B47" s="4176"/>
      <c r="C47" s="4176"/>
      <c r="D47" s="4176"/>
      <c r="E47" s="4176"/>
      <c r="F47" s="4263"/>
      <c r="G47" s="4263"/>
      <c r="H47" s="4263"/>
      <c r="I47" s="4263"/>
      <c r="J47" s="4263"/>
      <c r="K47" s="4263"/>
      <c r="L47" s="4263"/>
      <c r="M47" s="4263"/>
      <c r="N47" s="4263"/>
      <c r="O47" s="4263"/>
      <c r="P47" s="4263"/>
      <c r="Q47" s="4263"/>
      <c r="R47" s="4263"/>
      <c r="S47" s="4263"/>
      <c r="T47" s="4264"/>
      <c r="U47" s="4263"/>
      <c r="V47" s="4263"/>
      <c r="W47" s="4264"/>
      <c r="X47" s="4263"/>
      <c r="Y47" s="4263"/>
      <c r="Z47" s="4179"/>
      <c r="AA47" s="4179"/>
      <c r="AB47" s="4180"/>
      <c r="AC47" s="4179"/>
      <c r="AD47" s="4179"/>
      <c r="AE47" s="2555"/>
      <c r="AF47" s="4031" t="s">
        <v>534</v>
      </c>
      <c r="AG47" s="4031" t="s">
        <v>610</v>
      </c>
      <c r="AH47" s="4031" t="s">
        <v>610</v>
      </c>
    </row>
    <row r="48" spans="1:34" ht="17.149999999999999" thickTop="1" thickBot="1" x14ac:dyDescent="0.6">
      <c r="B48" s="2682"/>
      <c r="C48" s="2682"/>
      <c r="D48" s="2682"/>
      <c r="E48" s="2682"/>
      <c r="F48" s="7427" t="s">
        <v>1152</v>
      </c>
      <c r="G48" s="7428"/>
      <c r="H48" s="7428"/>
      <c r="I48" s="7428"/>
      <c r="J48" s="7428"/>
      <c r="K48" s="7428"/>
      <c r="L48" s="7428"/>
      <c r="M48" s="7428"/>
      <c r="N48" s="7428"/>
      <c r="O48" s="7428"/>
      <c r="P48" s="7428"/>
      <c r="Q48" s="7428"/>
      <c r="R48" s="7428"/>
      <c r="S48" s="7428"/>
      <c r="T48" s="7429"/>
      <c r="U48" s="7409" t="s">
        <v>258</v>
      </c>
      <c r="V48" s="7409"/>
      <c r="W48" s="7409"/>
      <c r="X48" s="7410"/>
      <c r="Y48" s="7411"/>
      <c r="Z48" s="7404" t="str">
        <f>"생산성 월평균(~"&amp;'※ 팀별 작성_인프라_인력'!A1-0.001&amp;"월)"</f>
        <v>생산성 월평균(~12월)</v>
      </c>
      <c r="AA48" s="7074"/>
      <c r="AB48" s="7074"/>
      <c r="AC48" s="7074"/>
      <c r="AD48" s="7074"/>
      <c r="AE48" s="7075"/>
      <c r="AF48" s="4034" t="s">
        <v>535</v>
      </c>
      <c r="AG48" s="4034" t="s">
        <v>611</v>
      </c>
      <c r="AH48" s="4034" t="s">
        <v>612</v>
      </c>
    </row>
    <row r="49" spans="1:34" ht="16.3" customHeight="1" thickTop="1" thickBot="1" x14ac:dyDescent="0.6">
      <c r="A49" s="7412" t="s">
        <v>127</v>
      </c>
      <c r="B49" s="7413"/>
      <c r="C49" s="7414"/>
      <c r="D49" s="4265" t="s">
        <v>906</v>
      </c>
      <c r="E49" s="4266" t="s">
        <v>905</v>
      </c>
      <c r="F49" s="4267" t="str" cm="1">
        <f t="array" aca="1" ref="F49" ca="1">INDIRECT("'※ 팀별 작성_인프라_인력'!"&amp;F$2&amp;$AF49, TRUE)</f>
        <v>'25.1월</v>
      </c>
      <c r="G49" s="4268" t="str" cm="1">
        <f t="array" aca="1" ref="G49" ca="1">INDIRECT("'※ 팀별 작성_인프라_인력'!"&amp;G$2&amp;$AF49, TRUE)</f>
        <v>'25.2월</v>
      </c>
      <c r="H49" s="4268" t="str" cm="1">
        <f t="array" aca="1" ref="H49" ca="1">INDIRECT("'※ 팀별 작성_인프라_인력'!"&amp;H$2&amp;$AF49, TRUE)</f>
        <v>'25.3월</v>
      </c>
      <c r="I49" s="4268" t="str" cm="1">
        <f t="array" aca="1" ref="I49" ca="1">INDIRECT("'※ 팀별 작성_인프라_인력'!"&amp;I$2&amp;$AF49, TRUE)</f>
        <v>'25.4월</v>
      </c>
      <c r="J49" s="4268" t="str" cm="1">
        <f t="array" aca="1" ref="J49" ca="1">INDIRECT("'※ 팀별 작성_인프라_인력'!"&amp;J$2&amp;$AF49, TRUE)</f>
        <v>'25.5월</v>
      </c>
      <c r="K49" s="4268" t="str" cm="1">
        <f t="array" aca="1" ref="K49" ca="1">INDIRECT("'※ 팀별 작성_인프라_인력'!"&amp;K$2&amp;$AF49, TRUE)</f>
        <v>'25.6월</v>
      </c>
      <c r="L49" s="4268" t="str" cm="1">
        <f t="array" aca="1" ref="L49" ca="1">INDIRECT("'※ 팀별 작성_인프라_인력'!"&amp;L$2&amp;$AF49, TRUE)</f>
        <v>'25.7월</v>
      </c>
      <c r="M49" s="4268" t="str" cm="1">
        <f t="array" aca="1" ref="M49" ca="1">INDIRECT("'※ 팀별 작성_인프라_인력'!"&amp;M$2&amp;$AF49, TRUE)</f>
        <v>'25.8월</v>
      </c>
      <c r="N49" s="4268" t="str" cm="1">
        <f t="array" aca="1" ref="N49" ca="1">INDIRECT("'※ 팀별 작성_인프라_인력'!"&amp;N$2&amp;$AF49, TRUE)</f>
        <v>'25.9월</v>
      </c>
      <c r="O49" s="4268" t="str" cm="1">
        <f t="array" aca="1" ref="O49" ca="1">INDIRECT("'※ 팀별 작성_인프라_인력'!"&amp;O$2&amp;$AF49, TRUE)</f>
        <v>'25.10월</v>
      </c>
      <c r="P49" s="4268" t="str" cm="1">
        <f t="array" aca="1" ref="P49" ca="1">INDIRECT("'※ 팀별 작성_인프라_인력'!"&amp;P$2&amp;$AF49, TRUE)</f>
        <v>'25.11월</v>
      </c>
      <c r="Q49" s="4268" t="str" cm="1">
        <f t="array" aca="1" ref="Q49" ca="1">INDIRECT("'※ 팀별 작성_인프라_인력'!"&amp;Q$2&amp;$AF49, TRUE)</f>
        <v>'25.12월</v>
      </c>
      <c r="R49" s="4269" t="s">
        <v>47</v>
      </c>
      <c r="S49" s="4270" t="s">
        <v>270</v>
      </c>
      <c r="T49" s="4271" t="s">
        <v>51</v>
      </c>
      <c r="U49" s="4272" t="s">
        <v>47</v>
      </c>
      <c r="V49" s="4272" t="s">
        <v>270</v>
      </c>
      <c r="W49" s="4272" t="s">
        <v>51</v>
      </c>
      <c r="X49" s="4273"/>
      <c r="Y49" s="4274"/>
      <c r="Z49" s="4275" t="s">
        <v>263</v>
      </c>
      <c r="AA49" s="4276" t="s">
        <v>613</v>
      </c>
      <c r="AB49" s="4277" t="s">
        <v>11</v>
      </c>
      <c r="AC49" s="4278" t="s">
        <v>264</v>
      </c>
      <c r="AD49" s="4276" t="s">
        <v>613</v>
      </c>
      <c r="AE49" s="4279" t="s">
        <v>11</v>
      </c>
      <c r="AF49" s="4035">
        <v>2</v>
      </c>
      <c r="AG49" s="4036">
        <v>2</v>
      </c>
      <c r="AH49" s="4036">
        <v>2</v>
      </c>
    </row>
    <row r="50" spans="1:34" ht="16.3" customHeight="1" x14ac:dyDescent="0.55000000000000004">
      <c r="A50" s="7400" t="s">
        <v>269</v>
      </c>
      <c r="B50" s="4280" t="s">
        <v>266</v>
      </c>
      <c r="C50" s="4281"/>
      <c r="D50" s="4282">
        <f ca="1">SUM(D54:D58)</f>
        <v>3923.166666666667</v>
      </c>
      <c r="E50" s="4282">
        <f ca="1">SUM(E54:E58)</f>
        <v>3850.5000000000005</v>
      </c>
      <c r="F50" s="4283">
        <f t="shared" ref="F50:V50" ca="1" si="23">SUM(F54:F58)</f>
        <v>3626</v>
      </c>
      <c r="G50" s="4284">
        <f t="shared" ref="G50:R50" ca="1" si="24">SUM(G54:G58)</f>
        <v>4346</v>
      </c>
      <c r="H50" s="4284">
        <f t="shared" ca="1" si="24"/>
        <v>4087</v>
      </c>
      <c r="I50" s="4284">
        <f t="shared" ca="1" si="24"/>
        <v>4135</v>
      </c>
      <c r="J50" s="4284">
        <f t="shared" ca="1" si="24"/>
        <v>4505</v>
      </c>
      <c r="K50" s="4284">
        <f t="shared" ca="1" si="24"/>
        <v>4366</v>
      </c>
      <c r="L50" s="4284">
        <f t="shared" ref="L50:M50" ca="1" si="25">SUM(L54:L58)</f>
        <v>4327</v>
      </c>
      <c r="M50" s="4284">
        <f t="shared" ca="1" si="25"/>
        <v>4307</v>
      </c>
      <c r="N50" s="4284">
        <f t="shared" ref="N50:O50" ca="1" si="26">SUM(N54:N58)</f>
        <v>4355</v>
      </c>
      <c r="O50" s="4284">
        <f t="shared" ca="1" si="26"/>
        <v>4269</v>
      </c>
      <c r="P50" s="4284">
        <f t="shared" ref="P50:Q50" ca="1" si="27">SUM(P54:P58)</f>
        <v>4174</v>
      </c>
      <c r="Q50" s="4284">
        <f t="shared" ca="1" si="27"/>
        <v>4212</v>
      </c>
      <c r="R50" s="4285">
        <f t="shared" ca="1" si="24"/>
        <v>725</v>
      </c>
      <c r="S50" s="4284">
        <f t="shared" ca="1" si="23"/>
        <v>601</v>
      </c>
      <c r="T50" s="4286">
        <f ca="1">R50-S50</f>
        <v>124</v>
      </c>
      <c r="U50" s="4284">
        <f t="shared" si="23"/>
        <v>7689</v>
      </c>
      <c r="V50" s="4284">
        <f t="shared" si="23"/>
        <v>6685</v>
      </c>
      <c r="W50" s="4287">
        <f>U50-V50</f>
        <v>1004</v>
      </c>
      <c r="X50" s="4288"/>
      <c r="Y50" s="4289"/>
      <c r="Z50" s="4290">
        <f>'※ 팀별 작성_인프라_인력'!BK375</f>
        <v>615.02579365079362</v>
      </c>
      <c r="AA50" s="4290">
        <f>'※ 팀별 작성_인프라_인력'!BK409</f>
        <v>79.703619819748994</v>
      </c>
      <c r="AB50" s="4291">
        <f>'※ 팀별 작성_인프라_인력'!BO409</f>
        <v>22.455977524846823</v>
      </c>
      <c r="AC50" s="4292"/>
      <c r="AD50" s="4293"/>
      <c r="AE50" s="4294"/>
      <c r="AF50" s="4047"/>
    </row>
    <row r="51" spans="1:34" hidden="1" x14ac:dyDescent="0.55000000000000004">
      <c r="A51" s="7401"/>
      <c r="B51" s="3635"/>
      <c r="C51" s="2858" t="s">
        <v>278</v>
      </c>
      <c r="D51" s="4295"/>
      <c r="E51" s="4295"/>
      <c r="F51" s="4296"/>
      <c r="G51" s="4297"/>
      <c r="H51" s="4297"/>
      <c r="I51" s="4297"/>
      <c r="J51" s="4297"/>
      <c r="K51" s="4297"/>
      <c r="L51" s="4297"/>
      <c r="M51" s="4297"/>
      <c r="N51" s="4297"/>
      <c r="O51" s="4297"/>
      <c r="P51" s="4297"/>
      <c r="Q51" s="4297"/>
      <c r="R51" s="4298"/>
      <c r="S51" s="4297"/>
      <c r="T51" s="4299">
        <f t="shared" ref="T51:T83" si="28">R51-S51</f>
        <v>0</v>
      </c>
      <c r="U51" s="4297"/>
      <c r="V51" s="4297"/>
      <c r="W51" s="4300">
        <f t="shared" ref="W51:W83" si="29">U51-V51</f>
        <v>0</v>
      </c>
      <c r="X51" s="4301"/>
      <c r="Y51" s="4302"/>
      <c r="Z51" s="4303"/>
      <c r="AA51" s="4303"/>
      <c r="AB51" s="4304"/>
      <c r="AC51" s="4070"/>
      <c r="AD51" s="4068"/>
      <c r="AE51" s="4305"/>
    </row>
    <row r="52" spans="1:34" hidden="1" x14ac:dyDescent="0.55000000000000004">
      <c r="A52" s="7401"/>
      <c r="B52" s="3635"/>
      <c r="C52" s="2858" t="s">
        <v>277</v>
      </c>
      <c r="D52" s="4295"/>
      <c r="E52" s="4295"/>
      <c r="F52" s="4296"/>
      <c r="G52" s="4297"/>
      <c r="H52" s="4297"/>
      <c r="I52" s="4297"/>
      <c r="J52" s="4297"/>
      <c r="K52" s="4297"/>
      <c r="L52" s="4297"/>
      <c r="M52" s="4297"/>
      <c r="N52" s="4297"/>
      <c r="O52" s="4297"/>
      <c r="P52" s="4297"/>
      <c r="Q52" s="4297"/>
      <c r="R52" s="4298"/>
      <c r="S52" s="4297"/>
      <c r="T52" s="4299">
        <f t="shared" si="28"/>
        <v>0</v>
      </c>
      <c r="U52" s="4297"/>
      <c r="V52" s="4297"/>
      <c r="W52" s="4300">
        <f t="shared" si="29"/>
        <v>0</v>
      </c>
      <c r="X52" s="4301"/>
      <c r="Y52" s="4302"/>
      <c r="Z52" s="4303"/>
      <c r="AA52" s="4303"/>
      <c r="AB52" s="4304"/>
      <c r="AC52" s="4070"/>
      <c r="AD52" s="4068"/>
      <c r="AE52" s="4305"/>
    </row>
    <row r="53" spans="1:34" hidden="1" x14ac:dyDescent="0.55000000000000004">
      <c r="A53" s="7401"/>
      <c r="B53" s="3635"/>
      <c r="C53" s="2858" t="s">
        <v>276</v>
      </c>
      <c r="D53" s="4295"/>
      <c r="E53" s="4295"/>
      <c r="F53" s="4296"/>
      <c r="G53" s="4297"/>
      <c r="H53" s="4297"/>
      <c r="I53" s="4297"/>
      <c r="J53" s="4297"/>
      <c r="K53" s="4297"/>
      <c r="L53" s="4297"/>
      <c r="M53" s="4297"/>
      <c r="N53" s="4297"/>
      <c r="O53" s="4297"/>
      <c r="P53" s="4297"/>
      <c r="Q53" s="4297"/>
      <c r="R53" s="4298"/>
      <c r="S53" s="4297"/>
      <c r="T53" s="4299">
        <f t="shared" si="28"/>
        <v>0</v>
      </c>
      <c r="U53" s="4297"/>
      <c r="V53" s="4297"/>
      <c r="W53" s="4300">
        <f t="shared" si="29"/>
        <v>0</v>
      </c>
      <c r="X53" s="4301"/>
      <c r="Y53" s="4302"/>
      <c r="Z53" s="4303"/>
      <c r="AA53" s="4303"/>
      <c r="AB53" s="4304"/>
      <c r="AC53" s="4070"/>
      <c r="AD53" s="4068"/>
      <c r="AE53" s="4305"/>
    </row>
    <row r="54" spans="1:34" ht="16.3" customHeight="1" x14ac:dyDescent="0.55000000000000004">
      <c r="A54" s="7401"/>
      <c r="B54" s="3924" t="s">
        <v>222</v>
      </c>
      <c r="C54" s="3925"/>
      <c r="D54" s="4306" cm="1">
        <f t="array" aca="1" ref="D54" ca="1">INDIRECT("'※ 팀별 작성_인프라_인력'!"&amp;D$1&amp;$AF54, TRUE)</f>
        <v>744.08333333333337</v>
      </c>
      <c r="E54" s="4306" cm="1">
        <f t="array" aca="1" ref="E54" ca="1">INDIRECT("'※ 팀별 작성_인프라_인력'!"&amp;E$1&amp;$AF54, TRUE)</f>
        <v>754.25</v>
      </c>
      <c r="F54" s="4307" cm="1">
        <f t="array" aca="1" ref="F54" ca="1">INDIRECT("'※ 팀별 작성_인프라_인력'!"&amp;F$1&amp;$AF54, TRUE)</f>
        <v>697</v>
      </c>
      <c r="G54" s="4308" cm="1">
        <f t="array" aca="1" ref="G54" ca="1">INDIRECT("'※ 팀별 작성_인프라_인력'!"&amp;G$1&amp;$AF54, TRUE)</f>
        <v>845</v>
      </c>
      <c r="H54" s="4308" cm="1">
        <f t="array" aca="1" ref="H54" ca="1">INDIRECT("'※ 팀별 작성_인프라_인력'!"&amp;H$1&amp;$AF54, TRUE)</f>
        <v>768</v>
      </c>
      <c r="I54" s="4308" cm="1">
        <f t="array" aca="1" ref="I54" ca="1">INDIRECT("'※ 팀별 작성_인프라_인력'!"&amp;I$1&amp;$AF54, TRUE)</f>
        <v>785</v>
      </c>
      <c r="J54" s="4308" cm="1">
        <f t="array" aca="1" ref="J54" ca="1">INDIRECT("'※ 팀별 작성_인프라_인력'!"&amp;J$1&amp;$AF54, TRUE)</f>
        <v>829</v>
      </c>
      <c r="K54" s="4308" cm="1">
        <f t="array" aca="1" ref="K54" ca="1">INDIRECT("'※ 팀별 작성_인프라_인력'!"&amp;K$1&amp;$AF54, TRUE)</f>
        <v>774</v>
      </c>
      <c r="L54" s="4308" cm="1">
        <f t="array" aca="1" ref="L54" ca="1">INDIRECT("'※ 팀별 작성_인프라_인력'!"&amp;L$1&amp;$AF54, TRUE)</f>
        <v>817</v>
      </c>
      <c r="M54" s="4308" cm="1">
        <f t="array" aca="1" ref="M54" ca="1">INDIRECT("'※ 팀별 작성_인프라_인력'!"&amp;M$1&amp;$AF54, TRUE)</f>
        <v>796</v>
      </c>
      <c r="N54" s="4308" cm="1">
        <f t="array" aca="1" ref="N54" ca="1">INDIRECT("'※ 팀별 작성_인프라_인력'!"&amp;N$1&amp;$AF54, TRUE)</f>
        <v>844</v>
      </c>
      <c r="O54" s="4308" cm="1">
        <f t="array" aca="1" ref="O54" ca="1">INDIRECT("'※ 팀별 작성_인프라_인력'!"&amp;O$1&amp;$AF54, TRUE)</f>
        <v>798</v>
      </c>
      <c r="P54" s="4308" cm="1">
        <f t="array" aca="1" ref="P54" ca="1">INDIRECT("'※ 팀별 작성_인프라_인력'!"&amp;P$1&amp;$AF54, TRUE)</f>
        <v>790</v>
      </c>
      <c r="Q54" s="4308" cm="1">
        <f t="array" aca="1" ref="Q54" ca="1">INDIRECT("'※ 팀별 작성_인프라_인력'!"&amp;Q$1&amp;$AF54, TRUE)</f>
        <v>810</v>
      </c>
      <c r="R54" s="4309" cm="1">
        <f t="array" aca="1" ref="R54" ca="1">INDIRECT("'※ 팀별 작성_인프라_인력'!"&amp;R$1&amp;$AG54, TRUE)</f>
        <v>192</v>
      </c>
      <c r="S54" s="4308" cm="1">
        <f t="array" aca="1" ref="S54" ca="1">INDIRECT("'※ 팀별 작성_인프라_인력'!"&amp;S$1&amp;$AH54, TRUE)</f>
        <v>88</v>
      </c>
      <c r="T54" s="4310">
        <f t="shared" ca="1" si="28"/>
        <v>104</v>
      </c>
      <c r="U54" s="4308">
        <f>SUM(U59:U60)</f>
        <v>1793</v>
      </c>
      <c r="V54" s="4308">
        <f>SUM(V59:V60)</f>
        <v>1148</v>
      </c>
      <c r="W54" s="4308">
        <f t="shared" si="29"/>
        <v>645</v>
      </c>
      <c r="X54" s="4311"/>
      <c r="Y54" s="4312"/>
      <c r="Z54" s="4313">
        <f>'※ 팀별 작성_인프라_인력'!BK379</f>
        <v>495.74999999999994</v>
      </c>
      <c r="AA54" s="4314">
        <f>'※ 팀별 작성_인프라_인력'!BK413</f>
        <v>66.884982867510999</v>
      </c>
      <c r="AB54" s="4315">
        <f>'※ 팀별 작성_인프라_인력'!BO413</f>
        <v>11.413629809224844</v>
      </c>
      <c r="AC54" s="4070"/>
      <c r="AD54" s="4068"/>
      <c r="AE54" s="4305"/>
      <c r="AF54" s="4047">
        <f>ROW('※ 팀별 작성_인프라_인력'!AH242)</f>
        <v>242</v>
      </c>
      <c r="AG54" s="4036">
        <f>ROW('※ 팀별 작성_인프라_인력'!AI276)</f>
        <v>276</v>
      </c>
      <c r="AH54" s="4036">
        <f>ROW('※ 팀별 작성_인프라_인력'!AJ310)</f>
        <v>310</v>
      </c>
    </row>
    <row r="55" spans="1:34" ht="16.3" customHeight="1" x14ac:dyDescent="0.55000000000000004">
      <c r="A55" s="7401"/>
      <c r="B55" s="3934" t="s">
        <v>223</v>
      </c>
      <c r="C55" s="2655"/>
      <c r="D55" s="4316" cm="1">
        <f t="array" aca="1" ref="D55" ca="1">INDIRECT("'※ 팀별 작성_인프라_인력'!"&amp;D$1&amp;$AF55, TRUE)</f>
        <v>533.08333333333337</v>
      </c>
      <c r="E55" s="4316" cm="1">
        <f t="array" aca="1" ref="E55" ca="1">INDIRECT("'※ 팀별 작성_인프라_인력'!"&amp;E$1&amp;$AF55, TRUE)</f>
        <v>488.91666666666669</v>
      </c>
      <c r="F55" s="4317" cm="1">
        <f t="array" aca="1" ref="F55" ca="1">INDIRECT("'※ 팀별 작성_인프라_인력'!"&amp;F$1&amp;$AF55, TRUE)</f>
        <v>408</v>
      </c>
      <c r="G55" s="4318" cm="1">
        <f t="array" aca="1" ref="G55" ca="1">INDIRECT("'※ 팀별 작성_인프라_인력'!"&amp;G$1&amp;$AF55, TRUE)</f>
        <v>567</v>
      </c>
      <c r="H55" s="4318" cm="1">
        <f t="array" aca="1" ref="H55" ca="1">INDIRECT("'※ 팀별 작성_인프라_인력'!"&amp;H$1&amp;$AF55, TRUE)</f>
        <v>531</v>
      </c>
      <c r="I55" s="4318" cm="1">
        <f t="array" aca="1" ref="I55" ca="1">INDIRECT("'※ 팀별 작성_인프라_인력'!"&amp;I$1&amp;$AF55, TRUE)</f>
        <v>467</v>
      </c>
      <c r="J55" s="4318" cm="1">
        <f t="array" aca="1" ref="J55" ca="1">INDIRECT("'※ 팀별 작성_인프라_인력'!"&amp;J$1&amp;$AF55, TRUE)</f>
        <v>536</v>
      </c>
      <c r="K55" s="4318" cm="1">
        <f t="array" aca="1" ref="K55" ca="1">INDIRECT("'※ 팀별 작성_인프라_인력'!"&amp;K$1&amp;$AF55, TRUE)</f>
        <v>516</v>
      </c>
      <c r="L55" s="4318" cm="1">
        <f t="array" aca="1" ref="L55" ca="1">INDIRECT("'※ 팀별 작성_인프라_인력'!"&amp;L$1&amp;$AF55, TRUE)</f>
        <v>505</v>
      </c>
      <c r="M55" s="4318" cm="1">
        <f t="array" aca="1" ref="M55" ca="1">INDIRECT("'※ 팀별 작성_인프라_인력'!"&amp;M$1&amp;$AF55, TRUE)</f>
        <v>537</v>
      </c>
      <c r="N55" s="4318" cm="1">
        <f t="array" aca="1" ref="N55" ca="1">INDIRECT("'※ 팀별 작성_인프라_인력'!"&amp;N$1&amp;$AF55, TRUE)</f>
        <v>536</v>
      </c>
      <c r="O55" s="4318" cm="1">
        <f t="array" aca="1" ref="O55" ca="1">INDIRECT("'※ 팀별 작성_인프라_인력'!"&amp;O$1&amp;$AF55, TRUE)</f>
        <v>539</v>
      </c>
      <c r="P55" s="4318" cm="1">
        <f t="array" aca="1" ref="P55" ca="1">INDIRECT("'※ 팀별 작성_인프라_인력'!"&amp;P$1&amp;$AF55, TRUE)</f>
        <v>556</v>
      </c>
      <c r="Q55" s="4318" cm="1">
        <f t="array" aca="1" ref="Q55" ca="1">INDIRECT("'※ 팀별 작성_인프라_인력'!"&amp;Q$1&amp;$AF55, TRUE)</f>
        <v>554</v>
      </c>
      <c r="R55" s="4319" cm="1">
        <f t="array" aca="1" ref="R55" ca="1">INDIRECT("'※ 팀별 작성_인프라_인력'!"&amp;R$1&amp;$AG55, TRUE)</f>
        <v>70</v>
      </c>
      <c r="S55" s="4318" cm="1">
        <f t="array" aca="1" ref="S55" ca="1">INDIRECT("'※ 팀별 작성_인프라_인력'!"&amp;S$1&amp;$AH55, TRUE)</f>
        <v>72</v>
      </c>
      <c r="T55" s="4320">
        <f t="shared" ca="1" si="28"/>
        <v>-2</v>
      </c>
      <c r="U55" s="4318">
        <f>U61</f>
        <v>927</v>
      </c>
      <c r="V55" s="4318">
        <f>V61</f>
        <v>809</v>
      </c>
      <c r="W55" s="4318">
        <f t="shared" si="29"/>
        <v>118</v>
      </c>
      <c r="X55" s="4311"/>
      <c r="Y55" s="4312"/>
      <c r="Z55" s="4096">
        <f>'※ 팀별 작성_인프라_인력'!BK380</f>
        <v>531.18055555555554</v>
      </c>
      <c r="AA55" s="4097">
        <f>'※ 팀별 작성_인프라_인력'!BK414</f>
        <v>71.55081930466703</v>
      </c>
      <c r="AB55" s="4321">
        <f>'※ 팀별 작성_인프라_인력'!BO414</f>
        <v>14.874434217673134</v>
      </c>
      <c r="AC55" s="4070"/>
      <c r="AD55" s="4068"/>
      <c r="AE55" s="4305"/>
      <c r="AF55" s="4047">
        <f>ROW('※ 팀별 작성_인프라_인력'!AH243)</f>
        <v>243</v>
      </c>
      <c r="AG55" s="4036">
        <f>ROW('※ 팀별 작성_인프라_인력'!AI277)</f>
        <v>277</v>
      </c>
      <c r="AH55" s="4036">
        <f>ROW('※ 팀별 작성_인프라_인력'!AJ311)</f>
        <v>311</v>
      </c>
    </row>
    <row r="56" spans="1:34" ht="16.3" customHeight="1" x14ac:dyDescent="0.55000000000000004">
      <c r="A56" s="7401"/>
      <c r="B56" s="3934" t="s">
        <v>224</v>
      </c>
      <c r="C56" s="2655"/>
      <c r="D56" s="4316" cm="1">
        <f t="array" aca="1" ref="D56" ca="1">INDIRECT("'※ 팀별 작성_인프라_인력'!"&amp;D$1&amp;$AF56, TRUE)</f>
        <v>627.08333333333337</v>
      </c>
      <c r="E56" s="4316" cm="1">
        <f t="array" aca="1" ref="E56" ca="1">INDIRECT("'※ 팀별 작성_인프라_인력'!"&amp;E$1&amp;$AF56, TRUE)</f>
        <v>580.75</v>
      </c>
      <c r="F56" s="4317" cm="1">
        <f t="array" aca="1" ref="F56" ca="1">INDIRECT("'※ 팀별 작성_인프라_인력'!"&amp;F$1&amp;$AF56, TRUE)</f>
        <v>521</v>
      </c>
      <c r="G56" s="4318" cm="1">
        <f t="array" aca="1" ref="G56" ca="1">INDIRECT("'※ 팀별 작성_인프라_인력'!"&amp;G$1&amp;$AF56, TRUE)</f>
        <v>664</v>
      </c>
      <c r="H56" s="4318" cm="1">
        <f t="array" aca="1" ref="H56" ca="1">INDIRECT("'※ 팀별 작성_인프라_인력'!"&amp;H$1&amp;$AF56, TRUE)</f>
        <v>595</v>
      </c>
      <c r="I56" s="4318" cm="1">
        <f t="array" aca="1" ref="I56" ca="1">INDIRECT("'※ 팀별 작성_인프라_인력'!"&amp;I$1&amp;$AF56, TRUE)</f>
        <v>600</v>
      </c>
      <c r="J56" s="4318" cm="1">
        <f t="array" aca="1" ref="J56" ca="1">INDIRECT("'※ 팀별 작성_인프라_인력'!"&amp;J$1&amp;$AF56, TRUE)</f>
        <v>671</v>
      </c>
      <c r="K56" s="4318" cm="1">
        <f t="array" aca="1" ref="K56" ca="1">INDIRECT("'※ 팀별 작성_인프라_인력'!"&amp;K$1&amp;$AF56, TRUE)</f>
        <v>630</v>
      </c>
      <c r="L56" s="4318" cm="1">
        <f t="array" aca="1" ref="L56" ca="1">INDIRECT("'※ 팀별 작성_인프라_인력'!"&amp;L$1&amp;$AF56, TRUE)</f>
        <v>628</v>
      </c>
      <c r="M56" s="4318" cm="1">
        <f t="array" aca="1" ref="M56" ca="1">INDIRECT("'※ 팀별 작성_인프라_인력'!"&amp;M$1&amp;$AF56, TRUE)</f>
        <v>642</v>
      </c>
      <c r="N56" s="4318" cm="1">
        <f t="array" aca="1" ref="N56" ca="1">INDIRECT("'※ 팀별 작성_인프라_인력'!"&amp;N$1&amp;$AF56, TRUE)</f>
        <v>616</v>
      </c>
      <c r="O56" s="4318" cm="1">
        <f t="array" aca="1" ref="O56" ca="1">INDIRECT("'※ 팀별 작성_인프라_인력'!"&amp;O$1&amp;$AF56, TRUE)</f>
        <v>592</v>
      </c>
      <c r="P56" s="4318" cm="1">
        <f t="array" aca="1" ref="P56" ca="1">INDIRECT("'※ 팀별 작성_인프라_인력'!"&amp;P$1&amp;$AF56, TRUE)</f>
        <v>588</v>
      </c>
      <c r="Q56" s="4318" cm="1">
        <f t="array" aca="1" ref="Q56" ca="1">INDIRECT("'※ 팀별 작성_인프라_인력'!"&amp;Q$1&amp;$AF56, TRUE)</f>
        <v>611</v>
      </c>
      <c r="R56" s="4319" cm="1">
        <f t="array" aca="1" ref="R56" ca="1">INDIRECT("'※ 팀별 작성_인프라_인력'!"&amp;R$1&amp;$AG56, TRUE)</f>
        <v>115</v>
      </c>
      <c r="S56" s="4318" cm="1">
        <f t="array" aca="1" ref="S56" ca="1">INDIRECT("'※ 팀별 작성_인프라_인력'!"&amp;S$1&amp;$AH56, TRUE)</f>
        <v>92</v>
      </c>
      <c r="T56" s="4320">
        <f ca="1">R56-S56</f>
        <v>23</v>
      </c>
      <c r="U56" s="4318">
        <f>U62</f>
        <v>1273</v>
      </c>
      <c r="V56" s="4318">
        <f>V62</f>
        <v>1194</v>
      </c>
      <c r="W56" s="4318">
        <f t="shared" si="29"/>
        <v>79</v>
      </c>
      <c r="X56" s="4311"/>
      <c r="Y56" s="4312"/>
      <c r="Z56" s="4096">
        <f>'※ 팀별 작성_인프라_인력'!BK381</f>
        <v>567.75</v>
      </c>
      <c r="AA56" s="4097">
        <f>'※ 팀별 작성_인프라_인력'!BK415</f>
        <v>79.681822067950122</v>
      </c>
      <c r="AB56" s="4321">
        <f>'※ 팀별 작성_인프라_인력'!BO415</f>
        <v>21.041769418480165</v>
      </c>
      <c r="AC56" s="4070"/>
      <c r="AD56" s="4068"/>
      <c r="AE56" s="4305"/>
      <c r="AF56" s="4047">
        <f>ROW('※ 팀별 작성_인프라_인력'!AH244)</f>
        <v>244</v>
      </c>
      <c r="AG56" s="4036">
        <f>ROW('※ 팀별 작성_인프라_인력'!AI278)</f>
        <v>278</v>
      </c>
      <c r="AH56" s="4036">
        <f>ROW('※ 팀별 작성_인프라_인력'!AJ312)</f>
        <v>312</v>
      </c>
    </row>
    <row r="57" spans="1:34" ht="16.3" customHeight="1" x14ac:dyDescent="0.55000000000000004">
      <c r="A57" s="7401"/>
      <c r="B57" s="3934" t="s">
        <v>225</v>
      </c>
      <c r="C57" s="2655"/>
      <c r="D57" s="4316" cm="1">
        <f t="array" aca="1" ref="D57" ca="1">INDIRECT("'※ 팀별 작성_인프라_인력'!"&amp;D$1&amp;$AF57, TRUE)</f>
        <v>993.08333333333337</v>
      </c>
      <c r="E57" s="4316" cm="1">
        <f t="array" aca="1" ref="E57" ca="1">INDIRECT("'※ 팀별 작성_인프라_인력'!"&amp;E$1&amp;$AF57, TRUE)</f>
        <v>1040.5</v>
      </c>
      <c r="F57" s="4317" cm="1">
        <f t="array" aca="1" ref="F57" ca="1">INDIRECT("'※ 팀별 작성_인프라_인력'!"&amp;F$1&amp;$AF57, TRUE)</f>
        <v>1089</v>
      </c>
      <c r="G57" s="4318" cm="1">
        <f t="array" aca="1" ref="G57" ca="1">INDIRECT("'※ 팀별 작성_인프라_인력'!"&amp;G$1&amp;$AF57, TRUE)</f>
        <v>1230</v>
      </c>
      <c r="H57" s="4318" cm="1">
        <f t="array" aca="1" ref="H57" ca="1">INDIRECT("'※ 팀별 작성_인프라_인력'!"&amp;H$1&amp;$AF57, TRUE)</f>
        <v>1195</v>
      </c>
      <c r="I57" s="4318" cm="1">
        <f t="array" aca="1" ref="I57" ca="1">INDIRECT("'※ 팀별 작성_인프라_인력'!"&amp;I$1&amp;$AF57, TRUE)</f>
        <v>1264</v>
      </c>
      <c r="J57" s="4318" cm="1">
        <f t="array" aca="1" ref="J57" ca="1">INDIRECT("'※ 팀별 작성_인프라_인력'!"&amp;J$1&amp;$AF57, TRUE)</f>
        <v>1394</v>
      </c>
      <c r="K57" s="4318" cm="1">
        <f t="array" aca="1" ref="K57" ca="1">INDIRECT("'※ 팀별 작성_인프라_인력'!"&amp;K$1&amp;$AF57, TRUE)</f>
        <v>1401</v>
      </c>
      <c r="L57" s="4318" cm="1">
        <f t="array" aca="1" ref="L57" ca="1">INDIRECT("'※ 팀별 작성_인프라_인력'!"&amp;L$1&amp;$AF57, TRUE)</f>
        <v>1369</v>
      </c>
      <c r="M57" s="4318" cm="1">
        <f t="array" aca="1" ref="M57" ca="1">INDIRECT("'※ 팀별 작성_인프라_인력'!"&amp;M$1&amp;$AF57, TRUE)</f>
        <v>1312</v>
      </c>
      <c r="N57" s="4318" cm="1">
        <f t="array" aca="1" ref="N57" ca="1">INDIRECT("'※ 팀별 작성_인프라_인력'!"&amp;N$1&amp;$AF57, TRUE)</f>
        <v>1335</v>
      </c>
      <c r="O57" s="4318" cm="1">
        <f t="array" aca="1" ref="O57" ca="1">INDIRECT("'※ 팀별 작성_인프라_인력'!"&amp;O$1&amp;$AF57, TRUE)</f>
        <v>1313</v>
      </c>
      <c r="P57" s="4318" cm="1">
        <f t="array" aca="1" ref="P57" ca="1">INDIRECT("'※ 팀별 작성_인프라_인력'!"&amp;P$1&amp;$AF57, TRUE)</f>
        <v>1224</v>
      </c>
      <c r="Q57" s="4318" cm="1">
        <f t="array" aca="1" ref="Q57" ca="1">INDIRECT("'※ 팀별 작성_인프라_인력'!"&amp;Q$1&amp;$AF57, TRUE)</f>
        <v>1269</v>
      </c>
      <c r="R57" s="4319" cm="1">
        <f t="array" aca="1" ref="R57" ca="1">INDIRECT("'※ 팀별 작성_인프라_인력'!"&amp;R$1&amp;$AG57, TRUE)</f>
        <v>255</v>
      </c>
      <c r="S57" s="4318" cm="1">
        <f t="array" aca="1" ref="S57" ca="1">INDIRECT("'※ 팀별 작성_인프라_인력'!"&amp;S$1&amp;$AH57, TRUE)</f>
        <v>211</v>
      </c>
      <c r="T57" s="4320">
        <f t="shared" ca="1" si="28"/>
        <v>44</v>
      </c>
      <c r="U57" s="4318">
        <f>SUM(U63:U64)</f>
        <v>2542</v>
      </c>
      <c r="V57" s="4318">
        <f>SUM(V63:V64)</f>
        <v>2366</v>
      </c>
      <c r="W57" s="4318">
        <f t="shared" si="29"/>
        <v>176</v>
      </c>
      <c r="X57" s="4311"/>
      <c r="Y57" s="4312"/>
      <c r="Z57" s="4096">
        <f>'※ 팀별 작성_인프라_인력'!BK382</f>
        <v>780.37121212121212</v>
      </c>
      <c r="AA57" s="4097">
        <f>'※ 팀별 작성_인프라_인력'!BK416</f>
        <v>87.39783712677449</v>
      </c>
      <c r="AB57" s="4321">
        <f>'※ 팀별 작성_인프라_인력'!BO416</f>
        <v>34.832259960364368</v>
      </c>
      <c r="AC57" s="4070"/>
      <c r="AD57" s="4068"/>
      <c r="AE57" s="4305"/>
      <c r="AF57" s="4047">
        <f>ROW('※ 팀별 작성_인프라_인력'!AH245)</f>
        <v>245</v>
      </c>
      <c r="AG57" s="4036">
        <f>ROW('※ 팀별 작성_인프라_인력'!AI279)</f>
        <v>279</v>
      </c>
      <c r="AH57" s="4036">
        <f>ROW('※ 팀별 작성_인프라_인력'!AJ313)</f>
        <v>313</v>
      </c>
    </row>
    <row r="58" spans="1:34" ht="16.3" customHeight="1" x14ac:dyDescent="0.55000000000000004">
      <c r="A58" s="7401"/>
      <c r="B58" s="3940" t="s">
        <v>226</v>
      </c>
      <c r="C58" s="3941"/>
      <c r="D58" s="4322" cm="1">
        <f t="array" aca="1" ref="D58" ca="1">INDIRECT("'※ 팀별 작성_인프라_인력'!"&amp;D$1&amp;$AF58, TRUE)</f>
        <v>1025.8333333333333</v>
      </c>
      <c r="E58" s="4322" cm="1">
        <f t="array" aca="1" ref="E58" ca="1">INDIRECT("'※ 팀별 작성_인프라_인력'!"&amp;E$1&amp;$AF58, TRUE)</f>
        <v>986.08333333333337</v>
      </c>
      <c r="F58" s="4323" cm="1">
        <f t="array" aca="1" ref="F58" ca="1">INDIRECT("'※ 팀별 작성_인프라_인력'!"&amp;F$1&amp;$AF58, TRUE)</f>
        <v>911</v>
      </c>
      <c r="G58" s="4324" cm="1">
        <f t="array" aca="1" ref="G58" ca="1">INDIRECT("'※ 팀별 작성_인프라_인력'!"&amp;G$1&amp;$AF58, TRUE)</f>
        <v>1040</v>
      </c>
      <c r="H58" s="4324" cm="1">
        <f t="array" aca="1" ref="H58" ca="1">INDIRECT("'※ 팀별 작성_인프라_인력'!"&amp;H$1&amp;$AF58, TRUE)</f>
        <v>998</v>
      </c>
      <c r="I58" s="4324" cm="1">
        <f t="array" aca="1" ref="I58" ca="1">INDIRECT("'※ 팀별 작성_인프라_인력'!"&amp;I$1&amp;$AF58, TRUE)</f>
        <v>1019</v>
      </c>
      <c r="J58" s="4324" cm="1">
        <f t="array" aca="1" ref="J58" ca="1">INDIRECT("'※ 팀별 작성_인프라_인력'!"&amp;J$1&amp;$AF58, TRUE)</f>
        <v>1075</v>
      </c>
      <c r="K58" s="4324" cm="1">
        <f t="array" aca="1" ref="K58" ca="1">INDIRECT("'※ 팀별 작성_인프라_인력'!"&amp;K$1&amp;$AF58, TRUE)</f>
        <v>1045</v>
      </c>
      <c r="L58" s="4324" cm="1">
        <f t="array" aca="1" ref="L58" ca="1">INDIRECT("'※ 팀별 작성_인프라_인력'!"&amp;L$1&amp;$AF58, TRUE)</f>
        <v>1008</v>
      </c>
      <c r="M58" s="4324" cm="1">
        <f t="array" aca="1" ref="M58" ca="1">INDIRECT("'※ 팀별 작성_인프라_인력'!"&amp;M$1&amp;$AF58, TRUE)</f>
        <v>1020</v>
      </c>
      <c r="N58" s="4324" cm="1">
        <f t="array" aca="1" ref="N58" ca="1">INDIRECT("'※ 팀별 작성_인프라_인력'!"&amp;N$1&amp;$AF58, TRUE)</f>
        <v>1024</v>
      </c>
      <c r="O58" s="4324" cm="1">
        <f t="array" aca="1" ref="O58" ca="1">INDIRECT("'※ 팀별 작성_인프라_인력'!"&amp;O$1&amp;$AF58, TRUE)</f>
        <v>1027</v>
      </c>
      <c r="P58" s="4324" cm="1">
        <f t="array" aca="1" ref="P58" ca="1">INDIRECT("'※ 팀별 작성_인프라_인력'!"&amp;P$1&amp;$AF58, TRUE)</f>
        <v>1016</v>
      </c>
      <c r="Q58" s="4324" cm="1">
        <f t="array" aca="1" ref="Q58" ca="1">INDIRECT("'※ 팀별 작성_인프라_인력'!"&amp;Q$1&amp;$AF58, TRUE)</f>
        <v>968</v>
      </c>
      <c r="R58" s="4325" cm="1">
        <f t="array" aca="1" ref="R58" ca="1">INDIRECT("'※ 팀별 작성_인프라_인력'!"&amp;R$1&amp;$AG58, TRUE)</f>
        <v>93</v>
      </c>
      <c r="S58" s="4324" cm="1">
        <f t="array" aca="1" ref="S58" ca="1">INDIRECT("'※ 팀별 작성_인프라_인력'!"&amp;S$1&amp;$AH58, TRUE)</f>
        <v>138</v>
      </c>
      <c r="T58" s="4326">
        <f t="shared" ca="1" si="28"/>
        <v>-45</v>
      </c>
      <c r="U58" s="4324">
        <f>SUM(U65:U66)</f>
        <v>1154</v>
      </c>
      <c r="V58" s="4324">
        <f>SUM(V65:V66)</f>
        <v>1168</v>
      </c>
      <c r="W58" s="4324">
        <f t="shared" si="29"/>
        <v>-14</v>
      </c>
      <c r="X58" s="4311"/>
      <c r="Y58" s="4312"/>
      <c r="Z58" s="4327">
        <f>'※ 팀별 작성_인프라_인력'!BK383</f>
        <v>619.16666666666663</v>
      </c>
      <c r="AA58" s="4328">
        <f>'※ 팀별 작성_인프라_인력'!BK417</f>
        <v>86.794552122149227</v>
      </c>
      <c r="AB58" s="4329">
        <f>'※ 팀별 작성_인프라_인력'!BO417</f>
        <v>22.725859832360044</v>
      </c>
      <c r="AC58" s="4070"/>
      <c r="AD58" s="4068"/>
      <c r="AE58" s="4305"/>
      <c r="AF58" s="4047">
        <f>ROW('※ 팀별 작성_인프라_인력'!AH246)</f>
        <v>246</v>
      </c>
      <c r="AG58" s="4036">
        <f>ROW('※ 팀별 작성_인프라_인력'!AI280)</f>
        <v>280</v>
      </c>
      <c r="AH58" s="4036">
        <f>ROW('※ 팀별 작성_인프라_인력'!AJ314)</f>
        <v>314</v>
      </c>
    </row>
    <row r="59" spans="1:34" ht="16.3" customHeight="1" x14ac:dyDescent="0.55000000000000004">
      <c r="A59" s="7401"/>
      <c r="B59" s="4330"/>
      <c r="C59" s="4331" t="s">
        <v>242</v>
      </c>
      <c r="D59" s="4332" cm="1">
        <f t="array" aca="1" ref="D59" ca="1">INDIRECT("'※ 팀별 작성_인프라_인력'!"&amp;D$1&amp;$AF59, TRUE)</f>
        <v>536.41666666666663</v>
      </c>
      <c r="E59" s="4332" cm="1">
        <f t="array" aca="1" ref="E59" ca="1">INDIRECT("'※ 팀별 작성_인프라_인력'!"&amp;E$1&amp;$AF59, TRUE)</f>
        <v>540.91666666666663</v>
      </c>
      <c r="F59" s="4333" cm="1">
        <f t="array" aca="1" ref="F59" ca="1">INDIRECT("'※ 팀별 작성_인프라_인력'!"&amp;F$1&amp;$AF59, TRUE)</f>
        <v>503</v>
      </c>
      <c r="G59" s="4334" cm="1">
        <f t="array" aca="1" ref="G59" ca="1">INDIRECT("'※ 팀별 작성_인프라_인력'!"&amp;G$1&amp;$AF59, TRUE)</f>
        <v>601</v>
      </c>
      <c r="H59" s="4334" cm="1">
        <f t="array" aca="1" ref="H59" ca="1">INDIRECT("'※ 팀별 작성_인프라_인력'!"&amp;H$1&amp;$AF59, TRUE)</f>
        <v>549</v>
      </c>
      <c r="I59" s="4334" cm="1">
        <f t="array" aca="1" ref="I59" ca="1">INDIRECT("'※ 팀별 작성_인프라_인력'!"&amp;I$1&amp;$AF59, TRUE)</f>
        <v>556</v>
      </c>
      <c r="J59" s="4334" cm="1">
        <f t="array" aca="1" ref="J59" ca="1">INDIRECT("'※ 팀별 작성_인프라_인력'!"&amp;J$1&amp;$AF59, TRUE)</f>
        <v>589</v>
      </c>
      <c r="K59" s="4334" cm="1">
        <f t="array" aca="1" ref="K59" ca="1">INDIRECT("'※ 팀별 작성_인프라_인력'!"&amp;K$1&amp;$AF59, TRUE)</f>
        <v>554</v>
      </c>
      <c r="L59" s="4334" cm="1">
        <f t="array" aca="1" ref="L59" ca="1">INDIRECT("'※ 팀별 작성_인프라_인력'!"&amp;L$1&amp;$AF59, TRUE)</f>
        <v>817</v>
      </c>
      <c r="M59" s="4334" cm="1">
        <f t="array" aca="1" ref="M59" ca="1">INDIRECT("'※ 팀별 작성_인프라_인력'!"&amp;M$1&amp;$AF59, TRUE)</f>
        <v>796</v>
      </c>
      <c r="N59" s="4334" cm="1">
        <f t="array" aca="1" ref="N59" ca="1">INDIRECT("'※ 팀별 작성_인프라_인력'!"&amp;N$1&amp;$AF59, TRUE)</f>
        <v>844</v>
      </c>
      <c r="O59" s="4334" cm="1">
        <f t="array" aca="1" ref="O59" ca="1">INDIRECT("'※ 팀별 작성_인프라_인력'!"&amp;O$1&amp;$AF59, TRUE)</f>
        <v>798</v>
      </c>
      <c r="P59" s="4334" cm="1">
        <f t="array" aca="1" ref="P59" ca="1">INDIRECT("'※ 팀별 작성_인프라_인력'!"&amp;P$1&amp;$AF59, TRUE)</f>
        <v>790</v>
      </c>
      <c r="Q59" s="4334" cm="1">
        <f t="array" aca="1" ref="Q59" ca="1">INDIRECT("'※ 팀별 작성_인프라_인력'!"&amp;Q$1&amp;$AF59, TRUE)</f>
        <v>810</v>
      </c>
      <c r="R59" s="4335" cm="1">
        <f t="array" aca="1" ref="R59" ca="1">INDIRECT("'※ 팀별 작성_인프라_인력'!"&amp;R$1&amp;$AG59, TRUE)</f>
        <v>192</v>
      </c>
      <c r="S59" s="4334" cm="1">
        <f t="array" aca="1" ref="S59" ca="1">INDIRECT("'※ 팀별 작성_인프라_인력'!"&amp;S$1&amp;$AH59, TRUE)</f>
        <v>88</v>
      </c>
      <c r="T59" s="4336">
        <f t="shared" ca="1" si="28"/>
        <v>104</v>
      </c>
      <c r="U59" s="4334">
        <f>'※ 팀별 작성_인프라_인력'!BJ281</f>
        <v>1598</v>
      </c>
      <c r="V59" s="4334">
        <f>'※ 팀별 작성_인프라_인력'!BJ315</f>
        <v>969</v>
      </c>
      <c r="W59" s="4337">
        <f t="shared" si="29"/>
        <v>629</v>
      </c>
      <c r="X59" s="4301"/>
      <c r="Y59" s="4302"/>
      <c r="Z59" s="4338">
        <f>'※ 팀별 작성_인프라_인력'!BK384</f>
        <v>505.99537037037038</v>
      </c>
      <c r="AA59" s="4338">
        <f>'※ 팀별 작성_인프라_인력'!BK418</f>
        <v>67.461150618044712</v>
      </c>
      <c r="AB59" s="4339">
        <f>'※ 팀별 작성_인프라_인력'!BO418</f>
        <v>9.7101582027570785</v>
      </c>
      <c r="AC59" s="4070"/>
      <c r="AD59" s="4068"/>
      <c r="AE59" s="4305"/>
      <c r="AF59" s="4047">
        <f>ROW('※ 팀별 작성_인프라_인력'!AH247)</f>
        <v>247</v>
      </c>
      <c r="AG59" s="4036">
        <f>ROW('※ 팀별 작성_인프라_인력'!AI281)</f>
        <v>281</v>
      </c>
      <c r="AH59" s="4036">
        <f>ROW('※ 팀별 작성_인프라_인력'!AJ315)</f>
        <v>315</v>
      </c>
    </row>
    <row r="60" spans="1:34" ht="16.3" customHeight="1" x14ac:dyDescent="0.55000000000000004">
      <c r="A60" s="7401"/>
      <c r="B60" s="4340"/>
      <c r="C60" s="2885" t="s">
        <v>243</v>
      </c>
      <c r="D60" s="4341" cm="1">
        <f t="array" aca="1" ref="D60" ca="1">INDIRECT("'※ 팀별 작성_인프라_인력'!"&amp;D$1&amp;$AF60, TRUE)</f>
        <v>207.66666666666666</v>
      </c>
      <c r="E60" s="4341" cm="1">
        <f t="array" aca="1" ref="E60" ca="1">INDIRECT("'※ 팀별 작성_인프라_인력'!"&amp;E$1&amp;$AF60, TRUE)</f>
        <v>213.33333333333334</v>
      </c>
      <c r="F60" s="4342" cm="1">
        <f t="array" aca="1" ref="F60" ca="1">INDIRECT("'※ 팀별 작성_인프라_인력'!"&amp;F$1&amp;$AF60, TRUE)</f>
        <v>194</v>
      </c>
      <c r="G60" s="4343" cm="1">
        <f t="array" aca="1" ref="G60" ca="1">INDIRECT("'※ 팀별 작성_인프라_인력'!"&amp;G$1&amp;$AF60, TRUE)</f>
        <v>244</v>
      </c>
      <c r="H60" s="4343" cm="1">
        <f t="array" aca="1" ref="H60" ca="1">INDIRECT("'※ 팀별 작성_인프라_인력'!"&amp;H$1&amp;$AF60, TRUE)</f>
        <v>219</v>
      </c>
      <c r="I60" s="4343" cm="1">
        <f t="array" aca="1" ref="I60" ca="1">INDIRECT("'※ 팀별 작성_인프라_인력'!"&amp;I$1&amp;$AF60, TRUE)</f>
        <v>229</v>
      </c>
      <c r="J60" s="4343" cm="1">
        <f t="array" aca="1" ref="J60" ca="1">INDIRECT("'※ 팀별 작성_인프라_인력'!"&amp;J$1&amp;$AF60, TRUE)</f>
        <v>240</v>
      </c>
      <c r="K60" s="4343" cm="1">
        <f t="array" aca="1" ref="K60" ca="1">INDIRECT("'※ 팀별 작성_인프라_인력'!"&amp;K$1&amp;$AF60, TRUE)</f>
        <v>220</v>
      </c>
      <c r="L60" s="4344"/>
      <c r="M60" s="4344"/>
      <c r="N60" s="4344"/>
      <c r="O60" s="4344"/>
      <c r="P60" s="4344"/>
      <c r="Q60" s="4344"/>
      <c r="R60" s="4345"/>
      <c r="S60" s="4344"/>
      <c r="T60" s="4346"/>
      <c r="U60" s="4343">
        <f>'※ 팀별 작성_인프라_인력'!BJ282</f>
        <v>195</v>
      </c>
      <c r="V60" s="4343">
        <f>'※ 팀별 작성_인프라_인력'!BJ316</f>
        <v>179</v>
      </c>
      <c r="W60" s="4347">
        <f t="shared" si="29"/>
        <v>16</v>
      </c>
      <c r="X60" s="4301"/>
      <c r="Y60" s="4302"/>
      <c r="Z60" s="4156">
        <f>'※ 팀별 작성_인프라_인력'!BK385</f>
        <v>244.84848484848482</v>
      </c>
      <c r="AA60" s="4156">
        <f>'※ 팀별 작성_인프라_인력'!BK419</f>
        <v>32.669889892715986</v>
      </c>
      <c r="AB60" s="4348">
        <f>'※ 팀별 작성_인프라_인력'!BO419</f>
        <v>-18.147066550599156</v>
      </c>
      <c r="AC60" s="4070"/>
      <c r="AD60" s="4068"/>
      <c r="AE60" s="4305"/>
      <c r="AF60" s="4047">
        <f>ROW('※ 팀별 작성_인프라_인력'!AH248)</f>
        <v>248</v>
      </c>
      <c r="AG60" s="4036">
        <f>ROW('※ 팀별 작성_인프라_인력'!AI282)</f>
        <v>282</v>
      </c>
      <c r="AH60" s="4036">
        <f>ROW('※ 팀별 작성_인프라_인력'!AJ316)</f>
        <v>316</v>
      </c>
    </row>
    <row r="61" spans="1:34" ht="16.3" customHeight="1" x14ac:dyDescent="0.55000000000000004">
      <c r="A61" s="7401"/>
      <c r="B61" s="3196"/>
      <c r="C61" s="2648" t="s">
        <v>244</v>
      </c>
      <c r="D61" s="4133" cm="1">
        <f t="array" aca="1" ref="D61" ca="1">INDIRECT("'※ 팀별 작성_인프라_인력'!"&amp;D$1&amp;$AF61, TRUE)</f>
        <v>533.08333333333337</v>
      </c>
      <c r="E61" s="4133" cm="1">
        <f t="array" aca="1" ref="E61" ca="1">INDIRECT("'※ 팀별 작성_인프라_인력'!"&amp;E$1&amp;$AF61, TRUE)</f>
        <v>488.91666666666669</v>
      </c>
      <c r="F61" s="4134" cm="1">
        <f t="array" aca="1" ref="F61" ca="1">INDIRECT("'※ 팀별 작성_인프라_인력'!"&amp;F$1&amp;$AF61, TRUE)</f>
        <v>408</v>
      </c>
      <c r="G61" s="4135" cm="1">
        <f t="array" aca="1" ref="G61" ca="1">INDIRECT("'※ 팀별 작성_인프라_인력'!"&amp;G$1&amp;$AF61, TRUE)</f>
        <v>567</v>
      </c>
      <c r="H61" s="4135" cm="1">
        <f t="array" aca="1" ref="H61" ca="1">INDIRECT("'※ 팀별 작성_인프라_인력'!"&amp;H$1&amp;$AF61, TRUE)</f>
        <v>531</v>
      </c>
      <c r="I61" s="4135" cm="1">
        <f t="array" aca="1" ref="I61" ca="1">INDIRECT("'※ 팀별 작성_인프라_인력'!"&amp;I$1&amp;$AF61, TRUE)</f>
        <v>467</v>
      </c>
      <c r="J61" s="4135" cm="1">
        <f t="array" aca="1" ref="J61" ca="1">INDIRECT("'※ 팀별 작성_인프라_인력'!"&amp;J$1&amp;$AF61, TRUE)</f>
        <v>536</v>
      </c>
      <c r="K61" s="4135" cm="1">
        <f t="array" aca="1" ref="K61" ca="1">INDIRECT("'※ 팀별 작성_인프라_인력'!"&amp;K$1&amp;$AF61, TRUE)</f>
        <v>516</v>
      </c>
      <c r="L61" s="4135" cm="1">
        <f t="array" aca="1" ref="L61" ca="1">INDIRECT("'※ 팀별 작성_인프라_인력'!"&amp;L$1&amp;$AF61, TRUE)</f>
        <v>505</v>
      </c>
      <c r="M61" s="4135" cm="1">
        <f t="array" aca="1" ref="M61" ca="1">INDIRECT("'※ 팀별 작성_인프라_인력'!"&amp;M$1&amp;$AF61, TRUE)</f>
        <v>537</v>
      </c>
      <c r="N61" s="4135" cm="1">
        <f t="array" aca="1" ref="N61" ca="1">INDIRECT("'※ 팀별 작성_인프라_인력'!"&amp;N$1&amp;$AF61, TRUE)</f>
        <v>536</v>
      </c>
      <c r="O61" s="4135" cm="1">
        <f t="array" aca="1" ref="O61" ca="1">INDIRECT("'※ 팀별 작성_인프라_인력'!"&amp;O$1&amp;$AF61, TRUE)</f>
        <v>539</v>
      </c>
      <c r="P61" s="4135" cm="1">
        <f t="array" aca="1" ref="P61" ca="1">INDIRECT("'※ 팀별 작성_인프라_인력'!"&amp;P$1&amp;$AF61, TRUE)</f>
        <v>556</v>
      </c>
      <c r="Q61" s="4135" cm="1">
        <f t="array" aca="1" ref="Q61" ca="1">INDIRECT("'※ 팀별 작성_인프라_인력'!"&amp;Q$1&amp;$AF61, TRUE)</f>
        <v>554</v>
      </c>
      <c r="R61" s="4136" cm="1">
        <f t="array" aca="1" ref="R61" ca="1">INDIRECT("'※ 팀별 작성_인프라_인력'!"&amp;R$1&amp;$AG61, TRUE)</f>
        <v>70</v>
      </c>
      <c r="S61" s="4135" cm="1">
        <f t="array" aca="1" ref="S61" ca="1">INDIRECT("'※ 팀별 작성_인프라_인력'!"&amp;S$1&amp;$AH61, TRUE)</f>
        <v>72</v>
      </c>
      <c r="T61" s="4137">
        <f t="shared" ca="1" si="28"/>
        <v>-2</v>
      </c>
      <c r="U61" s="4349">
        <f>'※ 팀별 작성_인프라_인력'!BJ283</f>
        <v>927</v>
      </c>
      <c r="V61" s="4349">
        <f>'※ 팀별 작성_인프라_인력'!BJ317</f>
        <v>809</v>
      </c>
      <c r="W61" s="4350">
        <f t="shared" si="29"/>
        <v>118</v>
      </c>
      <c r="X61" s="4351"/>
      <c r="Y61" s="4352"/>
      <c r="Z61" s="4142">
        <f>'※ 팀별 작성_인프라_인력'!BK386</f>
        <v>531.18055555555554</v>
      </c>
      <c r="AA61" s="4142">
        <f>'※ 팀별 작성_인프라_인력'!BK420</f>
        <v>71.55081930466703</v>
      </c>
      <c r="AB61" s="4353">
        <f>'※ 팀별 작성_인프라_인력'!BO420</f>
        <v>14.874434217673134</v>
      </c>
      <c r="AC61" s="4070"/>
      <c r="AD61" s="4068"/>
      <c r="AE61" s="4305"/>
      <c r="AF61" s="4047">
        <f>ROW('※ 팀별 작성_인프라_인력'!AH249)</f>
        <v>249</v>
      </c>
      <c r="AG61" s="4036">
        <f>ROW('※ 팀별 작성_인프라_인력'!AI283)</f>
        <v>283</v>
      </c>
      <c r="AH61" s="4036">
        <f>ROW('※ 팀별 작성_인프라_인력'!AJ317)</f>
        <v>317</v>
      </c>
    </row>
    <row r="62" spans="1:34" ht="16.3" customHeight="1" x14ac:dyDescent="0.55000000000000004">
      <c r="A62" s="7401"/>
      <c r="B62" s="4340"/>
      <c r="C62" s="2885" t="s">
        <v>245</v>
      </c>
      <c r="D62" s="4341" cm="1">
        <f t="array" aca="1" ref="D62" ca="1">INDIRECT("'※ 팀별 작성_인프라_인력'!"&amp;D$1&amp;$AF62, TRUE)</f>
        <v>627.08333333333337</v>
      </c>
      <c r="E62" s="4341" cm="1">
        <f t="array" aca="1" ref="E62" ca="1">INDIRECT("'※ 팀별 작성_인프라_인력'!"&amp;E$1&amp;$AF62, TRUE)</f>
        <v>580.75</v>
      </c>
      <c r="F62" s="4342" cm="1">
        <f t="array" aca="1" ref="F62" ca="1">INDIRECT("'※ 팀별 작성_인프라_인력'!"&amp;F$1&amp;$AF62, TRUE)</f>
        <v>521</v>
      </c>
      <c r="G62" s="4343" cm="1">
        <f t="array" aca="1" ref="G62" ca="1">INDIRECT("'※ 팀별 작성_인프라_인력'!"&amp;G$1&amp;$AF62, TRUE)</f>
        <v>664</v>
      </c>
      <c r="H62" s="4343" cm="1">
        <f t="array" aca="1" ref="H62" ca="1">INDIRECT("'※ 팀별 작성_인프라_인력'!"&amp;H$1&amp;$AF62, TRUE)</f>
        <v>595</v>
      </c>
      <c r="I62" s="4343" cm="1">
        <f t="array" aca="1" ref="I62" ca="1">INDIRECT("'※ 팀별 작성_인프라_인력'!"&amp;I$1&amp;$AF62, TRUE)</f>
        <v>600</v>
      </c>
      <c r="J62" s="4343" cm="1">
        <f t="array" aca="1" ref="J62" ca="1">INDIRECT("'※ 팀별 작성_인프라_인력'!"&amp;J$1&amp;$AF62, TRUE)</f>
        <v>671</v>
      </c>
      <c r="K62" s="4343" cm="1">
        <f t="array" aca="1" ref="K62" ca="1">INDIRECT("'※ 팀별 작성_인프라_인력'!"&amp;K$1&amp;$AF62, TRUE)</f>
        <v>630</v>
      </c>
      <c r="L62" s="4343" cm="1">
        <f t="array" aca="1" ref="L62" ca="1">INDIRECT("'※ 팀별 작성_인프라_인력'!"&amp;L$1&amp;$AF62, TRUE)</f>
        <v>628</v>
      </c>
      <c r="M62" s="4343" cm="1">
        <f t="array" aca="1" ref="M62" ca="1">INDIRECT("'※ 팀별 작성_인프라_인력'!"&amp;M$1&amp;$AF62, TRUE)</f>
        <v>642</v>
      </c>
      <c r="N62" s="4343" cm="1">
        <f t="array" aca="1" ref="N62" ca="1">INDIRECT("'※ 팀별 작성_인프라_인력'!"&amp;N$1&amp;$AF62, TRUE)</f>
        <v>616</v>
      </c>
      <c r="O62" s="4343" cm="1">
        <f t="array" aca="1" ref="O62" ca="1">INDIRECT("'※ 팀별 작성_인프라_인력'!"&amp;O$1&amp;$AF62, TRUE)</f>
        <v>592</v>
      </c>
      <c r="P62" s="4343" cm="1">
        <f t="array" aca="1" ref="P62" ca="1">INDIRECT("'※ 팀별 작성_인프라_인력'!"&amp;P$1&amp;$AF62, TRUE)</f>
        <v>588</v>
      </c>
      <c r="Q62" s="4343" cm="1">
        <f t="array" aca="1" ref="Q62" ca="1">INDIRECT("'※ 팀별 작성_인프라_인력'!"&amp;Q$1&amp;$AF62, TRUE)</f>
        <v>611</v>
      </c>
      <c r="R62" s="4354" cm="1">
        <f t="array" aca="1" ref="R62" ca="1">INDIRECT("'※ 팀별 작성_인프라_인력'!"&amp;R$1&amp;$AG62, TRUE)</f>
        <v>115</v>
      </c>
      <c r="S62" s="4343" cm="1">
        <f t="array" aca="1" ref="S62" ca="1">INDIRECT("'※ 팀별 작성_인프라_인력'!"&amp;S$1&amp;$AH62, TRUE)</f>
        <v>92</v>
      </c>
      <c r="T62" s="4355">
        <f t="shared" ca="1" si="28"/>
        <v>23</v>
      </c>
      <c r="U62" s="4343">
        <f>'※ 팀별 작성_인프라_인력'!BJ284</f>
        <v>1273</v>
      </c>
      <c r="V62" s="4343">
        <f>'※ 팀별 작성_인프라_인력'!BJ318</f>
        <v>1194</v>
      </c>
      <c r="W62" s="4347">
        <f t="shared" si="29"/>
        <v>79</v>
      </c>
      <c r="X62" s="4301"/>
      <c r="Y62" s="4302"/>
      <c r="Z62" s="4156">
        <f>'※ 팀별 작성_인프라_인력'!BK387</f>
        <v>567.75</v>
      </c>
      <c r="AA62" s="4156">
        <f>'※ 팀별 작성_인프라_인력'!BK421</f>
        <v>79.681822067950122</v>
      </c>
      <c r="AB62" s="4348">
        <f>'※ 팀별 작성_인프라_인력'!BO421</f>
        <v>21.041769418480165</v>
      </c>
      <c r="AC62" s="4070"/>
      <c r="AD62" s="4068"/>
      <c r="AE62" s="4305"/>
      <c r="AF62" s="4047">
        <f>ROW('※ 팀별 작성_인프라_인력'!AH250)</f>
        <v>250</v>
      </c>
      <c r="AG62" s="4036">
        <f>ROW('※ 팀별 작성_인프라_인력'!AI284)</f>
        <v>284</v>
      </c>
      <c r="AH62" s="4036">
        <f>ROW('※ 팀별 작성_인프라_인력'!AJ318)</f>
        <v>318</v>
      </c>
    </row>
    <row r="63" spans="1:34" ht="16.3" customHeight="1" x14ac:dyDescent="0.55000000000000004">
      <c r="A63" s="7401"/>
      <c r="B63" s="4340"/>
      <c r="C63" s="2648" t="s">
        <v>246</v>
      </c>
      <c r="D63" s="4356" cm="1">
        <f t="array" aca="1" ref="D63" ca="1">INDIRECT("'※ 팀별 작성_인프라_인력'!"&amp;D$1&amp;$AF63, TRUE)</f>
        <v>557.33333333333337</v>
      </c>
      <c r="E63" s="4356" cm="1">
        <f t="array" aca="1" ref="E63" ca="1">INDIRECT("'※ 팀별 작성_인프라_인력'!"&amp;E$1&amp;$AF63, TRUE)</f>
        <v>593.25</v>
      </c>
      <c r="F63" s="4357" cm="1">
        <f t="array" aca="1" ref="F63" ca="1">INDIRECT("'※ 팀별 작성_인프라_인력'!"&amp;F$1&amp;$AF63, TRUE)</f>
        <v>668</v>
      </c>
      <c r="G63" s="4349" cm="1">
        <f t="array" aca="1" ref="G63" ca="1">INDIRECT("'※ 팀별 작성_인프라_인력'!"&amp;G$1&amp;$AF63, TRUE)</f>
        <v>746</v>
      </c>
      <c r="H63" s="4349" cm="1">
        <f t="array" aca="1" ref="H63" ca="1">INDIRECT("'※ 팀별 작성_인프라_인력'!"&amp;H$1&amp;$AF63, TRUE)</f>
        <v>740</v>
      </c>
      <c r="I63" s="4349" cm="1">
        <f t="array" aca="1" ref="I63" ca="1">INDIRECT("'※ 팀별 작성_인프라_인력'!"&amp;I$1&amp;$AF63, TRUE)</f>
        <v>779</v>
      </c>
      <c r="J63" s="4349" cm="1">
        <f t="array" aca="1" ref="J63" ca="1">INDIRECT("'※ 팀별 작성_인프라_인력'!"&amp;J$1&amp;$AF63, TRUE)</f>
        <v>851</v>
      </c>
      <c r="K63" s="4349" cm="1">
        <f t="array" aca="1" ref="K63" ca="1">INDIRECT("'※ 팀별 작성_인프라_인력'!"&amp;K$1&amp;$AF63, TRUE)</f>
        <v>879</v>
      </c>
      <c r="L63" s="4349" cm="1">
        <f t="array" aca="1" ref="L63" ca="1">INDIRECT("'※ 팀별 작성_인프라_인력'!"&amp;L$1&amp;$AF63, TRUE)</f>
        <v>858</v>
      </c>
      <c r="M63" s="4349" cm="1">
        <f t="array" aca="1" ref="M63" ca="1">INDIRECT("'※ 팀별 작성_인프라_인력'!"&amp;M$1&amp;$AF63, TRUE)</f>
        <v>804</v>
      </c>
      <c r="N63" s="4349" cm="1">
        <f t="array" aca="1" ref="N63" ca="1">INDIRECT("'※ 팀별 작성_인프라_인력'!"&amp;N$1&amp;$AF63, TRUE)</f>
        <v>782</v>
      </c>
      <c r="O63" s="4349" cm="1">
        <f t="array" aca="1" ref="O63" ca="1">INDIRECT("'※ 팀별 작성_인프라_인력'!"&amp;O$1&amp;$AF63, TRUE)</f>
        <v>773</v>
      </c>
      <c r="P63" s="4349" cm="1">
        <f t="array" aca="1" ref="P63" ca="1">INDIRECT("'※ 팀별 작성_인프라_인력'!"&amp;P$1&amp;$AF63, TRUE)</f>
        <v>708</v>
      </c>
      <c r="Q63" s="4349" cm="1">
        <f t="array" aca="1" ref="Q63" ca="1">INDIRECT("'※ 팀별 작성_인프라_인력'!"&amp;Q$1&amp;$AF63, TRUE)</f>
        <v>741</v>
      </c>
      <c r="R63" s="4358" cm="1">
        <f t="array" aca="1" ref="R63" ca="1">INDIRECT("'※ 팀별 작성_인프라_인력'!"&amp;R$1&amp;$AG63, TRUE)</f>
        <v>147</v>
      </c>
      <c r="S63" s="4349" cm="1">
        <f t="array" aca="1" ref="S63" ca="1">INDIRECT("'※ 팀별 작성_인프라_인력'!"&amp;S$1&amp;$AH63, TRUE)</f>
        <v>115</v>
      </c>
      <c r="T63" s="4359">
        <f t="shared" ca="1" si="28"/>
        <v>32</v>
      </c>
      <c r="U63" s="4349">
        <f>'※ 팀별 작성_인프라_인력'!BJ285</f>
        <v>1485</v>
      </c>
      <c r="V63" s="4349">
        <f>'※ 팀별 작성_인프라_인력'!BJ319</f>
        <v>1412</v>
      </c>
      <c r="W63" s="4350">
        <f t="shared" si="29"/>
        <v>73</v>
      </c>
      <c r="X63" s="4301"/>
      <c r="Y63" s="4302"/>
      <c r="Z63" s="4142">
        <f>'※ 팀별 작성_인프라_인력'!BK388</f>
        <v>905.16666666666663</v>
      </c>
      <c r="AA63" s="4142">
        <f>'※ 팀별 작성_인프라_인력'!BK422</f>
        <v>95.385527718349977</v>
      </c>
      <c r="AB63" s="4353">
        <f>'※ 팀별 작성_인프라_인력'!BO422</f>
        <v>37.932782308587662</v>
      </c>
      <c r="AC63" s="4070"/>
      <c r="AD63" s="4068"/>
      <c r="AE63" s="4305"/>
      <c r="AF63" s="4047">
        <f>ROW('※ 팀별 작성_인프라_인력'!AH251)</f>
        <v>251</v>
      </c>
      <c r="AG63" s="4036">
        <f>ROW('※ 팀별 작성_인프라_인력'!AI285)</f>
        <v>285</v>
      </c>
      <c r="AH63" s="4036">
        <f>ROW('※ 팀별 작성_인프라_인력'!AJ319)</f>
        <v>319</v>
      </c>
    </row>
    <row r="64" spans="1:34" ht="16.3" customHeight="1" x14ac:dyDescent="0.55000000000000004">
      <c r="A64" s="7401"/>
      <c r="B64" s="4340"/>
      <c r="C64" s="2648" t="s">
        <v>247</v>
      </c>
      <c r="D64" s="4356" cm="1">
        <f t="array" aca="1" ref="D64" ca="1">INDIRECT("'※ 팀별 작성_인프라_인력'!"&amp;D$1&amp;$AF64, TRUE)</f>
        <v>435.75</v>
      </c>
      <c r="E64" s="4356" cm="1">
        <f t="array" aca="1" ref="E64" ca="1">INDIRECT("'※ 팀별 작성_인프라_인력'!"&amp;E$1&amp;$AF64, TRUE)</f>
        <v>447.25</v>
      </c>
      <c r="F64" s="4357" cm="1">
        <f t="array" aca="1" ref="F64" ca="1">INDIRECT("'※ 팀별 작성_인프라_인력'!"&amp;F$1&amp;$AF64, TRUE)</f>
        <v>421</v>
      </c>
      <c r="G64" s="4349" cm="1">
        <f t="array" aca="1" ref="G64" ca="1">INDIRECT("'※ 팀별 작성_인프라_인력'!"&amp;G$1&amp;$AF64, TRUE)</f>
        <v>484</v>
      </c>
      <c r="H64" s="4349" cm="1">
        <f t="array" aca="1" ref="H64" ca="1">INDIRECT("'※ 팀별 작성_인프라_인력'!"&amp;H$1&amp;$AF64, TRUE)</f>
        <v>455</v>
      </c>
      <c r="I64" s="4349" cm="1">
        <f t="array" aca="1" ref="I64" ca="1">INDIRECT("'※ 팀별 작성_인프라_인력'!"&amp;I$1&amp;$AF64, TRUE)</f>
        <v>485</v>
      </c>
      <c r="J64" s="4349" cm="1">
        <f t="array" aca="1" ref="J64" ca="1">INDIRECT("'※ 팀별 작성_인프라_인력'!"&amp;J$1&amp;$AF64, TRUE)</f>
        <v>543</v>
      </c>
      <c r="K64" s="4349" cm="1">
        <f t="array" aca="1" ref="K64" ca="1">INDIRECT("'※ 팀별 작성_인프라_인력'!"&amp;K$1&amp;$AF64, TRUE)</f>
        <v>522</v>
      </c>
      <c r="L64" s="4349" cm="1">
        <f t="array" aca="1" ref="L64" ca="1">INDIRECT("'※ 팀별 작성_인프라_인력'!"&amp;L$1&amp;$AF64, TRUE)</f>
        <v>511</v>
      </c>
      <c r="M64" s="4349" cm="1">
        <f t="array" aca="1" ref="M64" ca="1">INDIRECT("'※ 팀별 작성_인프라_인력'!"&amp;M$1&amp;$AF64, TRUE)</f>
        <v>508</v>
      </c>
      <c r="N64" s="4349" cm="1">
        <f t="array" aca="1" ref="N64" ca="1">INDIRECT("'※ 팀별 작성_인프라_인력'!"&amp;N$1&amp;$AF64, TRUE)</f>
        <v>553</v>
      </c>
      <c r="O64" s="4349" cm="1">
        <f t="array" aca="1" ref="O64" ca="1">INDIRECT("'※ 팀별 작성_인프라_인력'!"&amp;O$1&amp;$AF64, TRUE)</f>
        <v>540</v>
      </c>
      <c r="P64" s="4349" cm="1">
        <f t="array" aca="1" ref="P64" ca="1">INDIRECT("'※ 팀별 작성_인프라_인력'!"&amp;P$1&amp;$AF64, TRUE)</f>
        <v>516</v>
      </c>
      <c r="Q64" s="4349" cm="1">
        <f t="array" aca="1" ref="Q64" ca="1">INDIRECT("'※ 팀별 작성_인프라_인력'!"&amp;Q$1&amp;$AF64, TRUE)</f>
        <v>528</v>
      </c>
      <c r="R64" s="4358" cm="1">
        <f t="array" aca="1" ref="R64" ca="1">INDIRECT("'※ 팀별 작성_인프라_인력'!"&amp;R$1&amp;$AG64, TRUE)</f>
        <v>108</v>
      </c>
      <c r="S64" s="4349" cm="1">
        <f t="array" aca="1" ref="S64" ca="1">INDIRECT("'※ 팀별 작성_인프라_인력'!"&amp;S$1&amp;$AH64, TRUE)</f>
        <v>96</v>
      </c>
      <c r="T64" s="4359">
        <f t="shared" ca="1" si="28"/>
        <v>12</v>
      </c>
      <c r="U64" s="4349">
        <f>'※ 팀별 작성_인프라_인력'!BJ286</f>
        <v>1057</v>
      </c>
      <c r="V64" s="4349">
        <f>'※ 팀별 작성_인프라_인력'!BJ320</f>
        <v>954</v>
      </c>
      <c r="W64" s="4350">
        <f t="shared" si="29"/>
        <v>103</v>
      </c>
      <c r="X64" s="4301"/>
      <c r="Y64" s="4302"/>
      <c r="Z64" s="4142">
        <f>'※ 팀별 작성_인프라_인력'!BK389</f>
        <v>630.61666666666667</v>
      </c>
      <c r="AA64" s="4142">
        <f>'※ 팀별 작성_인프라_인력'!BK423</f>
        <v>76.414691201138297</v>
      </c>
      <c r="AB64" s="4353">
        <f>'※ 팀별 작성_인프라_인력'!BO423</f>
        <v>30.142791747836405</v>
      </c>
      <c r="AC64" s="4070"/>
      <c r="AD64" s="4068"/>
      <c r="AE64" s="4305"/>
      <c r="AF64" s="4047">
        <f>ROW('※ 팀별 작성_인프라_인력'!AH252)</f>
        <v>252</v>
      </c>
      <c r="AG64" s="4036">
        <f>ROW('※ 팀별 작성_인프라_인력'!AI286)</f>
        <v>286</v>
      </c>
      <c r="AH64" s="4036">
        <f>ROW('※ 팀별 작성_인프라_인력'!AJ320)</f>
        <v>320</v>
      </c>
    </row>
    <row r="65" spans="1:34" ht="16.3" customHeight="1" x14ac:dyDescent="0.55000000000000004">
      <c r="A65" s="7401"/>
      <c r="B65" s="4340"/>
      <c r="C65" s="2885" t="s">
        <v>248</v>
      </c>
      <c r="D65" s="4341" cm="1">
        <f t="array" aca="1" ref="D65" ca="1">INDIRECT("'※ 팀별 작성_인프라_인력'!"&amp;D$1&amp;$AF65, TRUE)</f>
        <v>563.83333333333337</v>
      </c>
      <c r="E65" s="4341" cm="1">
        <f t="array" aca="1" ref="E65" ca="1">INDIRECT("'※ 팀별 작성_인프라_인력'!"&amp;E$1&amp;$AF65, TRUE)</f>
        <v>549.83333333333337</v>
      </c>
      <c r="F65" s="4342" cm="1">
        <f t="array" aca="1" ref="F65" ca="1">INDIRECT("'※ 팀별 작성_인프라_인력'!"&amp;F$1&amp;$AF65, TRUE)</f>
        <v>522</v>
      </c>
      <c r="G65" s="4343" cm="1">
        <f t="array" aca="1" ref="G65" ca="1">INDIRECT("'※ 팀별 작성_인프라_인력'!"&amp;G$1&amp;$AF65, TRUE)</f>
        <v>586</v>
      </c>
      <c r="H65" s="4343" cm="1">
        <f t="array" aca="1" ref="H65" ca="1">INDIRECT("'※ 팀별 작성_인프라_인력'!"&amp;H$1&amp;$AF65, TRUE)</f>
        <v>553</v>
      </c>
      <c r="I65" s="4343" cm="1">
        <f t="array" aca="1" ref="I65" ca="1">INDIRECT("'※ 팀별 작성_인프라_인력'!"&amp;I$1&amp;$AF65, TRUE)</f>
        <v>570</v>
      </c>
      <c r="J65" s="4343" cm="1">
        <f t="array" aca="1" ref="J65" ca="1">INDIRECT("'※ 팀별 작성_인프라_인력'!"&amp;J$1&amp;$AF65, TRUE)</f>
        <v>606</v>
      </c>
      <c r="K65" s="4343" cm="1">
        <f t="array" aca="1" ref="K65" ca="1">INDIRECT("'※ 팀별 작성_인프라_인력'!"&amp;K$1&amp;$AF65, TRUE)</f>
        <v>594</v>
      </c>
      <c r="L65" s="4343" cm="1">
        <f t="array" aca="1" ref="L65" ca="1">INDIRECT("'※ 팀별 작성_인프라_인력'!"&amp;L$1&amp;$AF65, TRUE)</f>
        <v>571</v>
      </c>
      <c r="M65" s="4343" cm="1">
        <f t="array" aca="1" ref="M65" ca="1">INDIRECT("'※ 팀별 작성_인프라_인력'!"&amp;M$1&amp;$AF65, TRUE)</f>
        <v>557</v>
      </c>
      <c r="N65" s="4343" cm="1">
        <f t="array" aca="1" ref="N65" ca="1">INDIRECT("'※ 팀별 작성_인프라_인력'!"&amp;N$1&amp;$AF65, TRUE)</f>
        <v>558</v>
      </c>
      <c r="O65" s="4343" cm="1">
        <f t="array" aca="1" ref="O65" ca="1">INDIRECT("'※ 팀별 작성_인프라_인력'!"&amp;O$1&amp;$AF65, TRUE)</f>
        <v>565</v>
      </c>
      <c r="P65" s="4343" cm="1">
        <f t="array" aca="1" ref="P65" ca="1">INDIRECT("'※ 팀별 작성_인프라_인력'!"&amp;P$1&amp;$AF65, TRUE)</f>
        <v>551</v>
      </c>
      <c r="Q65" s="4343" cm="1">
        <f t="array" aca="1" ref="Q65" ca="1">INDIRECT("'※ 팀별 작성_인프라_인력'!"&amp;Q$1&amp;$AF65, TRUE)</f>
        <v>540</v>
      </c>
      <c r="R65" s="4354" cm="1">
        <f t="array" aca="1" ref="R65" ca="1">INDIRECT("'※ 팀별 작성_인프라_인력'!"&amp;R$1&amp;$AG65, TRUE)</f>
        <v>75</v>
      </c>
      <c r="S65" s="4343" cm="1">
        <f t="array" aca="1" ref="S65" ca="1">INDIRECT("'※ 팀별 작성_인프라_인력'!"&amp;S$1&amp;$AH65, TRUE)</f>
        <v>84</v>
      </c>
      <c r="T65" s="4355">
        <f t="shared" ca="1" si="28"/>
        <v>-9</v>
      </c>
      <c r="U65" s="4343">
        <f>'※ 팀별 작성_인프라_인력'!BJ287</f>
        <v>771</v>
      </c>
      <c r="V65" s="4343">
        <f>'※ 팀별 작성_인프라_인력'!BJ321</f>
        <v>764</v>
      </c>
      <c r="W65" s="4347">
        <f t="shared" si="29"/>
        <v>7</v>
      </c>
      <c r="X65" s="4301"/>
      <c r="Y65" s="4302"/>
      <c r="Z65" s="4156">
        <f>'※ 팀별 작성_인프라_인력'!BK390</f>
        <v>765.84999999999991</v>
      </c>
      <c r="AA65" s="4156">
        <f>'※ 팀별 작성_인프라_인력'!BK424</f>
        <v>96.317447309695225</v>
      </c>
      <c r="AB65" s="4348">
        <f>'※ 팀별 작성_인프라_인력'!BO424</f>
        <v>26.062611887000855</v>
      </c>
      <c r="AC65" s="4070"/>
      <c r="AD65" s="4068"/>
      <c r="AE65" s="4305"/>
      <c r="AF65" s="4047">
        <f>ROW('※ 팀별 작성_인프라_인력'!AH253)</f>
        <v>253</v>
      </c>
      <c r="AG65" s="4036">
        <f>ROW('※ 팀별 작성_인프라_인력'!AI287)</f>
        <v>287</v>
      </c>
      <c r="AH65" s="4036">
        <f>ROW('※ 팀별 작성_인프라_인력'!AJ321)</f>
        <v>321</v>
      </c>
    </row>
    <row r="66" spans="1:34" ht="16.3" customHeight="1" thickBot="1" x14ac:dyDescent="0.6">
      <c r="A66" s="7401"/>
      <c r="B66" s="4360"/>
      <c r="C66" s="4361" t="s">
        <v>249</v>
      </c>
      <c r="D66" s="4362" cm="1">
        <f t="array" aca="1" ref="D66" ca="1">INDIRECT("'※ 팀별 작성_인프라_인력'!"&amp;D$1&amp;$AF66, TRUE)</f>
        <v>462</v>
      </c>
      <c r="E66" s="4362" cm="1">
        <f t="array" aca="1" ref="E66" ca="1">INDIRECT("'※ 팀별 작성_인프라_인력'!"&amp;E$1&amp;$AF66, TRUE)</f>
        <v>436.25</v>
      </c>
      <c r="F66" s="4363" cm="1">
        <f t="array" aca="1" ref="F66" ca="1">INDIRECT("'※ 팀별 작성_인프라_인력'!"&amp;F$1&amp;$AF66, TRUE)</f>
        <v>389</v>
      </c>
      <c r="G66" s="4364" cm="1">
        <f t="array" aca="1" ref="G66" ca="1">INDIRECT("'※ 팀별 작성_인프라_인력'!"&amp;G$1&amp;$AF66, TRUE)</f>
        <v>454</v>
      </c>
      <c r="H66" s="4364" cm="1">
        <f t="array" aca="1" ref="H66" ca="1">INDIRECT("'※ 팀별 작성_인프라_인력'!"&amp;H$1&amp;$AF66, TRUE)</f>
        <v>445</v>
      </c>
      <c r="I66" s="4364" cm="1">
        <f t="array" aca="1" ref="I66" ca="1">INDIRECT("'※ 팀별 작성_인프라_인력'!"&amp;I$1&amp;$AF66, TRUE)</f>
        <v>449</v>
      </c>
      <c r="J66" s="4364" cm="1">
        <f t="array" aca="1" ref="J66" ca="1">INDIRECT("'※ 팀별 작성_인프라_인력'!"&amp;J$1&amp;$AF66, TRUE)</f>
        <v>469</v>
      </c>
      <c r="K66" s="4364" cm="1">
        <f t="array" aca="1" ref="K66" ca="1">INDIRECT("'※ 팀별 작성_인프라_인력'!"&amp;K$1&amp;$AF66, TRUE)</f>
        <v>451</v>
      </c>
      <c r="L66" s="4364" cm="1">
        <f t="array" aca="1" ref="L66" ca="1">INDIRECT("'※ 팀별 작성_인프라_인력'!"&amp;L$1&amp;$AF66, TRUE)</f>
        <v>437</v>
      </c>
      <c r="M66" s="4364" cm="1">
        <f t="array" aca="1" ref="M66" ca="1">INDIRECT("'※ 팀별 작성_인프라_인력'!"&amp;M$1&amp;$AF66, TRUE)</f>
        <v>463</v>
      </c>
      <c r="N66" s="4364" cm="1">
        <f t="array" aca="1" ref="N66" ca="1">INDIRECT("'※ 팀별 작성_인프라_인력'!"&amp;N$1&amp;$AF66, TRUE)</f>
        <v>466</v>
      </c>
      <c r="O66" s="4364" cm="1">
        <f t="array" aca="1" ref="O66" ca="1">INDIRECT("'※ 팀별 작성_인프라_인력'!"&amp;O$1&amp;$AF66, TRUE)</f>
        <v>462</v>
      </c>
      <c r="P66" s="4364" cm="1">
        <f t="array" aca="1" ref="P66" ca="1">INDIRECT("'※ 팀별 작성_인프라_인력'!"&amp;P$1&amp;$AF66, TRUE)</f>
        <v>465</v>
      </c>
      <c r="Q66" s="4364" cm="1">
        <f t="array" aca="1" ref="Q66" ca="1">INDIRECT("'※ 팀별 작성_인프라_인력'!"&amp;Q$1&amp;$AF66, TRUE)</f>
        <v>428</v>
      </c>
      <c r="R66" s="4365" cm="1">
        <f t="array" aca="1" ref="R66" ca="1">INDIRECT("'※ 팀별 작성_인프라_인력'!"&amp;R$1&amp;$AG66, TRUE)</f>
        <v>18</v>
      </c>
      <c r="S66" s="4364" cm="1">
        <f t="array" aca="1" ref="S66" ca="1">INDIRECT("'※ 팀별 작성_인프라_인력'!"&amp;S$1&amp;$AH66, TRUE)</f>
        <v>54</v>
      </c>
      <c r="T66" s="4366">
        <f t="shared" ca="1" si="28"/>
        <v>-36</v>
      </c>
      <c r="U66" s="4364">
        <f>'※ 팀별 작성_인프라_인력'!BJ288</f>
        <v>383</v>
      </c>
      <c r="V66" s="4364">
        <f>'※ 팀별 작성_인프라_인력'!BJ322</f>
        <v>404</v>
      </c>
      <c r="W66" s="4367">
        <f t="shared" si="29"/>
        <v>-21</v>
      </c>
      <c r="X66" s="4301"/>
      <c r="Y66" s="4302"/>
      <c r="Z66" s="4368">
        <f>'※ 팀별 작성_인프라_인력'!BK391</f>
        <v>472.48333333333341</v>
      </c>
      <c r="AA66" s="4368">
        <f>'※ 팀별 작성_인프라_인력'!BK425</f>
        <v>75.107395450111312</v>
      </c>
      <c r="AB66" s="4369">
        <f>'※ 팀별 작성_인프라_인력'!BO425</f>
        <v>18.305486184128569</v>
      </c>
      <c r="AC66" s="4370"/>
      <c r="AD66" s="4371"/>
      <c r="AE66" s="4372"/>
      <c r="AF66" s="4047">
        <f>ROW('※ 팀별 작성_인프라_인력'!AH254)</f>
        <v>254</v>
      </c>
      <c r="AG66" s="4036">
        <f>ROW('※ 팀별 작성_인프라_인력'!AI288)</f>
        <v>288</v>
      </c>
      <c r="AH66" s="4036">
        <f>ROW('※ 팀별 작성_인프라_인력'!AJ322)</f>
        <v>322</v>
      </c>
    </row>
    <row r="67" spans="1:34" ht="16.3" customHeight="1" x14ac:dyDescent="0.55000000000000004">
      <c r="A67" s="7401"/>
      <c r="B67" s="3503" t="s">
        <v>268</v>
      </c>
      <c r="C67" s="3504"/>
      <c r="D67" s="4373">
        <f ca="1">SUM(D71:D75)</f>
        <v>758.83333333333337</v>
      </c>
      <c r="E67" s="4373">
        <f ca="1">SUM(E71:E75)</f>
        <v>981.83333333333337</v>
      </c>
      <c r="F67" s="4374">
        <f t="shared" ref="F67:S67" ca="1" si="30">SUM(F71:F75)</f>
        <v>957</v>
      </c>
      <c r="G67" s="4375">
        <f t="shared" ref="G67:L67" ca="1" si="31">SUM(G71:G75)</f>
        <v>1142</v>
      </c>
      <c r="H67" s="4375">
        <f t="shared" ca="1" si="31"/>
        <v>998</v>
      </c>
      <c r="I67" s="4375">
        <f t="shared" ca="1" si="31"/>
        <v>1020</v>
      </c>
      <c r="J67" s="4375">
        <f t="shared" ca="1" si="31"/>
        <v>1591</v>
      </c>
      <c r="K67" s="4375">
        <f t="shared" ca="1" si="31"/>
        <v>1325</v>
      </c>
      <c r="L67" s="4375">
        <f t="shared" ca="1" si="31"/>
        <v>1236</v>
      </c>
      <c r="M67" s="4375">
        <f t="shared" ref="M67:N67" ca="1" si="32">SUM(M71:M75)</f>
        <v>998</v>
      </c>
      <c r="N67" s="4375">
        <f t="shared" ca="1" si="32"/>
        <v>1083</v>
      </c>
      <c r="O67" s="4375">
        <f t="shared" ref="O67:P67" ca="1" si="33">SUM(O71:O75)</f>
        <v>989</v>
      </c>
      <c r="P67" s="4375">
        <f t="shared" ca="1" si="33"/>
        <v>975</v>
      </c>
      <c r="Q67" s="4375">
        <f t="shared" ref="Q67" ca="1" si="34">SUM(Q71:Q75)</f>
        <v>1035</v>
      </c>
      <c r="R67" s="4376">
        <f t="shared" ca="1" si="30"/>
        <v>575</v>
      </c>
      <c r="S67" s="4375">
        <f t="shared" ca="1" si="30"/>
        <v>515</v>
      </c>
      <c r="T67" s="4377">
        <f ca="1">R67-S67</f>
        <v>60</v>
      </c>
      <c r="U67" s="4375">
        <f>SUM(U71:U75)</f>
        <v>6981</v>
      </c>
      <c r="V67" s="4375">
        <f>SUM(V71:V75)</f>
        <v>6926</v>
      </c>
      <c r="W67" s="4378">
        <f t="shared" si="29"/>
        <v>55</v>
      </c>
      <c r="X67" s="4301"/>
      <c r="Y67" s="4302"/>
      <c r="Z67" s="4379"/>
      <c r="AA67" s="4380"/>
      <c r="AB67" s="4381"/>
      <c r="AC67" s="4382">
        <f>'※ 팀별 작성_인프라_인력'!BK427</f>
        <v>107.50595238095239</v>
      </c>
      <c r="AD67" s="4383">
        <f>'※ 팀별 작성_인프라_인력'!BK461</f>
        <v>13.915598755128743</v>
      </c>
      <c r="AE67" s="4384">
        <f>'※ 팀별 작성_인프라_인력'!BO461</f>
        <v>4.3679139304324455</v>
      </c>
      <c r="AF67" s="4047"/>
    </row>
    <row r="68" spans="1:34" hidden="1" x14ac:dyDescent="0.55000000000000004">
      <c r="A68" s="7401"/>
      <c r="B68" s="3635"/>
      <c r="C68" s="2858" t="s">
        <v>267</v>
      </c>
      <c r="D68" s="4295"/>
      <c r="E68" s="4295"/>
      <c r="F68" s="4296"/>
      <c r="G68" s="4297"/>
      <c r="H68" s="4297"/>
      <c r="I68" s="4297"/>
      <c r="J68" s="4297"/>
      <c r="K68" s="4297"/>
      <c r="L68" s="4297"/>
      <c r="M68" s="4297"/>
      <c r="N68" s="4297"/>
      <c r="O68" s="4297"/>
      <c r="P68" s="4297"/>
      <c r="Q68" s="4297"/>
      <c r="R68" s="4298"/>
      <c r="S68" s="4297"/>
      <c r="T68" s="4299">
        <f t="shared" si="28"/>
        <v>0</v>
      </c>
      <c r="U68" s="4297"/>
      <c r="V68" s="4297"/>
      <c r="W68" s="4300">
        <f t="shared" si="29"/>
        <v>0</v>
      </c>
      <c r="X68" s="4301"/>
      <c r="Y68" s="4302"/>
      <c r="Z68" s="4067"/>
      <c r="AA68" s="4068"/>
      <c r="AB68" s="4385"/>
      <c r="AC68" s="4386"/>
      <c r="AD68" s="4303"/>
      <c r="AE68" s="4387"/>
      <c r="AF68" s="4047">
        <f>ROW('※ 팀별 작성_인프라_인력'!AH256)</f>
        <v>256</v>
      </c>
      <c r="AG68" s="4388"/>
      <c r="AH68" s="4388"/>
    </row>
    <row r="69" spans="1:34" hidden="1" x14ac:dyDescent="0.55000000000000004">
      <c r="A69" s="7401"/>
      <c r="B69" s="3635"/>
      <c r="C69" s="2858" t="s">
        <v>280</v>
      </c>
      <c r="D69" s="4295"/>
      <c r="E69" s="4295"/>
      <c r="F69" s="4296"/>
      <c r="G69" s="4297"/>
      <c r="H69" s="4297"/>
      <c r="I69" s="4297"/>
      <c r="J69" s="4297"/>
      <c r="K69" s="4297"/>
      <c r="L69" s="4297"/>
      <c r="M69" s="4297"/>
      <c r="N69" s="4297"/>
      <c r="O69" s="4297"/>
      <c r="P69" s="4297"/>
      <c r="Q69" s="4297"/>
      <c r="R69" s="4298"/>
      <c r="S69" s="4297"/>
      <c r="T69" s="4299">
        <f t="shared" si="28"/>
        <v>0</v>
      </c>
      <c r="U69" s="4297"/>
      <c r="V69" s="4297"/>
      <c r="W69" s="4300">
        <f t="shared" si="29"/>
        <v>0</v>
      </c>
      <c r="X69" s="4301"/>
      <c r="Y69" s="4302"/>
      <c r="Z69" s="4067"/>
      <c r="AA69" s="4068"/>
      <c r="AB69" s="4385"/>
      <c r="AC69" s="4386"/>
      <c r="AD69" s="4303"/>
      <c r="AE69" s="4387"/>
      <c r="AF69" s="4047">
        <f>ROW('※ 팀별 작성_인프라_인력'!AH257)</f>
        <v>257</v>
      </c>
    </row>
    <row r="70" spans="1:34" hidden="1" x14ac:dyDescent="0.55000000000000004">
      <c r="A70" s="7401"/>
      <c r="B70" s="3635"/>
      <c r="C70" s="2858" t="s">
        <v>279</v>
      </c>
      <c r="D70" s="4295"/>
      <c r="E70" s="4295"/>
      <c r="F70" s="4296"/>
      <c r="G70" s="4297"/>
      <c r="H70" s="4297"/>
      <c r="I70" s="4297"/>
      <c r="J70" s="4297"/>
      <c r="K70" s="4297"/>
      <c r="L70" s="4297"/>
      <c r="M70" s="4297"/>
      <c r="N70" s="4297"/>
      <c r="O70" s="4297"/>
      <c r="P70" s="4297"/>
      <c r="Q70" s="4297"/>
      <c r="R70" s="4298"/>
      <c r="S70" s="4297"/>
      <c r="T70" s="4299">
        <f t="shared" si="28"/>
        <v>0</v>
      </c>
      <c r="U70" s="4297"/>
      <c r="V70" s="4297"/>
      <c r="W70" s="4300">
        <f t="shared" si="29"/>
        <v>0</v>
      </c>
      <c r="X70" s="4301"/>
      <c r="Y70" s="4302"/>
      <c r="Z70" s="4067"/>
      <c r="AA70" s="4068"/>
      <c r="AB70" s="4385"/>
      <c r="AC70" s="4386"/>
      <c r="AD70" s="4303"/>
      <c r="AE70" s="4387"/>
      <c r="AF70" s="4047">
        <f>ROW('※ 팀별 작성_인프라_인력'!AH258)</f>
        <v>258</v>
      </c>
    </row>
    <row r="71" spans="1:34" ht="16.3" customHeight="1" x14ac:dyDescent="0.55000000000000004">
      <c r="A71" s="7401"/>
      <c r="B71" s="3924" t="s">
        <v>222</v>
      </c>
      <c r="C71" s="3925"/>
      <c r="D71" s="4306" cm="1">
        <f t="array" aca="1" ref="D71" ca="1">INDIRECT("'※ 팀별 작성_인프라_인력'!"&amp;D$1&amp;$AF71, TRUE)</f>
        <v>150.83333333333334</v>
      </c>
      <c r="E71" s="4306" cm="1">
        <f t="array" aca="1" ref="E71" ca="1">INDIRECT("'※ 팀별 작성_인프라_인력'!"&amp;E$1&amp;$AF71, TRUE)</f>
        <v>182.91666666666666</v>
      </c>
      <c r="F71" s="4307" cm="1">
        <f t="array" aca="1" ref="F71" ca="1">INDIRECT("'※ 팀별 작성_인프라_인력'!"&amp;F$1&amp;$AF71, TRUE)</f>
        <v>173</v>
      </c>
      <c r="G71" s="4308" cm="1">
        <f t="array" aca="1" ref="G71" ca="1">INDIRECT("'※ 팀별 작성_인프라_인력'!"&amp;G$1&amp;$AF71, TRUE)</f>
        <v>210</v>
      </c>
      <c r="H71" s="4308" cm="1">
        <f t="array" aca="1" ref="H71" ca="1">INDIRECT("'※ 팀별 작성_인프라_인력'!"&amp;H$1&amp;$AF71, TRUE)</f>
        <v>178</v>
      </c>
      <c r="I71" s="4308" cm="1">
        <f t="array" aca="1" ref="I71" ca="1">INDIRECT("'※ 팀별 작성_인프라_인력'!"&amp;I$1&amp;$AF71, TRUE)</f>
        <v>178</v>
      </c>
      <c r="J71" s="4308" cm="1">
        <f t="array" aca="1" ref="J71" ca="1">INDIRECT("'※ 팀별 작성_인프라_인력'!"&amp;J$1&amp;$AF71, TRUE)</f>
        <v>288</v>
      </c>
      <c r="K71" s="4308" cm="1">
        <f t="array" aca="1" ref="K71" ca="1">INDIRECT("'※ 팀별 작성_인프라_인력'!"&amp;K$1&amp;$AF71, TRUE)</f>
        <v>224</v>
      </c>
      <c r="L71" s="4308" cm="1">
        <f t="array" aca="1" ref="L71" ca="1">INDIRECT("'※ 팀별 작성_인프라_인력'!"&amp;L$1&amp;$AF71, TRUE)</f>
        <v>216</v>
      </c>
      <c r="M71" s="4308" cm="1">
        <f t="array" aca="1" ref="M71" ca="1">INDIRECT("'※ 팀별 작성_인프라_인력'!"&amp;M$1&amp;$AF71, TRUE)</f>
        <v>183</v>
      </c>
      <c r="N71" s="4308" cm="1">
        <f t="array" aca="1" ref="N71" ca="1">INDIRECT("'※ 팀별 작성_인프라_인력'!"&amp;N$1&amp;$AF71, TRUE)</f>
        <v>209</v>
      </c>
      <c r="O71" s="4308" cm="1">
        <f t="array" aca="1" ref="O71" ca="1">INDIRECT("'※ 팀별 작성_인프라_인력'!"&amp;O$1&amp;$AF71, TRUE)</f>
        <v>176</v>
      </c>
      <c r="P71" s="4308" cm="1">
        <f t="array" aca="1" ref="P71" ca="1">INDIRECT("'※ 팀별 작성_인프라_인력'!"&amp;P$1&amp;$AF71, TRUE)</f>
        <v>196</v>
      </c>
      <c r="Q71" s="4308" cm="1">
        <f t="array" aca="1" ref="Q71" ca="1">INDIRECT("'※ 팀별 작성_인프라_인력'!"&amp;Q$1&amp;$AF71, TRUE)</f>
        <v>216</v>
      </c>
      <c r="R71" s="4309" cm="1">
        <f t="array" aca="1" ref="R71" ca="1">INDIRECT("'※ 팀별 작성_인프라_인력'!"&amp;R$1&amp;$AG71, TRUE)</f>
        <v>131</v>
      </c>
      <c r="S71" s="4308" cm="1">
        <f t="array" aca="1" ref="S71" ca="1">INDIRECT("'※ 팀별 작성_인프라_인력'!"&amp;S$1&amp;$AH71, TRUE)</f>
        <v>111</v>
      </c>
      <c r="T71" s="4310">
        <f t="shared" ca="1" si="28"/>
        <v>20</v>
      </c>
      <c r="U71" s="4308">
        <f>SUM(U76:U77)</f>
        <v>1386</v>
      </c>
      <c r="V71" s="4308">
        <f>SUM(V76:V77)</f>
        <v>1337</v>
      </c>
      <c r="W71" s="4308">
        <f t="shared" si="29"/>
        <v>49</v>
      </c>
      <c r="X71" s="4311"/>
      <c r="Y71" s="4312"/>
      <c r="Z71" s="4067"/>
      <c r="AA71" s="4068"/>
      <c r="AB71" s="4385"/>
      <c r="AC71" s="4389">
        <f>'※ 팀별 작성_인프라_인력'!BK431</f>
        <v>82.157407407407419</v>
      </c>
      <c r="AD71" s="4314">
        <f>'※ 팀별 작성_인프라_인력'!BK465</f>
        <v>11.076692557824842</v>
      </c>
      <c r="AE71" s="4390">
        <f>'※ 팀별 작성_인프라_인력'!BO465</f>
        <v>1.984911971995567</v>
      </c>
      <c r="AF71" s="4047">
        <f>ROW('※ 팀별 작성_인프라_인력'!AH259)</f>
        <v>259</v>
      </c>
      <c r="AG71" s="4036">
        <f>ROW('※ 팀별 작성_인프라_인력'!AI293)</f>
        <v>293</v>
      </c>
      <c r="AH71" s="4036">
        <f>ROW('※ 팀별 작성_인프라_인력'!AJ327)</f>
        <v>327</v>
      </c>
    </row>
    <row r="72" spans="1:34" ht="16.3" customHeight="1" x14ac:dyDescent="0.55000000000000004">
      <c r="A72" s="7401"/>
      <c r="B72" s="3934" t="s">
        <v>223</v>
      </c>
      <c r="C72" s="2655"/>
      <c r="D72" s="4316" cm="1">
        <f t="array" aca="1" ref="D72" ca="1">INDIRECT("'※ 팀별 작성_인프라_인력'!"&amp;D$1&amp;$AF72, TRUE)</f>
        <v>101.66666666666667</v>
      </c>
      <c r="E72" s="4316" cm="1">
        <f t="array" aca="1" ref="E72" ca="1">INDIRECT("'※ 팀별 작성_인프라_인력'!"&amp;E$1&amp;$AF72, TRUE)</f>
        <v>131.75</v>
      </c>
      <c r="F72" s="4317" cm="1">
        <f t="array" aca="1" ref="F72" ca="1">INDIRECT("'※ 팀별 작성_인프라_인력'!"&amp;F$1&amp;$AF72, TRUE)</f>
        <v>118</v>
      </c>
      <c r="G72" s="4318" cm="1">
        <f t="array" aca="1" ref="G72" ca="1">INDIRECT("'※ 팀별 작성_인프라_인력'!"&amp;G$1&amp;$AF72, TRUE)</f>
        <v>145</v>
      </c>
      <c r="H72" s="4318" cm="1">
        <f t="array" aca="1" ref="H72" ca="1">INDIRECT("'※ 팀별 작성_인프라_인력'!"&amp;H$1&amp;$AF72, TRUE)</f>
        <v>113</v>
      </c>
      <c r="I72" s="4318" cm="1">
        <f t="array" aca="1" ref="I72" ca="1">INDIRECT("'※ 팀별 작성_인프라_인력'!"&amp;I$1&amp;$AF72, TRUE)</f>
        <v>109</v>
      </c>
      <c r="J72" s="4318" cm="1">
        <f t="array" aca="1" ref="J72" ca="1">INDIRECT("'※ 팀별 작성_인프라_인력'!"&amp;J$1&amp;$AF72, TRUE)</f>
        <v>219</v>
      </c>
      <c r="K72" s="4318" cm="1">
        <f t="array" aca="1" ref="K72" ca="1">INDIRECT("'※ 팀별 작성_인프라_인력'!"&amp;K$1&amp;$AF72, TRUE)</f>
        <v>169</v>
      </c>
      <c r="L72" s="4318" cm="1">
        <f t="array" aca="1" ref="L72" ca="1">INDIRECT("'※ 팀별 작성_인프라_인력'!"&amp;L$1&amp;$AF72, TRUE)</f>
        <v>154</v>
      </c>
      <c r="M72" s="4318" cm="1">
        <f t="array" aca="1" ref="M72" ca="1">INDIRECT("'※ 팀별 작성_인프라_인력'!"&amp;M$1&amp;$AF72, TRUE)</f>
        <v>152</v>
      </c>
      <c r="N72" s="4318" cm="1">
        <f t="array" aca="1" ref="N72" ca="1">INDIRECT("'※ 팀별 작성_인프라_인력'!"&amp;N$1&amp;$AF72, TRUE)</f>
        <v>158</v>
      </c>
      <c r="O72" s="4318" cm="1">
        <f t="array" aca="1" ref="O72" ca="1">INDIRECT("'※ 팀별 작성_인프라_인력'!"&amp;O$1&amp;$AF72, TRUE)</f>
        <v>145</v>
      </c>
      <c r="P72" s="4318" cm="1">
        <f t="array" aca="1" ref="P72" ca="1">INDIRECT("'※ 팀별 작성_인프라_인력'!"&amp;P$1&amp;$AF72, TRUE)</f>
        <v>136</v>
      </c>
      <c r="Q72" s="4318" cm="1">
        <f t="array" aca="1" ref="Q72" ca="1">INDIRECT("'※ 팀별 작성_인프라_인력'!"&amp;Q$1&amp;$AF72, TRUE)</f>
        <v>143</v>
      </c>
      <c r="R72" s="4319" cm="1">
        <f t="array" aca="1" ref="R72" ca="1">INDIRECT("'※ 팀별 작성_인프라_인력'!"&amp;R$1&amp;$AG72, TRUE)</f>
        <v>72</v>
      </c>
      <c r="S72" s="4318" cm="1">
        <f t="array" aca="1" ref="S72" ca="1">INDIRECT("'※ 팀별 작성_인프라_인력'!"&amp;S$1&amp;$AH72, TRUE)</f>
        <v>65</v>
      </c>
      <c r="T72" s="4320">
        <f t="shared" ca="1" si="28"/>
        <v>7</v>
      </c>
      <c r="U72" s="4318">
        <f>U78</f>
        <v>889</v>
      </c>
      <c r="V72" s="4318">
        <f>V78</f>
        <v>880</v>
      </c>
      <c r="W72" s="4318">
        <f t="shared" si="29"/>
        <v>9</v>
      </c>
      <c r="X72" s="4311"/>
      <c r="Y72" s="4312"/>
      <c r="Z72" s="4067"/>
      <c r="AA72" s="4068"/>
      <c r="AB72" s="4385"/>
      <c r="AC72" s="4099">
        <f>'※ 팀별 작성_인프라_인력'!BK432</f>
        <v>100.65277777777777</v>
      </c>
      <c r="AD72" s="4097">
        <f>'※ 팀별 작성_인프라_인력'!BK466</f>
        <v>13.616440266693587</v>
      </c>
      <c r="AE72" s="4391">
        <f>'※ 팀별 작성_인프라_인력'!BO466</f>
        <v>2.7934841560964028</v>
      </c>
      <c r="AF72" s="4047">
        <f>ROW('※ 팀별 작성_인프라_인력'!AH260)</f>
        <v>260</v>
      </c>
      <c r="AG72" s="4036">
        <f>ROW('※ 팀별 작성_인프라_인력'!AI294)</f>
        <v>294</v>
      </c>
      <c r="AH72" s="4036">
        <f>ROW('※ 팀별 작성_인프라_인력'!AJ328)</f>
        <v>328</v>
      </c>
    </row>
    <row r="73" spans="1:34" ht="16.3" customHeight="1" x14ac:dyDescent="0.55000000000000004">
      <c r="A73" s="7401"/>
      <c r="B73" s="3934" t="s">
        <v>224</v>
      </c>
      <c r="C73" s="2655"/>
      <c r="D73" s="4316" cm="1">
        <f t="array" aca="1" ref="D73" ca="1">INDIRECT("'※ 팀별 작성_인프라_인력'!"&amp;D$1&amp;$AF73, TRUE)</f>
        <v>95.75</v>
      </c>
      <c r="E73" s="4316" cm="1">
        <f t="array" aca="1" ref="E73" ca="1">INDIRECT("'※ 팀별 작성_인프라_인력'!"&amp;E$1&amp;$AF73, TRUE)</f>
        <v>139.83333333333334</v>
      </c>
      <c r="F73" s="4317" cm="1">
        <f t="array" aca="1" ref="F73" ca="1">INDIRECT("'※ 팀별 작성_인프라_인력'!"&amp;F$1&amp;$AF73, TRUE)</f>
        <v>129</v>
      </c>
      <c r="G73" s="4318" cm="1">
        <f t="array" aca="1" ref="G73" ca="1">INDIRECT("'※ 팀별 작성_인프라_인력'!"&amp;G$1&amp;$AF73, TRUE)</f>
        <v>176</v>
      </c>
      <c r="H73" s="4318" cm="1">
        <f t="array" aca="1" ref="H73" ca="1">INDIRECT("'※ 팀별 작성_인프라_인력'!"&amp;H$1&amp;$AF73, TRUE)</f>
        <v>137</v>
      </c>
      <c r="I73" s="4318" cm="1">
        <f t="array" aca="1" ref="I73" ca="1">INDIRECT("'※ 팀별 작성_인프라_인력'!"&amp;I$1&amp;$AF73, TRUE)</f>
        <v>152</v>
      </c>
      <c r="J73" s="4318" cm="1">
        <f t="array" aca="1" ref="J73" ca="1">INDIRECT("'※ 팀별 작성_인프라_인력'!"&amp;J$1&amp;$AF73, TRUE)</f>
        <v>219</v>
      </c>
      <c r="K73" s="4318" cm="1">
        <f t="array" aca="1" ref="K73" ca="1">INDIRECT("'※ 팀별 작성_인프라_인력'!"&amp;K$1&amp;$AF73, TRUE)</f>
        <v>194</v>
      </c>
      <c r="L73" s="4318" cm="1">
        <f t="array" aca="1" ref="L73" ca="1">INDIRECT("'※ 팀별 작성_인프라_인력'!"&amp;L$1&amp;$AF73, TRUE)</f>
        <v>182</v>
      </c>
      <c r="M73" s="4318" cm="1">
        <f t="array" aca="1" ref="M73" ca="1">INDIRECT("'※ 팀별 작성_인프라_인력'!"&amp;M$1&amp;$AF73, TRUE)</f>
        <v>152</v>
      </c>
      <c r="N73" s="4318" cm="1">
        <f t="array" aca="1" ref="N73" ca="1">INDIRECT("'※ 팀별 작성_인프라_인력'!"&amp;N$1&amp;$AF73, TRUE)</f>
        <v>164</v>
      </c>
      <c r="O73" s="4318" cm="1">
        <f t="array" aca="1" ref="O73" ca="1">INDIRECT("'※ 팀별 작성_인프라_인력'!"&amp;O$1&amp;$AF73, TRUE)</f>
        <v>147</v>
      </c>
      <c r="P73" s="4318" cm="1">
        <f t="array" aca="1" ref="P73" ca="1">INDIRECT("'※ 팀별 작성_인프라_인력'!"&amp;P$1&amp;$AF73, TRUE)</f>
        <v>123</v>
      </c>
      <c r="Q73" s="4318" cm="1">
        <f t="array" aca="1" ref="Q73" ca="1">INDIRECT("'※ 팀별 작성_인프라_인력'!"&amp;Q$1&amp;$AF73, TRUE)</f>
        <v>148</v>
      </c>
      <c r="R73" s="4319" cm="1">
        <f t="array" aca="1" ref="R73" ca="1">INDIRECT("'※ 팀별 작성_인프라_인력'!"&amp;R$1&amp;$AG73, TRUE)</f>
        <v>90</v>
      </c>
      <c r="S73" s="4318" cm="1">
        <f t="array" aca="1" ref="S73" ca="1">INDIRECT("'※ 팀별 작성_인프라_인력'!"&amp;S$1&amp;$AH73, TRUE)</f>
        <v>65</v>
      </c>
      <c r="T73" s="4320">
        <f t="shared" ca="1" si="28"/>
        <v>25</v>
      </c>
      <c r="U73" s="4318">
        <f>U79</f>
        <v>1025</v>
      </c>
      <c r="V73" s="4318">
        <f>V79</f>
        <v>1015</v>
      </c>
      <c r="W73" s="4318">
        <f t="shared" si="29"/>
        <v>10</v>
      </c>
      <c r="X73" s="4311"/>
      <c r="Y73" s="4312"/>
      <c r="Z73" s="4067"/>
      <c r="AA73" s="4068"/>
      <c r="AB73" s="4385"/>
      <c r="AC73" s="4099">
        <f>'※ 팀별 작성_인프라_인력'!BK433</f>
        <v>109.62499999999999</v>
      </c>
      <c r="AD73" s="4097">
        <f>'※ 팀별 작성_인프라_인력'!BK467</f>
        <v>15.275919754837084</v>
      </c>
      <c r="AE73" s="4391">
        <f>'※ 팀별 작성_인프라_인력'!BO467</f>
        <v>4.856273254093022</v>
      </c>
      <c r="AF73" s="4047">
        <f>ROW('※ 팀별 작성_인프라_인력'!AH261)</f>
        <v>261</v>
      </c>
      <c r="AG73" s="4036">
        <f>ROW('※ 팀별 작성_인프라_인력'!AI295)</f>
        <v>295</v>
      </c>
      <c r="AH73" s="4036">
        <f>ROW('※ 팀별 작성_인프라_인력'!AJ329)</f>
        <v>329</v>
      </c>
    </row>
    <row r="74" spans="1:34" ht="16.3" customHeight="1" x14ac:dyDescent="0.55000000000000004">
      <c r="A74" s="7401"/>
      <c r="B74" s="3934" t="s">
        <v>225</v>
      </c>
      <c r="C74" s="2655"/>
      <c r="D74" s="4316" cm="1">
        <f t="array" aca="1" ref="D74" ca="1">INDIRECT("'※ 팀별 작성_인프라_인력'!"&amp;D$1&amp;$AF74, TRUE)</f>
        <v>203.75</v>
      </c>
      <c r="E74" s="4316" cm="1">
        <f t="array" aca="1" ref="E74" ca="1">INDIRECT("'※ 팀별 작성_인프라_인력'!"&amp;E$1&amp;$AF74, TRUE)</f>
        <v>291.41666666666669</v>
      </c>
      <c r="F74" s="4317" cm="1">
        <f t="array" aca="1" ref="F74" ca="1">INDIRECT("'※ 팀별 작성_인프라_인력'!"&amp;F$1&amp;$AF74, TRUE)</f>
        <v>317</v>
      </c>
      <c r="G74" s="4318" cm="1">
        <f t="array" aca="1" ref="G74" ca="1">INDIRECT("'※ 팀별 작성_인프라_인력'!"&amp;G$1&amp;$AF74, TRUE)</f>
        <v>329</v>
      </c>
      <c r="H74" s="4318" cm="1">
        <f t="array" aca="1" ref="H74" ca="1">INDIRECT("'※ 팀별 작성_인프라_인력'!"&amp;H$1&amp;$AF74, TRUE)</f>
        <v>319</v>
      </c>
      <c r="I74" s="4318" cm="1">
        <f t="array" aca="1" ref="I74" ca="1">INDIRECT("'※ 팀별 작성_인프라_인력'!"&amp;I$1&amp;$AF74, TRUE)</f>
        <v>328</v>
      </c>
      <c r="J74" s="4318" cm="1">
        <f t="array" aca="1" ref="J74" ca="1">INDIRECT("'※ 팀별 작성_인프라_인력'!"&amp;J$1&amp;$AF74, TRUE)</f>
        <v>516</v>
      </c>
      <c r="K74" s="4318" cm="1">
        <f t="array" aca="1" ref="K74" ca="1">INDIRECT("'※ 팀별 작성_인프라_인력'!"&amp;K$1&amp;$AF74, TRUE)</f>
        <v>461</v>
      </c>
      <c r="L74" s="4318" cm="1">
        <f t="array" aca="1" ref="L74" ca="1">INDIRECT("'※ 팀별 작성_인프라_인력'!"&amp;L$1&amp;$AF74, TRUE)</f>
        <v>407</v>
      </c>
      <c r="M74" s="4318" cm="1">
        <f t="array" aca="1" ref="M74" ca="1">INDIRECT("'※ 팀별 작성_인프라_인력'!"&amp;M$1&amp;$AF74, TRUE)</f>
        <v>299</v>
      </c>
      <c r="N74" s="4318" cm="1">
        <f t="array" aca="1" ref="N74" ca="1">INDIRECT("'※ 팀별 작성_인프라_인력'!"&amp;N$1&amp;$AF74, TRUE)</f>
        <v>330</v>
      </c>
      <c r="O74" s="4318" cm="1">
        <f t="array" aca="1" ref="O74" ca="1">INDIRECT("'※ 팀별 작성_인프라_인력'!"&amp;O$1&amp;$AF74, TRUE)</f>
        <v>322</v>
      </c>
      <c r="P74" s="4318" cm="1">
        <f t="array" aca="1" ref="P74" ca="1">INDIRECT("'※ 팀별 작성_인프라_인력'!"&amp;P$1&amp;$AF74, TRUE)</f>
        <v>299</v>
      </c>
      <c r="Q74" s="4318" cm="1">
        <f t="array" aca="1" ref="Q74" ca="1">INDIRECT("'※ 팀별 작성_인프라_인력'!"&amp;Q$1&amp;$AF74, TRUE)</f>
        <v>312</v>
      </c>
      <c r="R74" s="4319" cm="1">
        <f t="array" aca="1" ref="R74" ca="1">INDIRECT("'※ 팀별 작성_인프라_인력'!"&amp;R$1&amp;$AG74, TRUE)</f>
        <v>160</v>
      </c>
      <c r="S74" s="4318" cm="1">
        <f t="array" aca="1" ref="S74" ca="1">INDIRECT("'※ 팀별 작성_인프라_인력'!"&amp;S$1&amp;$AH74, TRUE)</f>
        <v>147</v>
      </c>
      <c r="T74" s="4320">
        <f t="shared" ca="1" si="28"/>
        <v>13</v>
      </c>
      <c r="U74" s="4318">
        <f>SUM(U80:U81)</f>
        <v>2126</v>
      </c>
      <c r="V74" s="4318">
        <f>SUM(V80:V81)</f>
        <v>2114</v>
      </c>
      <c r="W74" s="4318">
        <f t="shared" si="29"/>
        <v>12</v>
      </c>
      <c r="X74" s="4311"/>
      <c r="Y74" s="4312"/>
      <c r="Z74" s="4067"/>
      <c r="AA74" s="4068"/>
      <c r="AB74" s="4385"/>
      <c r="AC74" s="4099">
        <f>'※ 팀별 작성_인프라_인력'!BK434</f>
        <v>144.21969696969697</v>
      </c>
      <c r="AD74" s="4097">
        <f>'※ 팀별 작성_인프라_인력'!BK468</f>
        <v>16.271794986002888</v>
      </c>
      <c r="AE74" s="4391">
        <f>'※ 팀별 작성_인프라_인력'!BO468</f>
        <v>6.7174814692829354</v>
      </c>
      <c r="AF74" s="4047">
        <f>ROW('※ 팀별 작성_인프라_인력'!AH262)</f>
        <v>262</v>
      </c>
      <c r="AG74" s="4036">
        <f>ROW('※ 팀별 작성_인프라_인력'!AI296)</f>
        <v>296</v>
      </c>
      <c r="AH74" s="4036">
        <f>ROW('※ 팀별 작성_인프라_인력'!AJ330)</f>
        <v>330</v>
      </c>
    </row>
    <row r="75" spans="1:34" ht="16.3" customHeight="1" x14ac:dyDescent="0.55000000000000004">
      <c r="A75" s="7401"/>
      <c r="B75" s="3940" t="s">
        <v>226</v>
      </c>
      <c r="C75" s="3941"/>
      <c r="D75" s="4322" cm="1">
        <f t="array" aca="1" ref="D75" ca="1">INDIRECT("'※ 팀별 작성_인프라_인력'!"&amp;D$1&amp;$AF75, TRUE)</f>
        <v>206.83333333333334</v>
      </c>
      <c r="E75" s="4322" cm="1">
        <f t="array" aca="1" ref="E75" ca="1">INDIRECT("'※ 팀별 작성_인프라_인력'!"&amp;E$1&amp;$AF75, TRUE)</f>
        <v>235.91666666666666</v>
      </c>
      <c r="F75" s="4323" cm="1">
        <f t="array" aca="1" ref="F75" ca="1">INDIRECT("'※ 팀별 작성_인프라_인력'!"&amp;F$1&amp;$AF75, TRUE)</f>
        <v>220</v>
      </c>
      <c r="G75" s="4324" cm="1">
        <f t="array" aca="1" ref="G75" ca="1">INDIRECT("'※ 팀별 작성_인프라_인력'!"&amp;G$1&amp;$AF75, TRUE)</f>
        <v>282</v>
      </c>
      <c r="H75" s="4324" cm="1">
        <f t="array" aca="1" ref="H75" ca="1">INDIRECT("'※ 팀별 작성_인프라_인력'!"&amp;H$1&amp;$AF75, TRUE)</f>
        <v>251</v>
      </c>
      <c r="I75" s="4324" cm="1">
        <f t="array" aca="1" ref="I75" ca="1">INDIRECT("'※ 팀별 작성_인프라_인력'!"&amp;I$1&amp;$AF75, TRUE)</f>
        <v>253</v>
      </c>
      <c r="J75" s="4324" cm="1">
        <f t="array" aca="1" ref="J75" ca="1">INDIRECT("'※ 팀별 작성_인프라_인력'!"&amp;J$1&amp;$AF75, TRUE)</f>
        <v>349</v>
      </c>
      <c r="K75" s="4324" cm="1">
        <f t="array" aca="1" ref="K75" ca="1">INDIRECT("'※ 팀별 작성_인프라_인력'!"&amp;K$1&amp;$AF75, TRUE)</f>
        <v>277</v>
      </c>
      <c r="L75" s="4324" cm="1">
        <f t="array" aca="1" ref="L75" ca="1">INDIRECT("'※ 팀별 작성_인프라_인력'!"&amp;L$1&amp;$AF75, TRUE)</f>
        <v>277</v>
      </c>
      <c r="M75" s="4324" cm="1">
        <f t="array" aca="1" ref="M75" ca="1">INDIRECT("'※ 팀별 작성_인프라_인력'!"&amp;M$1&amp;$AF75, TRUE)</f>
        <v>212</v>
      </c>
      <c r="N75" s="4324" cm="1">
        <f t="array" aca="1" ref="N75" ca="1">INDIRECT("'※ 팀별 작성_인프라_인력'!"&amp;N$1&amp;$AF75, TRUE)</f>
        <v>222</v>
      </c>
      <c r="O75" s="4324" cm="1">
        <f t="array" aca="1" ref="O75" ca="1">INDIRECT("'※ 팀별 작성_인프라_인력'!"&amp;O$1&amp;$AF75, TRUE)</f>
        <v>199</v>
      </c>
      <c r="P75" s="4324" cm="1">
        <f t="array" aca="1" ref="P75" ca="1">INDIRECT("'※ 팀별 작성_인프라_인력'!"&amp;P$1&amp;$AF75, TRUE)</f>
        <v>221</v>
      </c>
      <c r="Q75" s="4324" cm="1">
        <f t="array" aca="1" ref="Q75" ca="1">INDIRECT("'※ 팀별 작성_인프라_인력'!"&amp;Q$1&amp;$AF75, TRUE)</f>
        <v>216</v>
      </c>
      <c r="R75" s="4325" cm="1">
        <f t="array" aca="1" ref="R75" ca="1">INDIRECT("'※ 팀별 작성_인프라_인력'!"&amp;R$1&amp;$AG75, TRUE)</f>
        <v>122</v>
      </c>
      <c r="S75" s="4324" cm="1">
        <f t="array" aca="1" ref="S75" ca="1">INDIRECT("'※ 팀별 작성_인프라_인력'!"&amp;S$1&amp;$AH75, TRUE)</f>
        <v>127</v>
      </c>
      <c r="T75" s="4326">
        <f t="shared" ca="1" si="28"/>
        <v>-5</v>
      </c>
      <c r="U75" s="4324">
        <f>SUM(U82:U83)</f>
        <v>1555</v>
      </c>
      <c r="V75" s="4324">
        <f>SUM(V82:V83)</f>
        <v>1580</v>
      </c>
      <c r="W75" s="4324">
        <f t="shared" si="29"/>
        <v>-25</v>
      </c>
      <c r="X75" s="4311"/>
      <c r="Y75" s="4312"/>
      <c r="Z75" s="4067"/>
      <c r="AA75" s="4068"/>
      <c r="AB75" s="4385"/>
      <c r="AC75" s="4392">
        <f>'※ 팀별 작성_인프라_인력'!BK435</f>
        <v>92.774999999999991</v>
      </c>
      <c r="AD75" s="4328">
        <f>'※ 팀별 작성_인프라_인력'!BK469</f>
        <v>12.830220123922276</v>
      </c>
      <c r="AE75" s="4393">
        <f>'※ 팀별 작성_인프라_인력'!BO469</f>
        <v>4.0712278423002424</v>
      </c>
      <c r="AF75" s="4047">
        <f>ROW('※ 팀별 작성_인프라_인력'!AH263)</f>
        <v>263</v>
      </c>
      <c r="AG75" s="4036">
        <f>ROW('※ 팀별 작성_인프라_인력'!AI297)</f>
        <v>297</v>
      </c>
      <c r="AH75" s="4036">
        <f>ROW('※ 팀별 작성_인프라_인력'!AJ331)</f>
        <v>331</v>
      </c>
    </row>
    <row r="76" spans="1:34" ht="16.3" customHeight="1" x14ac:dyDescent="0.55000000000000004">
      <c r="A76" s="7401"/>
      <c r="B76" s="4330"/>
      <c r="C76" s="4331" t="s">
        <v>242</v>
      </c>
      <c r="D76" s="4332" cm="1">
        <f t="array" aca="1" ref="D76" ca="1">INDIRECT("'※ 팀별 작성_인프라_인력'!"&amp;D$1&amp;$AF76, TRUE)</f>
        <v>120.08333333333333</v>
      </c>
      <c r="E76" s="4332" cm="1">
        <f t="array" aca="1" ref="E76" ca="1">INDIRECT("'※ 팀별 작성_인프라_인력'!"&amp;E$1&amp;$AF76, TRUE)</f>
        <v>135.41666666666666</v>
      </c>
      <c r="F76" s="4333" cm="1">
        <f t="array" aca="1" ref="F76" ca="1">INDIRECT("'※ 팀별 작성_인프라_인력'!"&amp;F$1&amp;$AF76, TRUE)</f>
        <v>115</v>
      </c>
      <c r="G76" s="4334" cm="1">
        <f t="array" aca="1" ref="G76" ca="1">INDIRECT("'※ 팀별 작성_인프라_인력'!"&amp;G$1&amp;$AF76, TRUE)</f>
        <v>146</v>
      </c>
      <c r="H76" s="4334" cm="1">
        <f t="array" aca="1" ref="H76" ca="1">INDIRECT("'※ 팀별 작성_인프라_인력'!"&amp;H$1&amp;$AF76, TRUE)</f>
        <v>121</v>
      </c>
      <c r="I76" s="4334" cm="1">
        <f t="array" aca="1" ref="I76" ca="1">INDIRECT("'※ 팀별 작성_인프라_인력'!"&amp;I$1&amp;$AF76, TRUE)</f>
        <v>122</v>
      </c>
      <c r="J76" s="4334" cm="1">
        <f t="array" aca="1" ref="J76" ca="1">INDIRECT("'※ 팀별 작성_인프라_인력'!"&amp;J$1&amp;$AF76, TRUE)</f>
        <v>206</v>
      </c>
      <c r="K76" s="4334" cm="1">
        <f t="array" aca="1" ref="K76" ca="1">INDIRECT("'※ 팀별 작성_인프라_인력'!"&amp;K$1&amp;$AF76, TRUE)</f>
        <v>161</v>
      </c>
      <c r="L76" s="4334" cm="1">
        <f t="array" aca="1" ref="L76" ca="1">INDIRECT("'※ 팀별 작성_인프라_인력'!"&amp;L$1&amp;$AF76, TRUE)</f>
        <v>216</v>
      </c>
      <c r="M76" s="4334" cm="1">
        <f t="array" aca="1" ref="M76" ca="1">INDIRECT("'※ 팀별 작성_인프라_인력'!"&amp;M$1&amp;$AF76, TRUE)</f>
        <v>183</v>
      </c>
      <c r="N76" s="4334" cm="1">
        <f t="array" aca="1" ref="N76" ca="1">INDIRECT("'※ 팀별 작성_인프라_인력'!"&amp;N$1&amp;$AF76, TRUE)</f>
        <v>209</v>
      </c>
      <c r="O76" s="4334" cm="1">
        <f t="array" aca="1" ref="O76" ca="1">INDIRECT("'※ 팀별 작성_인프라_인력'!"&amp;O$1&amp;$AF76, TRUE)</f>
        <v>176</v>
      </c>
      <c r="P76" s="4334" cm="1">
        <f t="array" aca="1" ref="P76" ca="1">INDIRECT("'※ 팀별 작성_인프라_인력'!"&amp;P$1&amp;$AF76, TRUE)</f>
        <v>196</v>
      </c>
      <c r="Q76" s="4334" cm="1">
        <f t="array" aca="1" ref="Q76" ca="1">INDIRECT("'※ 팀별 작성_인프라_인력'!"&amp;Q$1&amp;$AF76, TRUE)</f>
        <v>216</v>
      </c>
      <c r="R76" s="4335" cm="1">
        <f t="array" aca="1" ref="R76" ca="1">INDIRECT("'※ 팀별 작성_인프라_인력'!"&amp;R$1&amp;$AG76, TRUE)</f>
        <v>131</v>
      </c>
      <c r="S76" s="4334" cm="1">
        <f t="array" aca="1" ref="S76" ca="1">INDIRECT("'※ 팀별 작성_인프라_인력'!"&amp;S$1&amp;$AH76, TRUE)</f>
        <v>111</v>
      </c>
      <c r="T76" s="4336">
        <f t="shared" ca="1" si="28"/>
        <v>20</v>
      </c>
      <c r="U76" s="4334">
        <f>'※ 팀별 작성_인프라_인력'!BJ298</f>
        <v>1170</v>
      </c>
      <c r="V76" s="4334">
        <f>'※ 팀별 작성_인프라_인력'!BJ332</f>
        <v>1136</v>
      </c>
      <c r="W76" s="4337">
        <f t="shared" si="29"/>
        <v>34</v>
      </c>
      <c r="X76" s="4301"/>
      <c r="Y76" s="4302"/>
      <c r="Z76" s="4067"/>
      <c r="AA76" s="4068"/>
      <c r="AB76" s="4385"/>
      <c r="AC76" s="4394">
        <f>'※ 팀별 작성_인프라_인력'!BK436</f>
        <v>85.800925925925924</v>
      </c>
      <c r="AD76" s="4338">
        <f>'※ 팀별 작성_인프라_인력'!BK470</f>
        <v>11.405583751658563</v>
      </c>
      <c r="AE76" s="4395">
        <f>'※ 팀별 작성_인프라_인력'!BO470</f>
        <v>1.6730005530561005</v>
      </c>
      <c r="AF76" s="4047">
        <f>ROW('※ 팀별 작성_인프라_인력'!AH264)</f>
        <v>264</v>
      </c>
      <c r="AG76" s="4036">
        <f>ROW('※ 팀별 작성_인프라_인력'!AI298)</f>
        <v>298</v>
      </c>
      <c r="AH76" s="4036">
        <f>ROW('※ 팀별 작성_인프라_인력'!AJ332)</f>
        <v>332</v>
      </c>
    </row>
    <row r="77" spans="1:34" ht="16.3" customHeight="1" x14ac:dyDescent="0.55000000000000004">
      <c r="A77" s="7401"/>
      <c r="B77" s="4340"/>
      <c r="C77" s="2885" t="s">
        <v>243</v>
      </c>
      <c r="D77" s="4341" cm="1">
        <f t="array" aca="1" ref="D77" ca="1">INDIRECT("'※ 팀별 작성_인프라_인력'!"&amp;D$1&amp;$AF77, TRUE)</f>
        <v>30.75</v>
      </c>
      <c r="E77" s="4341" cm="1">
        <f t="array" aca="1" ref="E77" ca="1">INDIRECT("'※ 팀별 작성_인프라_인력'!"&amp;E$1&amp;$AF77, TRUE)</f>
        <v>47.5</v>
      </c>
      <c r="F77" s="4342" cm="1">
        <f t="array" aca="1" ref="F77" ca="1">INDIRECT("'※ 팀별 작성_인프라_인력'!"&amp;F$1&amp;$AF77, TRUE)</f>
        <v>58</v>
      </c>
      <c r="G77" s="4343" cm="1">
        <f t="array" aca="1" ref="G77" ca="1">INDIRECT("'※ 팀별 작성_인프라_인력'!"&amp;G$1&amp;$AF77, TRUE)</f>
        <v>64</v>
      </c>
      <c r="H77" s="4343" cm="1">
        <f t="array" aca="1" ref="H77" ca="1">INDIRECT("'※ 팀별 작성_인프라_인력'!"&amp;H$1&amp;$AF77, TRUE)</f>
        <v>57</v>
      </c>
      <c r="I77" s="4343" cm="1">
        <f t="array" aca="1" ref="I77" ca="1">INDIRECT("'※ 팀별 작성_인프라_인력'!"&amp;I$1&amp;$AF77, TRUE)</f>
        <v>56</v>
      </c>
      <c r="J77" s="4343" cm="1">
        <f t="array" aca="1" ref="J77" ca="1">INDIRECT("'※ 팀별 작성_인프라_인력'!"&amp;J$1&amp;$AF77, TRUE)</f>
        <v>82</v>
      </c>
      <c r="K77" s="4343" cm="1">
        <f t="array" aca="1" ref="K77" ca="1">INDIRECT("'※ 팀별 작성_인프라_인력'!"&amp;K$1&amp;$AF77, TRUE)</f>
        <v>63</v>
      </c>
      <c r="L77" s="4344"/>
      <c r="M77" s="4344"/>
      <c r="N77" s="4344"/>
      <c r="O77" s="4344"/>
      <c r="P77" s="4344"/>
      <c r="Q77" s="4344"/>
      <c r="R77" s="4345"/>
      <c r="S77" s="4344"/>
      <c r="T77" s="4346"/>
      <c r="U77" s="4343">
        <f>'※ 팀별 작성_인프라_인력'!BJ299</f>
        <v>216</v>
      </c>
      <c r="V77" s="4343">
        <f>'※ 팀별 작성_인프라_인력'!BJ333</f>
        <v>201</v>
      </c>
      <c r="W77" s="4347">
        <f t="shared" si="29"/>
        <v>15</v>
      </c>
      <c r="X77" s="4301"/>
      <c r="Y77" s="4302"/>
      <c r="Z77" s="4067"/>
      <c r="AA77" s="4068"/>
      <c r="AB77" s="4385"/>
      <c r="AC77" s="4158">
        <f>'※ 팀별 작성_인프라_인력'!BK437</f>
        <v>40.424242424242429</v>
      </c>
      <c r="AD77" s="4156">
        <f>'※ 팀별 작성_인프라_인력'!BK471</f>
        <v>5.4371588556371169</v>
      </c>
      <c r="AE77" s="4396">
        <f>'※ 팀별 작성_인프라_인력'!BO471</f>
        <v>-2.3276750423489547</v>
      </c>
      <c r="AF77" s="4047">
        <f>ROW('※ 팀별 작성_인프라_인력'!AH265)</f>
        <v>265</v>
      </c>
      <c r="AG77" s="4036">
        <f>ROW('※ 팀별 작성_인프라_인력'!AI299)</f>
        <v>299</v>
      </c>
      <c r="AH77" s="4036">
        <f>ROW('※ 팀별 작성_인프라_인력'!AJ333)</f>
        <v>333</v>
      </c>
    </row>
    <row r="78" spans="1:34" ht="16.3" customHeight="1" x14ac:dyDescent="0.55000000000000004">
      <c r="A78" s="7401"/>
      <c r="B78" s="4340"/>
      <c r="C78" s="2648" t="s">
        <v>244</v>
      </c>
      <c r="D78" s="4356" cm="1">
        <f t="array" aca="1" ref="D78" ca="1">INDIRECT("'※ 팀별 작성_인프라_인력'!"&amp;D$1&amp;$AF78, TRUE)</f>
        <v>101.66666666666667</v>
      </c>
      <c r="E78" s="4356" cm="1">
        <f t="array" aca="1" ref="E78" ca="1">INDIRECT("'※ 팀별 작성_인프라_인력'!"&amp;E$1&amp;$AF78, TRUE)</f>
        <v>131.75</v>
      </c>
      <c r="F78" s="4357" cm="1">
        <f t="array" aca="1" ref="F78" ca="1">INDIRECT("'※ 팀별 작성_인프라_인력'!"&amp;F$1&amp;$AF78, TRUE)</f>
        <v>118</v>
      </c>
      <c r="G78" s="4349" cm="1">
        <f t="array" aca="1" ref="G78" ca="1">INDIRECT("'※ 팀별 작성_인프라_인력'!"&amp;G$1&amp;$AF78, TRUE)</f>
        <v>145</v>
      </c>
      <c r="H78" s="4349" cm="1">
        <f t="array" aca="1" ref="H78" ca="1">INDIRECT("'※ 팀별 작성_인프라_인력'!"&amp;H$1&amp;$AF78, TRUE)</f>
        <v>113</v>
      </c>
      <c r="I78" s="4349" cm="1">
        <f t="array" aca="1" ref="I78" ca="1">INDIRECT("'※ 팀별 작성_인프라_인력'!"&amp;I$1&amp;$AF78, TRUE)</f>
        <v>109</v>
      </c>
      <c r="J78" s="4349" cm="1">
        <f t="array" aca="1" ref="J78" ca="1">INDIRECT("'※ 팀별 작성_인프라_인력'!"&amp;J$1&amp;$AF78, TRUE)</f>
        <v>219</v>
      </c>
      <c r="K78" s="4349" cm="1">
        <f t="array" aca="1" ref="K78" ca="1">INDIRECT("'※ 팀별 작성_인프라_인력'!"&amp;K$1&amp;$AF78, TRUE)</f>
        <v>169</v>
      </c>
      <c r="L78" s="4349" cm="1">
        <f t="array" aca="1" ref="L78" ca="1">INDIRECT("'※ 팀별 작성_인프라_인력'!"&amp;L$1&amp;$AF78, TRUE)</f>
        <v>154</v>
      </c>
      <c r="M78" s="4349" cm="1">
        <f t="array" aca="1" ref="M78" ca="1">INDIRECT("'※ 팀별 작성_인프라_인력'!"&amp;M$1&amp;$AF78, TRUE)</f>
        <v>152</v>
      </c>
      <c r="N78" s="4349" cm="1">
        <f t="array" aca="1" ref="N78" ca="1">INDIRECT("'※ 팀별 작성_인프라_인력'!"&amp;N$1&amp;$AF78, TRUE)</f>
        <v>158</v>
      </c>
      <c r="O78" s="4349" cm="1">
        <f t="array" aca="1" ref="O78" ca="1">INDIRECT("'※ 팀별 작성_인프라_인력'!"&amp;O$1&amp;$AF78, TRUE)</f>
        <v>145</v>
      </c>
      <c r="P78" s="4349" cm="1">
        <f t="array" aca="1" ref="P78" ca="1">INDIRECT("'※ 팀별 작성_인프라_인력'!"&amp;P$1&amp;$AF78, TRUE)</f>
        <v>136</v>
      </c>
      <c r="Q78" s="4349" cm="1">
        <f t="array" aca="1" ref="Q78" ca="1">INDIRECT("'※ 팀별 작성_인프라_인력'!"&amp;Q$1&amp;$AF78, TRUE)</f>
        <v>143</v>
      </c>
      <c r="R78" s="4358" cm="1">
        <f t="array" aca="1" ref="R78" ca="1">INDIRECT("'※ 팀별 작성_인프라_인력'!"&amp;R$1&amp;$AG78, TRUE)</f>
        <v>72</v>
      </c>
      <c r="S78" s="4349" cm="1">
        <f t="array" aca="1" ref="S78" ca="1">INDIRECT("'※ 팀별 작성_인프라_인력'!"&amp;S$1&amp;$AH78, TRUE)</f>
        <v>65</v>
      </c>
      <c r="T78" s="4359">
        <f t="shared" ca="1" si="28"/>
        <v>7</v>
      </c>
      <c r="U78" s="4349">
        <f>'※ 팀별 작성_인프라_인력'!BJ300</f>
        <v>889</v>
      </c>
      <c r="V78" s="4349">
        <f>'※ 팀별 작성_인프라_인력'!BJ334</f>
        <v>880</v>
      </c>
      <c r="W78" s="4350">
        <f t="shared" si="29"/>
        <v>9</v>
      </c>
      <c r="X78" s="4301"/>
      <c r="Y78" s="4302"/>
      <c r="Z78" s="4067"/>
      <c r="AA78" s="4068"/>
      <c r="AB78" s="4385"/>
      <c r="AC78" s="4144">
        <f>'※ 팀별 작성_인프라_인력'!BK438</f>
        <v>100.65277777777777</v>
      </c>
      <c r="AD78" s="4142">
        <f>'※ 팀별 작성_인프라_인력'!BK472</f>
        <v>13.616440266693587</v>
      </c>
      <c r="AE78" s="4397">
        <f>'※ 팀별 작성_인프라_인력'!BO472</f>
        <v>2.7934841560964028</v>
      </c>
      <c r="AF78" s="4047">
        <f>ROW('※ 팀별 작성_인프라_인력'!AH266)</f>
        <v>266</v>
      </c>
      <c r="AG78" s="4036">
        <f>ROW('※ 팀별 작성_인프라_인력'!AI300)</f>
        <v>300</v>
      </c>
      <c r="AH78" s="4036">
        <f>ROW('※ 팀별 작성_인프라_인력'!AJ334)</f>
        <v>334</v>
      </c>
    </row>
    <row r="79" spans="1:34" ht="16.3" customHeight="1" x14ac:dyDescent="0.55000000000000004">
      <c r="A79" s="7401"/>
      <c r="B79" s="4340"/>
      <c r="C79" s="2885" t="s">
        <v>245</v>
      </c>
      <c r="D79" s="4341" cm="1">
        <f t="array" aca="1" ref="D79" ca="1">INDIRECT("'※ 팀별 작성_인프라_인력'!"&amp;D$1&amp;$AF79, TRUE)</f>
        <v>95.75</v>
      </c>
      <c r="E79" s="4341" cm="1">
        <f t="array" aca="1" ref="E79" ca="1">INDIRECT("'※ 팀별 작성_인프라_인력'!"&amp;E$1&amp;$AF79, TRUE)</f>
        <v>139.83333333333334</v>
      </c>
      <c r="F79" s="4342" cm="1">
        <f t="array" aca="1" ref="F79" ca="1">INDIRECT("'※ 팀별 작성_인프라_인력'!"&amp;F$1&amp;$AF79, TRUE)</f>
        <v>129</v>
      </c>
      <c r="G79" s="4343" cm="1">
        <f t="array" aca="1" ref="G79" ca="1">INDIRECT("'※ 팀별 작성_인프라_인력'!"&amp;G$1&amp;$AF79, TRUE)</f>
        <v>176</v>
      </c>
      <c r="H79" s="4343" cm="1">
        <f t="array" aca="1" ref="H79" ca="1">INDIRECT("'※ 팀별 작성_인프라_인력'!"&amp;H$1&amp;$AF79, TRUE)</f>
        <v>137</v>
      </c>
      <c r="I79" s="4343" cm="1">
        <f t="array" aca="1" ref="I79" ca="1">INDIRECT("'※ 팀별 작성_인프라_인력'!"&amp;I$1&amp;$AF79, TRUE)</f>
        <v>152</v>
      </c>
      <c r="J79" s="4343" cm="1">
        <f t="array" aca="1" ref="J79" ca="1">INDIRECT("'※ 팀별 작성_인프라_인력'!"&amp;J$1&amp;$AF79, TRUE)</f>
        <v>219</v>
      </c>
      <c r="K79" s="4343" cm="1">
        <f t="array" aca="1" ref="K79" ca="1">INDIRECT("'※ 팀별 작성_인프라_인력'!"&amp;K$1&amp;$AF79, TRUE)</f>
        <v>194</v>
      </c>
      <c r="L79" s="4343" cm="1">
        <f t="array" aca="1" ref="L79" ca="1">INDIRECT("'※ 팀별 작성_인프라_인력'!"&amp;L$1&amp;$AF79, TRUE)</f>
        <v>182</v>
      </c>
      <c r="M79" s="4343" cm="1">
        <f t="array" aca="1" ref="M79" ca="1">INDIRECT("'※ 팀별 작성_인프라_인력'!"&amp;M$1&amp;$AF79, TRUE)</f>
        <v>152</v>
      </c>
      <c r="N79" s="4343" cm="1">
        <f t="array" aca="1" ref="N79" ca="1">INDIRECT("'※ 팀별 작성_인프라_인력'!"&amp;N$1&amp;$AF79, TRUE)</f>
        <v>164</v>
      </c>
      <c r="O79" s="4343" cm="1">
        <f t="array" aca="1" ref="O79" ca="1">INDIRECT("'※ 팀별 작성_인프라_인력'!"&amp;O$1&amp;$AF79, TRUE)</f>
        <v>147</v>
      </c>
      <c r="P79" s="4343" cm="1">
        <f t="array" aca="1" ref="P79" ca="1">INDIRECT("'※ 팀별 작성_인프라_인력'!"&amp;P$1&amp;$AF79, TRUE)</f>
        <v>123</v>
      </c>
      <c r="Q79" s="4343" cm="1">
        <f t="array" aca="1" ref="Q79" ca="1">INDIRECT("'※ 팀별 작성_인프라_인력'!"&amp;Q$1&amp;$AF79, TRUE)</f>
        <v>148</v>
      </c>
      <c r="R79" s="4354" cm="1">
        <f t="array" aca="1" ref="R79" ca="1">INDIRECT("'※ 팀별 작성_인프라_인력'!"&amp;R$1&amp;$AG79, TRUE)</f>
        <v>90</v>
      </c>
      <c r="S79" s="4343" cm="1">
        <f t="array" aca="1" ref="S79" ca="1">INDIRECT("'※ 팀별 작성_인프라_인력'!"&amp;S$1&amp;$AH79, TRUE)</f>
        <v>65</v>
      </c>
      <c r="T79" s="4355">
        <f ca="1">R79-S79</f>
        <v>25</v>
      </c>
      <c r="U79" s="4343">
        <f>'※ 팀별 작성_인프라_인력'!BJ301</f>
        <v>1025</v>
      </c>
      <c r="V79" s="4343">
        <f>'※ 팀별 작성_인프라_인력'!BJ335</f>
        <v>1015</v>
      </c>
      <c r="W79" s="4347">
        <f t="shared" si="29"/>
        <v>10</v>
      </c>
      <c r="X79" s="4301"/>
      <c r="Y79" s="4302"/>
      <c r="Z79" s="4067"/>
      <c r="AA79" s="4068"/>
      <c r="AB79" s="4385"/>
      <c r="AC79" s="4158">
        <f>'※ 팀별 작성_인프라_인력'!BK439</f>
        <v>109.62499999999999</v>
      </c>
      <c r="AD79" s="4156">
        <f>'※ 팀별 작성_인프라_인력'!BK473</f>
        <v>15.275919754837084</v>
      </c>
      <c r="AE79" s="4396">
        <f>'※ 팀별 작성_인프라_인력'!BO473</f>
        <v>4.856273254093022</v>
      </c>
      <c r="AF79" s="4047">
        <f>ROW('※ 팀별 작성_인프라_인력'!AH267)</f>
        <v>267</v>
      </c>
      <c r="AG79" s="4036">
        <f>ROW('※ 팀별 작성_인프라_인력'!AI301)</f>
        <v>301</v>
      </c>
      <c r="AH79" s="4036">
        <f>ROW('※ 팀별 작성_인프라_인력'!AJ335)</f>
        <v>335</v>
      </c>
    </row>
    <row r="80" spans="1:34" ht="16.3" customHeight="1" x14ac:dyDescent="0.55000000000000004">
      <c r="A80" s="7401"/>
      <c r="B80" s="4340"/>
      <c r="C80" s="2648" t="s">
        <v>246</v>
      </c>
      <c r="D80" s="4356" cm="1">
        <f t="array" aca="1" ref="D80" ca="1">INDIRECT("'※ 팀별 작성_인프라_인력'!"&amp;D$1&amp;$AF80, TRUE)</f>
        <v>114.16666666666667</v>
      </c>
      <c r="E80" s="4356" cm="1">
        <f t="array" aca="1" ref="E80" ca="1">INDIRECT("'※ 팀별 작성_인프라_인력'!"&amp;E$1&amp;$AF80, TRUE)</f>
        <v>194.25</v>
      </c>
      <c r="F80" s="4357" cm="1">
        <f t="array" aca="1" ref="F80" ca="1">INDIRECT("'※ 팀별 작성_인프라_인력'!"&amp;F$1&amp;$AF80, TRUE)</f>
        <v>211</v>
      </c>
      <c r="G80" s="4349" cm="1">
        <f t="array" aca="1" ref="G80" ca="1">INDIRECT("'※ 팀별 작성_인프라_인력'!"&amp;G$1&amp;$AF80, TRUE)</f>
        <v>215</v>
      </c>
      <c r="H80" s="4349" cm="1">
        <f t="array" aca="1" ref="H80" ca="1">INDIRECT("'※ 팀별 작성_인프라_인력'!"&amp;H$1&amp;$AF80, TRUE)</f>
        <v>197</v>
      </c>
      <c r="I80" s="4349" cm="1">
        <f t="array" aca="1" ref="I80" ca="1">INDIRECT("'※ 팀별 작성_인프라_인력'!"&amp;I$1&amp;$AF80, TRUE)</f>
        <v>231</v>
      </c>
      <c r="J80" s="4349" cm="1">
        <f t="array" aca="1" ref="J80" ca="1">INDIRECT("'※ 팀별 작성_인프라_인력'!"&amp;J$1&amp;$AF80, TRUE)</f>
        <v>343</v>
      </c>
      <c r="K80" s="4349" cm="1">
        <f t="array" aca="1" ref="K80" ca="1">INDIRECT("'※ 팀별 작성_인프라_인력'!"&amp;K$1&amp;$AF80, TRUE)</f>
        <v>319</v>
      </c>
      <c r="L80" s="4349" cm="1">
        <f t="array" aca="1" ref="L80" ca="1">INDIRECT("'※ 팀별 작성_인프라_인력'!"&amp;L$1&amp;$AF80, TRUE)</f>
        <v>273</v>
      </c>
      <c r="M80" s="4349" cm="1">
        <f t="array" aca="1" ref="M80" ca="1">INDIRECT("'※ 팀별 작성_인프라_인력'!"&amp;M$1&amp;$AF80, TRUE)</f>
        <v>203</v>
      </c>
      <c r="N80" s="4349" cm="1">
        <f t="array" aca="1" ref="N80" ca="1">INDIRECT("'※ 팀별 작성_인프라_인력'!"&amp;N$1&amp;$AF80, TRUE)</f>
        <v>213</v>
      </c>
      <c r="O80" s="4349" cm="1">
        <f t="array" aca="1" ref="O80" ca="1">INDIRECT("'※ 팀별 작성_인프라_인력'!"&amp;O$1&amp;$AF80, TRUE)</f>
        <v>206</v>
      </c>
      <c r="P80" s="4349" cm="1">
        <f t="array" aca="1" ref="P80" ca="1">INDIRECT("'※ 팀별 작성_인프라_인력'!"&amp;P$1&amp;$AF80, TRUE)</f>
        <v>187</v>
      </c>
      <c r="Q80" s="4349" cm="1">
        <f t="array" aca="1" ref="Q80" ca="1">INDIRECT("'※ 팀별 작성_인프라_인력'!"&amp;Q$1&amp;$AF80, TRUE)</f>
        <v>193</v>
      </c>
      <c r="R80" s="4358" cm="1">
        <f t="array" aca="1" ref="R80" ca="1">INDIRECT("'※ 팀별 작성_인프라_인력'!"&amp;R$1&amp;$AG80, TRUE)</f>
        <v>93</v>
      </c>
      <c r="S80" s="4349" cm="1">
        <f t="array" aca="1" ref="S80" ca="1">INDIRECT("'※ 팀별 작성_인프라_인력'!"&amp;S$1&amp;$AH80, TRUE)</f>
        <v>87</v>
      </c>
      <c r="T80" s="4359">
        <f t="shared" ca="1" si="28"/>
        <v>6</v>
      </c>
      <c r="U80" s="4349">
        <f>'※ 팀별 작성_인프라_인력'!BJ302</f>
        <v>1327</v>
      </c>
      <c r="V80" s="4349">
        <f>'※ 팀별 작성_인프라_인력'!BJ336</f>
        <v>1341</v>
      </c>
      <c r="W80" s="4350">
        <f t="shared" si="29"/>
        <v>-14</v>
      </c>
      <c r="X80" s="4301"/>
      <c r="Y80" s="4302"/>
      <c r="Z80" s="4067"/>
      <c r="AA80" s="4068"/>
      <c r="AB80" s="4385"/>
      <c r="AC80" s="4144">
        <f>'※ 팀별 작성_인프라_인력'!BK440</f>
        <v>192.69444444444446</v>
      </c>
      <c r="AD80" s="4142">
        <f>'※ 팀별 작성_인프라_인력'!BK474</f>
        <v>20.458550890962556</v>
      </c>
      <c r="AE80" s="4397">
        <f>'※ 팀별 작성_인프라_인력'!BO474</f>
        <v>9.0789707356953375</v>
      </c>
      <c r="AF80" s="4047">
        <f>ROW('※ 팀별 작성_인프라_인력'!AH268)</f>
        <v>268</v>
      </c>
      <c r="AG80" s="4036">
        <f>ROW('※ 팀별 작성_인프라_인력'!AI302)</f>
        <v>302</v>
      </c>
      <c r="AH80" s="4036">
        <f>ROW('※ 팀별 작성_인프라_인력'!AJ336)</f>
        <v>336</v>
      </c>
    </row>
    <row r="81" spans="1:34" ht="16.3" customHeight="1" x14ac:dyDescent="0.55000000000000004">
      <c r="A81" s="7401"/>
      <c r="B81" s="4340"/>
      <c r="C81" s="2648" t="s">
        <v>247</v>
      </c>
      <c r="D81" s="4356" cm="1">
        <f t="array" aca="1" ref="D81" ca="1">INDIRECT("'※ 팀별 작성_인프라_인력'!"&amp;D$1&amp;$AF81, TRUE)</f>
        <v>89.583333333333329</v>
      </c>
      <c r="E81" s="4356" cm="1">
        <f t="array" aca="1" ref="E81" ca="1">INDIRECT("'※ 팀별 작성_인프라_인력'!"&amp;E$1&amp;$AF81, TRUE)</f>
        <v>97.166666666666671</v>
      </c>
      <c r="F81" s="4357" cm="1">
        <f t="array" aca="1" ref="F81" ca="1">INDIRECT("'※ 팀별 작성_인프라_인력'!"&amp;F$1&amp;$AF81, TRUE)</f>
        <v>106</v>
      </c>
      <c r="G81" s="4349" cm="1">
        <f t="array" aca="1" ref="G81" ca="1">INDIRECT("'※ 팀별 작성_인프라_인력'!"&amp;G$1&amp;$AF81, TRUE)</f>
        <v>114</v>
      </c>
      <c r="H81" s="4349" cm="1">
        <f t="array" aca="1" ref="H81" ca="1">INDIRECT("'※ 팀별 작성_인프라_인력'!"&amp;H$1&amp;$AF81, TRUE)</f>
        <v>122</v>
      </c>
      <c r="I81" s="4349" cm="1">
        <f t="array" aca="1" ref="I81" ca="1">INDIRECT("'※ 팀별 작성_인프라_인력'!"&amp;I$1&amp;$AF81, TRUE)</f>
        <v>97</v>
      </c>
      <c r="J81" s="4349" cm="1">
        <f t="array" aca="1" ref="J81" ca="1">INDIRECT("'※ 팀별 작성_인프라_인력'!"&amp;J$1&amp;$AF81, TRUE)</f>
        <v>173</v>
      </c>
      <c r="K81" s="4349" cm="1">
        <f t="array" aca="1" ref="K81" ca="1">INDIRECT("'※ 팀별 작성_인프라_인력'!"&amp;K$1&amp;$AF81, TRUE)</f>
        <v>142</v>
      </c>
      <c r="L81" s="4349" cm="1">
        <f t="array" aca="1" ref="L81" ca="1">INDIRECT("'※ 팀별 작성_인프라_인력'!"&amp;L$1&amp;$AF81, TRUE)</f>
        <v>134</v>
      </c>
      <c r="M81" s="4349" cm="1">
        <f t="array" aca="1" ref="M81" ca="1">INDIRECT("'※ 팀별 작성_인프라_인력'!"&amp;M$1&amp;$AF81, TRUE)</f>
        <v>96</v>
      </c>
      <c r="N81" s="4349" cm="1">
        <f t="array" aca="1" ref="N81" ca="1">INDIRECT("'※ 팀별 작성_인프라_인력'!"&amp;N$1&amp;$AF81, TRUE)</f>
        <v>117</v>
      </c>
      <c r="O81" s="4349" cm="1">
        <f t="array" aca="1" ref="O81" ca="1">INDIRECT("'※ 팀별 작성_인프라_인력'!"&amp;O$1&amp;$AF81, TRUE)</f>
        <v>116</v>
      </c>
      <c r="P81" s="4349" cm="1">
        <f t="array" aca="1" ref="P81" ca="1">INDIRECT("'※ 팀별 작성_인프라_인력'!"&amp;P$1&amp;$AF81, TRUE)</f>
        <v>112</v>
      </c>
      <c r="Q81" s="4349" cm="1">
        <f t="array" aca="1" ref="Q81" ca="1">INDIRECT("'※ 팀별 작성_인프라_인력'!"&amp;Q$1&amp;$AF81, TRUE)</f>
        <v>119</v>
      </c>
      <c r="R81" s="4358" cm="1">
        <f t="array" aca="1" ref="R81" ca="1">INDIRECT("'※ 팀별 작성_인프라_인력'!"&amp;R$1&amp;$AG81, TRUE)</f>
        <v>67</v>
      </c>
      <c r="S81" s="4349" cm="1">
        <f t="array" aca="1" ref="S81" ca="1">INDIRECT("'※ 팀별 작성_인프라_인력'!"&amp;S$1&amp;$AH81, TRUE)</f>
        <v>60</v>
      </c>
      <c r="T81" s="4359">
        <f t="shared" ca="1" si="28"/>
        <v>7</v>
      </c>
      <c r="U81" s="4349">
        <f>'※ 팀별 작성_인프라_인력'!BJ303</f>
        <v>799</v>
      </c>
      <c r="V81" s="4349">
        <f>'※ 팀별 작성_인프라_인력'!BJ337</f>
        <v>773</v>
      </c>
      <c r="W81" s="4350">
        <f t="shared" si="29"/>
        <v>26</v>
      </c>
      <c r="X81" s="4301"/>
      <c r="Y81" s="4302"/>
      <c r="Z81" s="4067"/>
      <c r="AA81" s="4068"/>
      <c r="AB81" s="4385"/>
      <c r="AC81" s="4144">
        <f>'※ 팀별 작성_인프라_인력'!BK441</f>
        <v>86.05</v>
      </c>
      <c r="AD81" s="4142">
        <f>'※ 팀별 작성_인프라_인력'!BK475</f>
        <v>10.489945677392503</v>
      </c>
      <c r="AE81" s="4397">
        <f>'※ 팀별 작성_인프라_인력'!BO475</f>
        <v>3.353684170743934</v>
      </c>
      <c r="AF81" s="4047">
        <f>ROW('※ 팀별 작성_인프라_인력'!AH269)</f>
        <v>269</v>
      </c>
      <c r="AG81" s="4036">
        <f>ROW('※ 팀별 작성_인프라_인력'!AI303)</f>
        <v>303</v>
      </c>
      <c r="AH81" s="4036">
        <f>ROW('※ 팀별 작성_인프라_인력'!AJ337)</f>
        <v>337</v>
      </c>
    </row>
    <row r="82" spans="1:34" ht="16.3" customHeight="1" x14ac:dyDescent="0.55000000000000004">
      <c r="A82" s="7401"/>
      <c r="B82" s="4340"/>
      <c r="C82" s="2885" t="s">
        <v>248</v>
      </c>
      <c r="D82" s="4341" cm="1">
        <f t="array" aca="1" ref="D82" ca="1">INDIRECT("'※ 팀별 작성_인프라_인력'!"&amp;D$1&amp;$AF82, TRUE)</f>
        <v>128.58333333333334</v>
      </c>
      <c r="E82" s="4341" cm="1">
        <f t="array" aca="1" ref="E82" ca="1">INDIRECT("'※ 팀별 작성_인프라_인력'!"&amp;E$1&amp;$AF82, TRUE)</f>
        <v>133.75</v>
      </c>
      <c r="F82" s="4342" cm="1">
        <f t="array" aca="1" ref="F82" ca="1">INDIRECT("'※ 팀별 작성_인프라_인력'!"&amp;F$1&amp;$AF82, TRUE)</f>
        <v>125</v>
      </c>
      <c r="G82" s="4343" cm="1">
        <f t="array" aca="1" ref="G82" ca="1">INDIRECT("'※ 팀별 작성_인프라_인력'!"&amp;G$1&amp;$AF82, TRUE)</f>
        <v>152</v>
      </c>
      <c r="H82" s="4343" cm="1">
        <f t="array" aca="1" ref="H82" ca="1">INDIRECT("'※ 팀별 작성_인프라_인력'!"&amp;H$1&amp;$AF82, TRUE)</f>
        <v>155</v>
      </c>
      <c r="I82" s="4343" cm="1">
        <f t="array" aca="1" ref="I82" ca="1">INDIRECT("'※ 팀별 작성_인프라_인력'!"&amp;I$1&amp;$AF82, TRUE)</f>
        <v>142</v>
      </c>
      <c r="J82" s="4343" cm="1">
        <f t="array" aca="1" ref="J82" ca="1">INDIRECT("'※ 팀별 작성_인프라_인력'!"&amp;J$1&amp;$AF82, TRUE)</f>
        <v>213</v>
      </c>
      <c r="K82" s="4343" cm="1">
        <f t="array" aca="1" ref="K82" ca="1">INDIRECT("'※ 팀별 작성_인프라_인력'!"&amp;K$1&amp;$AF82, TRUE)</f>
        <v>169</v>
      </c>
      <c r="L82" s="4343" cm="1">
        <f t="array" aca="1" ref="L82" ca="1">INDIRECT("'※ 팀별 작성_인프라_인력'!"&amp;L$1&amp;$AF82, TRUE)</f>
        <v>169</v>
      </c>
      <c r="M82" s="4343" cm="1">
        <f t="array" aca="1" ref="M82" ca="1">INDIRECT("'※ 팀별 작성_인프라_인력'!"&amp;M$1&amp;$AF82, TRUE)</f>
        <v>116</v>
      </c>
      <c r="N82" s="4343" cm="1">
        <f t="array" aca="1" ref="N82" ca="1">INDIRECT("'※ 팀별 작성_인프라_인력'!"&amp;N$1&amp;$AF82, TRUE)</f>
        <v>142</v>
      </c>
      <c r="O82" s="4343" cm="1">
        <f t="array" aca="1" ref="O82" ca="1">INDIRECT("'※ 팀별 작성_인프라_인력'!"&amp;O$1&amp;$AF82, TRUE)</f>
        <v>123</v>
      </c>
      <c r="P82" s="4343" cm="1">
        <f t="array" aca="1" ref="P82" ca="1">INDIRECT("'※ 팀별 작성_인프라_인력'!"&amp;P$1&amp;$AF82, TRUE)</f>
        <v>136</v>
      </c>
      <c r="Q82" s="4343" cm="1">
        <f t="array" aca="1" ref="Q82" ca="1">INDIRECT("'※ 팀별 작성_인프라_인력'!"&amp;Q$1&amp;$AF82, TRUE)</f>
        <v>132</v>
      </c>
      <c r="R82" s="4354" cm="1">
        <f t="array" aca="1" ref="R82" ca="1">INDIRECT("'※ 팀별 작성_인프라_인력'!"&amp;R$1&amp;$AG82, TRUE)</f>
        <v>70</v>
      </c>
      <c r="S82" s="4343" cm="1">
        <f t="array" aca="1" ref="S82" ca="1">INDIRECT("'※ 팀별 작성_인프라_인력'!"&amp;S$1&amp;$AH82, TRUE)</f>
        <v>74</v>
      </c>
      <c r="T82" s="4355">
        <f t="shared" ca="1" si="28"/>
        <v>-4</v>
      </c>
      <c r="U82" s="4343">
        <f>'※ 팀별 작성_인프라_인력'!BJ304</f>
        <v>916</v>
      </c>
      <c r="V82" s="4343">
        <f>'※ 팀별 작성_인프라_인력'!BJ338</f>
        <v>917</v>
      </c>
      <c r="W82" s="4347">
        <f t="shared" si="29"/>
        <v>-1</v>
      </c>
      <c r="X82" s="4301"/>
      <c r="Y82" s="4302"/>
      <c r="Z82" s="4067"/>
      <c r="AA82" s="4068"/>
      <c r="AB82" s="4385"/>
      <c r="AC82" s="4158">
        <f>'※ 팀별 작성_인프라_인력'!BK442</f>
        <v>112.13333333333334</v>
      </c>
      <c r="AD82" s="4156">
        <f>'※ 팀별 작성_인프라_인력'!BK476</f>
        <v>13.852301158225989</v>
      </c>
      <c r="AE82" s="4396">
        <f>'※ 팀별 작성_인프라_인력'!BO476</f>
        <v>4.1630120571245985</v>
      </c>
      <c r="AF82" s="4047">
        <f>ROW('※ 팀별 작성_인프라_인력'!AH270)</f>
        <v>270</v>
      </c>
      <c r="AG82" s="4036">
        <f>ROW('※ 팀별 작성_인프라_인력'!AI304)</f>
        <v>304</v>
      </c>
      <c r="AH82" s="4036">
        <f>ROW('※ 팀별 작성_인프라_인력'!AJ338)</f>
        <v>338</v>
      </c>
    </row>
    <row r="83" spans="1:34" ht="16.3" customHeight="1" thickBot="1" x14ac:dyDescent="0.6">
      <c r="A83" s="7402"/>
      <c r="B83" s="4398"/>
      <c r="C83" s="4399" t="s">
        <v>249</v>
      </c>
      <c r="D83" s="4400" cm="1">
        <f t="array" aca="1" ref="D83" ca="1">INDIRECT("'※ 팀별 작성_인프라_인력'!"&amp;D$1&amp;$AF83, TRUE)</f>
        <v>78.25</v>
      </c>
      <c r="E83" s="4400" cm="1">
        <f t="array" aca="1" ref="E83" ca="1">INDIRECT("'※ 팀별 작성_인프라_인력'!"&amp;E$1&amp;$AF83, TRUE)</f>
        <v>102.16666666666667</v>
      </c>
      <c r="F83" s="4401" cm="1">
        <f t="array" aca="1" ref="F83" ca="1">INDIRECT("'※ 팀별 작성_인프라_인력'!"&amp;F$1&amp;$AF83, TRUE)</f>
        <v>95</v>
      </c>
      <c r="G83" s="4402" cm="1">
        <f t="array" aca="1" ref="G83" ca="1">INDIRECT("'※ 팀별 작성_인프라_인력'!"&amp;G$1&amp;$AF83, TRUE)</f>
        <v>130</v>
      </c>
      <c r="H83" s="4402" cm="1">
        <f t="array" aca="1" ref="H83" ca="1">INDIRECT("'※ 팀별 작성_인프라_인력'!"&amp;H$1&amp;$AF83, TRUE)</f>
        <v>96</v>
      </c>
      <c r="I83" s="4402" cm="1">
        <f t="array" aca="1" ref="I83" ca="1">INDIRECT("'※ 팀별 작성_인프라_인력'!"&amp;I$1&amp;$AF83, TRUE)</f>
        <v>111</v>
      </c>
      <c r="J83" s="4402" cm="1">
        <f t="array" aca="1" ref="J83" ca="1">INDIRECT("'※ 팀별 작성_인프라_인력'!"&amp;J$1&amp;$AF83, TRUE)</f>
        <v>136</v>
      </c>
      <c r="K83" s="4402" cm="1">
        <f t="array" aca="1" ref="K83" ca="1">INDIRECT("'※ 팀별 작성_인프라_인력'!"&amp;K$1&amp;$AF83, TRUE)</f>
        <v>108</v>
      </c>
      <c r="L83" s="4402" cm="1">
        <f t="array" aca="1" ref="L83" ca="1">INDIRECT("'※ 팀별 작성_인프라_인력'!"&amp;L$1&amp;$AF83, TRUE)</f>
        <v>108</v>
      </c>
      <c r="M83" s="4402" cm="1">
        <f t="array" aca="1" ref="M83" ca="1">INDIRECT("'※ 팀별 작성_인프라_인력'!"&amp;M$1&amp;$AF83, TRUE)</f>
        <v>96</v>
      </c>
      <c r="N83" s="4402" cm="1">
        <f t="array" aca="1" ref="N83" ca="1">INDIRECT("'※ 팀별 작성_인프라_인력'!"&amp;N$1&amp;$AF83, TRUE)</f>
        <v>80</v>
      </c>
      <c r="O83" s="4402" cm="1">
        <f t="array" aca="1" ref="O83" ca="1">INDIRECT("'※ 팀별 작성_인프라_인력'!"&amp;O$1&amp;$AF83, TRUE)</f>
        <v>76</v>
      </c>
      <c r="P83" s="4402" cm="1">
        <f t="array" aca="1" ref="P83" ca="1">INDIRECT("'※ 팀별 작성_인프라_인력'!"&amp;P$1&amp;$AF83, TRUE)</f>
        <v>85</v>
      </c>
      <c r="Q83" s="4402" cm="1">
        <f t="array" aca="1" ref="Q83" ca="1">INDIRECT("'※ 팀별 작성_인프라_인력'!"&amp;Q$1&amp;$AF83, TRUE)</f>
        <v>84</v>
      </c>
      <c r="R83" s="4403" cm="1">
        <f t="array" aca="1" ref="R83" ca="1">INDIRECT("'※ 팀별 작성_인프라_인력'!"&amp;R$1&amp;$AG83, TRUE)</f>
        <v>52</v>
      </c>
      <c r="S83" s="4402" cm="1">
        <f t="array" aca="1" ref="S83" ca="1">INDIRECT("'※ 팀별 작성_인프라_인력'!"&amp;S$1&amp;$AH83, TRUE)</f>
        <v>53</v>
      </c>
      <c r="T83" s="4404">
        <f t="shared" ca="1" si="28"/>
        <v>-1</v>
      </c>
      <c r="U83" s="4402">
        <f>'※ 팀별 작성_인프라_인력'!BJ305</f>
        <v>639</v>
      </c>
      <c r="V83" s="4402">
        <f>'※ 팀별 작성_인프라_인력'!BJ339</f>
        <v>663</v>
      </c>
      <c r="W83" s="4405">
        <f t="shared" si="29"/>
        <v>-24</v>
      </c>
      <c r="X83" s="4406"/>
      <c r="Y83" s="4407"/>
      <c r="Z83" s="4408"/>
      <c r="AA83" s="4409"/>
      <c r="AB83" s="4410"/>
      <c r="AC83" s="4411">
        <f>'※ 팀별 작성_인프라_인력'!BK443</f>
        <v>73.416666666666657</v>
      </c>
      <c r="AD83" s="4412">
        <f>'※ 팀별 작성_인프라_인력'!BK477</f>
        <v>11.592146562694415</v>
      </c>
      <c r="AE83" s="4413">
        <f>'※ 팀별 작성_인프라_인력'!BO477</f>
        <v>3.954913284370166</v>
      </c>
      <c r="AF83" s="4047">
        <f>ROW('※ 팀별 작성_인프라_인력'!AH271)</f>
        <v>271</v>
      </c>
      <c r="AG83" s="4036">
        <f>ROW('※ 팀별 작성_인프라_인력'!AI305)</f>
        <v>305</v>
      </c>
      <c r="AH83" s="4036">
        <f>ROW('※ 팀별 작성_인프라_인력'!AJ339)</f>
        <v>339</v>
      </c>
    </row>
    <row r="84" spans="1:34" x14ac:dyDescent="0.55000000000000004">
      <c r="B84" s="2682"/>
      <c r="C84" s="2682"/>
      <c r="D84" s="2682"/>
      <c r="E84" s="2682"/>
      <c r="F84" s="2682"/>
      <c r="G84" s="2682"/>
      <c r="H84" s="2682"/>
      <c r="I84" s="2682"/>
      <c r="J84" s="2682"/>
      <c r="K84" s="2682"/>
      <c r="L84" s="2682"/>
      <c r="M84" s="2682"/>
      <c r="N84" s="2682"/>
      <c r="O84" s="2682"/>
      <c r="P84" s="2682"/>
      <c r="Q84" s="2682"/>
      <c r="R84" s="4414"/>
      <c r="S84" s="4414"/>
      <c r="T84" s="4414"/>
      <c r="U84" s="2682"/>
      <c r="V84" s="2682"/>
      <c r="W84" s="2682"/>
      <c r="X84" s="2682"/>
      <c r="Y84" s="2682"/>
      <c r="AF84" s="4047"/>
    </row>
    <row r="85" spans="1:34" x14ac:dyDescent="0.55000000000000004">
      <c r="B85" s="2682"/>
      <c r="C85" s="2682"/>
      <c r="D85" s="2682"/>
      <c r="E85" s="2682"/>
      <c r="F85" s="2682"/>
      <c r="G85" s="2682"/>
      <c r="H85" s="2682"/>
      <c r="I85" s="2682"/>
      <c r="J85" s="2682"/>
      <c r="K85" s="2682"/>
      <c r="L85" s="2682"/>
      <c r="M85" s="2682"/>
      <c r="N85" s="2682"/>
      <c r="O85" s="2682"/>
      <c r="P85" s="2682"/>
      <c r="Q85" s="2682"/>
      <c r="R85" s="4414"/>
      <c r="S85" s="4414"/>
      <c r="T85" s="4414"/>
      <c r="U85" s="2682"/>
      <c r="V85" s="2682"/>
      <c r="W85" s="2682"/>
      <c r="X85" s="2682"/>
      <c r="Y85" s="2682"/>
      <c r="AF85" s="4047"/>
    </row>
    <row r="86" spans="1:34" x14ac:dyDescent="0.55000000000000004">
      <c r="B86" s="2682"/>
      <c r="C86" s="2682"/>
      <c r="D86" s="2682"/>
      <c r="E86" s="2682"/>
      <c r="F86" s="2682"/>
      <c r="G86" s="2682"/>
      <c r="H86" s="2682"/>
      <c r="I86" s="2682"/>
      <c r="J86" s="2682"/>
      <c r="K86" s="2682"/>
      <c r="L86" s="2682"/>
      <c r="M86" s="2682"/>
      <c r="N86" s="2682"/>
      <c r="O86" s="2682"/>
      <c r="P86" s="2682"/>
      <c r="Q86" s="2682"/>
      <c r="R86" s="4414"/>
      <c r="S86" s="4414"/>
      <c r="T86" s="4414"/>
      <c r="U86" s="2682"/>
      <c r="V86" s="2682"/>
      <c r="W86" s="2682"/>
      <c r="X86" s="2682"/>
      <c r="Y86" s="2682"/>
      <c r="AF86" s="4047"/>
    </row>
    <row r="87" spans="1:34" x14ac:dyDescent="0.55000000000000004">
      <c r="B87" s="2682"/>
      <c r="C87" s="2682"/>
      <c r="D87" s="2682"/>
      <c r="E87" s="2682"/>
      <c r="F87" s="2682"/>
      <c r="G87" s="2682"/>
      <c r="H87" s="2682"/>
      <c r="I87" s="2682"/>
      <c r="J87" s="2682"/>
      <c r="K87" s="2682"/>
      <c r="L87" s="2682"/>
      <c r="M87" s="2682"/>
      <c r="N87" s="2682"/>
      <c r="O87" s="2682"/>
      <c r="P87" s="2682"/>
      <c r="Q87" s="2682"/>
      <c r="R87" s="4414"/>
      <c r="S87" s="4414"/>
      <c r="T87" s="4414"/>
      <c r="U87" s="2682"/>
      <c r="V87" s="2682"/>
      <c r="W87" s="2682"/>
      <c r="X87" s="2682"/>
      <c r="Y87" s="2682"/>
      <c r="AF87" s="4047"/>
    </row>
    <row r="88" spans="1:34" x14ac:dyDescent="0.55000000000000004">
      <c r="B88" s="2682"/>
      <c r="C88" s="2682"/>
      <c r="D88" s="2682"/>
      <c r="E88" s="2682"/>
      <c r="F88" s="2682"/>
      <c r="G88" s="2682"/>
      <c r="H88" s="2682"/>
      <c r="I88" s="2682"/>
      <c r="J88" s="2682"/>
      <c r="K88" s="2682"/>
      <c r="L88" s="2682"/>
      <c r="M88" s="2682"/>
      <c r="N88" s="2682"/>
      <c r="O88" s="2682"/>
      <c r="P88" s="2682"/>
      <c r="Q88" s="2682"/>
      <c r="R88" s="4414"/>
      <c r="S88" s="4414"/>
      <c r="T88" s="4414"/>
      <c r="U88" s="2682"/>
      <c r="V88" s="2682"/>
      <c r="W88" s="2682"/>
      <c r="X88" s="2682"/>
      <c r="Y88" s="2682"/>
      <c r="AF88" s="4047"/>
    </row>
    <row r="89" spans="1:34" x14ac:dyDescent="0.55000000000000004">
      <c r="B89" s="2682"/>
      <c r="C89" s="2682"/>
      <c r="D89" s="2682"/>
      <c r="E89" s="2682"/>
      <c r="F89" s="2682"/>
      <c r="G89" s="2682"/>
      <c r="H89" s="2682"/>
      <c r="I89" s="2682"/>
      <c r="J89" s="2682"/>
      <c r="K89" s="2682"/>
      <c r="L89" s="2682"/>
      <c r="M89" s="2682"/>
      <c r="N89" s="2682"/>
      <c r="O89" s="2682"/>
      <c r="P89" s="2682"/>
      <c r="Q89" s="2682"/>
      <c r="R89" s="4414"/>
      <c r="S89" s="4414"/>
      <c r="T89" s="4414"/>
      <c r="U89" s="2682"/>
      <c r="V89" s="2682"/>
      <c r="W89" s="2682"/>
      <c r="X89" s="2682"/>
      <c r="Y89" s="2682"/>
      <c r="AF89" s="4047"/>
    </row>
    <row r="90" spans="1:34" x14ac:dyDescent="0.55000000000000004">
      <c r="B90" s="2682"/>
      <c r="C90" s="2682"/>
      <c r="D90" s="2682"/>
      <c r="E90" s="2682"/>
      <c r="F90" s="2682"/>
      <c r="G90" s="2682"/>
      <c r="H90" s="2682"/>
      <c r="I90" s="2682"/>
      <c r="J90" s="2682"/>
      <c r="K90" s="2682"/>
      <c r="L90" s="2682"/>
      <c r="M90" s="2682"/>
      <c r="N90" s="2682"/>
      <c r="O90" s="2682"/>
      <c r="P90" s="2682"/>
      <c r="Q90" s="2682"/>
      <c r="R90" s="4414"/>
      <c r="S90" s="4414"/>
      <c r="T90" s="4414"/>
      <c r="U90" s="2682"/>
      <c r="V90" s="2682"/>
      <c r="W90" s="2682"/>
      <c r="X90" s="2682"/>
      <c r="Y90" s="2682"/>
      <c r="AF90" s="4047"/>
    </row>
    <row r="91" spans="1:34" x14ac:dyDescent="0.55000000000000004">
      <c r="B91" s="2682"/>
      <c r="C91" s="2682"/>
      <c r="D91" s="2682"/>
      <c r="E91" s="2682"/>
      <c r="F91" s="2682"/>
      <c r="G91" s="2682"/>
      <c r="H91" s="2682"/>
      <c r="I91" s="2682"/>
      <c r="J91" s="2682"/>
      <c r="K91" s="2682"/>
      <c r="L91" s="2682"/>
      <c r="M91" s="2682"/>
      <c r="N91" s="2682"/>
      <c r="O91" s="2682"/>
      <c r="P91" s="2682"/>
      <c r="Q91" s="2682"/>
      <c r="R91" s="4414"/>
      <c r="S91" s="4414"/>
      <c r="T91" s="4414"/>
      <c r="U91" s="2682"/>
      <c r="V91" s="2682"/>
      <c r="W91" s="2682"/>
      <c r="X91" s="2682"/>
      <c r="Y91" s="2682"/>
      <c r="AF91" s="4047"/>
    </row>
    <row r="92" spans="1:34" x14ac:dyDescent="0.55000000000000004">
      <c r="B92" s="2682"/>
      <c r="C92" s="2682"/>
      <c r="D92" s="2682"/>
      <c r="E92" s="2682"/>
      <c r="F92" s="2682"/>
      <c r="G92" s="2682"/>
      <c r="H92" s="2682"/>
      <c r="I92" s="2682"/>
      <c r="J92" s="2682"/>
      <c r="K92" s="2682"/>
      <c r="L92" s="2682"/>
      <c r="M92" s="2682"/>
      <c r="N92" s="2682"/>
      <c r="O92" s="2682"/>
      <c r="P92" s="2682"/>
      <c r="Q92" s="2682"/>
      <c r="R92" s="4414"/>
      <c r="S92" s="4414"/>
      <c r="T92" s="4414"/>
      <c r="U92" s="2682"/>
      <c r="V92" s="2682"/>
      <c r="W92" s="2682"/>
      <c r="X92" s="2682"/>
      <c r="Y92" s="2682"/>
      <c r="AF92" s="4047"/>
    </row>
    <row r="93" spans="1:34" x14ac:dyDescent="0.55000000000000004">
      <c r="B93" s="2682"/>
      <c r="C93" s="2682"/>
      <c r="D93" s="2682"/>
      <c r="E93" s="2682"/>
      <c r="F93" s="2682"/>
      <c r="G93" s="2682"/>
      <c r="H93" s="2682"/>
      <c r="I93" s="2682"/>
      <c r="J93" s="2682"/>
      <c r="K93" s="2682"/>
      <c r="L93" s="2682"/>
      <c r="M93" s="2682"/>
      <c r="N93" s="2682"/>
      <c r="O93" s="2682"/>
      <c r="P93" s="2682"/>
      <c r="Q93" s="2682"/>
      <c r="R93" s="4414"/>
      <c r="S93" s="4414"/>
      <c r="T93" s="4414"/>
      <c r="U93" s="2682"/>
      <c r="V93" s="2682"/>
      <c r="W93" s="2682"/>
      <c r="X93" s="2682"/>
      <c r="Y93" s="2682"/>
      <c r="AF93" s="4047"/>
    </row>
    <row r="94" spans="1:34" x14ac:dyDescent="0.55000000000000004">
      <c r="B94" s="2682"/>
      <c r="C94" s="2682"/>
      <c r="D94" s="2682"/>
      <c r="E94" s="2682"/>
      <c r="F94" s="2682"/>
      <c r="G94" s="2682"/>
      <c r="H94" s="2682"/>
      <c r="I94" s="2682"/>
      <c r="J94" s="2682"/>
      <c r="K94" s="2682"/>
      <c r="L94" s="2682"/>
      <c r="M94" s="2682"/>
      <c r="N94" s="2682"/>
      <c r="O94" s="2682"/>
      <c r="P94" s="2682"/>
      <c r="Q94" s="2682"/>
      <c r="R94" s="4414"/>
      <c r="S94" s="4414"/>
      <c r="T94" s="4414"/>
      <c r="U94" s="2682"/>
      <c r="V94" s="2682"/>
      <c r="W94" s="2682"/>
      <c r="X94" s="2682"/>
      <c r="Y94" s="2682"/>
    </row>
    <row r="95" spans="1:34" x14ac:dyDescent="0.55000000000000004">
      <c r="B95" s="2682"/>
      <c r="C95" s="2682"/>
      <c r="D95" s="2682"/>
      <c r="E95" s="2682"/>
      <c r="F95" s="2682"/>
      <c r="G95" s="2682"/>
      <c r="H95" s="2682"/>
      <c r="I95" s="2682"/>
      <c r="J95" s="2682"/>
      <c r="K95" s="2682"/>
      <c r="L95" s="2682"/>
      <c r="M95" s="2682"/>
      <c r="N95" s="2682"/>
      <c r="O95" s="2682"/>
      <c r="P95" s="2682"/>
      <c r="Q95" s="2682"/>
      <c r="R95" s="4414"/>
      <c r="S95" s="4414"/>
      <c r="T95" s="4414"/>
      <c r="U95" s="2682"/>
      <c r="V95" s="2682"/>
      <c r="W95" s="2682"/>
      <c r="X95" s="2682"/>
      <c r="Y95" s="2682"/>
    </row>
    <row r="96" spans="1:34" x14ac:dyDescent="0.55000000000000004">
      <c r="B96" s="2682"/>
      <c r="C96" s="2682"/>
      <c r="D96" s="2682"/>
      <c r="E96" s="2682"/>
      <c r="F96" s="2682"/>
      <c r="G96" s="2682"/>
      <c r="H96" s="2682"/>
      <c r="I96" s="2682"/>
      <c r="J96" s="2682"/>
      <c r="K96" s="2682"/>
      <c r="L96" s="2682"/>
      <c r="M96" s="2682"/>
      <c r="N96" s="2682"/>
      <c r="O96" s="2682"/>
      <c r="P96" s="2682"/>
      <c r="Q96" s="2682"/>
      <c r="R96" s="4414"/>
      <c r="S96" s="4414"/>
      <c r="T96" s="4414"/>
      <c r="U96" s="2682"/>
      <c r="V96" s="2682"/>
      <c r="W96" s="2682"/>
      <c r="X96" s="2682"/>
      <c r="Y96" s="2682"/>
      <c r="AF96" s="4047"/>
    </row>
    <row r="97" spans="2:32" x14ac:dyDescent="0.55000000000000004">
      <c r="B97" s="2682"/>
      <c r="C97" s="2682"/>
      <c r="D97" s="2682"/>
      <c r="E97" s="2682"/>
      <c r="F97" s="2682"/>
      <c r="G97" s="2682"/>
      <c r="H97" s="2682"/>
      <c r="I97" s="2682"/>
      <c r="J97" s="2682"/>
      <c r="K97" s="2682"/>
      <c r="L97" s="2682"/>
      <c r="M97" s="2682"/>
      <c r="N97" s="2682"/>
      <c r="O97" s="2682"/>
      <c r="P97" s="2682"/>
      <c r="Q97" s="2682"/>
      <c r="R97" s="4414"/>
      <c r="S97" s="4414"/>
      <c r="T97" s="4414"/>
      <c r="U97" s="2682"/>
      <c r="V97" s="2682"/>
      <c r="W97" s="2682"/>
      <c r="X97" s="2682"/>
      <c r="Y97" s="2682"/>
      <c r="AF97" s="4047"/>
    </row>
    <row r="98" spans="2:32" x14ac:dyDescent="0.55000000000000004">
      <c r="B98" s="2682"/>
      <c r="C98" s="2682"/>
      <c r="D98" s="2682"/>
      <c r="E98" s="2682"/>
      <c r="F98" s="2682"/>
      <c r="G98" s="2682"/>
      <c r="H98" s="2682"/>
      <c r="I98" s="2682"/>
      <c r="J98" s="2682"/>
      <c r="K98" s="2682"/>
      <c r="L98" s="2682"/>
      <c r="M98" s="2682"/>
      <c r="N98" s="2682"/>
      <c r="O98" s="2682"/>
      <c r="P98" s="2682"/>
      <c r="Q98" s="2682"/>
      <c r="R98" s="4414"/>
      <c r="S98" s="4414"/>
      <c r="T98" s="4414"/>
      <c r="U98" s="2682"/>
      <c r="V98" s="2682"/>
      <c r="W98" s="2682"/>
      <c r="X98" s="2682"/>
      <c r="Y98" s="2682"/>
      <c r="AF98" s="4047"/>
    </row>
    <row r="99" spans="2:32" x14ac:dyDescent="0.55000000000000004">
      <c r="B99" s="2682"/>
      <c r="C99" s="2682"/>
      <c r="D99" s="2682"/>
      <c r="E99" s="2682"/>
      <c r="F99" s="2682"/>
      <c r="G99" s="2682"/>
      <c r="H99" s="2682"/>
      <c r="I99" s="2682"/>
      <c r="J99" s="2682"/>
      <c r="K99" s="2682"/>
      <c r="L99" s="2682"/>
      <c r="M99" s="2682"/>
      <c r="N99" s="2682"/>
      <c r="O99" s="2682"/>
      <c r="P99" s="2682"/>
      <c r="Q99" s="2682"/>
      <c r="R99" s="4414"/>
      <c r="S99" s="4414"/>
      <c r="T99" s="4414"/>
      <c r="U99" s="2682"/>
      <c r="V99" s="2682"/>
      <c r="W99" s="2682"/>
      <c r="X99" s="2682"/>
      <c r="Y99" s="2682"/>
      <c r="AF99" s="4047"/>
    </row>
    <row r="100" spans="2:32" x14ac:dyDescent="0.55000000000000004">
      <c r="B100" s="2682"/>
      <c r="C100" s="2682"/>
      <c r="D100" s="2682"/>
      <c r="E100" s="2682"/>
      <c r="F100" s="2682"/>
      <c r="G100" s="2682"/>
      <c r="H100" s="2682"/>
      <c r="I100" s="2682"/>
      <c r="J100" s="2682"/>
      <c r="K100" s="2682"/>
      <c r="L100" s="2682"/>
      <c r="M100" s="2682"/>
      <c r="N100" s="2682"/>
      <c r="O100" s="2682"/>
      <c r="P100" s="2682"/>
      <c r="Q100" s="2682"/>
      <c r="R100" s="4414"/>
      <c r="S100" s="4414"/>
      <c r="T100" s="4414"/>
      <c r="U100" s="2682"/>
      <c r="V100" s="2682"/>
      <c r="W100" s="2682"/>
      <c r="X100" s="2682"/>
      <c r="Y100" s="2682"/>
      <c r="AF100" s="4047"/>
    </row>
    <row r="101" spans="2:32" x14ac:dyDescent="0.55000000000000004"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4414"/>
      <c r="S101" s="4414"/>
      <c r="T101" s="4414"/>
      <c r="U101" s="2682"/>
      <c r="V101" s="2682"/>
      <c r="W101" s="2682"/>
      <c r="X101" s="2682"/>
      <c r="Y101" s="2682"/>
      <c r="AF101" s="4047"/>
    </row>
    <row r="102" spans="2:32" x14ac:dyDescent="0.55000000000000004"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4414"/>
      <c r="S102" s="4414"/>
      <c r="T102" s="4414"/>
      <c r="U102" s="2682"/>
      <c r="V102" s="2682"/>
      <c r="W102" s="2682"/>
      <c r="X102" s="2682"/>
      <c r="Y102" s="2682"/>
      <c r="AF102" s="4047"/>
    </row>
    <row r="103" spans="2:32" x14ac:dyDescent="0.55000000000000004"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4414"/>
      <c r="S103" s="4414"/>
      <c r="T103" s="4414"/>
      <c r="U103" s="2682"/>
      <c r="V103" s="2682"/>
      <c r="W103" s="2682"/>
      <c r="X103" s="2682"/>
      <c r="Y103" s="2682"/>
      <c r="AF103" s="4047"/>
    </row>
    <row r="104" spans="2:32" x14ac:dyDescent="0.55000000000000004">
      <c r="B104" s="2682"/>
      <c r="C104" s="2682"/>
      <c r="D104" s="2682"/>
      <c r="E104" s="2682"/>
      <c r="F104" s="2682"/>
      <c r="G104" s="2682"/>
      <c r="H104" s="2682"/>
      <c r="I104" s="2682"/>
      <c r="J104" s="2682"/>
      <c r="K104" s="2682"/>
      <c r="L104" s="2682"/>
      <c r="M104" s="2682"/>
      <c r="N104" s="2682"/>
      <c r="O104" s="2682"/>
      <c r="P104" s="2682"/>
      <c r="Q104" s="2682"/>
      <c r="R104" s="4414"/>
      <c r="S104" s="4414"/>
      <c r="T104" s="4414"/>
      <c r="U104" s="2682"/>
      <c r="V104" s="2682"/>
      <c r="W104" s="2682"/>
      <c r="X104" s="2682"/>
      <c r="Y104" s="2682"/>
      <c r="AF104" s="4047"/>
    </row>
    <row r="105" spans="2:32" x14ac:dyDescent="0.55000000000000004">
      <c r="B105" s="2682"/>
      <c r="C105" s="2682"/>
      <c r="D105" s="2682"/>
      <c r="E105" s="2682"/>
      <c r="F105" s="2682"/>
      <c r="G105" s="2682"/>
      <c r="H105" s="2682"/>
      <c r="I105" s="2682"/>
      <c r="J105" s="2682"/>
      <c r="K105" s="2682"/>
      <c r="L105" s="2682"/>
      <c r="M105" s="2682"/>
      <c r="N105" s="2682"/>
      <c r="O105" s="2682"/>
      <c r="P105" s="2682"/>
      <c r="Q105" s="2682"/>
      <c r="R105" s="4414"/>
      <c r="S105" s="4414"/>
      <c r="T105" s="4414"/>
      <c r="U105" s="2682"/>
      <c r="V105" s="2682"/>
      <c r="W105" s="2682"/>
      <c r="X105" s="2682"/>
      <c r="Y105" s="2682"/>
      <c r="AF105" s="4047"/>
    </row>
    <row r="106" spans="2:32" x14ac:dyDescent="0.55000000000000004">
      <c r="B106" s="2682"/>
      <c r="C106" s="2682"/>
      <c r="D106" s="2682"/>
      <c r="E106" s="2682"/>
      <c r="F106" s="2682"/>
      <c r="G106" s="2682"/>
      <c r="H106" s="2682"/>
      <c r="I106" s="2682"/>
      <c r="J106" s="2682"/>
      <c r="K106" s="2682"/>
      <c r="L106" s="2682"/>
      <c r="M106" s="2682"/>
      <c r="N106" s="2682"/>
      <c r="O106" s="2682"/>
      <c r="P106" s="2682"/>
      <c r="Q106" s="2682"/>
      <c r="R106" s="4414"/>
      <c r="S106" s="4414"/>
      <c r="T106" s="4414"/>
      <c r="U106" s="2682"/>
      <c r="V106" s="2682"/>
      <c r="W106" s="2682"/>
      <c r="X106" s="2682"/>
      <c r="Y106" s="2682"/>
      <c r="AF106" s="4047"/>
    </row>
    <row r="107" spans="2:32" x14ac:dyDescent="0.55000000000000004">
      <c r="B107" s="2682"/>
      <c r="C107" s="2682"/>
      <c r="D107" s="2682"/>
      <c r="E107" s="2682"/>
      <c r="F107" s="2682"/>
      <c r="G107" s="2682"/>
      <c r="H107" s="2682"/>
      <c r="I107" s="2682"/>
      <c r="J107" s="2682"/>
      <c r="K107" s="2682"/>
      <c r="L107" s="2682"/>
      <c r="M107" s="2682"/>
      <c r="N107" s="2682"/>
      <c r="O107" s="2682"/>
      <c r="P107" s="2682"/>
      <c r="Q107" s="2682"/>
      <c r="R107" s="4414"/>
      <c r="S107" s="4414"/>
      <c r="T107" s="4414"/>
      <c r="U107" s="2682"/>
      <c r="V107" s="2682"/>
      <c r="W107" s="2682"/>
      <c r="X107" s="2682"/>
      <c r="Y107" s="2682"/>
      <c r="AF107" s="4047"/>
    </row>
    <row r="108" spans="2:32" x14ac:dyDescent="0.55000000000000004">
      <c r="B108" s="2682"/>
      <c r="C108" s="2682"/>
      <c r="D108" s="2682"/>
      <c r="E108" s="2682"/>
      <c r="F108" s="2682"/>
      <c r="G108" s="2682"/>
      <c r="H108" s="2682"/>
      <c r="I108" s="2682"/>
      <c r="J108" s="2682"/>
      <c r="K108" s="2682"/>
      <c r="L108" s="2682"/>
      <c r="M108" s="2682"/>
      <c r="N108" s="2682"/>
      <c r="O108" s="2682"/>
      <c r="P108" s="2682"/>
      <c r="Q108" s="2682"/>
      <c r="R108" s="4414"/>
      <c r="S108" s="4414"/>
      <c r="T108" s="4414"/>
      <c r="U108" s="2682"/>
      <c r="V108" s="2682"/>
      <c r="W108" s="2682"/>
      <c r="X108" s="2682"/>
      <c r="Y108" s="2682"/>
      <c r="AF108" s="4047"/>
    </row>
    <row r="109" spans="2:32" x14ac:dyDescent="0.55000000000000004">
      <c r="B109" s="2682"/>
      <c r="C109" s="2682"/>
      <c r="D109" s="2682"/>
      <c r="E109" s="2682"/>
      <c r="F109" s="2682"/>
      <c r="G109" s="2682"/>
      <c r="H109" s="2682"/>
      <c r="I109" s="2682"/>
      <c r="J109" s="2682"/>
      <c r="K109" s="2682"/>
      <c r="L109" s="2682"/>
      <c r="M109" s="2682"/>
      <c r="N109" s="2682"/>
      <c r="O109" s="2682"/>
      <c r="P109" s="2682"/>
      <c r="Q109" s="2682"/>
      <c r="R109" s="4414"/>
      <c r="S109" s="4414"/>
      <c r="T109" s="4414"/>
      <c r="U109" s="2682"/>
      <c r="V109" s="2682"/>
      <c r="W109" s="2682"/>
      <c r="X109" s="2682"/>
      <c r="Y109" s="2682"/>
    </row>
    <row r="110" spans="2:32" x14ac:dyDescent="0.55000000000000004">
      <c r="B110" s="2682"/>
      <c r="C110" s="2682"/>
      <c r="D110" s="2682"/>
      <c r="E110" s="2682"/>
      <c r="F110" s="2682"/>
      <c r="G110" s="2682"/>
      <c r="H110" s="2682"/>
      <c r="I110" s="2682"/>
      <c r="J110" s="2682"/>
      <c r="K110" s="2682"/>
      <c r="L110" s="2682"/>
      <c r="M110" s="2682"/>
      <c r="N110" s="2682"/>
      <c r="O110" s="2682"/>
      <c r="P110" s="2682"/>
      <c r="Q110" s="2682"/>
      <c r="R110" s="4414"/>
      <c r="S110" s="4414"/>
      <c r="T110" s="4414"/>
      <c r="U110" s="2682"/>
      <c r="V110" s="2682"/>
      <c r="W110" s="2682"/>
      <c r="X110" s="2682"/>
      <c r="Y110" s="2682"/>
      <c r="AF110" s="4047"/>
    </row>
    <row r="111" spans="2:32" x14ac:dyDescent="0.55000000000000004">
      <c r="B111" s="2682"/>
      <c r="C111" s="2682"/>
      <c r="D111" s="2682"/>
      <c r="E111" s="2682"/>
      <c r="F111" s="2682"/>
      <c r="G111" s="2682"/>
      <c r="H111" s="2682"/>
      <c r="I111" s="2682"/>
      <c r="J111" s="2682"/>
      <c r="K111" s="2682"/>
      <c r="L111" s="2682"/>
      <c r="M111" s="2682"/>
      <c r="N111" s="2682"/>
      <c r="O111" s="2682"/>
      <c r="P111" s="2682"/>
      <c r="Q111" s="2682"/>
      <c r="R111" s="4414"/>
      <c r="S111" s="4414"/>
      <c r="T111" s="4414"/>
      <c r="U111" s="2682"/>
      <c r="V111" s="2682"/>
      <c r="W111" s="2682"/>
      <c r="X111" s="2682"/>
      <c r="Y111" s="2682"/>
      <c r="AF111" s="4047"/>
    </row>
    <row r="112" spans="2:32" x14ac:dyDescent="0.55000000000000004">
      <c r="B112" s="2682"/>
      <c r="C112" s="2682"/>
      <c r="D112" s="2682"/>
      <c r="E112" s="2682"/>
      <c r="F112" s="2682"/>
      <c r="G112" s="2682"/>
      <c r="H112" s="2682"/>
      <c r="I112" s="2682"/>
      <c r="J112" s="2682"/>
      <c r="K112" s="2682"/>
      <c r="L112" s="2682"/>
      <c r="M112" s="2682"/>
      <c r="N112" s="2682"/>
      <c r="O112" s="2682"/>
      <c r="P112" s="2682"/>
      <c r="Q112" s="2682"/>
      <c r="R112" s="4414"/>
      <c r="S112" s="4414"/>
      <c r="T112" s="4414"/>
      <c r="U112" s="2682"/>
      <c r="V112" s="2682"/>
      <c r="W112" s="2682"/>
      <c r="X112" s="2682"/>
      <c r="Y112" s="2682"/>
      <c r="AF112" s="4047"/>
    </row>
    <row r="113" spans="2:32" x14ac:dyDescent="0.55000000000000004">
      <c r="B113" s="2682"/>
      <c r="C113" s="2682"/>
      <c r="D113" s="2682"/>
      <c r="E113" s="2682"/>
      <c r="F113" s="2682"/>
      <c r="G113" s="2682"/>
      <c r="H113" s="2682"/>
      <c r="I113" s="2682"/>
      <c r="J113" s="2682"/>
      <c r="K113" s="2682"/>
      <c r="L113" s="2682"/>
      <c r="M113" s="2682"/>
      <c r="N113" s="2682"/>
      <c r="O113" s="2682"/>
      <c r="P113" s="2682"/>
      <c r="Q113" s="2682"/>
      <c r="R113" s="4414"/>
      <c r="S113" s="4414"/>
      <c r="T113" s="4414"/>
      <c r="U113" s="2682"/>
      <c r="V113" s="2682"/>
      <c r="W113" s="2682"/>
      <c r="X113" s="2682"/>
      <c r="Y113" s="2682"/>
      <c r="AF113" s="4047"/>
    </row>
    <row r="114" spans="2:32" x14ac:dyDescent="0.55000000000000004">
      <c r="B114" s="2682"/>
      <c r="C114" s="2682"/>
      <c r="D114" s="2682"/>
      <c r="E114" s="2682"/>
      <c r="F114" s="2682"/>
      <c r="G114" s="2682"/>
      <c r="H114" s="2682"/>
      <c r="I114" s="2682"/>
      <c r="J114" s="2682"/>
      <c r="K114" s="2682"/>
      <c r="L114" s="2682"/>
      <c r="M114" s="2682"/>
      <c r="N114" s="2682"/>
      <c r="O114" s="2682"/>
      <c r="P114" s="2682"/>
      <c r="Q114" s="2682"/>
      <c r="R114" s="4414"/>
      <c r="S114" s="4414"/>
      <c r="T114" s="4414"/>
      <c r="U114" s="2682"/>
      <c r="V114" s="2682"/>
      <c r="W114" s="2682"/>
      <c r="X114" s="2682"/>
      <c r="Y114" s="2682"/>
      <c r="AF114" s="4047"/>
    </row>
    <row r="115" spans="2:32" x14ac:dyDescent="0.55000000000000004">
      <c r="B115" s="2682"/>
      <c r="C115" s="2682"/>
      <c r="D115" s="2682"/>
      <c r="E115" s="2682"/>
      <c r="F115" s="2682"/>
      <c r="G115" s="2682"/>
      <c r="H115" s="2682"/>
      <c r="I115" s="2682"/>
      <c r="J115" s="2682"/>
      <c r="K115" s="2682"/>
      <c r="L115" s="2682"/>
      <c r="M115" s="2682"/>
      <c r="N115" s="2682"/>
      <c r="O115" s="2682"/>
      <c r="P115" s="2682"/>
      <c r="Q115" s="2682"/>
      <c r="R115" s="4414"/>
      <c r="S115" s="4414"/>
      <c r="T115" s="4414"/>
      <c r="U115" s="2682"/>
      <c r="V115" s="2682"/>
      <c r="W115" s="2682"/>
      <c r="X115" s="2682"/>
      <c r="Y115" s="2682"/>
      <c r="AF115" s="4047"/>
    </row>
    <row r="116" spans="2:32" x14ac:dyDescent="0.55000000000000004">
      <c r="B116" s="2682"/>
      <c r="C116" s="2682"/>
      <c r="D116" s="2682"/>
      <c r="E116" s="2682"/>
      <c r="F116" s="2682"/>
      <c r="G116" s="2682"/>
      <c r="H116" s="2682"/>
      <c r="I116" s="2682"/>
      <c r="J116" s="2682"/>
      <c r="K116" s="2682"/>
      <c r="L116" s="2682"/>
      <c r="M116" s="2682"/>
      <c r="N116" s="2682"/>
      <c r="O116" s="2682"/>
      <c r="P116" s="2682"/>
      <c r="Q116" s="2682"/>
      <c r="R116" s="4414"/>
      <c r="S116" s="4414"/>
      <c r="T116" s="4414"/>
      <c r="U116" s="2682"/>
      <c r="V116" s="2682"/>
      <c r="W116" s="2682"/>
      <c r="X116" s="2682"/>
      <c r="Y116" s="2682"/>
      <c r="AF116" s="4047"/>
    </row>
    <row r="117" spans="2:32" x14ac:dyDescent="0.55000000000000004">
      <c r="AF117" s="4047"/>
    </row>
    <row r="118" spans="2:32" x14ac:dyDescent="0.55000000000000004">
      <c r="AF118" s="4047"/>
    </row>
  </sheetData>
  <mergeCells count="38">
    <mergeCell ref="F5:T5"/>
    <mergeCell ref="F48:T48"/>
    <mergeCell ref="R36:S36"/>
    <mergeCell ref="R37:S37"/>
    <mergeCell ref="R38:S38"/>
    <mergeCell ref="R39:S39"/>
    <mergeCell ref="R31:S31"/>
    <mergeCell ref="R32:S32"/>
    <mergeCell ref="R33:S33"/>
    <mergeCell ref="R34:S34"/>
    <mergeCell ref="R35:S35"/>
    <mergeCell ref="T27:V27"/>
    <mergeCell ref="R29:S29"/>
    <mergeCell ref="R30:S30"/>
    <mergeCell ref="F27:I27"/>
    <mergeCell ref="R45:S45"/>
    <mergeCell ref="R46:S46"/>
    <mergeCell ref="R40:S40"/>
    <mergeCell ref="R41:S41"/>
    <mergeCell ref="R42:S42"/>
    <mergeCell ref="R43:S43"/>
    <mergeCell ref="R44:S44"/>
    <mergeCell ref="A3:AE3"/>
    <mergeCell ref="A50:A83"/>
    <mergeCell ref="U5:W5"/>
    <mergeCell ref="X5:Y5"/>
    <mergeCell ref="Z5:AE5"/>
    <mergeCell ref="A7:A25"/>
    <mergeCell ref="U48:W48"/>
    <mergeCell ref="X48:Y48"/>
    <mergeCell ref="Z48:AE48"/>
    <mergeCell ref="A49:C49"/>
    <mergeCell ref="A6:C6"/>
    <mergeCell ref="A29:A46"/>
    <mergeCell ref="R28:S28"/>
    <mergeCell ref="W27:Y27"/>
    <mergeCell ref="Z27:AB27"/>
    <mergeCell ref="AC27:AE27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5" fitToHeight="0" orientation="landscape" r:id="rId1"/>
  <headerFooter scaleWithDoc="0">
    <oddFooter>&amp;R&amp;"-,기울임꼴"&amp;8&amp;P &amp; 페이지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BH145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J25" sqref="J25"/>
    </sheetView>
  </sheetViews>
  <sheetFormatPr defaultRowHeight="15" outlineLevelCol="1" x14ac:dyDescent="0.55000000000000004"/>
  <cols>
    <col min="1" max="1" width="11.140625" style="2441" customWidth="1"/>
    <col min="2" max="2" width="14.5" style="2441" customWidth="1"/>
    <col min="3" max="3" width="14.640625" style="2441" customWidth="1"/>
    <col min="4" max="5" width="9.92578125" style="2441" customWidth="1"/>
    <col min="6" max="6" width="17.5" style="2441" customWidth="1"/>
    <col min="7" max="14" width="14" style="2441" customWidth="1" outlineLevel="1"/>
    <col min="15" max="17" width="14.2109375" style="2441" customWidth="1" outlineLevel="1"/>
    <col min="18" max="22" width="16.42578125" style="2441" customWidth="1"/>
    <col min="23" max="16384" width="9.140625" style="2441"/>
  </cols>
  <sheetData>
    <row r="1" spans="1:60" x14ac:dyDescent="0.55000000000000004">
      <c r="C1" s="2987"/>
      <c r="D1" s="2987" t="s">
        <v>792</v>
      </c>
      <c r="E1" s="2987" t="s">
        <v>664</v>
      </c>
      <c r="F1" s="2987" t="s">
        <v>460</v>
      </c>
      <c r="G1" s="2987" t="s">
        <v>459</v>
      </c>
      <c r="H1" s="2987" t="s">
        <v>461</v>
      </c>
      <c r="I1" s="2987" t="s">
        <v>665</v>
      </c>
      <c r="J1" s="2987" t="s">
        <v>642</v>
      </c>
      <c r="K1" s="2987" t="s">
        <v>650</v>
      </c>
      <c r="L1" s="2987" t="s">
        <v>1151</v>
      </c>
      <c r="M1" s="2987" t="s">
        <v>1154</v>
      </c>
      <c r="N1" s="2987" t="s">
        <v>1165</v>
      </c>
      <c r="O1" s="2987" t="s">
        <v>737</v>
      </c>
      <c r="P1" s="2987" t="s">
        <v>929</v>
      </c>
      <c r="Q1" s="2987" t="s">
        <v>1190</v>
      </c>
      <c r="R1" s="2987" t="s">
        <v>738</v>
      </c>
      <c r="S1" s="2987" t="s">
        <v>466</v>
      </c>
      <c r="T1" s="2987" t="s">
        <v>467</v>
      </c>
      <c r="U1" s="2987" t="s">
        <v>468</v>
      </c>
      <c r="V1" s="2987" t="s">
        <v>472</v>
      </c>
      <c r="W1" s="2987" t="s">
        <v>459</v>
      </c>
    </row>
    <row r="2" spans="1:60" ht="15.45" thickBot="1" x14ac:dyDescent="0.6">
      <c r="C2" s="2987"/>
      <c r="D2" s="2987"/>
      <c r="E2" s="2987"/>
      <c r="F2" s="2987" t="s">
        <v>460</v>
      </c>
      <c r="G2" s="2987" t="s">
        <v>459</v>
      </c>
      <c r="H2" s="2987" t="s">
        <v>461</v>
      </c>
      <c r="I2" s="2987" t="s">
        <v>665</v>
      </c>
      <c r="J2" s="2987" t="s">
        <v>642</v>
      </c>
      <c r="K2" s="2987" t="s">
        <v>650</v>
      </c>
      <c r="L2" s="2987" t="s">
        <v>1151</v>
      </c>
      <c r="M2" s="2987" t="s">
        <v>1154</v>
      </c>
      <c r="N2" s="2987" t="s">
        <v>1165</v>
      </c>
      <c r="O2" s="2987" t="s">
        <v>737</v>
      </c>
      <c r="P2" s="2987" t="s">
        <v>929</v>
      </c>
      <c r="Q2" s="2987" t="s">
        <v>1190</v>
      </c>
      <c r="R2" s="2987" t="s">
        <v>466</v>
      </c>
      <c r="S2" s="2987" t="s">
        <v>468</v>
      </c>
      <c r="T2" s="2987" t="s">
        <v>472</v>
      </c>
      <c r="U2" s="2987" t="s">
        <v>469</v>
      </c>
      <c r="V2" s="2987" t="s">
        <v>467</v>
      </c>
    </row>
    <row r="3" spans="1:60" s="3678" customFormat="1" ht="60" customHeight="1" thickTop="1" thickBot="1" x14ac:dyDescent="0.6">
      <c r="A3" s="7078" t="s">
        <v>917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6954"/>
      <c r="X3" s="6954"/>
      <c r="Y3" s="6954"/>
      <c r="Z3" s="6954"/>
      <c r="AA3" s="6954"/>
    </row>
    <row r="4" spans="1:60" s="2444" customFormat="1" ht="15.55" customHeight="1" thickTop="1" thickBot="1" x14ac:dyDescent="0.6">
      <c r="A4" s="2447"/>
      <c r="B4" s="2992"/>
      <c r="C4" s="2992"/>
      <c r="D4" s="2992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E4" s="2445"/>
      <c r="AG4" s="2445"/>
      <c r="AH4" s="2445"/>
      <c r="AI4" s="2446"/>
      <c r="AK4" s="2445"/>
      <c r="AL4" s="2446"/>
      <c r="BD4" s="2449"/>
      <c r="BE4" s="2449"/>
      <c r="BF4" s="2449"/>
      <c r="BG4" s="2449"/>
      <c r="BH4" s="2449"/>
    </row>
    <row r="5" spans="1:60" ht="16.75" thickBot="1" x14ac:dyDescent="0.6">
      <c r="A5" s="2493"/>
      <c r="B5" s="3679"/>
      <c r="C5" s="3679"/>
      <c r="D5" s="3679"/>
      <c r="E5" s="3679"/>
      <c r="F5" s="7079" t="s">
        <v>1152</v>
      </c>
      <c r="G5" s="7080"/>
      <c r="H5" s="7080"/>
      <c r="I5" s="7080"/>
      <c r="J5" s="7080"/>
      <c r="K5" s="7080"/>
      <c r="L5" s="7080"/>
      <c r="M5" s="7080"/>
      <c r="N5" s="7080"/>
      <c r="O5" s="7080"/>
      <c r="P5" s="7080"/>
      <c r="Q5" s="7594"/>
      <c r="R5" s="7449" t="s">
        <v>258</v>
      </c>
      <c r="S5" s="7450"/>
      <c r="T5" s="7450"/>
      <c r="U5" s="7450"/>
      <c r="V5" s="7450"/>
    </row>
    <row r="6" spans="1:60" ht="17.149999999999999" thickTop="1" thickBot="1" x14ac:dyDescent="0.6">
      <c r="A6" s="7448" t="s">
        <v>127</v>
      </c>
      <c r="B6" s="7416"/>
      <c r="C6" s="7417"/>
      <c r="D6" s="3680" t="s">
        <v>906</v>
      </c>
      <c r="E6" s="3681" t="s">
        <v>905</v>
      </c>
      <c r="F6" s="2429" t="str" cm="1">
        <f t="array" aca="1" ref="F6" ca="1">INDIRECT("'※ 인력 세부데이터'!"&amp;F$1&amp;$W7, TRUE)</f>
        <v>'25.1월</v>
      </c>
      <c r="G6" s="2429" t="str" cm="1">
        <f t="array" aca="1" ref="G6" ca="1">INDIRECT("'※ 인력 세부데이터'!"&amp;G$1&amp;$W7, TRUE)</f>
        <v>'25.2월</v>
      </c>
      <c r="H6" s="2429" t="str" cm="1">
        <f t="array" aca="1" ref="H6" ca="1">INDIRECT("'※ 인력 세부데이터'!"&amp;H$1&amp;$W7, TRUE)</f>
        <v>'25.3월</v>
      </c>
      <c r="I6" s="2429" t="str" cm="1">
        <f t="array" aca="1" ref="I6" ca="1">INDIRECT("'※ 인력 세부데이터'!"&amp;I$1&amp;$W7, TRUE)</f>
        <v>'25.4월</v>
      </c>
      <c r="J6" s="2429" t="str" cm="1">
        <f t="array" aca="1" ref="J6" ca="1">INDIRECT("'※ 인력 세부데이터'!"&amp;J$1&amp;$W7, TRUE)</f>
        <v>'25.5월</v>
      </c>
      <c r="K6" s="2429" t="str" cm="1">
        <f t="array" aca="1" ref="K6" ca="1">INDIRECT("'※ 인력 세부데이터'!"&amp;K$1&amp;$W7, TRUE)</f>
        <v>'25.6월</v>
      </c>
      <c r="L6" s="2429" t="str" cm="1">
        <f t="array" aca="1" ref="L6" ca="1">INDIRECT("'※ 인력 세부데이터'!"&amp;L$1&amp;$W7, TRUE)</f>
        <v>'25.7월</v>
      </c>
      <c r="M6" s="2429" t="str" cm="1">
        <f t="array" aca="1" ref="M6" ca="1">INDIRECT("'※ 인력 세부데이터'!"&amp;M$1&amp;$W7, TRUE)</f>
        <v>'25.8월</v>
      </c>
      <c r="N6" s="2429" t="str" cm="1">
        <f t="array" aca="1" ref="N6" ca="1">INDIRECT("'※ 인력 세부데이터'!"&amp;N$1&amp;$W7, TRUE)</f>
        <v>'25.9월</v>
      </c>
      <c r="O6" s="2429" t="str" cm="1">
        <f t="array" aca="1" ref="O6" ca="1">INDIRECT("'※ 인력 세부데이터'!"&amp;O$1&amp;$W7, TRUE)</f>
        <v>'25.10월</v>
      </c>
      <c r="P6" s="2429" t="str" cm="1">
        <f t="array" aca="1" ref="P6" ca="1">INDIRECT("'※ 인력 세부데이터'!"&amp;P$1&amp;$W7, TRUE)</f>
        <v>'25.11월</v>
      </c>
      <c r="Q6" s="2429" t="str" cm="1">
        <f t="array" aca="1" ref="Q6" ca="1">INDIRECT("'※ 인력 세부데이터'!"&amp;Q$1&amp;$W7, TRUE)</f>
        <v>'25.12월</v>
      </c>
      <c r="R6" s="3682" t="s">
        <v>215</v>
      </c>
      <c r="S6" s="3683" t="s">
        <v>216</v>
      </c>
      <c r="T6" s="3683" t="s">
        <v>217</v>
      </c>
      <c r="U6" s="3683" t="s">
        <v>218</v>
      </c>
      <c r="V6" s="3683" t="s">
        <v>219</v>
      </c>
    </row>
    <row r="7" spans="1:60" x14ac:dyDescent="0.55000000000000004">
      <c r="A7" s="7459" t="s">
        <v>197</v>
      </c>
      <c r="B7" s="7460"/>
      <c r="C7" s="7460"/>
      <c r="D7" s="3684" cm="1">
        <f t="array" aca="1" ref="D7" ca="1">INDIRECT("'※ 인력 세부데이터'!"&amp;D$1&amp;$W8, TRUE)</f>
        <v>2122.5</v>
      </c>
      <c r="E7" s="3685" cm="1">
        <f t="array" aca="1" ref="E7" ca="1">INDIRECT("'※ 인력 세부데이터'!"&amp;E$1&amp;$W8, TRUE)</f>
        <v>2158.1666666666665</v>
      </c>
      <c r="F7" s="3686" cm="1">
        <f t="array" aca="1" ref="F7" ca="1">INDIRECT("'※ 인력 세부데이터'!"&amp;F$1&amp;$W8, TRUE)</f>
        <v>2278</v>
      </c>
      <c r="G7" s="3687" cm="1">
        <f t="array" aca="1" ref="G7" ca="1">INDIRECT("'※ 인력 세부데이터'!"&amp;G$1&amp;$W8, TRUE)</f>
        <v>2274</v>
      </c>
      <c r="H7" s="3687" cm="1">
        <f t="array" aca="1" ref="H7" ca="1">INDIRECT("'※ 인력 세부데이터'!"&amp;H$1&amp;$W8, TRUE)</f>
        <v>2285</v>
      </c>
      <c r="I7" s="3687" cm="1">
        <f t="array" aca="1" ref="I7" ca="1">INDIRECT("'※ 인력 세부데이터'!"&amp;I$1&amp;$W8, TRUE)</f>
        <v>2291</v>
      </c>
      <c r="J7" s="3687" cm="1">
        <f t="array" aca="1" ref="J7" ca="1">INDIRECT("'※ 인력 세부데이터'!"&amp;J$1&amp;$W8, TRUE)</f>
        <v>2284</v>
      </c>
      <c r="K7" s="3687" cm="1">
        <f t="array" aca="1" ref="K7" ca="1">INDIRECT("'※ 인력 세부데이터'!"&amp;K$1&amp;$W8, TRUE)</f>
        <v>2267</v>
      </c>
      <c r="L7" s="3687" cm="1">
        <f t="array" aca="1" ref="L7" ca="1">INDIRECT("'※ 인력 세부데이터'!"&amp;L$1&amp;$W8, TRUE)</f>
        <v>2239</v>
      </c>
      <c r="M7" s="3687" cm="1">
        <f t="array" aca="1" ref="M7" ca="1">INDIRECT("'※ 인력 세부데이터'!"&amp;M$1&amp;$W8, TRUE)</f>
        <v>2221</v>
      </c>
      <c r="N7" s="3687" cm="1">
        <f t="array" aca="1" ref="N7" ca="1">INDIRECT("'※ 인력 세부데이터'!"&amp;N$1&amp;$W8, TRUE)</f>
        <v>2214</v>
      </c>
      <c r="O7" s="3687" cm="1">
        <f t="array" aca="1" ref="O7" ca="1">INDIRECT("'※ 인력 세부데이터'!"&amp;O$1&amp;$W8, TRUE)</f>
        <v>2192</v>
      </c>
      <c r="P7" s="3687" cm="1">
        <f t="array" aca="1" ref="P7" ca="1">INDIRECT("'※ 인력 세부데이터'!"&amp;P$1&amp;$W8, TRUE)</f>
        <v>2193</v>
      </c>
      <c r="Q7" s="3687" cm="1">
        <f t="array" aca="1" ref="Q7" ca="1">INDIRECT("'※ 인력 세부데이터'!"&amp;Q$1&amp;$W8, TRUE)</f>
        <v>2200</v>
      </c>
      <c r="R7" s="3688" cm="1">
        <f t="array" aca="1" ref="R7" ca="1">INDIRECT("'※ 인력 세부데이터'!"&amp;R$1&amp;$W8, TRUE)</f>
        <v>1</v>
      </c>
      <c r="S7" s="3689" cm="1">
        <f t="array" aca="1" ref="S7" ca="1">INDIRECT("'※ 인력 세부데이터'!"&amp;S$1&amp;$W8, TRUE)</f>
        <v>872</v>
      </c>
      <c r="T7" s="3690" cm="1">
        <f t="array" aca="1" ref="T7" ca="1">INDIRECT("'※ 인력 세부데이터'!"&amp;T$1&amp;$W8, TRUE)</f>
        <v>0.39636363636363636</v>
      </c>
      <c r="U7" s="3691" cm="1">
        <f t="array" aca="1" ref="U7" ca="1">INDIRECT("'※ 인력 세부데이터'!"&amp;U$1&amp;$W8, TRUE)</f>
        <v>35.237057220708444</v>
      </c>
      <c r="V7" s="3692" cm="1">
        <f t="array" aca="1" ref="V7" ca="1">INDIRECT("'※ 인력 세부데이터'!"&amp;V$1&amp;$W8, TRUE)</f>
        <v>0</v>
      </c>
      <c r="W7" s="3693">
        <f>ROW('※ 인력 세부데이터'!J3)</f>
        <v>3</v>
      </c>
      <c r="X7" s="3694"/>
    </row>
    <row r="8" spans="1:60" x14ac:dyDescent="0.55000000000000004">
      <c r="A8" s="7454" t="s">
        <v>196</v>
      </c>
      <c r="B8" s="3695" t="s">
        <v>188</v>
      </c>
      <c r="C8" s="3696"/>
      <c r="D8" s="3697" cm="1">
        <f t="array" aca="1" ref="D8" ca="1">INDIRECT("'※ 인력 세부데이터'!"&amp;D$1&amp;$W9, TRUE)</f>
        <v>7.083333333333333</v>
      </c>
      <c r="E8" s="3698" cm="1">
        <f t="array" aca="1" ref="E8" ca="1">INDIRECT("'※ 인력 세부데이터'!"&amp;E$1&amp;$W9, TRUE)</f>
        <v>8</v>
      </c>
      <c r="F8" s="3699" cm="1">
        <f t="array" aca="1" ref="F8" ca="1">INDIRECT("'※ 인력 세부데이터'!"&amp;F$1&amp;$W9, TRUE)</f>
        <v>8</v>
      </c>
      <c r="G8" s="3700" cm="1">
        <f t="array" aca="1" ref="G8" ca="1">INDIRECT("'※ 인력 세부데이터'!"&amp;G$1&amp;$W9, TRUE)</f>
        <v>8</v>
      </c>
      <c r="H8" s="3700" cm="1">
        <f t="array" aca="1" ref="H8" ca="1">INDIRECT("'※ 인력 세부데이터'!"&amp;H$1&amp;$W9, TRUE)</f>
        <v>8</v>
      </c>
      <c r="I8" s="3700" cm="1">
        <f t="array" aca="1" ref="I8" ca="1">INDIRECT("'※ 인력 세부데이터'!"&amp;I$1&amp;$W9, TRUE)</f>
        <v>8</v>
      </c>
      <c r="J8" s="3700" cm="1">
        <f t="array" aca="1" ref="J8" ca="1">INDIRECT("'※ 인력 세부데이터'!"&amp;J$1&amp;$W9, TRUE)</f>
        <v>8</v>
      </c>
      <c r="K8" s="3700" cm="1">
        <f t="array" aca="1" ref="K8" ca="1">INDIRECT("'※ 인력 세부데이터'!"&amp;K$1&amp;$W9, TRUE)</f>
        <v>8</v>
      </c>
      <c r="L8" s="3700" cm="1">
        <f t="array" aca="1" ref="L8" ca="1">INDIRECT("'※ 인력 세부데이터'!"&amp;L$1&amp;$W9, TRUE)</f>
        <v>8</v>
      </c>
      <c r="M8" s="3700" cm="1">
        <f t="array" aca="1" ref="M8" ca="1">INDIRECT("'※ 인력 세부데이터'!"&amp;M$1&amp;$W9, TRUE)</f>
        <v>8</v>
      </c>
      <c r="N8" s="3700" cm="1">
        <f t="array" aca="1" ref="N8" ca="1">INDIRECT("'※ 인력 세부데이터'!"&amp;N$1&amp;$W9, TRUE)</f>
        <v>8</v>
      </c>
      <c r="O8" s="3700" cm="1">
        <f t="array" aca="1" ref="O8" ca="1">INDIRECT("'※ 인력 세부데이터'!"&amp;O$1&amp;$W9, TRUE)</f>
        <v>8</v>
      </c>
      <c r="P8" s="3700" cm="1">
        <f t="array" aca="1" ref="P8" ca="1">INDIRECT("'※ 인력 세부데이터'!"&amp;P$1&amp;$W9, TRUE)</f>
        <v>8</v>
      </c>
      <c r="Q8" s="3700" cm="1">
        <f t="array" aca="1" ref="Q8" ca="1">INDIRECT("'※ 인력 세부데이터'!"&amp;Q$1&amp;$W9, TRUE)</f>
        <v>8</v>
      </c>
      <c r="R8" s="3701" cm="1">
        <f t="array" aca="1" ref="R8" ca="1">INDIRECT("'※ 인력 세부데이터'!"&amp;R$1&amp;$W9, TRUE)</f>
        <v>3.6363636363636364E-3</v>
      </c>
      <c r="S8" s="3702" cm="1">
        <f t="array" aca="1" ref="S8" ca="1">INDIRECT("'※ 인력 세부데이터'!"&amp;S$1&amp;$W9, TRUE)</f>
        <v>0</v>
      </c>
      <c r="T8" s="3703" cm="1">
        <f t="array" aca="1" ref="T8" ca="1">INDIRECT("'※ 인력 세부데이터'!"&amp;T$1&amp;$W9, TRUE)</f>
        <v>0</v>
      </c>
      <c r="U8" s="3704" cm="1">
        <f t="array" aca="1" ref="U8" ca="1">INDIRECT("'※ 인력 세부데이터'!"&amp;U$1&amp;$W9, TRUE)</f>
        <v>55.5</v>
      </c>
      <c r="V8" s="3705" cm="1">
        <f t="array" aca="1" ref="V8" ca="1">INDIRECT("'※ 인력 세부데이터'!"&amp;V$1&amp;$W9, TRUE)</f>
        <v>15.570205479452056</v>
      </c>
      <c r="W8" s="3693">
        <f>ROW('※ 인력 세부데이터'!J4)</f>
        <v>4</v>
      </c>
      <c r="X8" s="3694"/>
    </row>
    <row r="9" spans="1:60" x14ac:dyDescent="0.55000000000000004">
      <c r="A9" s="7180"/>
      <c r="B9" s="3706" t="s">
        <v>193</v>
      </c>
      <c r="C9" s="3707"/>
      <c r="D9" s="3708" cm="1">
        <f t="array" aca="1" ref="D9" ca="1">INDIRECT("'※ 인력 세부데이터'!"&amp;D$1&amp;$W10, TRUE)</f>
        <v>177.25</v>
      </c>
      <c r="E9" s="3709" cm="1">
        <f t="array" aca="1" ref="E9" ca="1">INDIRECT("'※ 인력 세부데이터'!"&amp;E$1&amp;$W10, TRUE)</f>
        <v>178.66666666666666</v>
      </c>
      <c r="F9" s="3710" cm="1">
        <f t="array" aca="1" ref="F9" ca="1">INDIRECT("'※ 인력 세부데이터'!"&amp;F$1&amp;$W10, TRUE)</f>
        <v>180</v>
      </c>
      <c r="G9" s="3711" cm="1">
        <f t="array" aca="1" ref="G9" ca="1">INDIRECT("'※ 인력 세부데이터'!"&amp;G$1&amp;$W10, TRUE)</f>
        <v>183</v>
      </c>
      <c r="H9" s="3711" cm="1">
        <f t="array" aca="1" ref="H9" ca="1">INDIRECT("'※ 인력 세부데이터'!"&amp;H$1&amp;$W10, TRUE)</f>
        <v>181</v>
      </c>
      <c r="I9" s="3711" cm="1">
        <f t="array" aca="1" ref="I9" ca="1">INDIRECT("'※ 인력 세부데이터'!"&amp;I$1&amp;$W10, TRUE)</f>
        <v>181</v>
      </c>
      <c r="J9" s="3711" cm="1">
        <f t="array" aca="1" ref="J9" ca="1">INDIRECT("'※ 인력 세부데이터'!"&amp;J$1&amp;$W10, TRUE)</f>
        <v>181</v>
      </c>
      <c r="K9" s="3711" cm="1">
        <f t="array" aca="1" ref="K9" ca="1">INDIRECT("'※ 인력 세부데이터'!"&amp;K$1&amp;$W10, TRUE)</f>
        <v>181</v>
      </c>
      <c r="L9" s="3711" cm="1">
        <f t="array" aca="1" ref="L9" ca="1">INDIRECT("'※ 인력 세부데이터'!"&amp;L$1&amp;$W10, TRUE)</f>
        <v>180</v>
      </c>
      <c r="M9" s="3711" cm="1">
        <f t="array" aca="1" ref="M9" ca="1">INDIRECT("'※ 인력 세부데이터'!"&amp;M$1&amp;$W10, TRUE)</f>
        <v>190</v>
      </c>
      <c r="N9" s="3711" cm="1">
        <f t="array" aca="1" ref="N9" ca="1">INDIRECT("'※ 인력 세부데이터'!"&amp;N$1&amp;$W10, TRUE)</f>
        <v>189</v>
      </c>
      <c r="O9" s="3711" cm="1">
        <f t="array" aca="1" ref="O9" ca="1">INDIRECT("'※ 인력 세부데이터'!"&amp;O$1&amp;$W10, TRUE)</f>
        <v>189</v>
      </c>
      <c r="P9" s="3711" cm="1">
        <f t="array" aca="1" ref="P9" ca="1">INDIRECT("'※ 인력 세부데이터'!"&amp;P$1&amp;$W10, TRUE)</f>
        <v>189</v>
      </c>
      <c r="Q9" s="3711" cm="1">
        <f t="array" aca="1" ref="Q9" ca="1">INDIRECT("'※ 인력 세부데이터'!"&amp;Q$1&amp;$W10, TRUE)</f>
        <v>184</v>
      </c>
      <c r="R9" s="3712" cm="1">
        <f t="array" aca="1" ref="R9" ca="1">INDIRECT("'※ 인력 세부데이터'!"&amp;R$1&amp;$W10, TRUE)</f>
        <v>8.3636363636363634E-2</v>
      </c>
      <c r="S9" s="3713" cm="1">
        <f t="array" aca="1" ref="S9" ca="1">INDIRECT("'※ 인력 세부데이터'!"&amp;S$1&amp;$W10, TRUE)</f>
        <v>37</v>
      </c>
      <c r="T9" s="3714" cm="1">
        <f t="array" aca="1" ref="T9" ca="1">INDIRECT("'※ 인력 세부데이터'!"&amp;T$1&amp;$W10, TRUE)</f>
        <v>0.20108695652173914</v>
      </c>
      <c r="U9" s="3715" cm="1">
        <f t="array" aca="1" ref="U9" ca="1">INDIRECT("'※ 인력 세부데이터'!"&amp;U$1&amp;$W10, TRUE)</f>
        <v>40.880434782608695</v>
      </c>
      <c r="V9" s="3716" cm="1">
        <f t="array" aca="1" ref="V9" ca="1">INDIRECT("'※ 인력 세부데이터'!"&amp;V$1&amp;$W10, TRUE)</f>
        <v>11.884648600357352</v>
      </c>
      <c r="W9" s="3693">
        <f>ROW('※ 인력 세부데이터'!J5)</f>
        <v>5</v>
      </c>
      <c r="X9" s="3694"/>
    </row>
    <row r="10" spans="1:60" x14ac:dyDescent="0.55000000000000004">
      <c r="A10" s="7180"/>
      <c r="B10" s="2493"/>
      <c r="C10" s="2493" t="s">
        <v>187</v>
      </c>
      <c r="D10" s="3717" cm="1">
        <f t="array" aca="1" ref="D10" ca="1">INDIRECT("'※ 인력 세부데이터'!"&amp;D$1&amp;$W11, TRUE)</f>
        <v>26.416666666666668</v>
      </c>
      <c r="E10" s="3718" cm="1">
        <f t="array" aca="1" ref="E10" ca="1">INDIRECT("'※ 인력 세부데이터'!"&amp;E$1&amp;$W11, TRUE)</f>
        <v>24.25</v>
      </c>
      <c r="F10" s="3699" cm="1">
        <f t="array" aca="1" ref="F10" ca="1">INDIRECT("'※ 인력 세부데이터'!"&amp;F$1&amp;$W11, TRUE)</f>
        <v>28</v>
      </c>
      <c r="G10" s="3700" cm="1">
        <f t="array" aca="1" ref="G10" ca="1">INDIRECT("'※ 인력 세부데이터'!"&amp;G$1&amp;$W11, TRUE)</f>
        <v>28</v>
      </c>
      <c r="H10" s="3700" cm="1">
        <f t="array" aca="1" ref="H10" ca="1">INDIRECT("'※ 인력 세부데이터'!"&amp;H$1&amp;$W11, TRUE)</f>
        <v>28</v>
      </c>
      <c r="I10" s="3700" cm="1">
        <f t="array" aca="1" ref="I10" ca="1">INDIRECT("'※ 인력 세부데이터'!"&amp;I$1&amp;$W11, TRUE)</f>
        <v>28</v>
      </c>
      <c r="J10" s="3700" cm="1">
        <f t="array" aca="1" ref="J10" ca="1">INDIRECT("'※ 인력 세부데이터'!"&amp;J$1&amp;$W11, TRUE)</f>
        <v>28</v>
      </c>
      <c r="K10" s="3700" cm="1">
        <f t="array" aca="1" ref="K10" ca="1">INDIRECT("'※ 인력 세부데이터'!"&amp;K$1&amp;$W11, TRUE)</f>
        <v>28</v>
      </c>
      <c r="L10" s="3700" cm="1">
        <f t="array" aca="1" ref="L10" ca="1">INDIRECT("'※ 인력 세부데이터'!"&amp;L$1&amp;$W11, TRUE)</f>
        <v>28</v>
      </c>
      <c r="M10" s="3700" cm="1">
        <f t="array" aca="1" ref="M10" ca="1">INDIRECT("'※ 인력 세부데이터'!"&amp;M$1&amp;$W11, TRUE)</f>
        <v>28</v>
      </c>
      <c r="N10" s="3700" cm="1">
        <f t="array" aca="1" ref="N10" ca="1">INDIRECT("'※ 인력 세부데이터'!"&amp;N$1&amp;$W11, TRUE)</f>
        <v>28</v>
      </c>
      <c r="O10" s="3700" cm="1">
        <f t="array" aca="1" ref="O10" ca="1">INDIRECT("'※ 인력 세부데이터'!"&amp;O$1&amp;$W11, TRUE)</f>
        <v>28</v>
      </c>
      <c r="P10" s="3700" cm="1">
        <f t="array" aca="1" ref="P10" ca="1">INDIRECT("'※ 인력 세부데이터'!"&amp;P$1&amp;$W11, TRUE)</f>
        <v>28</v>
      </c>
      <c r="Q10" s="3700" cm="1">
        <f t="array" aca="1" ref="Q10" ca="1">INDIRECT("'※ 인력 세부데이터'!"&amp;Q$1&amp;$W11, TRUE)</f>
        <v>25</v>
      </c>
      <c r="R10" s="3701" cm="1">
        <f t="array" aca="1" ref="R10" ca="1">INDIRECT("'※ 인력 세부데이터'!"&amp;R$1&amp;$W11, TRUE)</f>
        <v>0.1358695652173913</v>
      </c>
      <c r="S10" s="3719" cm="1">
        <f t="array" aca="1" ref="S10" ca="1">INDIRECT("'※ 인력 세부데이터'!"&amp;S$1&amp;$W11, TRUE)</f>
        <v>1</v>
      </c>
      <c r="T10" s="3720" cm="1">
        <f t="array" aca="1" ref="T10" ca="1">INDIRECT("'※ 인력 세부데이터'!"&amp;T$1&amp;$W11, TRUE)</f>
        <v>0.04</v>
      </c>
      <c r="U10" s="3721" cm="1">
        <f t="array" aca="1" ref="U10" ca="1">INDIRECT("'※ 인력 세부데이터'!"&amp;U$1&amp;$W11, TRUE)</f>
        <v>51.36</v>
      </c>
      <c r="V10" s="3722" cm="1">
        <f t="array" aca="1" ref="V10" ca="1">INDIRECT("'※ 인력 세부데이터'!"&amp;V$1&amp;$W11, TRUE)</f>
        <v>18.101808219178082</v>
      </c>
      <c r="W10" s="3693">
        <f>ROW('※ 인력 세부데이터'!J6)</f>
        <v>6</v>
      </c>
      <c r="X10" s="3694"/>
    </row>
    <row r="11" spans="1:60" x14ac:dyDescent="0.55000000000000004">
      <c r="A11" s="7180"/>
      <c r="B11" s="3033"/>
      <c r="C11" s="2493" t="s">
        <v>189</v>
      </c>
      <c r="D11" s="3717" cm="1">
        <f t="array" aca="1" ref="D11" ca="1">INDIRECT("'※ 인력 세부데이터'!"&amp;D$1&amp;$W12, TRUE)</f>
        <v>59.916666666666664</v>
      </c>
      <c r="E11" s="3718" cm="1">
        <f t="array" aca="1" ref="E11" ca="1">INDIRECT("'※ 인력 세부데이터'!"&amp;E$1&amp;$W12, TRUE)</f>
        <v>59.916666666666664</v>
      </c>
      <c r="F11" s="3699" cm="1">
        <f t="array" aca="1" ref="F11" ca="1">INDIRECT("'※ 인력 세부데이터'!"&amp;F$1&amp;$W12, TRUE)</f>
        <v>61</v>
      </c>
      <c r="G11" s="3700" cm="1">
        <f t="array" aca="1" ref="G11" ca="1">INDIRECT("'※ 인력 세부데이터'!"&amp;G$1&amp;$W12, TRUE)</f>
        <v>64</v>
      </c>
      <c r="H11" s="3700" cm="1">
        <f t="array" aca="1" ref="H11" ca="1">INDIRECT("'※ 인력 세부데이터'!"&amp;H$1&amp;$W12, TRUE)</f>
        <v>64</v>
      </c>
      <c r="I11" s="3700" cm="1">
        <f t="array" aca="1" ref="I11" ca="1">INDIRECT("'※ 인력 세부데이터'!"&amp;I$1&amp;$W12, TRUE)</f>
        <v>64</v>
      </c>
      <c r="J11" s="3700" cm="1">
        <f t="array" aca="1" ref="J11" ca="1">INDIRECT("'※ 인력 세부데이터'!"&amp;J$1&amp;$W12, TRUE)</f>
        <v>64</v>
      </c>
      <c r="K11" s="3700" cm="1">
        <f t="array" aca="1" ref="K11" ca="1">INDIRECT("'※ 인력 세부데이터'!"&amp;K$1&amp;$W12, TRUE)</f>
        <v>64</v>
      </c>
      <c r="L11" s="3700" cm="1">
        <f t="array" aca="1" ref="L11" ca="1">INDIRECT("'※ 인력 세부데이터'!"&amp;L$1&amp;$W12, TRUE)</f>
        <v>64</v>
      </c>
      <c r="M11" s="3700" cm="1">
        <f t="array" aca="1" ref="M11" ca="1">INDIRECT("'※ 인력 세부데이터'!"&amp;M$1&amp;$W12, TRUE)</f>
        <v>64</v>
      </c>
      <c r="N11" s="3700" cm="1">
        <f t="array" aca="1" ref="N11" ca="1">INDIRECT("'※ 인력 세부데이터'!"&amp;N$1&amp;$W12, TRUE)</f>
        <v>64</v>
      </c>
      <c r="O11" s="3700" cm="1">
        <f t="array" aca="1" ref="O11" ca="1">INDIRECT("'※ 인력 세부데이터'!"&amp;O$1&amp;$W12, TRUE)</f>
        <v>64</v>
      </c>
      <c r="P11" s="3700" cm="1">
        <f t="array" aca="1" ref="P11" ca="1">INDIRECT("'※ 인력 세부데이터'!"&amp;P$1&amp;$W12, TRUE)</f>
        <v>64</v>
      </c>
      <c r="Q11" s="3700" cm="1">
        <f t="array" aca="1" ref="Q11" ca="1">INDIRECT("'※ 인력 세부데이터'!"&amp;Q$1&amp;$W12, TRUE)</f>
        <v>63</v>
      </c>
      <c r="R11" s="3701" cm="1">
        <f t="array" aca="1" ref="R11" ca="1">INDIRECT("'※ 인력 세부데이터'!"&amp;R$1&amp;$W12, TRUE)</f>
        <v>0.34239130434782611</v>
      </c>
      <c r="S11" s="3719" cm="1">
        <f t="array" aca="1" ref="S11" ca="1">INDIRECT("'※ 인력 세부데이터'!"&amp;S$1&amp;$W12, TRUE)</f>
        <v>3</v>
      </c>
      <c r="T11" s="3720" cm="1">
        <f t="array" aca="1" ref="T11" ca="1">INDIRECT("'※ 인력 세부데이터'!"&amp;T$1&amp;$W12, TRUE)</f>
        <v>4.7619047619047616E-2</v>
      </c>
      <c r="U11" s="3721" cm="1">
        <f t="array" aca="1" ref="U11" ca="1">INDIRECT("'※ 인력 세부데이터'!"&amp;U$1&amp;$W12, TRUE)</f>
        <v>47.079365079365083</v>
      </c>
      <c r="V11" s="3722" cm="1">
        <f t="array" aca="1" ref="V11" ca="1">INDIRECT("'※ 인력 세부데이터'!"&amp;V$1&amp;$W12, TRUE)</f>
        <v>15.951815612089591</v>
      </c>
      <c r="W11" s="3693">
        <f>ROW('※ 인력 세부데이터'!J7)</f>
        <v>7</v>
      </c>
      <c r="X11" s="3694"/>
    </row>
    <row r="12" spans="1:60" x14ac:dyDescent="0.55000000000000004">
      <c r="A12" s="7180"/>
      <c r="B12" s="3033"/>
      <c r="C12" s="3033" t="s">
        <v>190</v>
      </c>
      <c r="D12" s="3717" cm="1">
        <f t="array" aca="1" ref="D12" ca="1">INDIRECT("'※ 인력 세부데이터'!"&amp;D$1&amp;$W13, TRUE)</f>
        <v>46.25</v>
      </c>
      <c r="E12" s="3718" cm="1">
        <f t="array" aca="1" ref="E12" ca="1">INDIRECT("'※ 인력 세부데이터'!"&amp;E$1&amp;$W13, TRUE)</f>
        <v>45.583333333333336</v>
      </c>
      <c r="F12" s="3699" cm="1">
        <f t="array" aca="1" ref="F12" ca="1">INDIRECT("'※ 인력 세부데이터'!"&amp;F$1&amp;$W13, TRUE)</f>
        <v>47</v>
      </c>
      <c r="G12" s="3700" cm="1">
        <f t="array" aca="1" ref="G12" ca="1">INDIRECT("'※ 인력 세부데이터'!"&amp;G$1&amp;$W13, TRUE)</f>
        <v>47</v>
      </c>
      <c r="H12" s="3700" cm="1">
        <f t="array" aca="1" ref="H12" ca="1">INDIRECT("'※ 인력 세부데이터'!"&amp;H$1&amp;$W13, TRUE)</f>
        <v>47</v>
      </c>
      <c r="I12" s="3700" cm="1">
        <f t="array" aca="1" ref="I12" ca="1">INDIRECT("'※ 인력 세부데이터'!"&amp;I$1&amp;$W13, TRUE)</f>
        <v>47</v>
      </c>
      <c r="J12" s="3700" cm="1">
        <f t="array" aca="1" ref="J12" ca="1">INDIRECT("'※ 인력 세부데이터'!"&amp;J$1&amp;$W13, TRUE)</f>
        <v>47</v>
      </c>
      <c r="K12" s="3700" cm="1">
        <f t="array" aca="1" ref="K12" ca="1">INDIRECT("'※ 인력 세부데이터'!"&amp;K$1&amp;$W13, TRUE)</f>
        <v>47</v>
      </c>
      <c r="L12" s="3700" cm="1">
        <f t="array" aca="1" ref="L12" ca="1">INDIRECT("'※ 인력 세부데이터'!"&amp;L$1&amp;$W13, TRUE)</f>
        <v>47</v>
      </c>
      <c r="M12" s="3700" cm="1">
        <f t="array" aca="1" ref="M12" ca="1">INDIRECT("'※ 인력 세부데이터'!"&amp;M$1&amp;$W13, TRUE)</f>
        <v>47</v>
      </c>
      <c r="N12" s="3700" cm="1">
        <f t="array" aca="1" ref="N12" ca="1">INDIRECT("'※ 인력 세부데이터'!"&amp;N$1&amp;$W13, TRUE)</f>
        <v>47</v>
      </c>
      <c r="O12" s="3700" cm="1">
        <f t="array" aca="1" ref="O12" ca="1">INDIRECT("'※ 인력 세부데이터'!"&amp;O$1&amp;$W13, TRUE)</f>
        <v>47</v>
      </c>
      <c r="P12" s="3700" cm="1">
        <f t="array" aca="1" ref="P12" ca="1">INDIRECT("'※ 인력 세부데이터'!"&amp;P$1&amp;$W13, TRUE)</f>
        <v>47</v>
      </c>
      <c r="Q12" s="3700" cm="1">
        <f t="array" aca="1" ref="Q12" ca="1">INDIRECT("'※ 인력 세부데이터'!"&amp;Q$1&amp;$W13, TRUE)</f>
        <v>48</v>
      </c>
      <c r="R12" s="3701" cm="1">
        <f t="array" aca="1" ref="R12" ca="1">INDIRECT("'※ 인력 세부데이터'!"&amp;R$1&amp;$W13, TRUE)</f>
        <v>0.2608695652173913</v>
      </c>
      <c r="S12" s="3719" cm="1">
        <f t="array" aca="1" ref="S12" ca="1">INDIRECT("'※ 인력 세부데이터'!"&amp;S$1&amp;$W13, TRUE)</f>
        <v>13</v>
      </c>
      <c r="T12" s="3720" cm="1">
        <f t="array" aca="1" ref="T12" ca="1">INDIRECT("'※ 인력 세부데이터'!"&amp;T$1&amp;$W13, TRUE)</f>
        <v>0.27083333333333331</v>
      </c>
      <c r="U12" s="3721" cm="1">
        <f t="array" aca="1" ref="U12" ca="1">INDIRECT("'※ 인력 세부데이터'!"&amp;U$1&amp;$W13, TRUE)</f>
        <v>38.979166666666664</v>
      </c>
      <c r="V12" s="3722" cm="1">
        <f t="array" aca="1" ref="V12" ca="1">INDIRECT("'※ 인력 세부데이터'!"&amp;V$1&amp;$W13, TRUE)</f>
        <v>12.00262557077626</v>
      </c>
      <c r="W12" s="3693">
        <f>ROW('※ 인력 세부데이터'!J8)</f>
        <v>8</v>
      </c>
      <c r="X12" s="3694"/>
    </row>
    <row r="13" spans="1:60" x14ac:dyDescent="0.55000000000000004">
      <c r="A13" s="7180"/>
      <c r="B13" s="3033"/>
      <c r="C13" s="3033" t="s">
        <v>191</v>
      </c>
      <c r="D13" s="3717" cm="1">
        <f t="array" aca="1" ref="D13" ca="1">INDIRECT("'※ 인력 세부데이터'!"&amp;D$1&amp;$W14, TRUE)</f>
        <v>23.75</v>
      </c>
      <c r="E13" s="3718" cm="1">
        <f t="array" aca="1" ref="E13" ca="1">INDIRECT("'※ 인력 세부데이터'!"&amp;E$1&amp;$W14, TRUE)</f>
        <v>22.833333333333332</v>
      </c>
      <c r="F13" s="3699" cm="1">
        <f t="array" aca="1" ref="F13" ca="1">INDIRECT("'※ 인력 세부데이터'!"&amp;F$1&amp;$W14, TRUE)</f>
        <v>26</v>
      </c>
      <c r="G13" s="3700" cm="1">
        <f t="array" aca="1" ref="G13" ca="1">INDIRECT("'※ 인력 세부데이터'!"&amp;G$1&amp;$W14, TRUE)</f>
        <v>26</v>
      </c>
      <c r="H13" s="3700" cm="1">
        <f t="array" aca="1" ref="H13" ca="1">INDIRECT("'※ 인력 세부데이터'!"&amp;H$1&amp;$W14, TRUE)</f>
        <v>24</v>
      </c>
      <c r="I13" s="3700" cm="1">
        <f t="array" aca="1" ref="I13" ca="1">INDIRECT("'※ 인력 세부데이터'!"&amp;I$1&amp;$W14, TRUE)</f>
        <v>24</v>
      </c>
      <c r="J13" s="3700" cm="1">
        <f t="array" aca="1" ref="J13" ca="1">INDIRECT("'※ 인력 세부데이터'!"&amp;J$1&amp;$W14, TRUE)</f>
        <v>24</v>
      </c>
      <c r="K13" s="3700" cm="1">
        <f t="array" aca="1" ref="K13" ca="1">INDIRECT("'※ 인력 세부데이터'!"&amp;K$1&amp;$W14, TRUE)</f>
        <v>24</v>
      </c>
      <c r="L13" s="3700" cm="1">
        <f t="array" aca="1" ref="L13" ca="1">INDIRECT("'※ 인력 세부데이터'!"&amp;L$1&amp;$W14, TRUE)</f>
        <v>24</v>
      </c>
      <c r="M13" s="3700" cm="1">
        <f t="array" aca="1" ref="M13" ca="1">INDIRECT("'※ 인력 세부데이터'!"&amp;M$1&amp;$W14, TRUE)</f>
        <v>23</v>
      </c>
      <c r="N13" s="3700" cm="1">
        <f t="array" aca="1" ref="N13" ca="1">INDIRECT("'※ 인력 세부데이터'!"&amp;N$1&amp;$W14, TRUE)</f>
        <v>22</v>
      </c>
      <c r="O13" s="3700" cm="1">
        <f t="array" aca="1" ref="O13" ca="1">INDIRECT("'※ 인력 세부데이터'!"&amp;O$1&amp;$W14, TRUE)</f>
        <v>22</v>
      </c>
      <c r="P13" s="3700" cm="1">
        <f t="array" aca="1" ref="P13" ca="1">INDIRECT("'※ 인력 세부데이터'!"&amp;P$1&amp;$W14, TRUE)</f>
        <v>22</v>
      </c>
      <c r="Q13" s="3700" cm="1">
        <f t="array" aca="1" ref="Q13" ca="1">INDIRECT("'※ 인력 세부데이터'!"&amp;Q$1&amp;$W14, TRUE)</f>
        <v>21</v>
      </c>
      <c r="R13" s="3701" cm="1">
        <f t="array" aca="1" ref="R13" ca="1">INDIRECT("'※ 인력 세부데이터'!"&amp;R$1&amp;$W14, TRUE)</f>
        <v>0.11413043478260869</v>
      </c>
      <c r="S13" s="3719" cm="1">
        <f t="array" aca="1" ref="S13" ca="1">INDIRECT("'※ 인력 세부데이터'!"&amp;S$1&amp;$W14, TRUE)</f>
        <v>8</v>
      </c>
      <c r="T13" s="3720" cm="1">
        <f t="array" aca="1" ref="T13" ca="1">INDIRECT("'※ 인력 세부데이터'!"&amp;T$1&amp;$W14, TRUE)</f>
        <v>0.38095238095238093</v>
      </c>
      <c r="U13" s="3721" cm="1">
        <f t="array" aca="1" ref="U13" ca="1">INDIRECT("'※ 인력 세부데이터'!"&amp;U$1&amp;$W14, TRUE)</f>
        <v>31.238095238095237</v>
      </c>
      <c r="V13" s="3722" cm="1">
        <f t="array" aca="1" ref="V13" ca="1">INDIRECT("'※ 인력 세부데이터'!"&amp;V$1&amp;$W14, TRUE)</f>
        <v>5.6707110241356826</v>
      </c>
      <c r="W13" s="3693">
        <f>ROW('※ 인력 세부데이터'!J9)</f>
        <v>9</v>
      </c>
      <c r="X13" s="3694"/>
    </row>
    <row r="14" spans="1:60" x14ac:dyDescent="0.55000000000000004">
      <c r="A14" s="7180"/>
      <c r="B14" s="2493"/>
      <c r="C14" s="3033" t="s">
        <v>192</v>
      </c>
      <c r="D14" s="3717" cm="1">
        <f t="array" aca="1" ref="D14" ca="1">INDIRECT("'※ 인력 세부데이터'!"&amp;D$1&amp;$W15, TRUE)</f>
        <v>20.916666666666668</v>
      </c>
      <c r="E14" s="3718" cm="1">
        <f t="array" aca="1" ref="E14" ca="1">INDIRECT("'※ 인력 세부데이터'!"&amp;E$1&amp;$W15, TRUE)</f>
        <v>26.083333333333332</v>
      </c>
      <c r="F14" s="3699" cm="1">
        <f t="array" aca="1" ref="F14" ca="1">INDIRECT("'※ 인력 세부데이터'!"&amp;F$1&amp;$W15, TRUE)</f>
        <v>18</v>
      </c>
      <c r="G14" s="3700" cm="1">
        <f t="array" aca="1" ref="G14" ca="1">INDIRECT("'※ 인력 세부데이터'!"&amp;G$1&amp;$W15, TRUE)</f>
        <v>18</v>
      </c>
      <c r="H14" s="3700" cm="1">
        <f t="array" aca="1" ref="H14" ca="1">INDIRECT("'※ 인력 세부데이터'!"&amp;H$1&amp;$W15, TRUE)</f>
        <v>18</v>
      </c>
      <c r="I14" s="3700" cm="1">
        <f t="array" aca="1" ref="I14" ca="1">INDIRECT("'※ 인력 세부데이터'!"&amp;I$1&amp;$W15, TRUE)</f>
        <v>18</v>
      </c>
      <c r="J14" s="3700" cm="1">
        <f t="array" aca="1" ref="J14" ca="1">INDIRECT("'※ 인력 세부데이터'!"&amp;J$1&amp;$W15, TRUE)</f>
        <v>18</v>
      </c>
      <c r="K14" s="3700" cm="1">
        <f t="array" aca="1" ref="K14" ca="1">INDIRECT("'※ 인력 세부데이터'!"&amp;K$1&amp;$W15, TRUE)</f>
        <v>18</v>
      </c>
      <c r="L14" s="3700" cm="1">
        <f t="array" aca="1" ref="L14" ca="1">INDIRECT("'※ 인력 세부데이터'!"&amp;L$1&amp;$W15, TRUE)</f>
        <v>17</v>
      </c>
      <c r="M14" s="3700" cm="1">
        <f t="array" aca="1" ref="M14" ca="1">INDIRECT("'※ 인력 세부데이터'!"&amp;M$1&amp;$W15, TRUE)</f>
        <v>28</v>
      </c>
      <c r="N14" s="3700" cm="1">
        <f t="array" aca="1" ref="N14" ca="1">INDIRECT("'※ 인력 세부데이터'!"&amp;N$1&amp;$W15, TRUE)</f>
        <v>28</v>
      </c>
      <c r="O14" s="3700" cm="1">
        <f t="array" aca="1" ref="O14" ca="1">INDIRECT("'※ 인력 세부데이터'!"&amp;O$1&amp;$W15, TRUE)</f>
        <v>28</v>
      </c>
      <c r="P14" s="3700" cm="1">
        <f t="array" aca="1" ref="P14" ca="1">INDIRECT("'※ 인력 세부데이터'!"&amp;P$1&amp;$W15, TRUE)</f>
        <v>28</v>
      </c>
      <c r="Q14" s="3700" cm="1">
        <f t="array" aca="1" ref="Q14" ca="1">INDIRECT("'※ 인력 세부데이터'!"&amp;Q$1&amp;$W15, TRUE)</f>
        <v>27</v>
      </c>
      <c r="R14" s="3701" cm="1">
        <f t="array" aca="1" ref="R14" ca="1">INDIRECT("'※ 인력 세부데이터'!"&amp;R$1&amp;$W15, TRUE)</f>
        <v>0.14673913043478262</v>
      </c>
      <c r="S14" s="3719" cm="1">
        <f t="array" aca="1" ref="S14" ca="1">INDIRECT("'※ 인력 세부데이터'!"&amp;S$1&amp;$W15, TRUE)</f>
        <v>12</v>
      </c>
      <c r="T14" s="3720" cm="1">
        <f t="array" aca="1" ref="T14" ca="1">INDIRECT("'※ 인력 세부데이터'!"&amp;T$1&amp;$W15, TRUE)</f>
        <v>0.44444444444444442</v>
      </c>
      <c r="U14" s="3721" cm="1">
        <f t="array" aca="1" ref="U14" ca="1">INDIRECT("'※ 인력 세부데이터'!"&amp;U$1&amp;$W15, TRUE)</f>
        <v>27.592592592592592</v>
      </c>
      <c r="V14" s="3722" cm="1">
        <f t="array" aca="1" ref="V14" ca="1">INDIRECT("'※ 인력 세부데이터'!"&amp;V$1&amp;$W15, TRUE)</f>
        <v>1.2612886859462198</v>
      </c>
      <c r="W14" s="3693">
        <f>ROW('※ 인력 세부데이터'!J10)</f>
        <v>10</v>
      </c>
      <c r="X14" s="3694"/>
    </row>
    <row r="15" spans="1:60" x14ac:dyDescent="0.55000000000000004">
      <c r="A15" s="7180"/>
      <c r="B15" s="3706" t="s">
        <v>194</v>
      </c>
      <c r="C15" s="3707"/>
      <c r="D15" s="3708" cm="1">
        <f t="array" aca="1" ref="D15" ca="1">INDIRECT("'※ 인력 세부데이터'!"&amp;D$1&amp;$W16, TRUE)</f>
        <v>1780.1666666666667</v>
      </c>
      <c r="E15" s="3709" cm="1">
        <f t="array" aca="1" ref="E15" ca="1">INDIRECT("'※ 인력 세부데이터'!"&amp;E$1&amp;$W16, TRUE)</f>
        <v>1811.8333333333333</v>
      </c>
      <c r="F15" s="3710" cm="1">
        <f t="array" aca="1" ref="F15" ca="1">INDIRECT("'※ 인력 세부데이터'!"&amp;F$1&amp;$W16, TRUE)</f>
        <v>1916</v>
      </c>
      <c r="G15" s="3711" cm="1">
        <f t="array" aca="1" ref="G15" ca="1">INDIRECT("'※ 인력 세부데이터'!"&amp;G$1&amp;$W16, TRUE)</f>
        <v>1904</v>
      </c>
      <c r="H15" s="3711" cm="1">
        <f t="array" aca="1" ref="H15" ca="1">INDIRECT("'※ 인력 세부데이터'!"&amp;H$1&amp;$W16, TRUE)</f>
        <v>1911</v>
      </c>
      <c r="I15" s="3711" cm="1">
        <f t="array" aca="1" ref="I15" ca="1">INDIRECT("'※ 인력 세부데이터'!"&amp;I$1&amp;$W16, TRUE)</f>
        <v>1908</v>
      </c>
      <c r="J15" s="3711" cm="1">
        <f t="array" aca="1" ref="J15" ca="1">INDIRECT("'※ 인력 세부데이터'!"&amp;J$1&amp;$W16, TRUE)</f>
        <v>1901</v>
      </c>
      <c r="K15" s="3711" cm="1">
        <f t="array" aca="1" ref="K15" ca="1">INDIRECT("'※ 인력 세부데이터'!"&amp;K$1&amp;$W16, TRUE)</f>
        <v>1886</v>
      </c>
      <c r="L15" s="3711" cm="1">
        <f t="array" aca="1" ref="L15" ca="1">INDIRECT("'※ 인력 세부데이터'!"&amp;L$1&amp;$W16, TRUE)</f>
        <v>1860</v>
      </c>
      <c r="M15" s="3711" cm="1">
        <f t="array" aca="1" ref="M15" ca="1">INDIRECT("'※ 인력 세부데이터'!"&amp;M$1&amp;$W16, TRUE)</f>
        <v>1836</v>
      </c>
      <c r="N15" s="3711" cm="1">
        <f t="array" aca="1" ref="N15" ca="1">INDIRECT("'※ 인력 세부데이터'!"&amp;N$1&amp;$W16, TRUE)</f>
        <v>1833</v>
      </c>
      <c r="O15" s="3711" cm="1">
        <f t="array" aca="1" ref="O15" ca="1">INDIRECT("'※ 인력 세부데이터'!"&amp;O$1&amp;$W16, TRUE)</f>
        <v>1812</v>
      </c>
      <c r="P15" s="3711" cm="1">
        <f t="array" aca="1" ref="P15" ca="1">INDIRECT("'※ 인력 세부데이터'!"&amp;P$1&amp;$W16, TRUE)</f>
        <v>1815</v>
      </c>
      <c r="Q15" s="3711" cm="1">
        <f t="array" aca="1" ref="Q15" ca="1">INDIRECT("'※ 인력 세부데이터'!"&amp;Q$1&amp;$W16, TRUE)</f>
        <v>1830</v>
      </c>
      <c r="R15" s="3712" cm="1">
        <f t="array" aca="1" ref="R15" ca="1">INDIRECT("'※ 인력 세부데이터'!"&amp;R$1&amp;$W16, TRUE)</f>
        <v>0.83181818181818179</v>
      </c>
      <c r="S15" s="3713" cm="1">
        <f t="array" aca="1" ref="S15" ca="1">INDIRECT("'※ 인력 세부데이터'!"&amp;S$1&amp;$W16, TRUE)</f>
        <v>730</v>
      </c>
      <c r="T15" s="3714" cm="1">
        <f t="array" aca="1" ref="T15" ca="1">INDIRECT("'※ 인력 세부데이터'!"&amp;T$1&amp;$W16, TRUE)</f>
        <v>0.39890710382513661</v>
      </c>
      <c r="U15" s="3715" cm="1">
        <f t="array" aca="1" ref="U15" ca="1">INDIRECT("'※ 인력 세부데이터'!"&amp;U$1&amp;$W16, TRUE)</f>
        <v>34.075409836065575</v>
      </c>
      <c r="V15" s="3716" cm="1">
        <f t="array" aca="1" ref="V15" ca="1">INDIRECT("'※ 인력 세부데이터'!"&amp;V$1&amp;$W16, TRUE)</f>
        <v>6.2276023654465087</v>
      </c>
      <c r="W15" s="3693">
        <f>ROW('※ 인력 세부데이터'!J11)</f>
        <v>11</v>
      </c>
      <c r="X15" s="3694"/>
    </row>
    <row r="16" spans="1:60" x14ac:dyDescent="0.55000000000000004">
      <c r="A16" s="7180"/>
      <c r="B16" s="3228"/>
      <c r="C16" s="3033" t="s">
        <v>211</v>
      </c>
      <c r="D16" s="3717" cm="1">
        <f t="array" aca="1" ref="D16" ca="1">INDIRECT("'※ 인력 세부데이터'!"&amp;D$1&amp;$W17, TRUE)</f>
        <v>3</v>
      </c>
      <c r="E16" s="3718" cm="1">
        <f t="array" aca="1" ref="E16" ca="1">INDIRECT("'※ 인력 세부데이터'!"&amp;E$1&amp;$W17, TRUE)</f>
        <v>2.9166666666666665</v>
      </c>
      <c r="F16" s="3699" cm="1">
        <f t="array" aca="1" ref="F16" ca="1">INDIRECT("'※ 인력 세부데이터'!"&amp;F$1&amp;$W17, TRUE)</f>
        <v>3</v>
      </c>
      <c r="G16" s="3700" cm="1">
        <f t="array" aca="1" ref="G16" ca="1">INDIRECT("'※ 인력 세부데이터'!"&amp;G$1&amp;$W17, TRUE)</f>
        <v>1</v>
      </c>
      <c r="H16" s="3700" cm="1">
        <f t="array" aca="1" ref="H16" ca="1">INDIRECT("'※ 인력 세부데이터'!"&amp;H$1&amp;$W17, TRUE)</f>
        <v>1</v>
      </c>
      <c r="I16" s="3700" cm="1">
        <f t="array" aca="1" ref="I16" ca="1">INDIRECT("'※ 인력 세부데이터'!"&amp;I$1&amp;$W17, TRUE)</f>
        <v>1</v>
      </c>
      <c r="J16" s="3700" cm="1">
        <f t="array" aca="1" ref="J16" ca="1">INDIRECT("'※ 인력 세부데이터'!"&amp;J$1&amp;$W17, TRUE)</f>
        <v>1</v>
      </c>
      <c r="K16" s="3700" cm="1">
        <f t="array" aca="1" ref="K16" ca="1">INDIRECT("'※ 인력 세부데이터'!"&amp;K$1&amp;$W17, TRUE)</f>
        <v>1</v>
      </c>
      <c r="L16" s="3700" cm="1">
        <f t="array" aca="1" ref="L16" ca="1">INDIRECT("'※ 인력 세부데이터'!"&amp;L$1&amp;$W17, TRUE)</f>
        <v>1</v>
      </c>
      <c r="M16" s="3700" cm="1">
        <f t="array" aca="1" ref="M16" ca="1">INDIRECT("'※ 인력 세부데이터'!"&amp;M$1&amp;$W17, TRUE)</f>
        <v>1</v>
      </c>
      <c r="N16" s="3700" cm="1">
        <f t="array" aca="1" ref="N16" ca="1">INDIRECT("'※ 인력 세부데이터'!"&amp;N$1&amp;$W17, TRUE)</f>
        <v>1</v>
      </c>
      <c r="O16" s="3700" cm="1">
        <f t="array" aca="1" ref="O16" ca="1">INDIRECT("'※ 인력 세부데이터'!"&amp;O$1&amp;$W17, TRUE)</f>
        <v>1</v>
      </c>
      <c r="P16" s="3700" cm="1">
        <f t="array" aca="1" ref="P16" ca="1">INDIRECT("'※ 인력 세부데이터'!"&amp;P$1&amp;$W17, TRUE)</f>
        <v>1</v>
      </c>
      <c r="Q16" s="3700" cm="1">
        <f t="array" aca="1" ref="Q16" ca="1">INDIRECT("'※ 인력 세부데이터'!"&amp;Q$1&amp;$W17, TRUE)</f>
        <v>1</v>
      </c>
      <c r="R16" s="3701" cm="1">
        <f t="array" aca="1" ref="R16" ca="1">INDIRECT("'※ 인력 세부데이터'!"&amp;R$1&amp;$W17, TRUE)</f>
        <v>5.4644808743169399E-4</v>
      </c>
      <c r="S16" s="3719" cm="1">
        <f t="array" aca="1" ref="S16" ca="1">INDIRECT("'※ 인력 세부데이터'!"&amp;S$1&amp;$W17, TRUE)</f>
        <v>1</v>
      </c>
      <c r="T16" s="3720" cm="1">
        <f t="array" aca="1" ref="T16" ca="1">INDIRECT("'※ 인력 세부데이터'!"&amp;T$1&amp;$W17, TRUE)</f>
        <v>1</v>
      </c>
      <c r="U16" s="3721" cm="1">
        <f t="array" aca="1" ref="U16" ca="1">INDIRECT("'※ 인력 세부데이터'!"&amp;U$1&amp;$W17, TRUE)</f>
        <v>48</v>
      </c>
      <c r="V16" s="3722" cm="1">
        <f t="array" aca="1" ref="V16" ca="1">INDIRECT("'※ 인력 세부데이터'!"&amp;V$1&amp;$W17, TRUE)</f>
        <v>17.591780821917808</v>
      </c>
      <c r="W16" s="3693">
        <f>ROW('※ 인력 세부데이터'!J12)</f>
        <v>12</v>
      </c>
      <c r="X16" s="3694"/>
    </row>
    <row r="17" spans="1:24" x14ac:dyDescent="0.55000000000000004">
      <c r="A17" s="7180"/>
      <c r="B17" s="2493"/>
      <c r="C17" s="2493" t="s">
        <v>187</v>
      </c>
      <c r="D17" s="3717" cm="1">
        <f t="array" aca="1" ref="D17" ca="1">INDIRECT("'※ 인력 세부데이터'!"&amp;D$1&amp;$W18, TRUE)</f>
        <v>21.166666666666668</v>
      </c>
      <c r="E17" s="3718" cm="1">
        <f t="array" aca="1" ref="E17" ca="1">INDIRECT("'※ 인력 세부데이터'!"&amp;E$1&amp;$W18, TRUE)</f>
        <v>21.166666666666668</v>
      </c>
      <c r="F17" s="3699" cm="1">
        <f t="array" aca="1" ref="F17" ca="1">INDIRECT("'※ 인력 세부데이터'!"&amp;F$1&amp;$W18, TRUE)</f>
        <v>22</v>
      </c>
      <c r="G17" s="3700" cm="1">
        <f t="array" aca="1" ref="G17" ca="1">INDIRECT("'※ 인력 세부데이터'!"&amp;G$1&amp;$W18, TRUE)</f>
        <v>25</v>
      </c>
      <c r="H17" s="3700" cm="1">
        <f t="array" aca="1" ref="H17" ca="1">INDIRECT("'※ 인력 세부데이터'!"&amp;H$1&amp;$W18, TRUE)</f>
        <v>25</v>
      </c>
      <c r="I17" s="3700" cm="1">
        <f t="array" aca="1" ref="I17" ca="1">INDIRECT("'※ 인력 세부데이터'!"&amp;I$1&amp;$W18, TRUE)</f>
        <v>25</v>
      </c>
      <c r="J17" s="3700" cm="1">
        <f t="array" aca="1" ref="J17" ca="1">INDIRECT("'※ 인력 세부데이터'!"&amp;J$1&amp;$W18, TRUE)</f>
        <v>24</v>
      </c>
      <c r="K17" s="3700" cm="1">
        <f t="array" aca="1" ref="K17" ca="1">INDIRECT("'※ 인력 세부데이터'!"&amp;K$1&amp;$W18, TRUE)</f>
        <v>24</v>
      </c>
      <c r="L17" s="3700" cm="1">
        <f t="array" aca="1" ref="L17" ca="1">INDIRECT("'※ 인력 세부데이터'!"&amp;L$1&amp;$W18, TRUE)</f>
        <v>24</v>
      </c>
      <c r="M17" s="3700" cm="1">
        <f t="array" aca="1" ref="M17" ca="1">INDIRECT("'※ 인력 세부데이터'!"&amp;M$1&amp;$W18, TRUE)</f>
        <v>32</v>
      </c>
      <c r="N17" s="3700" cm="1">
        <f t="array" aca="1" ref="N17" ca="1">INDIRECT("'※ 인력 세부데이터'!"&amp;N$1&amp;$W18, TRUE)</f>
        <v>32</v>
      </c>
      <c r="O17" s="3700" cm="1">
        <f t="array" aca="1" ref="O17" ca="1">INDIRECT("'※ 인력 세부데이터'!"&amp;O$1&amp;$W18, TRUE)</f>
        <v>31</v>
      </c>
      <c r="P17" s="3700" cm="1">
        <f t="array" aca="1" ref="P17" ca="1">INDIRECT("'※ 인력 세부데이터'!"&amp;P$1&amp;$W18, TRUE)</f>
        <v>31</v>
      </c>
      <c r="Q17" s="3700" cm="1">
        <f t="array" aca="1" ref="Q17" ca="1">INDIRECT("'※ 인력 세부데이터'!"&amp;Q$1&amp;$W18, TRUE)</f>
        <v>31</v>
      </c>
      <c r="R17" s="3701" cm="1">
        <f t="array" aca="1" ref="R17" ca="1">INDIRECT("'※ 인력 세부데이터'!"&amp;R$1&amp;$W18, TRUE)</f>
        <v>1.6939890710382512E-2</v>
      </c>
      <c r="S17" s="3719" cm="1">
        <f t="array" aca="1" ref="S17" ca="1">INDIRECT("'※ 인력 세부데이터'!"&amp;S$1&amp;$W18, TRUE)</f>
        <v>4</v>
      </c>
      <c r="T17" s="3720" cm="1">
        <f t="array" aca="1" ref="T17" ca="1">INDIRECT("'※ 인력 세부데이터'!"&amp;T$1&amp;$W18, TRUE)</f>
        <v>0.12903225806451613</v>
      </c>
      <c r="U17" s="3721" cm="1">
        <f t="array" aca="1" ref="U17" ca="1">INDIRECT("'※ 인력 세부데이터'!"&amp;U$1&amp;$W18, TRUE)</f>
        <v>43.548387096774192</v>
      </c>
      <c r="V17" s="3722" cm="1">
        <f t="array" aca="1" ref="V17" ca="1">INDIRECT("'※ 인력 세부데이터'!"&amp;V$1&amp;$W18, TRUE)</f>
        <v>16.080866106937695</v>
      </c>
      <c r="W17" s="3693">
        <f>ROW('※ 인력 세부데이터'!J13)</f>
        <v>13</v>
      </c>
      <c r="X17" s="3694"/>
    </row>
    <row r="18" spans="1:24" x14ac:dyDescent="0.55000000000000004">
      <c r="A18" s="7180"/>
      <c r="B18" s="2493"/>
      <c r="C18" s="2493" t="s">
        <v>189</v>
      </c>
      <c r="D18" s="3717" cm="1">
        <f t="array" aca="1" ref="D18" ca="1">INDIRECT("'※ 인력 세부데이터'!"&amp;D$1&amp;$W19, TRUE)</f>
        <v>104.5</v>
      </c>
      <c r="E18" s="3718" cm="1">
        <f t="array" aca="1" ref="E18" ca="1">INDIRECT("'※ 인력 세부데이터'!"&amp;E$1&amp;$W19, TRUE)</f>
        <v>100.16666666666667</v>
      </c>
      <c r="F18" s="3699" cm="1">
        <f t="array" aca="1" ref="F18" ca="1">INDIRECT("'※ 인력 세부데이터'!"&amp;F$1&amp;$W19, TRUE)</f>
        <v>106</v>
      </c>
      <c r="G18" s="3700" cm="1">
        <f t="array" aca="1" ref="G18" ca="1">INDIRECT("'※ 인력 세부데이터'!"&amp;G$1&amp;$W19, TRUE)</f>
        <v>125</v>
      </c>
      <c r="H18" s="3700" cm="1">
        <f t="array" aca="1" ref="H18" ca="1">INDIRECT("'※ 인력 세부데이터'!"&amp;H$1&amp;$W19, TRUE)</f>
        <v>124</v>
      </c>
      <c r="I18" s="3700" cm="1">
        <f t="array" aca="1" ref="I18" ca="1">INDIRECT("'※ 인력 세부데이터'!"&amp;I$1&amp;$W19, TRUE)</f>
        <v>124</v>
      </c>
      <c r="J18" s="3700" cm="1">
        <f t="array" aca="1" ref="J18" ca="1">INDIRECT("'※ 인력 세부데이터'!"&amp;J$1&amp;$W19, TRUE)</f>
        <v>124</v>
      </c>
      <c r="K18" s="3700" cm="1">
        <f t="array" aca="1" ref="K18" ca="1">INDIRECT("'※ 인력 세부데이터'!"&amp;K$1&amp;$W19, TRUE)</f>
        <v>124</v>
      </c>
      <c r="L18" s="3700" cm="1">
        <f t="array" aca="1" ref="L18" ca="1">INDIRECT("'※ 인력 세부데이터'!"&amp;L$1&amp;$W19, TRUE)</f>
        <v>122</v>
      </c>
      <c r="M18" s="3700" cm="1">
        <f t="array" aca="1" ref="M18" ca="1">INDIRECT("'※ 인력 세부데이터'!"&amp;M$1&amp;$W19, TRUE)</f>
        <v>138</v>
      </c>
      <c r="N18" s="3700" cm="1">
        <f t="array" aca="1" ref="N18" ca="1">INDIRECT("'※ 인력 세부데이터'!"&amp;N$1&amp;$W19, TRUE)</f>
        <v>137</v>
      </c>
      <c r="O18" s="3700" cm="1">
        <f t="array" aca="1" ref="O18" ca="1">INDIRECT("'※ 인력 세부데이터'!"&amp;O$1&amp;$W19, TRUE)</f>
        <v>136</v>
      </c>
      <c r="P18" s="3700" cm="1">
        <f t="array" aca="1" ref="P18" ca="1">INDIRECT("'※ 인력 세부데이터'!"&amp;P$1&amp;$W19, TRUE)</f>
        <v>135</v>
      </c>
      <c r="Q18" s="3700" cm="1">
        <f t="array" aca="1" ref="Q18" ca="1">INDIRECT("'※ 인력 세부데이터'!"&amp;Q$1&amp;$W19, TRUE)</f>
        <v>133</v>
      </c>
      <c r="R18" s="3701" cm="1">
        <f t="array" aca="1" ref="R18" ca="1">INDIRECT("'※ 인력 세부데이터'!"&amp;R$1&amp;$W19, TRUE)</f>
        <v>7.2677595628415304E-2</v>
      </c>
      <c r="S18" s="3719" cm="1">
        <f t="array" aca="1" ref="S18" ca="1">INDIRECT("'※ 인력 세부데이터'!"&amp;S$1&amp;$W19, TRUE)</f>
        <v>29</v>
      </c>
      <c r="T18" s="3720" cm="1">
        <f t="array" aca="1" ref="T18" ca="1">INDIRECT("'※ 인력 세부데이터'!"&amp;T$1&amp;$W19, TRUE)</f>
        <v>0.21804511278195488</v>
      </c>
      <c r="U18" s="3721" cm="1">
        <f t="array" aca="1" ref="U18" ca="1">INDIRECT("'※ 인력 세부데이터'!"&amp;U$1&amp;$W19, TRUE)</f>
        <v>40.609022556390975</v>
      </c>
      <c r="V18" s="3722" cm="1">
        <f t="array" aca="1" ref="V18" ca="1">INDIRECT("'※ 인력 세부데이터'!"&amp;V$1&amp;$W19, TRUE)</f>
        <v>13.27524976825625</v>
      </c>
      <c r="W18" s="3693">
        <f>ROW('※ 인력 세부데이터'!J14)</f>
        <v>14</v>
      </c>
      <c r="X18" s="3694"/>
    </row>
    <row r="19" spans="1:24" x14ac:dyDescent="0.55000000000000004">
      <c r="A19" s="7180"/>
      <c r="B19" s="2493"/>
      <c r="C19" s="3033" t="s">
        <v>190</v>
      </c>
      <c r="D19" s="3717" cm="1">
        <f t="array" aca="1" ref="D19" ca="1">INDIRECT("'※ 인력 세부데이터'!"&amp;D$1&amp;$W20, TRUE)</f>
        <v>318.83333333333331</v>
      </c>
      <c r="E19" s="3718" cm="1">
        <f t="array" aca="1" ref="E19" ca="1">INDIRECT("'※ 인력 세부데이터'!"&amp;E$1&amp;$W20, TRUE)</f>
        <v>312.75</v>
      </c>
      <c r="F19" s="3699" cm="1">
        <f t="array" aca="1" ref="F19" ca="1">INDIRECT("'※ 인력 세부데이터'!"&amp;F$1&amp;$W20, TRUE)</f>
        <v>322</v>
      </c>
      <c r="G19" s="3700" cm="1">
        <f t="array" aca="1" ref="G19" ca="1">INDIRECT("'※ 인력 세부데이터'!"&amp;G$1&amp;$W20, TRUE)</f>
        <v>348</v>
      </c>
      <c r="H19" s="3700" cm="1">
        <f t="array" aca="1" ref="H19" ca="1">INDIRECT("'※ 인력 세부데이터'!"&amp;H$1&amp;$W20, TRUE)</f>
        <v>344</v>
      </c>
      <c r="I19" s="3700" cm="1">
        <f t="array" aca="1" ref="I19" ca="1">INDIRECT("'※ 인력 세부데이터'!"&amp;I$1&amp;$W20, TRUE)</f>
        <v>343</v>
      </c>
      <c r="J19" s="3700" cm="1">
        <f t="array" aca="1" ref="J19" ca="1">INDIRECT("'※ 인력 세부데이터'!"&amp;J$1&amp;$W20, TRUE)</f>
        <v>344</v>
      </c>
      <c r="K19" s="3700" cm="1">
        <f t="array" aca="1" ref="K19" ca="1">INDIRECT("'※ 인력 세부데이터'!"&amp;K$1&amp;$W20, TRUE)</f>
        <v>340</v>
      </c>
      <c r="L19" s="3700" cm="1">
        <f t="array" aca="1" ref="L19" ca="1">INDIRECT("'※ 인력 세부데이터'!"&amp;L$1&amp;$W20, TRUE)</f>
        <v>337</v>
      </c>
      <c r="M19" s="3700" cm="1">
        <f t="array" aca="1" ref="M19" ca="1">INDIRECT("'※ 인력 세부데이터'!"&amp;M$1&amp;$W20, TRUE)</f>
        <v>349</v>
      </c>
      <c r="N19" s="3700" cm="1">
        <f t="array" aca="1" ref="N19" ca="1">INDIRECT("'※ 인력 세부데이터'!"&amp;N$1&amp;$W20, TRUE)</f>
        <v>348</v>
      </c>
      <c r="O19" s="3700" cm="1">
        <f t="array" aca="1" ref="O19" ca="1">INDIRECT("'※ 인력 세부데이터'!"&amp;O$1&amp;$W20, TRUE)</f>
        <v>347</v>
      </c>
      <c r="P19" s="3700" cm="1">
        <f t="array" aca="1" ref="P19" ca="1">INDIRECT("'※ 인력 세부데이터'!"&amp;P$1&amp;$W20, TRUE)</f>
        <v>345</v>
      </c>
      <c r="Q19" s="3700" cm="1">
        <f t="array" aca="1" ref="Q19" ca="1">INDIRECT("'※ 인력 세부데이터'!"&amp;Q$1&amp;$W20, TRUE)</f>
        <v>346</v>
      </c>
      <c r="R19" s="3701" cm="1">
        <f t="array" aca="1" ref="R19" ca="1">INDIRECT("'※ 인력 세부데이터'!"&amp;R$1&amp;$W20, TRUE)</f>
        <v>0.18907103825136612</v>
      </c>
      <c r="S19" s="3719" cm="1">
        <f t="array" aca="1" ref="S19" ca="1">INDIRECT("'※ 인력 세부데이터'!"&amp;S$1&amp;$W20, TRUE)</f>
        <v>145</v>
      </c>
      <c r="T19" s="3720" cm="1">
        <f t="array" aca="1" ref="T19" ca="1">INDIRECT("'※ 인력 세부데이터'!"&amp;T$1&amp;$W20, TRUE)</f>
        <v>0.41907514450867051</v>
      </c>
      <c r="U19" s="3721" cm="1">
        <f t="array" aca="1" ref="U19" ca="1">INDIRECT("'※ 인력 세부데이터'!"&amp;U$1&amp;$W20, TRUE)</f>
        <v>37.901734104046241</v>
      </c>
      <c r="V19" s="3722" cm="1">
        <f t="array" aca="1" ref="V19" ca="1">INDIRECT("'※ 인력 세부데이터'!"&amp;V$1&amp;$W20, TRUE)</f>
        <v>10.595351967693414</v>
      </c>
      <c r="W19" s="3693">
        <f>ROW('※ 인력 세부데이터'!J15)</f>
        <v>15</v>
      </c>
      <c r="X19" s="3694"/>
    </row>
    <row r="20" spans="1:24" x14ac:dyDescent="0.55000000000000004">
      <c r="A20" s="7180"/>
      <c r="B20" s="2493"/>
      <c r="C20" s="3033" t="s">
        <v>191</v>
      </c>
      <c r="D20" s="3717" cm="1">
        <f t="array" aca="1" ref="D20" ca="1">INDIRECT("'※ 인력 세부데이터'!"&amp;D$1&amp;$W21, TRUE)</f>
        <v>525.75</v>
      </c>
      <c r="E20" s="3718" cm="1">
        <f t="array" aca="1" ref="E20" ca="1">INDIRECT("'※ 인력 세부데이터'!"&amp;E$1&amp;$W21, TRUE)</f>
        <v>507</v>
      </c>
      <c r="F20" s="3699" cm="1">
        <f t="array" aca="1" ref="F20" ca="1">INDIRECT("'※ 인력 세부데이터'!"&amp;F$1&amp;$W21, TRUE)</f>
        <v>518</v>
      </c>
      <c r="G20" s="3700" cm="1">
        <f t="array" aca="1" ref="G20" ca="1">INDIRECT("'※ 인력 세부데이터'!"&amp;G$1&amp;$W21, TRUE)</f>
        <v>544</v>
      </c>
      <c r="H20" s="3700" cm="1">
        <f t="array" aca="1" ref="H20" ca="1">INDIRECT("'※ 인력 세부데이터'!"&amp;H$1&amp;$W21, TRUE)</f>
        <v>543</v>
      </c>
      <c r="I20" s="3700" cm="1">
        <f t="array" aca="1" ref="I20" ca="1">INDIRECT("'※ 인력 세부데이터'!"&amp;I$1&amp;$W21, TRUE)</f>
        <v>536</v>
      </c>
      <c r="J20" s="3700" cm="1">
        <f t="array" aca="1" ref="J20" ca="1">INDIRECT("'※ 인력 세부데이터'!"&amp;J$1&amp;$W21, TRUE)</f>
        <v>529</v>
      </c>
      <c r="K20" s="3700" cm="1">
        <f t="array" aca="1" ref="K20" ca="1">INDIRECT("'※ 인력 세부데이터'!"&amp;K$1&amp;$W21, TRUE)</f>
        <v>522</v>
      </c>
      <c r="L20" s="3700" cm="1">
        <f t="array" aca="1" ref="L20" ca="1">INDIRECT("'※ 인력 세부데이터'!"&amp;L$1&amp;$W21, TRUE)</f>
        <v>519</v>
      </c>
      <c r="M20" s="3700" cm="1">
        <f t="array" aca="1" ref="M20" ca="1">INDIRECT("'※ 인력 세부데이터'!"&amp;M$1&amp;$W21, TRUE)</f>
        <v>553</v>
      </c>
      <c r="N20" s="3700" cm="1">
        <f t="array" aca="1" ref="N20" ca="1">INDIRECT("'※ 인력 세부데이터'!"&amp;N$1&amp;$W21, TRUE)</f>
        <v>542</v>
      </c>
      <c r="O20" s="3700" cm="1">
        <f t="array" aca="1" ref="O20" ca="1">INDIRECT("'※ 인력 세부데이터'!"&amp;O$1&amp;$W21, TRUE)</f>
        <v>542</v>
      </c>
      <c r="P20" s="3700" cm="1">
        <f t="array" aca="1" ref="P20" ca="1">INDIRECT("'※ 인력 세부데이터'!"&amp;P$1&amp;$W21, TRUE)</f>
        <v>534</v>
      </c>
      <c r="Q20" s="3700" cm="1">
        <f t="array" aca="1" ref="Q20" ca="1">INDIRECT("'※ 인력 세부데이터'!"&amp;Q$1&amp;$W21, TRUE)</f>
        <v>530</v>
      </c>
      <c r="R20" s="3701" cm="1">
        <f t="array" aca="1" ref="R20" ca="1">INDIRECT("'※ 인력 세부데이터'!"&amp;R$1&amp;$W21, TRUE)</f>
        <v>0.2896174863387978</v>
      </c>
      <c r="S20" s="3719" cm="1">
        <f t="array" aca="1" ref="S20" ca="1">INDIRECT("'※ 인력 세부데이터'!"&amp;S$1&amp;$W21, TRUE)</f>
        <v>236</v>
      </c>
      <c r="T20" s="3720" cm="1">
        <f t="array" aca="1" ref="T20" ca="1">INDIRECT("'※ 인력 세부데이터'!"&amp;T$1&amp;$W21, TRUE)</f>
        <v>0.44528301886792454</v>
      </c>
      <c r="U20" s="3721" cm="1">
        <f t="array" aca="1" ref="U20" ca="1">INDIRECT("'※ 인력 세부데이터'!"&amp;U$1&amp;$W21, TRUE)</f>
        <v>35.001886792452829</v>
      </c>
      <c r="V20" s="3722" cm="1">
        <f t="array" aca="1" ref="V20" ca="1">INDIRECT("'※ 인력 세부데이터'!"&amp;V$1&amp;$W21, TRUE)</f>
        <v>7.1034479193590103</v>
      </c>
      <c r="W20" s="3693">
        <f>ROW('※ 인력 세부데이터'!J16)</f>
        <v>16</v>
      </c>
      <c r="X20" s="3694"/>
    </row>
    <row r="21" spans="1:24" x14ac:dyDescent="0.55000000000000004">
      <c r="A21" s="7180"/>
      <c r="B21" s="3723"/>
      <c r="C21" s="3033" t="s">
        <v>192</v>
      </c>
      <c r="D21" s="3717" cm="1">
        <f t="array" aca="1" ref="D21" ca="1">INDIRECT("'※ 인력 세부데이터'!"&amp;D$1&amp;$W22, TRUE)</f>
        <v>785.33333333333337</v>
      </c>
      <c r="E21" s="3718" cm="1">
        <f t="array" aca="1" ref="E21" ca="1">INDIRECT("'※ 인력 세부데이터'!"&amp;E$1&amp;$W22, TRUE)</f>
        <v>744.33333333333337</v>
      </c>
      <c r="F21" s="3699" cm="1">
        <f t="array" aca="1" ref="F21" ca="1">INDIRECT("'※ 인력 세부데이터'!"&amp;F$1&amp;$W22, TRUE)</f>
        <v>810</v>
      </c>
      <c r="G21" s="3700" cm="1">
        <f t="array" aca="1" ref="G21" ca="1">INDIRECT("'※ 인력 세부데이터'!"&amp;G$1&amp;$W22, TRUE)</f>
        <v>860</v>
      </c>
      <c r="H21" s="3700" cm="1">
        <f t="array" aca="1" ref="H21" ca="1">INDIRECT("'※ 인력 세부데이터'!"&amp;H$1&amp;$W22, TRUE)</f>
        <v>874</v>
      </c>
      <c r="I21" s="3700" cm="1">
        <f t="array" aca="1" ref="I21" ca="1">INDIRECT("'※ 인력 세부데이터'!"&amp;I$1&amp;$W22, TRUE)</f>
        <v>879</v>
      </c>
      <c r="J21" s="3700" cm="1">
        <f t="array" aca="1" ref="J21" ca="1">INDIRECT("'※ 인력 세부데이터'!"&amp;J$1&amp;$W22, TRUE)</f>
        <v>879</v>
      </c>
      <c r="K21" s="3700" cm="1">
        <f t="array" aca="1" ref="K21" ca="1">INDIRECT("'※ 인력 세부데이터'!"&amp;K$1&amp;$W22, TRUE)</f>
        <v>875</v>
      </c>
      <c r="L21" s="3700" cm="1">
        <f t="array" aca="1" ref="L21" ca="1">INDIRECT("'※ 인력 세부데이터'!"&amp;L$1&amp;$W22, TRUE)</f>
        <v>857</v>
      </c>
      <c r="M21" s="3700" cm="1">
        <f t="array" aca="1" ref="M21" ca="1">INDIRECT("'※ 인력 세부데이터'!"&amp;M$1&amp;$W22, TRUE)</f>
        <v>763</v>
      </c>
      <c r="N21" s="3700" cm="1">
        <f t="array" aca="1" ref="N21" ca="1">INDIRECT("'※ 인력 세부데이터'!"&amp;N$1&amp;$W22, TRUE)</f>
        <v>772</v>
      </c>
      <c r="O21" s="3700" cm="1">
        <f t="array" aca="1" ref="O21" ca="1">INDIRECT("'※ 인력 세부데이터'!"&amp;O$1&amp;$W22, TRUE)</f>
        <v>754</v>
      </c>
      <c r="P21" s="3700" cm="1">
        <f t="array" aca="1" ref="P21" ca="1">INDIRECT("'※ 인력 세부데이터'!"&amp;P$1&amp;$W22, TRUE)</f>
        <v>769</v>
      </c>
      <c r="Q21" s="3700" cm="1">
        <f t="array" aca="1" ref="Q21" ca="1">INDIRECT("'※ 인력 세부데이터'!"&amp;Q$1&amp;$W22, TRUE)</f>
        <v>789</v>
      </c>
      <c r="R21" s="3701" cm="1">
        <f t="array" aca="1" ref="R21" ca="1">INDIRECT("'※ 인력 세부데이터'!"&amp;R$1&amp;$W22, TRUE)</f>
        <v>0.43114754098360658</v>
      </c>
      <c r="S21" s="3719" cm="1">
        <f t="array" aca="1" ref="S21" ca="1">INDIRECT("'※ 인력 세부데이터'!"&amp;S$1&amp;$W22, TRUE)</f>
        <v>315</v>
      </c>
      <c r="T21" s="3720" cm="1">
        <f t="array" aca="1" ref="T21" ca="1">INDIRECT("'※ 인력 세부데이터'!"&amp;T$1&amp;$W22, TRUE)</f>
        <v>0.39923954372623577</v>
      </c>
      <c r="U21" s="3721" cm="1">
        <f t="array" aca="1" ref="U21" ca="1">INDIRECT("'※ 인력 세부데이터'!"&amp;U$1&amp;$W22, TRUE)</f>
        <v>30.283903675538657</v>
      </c>
      <c r="V21" s="3722" cm="1">
        <f t="array" aca="1" ref="V21" ca="1">INDIRECT("'※ 인력 세부데이터'!"&amp;V$1&amp;$W22, TRUE)</f>
        <v>2.1343299130163071</v>
      </c>
      <c r="W21" s="3693">
        <f>ROW('※ 인력 세부데이터'!J17)</f>
        <v>17</v>
      </c>
      <c r="X21" s="3694"/>
    </row>
    <row r="22" spans="1:24" x14ac:dyDescent="0.55000000000000004">
      <c r="A22" s="7180"/>
      <c r="B22" s="3723"/>
      <c r="C22" s="3033" t="s">
        <v>212</v>
      </c>
      <c r="D22" s="3717" cm="1">
        <f t="array" aca="1" ref="D22" ca="1">INDIRECT("'※ 인력 세부데이터'!"&amp;D$1&amp;$W23, TRUE)</f>
        <v>21.583333333333332</v>
      </c>
      <c r="E22" s="3718" cm="1">
        <f t="array" aca="1" ref="E22" ca="1">INDIRECT("'※ 인력 세부데이터'!"&amp;E$1&amp;$W23, TRUE)</f>
        <v>123.5</v>
      </c>
      <c r="F22" s="3699" cm="1">
        <f t="array" aca="1" ref="F22" ca="1">INDIRECT("'※ 인력 세부데이터'!"&amp;F$1&amp;$W23, TRUE)</f>
        <v>135</v>
      </c>
      <c r="G22" s="3700" cm="1">
        <f t="array" aca="1" ref="G22" ca="1">INDIRECT("'※ 인력 세부데이터'!"&amp;G$1&amp;$W23, TRUE)</f>
        <v>1</v>
      </c>
      <c r="H22" s="3700" cm="1">
        <f t="array" aca="1" ref="H22" ca="1">INDIRECT("'※ 인력 세부데이터'!"&amp;H$1&amp;$W23, TRUE)</f>
        <v>0</v>
      </c>
      <c r="I22" s="3700" cm="1">
        <f t="array" aca="1" ref="I22" ca="1">INDIRECT("'※ 인력 세부데이터'!"&amp;I$1&amp;$W23, TRUE)</f>
        <v>0</v>
      </c>
      <c r="J22" s="3700" cm="1">
        <f t="array" aca="1" ref="J22" ca="1">INDIRECT("'※ 인력 세부데이터'!"&amp;J$1&amp;$W23, TRUE)</f>
        <v>0</v>
      </c>
      <c r="K22" s="3700" cm="1">
        <f t="array" aca="1" ref="K22" ca="1">INDIRECT("'※ 인력 세부데이터'!"&amp;K$1&amp;$W23, TRUE)</f>
        <v>0</v>
      </c>
      <c r="L22" s="3700" cm="1">
        <f t="array" aca="1" ref="L22" ca="1">INDIRECT("'※ 인력 세부데이터'!"&amp;L$1&amp;$W23, TRUE)</f>
        <v>0</v>
      </c>
      <c r="M22" s="3700" cm="1">
        <f t="array" aca="1" ref="M22" ca="1">INDIRECT("'※ 인력 세부데이터'!"&amp;M$1&amp;$W23, TRUE)</f>
        <v>0</v>
      </c>
      <c r="N22" s="3700" cm="1">
        <f t="array" aca="1" ref="N22" ca="1">INDIRECT("'※ 인력 세부데이터'!"&amp;N$1&amp;$W23, TRUE)</f>
        <v>1</v>
      </c>
      <c r="O22" s="3700" cm="1">
        <f t="array" aca="1" ref="O22" ca="1">INDIRECT("'※ 인력 세부데이터'!"&amp;O$1&amp;$W23, TRUE)</f>
        <v>1</v>
      </c>
      <c r="P22" s="3700" cm="1">
        <f t="array" aca="1" ref="P22" ca="1">INDIRECT("'※ 인력 세부데이터'!"&amp;P$1&amp;$W23, TRUE)</f>
        <v>0</v>
      </c>
      <c r="Q22" s="3700" cm="1">
        <f t="array" aca="1" ref="Q22" ca="1">INDIRECT("'※ 인력 세부데이터'!"&amp;Q$1&amp;$W23, TRUE)</f>
        <v>0</v>
      </c>
      <c r="R22" s="3701" cm="1">
        <f t="array" aca="1" ref="R22" ca="1">INDIRECT("'※ 인력 세부데이터'!"&amp;R$1&amp;$W23, TRUE)</f>
        <v>0</v>
      </c>
      <c r="S22" s="3719" cm="1">
        <f t="array" aca="1" ref="S22" ca="1">INDIRECT("'※ 인력 세부데이터'!"&amp;S$1&amp;$W23, TRUE)</f>
        <v>0</v>
      </c>
      <c r="T22" s="3720" cm="1">
        <f t="array" aca="1" ref="T22" ca="1">INDIRECT("'※ 인력 세부데이터'!"&amp;T$1&amp;$W23, TRUE)</f>
        <v>0</v>
      </c>
      <c r="U22" s="3721" cm="1">
        <f t="array" aca="1" ref="U22" ca="1">INDIRECT("'※ 인력 세부데이터'!"&amp;U$1&amp;$W23, TRUE)</f>
        <v>0</v>
      </c>
      <c r="V22" s="3722" cm="1">
        <f t="array" aca="1" ref="V22" ca="1">INDIRECT("'※ 인력 세부데이터'!"&amp;V$1&amp;$W23, TRUE)</f>
        <v>0</v>
      </c>
      <c r="W22" s="3693">
        <f>ROW('※ 인력 세부데이터'!J18)</f>
        <v>18</v>
      </c>
      <c r="X22" s="3694"/>
    </row>
    <row r="23" spans="1:24" x14ac:dyDescent="0.55000000000000004">
      <c r="A23" s="7180"/>
      <c r="B23" s="3706" t="s">
        <v>195</v>
      </c>
      <c r="C23" s="3707"/>
      <c r="D23" s="3708" cm="1">
        <f t="array" aca="1" ref="D23" ca="1">INDIRECT("'※ 인력 세부데이터'!"&amp;D$1&amp;$W24, TRUE)</f>
        <v>118.91666666666667</v>
      </c>
      <c r="E23" s="3709" cm="1">
        <f t="array" aca="1" ref="E23" ca="1">INDIRECT("'※ 인력 세부데이터'!"&amp;E$1&amp;$W24, TRUE)</f>
        <v>111.41666666666667</v>
      </c>
      <c r="F23" s="3710" cm="1">
        <f t="array" aca="1" ref="F23" ca="1">INDIRECT("'※ 인력 세부데이터'!"&amp;F$1&amp;$W24, TRUE)</f>
        <v>122</v>
      </c>
      <c r="G23" s="3711" cm="1">
        <f t="array" aca="1" ref="G23" ca="1">INDIRECT("'※ 인력 세부데이터'!"&amp;G$1&amp;$W24, TRUE)</f>
        <v>126</v>
      </c>
      <c r="H23" s="3711" cm="1">
        <f t="array" aca="1" ref="H23" ca="1">INDIRECT("'※ 인력 세부데이터'!"&amp;H$1&amp;$W24, TRUE)</f>
        <v>133</v>
      </c>
      <c r="I23" s="3711" cm="1">
        <f t="array" aca="1" ref="I23" ca="1">INDIRECT("'※ 인력 세부데이터'!"&amp;I$1&amp;$W24, TRUE)</f>
        <v>143</v>
      </c>
      <c r="J23" s="3711" cm="1">
        <f t="array" aca="1" ref="J23" ca="1">INDIRECT("'※ 인력 세부데이터'!"&amp;J$1&amp;$W24, TRUE)</f>
        <v>146</v>
      </c>
      <c r="K23" s="3711" cm="1">
        <f t="array" aca="1" ref="K23" ca="1">INDIRECT("'※ 인력 세부데이터'!"&amp;K$1&amp;$W24, TRUE)</f>
        <v>147</v>
      </c>
      <c r="L23" s="3711" cm="1">
        <f t="array" aca="1" ref="L23" ca="1">INDIRECT("'※ 인력 세부데이터'!"&amp;L$1&amp;$W24, TRUE)</f>
        <v>150</v>
      </c>
      <c r="M23" s="3711" cm="1">
        <f t="array" aca="1" ref="M23" ca="1">INDIRECT("'※ 인력 세부데이터'!"&amp;M$1&amp;$W24, TRUE)</f>
        <v>149</v>
      </c>
      <c r="N23" s="3711" cm="1">
        <f t="array" aca="1" ref="N23" ca="1">INDIRECT("'※ 인력 세부데이터'!"&amp;N$1&amp;$W24, TRUE)</f>
        <v>148</v>
      </c>
      <c r="O23" s="3711" cm="1">
        <f t="array" aca="1" ref="O23" ca="1">INDIRECT("'※ 인력 세부데이터'!"&amp;O$1&amp;$W24, TRUE)</f>
        <v>146</v>
      </c>
      <c r="P23" s="3711" cm="1">
        <f t="array" aca="1" ref="P23" ca="1">INDIRECT("'※ 인력 세부데이터'!"&amp;P$1&amp;$W24, TRUE)</f>
        <v>146</v>
      </c>
      <c r="Q23" s="3711" cm="1">
        <f t="array" aca="1" ref="Q23" ca="1">INDIRECT("'※ 인력 세부데이터'!"&amp;Q$1&amp;$W24, TRUE)</f>
        <v>145</v>
      </c>
      <c r="R23" s="3712" cm="1">
        <f t="array" aca="1" ref="R23" ca="1">INDIRECT("'※ 인력 세부데이터'!"&amp;R$1&amp;$W24, TRUE)</f>
        <v>6.5909090909090903E-2</v>
      </c>
      <c r="S23" s="3713" cm="1">
        <f t="array" aca="1" ref="S23" ca="1">INDIRECT("'※ 인력 세부데이터'!"&amp;S$1&amp;$W24, TRUE)</f>
        <v>87</v>
      </c>
      <c r="T23" s="3714" cm="1">
        <f t="array" aca="1" ref="T23" ca="1">INDIRECT("'※ 인력 세부데이터'!"&amp;T$1&amp;$W24, TRUE)</f>
        <v>0.6</v>
      </c>
      <c r="U23" s="3715" cm="1">
        <f t="array" aca="1" ref="U23" ca="1">INDIRECT("'※ 인력 세부데이터'!"&amp;U$1&amp;$W24, TRUE)</f>
        <v>38.896551724137929</v>
      </c>
      <c r="V23" s="3716" cm="1">
        <f t="array" aca="1" ref="V23" ca="1">INDIRECT("'※ 인력 세부데이터'!"&amp;V$1&amp;$W24, TRUE)</f>
        <v>4.5909116674539421</v>
      </c>
      <c r="W23" s="3693">
        <f>ROW('※ 인력 세부데이터'!J19)</f>
        <v>19</v>
      </c>
      <c r="X23" s="3694"/>
    </row>
    <row r="24" spans="1:24" ht="15.45" thickBot="1" x14ac:dyDescent="0.6">
      <c r="A24" s="7455"/>
      <c r="B24" s="3724" t="s">
        <v>1202</v>
      </c>
      <c r="C24" s="3725"/>
      <c r="D24" s="3726" cm="1">
        <f t="array" aca="1" ref="D24" ca="1">INDIRECT("'※ 인력 세부데이터'!"&amp;D$1&amp;$W25, TRUE)</f>
        <v>39.083333333333336</v>
      </c>
      <c r="E24" s="3727" cm="1">
        <f t="array" aca="1" ref="E24" ca="1">INDIRECT("'※ 인력 세부데이터'!"&amp;E$1&amp;$W25, TRUE)</f>
        <v>48.25</v>
      </c>
      <c r="F24" s="3728" cm="1">
        <f t="array" aca="1" ref="F24" ca="1">INDIRECT("'※ 인력 세부데이터'!"&amp;F$1&amp;$W25, TRUE)</f>
        <v>52</v>
      </c>
      <c r="G24" s="3729" cm="1">
        <f t="array" aca="1" ref="G24" ca="1">INDIRECT("'※ 인력 세부데이터'!"&amp;G$1&amp;$W25, TRUE)</f>
        <v>53</v>
      </c>
      <c r="H24" s="3729" cm="1">
        <f t="array" aca="1" ref="H24" ca="1">INDIRECT("'※ 인력 세부데이터'!"&amp;H$1&amp;$W25, TRUE)</f>
        <v>52</v>
      </c>
      <c r="I24" s="3729" cm="1">
        <f t="array" aca="1" ref="I24" ca="1">INDIRECT("'※ 인력 세부데이터'!"&amp;I$1&amp;$W25, TRUE)</f>
        <v>51</v>
      </c>
      <c r="J24" s="3729" cm="1">
        <f t="array" aca="1" ref="J24" ca="1">INDIRECT("'※ 인력 세부데이터'!"&amp;J$1&amp;$W25, TRUE)</f>
        <v>48</v>
      </c>
      <c r="K24" s="3729" cm="1">
        <f t="array" aca="1" ref="K24" ca="1">INDIRECT("'※ 인력 세부데이터'!"&amp;K$1&amp;$W25, TRUE)</f>
        <v>45</v>
      </c>
      <c r="L24" s="3729" cm="1">
        <f t="array" aca="1" ref="L24" ca="1">INDIRECT("'※ 인력 세부데이터'!"&amp;L$1&amp;$W25, TRUE)</f>
        <v>41</v>
      </c>
      <c r="M24" s="3729" cm="1">
        <f t="array" aca="1" ref="M24" ca="1">INDIRECT("'※ 인력 세부데이터'!"&amp;M$1&amp;$W25, TRUE)</f>
        <v>38</v>
      </c>
      <c r="N24" s="3729" cm="1">
        <f t="array" aca="1" ref="N24" ca="1">INDIRECT("'※ 인력 세부데이터'!"&amp;N$1&amp;$W25, TRUE)</f>
        <v>36</v>
      </c>
      <c r="O24" s="3729" cm="1">
        <f t="array" aca="1" ref="O24" ca="1">INDIRECT("'※ 인력 세부데이터'!"&amp;O$1&amp;$W25, TRUE)</f>
        <v>37</v>
      </c>
      <c r="P24" s="3729" cm="1">
        <f t="array" aca="1" ref="P24" ca="1">INDIRECT("'※ 인력 세부데이터'!"&amp;P$1&amp;$W25, TRUE)</f>
        <v>35</v>
      </c>
      <c r="Q24" s="3729" cm="1">
        <f t="array" aca="1" ref="Q24" ca="1">INDIRECT("'※ 인력 세부데이터'!"&amp;Q$1&amp;$W25, TRUE)</f>
        <v>33</v>
      </c>
      <c r="R24" s="3730" cm="1">
        <f t="array" aca="1" ref="R24" ca="1">INDIRECT("'※ 인력 세부데이터'!"&amp;R$1&amp;$W25, TRUE)</f>
        <v>1.4999999999999999E-2</v>
      </c>
      <c r="S24" s="3731" cm="1">
        <f t="array" aca="1" ref="S24" ca="1">INDIRECT("'※ 인력 세부데이터'!"&amp;S$1&amp;$W25, TRUE)</f>
        <v>18</v>
      </c>
      <c r="T24" s="3732" cm="1">
        <f t="array" aca="1" ref="T24" ca="1">INDIRECT("'※ 인력 세부데이터'!"&amp;T$1&amp;$W25, TRUE)</f>
        <v>0.54545454545454541</v>
      </c>
      <c r="U24" s="3733" cm="1">
        <f t="array" aca="1" ref="U24" ca="1">INDIRECT("'※ 인력 세부데이터'!"&amp;U$1&amp;$W25, TRUE)</f>
        <v>46.514285714285712</v>
      </c>
      <c r="V24" s="3734" cm="1">
        <f t="array" aca="1" ref="V24" ca="1">INDIRECT("'※ 인력 세부데이터'!"&amp;V$1&amp;$W25, TRUE)</f>
        <v>1.8562818003913895</v>
      </c>
      <c r="W24" s="3693">
        <f>ROW('※ 인력 세부데이터'!J20)</f>
        <v>20</v>
      </c>
      <c r="X24" s="3694"/>
    </row>
    <row r="25" spans="1:24" x14ac:dyDescent="0.55000000000000004">
      <c r="A25" s="7456" t="s">
        <v>198</v>
      </c>
      <c r="B25" s="3735" t="s">
        <v>199</v>
      </c>
      <c r="C25" s="3736"/>
      <c r="D25" s="3737" cm="1">
        <f t="array" aca="1" ref="D25" ca="1">INDIRECT("'※ 인력 세부데이터'!"&amp;D$1&amp;$W26, TRUE)</f>
        <v>324.58333333333331</v>
      </c>
      <c r="E25" s="3738" cm="1">
        <f t="array" aca="1" ref="E25" ca="1">INDIRECT("'※ 인력 세부데이터'!"&amp;E$1&amp;$W26, TRUE)</f>
        <v>341</v>
      </c>
      <c r="F25" s="3739" cm="1">
        <f t="array" aca="1" ref="F25" ca="1">INDIRECT("'※ 인력 세부데이터'!"&amp;F$1&amp;$W26, TRUE)</f>
        <v>370</v>
      </c>
      <c r="G25" s="3740" cm="1">
        <f t="array" aca="1" ref="G25" ca="1">INDIRECT("'※ 인력 세부데이터'!"&amp;G$1&amp;$W26, TRUE)</f>
        <v>379</v>
      </c>
      <c r="H25" s="3740" cm="1">
        <f t="array" aca="1" ref="H25" ca="1">INDIRECT("'※ 인력 세부데이터'!"&amp;H$1&amp;$W26, TRUE)</f>
        <v>382</v>
      </c>
      <c r="I25" s="3740" cm="1">
        <f t="array" aca="1" ref="I25" ca="1">INDIRECT("'※ 인력 세부데이터'!"&amp;I$1&amp;$W26, TRUE)</f>
        <v>391</v>
      </c>
      <c r="J25" s="3740" cm="1">
        <f t="array" aca="1" ref="J25" ca="1">INDIRECT("'※ 인력 세부데이터'!"&amp;J$1&amp;$W26, TRUE)</f>
        <v>403</v>
      </c>
      <c r="K25" s="3740" cm="1">
        <f t="array" aca="1" ref="K25" ca="1">INDIRECT("'※ 인력 세부데이터'!"&amp;K$1&amp;$W26, TRUE)</f>
        <v>403</v>
      </c>
      <c r="L25" s="3740" cm="1">
        <f t="array" aca="1" ref="L25" ca="1">INDIRECT("'※ 인력 세부데이터'!"&amp;L$1&amp;$W26, TRUE)</f>
        <v>397</v>
      </c>
      <c r="M25" s="3740" cm="1">
        <f t="array" aca="1" ref="M25" ca="1">INDIRECT("'※ 인력 세부데이터'!"&amp;M$1&amp;$W26, TRUE)</f>
        <v>397</v>
      </c>
      <c r="N25" s="3740" cm="1">
        <f t="array" aca="1" ref="N25" ca="1">INDIRECT("'※ 인력 세부데이터'!"&amp;N$1&amp;$W26, TRUE)</f>
        <v>408</v>
      </c>
      <c r="O25" s="3740" cm="1">
        <f t="array" aca="1" ref="O25" ca="1">INDIRECT("'※ 인력 세부데이터'!"&amp;O$1&amp;$W26, TRUE)</f>
        <v>404</v>
      </c>
      <c r="P25" s="3740" cm="1">
        <f t="array" aca="1" ref="P25" ca="1">INDIRECT("'※ 인력 세부데이터'!"&amp;P$1&amp;$W26, TRUE)</f>
        <v>405</v>
      </c>
      <c r="Q25" s="3740" cm="1">
        <f t="array" aca="1" ref="Q25" ca="1">INDIRECT("'※ 인력 세부데이터'!"&amp;Q$1&amp;$W26, TRUE)</f>
        <v>417</v>
      </c>
      <c r="R25" s="3741" cm="1">
        <f t="array" aca="1" ref="R25" ca="1">INDIRECT("'※ 인력 세부데이터'!"&amp;R$1&amp;$W26, TRUE)</f>
        <v>0.18954545454545454</v>
      </c>
      <c r="S25" s="3742" cm="1">
        <f t="array" aca="1" ref="S25" ca="1">INDIRECT("'※ 인력 세부데이터'!"&amp;S$1&amp;$W26, TRUE)</f>
        <v>195</v>
      </c>
      <c r="T25" s="3743" cm="1">
        <f t="array" aca="1" ref="T25" ca="1">INDIRECT("'※ 인력 세부데이터'!"&amp;T$1&amp;$W26, TRUE)</f>
        <v>0.46762589928057552</v>
      </c>
      <c r="U25" s="3744" cm="1">
        <f t="array" aca="1" ref="U25" ca="1">INDIRECT("'※ 인력 세부데이터'!"&amp;U$1&amp;$W26, TRUE)</f>
        <v>0</v>
      </c>
      <c r="V25" s="3745" cm="1">
        <f t="array" aca="1" ref="V25" ca="1">INDIRECT("'※ 인력 세부데이터'!"&amp;V$1&amp;$W26, TRUE)</f>
        <v>0</v>
      </c>
      <c r="W25" s="3693">
        <f>ROW('※ 인력 세부데이터'!J21)</f>
        <v>21</v>
      </c>
      <c r="X25" s="3694"/>
    </row>
    <row r="26" spans="1:24" x14ac:dyDescent="0.55000000000000004">
      <c r="A26" s="7180"/>
      <c r="B26" s="2493"/>
      <c r="C26" s="3033" t="s">
        <v>200</v>
      </c>
      <c r="D26" s="3717" cm="1">
        <f t="array" aca="1" ref="D26" ca="1">INDIRECT("'※ 인력 세부데이터'!"&amp;D$1&amp;$W27, TRUE)</f>
        <v>1</v>
      </c>
      <c r="E26" s="3718" cm="1">
        <f t="array" aca="1" ref="E26" ca="1">INDIRECT("'※ 인력 세부데이터'!"&amp;E$1&amp;$W27, TRUE)</f>
        <v>1</v>
      </c>
      <c r="F26" s="3699" cm="1">
        <f t="array" aca="1" ref="F26" ca="1">INDIRECT("'※ 인력 세부데이터'!"&amp;F$1&amp;$W27, TRUE)</f>
        <v>1</v>
      </c>
      <c r="G26" s="3700" cm="1">
        <f t="array" aca="1" ref="G26" ca="1">INDIRECT("'※ 인력 세부데이터'!"&amp;G$1&amp;$W27, TRUE)</f>
        <v>1</v>
      </c>
      <c r="H26" s="3700" cm="1">
        <f t="array" aca="1" ref="H26" ca="1">INDIRECT("'※ 인력 세부데이터'!"&amp;H$1&amp;$W27, TRUE)</f>
        <v>1</v>
      </c>
      <c r="I26" s="3700" cm="1">
        <f t="array" aca="1" ref="I26" ca="1">INDIRECT("'※ 인력 세부데이터'!"&amp;I$1&amp;$W27, TRUE)</f>
        <v>1</v>
      </c>
      <c r="J26" s="3700" cm="1">
        <f t="array" aca="1" ref="J26" ca="1">INDIRECT("'※ 인력 세부데이터'!"&amp;J$1&amp;$W27, TRUE)</f>
        <v>1</v>
      </c>
      <c r="K26" s="3700" cm="1">
        <f t="array" aca="1" ref="K26" ca="1">INDIRECT("'※ 인력 세부데이터'!"&amp;K$1&amp;$W27, TRUE)</f>
        <v>1</v>
      </c>
      <c r="L26" s="3700" cm="1">
        <f t="array" aca="1" ref="L26" ca="1">INDIRECT("'※ 인력 세부데이터'!"&amp;L$1&amp;$W27, TRUE)</f>
        <v>1</v>
      </c>
      <c r="M26" s="3700" cm="1">
        <f t="array" aca="1" ref="M26" ca="1">INDIRECT("'※ 인력 세부데이터'!"&amp;M$1&amp;$W27, TRUE)</f>
        <v>1</v>
      </c>
      <c r="N26" s="3700" cm="1">
        <f t="array" aca="1" ref="N26" ca="1">INDIRECT("'※ 인력 세부데이터'!"&amp;N$1&amp;$W27, TRUE)</f>
        <v>1</v>
      </c>
      <c r="O26" s="3700" cm="1">
        <f t="array" aca="1" ref="O26" ca="1">INDIRECT("'※ 인력 세부데이터'!"&amp;O$1&amp;$W27, TRUE)</f>
        <v>1</v>
      </c>
      <c r="P26" s="3700" cm="1">
        <f t="array" aca="1" ref="P26" ca="1">INDIRECT("'※ 인력 세부데이터'!"&amp;P$1&amp;$W27, TRUE)</f>
        <v>1</v>
      </c>
      <c r="Q26" s="3700" cm="1">
        <f t="array" aca="1" ref="Q26" ca="1">INDIRECT("'※ 인력 세부데이터'!"&amp;Q$1&amp;$W27, TRUE)</f>
        <v>1</v>
      </c>
      <c r="R26" s="3701" cm="1">
        <f t="array" aca="1" ref="R26" ca="1">INDIRECT("'※ 인력 세부데이터'!"&amp;R$1&amp;$W27, TRUE)</f>
        <v>2.3980815347721821E-3</v>
      </c>
      <c r="S26" s="3719" cm="1">
        <f t="array" aca="1" ref="S26" ca="1">INDIRECT("'※ 인력 세부데이터'!"&amp;S$1&amp;$W27, TRUE)</f>
        <v>0</v>
      </c>
      <c r="T26" s="3720" cm="1">
        <f t="array" aca="1" ref="T26" ca="1">INDIRECT("'※ 인력 세부데이터'!"&amp;T$1&amp;$W27, TRUE)</f>
        <v>0</v>
      </c>
      <c r="U26" s="3721" cm="1">
        <f t="array" aca="1" ref="U26" ca="1">INDIRECT("'※ 인력 세부데이터'!"&amp;U$1&amp;$W27, TRUE)</f>
        <v>59</v>
      </c>
      <c r="V26" s="3722" cm="1">
        <f t="array" aca="1" ref="V26" ca="1">INDIRECT("'※ 인력 세부데이터'!"&amp;V$1&amp;$W27, TRUE)</f>
        <v>1.0821917808219179</v>
      </c>
      <c r="W26" s="3693">
        <f>ROW('※ 인력 세부데이터'!J22)</f>
        <v>22</v>
      </c>
      <c r="X26" s="3694"/>
    </row>
    <row r="27" spans="1:24" x14ac:dyDescent="0.55000000000000004">
      <c r="A27" s="7180"/>
      <c r="B27" s="2493"/>
      <c r="C27" s="3033" t="s">
        <v>201</v>
      </c>
      <c r="D27" s="3717" cm="1">
        <f t="array" aca="1" ref="D27" ca="1">INDIRECT("'※ 인력 세부데이터'!"&amp;D$1&amp;$W28, TRUE)</f>
        <v>34.083333333333336</v>
      </c>
      <c r="E27" s="3718" cm="1">
        <f t="array" aca="1" ref="E27" ca="1">INDIRECT("'※ 인력 세부데이터'!"&amp;E$1&amp;$W28, TRUE)</f>
        <v>31.666666666666668</v>
      </c>
      <c r="F27" s="3699" cm="1">
        <f t="array" aca="1" ref="F27" ca="1">INDIRECT("'※ 인력 세부데이터'!"&amp;F$1&amp;$W28, TRUE)</f>
        <v>43</v>
      </c>
      <c r="G27" s="3700" cm="1">
        <f t="array" aca="1" ref="G27" ca="1">INDIRECT("'※ 인력 세부데이터'!"&amp;G$1&amp;$W28, TRUE)</f>
        <v>43</v>
      </c>
      <c r="H27" s="3700" cm="1">
        <f t="array" aca="1" ref="H27" ca="1">INDIRECT("'※ 인력 세부데이터'!"&amp;H$1&amp;$W28, TRUE)</f>
        <v>42</v>
      </c>
      <c r="I27" s="3700" cm="1">
        <f t="array" aca="1" ref="I27" ca="1">INDIRECT("'※ 인력 세부데이터'!"&amp;I$1&amp;$W28, TRUE)</f>
        <v>41</v>
      </c>
      <c r="J27" s="3700" cm="1">
        <f t="array" aca="1" ref="J27" ca="1">INDIRECT("'※ 인력 세부데이터'!"&amp;J$1&amp;$W28, TRUE)</f>
        <v>41</v>
      </c>
      <c r="K27" s="3700" cm="1">
        <f t="array" aca="1" ref="K27" ca="1">INDIRECT("'※ 인력 세부데이터'!"&amp;K$1&amp;$W28, TRUE)</f>
        <v>42</v>
      </c>
      <c r="L27" s="3700" cm="1">
        <f t="array" aca="1" ref="L27" ca="1">INDIRECT("'※ 인력 세부데이터'!"&amp;L$1&amp;$W28, TRUE)</f>
        <v>41</v>
      </c>
      <c r="M27" s="3700" cm="1">
        <f t="array" aca="1" ref="M27" ca="1">INDIRECT("'※ 인력 세부데이터'!"&amp;M$1&amp;$W28, TRUE)</f>
        <v>42</v>
      </c>
      <c r="N27" s="3700" cm="1">
        <f t="array" aca="1" ref="N27" ca="1">INDIRECT("'※ 인력 세부데이터'!"&amp;N$1&amp;$W28, TRUE)</f>
        <v>53</v>
      </c>
      <c r="O27" s="3700" cm="1">
        <f t="array" aca="1" ref="O27" ca="1">INDIRECT("'※ 인력 세부데이터'!"&amp;O$1&amp;$W28, TRUE)</f>
        <v>44</v>
      </c>
      <c r="P27" s="3700" cm="1">
        <f t="array" aca="1" ref="P27" ca="1">INDIRECT("'※ 인력 세부데이터'!"&amp;P$1&amp;$W28, TRUE)</f>
        <v>43</v>
      </c>
      <c r="Q27" s="3700" cm="1">
        <f t="array" aca="1" ref="Q27" ca="1">INDIRECT("'※ 인력 세부데이터'!"&amp;Q$1&amp;$W28, TRUE)</f>
        <v>42</v>
      </c>
      <c r="R27" s="3701" cm="1">
        <f t="array" aca="1" ref="R27" ca="1">INDIRECT("'※ 인력 세부데이터'!"&amp;R$1&amp;$W28, TRUE)</f>
        <v>0.10071942446043165</v>
      </c>
      <c r="S27" s="3719" cm="1">
        <f t="array" aca="1" ref="S27" ca="1">INDIRECT("'※ 인력 세부데이터'!"&amp;S$1&amp;$W28, TRUE)</f>
        <v>13</v>
      </c>
      <c r="T27" s="3720" cm="1">
        <f t="array" aca="1" ref="T27" ca="1">INDIRECT("'※ 인력 세부데이터'!"&amp;T$1&amp;$W28, TRUE)</f>
        <v>0.30952380952380953</v>
      </c>
      <c r="U27" s="3721" cm="1">
        <f t="array" aca="1" ref="U27" ca="1">INDIRECT("'※ 인력 세부데이터'!"&amp;U$1&amp;$W28, TRUE)</f>
        <v>38.547619047619051</v>
      </c>
      <c r="V27" s="3722" cm="1">
        <f t="array" aca="1" ref="V27" ca="1">INDIRECT("'※ 인력 세부데이터'!"&amp;V$1&amp;$W28, TRUE)</f>
        <v>8.6627527723418165</v>
      </c>
      <c r="W27" s="3693">
        <f>ROW('※ 인력 세부데이터'!J23)</f>
        <v>23</v>
      </c>
      <c r="X27" s="3694"/>
    </row>
    <row r="28" spans="1:24" hidden="1" x14ac:dyDescent="0.55000000000000004">
      <c r="A28" s="7180"/>
      <c r="B28" s="2493"/>
      <c r="C28" s="3033" t="s">
        <v>213</v>
      </c>
      <c r="D28" s="3717" cm="1">
        <f t="array" aca="1" ref="D28" ca="1">INDIRECT("'※ 인력 세부데이터'!"&amp;D$1&amp;$W29, TRUE)</f>
        <v>24.666666666666668</v>
      </c>
      <c r="E28" s="3718" cm="1">
        <f t="array" aca="1" ref="E28" ca="1">INDIRECT("'※ 인력 세부데이터'!"&amp;E$1&amp;$W29, TRUE)</f>
        <v>20.25</v>
      </c>
      <c r="F28" s="3699" cm="1">
        <f t="array" aca="1" ref="F28" ca="1">INDIRECT("'※ 인력 세부데이터'!"&amp;F$1&amp;$W29, TRUE)</f>
        <v>0</v>
      </c>
      <c r="G28" s="3700" cm="1">
        <f t="array" aca="1" ref="G28" ca="1">INDIRECT("'※ 인력 세부데이터'!"&amp;G$1&amp;$W29, TRUE)</f>
        <v>0</v>
      </c>
      <c r="H28" s="3700" cm="1">
        <f t="array" aca="1" ref="H28" ca="1">INDIRECT("'※ 인력 세부데이터'!"&amp;H$1&amp;$W29, TRUE)</f>
        <v>0</v>
      </c>
      <c r="I28" s="3700" cm="1">
        <f t="array" aca="1" ref="I28" ca="1">INDIRECT("'※ 인력 세부데이터'!"&amp;I$1&amp;$W29, TRUE)</f>
        <v>0</v>
      </c>
      <c r="J28" s="3700" cm="1">
        <f t="array" aca="1" ref="J28" ca="1">INDIRECT("'※ 인력 세부데이터'!"&amp;J$1&amp;$W29, TRUE)</f>
        <v>0</v>
      </c>
      <c r="K28" s="3700" cm="1">
        <f t="array" aca="1" ref="K28" ca="1">INDIRECT("'※ 인력 세부데이터'!"&amp;K$1&amp;$W29, TRUE)</f>
        <v>0</v>
      </c>
      <c r="L28" s="3700" cm="1">
        <f t="array" aca="1" ref="L28" ca="1">INDIRECT("'※ 인력 세부데이터'!"&amp;L$1&amp;$W29, TRUE)</f>
        <v>0</v>
      </c>
      <c r="M28" s="3700" cm="1">
        <f t="array" aca="1" ref="M28" ca="1">INDIRECT("'※ 인력 세부데이터'!"&amp;M$1&amp;$W29, TRUE)</f>
        <v>0</v>
      </c>
      <c r="N28" s="3700" cm="1">
        <f t="array" aca="1" ref="N28" ca="1">INDIRECT("'※ 인력 세부데이터'!"&amp;N$1&amp;$W29, TRUE)</f>
        <v>0</v>
      </c>
      <c r="O28" s="3700" cm="1">
        <f t="array" aca="1" ref="O28" ca="1">INDIRECT("'※ 인력 세부데이터'!"&amp;O$1&amp;$W29, TRUE)</f>
        <v>0</v>
      </c>
      <c r="P28" s="3700" cm="1">
        <f t="array" aca="1" ref="P28" ca="1">INDIRECT("'※ 인력 세부데이터'!"&amp;P$1&amp;$W29, TRUE)</f>
        <v>0</v>
      </c>
      <c r="Q28" s="3700" cm="1">
        <f t="array" aca="1" ref="Q28" ca="1">INDIRECT("'※ 인력 세부데이터'!"&amp;Q$1&amp;$W29, TRUE)</f>
        <v>0</v>
      </c>
      <c r="R28" s="3701" cm="1">
        <f t="array" aca="1" ref="R28" ca="1">INDIRECT("'※ 인력 세부데이터'!"&amp;R$1&amp;$W29, TRUE)</f>
        <v>0</v>
      </c>
      <c r="S28" s="3719" cm="1">
        <f t="array" aca="1" ref="S28" ca="1">INDIRECT("'※ 인력 세부데이터'!"&amp;S$1&amp;$W29, TRUE)</f>
        <v>0</v>
      </c>
      <c r="T28" s="3720" cm="1">
        <f t="array" aca="1" ref="T28" ca="1">INDIRECT("'※ 인력 세부데이터'!"&amp;T$1&amp;$W29, TRUE)</f>
        <v>0</v>
      </c>
      <c r="U28" s="3721" cm="1">
        <f t="array" aca="1" ref="U28" ca="1">INDIRECT("'※ 인력 세부데이터'!"&amp;U$1&amp;$W29, TRUE)</f>
        <v>0</v>
      </c>
      <c r="V28" s="3722" cm="1">
        <f t="array" aca="1" ref="V28" ca="1">INDIRECT("'※ 인력 세부데이터'!"&amp;V$1&amp;$W29, TRUE)</f>
        <v>0</v>
      </c>
      <c r="W28" s="3693">
        <f>ROW('※ 인력 세부데이터'!J24)</f>
        <v>24</v>
      </c>
      <c r="X28" s="3694"/>
    </row>
    <row r="29" spans="1:24" x14ac:dyDescent="0.55000000000000004">
      <c r="A29" s="7180"/>
      <c r="B29" s="2493"/>
      <c r="C29" s="3746" t="s">
        <v>771</v>
      </c>
      <c r="D29" s="3717" cm="1">
        <f t="array" aca="1" ref="D29" ca="1">INDIRECT("'※ 인력 세부데이터'!"&amp;D$1&amp;$W30, TRUE)</f>
        <v>0</v>
      </c>
      <c r="E29" s="3718" cm="1">
        <f t="array" aca="1" ref="E29" ca="1">INDIRECT("'※ 인력 세부데이터'!"&amp;E$1&amp;$W30, TRUE)</f>
        <v>15.666666666666666</v>
      </c>
      <c r="F29" s="3699" cm="1">
        <f t="array" aca="1" ref="F29" ca="1">INDIRECT("'※ 인력 세부데이터'!"&amp;F$1&amp;$W30, TRUE)</f>
        <v>20</v>
      </c>
      <c r="G29" s="3700" cm="1">
        <f t="array" aca="1" ref="G29" ca="1">INDIRECT("'※ 인력 세부데이터'!"&amp;G$1&amp;$W30, TRUE)</f>
        <v>20</v>
      </c>
      <c r="H29" s="3700" cm="1">
        <f t="array" aca="1" ref="H29" ca="1">INDIRECT("'※ 인력 세부데이터'!"&amp;H$1&amp;$W30, TRUE)</f>
        <v>20</v>
      </c>
      <c r="I29" s="3700" cm="1">
        <f t="array" aca="1" ref="I29" ca="1">INDIRECT("'※ 인력 세부데이터'!"&amp;I$1&amp;$W30, TRUE)</f>
        <v>20</v>
      </c>
      <c r="J29" s="3700" cm="1">
        <f t="array" aca="1" ref="J29" ca="1">INDIRECT("'※ 인력 세부데이터'!"&amp;J$1&amp;$W30, TRUE)</f>
        <v>19</v>
      </c>
      <c r="K29" s="3700" cm="1">
        <f t="array" aca="1" ref="K29" ca="1">INDIRECT("'※ 인력 세부데이터'!"&amp;K$1&amp;$W30, TRUE)</f>
        <v>19</v>
      </c>
      <c r="L29" s="3700" cm="1">
        <f t="array" aca="1" ref="L29" ca="1">INDIRECT("'※ 인력 세부데이터'!"&amp;L$1&amp;$W30, TRUE)</f>
        <v>19</v>
      </c>
      <c r="M29" s="3700" cm="1">
        <f t="array" aca="1" ref="M29" ca="1">INDIRECT("'※ 인력 세부데이터'!"&amp;M$1&amp;$W30, TRUE)</f>
        <v>19</v>
      </c>
      <c r="N29" s="3700" cm="1">
        <f t="array" aca="1" ref="N29" ca="1">INDIRECT("'※ 인력 세부데이터'!"&amp;N$1&amp;$W30, TRUE)</f>
        <v>20</v>
      </c>
      <c r="O29" s="3700" cm="1">
        <f t="array" aca="1" ref="O29" ca="1">INDIRECT("'※ 인력 세부데이터'!"&amp;O$1&amp;$W30, TRUE)</f>
        <v>21</v>
      </c>
      <c r="P29" s="3700" cm="1">
        <f t="array" aca="1" ref="P29" ca="1">INDIRECT("'※ 인력 세부데이터'!"&amp;P$1&amp;$W30, TRUE)</f>
        <v>21</v>
      </c>
      <c r="Q29" s="3700" cm="1">
        <f t="array" aca="1" ref="Q29" ca="1">INDIRECT("'※ 인력 세부데이터'!"&amp;Q$1&amp;$W30, TRUE)</f>
        <v>21</v>
      </c>
      <c r="R29" s="3701" cm="1">
        <f t="array" aca="1" ref="R29" ca="1">INDIRECT("'※ 인력 세부데이터'!"&amp;R$1&amp;$W30, TRUE)</f>
        <v>5.0359712230215826E-2</v>
      </c>
      <c r="S29" s="3719" cm="1">
        <f t="array" aca="1" ref="S29" ca="1">INDIRECT("'※ 인력 세부데이터'!"&amp;S$1&amp;$W30, TRUE)</f>
        <v>6</v>
      </c>
      <c r="T29" s="3720" cm="1">
        <f t="array" aca="1" ref="T29" ca="1">INDIRECT("'※ 인력 세부데이터'!"&amp;T$1&amp;$W30, TRUE)</f>
        <v>0.2857142857142857</v>
      </c>
      <c r="U29" s="3721" cm="1">
        <f t="array" aca="1" ref="U29" ca="1">INDIRECT("'※ 인력 세부데이터'!"&amp;U$1&amp;$W30, TRUE)</f>
        <v>37.952380952380949</v>
      </c>
      <c r="V29" s="3722" cm="1">
        <f t="array" aca="1" ref="V29" ca="1">INDIRECT("'※ 인력 세부데이터'!"&amp;V$1&amp;$W30, TRUE)</f>
        <v>6.9423352902804947</v>
      </c>
      <c r="W29" s="3693">
        <f>ROW('※ 인력 세부데이터'!J25)</f>
        <v>25</v>
      </c>
      <c r="X29" s="3694"/>
    </row>
    <row r="30" spans="1:24" x14ac:dyDescent="0.55000000000000004">
      <c r="A30" s="7180"/>
      <c r="B30" s="2493"/>
      <c r="C30" s="3033" t="s">
        <v>214</v>
      </c>
      <c r="D30" s="3717" cm="1">
        <f t="array" aca="1" ref="D30" ca="1">INDIRECT("'※ 인력 세부데이터'!"&amp;D$1&amp;$W31, TRUE)</f>
        <v>6</v>
      </c>
      <c r="E30" s="3718" cm="1">
        <f t="array" aca="1" ref="E30" ca="1">INDIRECT("'※ 인력 세부데이터'!"&amp;E$1&amp;$W31, TRUE)</f>
        <v>6</v>
      </c>
      <c r="F30" s="3699" cm="1">
        <f t="array" aca="1" ref="F30" ca="1">INDIRECT("'※ 인력 세부데이터'!"&amp;F$1&amp;$W31, TRUE)</f>
        <v>6</v>
      </c>
      <c r="G30" s="3700" cm="1">
        <f t="array" aca="1" ref="G30" ca="1">INDIRECT("'※ 인력 세부데이터'!"&amp;G$1&amp;$W31, TRUE)</f>
        <v>6</v>
      </c>
      <c r="H30" s="3700" cm="1">
        <f t="array" aca="1" ref="H30" ca="1">INDIRECT("'※ 인력 세부데이터'!"&amp;H$1&amp;$W31, TRUE)</f>
        <v>6</v>
      </c>
      <c r="I30" s="3700" cm="1">
        <f t="array" aca="1" ref="I30" ca="1">INDIRECT("'※ 인력 세부데이터'!"&amp;I$1&amp;$W31, TRUE)</f>
        <v>6</v>
      </c>
      <c r="J30" s="3700" cm="1">
        <f t="array" aca="1" ref="J30" ca="1">INDIRECT("'※ 인력 세부데이터'!"&amp;J$1&amp;$W31, TRUE)</f>
        <v>6</v>
      </c>
      <c r="K30" s="3700" cm="1">
        <f t="array" aca="1" ref="K30" ca="1">INDIRECT("'※ 인력 세부데이터'!"&amp;K$1&amp;$W31, TRUE)</f>
        <v>6</v>
      </c>
      <c r="L30" s="3700" cm="1">
        <f t="array" aca="1" ref="L30" ca="1">INDIRECT("'※ 인력 세부데이터'!"&amp;L$1&amp;$W31, TRUE)</f>
        <v>6</v>
      </c>
      <c r="M30" s="3700" cm="1">
        <f t="array" aca="1" ref="M30" ca="1">INDIRECT("'※ 인력 세부데이터'!"&amp;M$1&amp;$W31, TRUE)</f>
        <v>6</v>
      </c>
      <c r="N30" s="3700" cm="1">
        <f t="array" aca="1" ref="N30" ca="1">INDIRECT("'※ 인력 세부데이터'!"&amp;N$1&amp;$W31, TRUE)</f>
        <v>6</v>
      </c>
      <c r="O30" s="3700" cm="1">
        <f t="array" aca="1" ref="O30" ca="1">INDIRECT("'※ 인력 세부데이터'!"&amp;O$1&amp;$W31, TRUE)</f>
        <v>6</v>
      </c>
      <c r="P30" s="3700" cm="1">
        <f t="array" aca="1" ref="P30" ca="1">INDIRECT("'※ 인력 세부데이터'!"&amp;P$1&amp;$W31, TRUE)</f>
        <v>6</v>
      </c>
      <c r="Q30" s="3700" cm="1">
        <f t="array" aca="1" ref="Q30" ca="1">INDIRECT("'※ 인력 세부데이터'!"&amp;Q$1&amp;$W31, TRUE)</f>
        <v>6</v>
      </c>
      <c r="R30" s="3701" cm="1">
        <f t="array" aca="1" ref="R30" ca="1">INDIRECT("'※ 인력 세부데이터'!"&amp;R$1&amp;$W31, TRUE)</f>
        <v>1.4388489208633094E-2</v>
      </c>
      <c r="S30" s="3719" cm="1">
        <f t="array" aca="1" ref="S30" ca="1">INDIRECT("'※ 인력 세부데이터'!"&amp;S$1&amp;$W31, TRUE)</f>
        <v>2</v>
      </c>
      <c r="T30" s="3720" cm="1">
        <f t="array" aca="1" ref="T30" ca="1">INDIRECT("'※ 인력 세부데이터'!"&amp;T$1&amp;$W31, TRUE)</f>
        <v>0.33333333333333331</v>
      </c>
      <c r="U30" s="3721" cm="1">
        <f t="array" aca="1" ref="U30" ca="1">INDIRECT("'※ 인력 세부데이터'!"&amp;U$1&amp;$W31, TRUE)</f>
        <v>43.5</v>
      </c>
      <c r="V30" s="3722" cm="1">
        <f t="array" aca="1" ref="V30" ca="1">INDIRECT("'※ 인력 세부데이터'!"&amp;V$1&amp;$W31, TRUE)</f>
        <v>13.903652968036532</v>
      </c>
      <c r="W30" s="3693">
        <f>ROW('※ 인력 세부데이터'!J26)</f>
        <v>26</v>
      </c>
      <c r="X30" s="3694"/>
    </row>
    <row r="31" spans="1:24" x14ac:dyDescent="0.55000000000000004">
      <c r="A31" s="7180"/>
      <c r="B31" s="2493"/>
      <c r="C31" s="3033" t="s">
        <v>202</v>
      </c>
      <c r="D31" s="3717" cm="1">
        <f t="array" aca="1" ref="D31" ca="1">INDIRECT("'※ 인력 세부데이터'!"&amp;D$1&amp;$W32, TRUE)</f>
        <v>54.833333333333336</v>
      </c>
      <c r="E31" s="3718" cm="1">
        <f t="array" aca="1" ref="E31" ca="1">INDIRECT("'※ 인력 세부데이터'!"&amp;E$1&amp;$W32, TRUE)</f>
        <v>50.666666666666664</v>
      </c>
      <c r="F31" s="3699" cm="1">
        <f t="array" aca="1" ref="F31" ca="1">INDIRECT("'※ 인력 세부데이터'!"&amp;F$1&amp;$W32, TRUE)</f>
        <v>50</v>
      </c>
      <c r="G31" s="3700" cm="1">
        <f t="array" aca="1" ref="G31" ca="1">INDIRECT("'※ 인력 세부데이터'!"&amp;G$1&amp;$W32, TRUE)</f>
        <v>50</v>
      </c>
      <c r="H31" s="3700" cm="1">
        <f t="array" aca="1" ref="H31" ca="1">INDIRECT("'※ 인력 세부데이터'!"&amp;H$1&amp;$W32, TRUE)</f>
        <v>49</v>
      </c>
      <c r="I31" s="3700" cm="1">
        <f t="array" aca="1" ref="I31" ca="1">INDIRECT("'※ 인력 세부데이터'!"&amp;I$1&amp;$W32, TRUE)</f>
        <v>49</v>
      </c>
      <c r="J31" s="3700" cm="1">
        <f t="array" aca="1" ref="J31" ca="1">INDIRECT("'※ 인력 세부데이터'!"&amp;J$1&amp;$W32, TRUE)</f>
        <v>49</v>
      </c>
      <c r="K31" s="3700" cm="1">
        <f t="array" aca="1" ref="K31" ca="1">INDIRECT("'※ 인력 세부데이터'!"&amp;K$1&amp;$W32, TRUE)</f>
        <v>49</v>
      </c>
      <c r="L31" s="3700" cm="1">
        <f t="array" aca="1" ref="L31" ca="1">INDIRECT("'※ 인력 세부데이터'!"&amp;L$1&amp;$W32, TRUE)</f>
        <v>45</v>
      </c>
      <c r="M31" s="3700" cm="1">
        <f t="array" aca="1" ref="M31" ca="1">INDIRECT("'※ 인력 세부데이터'!"&amp;M$1&amp;$W32, TRUE)</f>
        <v>44</v>
      </c>
      <c r="N31" s="3700" cm="1">
        <f t="array" aca="1" ref="N31" ca="1">INDIRECT("'※ 인력 세부데이터'!"&amp;N$1&amp;$W32, TRUE)</f>
        <v>44</v>
      </c>
      <c r="O31" s="3700" cm="1">
        <f t="array" aca="1" ref="O31" ca="1">INDIRECT("'※ 인력 세부데이터'!"&amp;O$1&amp;$W32, TRUE)</f>
        <v>45</v>
      </c>
      <c r="P31" s="3700" cm="1">
        <f t="array" aca="1" ref="P31" ca="1">INDIRECT("'※ 인력 세부데이터'!"&amp;P$1&amp;$W32, TRUE)</f>
        <v>47</v>
      </c>
      <c r="Q31" s="3700" cm="1">
        <f t="array" aca="1" ref="Q31" ca="1">INDIRECT("'※ 인력 세부데이터'!"&amp;Q$1&amp;$W32, TRUE)</f>
        <v>47</v>
      </c>
      <c r="R31" s="3701" cm="1">
        <f t="array" aca="1" ref="R31" ca="1">INDIRECT("'※ 인력 세부데이터'!"&amp;R$1&amp;$W32, TRUE)</f>
        <v>0.11270983213429256</v>
      </c>
      <c r="S31" s="3719" cm="1">
        <f t="array" aca="1" ref="S31" ca="1">INDIRECT("'※ 인력 세부데이터'!"&amp;S$1&amp;$W32, TRUE)</f>
        <v>19</v>
      </c>
      <c r="T31" s="3720" cm="1">
        <f t="array" aca="1" ref="T31" ca="1">INDIRECT("'※ 인력 세부데이터'!"&amp;T$1&amp;$W32, TRUE)</f>
        <v>0.40425531914893614</v>
      </c>
      <c r="U31" s="3721" cm="1">
        <f t="array" aca="1" ref="U31" ca="1">INDIRECT("'※ 인력 세부데이터'!"&amp;U$1&amp;$W32, TRUE)</f>
        <v>42.042553191489361</v>
      </c>
      <c r="V31" s="3722" cm="1">
        <f t="array" aca="1" ref="V31" ca="1">INDIRECT("'※ 인력 세부데이터'!"&amp;V$1&amp;$W32, TRUE)</f>
        <v>10.944505974934421</v>
      </c>
      <c r="W31" s="3693">
        <f>ROW('※ 인력 세부데이터'!J27)</f>
        <v>27</v>
      </c>
      <c r="X31" s="3694"/>
    </row>
    <row r="32" spans="1:24" x14ac:dyDescent="0.55000000000000004">
      <c r="A32" s="7180"/>
      <c r="B32" s="2493"/>
      <c r="C32" s="3033" t="s">
        <v>1113</v>
      </c>
      <c r="D32" s="3717" cm="1">
        <f t="array" aca="1" ref="D32" ca="1">INDIRECT("'※ 인력 세부데이터'!"&amp;D$1&amp;$W33, TRUE)</f>
        <v>116.33333333333333</v>
      </c>
      <c r="E32" s="3718" cm="1">
        <f t="array" aca="1" ref="E32" ca="1">INDIRECT("'※ 인력 세부데이터'!"&amp;E$1&amp;$W33, TRUE)</f>
        <v>132.16666666666666</v>
      </c>
      <c r="F32" s="3699" cm="1">
        <f t="array" aca="1" ref="F32" ca="1">INDIRECT("'※ 인력 세부데이터'!"&amp;F$1&amp;$W33, TRUE)</f>
        <v>158</v>
      </c>
      <c r="G32" s="3700" cm="1">
        <f t="array" aca="1" ref="G32" ca="1">INDIRECT("'※ 인력 세부데이터'!"&amp;G$1&amp;$W33, TRUE)</f>
        <v>163</v>
      </c>
      <c r="H32" s="3700" cm="1">
        <f t="array" aca="1" ref="H32" ca="1">INDIRECT("'※ 인력 세부데이터'!"&amp;H$1&amp;$W33, TRUE)</f>
        <v>170</v>
      </c>
      <c r="I32" s="3700" cm="1">
        <f t="array" aca="1" ref="I32" ca="1">INDIRECT("'※ 인력 세부데이터'!"&amp;I$1&amp;$W33, TRUE)</f>
        <v>180</v>
      </c>
      <c r="J32" s="3700" cm="1">
        <f t="array" aca="1" ref="J32" ca="1">INDIRECT("'※ 인력 세부데이터'!"&amp;J$1&amp;$W33, TRUE)</f>
        <v>181</v>
      </c>
      <c r="K32" s="3700" cm="1">
        <f t="array" aca="1" ref="K32" ca="1">INDIRECT("'※ 인력 세부데이터'!"&amp;K$1&amp;$W33, TRUE)</f>
        <v>181</v>
      </c>
      <c r="L32" s="3700" cm="1">
        <f t="array" aca="1" ref="L32" ca="1">INDIRECT("'※ 인력 세부데이터'!"&amp;L$1&amp;$W33, TRUE)</f>
        <v>183</v>
      </c>
      <c r="M32" s="3700" cm="1">
        <f t="array" aca="1" ref="M32" ca="1">INDIRECT("'※ 인력 세부데이터'!"&amp;M$1&amp;$W33, TRUE)</f>
        <v>181</v>
      </c>
      <c r="N32" s="3700" cm="1">
        <f t="array" aca="1" ref="N32" ca="1">INDIRECT("'※ 인력 세부데이터'!"&amp;N$1&amp;$W33, TRUE)</f>
        <v>179</v>
      </c>
      <c r="O32" s="3700" cm="1">
        <f t="array" aca="1" ref="O32" ca="1">INDIRECT("'※ 인력 세부데이터'!"&amp;O$1&amp;$W33, TRUE)</f>
        <v>177</v>
      </c>
      <c r="P32" s="3700" cm="1">
        <f t="array" aca="1" ref="P32" ca="1">INDIRECT("'※ 인력 세부데이터'!"&amp;P$1&amp;$W33, TRUE)</f>
        <v>176</v>
      </c>
      <c r="Q32" s="3700" cm="1">
        <f t="array" aca="1" ref="Q32" ca="1">INDIRECT("'※ 인력 세부데이터'!"&amp;Q$1&amp;$W33, TRUE)</f>
        <v>176</v>
      </c>
      <c r="R32" s="3701" cm="1">
        <f t="array" aca="1" ref="R32" ca="1">INDIRECT("'※ 인력 세부데이터'!"&amp;R$1&amp;$W33, TRUE)</f>
        <v>0.42206235011990406</v>
      </c>
      <c r="S32" s="3719" cm="1">
        <f t="array" aca="1" ref="S32" ca="1">INDIRECT("'※ 인력 세부데이터'!"&amp;S$1&amp;$W33, TRUE)</f>
        <v>94</v>
      </c>
      <c r="T32" s="3720" cm="1">
        <f t="array" aca="1" ref="T32" ca="1">INDIRECT("'※ 인력 세부데이터'!"&amp;T$1&amp;$W33, TRUE)</f>
        <v>0.53409090909090906</v>
      </c>
      <c r="U32" s="3721" cm="1">
        <f t="array" aca="1" ref="U32" ca="1">INDIRECT("'※ 인력 세부데이터'!"&amp;U$1&amp;$W33, TRUE)</f>
        <v>38.840909090909093</v>
      </c>
      <c r="V32" s="3722" cm="1">
        <f t="array" aca="1" ref="V32" ca="1">INDIRECT("'※ 인력 세부데이터'!"&amp;V$1&amp;$W33, TRUE)</f>
        <v>5.6478051058530561</v>
      </c>
      <c r="W32" s="3693">
        <f>ROW('※ 인력 세부데이터'!J28)</f>
        <v>28</v>
      </c>
      <c r="X32" s="3694"/>
    </row>
    <row r="33" spans="1:25" x14ac:dyDescent="0.55000000000000004">
      <c r="A33" s="7180"/>
      <c r="B33" s="2493"/>
      <c r="C33" s="3033" t="s">
        <v>1114</v>
      </c>
      <c r="D33" s="3717" cm="1">
        <f t="array" aca="1" ref="D33" ca="1">INDIRECT("'※ 인력 세부데이터'!"&amp;D$1&amp;$W34, TRUE)</f>
        <v>87.666666666666671</v>
      </c>
      <c r="E33" s="3718" cm="1">
        <f t="array" aca="1" ref="E33" ca="1">INDIRECT("'※ 인력 세부데이터'!"&amp;E$1&amp;$W34, TRUE)</f>
        <v>95.333333333333329</v>
      </c>
      <c r="F33" s="3699" cm="1">
        <f t="array" aca="1" ref="F33" ca="1">INDIRECT("'※ 인력 세부데이터'!"&amp;F$1&amp;$W34, TRUE)</f>
        <v>92</v>
      </c>
      <c r="G33" s="3700" cm="1">
        <f t="array" aca="1" ref="G33" ca="1">INDIRECT("'※ 인력 세부데이터'!"&amp;G$1&amp;$W34, TRUE)</f>
        <v>94</v>
      </c>
      <c r="H33" s="3700" cm="1">
        <f t="array" aca="1" ref="H33" ca="1">INDIRECT("'※ 인력 세부데이터'!"&amp;H$1&amp;$W34, TRUE)</f>
        <v>94</v>
      </c>
      <c r="I33" s="3700" cm="1">
        <f t="array" aca="1" ref="I33" ca="1">INDIRECT("'※ 인력 세부데이터'!"&amp;I$1&amp;$W34, TRUE)</f>
        <v>94</v>
      </c>
      <c r="J33" s="3700" cm="1">
        <f t="array" aca="1" ref="J33" ca="1">INDIRECT("'※ 인력 세부데이터'!"&amp;J$1&amp;$W34, TRUE)</f>
        <v>104</v>
      </c>
      <c r="K33" s="3700" cm="1">
        <f t="array" aca="1" ref="K33" ca="1">INDIRECT("'※ 인력 세부데이터'!"&amp;K$1&amp;$W34, TRUE)</f>
        <v>103</v>
      </c>
      <c r="L33" s="3700" cm="1">
        <f t="array" aca="1" ref="L33" ca="1">INDIRECT("'※ 인력 세부데이터'!"&amp;L$1&amp;$W34, TRUE)</f>
        <v>102</v>
      </c>
      <c r="M33" s="3700" cm="1">
        <f t="array" aca="1" ref="M33" ca="1">INDIRECT("'※ 인력 세부데이터'!"&amp;M$1&amp;$W34, TRUE)</f>
        <v>104</v>
      </c>
      <c r="N33" s="3700" cm="1">
        <f t="array" aca="1" ref="N33" ca="1">INDIRECT("'※ 인력 세부데이터'!"&amp;N$1&amp;$W34, TRUE)</f>
        <v>105</v>
      </c>
      <c r="O33" s="3700" cm="1">
        <f t="array" aca="1" ref="O33" ca="1">INDIRECT("'※ 인력 세부데이터'!"&amp;O$1&amp;$W34, TRUE)</f>
        <v>110</v>
      </c>
      <c r="P33" s="3700" cm="1">
        <f t="array" aca="1" ref="P33" ca="1">INDIRECT("'※ 인력 세부데이터'!"&amp;P$1&amp;$W34, TRUE)</f>
        <v>111</v>
      </c>
      <c r="Q33" s="3700" cm="1">
        <f t="array" aca="1" ref="Q33" ca="1">INDIRECT("'※ 인력 세부데이터'!"&amp;Q$1&amp;$W34, TRUE)</f>
        <v>124</v>
      </c>
      <c r="R33" s="3701" cm="1">
        <f t="array" aca="1" ref="R33" ca="1">INDIRECT("'※ 인력 세부데이터'!"&amp;R$1&amp;$W34, TRUE)</f>
        <v>0.29736211031175058</v>
      </c>
      <c r="S33" s="3719" cm="1">
        <f t="array" aca="1" ref="S33" ca="1">INDIRECT("'※ 인력 세부데이터'!"&amp;S$1&amp;$W34, TRUE)</f>
        <v>61</v>
      </c>
      <c r="T33" s="3720" cm="1">
        <f t="array" aca="1" ref="T33" ca="1">INDIRECT("'※ 인력 세부데이터'!"&amp;T$1&amp;$W34, TRUE)</f>
        <v>0.49193548387096775</v>
      </c>
      <c r="U33" s="3721" cm="1">
        <f t="array" aca="1" ref="U33" ca="1">INDIRECT("'※ 인력 세부데이터'!"&amp;U$1&amp;$W34, TRUE)</f>
        <v>37.572580645161288</v>
      </c>
      <c r="V33" s="3722" cm="1">
        <f t="array" aca="1" ref="V33" ca="1">INDIRECT("'※ 인력 세부데이터'!"&amp;V$1&amp;$W34, TRUE)</f>
        <v>8.4066725585505964</v>
      </c>
      <c r="W33" s="3693">
        <f>ROW('※ 인력 세부데이터'!J29)</f>
        <v>29</v>
      </c>
      <c r="X33" s="3694"/>
    </row>
    <row r="34" spans="1:25" x14ac:dyDescent="0.55000000000000004">
      <c r="A34" s="7180"/>
      <c r="B34" s="3706" t="s">
        <v>203</v>
      </c>
      <c r="C34" s="3707"/>
      <c r="D34" s="3708" cm="1">
        <f t="array" aca="1" ref="D34" ca="1">INDIRECT("'※ 인력 세부데이터'!"&amp;D$1&amp;$W35, TRUE)</f>
        <v>1675.75</v>
      </c>
      <c r="E34" s="3709" cm="1">
        <f t="array" aca="1" ref="E34" ca="1">INDIRECT("'※ 인력 세부데이터'!"&amp;E$1&amp;$W35, TRUE)</f>
        <v>1722.0833333333333</v>
      </c>
      <c r="F34" s="3747" cm="1">
        <f t="array" aca="1" ref="F34" ca="1">INDIRECT("'※ 인력 세부데이터'!"&amp;F$1&amp;$W35, TRUE)</f>
        <v>1809</v>
      </c>
      <c r="G34" s="3748" cm="1">
        <f t="array" aca="1" ref="G34" ca="1">INDIRECT("'※ 인력 세부데이터'!"&amp;G$1&amp;$W35, TRUE)</f>
        <v>1788</v>
      </c>
      <c r="H34" s="3748" cm="1">
        <f t="array" aca="1" ref="H34" ca="1">INDIRECT("'※ 인력 세부데이터'!"&amp;H$1&amp;$W35, TRUE)</f>
        <v>1801</v>
      </c>
      <c r="I34" s="3748" cm="1">
        <f t="array" aca="1" ref="I34" ca="1">INDIRECT("'※ 인력 세부데이터'!"&amp;I$1&amp;$W35, TRUE)</f>
        <v>1782</v>
      </c>
      <c r="J34" s="3748" cm="1">
        <f t="array" aca="1" ref="J34" ca="1">INDIRECT("'※ 인력 세부데이터'!"&amp;J$1&amp;$W35, TRUE)</f>
        <v>1755</v>
      </c>
      <c r="K34" s="3748" cm="1">
        <f t="array" aca="1" ref="K34" ca="1">INDIRECT("'※ 인력 세부데이터'!"&amp;K$1&amp;$W35, TRUE)</f>
        <v>1744</v>
      </c>
      <c r="L34" s="3748" cm="1">
        <f t="array" aca="1" ref="L34" ca="1">INDIRECT("'※ 인력 세부데이터'!"&amp;L$1&amp;$W35, TRUE)</f>
        <v>1715</v>
      </c>
      <c r="M34" s="3748" cm="1">
        <f t="array" aca="1" ref="M34" ca="1">INDIRECT("'※ 인력 세부데이터'!"&amp;M$1&amp;$W35, TRUE)</f>
        <v>1695</v>
      </c>
      <c r="N34" s="3748" cm="1">
        <f t="array" aca="1" ref="N34" ca="1">INDIRECT("'※ 인력 세부데이터'!"&amp;N$1&amp;$W35, TRUE)</f>
        <v>1686</v>
      </c>
      <c r="O34" s="3748" cm="1">
        <f t="array" aca="1" ref="O34" ca="1">INDIRECT("'※ 인력 세부데이터'!"&amp;O$1&amp;$W35, TRUE)</f>
        <v>1669</v>
      </c>
      <c r="P34" s="3748" cm="1">
        <f t="array" aca="1" ref="P34" ca="1">INDIRECT("'※ 인력 세부데이터'!"&amp;P$1&amp;$W35, TRUE)</f>
        <v>1671</v>
      </c>
      <c r="Q34" s="3748" cm="1">
        <f t="array" aca="1" ref="Q34" ca="1">INDIRECT("'※ 인력 세부데이터'!"&amp;Q$1&amp;$W35, TRUE)</f>
        <v>1658</v>
      </c>
      <c r="R34" s="3712" cm="1">
        <f t="array" aca="1" ref="R34" ca="1">INDIRECT("'※ 인력 세부데이터'!"&amp;R$1&amp;$W35, TRUE)</f>
        <v>0.75363636363636366</v>
      </c>
      <c r="S34" s="3713" cm="1">
        <f t="array" aca="1" ref="S34" ca="1">INDIRECT("'※ 인력 세부데이터'!"&amp;S$1&amp;$W35, TRUE)</f>
        <v>602</v>
      </c>
      <c r="T34" s="3714" cm="1">
        <f t="array" aca="1" ref="T34" ca="1">INDIRECT("'※ 인력 세부데이터'!"&amp;T$1&amp;$W35, TRUE)</f>
        <v>0.36308805790108567</v>
      </c>
      <c r="U34" s="3715" cm="1">
        <f t="array" aca="1" ref="U34" ca="1">INDIRECT("'※ 인력 세부데이터'!"&amp;U$1&amp;$W35, TRUE)</f>
        <v>34.336550060313634</v>
      </c>
      <c r="V34" s="3716" cm="1">
        <f t="array" aca="1" ref="V34" ca="1">INDIRECT("'※ 인력 세부데이터'!"&amp;V$1&amp;$W35, TRUE)</f>
        <v>6.2464894161971047</v>
      </c>
      <c r="W34" s="3693">
        <f>ROW('※ 인력 세부데이터'!J30)</f>
        <v>30</v>
      </c>
      <c r="X34" s="3694"/>
    </row>
    <row r="35" spans="1:25" x14ac:dyDescent="0.55000000000000004">
      <c r="A35" s="7180"/>
      <c r="B35" s="3723"/>
      <c r="C35" s="3749" t="s">
        <v>204</v>
      </c>
      <c r="D35" s="3750" cm="1">
        <f t="array" aca="1" ref="D35" ca="1">INDIRECT("'※ 인력 세부데이터'!"&amp;D$1&amp;$W36, TRUE)</f>
        <v>291.33333333333331</v>
      </c>
      <c r="E35" s="3751" cm="1">
        <f t="array" aca="1" ref="E35" ca="1">INDIRECT("'※ 인력 세부데이터'!"&amp;E$1&amp;$W36, TRUE)</f>
        <v>328.58333333333331</v>
      </c>
      <c r="F35" s="3752" cm="1">
        <f t="array" aca="1" ref="F35" ca="1">INDIRECT("'※ 인력 세부데이터'!"&amp;F$1&amp;$W36, TRUE)</f>
        <v>351</v>
      </c>
      <c r="G35" s="3753" cm="1">
        <f t="array" aca="1" ref="G35" ca="1">INDIRECT("'※ 인력 세부데이터'!"&amp;G$1&amp;$W36, TRUE)</f>
        <v>354</v>
      </c>
      <c r="H35" s="3753" cm="1">
        <f t="array" aca="1" ref="H35" ca="1">INDIRECT("'※ 인력 세부데이터'!"&amp;H$1&amp;$W36, TRUE)</f>
        <v>350</v>
      </c>
      <c r="I35" s="3753" cm="1">
        <f t="array" aca="1" ref="I35" ca="1">INDIRECT("'※ 인력 세부데이터'!"&amp;I$1&amp;$W36, TRUE)</f>
        <v>346</v>
      </c>
      <c r="J35" s="3753" cm="1">
        <f t="array" aca="1" ref="J35" ca="1">INDIRECT("'※ 인력 세부데이터'!"&amp;J$1&amp;$W36, TRUE)</f>
        <v>343</v>
      </c>
      <c r="K35" s="3753" cm="1">
        <f t="array" aca="1" ref="K35" ca="1">INDIRECT("'※ 인력 세부데이터'!"&amp;K$1&amp;$W36, TRUE)</f>
        <v>342</v>
      </c>
      <c r="L35" s="3753" cm="1">
        <f t="array" aca="1" ref="L35" ca="1">INDIRECT("'※ 인력 세부데이터'!"&amp;L$1&amp;$W36, TRUE)</f>
        <v>336</v>
      </c>
      <c r="M35" s="3753" cm="1">
        <f t="array" aca="1" ref="M35" ca="1">INDIRECT("'※ 인력 세부데이터'!"&amp;M$1&amp;$W36, TRUE)</f>
        <v>328</v>
      </c>
      <c r="N35" s="3753" cm="1">
        <f t="array" aca="1" ref="N35" ca="1">INDIRECT("'※ 인력 세부데이터'!"&amp;N$1&amp;$W36, TRUE)</f>
        <v>324</v>
      </c>
      <c r="O35" s="3753" cm="1">
        <f t="array" aca="1" ref="O35" ca="1">INDIRECT("'※ 인력 세부데이터'!"&amp;O$1&amp;$W36, TRUE)</f>
        <v>324</v>
      </c>
      <c r="P35" s="3753" cm="1">
        <f t="array" aca="1" ref="P35" ca="1">INDIRECT("'※ 인력 세부데이터'!"&amp;P$1&amp;$W36, TRUE)</f>
        <v>324</v>
      </c>
      <c r="Q35" s="3753" cm="1">
        <f t="array" aca="1" ref="Q35" ca="1">INDIRECT("'※ 인력 세부데이터'!"&amp;Q$1&amp;$W36, TRUE)</f>
        <v>317</v>
      </c>
      <c r="R35" s="3754" cm="1">
        <f t="array" aca="1" ref="R35" ca="1">INDIRECT("'※ 인력 세부데이터'!"&amp;R$1&amp;$W36, TRUE)</f>
        <v>0.1440909090909091</v>
      </c>
      <c r="S35" s="3755" cm="1">
        <f t="array" aca="1" ref="S35" ca="1">INDIRECT("'※ 인력 세부데이터'!"&amp;S$1&amp;$W36, TRUE)</f>
        <v>81</v>
      </c>
      <c r="T35" s="3756" cm="1">
        <f t="array" aca="1" ref="T35" ca="1">INDIRECT("'※ 인력 세부데이터'!"&amp;T$1&amp;$W36, TRUE)</f>
        <v>0.25552050473186122</v>
      </c>
      <c r="U35" s="3757" cm="1">
        <f t="array" aca="1" ref="U35" ca="1">INDIRECT("'※ 인력 세부데이터'!"&amp;U$1&amp;$W36, TRUE)</f>
        <v>35.047318611987379</v>
      </c>
      <c r="V35" s="3758" cm="1">
        <f t="array" aca="1" ref="V35" ca="1">INDIRECT("'※ 인력 세부데이터'!"&amp;V$1&amp;$W36, TRUE)</f>
        <v>6.1920487446523538</v>
      </c>
      <c r="W35" s="3693">
        <f>ROW('※ 인력 세부데이터'!J31)</f>
        <v>31</v>
      </c>
      <c r="X35" s="3694"/>
    </row>
    <row r="36" spans="1:25" x14ac:dyDescent="0.55000000000000004">
      <c r="A36" s="7180"/>
      <c r="B36" s="3723"/>
      <c r="C36" s="3033" t="s">
        <v>220</v>
      </c>
      <c r="D36" s="3717" cm="1">
        <f t="array" aca="1" ref="D36" ca="1">INDIRECT("'※ 인력 세부데이터'!"&amp;D$1&amp;$W37, TRUE)</f>
        <v>35.25</v>
      </c>
      <c r="E36" s="3718" cm="1">
        <f t="array" aca="1" ref="E36" ca="1">INDIRECT("'※ 인력 세부데이터'!"&amp;E$1&amp;$W37, TRUE)</f>
        <v>36.583333333333336</v>
      </c>
      <c r="F36" s="3699" cm="1">
        <f t="array" aca="1" ref="F36" ca="1">INDIRECT("'※ 인력 세부데이터'!"&amp;F$1&amp;$W37, TRUE)</f>
        <v>38</v>
      </c>
      <c r="G36" s="3700" cm="1">
        <f t="array" aca="1" ref="G36" ca="1">INDIRECT("'※ 인력 세부데이터'!"&amp;G$1&amp;$W37, TRUE)</f>
        <v>41</v>
      </c>
      <c r="H36" s="3700" cm="1">
        <f t="array" aca="1" ref="H36" ca="1">INDIRECT("'※ 인력 세부데이터'!"&amp;H$1&amp;$W37, TRUE)</f>
        <v>41</v>
      </c>
      <c r="I36" s="3700" cm="1">
        <f t="array" aca="1" ref="I36" ca="1">INDIRECT("'※ 인력 세부데이터'!"&amp;I$1&amp;$W37, TRUE)</f>
        <v>42</v>
      </c>
      <c r="J36" s="3700" cm="1">
        <f t="array" aca="1" ref="J36" ca="1">INDIRECT("'※ 인력 세부데이터'!"&amp;J$1&amp;$W37, TRUE)</f>
        <v>40</v>
      </c>
      <c r="K36" s="3700" cm="1">
        <f t="array" aca="1" ref="K36" ca="1">INDIRECT("'※ 인력 세부데이터'!"&amp;K$1&amp;$W37, TRUE)</f>
        <v>41</v>
      </c>
      <c r="L36" s="3700" cm="1">
        <f t="array" aca="1" ref="L36" ca="1">INDIRECT("'※ 인력 세부데이터'!"&amp;L$1&amp;$W37, TRUE)</f>
        <v>35</v>
      </c>
      <c r="M36" s="3700" cm="1">
        <f t="array" aca="1" ref="M36" ca="1">INDIRECT("'※ 인력 세부데이터'!"&amp;M$1&amp;$W37, TRUE)</f>
        <v>35</v>
      </c>
      <c r="N36" s="3700" cm="1">
        <f t="array" aca="1" ref="N36" ca="1">INDIRECT("'※ 인력 세부데이터'!"&amp;N$1&amp;$W37, TRUE)</f>
        <v>34</v>
      </c>
      <c r="O36" s="3700" cm="1">
        <f t="array" aca="1" ref="O36" ca="1">INDIRECT("'※ 인력 세부데이터'!"&amp;O$1&amp;$W37, TRUE)</f>
        <v>33</v>
      </c>
      <c r="P36" s="3700" cm="1">
        <f t="array" aca="1" ref="P36" ca="1">INDIRECT("'※ 인력 세부데이터'!"&amp;P$1&amp;$W37, TRUE)</f>
        <v>33</v>
      </c>
      <c r="Q36" s="3700" cm="1">
        <f t="array" aca="1" ref="Q36" ca="1">INDIRECT("'※ 인력 세부데이터'!"&amp;Q$1&amp;$W37, TRUE)</f>
        <v>33</v>
      </c>
      <c r="R36" s="3701" cm="1">
        <f t="array" aca="1" ref="R36" ca="1">INDIRECT("'※ 인력 세부데이터'!"&amp;R$1&amp;$W37, TRUE)</f>
        <v>0.10410094637223975</v>
      </c>
      <c r="S36" s="3719" cm="1">
        <f t="array" aca="1" ref="S36" ca="1">INDIRECT("'※ 인력 세부데이터'!"&amp;S$1&amp;$W37, TRUE)</f>
        <v>10</v>
      </c>
      <c r="T36" s="3720" cm="1">
        <f t="array" aca="1" ref="T36" ca="1">INDIRECT("'※ 인력 세부데이터'!"&amp;T$1&amp;$W37, TRUE)</f>
        <v>0.30303030303030304</v>
      </c>
      <c r="U36" s="3721" cm="1">
        <f t="array" aca="1" ref="U36" ca="1">INDIRECT("'※ 인력 세부데이터'!"&amp;U$1&amp;$W37, TRUE)</f>
        <v>41.515151515151516</v>
      </c>
      <c r="V36" s="3722" cm="1">
        <f t="array" aca="1" ref="V36" ca="1">INDIRECT("'※ 인력 세부데이터'!"&amp;V$1&amp;$W37, TRUE)</f>
        <v>13.489331672893314</v>
      </c>
      <c r="W36" s="3693">
        <f>ROW('※ 인력 세부데이터'!J32)</f>
        <v>32</v>
      </c>
      <c r="X36" s="3694"/>
    </row>
    <row r="37" spans="1:25" x14ac:dyDescent="0.55000000000000004">
      <c r="A37" s="7180"/>
      <c r="B37" s="3723"/>
      <c r="C37" s="3033" t="s">
        <v>1019</v>
      </c>
      <c r="D37" s="3717" cm="1">
        <f t="array" aca="1" ref="D37" ca="1">INDIRECT("'※ 인력 세부데이터'!"&amp;D$1&amp;$W38, TRUE)</f>
        <v>17.75</v>
      </c>
      <c r="E37" s="3718" cm="1">
        <f t="array" aca="1" ref="E37" ca="1">INDIRECT("'※ 인력 세부데이터'!"&amp;E$1&amp;$W38, TRUE)</f>
        <v>19.583333333333332</v>
      </c>
      <c r="F37" s="3699" cm="1">
        <f t="array" aca="1" ref="F37" ca="1">INDIRECT("'※ 인력 세부데이터'!"&amp;F$1&amp;$W38, TRUE)</f>
        <v>22</v>
      </c>
      <c r="G37" s="3700" cm="1">
        <f t="array" aca="1" ref="G37" ca="1">INDIRECT("'※ 인력 세부데이터'!"&amp;G$1&amp;$W38, TRUE)</f>
        <v>24</v>
      </c>
      <c r="H37" s="3700" cm="1">
        <f t="array" aca="1" ref="H37" ca="1">INDIRECT("'※ 인력 세부데이터'!"&amp;H$1&amp;$W38, TRUE)</f>
        <v>25</v>
      </c>
      <c r="I37" s="3700" cm="1">
        <f t="array" aca="1" ref="I37" ca="1">INDIRECT("'※ 인력 세부데이터'!"&amp;I$1&amp;$W38, TRUE)</f>
        <v>25</v>
      </c>
      <c r="J37" s="3700" cm="1">
        <f t="array" aca="1" ref="J37" ca="1">INDIRECT("'※ 인력 세부데이터'!"&amp;J$1&amp;$W38, TRUE)</f>
        <v>25</v>
      </c>
      <c r="K37" s="3700" cm="1">
        <f t="array" aca="1" ref="K37" ca="1">INDIRECT("'※ 인력 세부데이터'!"&amp;K$1&amp;$W38, TRUE)</f>
        <v>25</v>
      </c>
      <c r="L37" s="3700" cm="1">
        <f t="array" aca="1" ref="L37" ca="1">INDIRECT("'※ 인력 세부데이터'!"&amp;L$1&amp;$W38, TRUE)</f>
        <v>23</v>
      </c>
      <c r="M37" s="3700" cm="1">
        <f t="array" aca="1" ref="M37" ca="1">INDIRECT("'※ 인력 세부데이터'!"&amp;M$1&amp;$W38, TRUE)</f>
        <v>23</v>
      </c>
      <c r="N37" s="3700" cm="1">
        <f t="array" aca="1" ref="N37" ca="1">INDIRECT("'※ 인력 세부데이터'!"&amp;N$1&amp;$W38, TRUE)</f>
        <v>23</v>
      </c>
      <c r="O37" s="3700" cm="1">
        <f t="array" aca="1" ref="O37" ca="1">INDIRECT("'※ 인력 세부데이터'!"&amp;O$1&amp;$W38, TRUE)</f>
        <v>22</v>
      </c>
      <c r="P37" s="3700" cm="1">
        <f t="array" aca="1" ref="P37" ca="1">INDIRECT("'※ 인력 세부데이터'!"&amp;P$1&amp;$W38, TRUE)</f>
        <v>22</v>
      </c>
      <c r="Q37" s="3700" cm="1">
        <f t="array" aca="1" ref="Q37" ca="1">INDIRECT("'※ 인력 세부데이터'!"&amp;Q$1&amp;$W38, TRUE)</f>
        <v>14</v>
      </c>
      <c r="R37" s="3701" cm="1">
        <f t="array" aca="1" ref="R37" ca="1">INDIRECT("'※ 인력 세부데이터'!"&amp;R$1&amp;$W38, TRUE)</f>
        <v>4.4164037854889593E-2</v>
      </c>
      <c r="S37" s="3719" cm="1">
        <f t="array" aca="1" ref="S37" ca="1">INDIRECT("'※ 인력 세부데이터'!"&amp;S$1&amp;$W38, TRUE)</f>
        <v>0</v>
      </c>
      <c r="T37" s="3720" cm="1">
        <f t="array" aca="1" ref="T37" ca="1">INDIRECT("'※ 인력 세부데이터'!"&amp;T$1&amp;$W38, TRUE)</f>
        <v>0</v>
      </c>
      <c r="U37" s="3721" cm="1">
        <f t="array" aca="1" ref="U37" ca="1">INDIRECT("'※ 인력 세부데이터'!"&amp;U$1&amp;$W38, TRUE)</f>
        <v>46.142857142857146</v>
      </c>
      <c r="V37" s="3722" cm="1">
        <f t="array" aca="1" ref="V37" ca="1">INDIRECT("'※ 인력 세부데이터'!"&amp;V$1&amp;$W38, TRUE)</f>
        <v>8.3984344422700605</v>
      </c>
      <c r="W37" s="3693">
        <f>ROW('※ 인력 세부데이터'!J33)</f>
        <v>33</v>
      </c>
      <c r="X37" s="3694"/>
    </row>
    <row r="38" spans="1:25" x14ac:dyDescent="0.55000000000000004">
      <c r="A38" s="7180"/>
      <c r="B38" s="3723"/>
      <c r="C38" s="3033" t="s">
        <v>19</v>
      </c>
      <c r="D38" s="3717" cm="1">
        <f t="array" aca="1" ref="D38" ca="1">INDIRECT("'※ 인력 세부데이터'!"&amp;D$1&amp;$W39, TRUE)</f>
        <v>171.5</v>
      </c>
      <c r="E38" s="3718" cm="1">
        <f t="array" aca="1" ref="E38" ca="1">INDIRECT("'※ 인력 세부데이터'!"&amp;E$1&amp;$W39, TRUE)</f>
        <v>204.08333333333334</v>
      </c>
      <c r="F38" s="3699" cm="1">
        <f t="array" aca="1" ref="F38" ca="1">INDIRECT("'※ 인력 세부데이터'!"&amp;F$1&amp;$W39, TRUE)</f>
        <v>219</v>
      </c>
      <c r="G38" s="3700" cm="1">
        <f t="array" aca="1" ref="G38" ca="1">INDIRECT("'※ 인력 세부데이터'!"&amp;G$1&amp;$W39, TRUE)</f>
        <v>217</v>
      </c>
      <c r="H38" s="3700" cm="1">
        <f t="array" aca="1" ref="H38" ca="1">INDIRECT("'※ 인력 세부데이터'!"&amp;H$1&amp;$W39, TRUE)</f>
        <v>211</v>
      </c>
      <c r="I38" s="3700" cm="1">
        <f t="array" aca="1" ref="I38" ca="1">INDIRECT("'※ 인력 세부데이터'!"&amp;I$1&amp;$W39, TRUE)</f>
        <v>208</v>
      </c>
      <c r="J38" s="3700" cm="1">
        <f t="array" aca="1" ref="J38" ca="1">INDIRECT("'※ 인력 세부데이터'!"&amp;J$1&amp;$W39, TRUE)</f>
        <v>208</v>
      </c>
      <c r="K38" s="3700" cm="1">
        <f t="array" aca="1" ref="K38" ca="1">INDIRECT("'※ 인력 세부데이터'!"&amp;K$1&amp;$W39, TRUE)</f>
        <v>208</v>
      </c>
      <c r="L38" s="3700" cm="1">
        <f t="array" aca="1" ref="L38" ca="1">INDIRECT("'※ 인력 세부데이터'!"&amp;L$1&amp;$W39, TRUE)</f>
        <v>208</v>
      </c>
      <c r="M38" s="3700" cm="1">
        <f t="array" aca="1" ref="M38" ca="1">INDIRECT("'※ 인력 세부데이터'!"&amp;M$1&amp;$W39, TRUE)</f>
        <v>202</v>
      </c>
      <c r="N38" s="3700" cm="1">
        <f t="array" aca="1" ref="N38" ca="1">INDIRECT("'※ 인력 세부데이터'!"&amp;N$1&amp;$W39, TRUE)</f>
        <v>202</v>
      </c>
      <c r="O38" s="3700" cm="1">
        <f t="array" aca="1" ref="O38" ca="1">INDIRECT("'※ 인력 세부데이터'!"&amp;O$1&amp;$W39, TRUE)</f>
        <v>204</v>
      </c>
      <c r="P38" s="3700" cm="1">
        <f t="array" aca="1" ref="P38" ca="1">INDIRECT("'※ 인력 세부데이터'!"&amp;P$1&amp;$W39, TRUE)</f>
        <v>204</v>
      </c>
      <c r="Q38" s="3700" cm="1">
        <f t="array" aca="1" ref="Q38" ca="1">INDIRECT("'※ 인력 세부데이터'!"&amp;Q$1&amp;$W39, TRUE)</f>
        <v>208</v>
      </c>
      <c r="R38" s="3701" cm="1">
        <f t="array" aca="1" ref="R38" ca="1">INDIRECT("'※ 인력 세부데이터'!"&amp;R$1&amp;$W39, TRUE)</f>
        <v>0.65615141955835965</v>
      </c>
      <c r="S38" s="3719" cm="1">
        <f t="array" aca="1" ref="S38" ca="1">INDIRECT("'※ 인력 세부데이터'!"&amp;S$1&amp;$W39, TRUE)</f>
        <v>46</v>
      </c>
      <c r="T38" s="3720" cm="1">
        <f t="array" aca="1" ref="T38" ca="1">INDIRECT("'※ 인력 세부데이터'!"&amp;T$1&amp;$W39, TRUE)</f>
        <v>0.22115384615384615</v>
      </c>
      <c r="U38" s="3721" cm="1">
        <f t="array" aca="1" ref="U38" ca="1">INDIRECT("'※ 인력 세부데이터'!"&amp;U$1&amp;$W39, TRUE)</f>
        <v>33.177884615384613</v>
      </c>
      <c r="V38" s="3722" cm="1">
        <f t="array" aca="1" ref="V38" ca="1">INDIRECT("'※ 인력 세부데이터'!"&amp;V$1&amp;$W39, TRUE)</f>
        <v>4.9578240252897796</v>
      </c>
      <c r="W38" s="3693">
        <f>ROW('※ 인력 세부데이터'!J34)</f>
        <v>34</v>
      </c>
      <c r="X38" s="3694"/>
    </row>
    <row r="39" spans="1:25" x14ac:dyDescent="0.55000000000000004">
      <c r="A39" s="7180"/>
      <c r="B39" s="3723"/>
      <c r="C39" s="3033" t="s">
        <v>20</v>
      </c>
      <c r="D39" s="3717" cm="1">
        <f t="array" aca="1" ref="D39" ca="1">INDIRECT("'※ 인력 세부데이터'!"&amp;D$1&amp;$W40, TRUE)</f>
        <v>66.833333333333329</v>
      </c>
      <c r="E39" s="3718" cm="1">
        <f t="array" aca="1" ref="E39" ca="1">INDIRECT("'※ 인력 세부데이터'!"&amp;E$1&amp;$W40, TRUE)</f>
        <v>68.333333333333329</v>
      </c>
      <c r="F39" s="3699" cm="1">
        <f t="array" aca="1" ref="F39" ca="1">INDIRECT("'※ 인력 세부데이터'!"&amp;F$1&amp;$W40, TRUE)</f>
        <v>72</v>
      </c>
      <c r="G39" s="3700" cm="1">
        <f t="array" aca="1" ref="G39" ca="1">INDIRECT("'※ 인력 세부데이터'!"&amp;G$1&amp;$W40, TRUE)</f>
        <v>72</v>
      </c>
      <c r="H39" s="3700" cm="1">
        <f t="array" aca="1" ref="H39" ca="1">INDIRECT("'※ 인력 세부데이터'!"&amp;H$1&amp;$W40, TRUE)</f>
        <v>73</v>
      </c>
      <c r="I39" s="3700" cm="1">
        <f t="array" aca="1" ref="I39" ca="1">INDIRECT("'※ 인력 세부데이터'!"&amp;I$1&amp;$W40, TRUE)</f>
        <v>71</v>
      </c>
      <c r="J39" s="3700" cm="1">
        <f t="array" aca="1" ref="J39" ca="1">INDIRECT("'※ 인력 세부데이터'!"&amp;J$1&amp;$W40, TRUE)</f>
        <v>70</v>
      </c>
      <c r="K39" s="3700" cm="1">
        <f t="array" aca="1" ref="K39" ca="1">INDIRECT("'※ 인력 세부데이터'!"&amp;K$1&amp;$W40, TRUE)</f>
        <v>68</v>
      </c>
      <c r="L39" s="3700" cm="1">
        <f t="array" aca="1" ref="L39" ca="1">INDIRECT("'※ 인력 세부데이터'!"&amp;L$1&amp;$W40, TRUE)</f>
        <v>70</v>
      </c>
      <c r="M39" s="3700" cm="1">
        <f t="array" aca="1" ref="M39" ca="1">INDIRECT("'※ 인력 세부데이터'!"&amp;M$1&amp;$W40, TRUE)</f>
        <v>68</v>
      </c>
      <c r="N39" s="3700" cm="1">
        <f t="array" aca="1" ref="N39" ca="1">INDIRECT("'※ 인력 세부데이터'!"&amp;N$1&amp;$W40, TRUE)</f>
        <v>65</v>
      </c>
      <c r="O39" s="3700" cm="1">
        <f t="array" aca="1" ref="O39" ca="1">INDIRECT("'※ 인력 세부데이터'!"&amp;O$1&amp;$W40, TRUE)</f>
        <v>65</v>
      </c>
      <c r="P39" s="3700" cm="1">
        <f t="array" aca="1" ref="P39" ca="1">INDIRECT("'※ 인력 세부데이터'!"&amp;P$1&amp;$W40, TRUE)</f>
        <v>65</v>
      </c>
      <c r="Q39" s="3700" cm="1">
        <f t="array" aca="1" ref="Q39" ca="1">INDIRECT("'※ 인력 세부데이터'!"&amp;Q$1&amp;$W40, TRUE)</f>
        <v>62</v>
      </c>
      <c r="R39" s="3701" cm="1">
        <f t="array" aca="1" ref="R39" ca="1">INDIRECT("'※ 인력 세부데이터'!"&amp;R$1&amp;$W40, TRUE)</f>
        <v>0.19558359621451105</v>
      </c>
      <c r="S39" s="3719" cm="1">
        <f t="array" aca="1" ref="S39" ca="1">INDIRECT("'※ 인력 세부데이터'!"&amp;S$1&amp;$W40, TRUE)</f>
        <v>25</v>
      </c>
      <c r="T39" s="3720" cm="1">
        <f t="array" aca="1" ref="T39" ca="1">INDIRECT("'※ 인력 세부데이터'!"&amp;T$1&amp;$W40, TRUE)</f>
        <v>0.40322580645161288</v>
      </c>
      <c r="U39" s="3721" cm="1">
        <f t="array" aca="1" ref="U39" ca="1">INDIRECT("'※ 인력 세부데이터'!"&amp;U$1&amp;$W40, TRUE)</f>
        <v>35.37096774193548</v>
      </c>
      <c r="V39" s="3722" cm="1">
        <f t="array" aca="1" ref="V39" ca="1">INDIRECT("'※ 인력 세부데이터'!"&amp;V$1&amp;$W40, TRUE)</f>
        <v>5.9504197967300074</v>
      </c>
      <c r="W39" s="3693">
        <f>ROW('※ 인력 세부데이터'!J35)</f>
        <v>35</v>
      </c>
      <c r="X39" s="3694"/>
    </row>
    <row r="40" spans="1:25" x14ac:dyDescent="0.55000000000000004">
      <c r="A40" s="7180"/>
      <c r="B40" s="3723"/>
      <c r="C40" s="3749" t="s">
        <v>205</v>
      </c>
      <c r="D40" s="3750" cm="1">
        <f t="array" aca="1" ref="D40" ca="1">INDIRECT("'※ 인력 세부데이터'!"&amp;D$1&amp;$W41, TRUE)</f>
        <v>561.08333333333337</v>
      </c>
      <c r="E40" s="3751" cm="1">
        <f t="array" aca="1" ref="E40" ca="1">INDIRECT("'※ 인력 세부데이터'!"&amp;E$1&amp;$W41, TRUE)</f>
        <v>276.75</v>
      </c>
      <c r="F40" s="3752" cm="1">
        <f t="array" aca="1" ref="F40" ca="1">INDIRECT("'※ 인력 세부데이터'!"&amp;F$1&amp;$W41, TRUE)</f>
        <v>283</v>
      </c>
      <c r="G40" s="3753" cm="1">
        <f t="array" aca="1" ref="G40" ca="1">INDIRECT("'※ 인력 세부데이터'!"&amp;G$1&amp;$W41, TRUE)</f>
        <v>280</v>
      </c>
      <c r="H40" s="3753" cm="1">
        <f t="array" aca="1" ref="H40" ca="1">INDIRECT("'※ 인력 세부데이터'!"&amp;H$1&amp;$W41, TRUE)</f>
        <v>286</v>
      </c>
      <c r="I40" s="3753" cm="1">
        <f t="array" aca="1" ref="I40" ca="1">INDIRECT("'※ 인력 세부데이터'!"&amp;I$1&amp;$W41, TRUE)</f>
        <v>278</v>
      </c>
      <c r="J40" s="3753" cm="1">
        <f t="array" aca="1" ref="J40" ca="1">INDIRECT("'※ 인력 세부데이터'!"&amp;J$1&amp;$W41, TRUE)</f>
        <v>274</v>
      </c>
      <c r="K40" s="3753" cm="1">
        <f t="array" aca="1" ref="K40" ca="1">INDIRECT("'※ 인력 세부데이터'!"&amp;K$1&amp;$W41, TRUE)</f>
        <v>273</v>
      </c>
      <c r="L40" s="3753" cm="1">
        <f t="array" aca="1" ref="L40" ca="1">INDIRECT("'※ 인력 세부데이터'!"&amp;L$1&amp;$W41, TRUE)</f>
        <v>266</v>
      </c>
      <c r="M40" s="3753" cm="1">
        <f t="array" aca="1" ref="M40" ca="1">INDIRECT("'※ 인력 세부데이터'!"&amp;M$1&amp;$W41, TRUE)</f>
        <v>272</v>
      </c>
      <c r="N40" s="3753" cm="1">
        <f t="array" aca="1" ref="N40" ca="1">INDIRECT("'※ 인력 세부데이터'!"&amp;N$1&amp;$W41, TRUE)</f>
        <v>266</v>
      </c>
      <c r="O40" s="3753" cm="1">
        <f t="array" aca="1" ref="O40" ca="1">INDIRECT("'※ 인력 세부데이터'!"&amp;O$1&amp;$W41, TRUE)</f>
        <v>269</v>
      </c>
      <c r="P40" s="3753" cm="1">
        <f t="array" aca="1" ref="P40" ca="1">INDIRECT("'※ 인력 세부데이터'!"&amp;P$1&amp;$W41, TRUE)</f>
        <v>272</v>
      </c>
      <c r="Q40" s="3753" cm="1">
        <f t="array" aca="1" ref="Q40" ca="1">INDIRECT("'※ 인력 세부데이터'!"&amp;Q$1&amp;$W41, TRUE)</f>
        <v>270</v>
      </c>
      <c r="R40" s="3754" cm="1">
        <f t="array" aca="1" ref="R40" ca="1">INDIRECT("'※ 인력 세부데이터'!"&amp;R$1&amp;$W41, TRUE)</f>
        <v>0.12272727272727273</v>
      </c>
      <c r="S40" s="3755" cm="1">
        <f t="array" aca="1" ref="S40" ca="1">INDIRECT("'※ 인력 세부데이터'!"&amp;S$1&amp;$W41, TRUE)</f>
        <v>91</v>
      </c>
      <c r="T40" s="3756" cm="1">
        <f t="array" aca="1" ref="T40" ca="1">INDIRECT("'※ 인력 세부데이터'!"&amp;T$1&amp;$W41, TRUE)</f>
        <v>0.33703703703703702</v>
      </c>
      <c r="U40" s="3757" cm="1">
        <f t="array" aca="1" ref="U40" ca="1">INDIRECT("'※ 인력 세부데이터'!"&amp;U$1&amp;$W41, TRUE)</f>
        <v>36.329629629629629</v>
      </c>
      <c r="V40" s="3758" cm="1">
        <f t="array" aca="1" ref="V40" ca="1">INDIRECT("'※ 인력 세부데이터'!"&amp;V$1&amp;$W41, TRUE)</f>
        <v>7.1625976661593072</v>
      </c>
      <c r="W40" s="3693">
        <f>ROW('※ 인력 세부데이터'!J36)</f>
        <v>36</v>
      </c>
      <c r="X40" s="3694"/>
    </row>
    <row r="41" spans="1:25" x14ac:dyDescent="0.55000000000000004">
      <c r="A41" s="7180"/>
      <c r="B41" s="3723"/>
      <c r="C41" s="3033" t="s">
        <v>220</v>
      </c>
      <c r="D41" s="3717" cm="1">
        <f t="array" aca="1" ref="D41" ca="1">INDIRECT("'※ 인력 세부데이터'!"&amp;D$1&amp;$W42, TRUE)</f>
        <v>60.083333333333336</v>
      </c>
      <c r="E41" s="3718" cm="1">
        <f t="array" aca="1" ref="E41" ca="1">INDIRECT("'※ 인력 세부데이터'!"&amp;E$1&amp;$W42, TRUE)</f>
        <v>31.666666666666668</v>
      </c>
      <c r="F41" s="3699" cm="1">
        <f t="array" aca="1" ref="F41" ca="1">INDIRECT("'※ 인력 세부데이터'!"&amp;F$1&amp;$W42, TRUE)</f>
        <v>36</v>
      </c>
      <c r="G41" s="3700" cm="1">
        <f t="array" aca="1" ref="G41" ca="1">INDIRECT("'※ 인력 세부데이터'!"&amp;G$1&amp;$W42, TRUE)</f>
        <v>38</v>
      </c>
      <c r="H41" s="3700" cm="1">
        <f t="array" aca="1" ref="H41" ca="1">INDIRECT("'※ 인력 세부데이터'!"&amp;H$1&amp;$W42, TRUE)</f>
        <v>37</v>
      </c>
      <c r="I41" s="3700" cm="1">
        <f t="array" aca="1" ref="I41" ca="1">INDIRECT("'※ 인력 세부데이터'!"&amp;I$1&amp;$W42, TRUE)</f>
        <v>38</v>
      </c>
      <c r="J41" s="3700" cm="1">
        <f t="array" aca="1" ref="J41" ca="1">INDIRECT("'※ 인력 세부데이터'!"&amp;J$1&amp;$W42, TRUE)</f>
        <v>38</v>
      </c>
      <c r="K41" s="3700" cm="1">
        <f t="array" aca="1" ref="K41" ca="1">INDIRECT("'※ 인력 세부데이터'!"&amp;K$1&amp;$W42, TRUE)</f>
        <v>38</v>
      </c>
      <c r="L41" s="3700" cm="1">
        <f t="array" aca="1" ref="L41" ca="1">INDIRECT("'※ 인력 세부데이터'!"&amp;L$1&amp;$W42, TRUE)</f>
        <v>34</v>
      </c>
      <c r="M41" s="3700" cm="1">
        <f t="array" aca="1" ref="M41" ca="1">INDIRECT("'※ 인력 세부데이터'!"&amp;M$1&amp;$W42, TRUE)</f>
        <v>34</v>
      </c>
      <c r="N41" s="3700" cm="1">
        <f t="array" aca="1" ref="N41" ca="1">INDIRECT("'※ 인력 세부데이터'!"&amp;N$1&amp;$W42, TRUE)</f>
        <v>33</v>
      </c>
      <c r="O41" s="3700" cm="1">
        <f t="array" aca="1" ref="O41" ca="1">INDIRECT("'※ 인력 세부데이터'!"&amp;O$1&amp;$W42, TRUE)</f>
        <v>34</v>
      </c>
      <c r="P41" s="3700" cm="1">
        <f t="array" aca="1" ref="P41" ca="1">INDIRECT("'※ 인력 세부데이터'!"&amp;P$1&amp;$W42, TRUE)</f>
        <v>34</v>
      </c>
      <c r="Q41" s="3700" cm="1">
        <f t="array" aca="1" ref="Q41" ca="1">INDIRECT("'※ 인력 세부데이터'!"&amp;Q$1&amp;$W42, TRUE)</f>
        <v>33</v>
      </c>
      <c r="R41" s="3701" cm="1">
        <f t="array" aca="1" ref="R41" ca="1">INDIRECT("'※ 인력 세부데이터'!"&amp;R$1&amp;$W42, TRUE)</f>
        <v>0.12222222222222222</v>
      </c>
      <c r="S41" s="3719" cm="1">
        <f t="array" aca="1" ref="S41" ca="1">INDIRECT("'※ 인력 세부데이터'!"&amp;S$1&amp;$W42, TRUE)</f>
        <v>10</v>
      </c>
      <c r="T41" s="3720" cm="1">
        <f t="array" aca="1" ref="T41" ca="1">INDIRECT("'※ 인력 세부데이터'!"&amp;T$1&amp;$W42, TRUE)</f>
        <v>0.30303030303030304</v>
      </c>
      <c r="U41" s="3721" cm="1">
        <f t="array" aca="1" ref="U41" ca="1">INDIRECT("'※ 인력 세부데이터'!"&amp;U$1&amp;$W42, TRUE)</f>
        <v>41.878787878787875</v>
      </c>
      <c r="V41" s="3722" cm="1">
        <f t="array" aca="1" ref="V41" ca="1">INDIRECT("'※ 인력 세부데이터'!"&amp;V$1&amp;$W42, TRUE)</f>
        <v>12.462515566625157</v>
      </c>
      <c r="W41" s="3693">
        <f>ROW('※ 인력 세부데이터'!J37)</f>
        <v>37</v>
      </c>
      <c r="X41" s="3694"/>
    </row>
    <row r="42" spans="1:25" x14ac:dyDescent="0.55000000000000004">
      <c r="A42" s="7180"/>
      <c r="B42" s="3723"/>
      <c r="C42" s="3033" t="s">
        <v>1019</v>
      </c>
      <c r="D42" s="3717" cm="1">
        <f t="array" aca="1" ref="D42" ca="1">INDIRECT("'※ 인력 세부데이터'!"&amp;D$1&amp;$W43, TRUE)</f>
        <v>34.916666666666664</v>
      </c>
      <c r="E42" s="3718" cm="1">
        <f t="array" aca="1" ref="E42" ca="1">INDIRECT("'※ 인력 세부데이터'!"&amp;E$1&amp;$W43, TRUE)</f>
        <v>15</v>
      </c>
      <c r="F42" s="3699" cm="1">
        <f t="array" aca="1" ref="F42" ca="1">INDIRECT("'※ 인력 세부데이터'!"&amp;F$1&amp;$W43, TRUE)</f>
        <v>15</v>
      </c>
      <c r="G42" s="3700" cm="1">
        <f t="array" aca="1" ref="G42" ca="1">INDIRECT("'※ 인력 세부데이터'!"&amp;G$1&amp;$W43, TRUE)</f>
        <v>12</v>
      </c>
      <c r="H42" s="3700" cm="1">
        <f t="array" aca="1" ref="H42" ca="1">INDIRECT("'※ 인력 세부데이터'!"&amp;H$1&amp;$W43, TRUE)</f>
        <v>13</v>
      </c>
      <c r="I42" s="3700" cm="1">
        <f t="array" aca="1" ref="I42" ca="1">INDIRECT("'※ 인력 세부데이터'!"&amp;I$1&amp;$W43, TRUE)</f>
        <v>13</v>
      </c>
      <c r="J42" s="3700" cm="1">
        <f t="array" aca="1" ref="J42" ca="1">INDIRECT("'※ 인력 세부데이터'!"&amp;J$1&amp;$W43, TRUE)</f>
        <v>12</v>
      </c>
      <c r="K42" s="3700" cm="1">
        <f t="array" aca="1" ref="K42" ca="1">INDIRECT("'※ 인력 세부데이터'!"&amp;K$1&amp;$W43, TRUE)</f>
        <v>12</v>
      </c>
      <c r="L42" s="3700" cm="1">
        <f t="array" aca="1" ref="L42" ca="1">INDIRECT("'※ 인력 세부데이터'!"&amp;L$1&amp;$W43, TRUE)</f>
        <v>14</v>
      </c>
      <c r="M42" s="3700" cm="1">
        <f t="array" aca="1" ref="M42" ca="1">INDIRECT("'※ 인력 세부데이터'!"&amp;M$1&amp;$W43, TRUE)</f>
        <v>12</v>
      </c>
      <c r="N42" s="3700" cm="1">
        <f t="array" aca="1" ref="N42" ca="1">INDIRECT("'※ 인력 세부데이터'!"&amp;N$1&amp;$W43, TRUE)</f>
        <v>12</v>
      </c>
      <c r="O42" s="3700" cm="1">
        <f t="array" aca="1" ref="O42" ca="1">INDIRECT("'※ 인력 세부데이터'!"&amp;O$1&amp;$W43, TRUE)</f>
        <v>12</v>
      </c>
      <c r="P42" s="3700" cm="1">
        <f t="array" aca="1" ref="P42" ca="1">INDIRECT("'※ 인력 세부데이터'!"&amp;P$1&amp;$W43, TRUE)</f>
        <v>12</v>
      </c>
      <c r="Q42" s="3700" cm="1">
        <f t="array" aca="1" ref="Q42" ca="1">INDIRECT("'※ 인력 세부데이터'!"&amp;Q$1&amp;$W43, TRUE)</f>
        <v>8</v>
      </c>
      <c r="R42" s="3701" cm="1">
        <f t="array" aca="1" ref="R42" ca="1">INDIRECT("'※ 인력 세부데이터'!"&amp;R$1&amp;$W43, TRUE)</f>
        <v>2.9629629629629631E-2</v>
      </c>
      <c r="S42" s="3719" cm="1">
        <f t="array" aca="1" ref="S42" ca="1">INDIRECT("'※ 인력 세부데이터'!"&amp;S$1&amp;$W43, TRUE)</f>
        <v>0</v>
      </c>
      <c r="T42" s="3720" cm="1">
        <f t="array" aca="1" ref="T42" ca="1">INDIRECT("'※ 인력 세부데이터'!"&amp;T$1&amp;$W43, TRUE)</f>
        <v>0</v>
      </c>
      <c r="U42" s="3721" cm="1">
        <f t="array" aca="1" ref="U42" ca="1">INDIRECT("'※ 인력 세부데이터'!"&amp;U$1&amp;$W43, TRUE)</f>
        <v>45.25</v>
      </c>
      <c r="V42" s="3722" cm="1">
        <f t="array" aca="1" ref="V42" ca="1">INDIRECT("'※ 인력 세부데이터'!"&amp;V$1&amp;$W43, TRUE)</f>
        <v>8.2332191780821926</v>
      </c>
      <c r="W42" s="3693">
        <f>ROW('※ 인력 세부데이터'!J38)</f>
        <v>38</v>
      </c>
      <c r="X42" s="3694"/>
    </row>
    <row r="43" spans="1:25" x14ac:dyDescent="0.55000000000000004">
      <c r="A43" s="7180"/>
      <c r="B43" s="3723"/>
      <c r="C43" s="3033" t="s">
        <v>19</v>
      </c>
      <c r="D43" s="3717" cm="1">
        <f t="array" aca="1" ref="D43" ca="1">INDIRECT("'※ 인력 세부데이터'!"&amp;D$1&amp;$W44, TRUE)</f>
        <v>378.16666666666669</v>
      </c>
      <c r="E43" s="3718" cm="1">
        <f t="array" aca="1" ref="E43" ca="1">INDIRECT("'※ 인력 세부데이터'!"&amp;E$1&amp;$W44, TRUE)</f>
        <v>183.75</v>
      </c>
      <c r="F43" s="3699" cm="1">
        <f t="array" aca="1" ref="F43" ca="1">INDIRECT("'※ 인력 세부데이터'!"&amp;F$1&amp;$W44, TRUE)</f>
        <v>184</v>
      </c>
      <c r="G43" s="3700" cm="1">
        <f t="array" aca="1" ref="G43" ca="1">INDIRECT("'※ 인력 세부데이터'!"&amp;G$1&amp;$W44, TRUE)</f>
        <v>181</v>
      </c>
      <c r="H43" s="3700" cm="1">
        <f t="array" aca="1" ref="H43" ca="1">INDIRECT("'※ 인력 세부데이터'!"&amp;H$1&amp;$W44, TRUE)</f>
        <v>186</v>
      </c>
      <c r="I43" s="3700" cm="1">
        <f t="array" aca="1" ref="I43" ca="1">INDIRECT("'※ 인력 세부데이터'!"&amp;I$1&amp;$W44, TRUE)</f>
        <v>181</v>
      </c>
      <c r="J43" s="3700" cm="1">
        <f t="array" aca="1" ref="J43" ca="1">INDIRECT("'※ 인력 세부데이터'!"&amp;J$1&amp;$W44, TRUE)</f>
        <v>179</v>
      </c>
      <c r="K43" s="3700" cm="1">
        <f t="array" aca="1" ref="K43" ca="1">INDIRECT("'※ 인력 세부데이터'!"&amp;K$1&amp;$W44, TRUE)</f>
        <v>178</v>
      </c>
      <c r="L43" s="3700" cm="1">
        <f t="array" aca="1" ref="L43" ca="1">INDIRECT("'※ 인력 세부데이터'!"&amp;L$1&amp;$W44, TRUE)</f>
        <v>172</v>
      </c>
      <c r="M43" s="3700" cm="1">
        <f t="array" aca="1" ref="M43" ca="1">INDIRECT("'※ 인력 세부데이터'!"&amp;M$1&amp;$W44, TRUE)</f>
        <v>178</v>
      </c>
      <c r="N43" s="3700" cm="1">
        <f t="array" aca="1" ref="N43" ca="1">INDIRECT("'※ 인력 세부데이터'!"&amp;N$1&amp;$W44, TRUE)</f>
        <v>178</v>
      </c>
      <c r="O43" s="3700" cm="1">
        <f t="array" aca="1" ref="O43" ca="1">INDIRECT("'※ 인력 세부데이터'!"&amp;O$1&amp;$W44, TRUE)</f>
        <v>179</v>
      </c>
      <c r="P43" s="3700" cm="1">
        <f t="array" aca="1" ref="P43" ca="1">INDIRECT("'※ 인력 세부데이터'!"&amp;P$1&amp;$W44, TRUE)</f>
        <v>181</v>
      </c>
      <c r="Q43" s="3700" cm="1">
        <f t="array" aca="1" ref="Q43" ca="1">INDIRECT("'※ 인력 세부데이터'!"&amp;Q$1&amp;$W44, TRUE)</f>
        <v>184</v>
      </c>
      <c r="R43" s="3701" cm="1">
        <f t="array" aca="1" ref="R43" ca="1">INDIRECT("'※ 인력 세부데이터'!"&amp;R$1&amp;$W44, TRUE)</f>
        <v>0.68148148148148147</v>
      </c>
      <c r="S43" s="3719" cm="1">
        <f t="array" aca="1" ref="S43" ca="1">INDIRECT("'※ 인력 세부데이터'!"&amp;S$1&amp;$W44, TRUE)</f>
        <v>61</v>
      </c>
      <c r="T43" s="3720" cm="1">
        <f t="array" aca="1" ref="T43" ca="1">INDIRECT("'※ 인력 세부데이터'!"&amp;T$1&amp;$W44, TRUE)</f>
        <v>0.33152173913043476</v>
      </c>
      <c r="U43" s="3721" cm="1">
        <f t="array" aca="1" ref="U43" ca="1">INDIRECT("'※ 인력 세부데이터'!"&amp;U$1&amp;$W44, TRUE)</f>
        <v>35.288043478260867</v>
      </c>
      <c r="V43" s="3722" cm="1">
        <f t="array" aca="1" ref="V43" ca="1">INDIRECT("'※ 인력 세부데이터'!"&amp;V$1&amp;$W44, TRUE)</f>
        <v>6.3304496724240593</v>
      </c>
      <c r="W43" s="3693">
        <f>ROW('※ 인력 세부데이터'!J39)</f>
        <v>39</v>
      </c>
      <c r="X43" s="3694"/>
    </row>
    <row r="44" spans="1:25" x14ac:dyDescent="0.55000000000000004">
      <c r="A44" s="7180"/>
      <c r="B44" s="3723"/>
      <c r="C44" s="3033" t="s">
        <v>20</v>
      </c>
      <c r="D44" s="3717" cm="1">
        <f t="array" aca="1" ref="D44" ca="1">INDIRECT("'※ 인력 세부데이터'!"&amp;D$1&amp;$W45, TRUE)</f>
        <v>87.916666666666671</v>
      </c>
      <c r="E44" s="3718" cm="1">
        <f t="array" aca="1" ref="E44" ca="1">INDIRECT("'※ 인력 세부데이터'!"&amp;E$1&amp;$W45, TRUE)</f>
        <v>46.333333333333336</v>
      </c>
      <c r="F44" s="3699" cm="1">
        <f t="array" aca="1" ref="F44" ca="1">INDIRECT("'※ 인력 세부데이터'!"&amp;F$1&amp;$W45, TRUE)</f>
        <v>48</v>
      </c>
      <c r="G44" s="3700" cm="1">
        <f t="array" aca="1" ref="G44" ca="1">INDIRECT("'※ 인력 세부데이터'!"&amp;G$1&amp;$W45, TRUE)</f>
        <v>49</v>
      </c>
      <c r="H44" s="3700" cm="1">
        <f t="array" aca="1" ref="H44" ca="1">INDIRECT("'※ 인력 세부데이터'!"&amp;H$1&amp;$W45, TRUE)</f>
        <v>50</v>
      </c>
      <c r="I44" s="3700" cm="1">
        <f t="array" aca="1" ref="I44" ca="1">INDIRECT("'※ 인력 세부데이터'!"&amp;I$1&amp;$W45, TRUE)</f>
        <v>46</v>
      </c>
      <c r="J44" s="3700" cm="1">
        <f t="array" aca="1" ref="J44" ca="1">INDIRECT("'※ 인력 세부데이터'!"&amp;J$1&amp;$W45, TRUE)</f>
        <v>45</v>
      </c>
      <c r="K44" s="3700" cm="1">
        <f t="array" aca="1" ref="K44" ca="1">INDIRECT("'※ 인력 세부데이터'!"&amp;K$1&amp;$W45, TRUE)</f>
        <v>45</v>
      </c>
      <c r="L44" s="3700" cm="1">
        <f t="array" aca="1" ref="L44" ca="1">INDIRECT("'※ 인력 세부데이터'!"&amp;L$1&amp;$W45, TRUE)</f>
        <v>46</v>
      </c>
      <c r="M44" s="3700" cm="1">
        <f t="array" aca="1" ref="M44" ca="1">INDIRECT("'※ 인력 세부데이터'!"&amp;M$1&amp;$W45, TRUE)</f>
        <v>48</v>
      </c>
      <c r="N44" s="3700" cm="1">
        <f t="array" aca="1" ref="N44" ca="1">INDIRECT("'※ 인력 세부데이터'!"&amp;N$1&amp;$W45, TRUE)</f>
        <v>43</v>
      </c>
      <c r="O44" s="3700" cm="1">
        <f t="array" aca="1" ref="O44" ca="1">INDIRECT("'※ 인력 세부데이터'!"&amp;O$1&amp;$W45, TRUE)</f>
        <v>44</v>
      </c>
      <c r="P44" s="3700" cm="1">
        <f t="array" aca="1" ref="P44" ca="1">INDIRECT("'※ 인력 세부데이터'!"&amp;P$1&amp;$W45, TRUE)</f>
        <v>45</v>
      </c>
      <c r="Q44" s="3700" cm="1">
        <f t="array" aca="1" ref="Q44" ca="1">INDIRECT("'※ 인력 세부데이터'!"&amp;Q$1&amp;$W45, TRUE)</f>
        <v>45</v>
      </c>
      <c r="R44" s="3701" cm="1">
        <f t="array" aca="1" ref="R44" ca="1">INDIRECT("'※ 인력 세부데이터'!"&amp;R$1&amp;$W45, TRUE)</f>
        <v>0.16666666666666666</v>
      </c>
      <c r="S44" s="3719" cm="1">
        <f t="array" aca="1" ref="S44" ca="1">INDIRECT("'※ 인력 세부데이터'!"&amp;S$1&amp;$W45, TRUE)</f>
        <v>20</v>
      </c>
      <c r="T44" s="3720" cm="1">
        <f t="array" aca="1" ref="T44" ca="1">INDIRECT("'※ 인력 세부데이터'!"&amp;T$1&amp;$W45, TRUE)</f>
        <v>0.44444444444444442</v>
      </c>
      <c r="U44" s="3721" cm="1">
        <f t="array" aca="1" ref="U44" ca="1">INDIRECT("'※ 인력 세부데이터'!"&amp;U$1&amp;$W45, TRUE)</f>
        <v>34.93333333333333</v>
      </c>
      <c r="V44" s="3722" cm="1">
        <f t="array" aca="1" ref="V44" ca="1">INDIRECT("'※ 인력 세부데이터'!"&amp;V$1&amp;$W45, TRUE)</f>
        <v>6.4882191780821916</v>
      </c>
      <c r="W44" s="3693">
        <f>ROW('※ 인력 세부데이터'!J40)</f>
        <v>40</v>
      </c>
      <c r="X44" s="3694"/>
    </row>
    <row r="45" spans="1:25" x14ac:dyDescent="0.55000000000000004">
      <c r="A45" s="7180"/>
      <c r="B45" s="3759"/>
      <c r="C45" s="2655" t="s">
        <v>206</v>
      </c>
      <c r="D45" s="3760" cm="1">
        <f t="array" aca="1" ref="D45" ca="1">INDIRECT("'※ 인력 세부데이터'!"&amp;D$1&amp;$W46, TRUE)</f>
        <v>28.5</v>
      </c>
      <c r="E45" s="3761" cm="1">
        <f t="array" aca="1" ref="E45" ca="1">INDIRECT("'※ 인력 세부데이터'!"&amp;E$1&amp;$W46, TRUE)</f>
        <v>334.91666666666669</v>
      </c>
      <c r="F45" s="3762" cm="1">
        <f t="array" aca="1" ref="F45" ca="1">INDIRECT("'※ 인력 세부데이터'!"&amp;F$1&amp;$W46, TRUE)</f>
        <v>348</v>
      </c>
      <c r="G45" s="3763" cm="1">
        <f t="array" aca="1" ref="G45" ca="1">INDIRECT("'※ 인력 세부데이터'!"&amp;G$1&amp;$W46, TRUE)</f>
        <v>343</v>
      </c>
      <c r="H45" s="3763" cm="1">
        <f t="array" aca="1" ref="H45" ca="1">INDIRECT("'※ 인력 세부데이터'!"&amp;H$1&amp;$W46, TRUE)</f>
        <v>342</v>
      </c>
      <c r="I45" s="3763" cm="1">
        <f t="array" aca="1" ref="I45" ca="1">INDIRECT("'※ 인력 세부데이터'!"&amp;I$1&amp;$W46, TRUE)</f>
        <v>341</v>
      </c>
      <c r="J45" s="3763" cm="1">
        <f t="array" aca="1" ref="J45" ca="1">INDIRECT("'※ 인력 세부데이터'!"&amp;J$1&amp;$W46, TRUE)</f>
        <v>338</v>
      </c>
      <c r="K45" s="3763" cm="1">
        <f t="array" aca="1" ref="K45" ca="1">INDIRECT("'※ 인력 세부데이터'!"&amp;K$1&amp;$W46, TRUE)</f>
        <v>332</v>
      </c>
      <c r="L45" s="3763" cm="1">
        <f t="array" aca="1" ref="L45" ca="1">INDIRECT("'※ 인력 세부데이터'!"&amp;L$1&amp;$W46, TRUE)</f>
        <v>333</v>
      </c>
      <c r="M45" s="3763" cm="1">
        <f t="array" aca="1" ref="M45" ca="1">INDIRECT("'※ 인력 세부데이터'!"&amp;M$1&amp;$W46, TRUE)</f>
        <v>325</v>
      </c>
      <c r="N45" s="3763" cm="1">
        <f t="array" aca="1" ref="N45" ca="1">INDIRECT("'※ 인력 세부데이터'!"&amp;N$1&amp;$W46, TRUE)</f>
        <v>325</v>
      </c>
      <c r="O45" s="3763" cm="1">
        <f t="array" aca="1" ref="O45" ca="1">INDIRECT("'※ 인력 세부데이터'!"&amp;O$1&amp;$W46, TRUE)</f>
        <v>319</v>
      </c>
      <c r="P45" s="3763" cm="1">
        <f t="array" aca="1" ref="P45" ca="1">INDIRECT("'※ 인력 세부데이터'!"&amp;P$1&amp;$W46, TRUE)</f>
        <v>312</v>
      </c>
      <c r="Q45" s="3763" cm="1">
        <f t="array" aca="1" ref="Q45" ca="1">INDIRECT("'※ 인력 세부데이터'!"&amp;Q$1&amp;$W46, TRUE)</f>
        <v>316</v>
      </c>
      <c r="R45" s="3764" cm="1">
        <f t="array" aca="1" ref="R45" ca="1">INDIRECT("'※ 인력 세부데이터'!"&amp;R$1&amp;$W46, TRUE)</f>
        <v>0.14363636363636365</v>
      </c>
      <c r="S45" s="3765" cm="1">
        <f t="array" aca="1" ref="S45" ca="1">INDIRECT("'※ 인력 세부데이터'!"&amp;S$1&amp;$W46, TRUE)</f>
        <v>104</v>
      </c>
      <c r="T45" s="3766" cm="1">
        <f t="array" aca="1" ref="T45" ca="1">INDIRECT("'※ 인력 세부데이터'!"&amp;T$1&amp;$W46, TRUE)</f>
        <v>0.32911392405063289</v>
      </c>
      <c r="U45" s="3767" cm="1">
        <f t="array" aca="1" ref="U45" ca="1">INDIRECT("'※ 인력 세부데이터'!"&amp;U$1&amp;$W46, TRUE)</f>
        <v>33.62341772151899</v>
      </c>
      <c r="V45" s="3768" cm="1">
        <f t="array" aca="1" ref="V45" ca="1">INDIRECT("'※ 인력 세부데이터'!"&amp;V$1&amp;$W46, TRUE)</f>
        <v>5.8116958557308829</v>
      </c>
      <c r="W45" s="3769">
        <f>ROW('※ 인력 세부데이터'!J41)</f>
        <v>41</v>
      </c>
      <c r="X45" s="3770"/>
      <c r="Y45" s="2682"/>
    </row>
    <row r="46" spans="1:25" x14ac:dyDescent="0.55000000000000004">
      <c r="A46" s="7180"/>
      <c r="B46" s="3759"/>
      <c r="C46" s="2639" t="s">
        <v>220</v>
      </c>
      <c r="D46" s="3771" cm="1">
        <f t="array" aca="1" ref="D46" ca="1">INDIRECT("'※ 인력 세부데이터'!"&amp;D$1&amp;$W47, TRUE)</f>
        <v>32</v>
      </c>
      <c r="E46" s="3772" cm="1">
        <f t="array" aca="1" ref="E46" ca="1">INDIRECT("'※ 인력 세부데이터'!"&amp;E$1&amp;$W47, TRUE)</f>
        <v>35</v>
      </c>
      <c r="F46" s="3773" cm="1">
        <f t="array" aca="1" ref="F46" ca="1">INDIRECT("'※ 인력 세부데이터'!"&amp;F$1&amp;$W47, TRUE)</f>
        <v>38</v>
      </c>
      <c r="G46" s="3774" cm="1">
        <f t="array" aca="1" ref="G46" ca="1">INDIRECT("'※ 인력 세부데이터'!"&amp;G$1&amp;$W47, TRUE)</f>
        <v>38</v>
      </c>
      <c r="H46" s="3774" cm="1">
        <f t="array" aca="1" ref="H46" ca="1">INDIRECT("'※ 인력 세부데이터'!"&amp;H$1&amp;$W47, TRUE)</f>
        <v>37</v>
      </c>
      <c r="I46" s="3774" cm="1">
        <f t="array" aca="1" ref="I46" ca="1">INDIRECT("'※ 인력 세부데이터'!"&amp;I$1&amp;$W47, TRUE)</f>
        <v>38</v>
      </c>
      <c r="J46" s="3774" cm="1">
        <f t="array" aca="1" ref="J46" ca="1">INDIRECT("'※ 인력 세부데이터'!"&amp;J$1&amp;$W47, TRUE)</f>
        <v>37</v>
      </c>
      <c r="K46" s="3774" cm="1">
        <f t="array" aca="1" ref="K46" ca="1">INDIRECT("'※ 인력 세부데이터'!"&amp;K$1&amp;$W47, TRUE)</f>
        <v>37</v>
      </c>
      <c r="L46" s="3774" cm="1">
        <f t="array" aca="1" ref="L46" ca="1">INDIRECT("'※ 인력 세부데이터'!"&amp;L$1&amp;$W47, TRUE)</f>
        <v>35</v>
      </c>
      <c r="M46" s="3774" cm="1">
        <f t="array" aca="1" ref="M46" ca="1">INDIRECT("'※ 인력 세부데이터'!"&amp;M$1&amp;$W47, TRUE)</f>
        <v>35</v>
      </c>
      <c r="N46" s="3774" cm="1">
        <f t="array" aca="1" ref="N46" ca="1">INDIRECT("'※ 인력 세부데이터'!"&amp;N$1&amp;$W47, TRUE)</f>
        <v>34</v>
      </c>
      <c r="O46" s="3774" cm="1">
        <f t="array" aca="1" ref="O46" ca="1">INDIRECT("'※ 인력 세부데이터'!"&amp;O$1&amp;$W47, TRUE)</f>
        <v>36</v>
      </c>
      <c r="P46" s="3774" cm="1">
        <f t="array" aca="1" ref="P46" ca="1">INDIRECT("'※ 인력 세부데이터'!"&amp;P$1&amp;$W47, TRUE)</f>
        <v>35</v>
      </c>
      <c r="Q46" s="3774" cm="1">
        <f t="array" aca="1" ref="Q46" ca="1">INDIRECT("'※ 인력 세부데이터'!"&amp;Q$1&amp;$W47, TRUE)</f>
        <v>34</v>
      </c>
      <c r="R46" s="3775" cm="1">
        <f t="array" aca="1" ref="R46" ca="1">INDIRECT("'※ 인력 세부데이터'!"&amp;R$1&amp;$W47, TRUE)</f>
        <v>0.10759493670886076</v>
      </c>
      <c r="S46" s="3776" cm="1">
        <f t="array" aca="1" ref="S46" ca="1">INDIRECT("'※ 인력 세부데이터'!"&amp;S$1&amp;$W47, TRUE)</f>
        <v>13</v>
      </c>
      <c r="T46" s="3777" cm="1">
        <f t="array" aca="1" ref="T46" ca="1">INDIRECT("'※ 인력 세부데이터'!"&amp;T$1&amp;$W47, TRUE)</f>
        <v>0.38235294117647056</v>
      </c>
      <c r="U46" s="3778" cm="1">
        <f t="array" aca="1" ref="U46" ca="1">INDIRECT("'※ 인력 세부데이터'!"&amp;U$1&amp;$W47, TRUE)</f>
        <v>40.235294117647058</v>
      </c>
      <c r="V46" s="3779" cm="1">
        <f t="array" aca="1" ref="V46" ca="1">INDIRECT("'※ 인력 세부데이터'!"&amp;V$1&amp;$W47, TRUE)</f>
        <v>12.953505237711521</v>
      </c>
      <c r="W46" s="3769">
        <f>ROW('※ 인력 세부데이터'!J42)</f>
        <v>42</v>
      </c>
      <c r="X46" s="3770"/>
      <c r="Y46" s="2682"/>
    </row>
    <row r="47" spans="1:25" x14ac:dyDescent="0.55000000000000004">
      <c r="A47" s="7180"/>
      <c r="B47" s="3759"/>
      <c r="C47" s="2639" t="s">
        <v>1019</v>
      </c>
      <c r="D47" s="3771" cm="1">
        <f t="array" aca="1" ref="D47" ca="1">INDIRECT("'※ 인력 세부데이터'!"&amp;D$1&amp;$W48, TRUE)</f>
        <v>23</v>
      </c>
      <c r="E47" s="3772" cm="1">
        <f t="array" aca="1" ref="E47" ca="1">INDIRECT("'※ 인력 세부데이터'!"&amp;E$1&amp;$W48, TRUE)</f>
        <v>20.083333333333332</v>
      </c>
      <c r="F47" s="3773" cm="1">
        <f t="array" aca="1" ref="F47" ca="1">INDIRECT("'※ 인력 세부데이터'!"&amp;F$1&amp;$W48, TRUE)</f>
        <v>21</v>
      </c>
      <c r="G47" s="3774" cm="1">
        <f t="array" aca="1" ref="G47" ca="1">INDIRECT("'※ 인력 세부데이터'!"&amp;G$1&amp;$W48, TRUE)</f>
        <v>21</v>
      </c>
      <c r="H47" s="3774" cm="1">
        <f t="array" aca="1" ref="H47" ca="1">INDIRECT("'※ 인력 세부데이터'!"&amp;H$1&amp;$W48, TRUE)</f>
        <v>20</v>
      </c>
      <c r="I47" s="3774" cm="1">
        <f t="array" aca="1" ref="I47" ca="1">INDIRECT("'※ 인력 세부데이터'!"&amp;I$1&amp;$W48, TRUE)</f>
        <v>18</v>
      </c>
      <c r="J47" s="3774" cm="1">
        <f t="array" aca="1" ref="J47" ca="1">INDIRECT("'※ 인력 세부데이터'!"&amp;J$1&amp;$W48, TRUE)</f>
        <v>18</v>
      </c>
      <c r="K47" s="3774" cm="1">
        <f t="array" aca="1" ref="K47" ca="1">INDIRECT("'※ 인력 세부데이터'!"&amp;K$1&amp;$W48, TRUE)</f>
        <v>18</v>
      </c>
      <c r="L47" s="3774" cm="1">
        <f t="array" aca="1" ref="L47" ca="1">INDIRECT("'※ 인력 세부데이터'!"&amp;L$1&amp;$W48, TRUE)</f>
        <v>19</v>
      </c>
      <c r="M47" s="3774" cm="1">
        <f t="array" aca="1" ref="M47" ca="1">INDIRECT("'※ 인력 세부데이터'!"&amp;M$1&amp;$W48, TRUE)</f>
        <v>19</v>
      </c>
      <c r="N47" s="3774" cm="1">
        <f t="array" aca="1" ref="N47" ca="1">INDIRECT("'※ 인력 세부데이터'!"&amp;N$1&amp;$W48, TRUE)</f>
        <v>17</v>
      </c>
      <c r="O47" s="3774" cm="1">
        <f t="array" aca="1" ref="O47" ca="1">INDIRECT("'※ 인력 세부데이터'!"&amp;O$1&amp;$W48, TRUE)</f>
        <v>16</v>
      </c>
      <c r="P47" s="3774" cm="1">
        <f t="array" aca="1" ref="P47" ca="1">INDIRECT("'※ 인력 세부데이터'!"&amp;P$1&amp;$W48, TRUE)</f>
        <v>14</v>
      </c>
      <c r="Q47" s="3774" cm="1">
        <f t="array" aca="1" ref="Q47" ca="1">INDIRECT("'※ 인력 세부데이터'!"&amp;Q$1&amp;$W48, TRUE)</f>
        <v>9</v>
      </c>
      <c r="R47" s="3775" cm="1">
        <f t="array" aca="1" ref="R47" ca="1">INDIRECT("'※ 인력 세부데이터'!"&amp;R$1&amp;$W48, TRUE)</f>
        <v>2.8481012658227847E-2</v>
      </c>
      <c r="S47" s="3776" cm="1">
        <f t="array" aca="1" ref="S47" ca="1">INDIRECT("'※ 인력 세부데이터'!"&amp;S$1&amp;$W48, TRUE)</f>
        <v>0</v>
      </c>
      <c r="T47" s="3777" cm="1">
        <f t="array" aca="1" ref="T47" ca="1">INDIRECT("'※ 인력 세부데이터'!"&amp;T$1&amp;$W48, TRUE)</f>
        <v>0</v>
      </c>
      <c r="U47" s="3778" cm="1">
        <f t="array" aca="1" ref="U47" ca="1">INDIRECT("'※ 인력 세부데이터'!"&amp;U$1&amp;$W48, TRUE)</f>
        <v>37.111111111111114</v>
      </c>
      <c r="V47" s="3779" cm="1">
        <f t="array" aca="1" ref="V47" ca="1">INDIRECT("'※ 인력 세부데이터'!"&amp;V$1&amp;$W48, TRUE)</f>
        <v>3.4337899543378994</v>
      </c>
      <c r="W47" s="3769">
        <f>ROW('※ 인력 세부데이터'!J43)</f>
        <v>43</v>
      </c>
      <c r="X47" s="3770"/>
      <c r="Y47" s="2682"/>
    </row>
    <row r="48" spans="1:25" x14ac:dyDescent="0.55000000000000004">
      <c r="A48" s="7180"/>
      <c r="B48" s="3759"/>
      <c r="C48" s="2639" t="s">
        <v>19</v>
      </c>
      <c r="D48" s="3771" cm="1">
        <f t="array" aca="1" ref="D48" ca="1">INDIRECT("'※ 인력 세부데이터'!"&amp;D$1&amp;$W49, TRUE)</f>
        <v>246</v>
      </c>
      <c r="E48" s="3772" cm="1">
        <f t="array" aca="1" ref="E48" ca="1">INDIRECT("'※ 인력 세부데이터'!"&amp;E$1&amp;$W49, TRUE)</f>
        <v>235.75</v>
      </c>
      <c r="F48" s="3773" cm="1">
        <f t="array" aca="1" ref="F48" ca="1">INDIRECT("'※ 인력 세부데이터'!"&amp;F$1&amp;$W49, TRUE)</f>
        <v>245</v>
      </c>
      <c r="G48" s="3774" cm="1">
        <f t="array" aca="1" ref="G48" ca="1">INDIRECT("'※ 인력 세부데이터'!"&amp;G$1&amp;$W49, TRUE)</f>
        <v>242</v>
      </c>
      <c r="H48" s="3774" cm="1">
        <f t="array" aca="1" ref="H48" ca="1">INDIRECT("'※ 인력 세부데이터'!"&amp;H$1&amp;$W49, TRUE)</f>
        <v>241</v>
      </c>
      <c r="I48" s="3774" cm="1">
        <f t="array" aca="1" ref="I48" ca="1">INDIRECT("'※ 인력 세부데이터'!"&amp;I$1&amp;$W49, TRUE)</f>
        <v>241</v>
      </c>
      <c r="J48" s="3774" cm="1">
        <f t="array" aca="1" ref="J48" ca="1">INDIRECT("'※ 인력 세부데이터'!"&amp;J$1&amp;$W49, TRUE)</f>
        <v>241</v>
      </c>
      <c r="K48" s="3774" cm="1">
        <f t="array" aca="1" ref="K48" ca="1">INDIRECT("'※ 인력 세부데이터'!"&amp;K$1&amp;$W49, TRUE)</f>
        <v>237</v>
      </c>
      <c r="L48" s="3774" cm="1">
        <f t="array" aca="1" ref="L48" ca="1">INDIRECT("'※ 인력 세부데이터'!"&amp;L$1&amp;$W49, TRUE)</f>
        <v>236</v>
      </c>
      <c r="M48" s="3774" cm="1">
        <f t="array" aca="1" ref="M48" ca="1">INDIRECT("'※ 인력 세부데이터'!"&amp;M$1&amp;$W49, TRUE)</f>
        <v>228</v>
      </c>
      <c r="N48" s="3774" cm="1">
        <f t="array" aca="1" ref="N48" ca="1">INDIRECT("'※ 인력 세부데이터'!"&amp;N$1&amp;$W49, TRUE)</f>
        <v>229</v>
      </c>
      <c r="O48" s="3774" cm="1">
        <f t="array" aca="1" ref="O48" ca="1">INDIRECT("'※ 인력 세부데이터'!"&amp;O$1&amp;$W49, TRUE)</f>
        <v>224</v>
      </c>
      <c r="P48" s="3774" cm="1">
        <f t="array" aca="1" ref="P48" ca="1">INDIRECT("'※ 인력 세부데이터'!"&amp;P$1&amp;$W49, TRUE)</f>
        <v>222</v>
      </c>
      <c r="Q48" s="3774" cm="1">
        <f t="array" aca="1" ref="Q48" ca="1">INDIRECT("'※ 인력 세부데이터'!"&amp;Q$1&amp;$W49, TRUE)</f>
        <v>231</v>
      </c>
      <c r="R48" s="3775" cm="1">
        <f t="array" aca="1" ref="R48" ca="1">INDIRECT("'※ 인력 세부데이터'!"&amp;R$1&amp;$W49, TRUE)</f>
        <v>0.73101265822784811</v>
      </c>
      <c r="S48" s="3776" cm="1">
        <f t="array" aca="1" ref="S48" ca="1">INDIRECT("'※ 인력 세부데이터'!"&amp;S$1&amp;$W49, TRUE)</f>
        <v>72</v>
      </c>
      <c r="T48" s="3777" cm="1">
        <f t="array" aca="1" ref="T48" ca="1">INDIRECT("'※ 인력 세부데이터'!"&amp;T$1&amp;$W49, TRUE)</f>
        <v>0.31168831168831168</v>
      </c>
      <c r="U48" s="3778" cm="1">
        <f t="array" aca="1" ref="U48" ca="1">INDIRECT("'※ 인력 세부데이터'!"&amp;U$1&amp;$W49, TRUE)</f>
        <v>32.688311688311686</v>
      </c>
      <c r="V48" s="3779" cm="1">
        <f t="array" aca="1" ref="V48" ca="1">INDIRECT("'※ 인력 세부데이터'!"&amp;V$1&amp;$W49, TRUE)</f>
        <v>4.9486331020577534</v>
      </c>
      <c r="W48" s="3769">
        <f>ROW('※ 인력 세부데이터'!J44)</f>
        <v>44</v>
      </c>
      <c r="X48" s="3770"/>
      <c r="Y48" s="2682"/>
    </row>
    <row r="49" spans="1:25" x14ac:dyDescent="0.55000000000000004">
      <c r="A49" s="7180"/>
      <c r="B49" s="3759"/>
      <c r="C49" s="2639" t="s">
        <v>20</v>
      </c>
      <c r="D49" s="3771" cm="1">
        <f t="array" aca="1" ref="D49" ca="1">INDIRECT("'※ 인력 세부데이터'!"&amp;D$1&amp;$W50, TRUE)</f>
        <v>41</v>
      </c>
      <c r="E49" s="3772" cm="1">
        <f t="array" aca="1" ref="E49" ca="1">INDIRECT("'※ 인력 세부데이터'!"&amp;E$1&amp;$W50, TRUE)</f>
        <v>44.083333333333336</v>
      </c>
      <c r="F49" s="3773" cm="1">
        <f t="array" aca="1" ref="F49" ca="1">INDIRECT("'※ 인력 세부데이터'!"&amp;F$1&amp;$W50, TRUE)</f>
        <v>44</v>
      </c>
      <c r="G49" s="3774" cm="1">
        <f t="array" aca="1" ref="G49" ca="1">INDIRECT("'※ 인력 세부데이터'!"&amp;G$1&amp;$W50, TRUE)</f>
        <v>42</v>
      </c>
      <c r="H49" s="3774" cm="1">
        <f t="array" aca="1" ref="H49" ca="1">INDIRECT("'※ 인력 세부데이터'!"&amp;H$1&amp;$W50, TRUE)</f>
        <v>44</v>
      </c>
      <c r="I49" s="3774" cm="1">
        <f t="array" aca="1" ref="I49" ca="1">INDIRECT("'※ 인력 세부데이터'!"&amp;I$1&amp;$W50, TRUE)</f>
        <v>44</v>
      </c>
      <c r="J49" s="3774" cm="1">
        <f t="array" aca="1" ref="J49" ca="1">INDIRECT("'※ 인력 세부데이터'!"&amp;J$1&amp;$W50, TRUE)</f>
        <v>42</v>
      </c>
      <c r="K49" s="3774" cm="1">
        <f t="array" aca="1" ref="K49" ca="1">INDIRECT("'※ 인력 세부데이터'!"&amp;K$1&amp;$W50, TRUE)</f>
        <v>40</v>
      </c>
      <c r="L49" s="3774" cm="1">
        <f t="array" aca="1" ref="L49" ca="1">INDIRECT("'※ 인력 세부데이터'!"&amp;L$1&amp;$W50, TRUE)</f>
        <v>43</v>
      </c>
      <c r="M49" s="3774" cm="1">
        <f t="array" aca="1" ref="M49" ca="1">INDIRECT("'※ 인력 세부데이터'!"&amp;M$1&amp;$W50, TRUE)</f>
        <v>43</v>
      </c>
      <c r="N49" s="3774" cm="1">
        <f t="array" aca="1" ref="N49" ca="1">INDIRECT("'※ 인력 세부데이터'!"&amp;N$1&amp;$W50, TRUE)</f>
        <v>45</v>
      </c>
      <c r="O49" s="3774" cm="1">
        <f t="array" aca="1" ref="O49" ca="1">INDIRECT("'※ 인력 세부데이터'!"&amp;O$1&amp;$W50, TRUE)</f>
        <v>43</v>
      </c>
      <c r="P49" s="3774" cm="1">
        <f t="array" aca="1" ref="P49" ca="1">INDIRECT("'※ 인력 세부데이터'!"&amp;P$1&amp;$W50, TRUE)</f>
        <v>41</v>
      </c>
      <c r="Q49" s="3774" cm="1">
        <f t="array" aca="1" ref="Q49" ca="1">INDIRECT("'※ 인력 세부데이터'!"&amp;Q$1&amp;$W50, TRUE)</f>
        <v>42</v>
      </c>
      <c r="R49" s="3775" cm="1">
        <f t="array" aca="1" ref="R49" ca="1">INDIRECT("'※ 인력 세부데이터'!"&amp;R$1&amp;$W50, TRUE)</f>
        <v>0.13291139240506328</v>
      </c>
      <c r="S49" s="3776" cm="1">
        <f t="array" aca="1" ref="S49" ca="1">INDIRECT("'※ 인력 세부데이터'!"&amp;S$1&amp;$W50, TRUE)</f>
        <v>19</v>
      </c>
      <c r="T49" s="3777" cm="1">
        <f t="array" aca="1" ref="T49" ca="1">INDIRECT("'※ 인력 세부데이터'!"&amp;T$1&amp;$W50, TRUE)</f>
        <v>0.45238095238095238</v>
      </c>
      <c r="U49" s="3778" cm="1">
        <f t="array" aca="1" ref="U49" ca="1">INDIRECT("'※ 인력 세부데이터'!"&amp;U$1&amp;$W50, TRUE)</f>
        <v>32.666666666666664</v>
      </c>
      <c r="V49" s="3779" cm="1">
        <f t="array" aca="1" ref="V49" ca="1">INDIRECT("'※ 인력 세부데이터'!"&amp;V$1&amp;$W50, TRUE)</f>
        <v>5.286627527723418</v>
      </c>
      <c r="W49" s="3769">
        <f>ROW('※ 인력 세부데이터'!J45)</f>
        <v>45</v>
      </c>
      <c r="X49" s="3770"/>
      <c r="Y49" s="2682"/>
    </row>
    <row r="50" spans="1:25" x14ac:dyDescent="0.55000000000000004">
      <c r="A50" s="7180"/>
      <c r="B50" s="3759"/>
      <c r="C50" s="2655" t="s">
        <v>207</v>
      </c>
      <c r="D50" s="3760" cm="1">
        <f t="array" aca="1" ref="D50" ca="1">INDIRECT("'※ 인력 세부데이터'!"&amp;D$1&amp;$W51, TRUE)</f>
        <v>433.33333333333331</v>
      </c>
      <c r="E50" s="3761" cm="1">
        <f t="array" aca="1" ref="E50" ca="1">INDIRECT("'※ 인력 세부데이터'!"&amp;E$1&amp;$W51, TRUE)</f>
        <v>410.75</v>
      </c>
      <c r="F50" s="3762" cm="1">
        <f t="array" aca="1" ref="F50" ca="1">INDIRECT("'※ 인력 세부데이터'!"&amp;F$1&amp;$W51, TRUE)</f>
        <v>434</v>
      </c>
      <c r="G50" s="3763" cm="1">
        <f t="array" aca="1" ref="G50" ca="1">INDIRECT("'※ 인력 세부데이터'!"&amp;G$1&amp;$W51, TRUE)</f>
        <v>426</v>
      </c>
      <c r="H50" s="3763" cm="1">
        <f t="array" aca="1" ref="H50" ca="1">INDIRECT("'※ 인력 세부데이터'!"&amp;H$1&amp;$W51, TRUE)</f>
        <v>423</v>
      </c>
      <c r="I50" s="3763" cm="1">
        <f t="array" aca="1" ref="I50" ca="1">INDIRECT("'※ 인력 세부데이터'!"&amp;I$1&amp;$W51, TRUE)</f>
        <v>417</v>
      </c>
      <c r="J50" s="3763" cm="1">
        <f t="array" aca="1" ref="J50" ca="1">INDIRECT("'※ 인력 세부데이터'!"&amp;J$1&amp;$W51, TRUE)</f>
        <v>414</v>
      </c>
      <c r="K50" s="3763" cm="1">
        <f t="array" aca="1" ref="K50" ca="1">INDIRECT("'※ 인력 세부데이터'!"&amp;K$1&amp;$W51, TRUE)</f>
        <v>410</v>
      </c>
      <c r="L50" s="3763" cm="1">
        <f t="array" aca="1" ref="L50" ca="1">INDIRECT("'※ 인력 세부데이터'!"&amp;L$1&amp;$W51, TRUE)</f>
        <v>406</v>
      </c>
      <c r="M50" s="3763" cm="1">
        <f t="array" aca="1" ref="M50" ca="1">INDIRECT("'※ 인력 세부데이터'!"&amp;M$1&amp;$W51, TRUE)</f>
        <v>407</v>
      </c>
      <c r="N50" s="3763" cm="1">
        <f t="array" aca="1" ref="N50" ca="1">INDIRECT("'※ 인력 세부데이터'!"&amp;N$1&amp;$W51, TRUE)</f>
        <v>410</v>
      </c>
      <c r="O50" s="3763" cm="1">
        <f t="array" aca="1" ref="O50" ca="1">INDIRECT("'※ 인력 세부데이터'!"&amp;O$1&amp;$W51, TRUE)</f>
        <v>396</v>
      </c>
      <c r="P50" s="3763" cm="1">
        <f t="array" aca="1" ref="P50" ca="1">INDIRECT("'※ 인력 세부데이터'!"&amp;P$1&amp;$W51, TRUE)</f>
        <v>396</v>
      </c>
      <c r="Q50" s="3763" cm="1">
        <f t="array" aca="1" ref="Q50" ca="1">INDIRECT("'※ 인력 세부데이터'!"&amp;Q$1&amp;$W51, TRUE)</f>
        <v>398</v>
      </c>
      <c r="R50" s="3764" cm="1">
        <f t="array" aca="1" ref="R50" ca="1">INDIRECT("'※ 인력 세부데이터'!"&amp;R$1&amp;$W51, TRUE)</f>
        <v>0.18090909090909091</v>
      </c>
      <c r="S50" s="3765" cm="1">
        <f t="array" aca="1" ref="S50" ca="1">INDIRECT("'※ 인력 세부데이터'!"&amp;S$1&amp;$W51, TRUE)</f>
        <v>172</v>
      </c>
      <c r="T50" s="3766" cm="1">
        <f t="array" aca="1" ref="T50" ca="1">INDIRECT("'※ 인력 세부데이터'!"&amp;T$1&amp;$W51, TRUE)</f>
        <v>0.43216080402010049</v>
      </c>
      <c r="U50" s="3767" cm="1">
        <f t="array" aca="1" ref="U50" ca="1">INDIRECT("'※ 인력 세부데이터'!"&amp;U$1&amp;$W51, TRUE)</f>
        <v>34.108040201005025</v>
      </c>
      <c r="V50" s="3768" cm="1">
        <f t="array" aca="1" ref="V50" ca="1">INDIRECT("'※ 인력 세부데이터'!"&amp;V$1&amp;$W51, TRUE)</f>
        <v>6.8187512907000771</v>
      </c>
      <c r="W50" s="3769">
        <f>ROW('※ 인력 세부데이터'!J46)</f>
        <v>46</v>
      </c>
      <c r="X50" s="3770"/>
      <c r="Y50" s="2682"/>
    </row>
    <row r="51" spans="1:25" x14ac:dyDescent="0.55000000000000004">
      <c r="A51" s="7180"/>
      <c r="B51" s="3759"/>
      <c r="C51" s="2639" t="s">
        <v>220</v>
      </c>
      <c r="D51" s="3771" cm="1">
        <f t="array" aca="1" ref="D51" ca="1">INDIRECT("'※ 인력 세부데이터'!"&amp;D$1&amp;$W52, TRUE)</f>
        <v>45.25</v>
      </c>
      <c r="E51" s="3772" cm="1">
        <f t="array" aca="1" ref="E51" ca="1">INDIRECT("'※ 인력 세부데이터'!"&amp;E$1&amp;$W52, TRUE)</f>
        <v>45.75</v>
      </c>
      <c r="F51" s="3773" cm="1">
        <f t="array" aca="1" ref="F51" ca="1">INDIRECT("'※ 인력 세부데이터'!"&amp;F$1&amp;$W52, TRUE)</f>
        <v>46</v>
      </c>
      <c r="G51" s="3774" cm="1">
        <f t="array" aca="1" ref="G51" ca="1">INDIRECT("'※ 인력 세부데이터'!"&amp;G$1&amp;$W52, TRUE)</f>
        <v>48</v>
      </c>
      <c r="H51" s="3774" cm="1">
        <f t="array" aca="1" ref="H51" ca="1">INDIRECT("'※ 인력 세부데이터'!"&amp;H$1&amp;$W52, TRUE)</f>
        <v>49</v>
      </c>
      <c r="I51" s="3774" cm="1">
        <f t="array" aca="1" ref="I51" ca="1">INDIRECT("'※ 인력 세부데이터'!"&amp;I$1&amp;$W52, TRUE)</f>
        <v>49</v>
      </c>
      <c r="J51" s="3774" cm="1">
        <f t="array" aca="1" ref="J51" ca="1">INDIRECT("'※ 인력 세부데이터'!"&amp;J$1&amp;$W52, TRUE)</f>
        <v>48</v>
      </c>
      <c r="K51" s="3774" cm="1">
        <f t="array" aca="1" ref="K51" ca="1">INDIRECT("'※ 인력 세부데이터'!"&amp;K$1&amp;$W52, TRUE)</f>
        <v>47</v>
      </c>
      <c r="L51" s="3774" cm="1">
        <f t="array" aca="1" ref="L51" ca="1">INDIRECT("'※ 인력 세부데이터'!"&amp;L$1&amp;$W52, TRUE)</f>
        <v>44</v>
      </c>
      <c r="M51" s="3774" cm="1">
        <f t="array" aca="1" ref="M51" ca="1">INDIRECT("'※ 인력 세부데이터'!"&amp;M$1&amp;$W52, TRUE)</f>
        <v>45</v>
      </c>
      <c r="N51" s="3774" cm="1">
        <f t="array" aca="1" ref="N51" ca="1">INDIRECT("'※ 인력 세부데이터'!"&amp;N$1&amp;$W52, TRUE)</f>
        <v>46</v>
      </c>
      <c r="O51" s="3774" cm="1">
        <f t="array" aca="1" ref="O51" ca="1">INDIRECT("'※ 인력 세부데이터'!"&amp;O$1&amp;$W52, TRUE)</f>
        <v>46</v>
      </c>
      <c r="P51" s="3774" cm="1">
        <f t="array" aca="1" ref="P51" ca="1">INDIRECT("'※ 인력 세부데이터'!"&amp;P$1&amp;$W52, TRUE)</f>
        <v>44</v>
      </c>
      <c r="Q51" s="3774" cm="1">
        <f t="array" aca="1" ref="Q51" ca="1">INDIRECT("'※ 인력 세부데이터'!"&amp;Q$1&amp;$W52, TRUE)</f>
        <v>44</v>
      </c>
      <c r="R51" s="3775" cm="1">
        <f t="array" aca="1" ref="R51" ca="1">INDIRECT("'※ 인력 세부데이터'!"&amp;R$1&amp;$W52, TRUE)</f>
        <v>0.11055276381909548</v>
      </c>
      <c r="S51" s="3776" cm="1">
        <f t="array" aca="1" ref="S51" ca="1">INDIRECT("'※ 인력 세부데이터'!"&amp;S$1&amp;$W52, TRUE)</f>
        <v>16</v>
      </c>
      <c r="T51" s="3777" cm="1">
        <f t="array" aca="1" ref="T51" ca="1">INDIRECT("'※ 인력 세부데이터'!"&amp;T$1&amp;$W52, TRUE)</f>
        <v>0.36363636363636365</v>
      </c>
      <c r="U51" s="3778" cm="1">
        <f t="array" aca="1" ref="U51" ca="1">INDIRECT("'※ 인력 세부데이터'!"&amp;U$1&amp;$W52, TRUE)</f>
        <v>41.25</v>
      </c>
      <c r="V51" s="3779" cm="1">
        <f t="array" aca="1" ref="V51" ca="1">INDIRECT("'※ 인력 세부데이터'!"&amp;V$1&amp;$W52, TRUE)</f>
        <v>13.108592777085933</v>
      </c>
      <c r="W51" s="3769">
        <f>ROW('※ 인력 세부데이터'!J47)</f>
        <v>47</v>
      </c>
      <c r="X51" s="3770"/>
      <c r="Y51" s="2682"/>
    </row>
    <row r="52" spans="1:25" x14ac:dyDescent="0.55000000000000004">
      <c r="A52" s="7180"/>
      <c r="B52" s="3759"/>
      <c r="C52" s="2639" t="s">
        <v>1019</v>
      </c>
      <c r="D52" s="3771" cm="1">
        <f t="array" aca="1" ref="D52" ca="1">INDIRECT("'※ 인력 세부데이터'!"&amp;D$1&amp;$W53, TRUE)</f>
        <v>23.916666666666668</v>
      </c>
      <c r="E52" s="3772" cm="1">
        <f t="array" aca="1" ref="E52" ca="1">INDIRECT("'※ 인력 세부데이터'!"&amp;E$1&amp;$W53, TRUE)</f>
        <v>26.416666666666668</v>
      </c>
      <c r="F52" s="3773" cm="1">
        <f t="array" aca="1" ref="F52" ca="1">INDIRECT("'※ 인력 세부데이터'!"&amp;F$1&amp;$W53, TRUE)</f>
        <v>29</v>
      </c>
      <c r="G52" s="3774" cm="1">
        <f t="array" aca="1" ref="G52" ca="1">INDIRECT("'※ 인력 세부데이터'!"&amp;G$1&amp;$W53, TRUE)</f>
        <v>27</v>
      </c>
      <c r="H52" s="3774" cm="1">
        <f t="array" aca="1" ref="H52" ca="1">INDIRECT("'※ 인력 세부데이터'!"&amp;H$1&amp;$W53, TRUE)</f>
        <v>28</v>
      </c>
      <c r="I52" s="3774" cm="1">
        <f t="array" aca="1" ref="I52" ca="1">INDIRECT("'※ 인력 세부데이터'!"&amp;I$1&amp;$W53, TRUE)</f>
        <v>28</v>
      </c>
      <c r="J52" s="3774" cm="1">
        <f t="array" aca="1" ref="J52" ca="1">INDIRECT("'※ 인력 세부데이터'!"&amp;J$1&amp;$W53, TRUE)</f>
        <v>27</v>
      </c>
      <c r="K52" s="3774" cm="1">
        <f t="array" aca="1" ref="K52" ca="1">INDIRECT("'※ 인력 세부데이터'!"&amp;K$1&amp;$W53, TRUE)</f>
        <v>27</v>
      </c>
      <c r="L52" s="3774" cm="1">
        <f t="array" aca="1" ref="L52" ca="1">INDIRECT("'※ 인력 세부데이터'!"&amp;L$1&amp;$W53, TRUE)</f>
        <v>27</v>
      </c>
      <c r="M52" s="3774" cm="1">
        <f t="array" aca="1" ref="M52" ca="1">INDIRECT("'※ 인력 세부데이터'!"&amp;M$1&amp;$W53, TRUE)</f>
        <v>26</v>
      </c>
      <c r="N52" s="3774" cm="1">
        <f t="array" aca="1" ref="N52" ca="1">INDIRECT("'※ 인력 세부데이터'!"&amp;N$1&amp;$W53, TRUE)</f>
        <v>26</v>
      </c>
      <c r="O52" s="3774" cm="1">
        <f t="array" aca="1" ref="O52" ca="1">INDIRECT("'※ 인력 세부데이터'!"&amp;O$1&amp;$W53, TRUE)</f>
        <v>25</v>
      </c>
      <c r="P52" s="3774" cm="1">
        <f t="array" aca="1" ref="P52" ca="1">INDIRECT("'※ 인력 세부데이터'!"&amp;P$1&amp;$W53, TRUE)</f>
        <v>25</v>
      </c>
      <c r="Q52" s="3774" cm="1">
        <f t="array" aca="1" ref="Q52" ca="1">INDIRECT("'※ 인력 세부데이터'!"&amp;Q$1&amp;$W53, TRUE)</f>
        <v>15</v>
      </c>
      <c r="R52" s="3775" cm="1">
        <f t="array" aca="1" ref="R52" ca="1">INDIRECT("'※ 인력 세부데이터'!"&amp;R$1&amp;$W53, TRUE)</f>
        <v>3.7688442211055273E-2</v>
      </c>
      <c r="S52" s="3776" cm="1">
        <f t="array" aca="1" ref="S52" ca="1">INDIRECT("'※ 인력 세부데이터'!"&amp;S$1&amp;$W53, TRUE)</f>
        <v>2</v>
      </c>
      <c r="T52" s="3777" cm="1">
        <f t="array" aca="1" ref="T52" ca="1">INDIRECT("'※ 인력 세부데이터'!"&amp;T$1&amp;$W53, TRUE)</f>
        <v>0.13333333333333333</v>
      </c>
      <c r="U52" s="3778" cm="1">
        <f t="array" aca="1" ref="U52" ca="1">INDIRECT("'※ 인력 세부데이터'!"&amp;U$1&amp;$W53, TRUE)</f>
        <v>41.666666666666664</v>
      </c>
      <c r="V52" s="3779" cm="1">
        <f t="array" aca="1" ref="V52" ca="1">INDIRECT("'※ 인력 세부데이터'!"&amp;V$1&amp;$W53, TRUE)</f>
        <v>6.4345205479452066</v>
      </c>
      <c r="W52" s="3769">
        <f>ROW('※ 인력 세부데이터'!J48)</f>
        <v>48</v>
      </c>
      <c r="X52" s="3770"/>
      <c r="Y52" s="2682"/>
    </row>
    <row r="53" spans="1:25" x14ac:dyDescent="0.55000000000000004">
      <c r="A53" s="7180"/>
      <c r="B53" s="3759"/>
      <c r="C53" s="2639" t="s">
        <v>19</v>
      </c>
      <c r="D53" s="3771" cm="1">
        <f t="array" aca="1" ref="D53" ca="1">INDIRECT("'※ 인력 세부데이터'!"&amp;D$1&amp;$W54, TRUE)</f>
        <v>260.33333333333331</v>
      </c>
      <c r="E53" s="3772" cm="1">
        <f t="array" aca="1" ref="E53" ca="1">INDIRECT("'※ 인력 세부데이터'!"&amp;E$1&amp;$W54, TRUE)</f>
        <v>242.5</v>
      </c>
      <c r="F53" s="3773" cm="1">
        <f t="array" aca="1" ref="F53" ca="1">INDIRECT("'※ 인력 세부데이터'!"&amp;F$1&amp;$W54, TRUE)</f>
        <v>257</v>
      </c>
      <c r="G53" s="3774" cm="1">
        <f t="array" aca="1" ref="G53" ca="1">INDIRECT("'※ 인력 세부데이터'!"&amp;G$1&amp;$W54, TRUE)</f>
        <v>248</v>
      </c>
      <c r="H53" s="3774" cm="1">
        <f t="array" aca="1" ref="H53" ca="1">INDIRECT("'※ 인력 세부데이터'!"&amp;H$1&amp;$W54, TRUE)</f>
        <v>246</v>
      </c>
      <c r="I53" s="3774" cm="1">
        <f t="array" aca="1" ref="I53" ca="1">INDIRECT("'※ 인력 세부데이터'!"&amp;I$1&amp;$W54, TRUE)</f>
        <v>244</v>
      </c>
      <c r="J53" s="3774" cm="1">
        <f t="array" aca="1" ref="J53" ca="1">INDIRECT("'※ 인력 세부데이터'!"&amp;J$1&amp;$W54, TRUE)</f>
        <v>242</v>
      </c>
      <c r="K53" s="3774" cm="1">
        <f t="array" aca="1" ref="K53" ca="1">INDIRECT("'※ 인력 세부데이터'!"&amp;K$1&amp;$W54, TRUE)</f>
        <v>243</v>
      </c>
      <c r="L53" s="3774" cm="1">
        <f t="array" aca="1" ref="L53" ca="1">INDIRECT("'※ 인력 세부데이터'!"&amp;L$1&amp;$W54, TRUE)</f>
        <v>239</v>
      </c>
      <c r="M53" s="3774" cm="1">
        <f t="array" aca="1" ref="M53" ca="1">INDIRECT("'※ 인력 세부데이터'!"&amp;M$1&amp;$W54, TRUE)</f>
        <v>238</v>
      </c>
      <c r="N53" s="3774" cm="1">
        <f t="array" aca="1" ref="N53" ca="1">INDIRECT("'※ 인력 세부데이터'!"&amp;N$1&amp;$W54, TRUE)</f>
        <v>236</v>
      </c>
      <c r="O53" s="3774" cm="1">
        <f t="array" aca="1" ref="O53" ca="1">INDIRECT("'※ 인력 세부데이터'!"&amp;O$1&amp;$W54, TRUE)</f>
        <v>227</v>
      </c>
      <c r="P53" s="3774" cm="1">
        <f t="array" aca="1" ref="P53" ca="1">INDIRECT("'※ 인력 세부데이터'!"&amp;P$1&amp;$W54, TRUE)</f>
        <v>230</v>
      </c>
      <c r="Q53" s="3774" cm="1">
        <f t="array" aca="1" ref="Q53" ca="1">INDIRECT("'※ 인력 세부데이터'!"&amp;Q$1&amp;$W54, TRUE)</f>
        <v>240</v>
      </c>
      <c r="R53" s="3775" cm="1">
        <f t="array" aca="1" ref="R53" ca="1">INDIRECT("'※ 인력 세부데이터'!"&amp;R$1&amp;$W54, TRUE)</f>
        <v>0.60301507537688437</v>
      </c>
      <c r="S53" s="3776" cm="1">
        <f t="array" aca="1" ref="S53" ca="1">INDIRECT("'※ 인력 세부데이터'!"&amp;S$1&amp;$W54, TRUE)</f>
        <v>108</v>
      </c>
      <c r="T53" s="3777" cm="1">
        <f t="array" aca="1" ref="T53" ca="1">INDIRECT("'※ 인력 세부데이터'!"&amp;T$1&amp;$W54, TRUE)</f>
        <v>0.45</v>
      </c>
      <c r="U53" s="3778" cm="1">
        <f t="array" aca="1" ref="U53" ca="1">INDIRECT("'※ 인력 세부데이터'!"&amp;U$1&amp;$W54, TRUE)</f>
        <v>32.091666666666669</v>
      </c>
      <c r="V53" s="3779" cm="1">
        <f t="array" aca="1" ref="V53" ca="1">INDIRECT("'※ 인력 세부데이터'!"&amp;V$1&amp;$W54, TRUE)</f>
        <v>5.8889954337899519</v>
      </c>
      <c r="W53" s="3769">
        <f>ROW('※ 인력 세부데이터'!J49)</f>
        <v>49</v>
      </c>
      <c r="X53" s="3770"/>
      <c r="Y53" s="2682"/>
    </row>
    <row r="54" spans="1:25" x14ac:dyDescent="0.55000000000000004">
      <c r="A54" s="7180"/>
      <c r="B54" s="3759"/>
      <c r="C54" s="2639" t="s">
        <v>20</v>
      </c>
      <c r="D54" s="3771" cm="1">
        <f t="array" aca="1" ref="D54" ca="1">INDIRECT("'※ 인력 세부데이터'!"&amp;D$1&amp;$W55, TRUE)</f>
        <v>103.83333333333333</v>
      </c>
      <c r="E54" s="3772" cm="1">
        <f t="array" aca="1" ref="E54" ca="1">INDIRECT("'※ 인력 세부데이터'!"&amp;E$1&amp;$W55, TRUE)</f>
        <v>96.083333333333329</v>
      </c>
      <c r="F54" s="3773" cm="1">
        <f t="array" aca="1" ref="F54" ca="1">INDIRECT("'※ 인력 세부데이터'!"&amp;F$1&amp;$W55, TRUE)</f>
        <v>102</v>
      </c>
      <c r="G54" s="3774" cm="1">
        <f t="array" aca="1" ref="G54" ca="1">INDIRECT("'※ 인력 세부데이터'!"&amp;G$1&amp;$W55, TRUE)</f>
        <v>103</v>
      </c>
      <c r="H54" s="3774" cm="1">
        <f t="array" aca="1" ref="H54" ca="1">INDIRECT("'※ 인력 세부데이터'!"&amp;H$1&amp;$W55, TRUE)</f>
        <v>100</v>
      </c>
      <c r="I54" s="3774" cm="1">
        <f t="array" aca="1" ref="I54" ca="1">INDIRECT("'※ 인력 세부데이터'!"&amp;I$1&amp;$W55, TRUE)</f>
        <v>96</v>
      </c>
      <c r="J54" s="3774" cm="1">
        <f t="array" aca="1" ref="J54" ca="1">INDIRECT("'※ 인력 세부데이터'!"&amp;J$1&amp;$W55, TRUE)</f>
        <v>97</v>
      </c>
      <c r="K54" s="3774" cm="1">
        <f t="array" aca="1" ref="K54" ca="1">INDIRECT("'※ 인력 세부데이터'!"&amp;K$1&amp;$W55, TRUE)</f>
        <v>93</v>
      </c>
      <c r="L54" s="3774" cm="1">
        <f t="array" aca="1" ref="L54" ca="1">INDIRECT("'※ 인력 세부데이터'!"&amp;L$1&amp;$W55, TRUE)</f>
        <v>96</v>
      </c>
      <c r="M54" s="3774" cm="1">
        <f t="array" aca="1" ref="M54" ca="1">INDIRECT("'※ 인력 세부데이터'!"&amp;M$1&amp;$W55, TRUE)</f>
        <v>98</v>
      </c>
      <c r="N54" s="3774" cm="1">
        <f t="array" aca="1" ref="N54" ca="1">INDIRECT("'※ 인력 세부데이터'!"&amp;N$1&amp;$W55, TRUE)</f>
        <v>102</v>
      </c>
      <c r="O54" s="3774" cm="1">
        <f t="array" aca="1" ref="O54" ca="1">INDIRECT("'※ 인력 세부데이터'!"&amp;O$1&amp;$W55, TRUE)</f>
        <v>98</v>
      </c>
      <c r="P54" s="3774" cm="1">
        <f t="array" aca="1" ref="P54" ca="1">INDIRECT("'※ 인력 세부데이터'!"&amp;P$1&amp;$W55, TRUE)</f>
        <v>97</v>
      </c>
      <c r="Q54" s="3774" cm="1">
        <f t="array" aca="1" ref="Q54" ca="1">INDIRECT("'※ 인력 세부데이터'!"&amp;Q$1&amp;$W55, TRUE)</f>
        <v>99</v>
      </c>
      <c r="R54" s="3775" cm="1">
        <f t="array" aca="1" ref="R54" ca="1">INDIRECT("'※ 인력 세부데이터'!"&amp;R$1&amp;$W55, TRUE)</f>
        <v>0.24874371859296482</v>
      </c>
      <c r="S54" s="3776" cm="1">
        <f t="array" aca="1" ref="S54" ca="1">INDIRECT("'※ 인력 세부데이터'!"&amp;S$1&amp;$W55, TRUE)</f>
        <v>46</v>
      </c>
      <c r="T54" s="3777" cm="1">
        <f t="array" aca="1" ref="T54" ca="1">INDIRECT("'※ 인력 세부데이터'!"&amp;T$1&amp;$W55, TRUE)</f>
        <v>0.46464646464646464</v>
      </c>
      <c r="U54" s="3778" cm="1">
        <f t="array" aca="1" ref="U54" ca="1">INDIRECT("'※ 인력 세부데이터'!"&amp;U$1&amp;$W55, TRUE)</f>
        <v>34.676767676767675</v>
      </c>
      <c r="V54" s="3779" cm="1">
        <f t="array" aca="1" ref="V54" ca="1">INDIRECT("'※ 인력 세부데이터'!"&amp;V$1&amp;$W55, TRUE)</f>
        <v>6.335436557354365</v>
      </c>
      <c r="W54" s="3769">
        <f>ROW('※ 인력 세부데이터'!J50)</f>
        <v>50</v>
      </c>
      <c r="X54" s="3770"/>
      <c r="Y54" s="2682"/>
    </row>
    <row r="55" spans="1:25" x14ac:dyDescent="0.55000000000000004">
      <c r="A55" s="7180"/>
      <c r="B55" s="3759"/>
      <c r="C55" s="2655" t="s">
        <v>208</v>
      </c>
      <c r="D55" s="3760" cm="1">
        <f t="array" aca="1" ref="D55" ca="1">INDIRECT("'※ 인력 세부데이터'!"&amp;D$1&amp;$W56, TRUE)</f>
        <v>361.5</v>
      </c>
      <c r="E55" s="3761" cm="1">
        <f t="array" aca="1" ref="E55" ca="1">INDIRECT("'※ 인력 세부데이터'!"&amp;E$1&amp;$W56, TRUE)</f>
        <v>371.08333333333331</v>
      </c>
      <c r="F55" s="3762" cm="1">
        <f t="array" aca="1" ref="F55" ca="1">INDIRECT("'※ 인력 세부데이터'!"&amp;F$1&amp;$W56, TRUE)</f>
        <v>393</v>
      </c>
      <c r="G55" s="3763" cm="1">
        <f t="array" aca="1" ref="G55" ca="1">INDIRECT("'※ 인력 세부데이터'!"&amp;G$1&amp;$W56, TRUE)</f>
        <v>385</v>
      </c>
      <c r="H55" s="3763" cm="1">
        <f t="array" aca="1" ref="H55" ca="1">INDIRECT("'※ 인력 세부데이터'!"&amp;H$1&amp;$W56, TRUE)</f>
        <v>400</v>
      </c>
      <c r="I55" s="3763" cm="1">
        <f t="array" aca="1" ref="I55" ca="1">INDIRECT("'※ 인력 세부데이터'!"&amp;I$1&amp;$W56, TRUE)</f>
        <v>400</v>
      </c>
      <c r="J55" s="3763" cm="1">
        <f t="array" aca="1" ref="J55" ca="1">INDIRECT("'※ 인력 세부데이터'!"&amp;J$1&amp;$W56, TRUE)</f>
        <v>386</v>
      </c>
      <c r="K55" s="3763" cm="1">
        <f t="array" aca="1" ref="K55" ca="1">INDIRECT("'※ 인력 세부데이터'!"&amp;K$1&amp;$W56, TRUE)</f>
        <v>387</v>
      </c>
      <c r="L55" s="3763" cm="1">
        <f t="array" aca="1" ref="L55" ca="1">INDIRECT("'※ 인력 세부데이터'!"&amp;L$1&amp;$W56, TRUE)</f>
        <v>374</v>
      </c>
      <c r="M55" s="3763" cm="1">
        <f t="array" aca="1" ref="M55" ca="1">INDIRECT("'※ 인력 세부데이터'!"&amp;M$1&amp;$W56, TRUE)</f>
        <v>363</v>
      </c>
      <c r="N55" s="3763" cm="1">
        <f t="array" aca="1" ref="N55" ca="1">INDIRECT("'※ 인력 세부데이터'!"&amp;N$1&amp;$W56, TRUE)</f>
        <v>361</v>
      </c>
      <c r="O55" s="3763" cm="1">
        <f t="array" aca="1" ref="O55" ca="1">INDIRECT("'※ 인력 세부데이터'!"&amp;O$1&amp;$W56, TRUE)</f>
        <v>361</v>
      </c>
      <c r="P55" s="3763" cm="1">
        <f t="array" aca="1" ref="P55" ca="1">INDIRECT("'※ 인력 세부데이터'!"&amp;P$1&amp;$W56, TRUE)</f>
        <v>367</v>
      </c>
      <c r="Q55" s="3763" cm="1">
        <f t="array" aca="1" ref="Q55" ca="1">INDIRECT("'※ 인력 세부데이터'!"&amp;Q$1&amp;$W56, TRUE)</f>
        <v>357</v>
      </c>
      <c r="R55" s="3764" cm="1">
        <f t="array" aca="1" ref="R55" ca="1">INDIRECT("'※ 인력 세부데이터'!"&amp;R$1&amp;$W56, TRUE)</f>
        <v>0.16227272727272726</v>
      </c>
      <c r="S55" s="3765" cm="1">
        <f t="array" aca="1" ref="S55" ca="1">INDIRECT("'※ 인력 세부데이터'!"&amp;S$1&amp;$W56, TRUE)</f>
        <v>154</v>
      </c>
      <c r="T55" s="3766" cm="1">
        <f t="array" aca="1" ref="T55" ca="1">INDIRECT("'※ 인력 세부데이터'!"&amp;T$1&amp;$W56, TRUE)</f>
        <v>0.43137254901960786</v>
      </c>
      <c r="U55" s="3767" cm="1">
        <f t="array" aca="1" ref="U55" ca="1">INDIRECT("'※ 인력 세부데이터'!"&amp;U$1&amp;$W56, TRUE)</f>
        <v>33.084033613445378</v>
      </c>
      <c r="V55" s="3768" cm="1">
        <f t="array" aca="1" ref="V55" ca="1">INDIRECT("'※ 인력 세부데이터'!"&amp;V$1&amp;$W56, TRUE)</f>
        <v>5.348850773185994</v>
      </c>
      <c r="W55" s="3769">
        <f>ROW('※ 인력 세부데이터'!J51)</f>
        <v>51</v>
      </c>
      <c r="X55" s="3770"/>
      <c r="Y55" s="2682"/>
    </row>
    <row r="56" spans="1:25" x14ac:dyDescent="0.55000000000000004">
      <c r="A56" s="7180"/>
      <c r="B56" s="3759"/>
      <c r="C56" s="2639" t="s">
        <v>220</v>
      </c>
      <c r="D56" s="3771" cm="1">
        <f t="array" aca="1" ref="D56" ca="1">INDIRECT("'※ 인력 세부데이터'!"&amp;D$1&amp;$W57, TRUE)</f>
        <v>43</v>
      </c>
      <c r="E56" s="3772" cm="1">
        <f t="array" aca="1" ref="E56" ca="1">INDIRECT("'※ 인력 세부데이터'!"&amp;E$1&amp;$W57, TRUE)</f>
        <v>42</v>
      </c>
      <c r="F56" s="3773" cm="1">
        <f t="array" aca="1" ref="F56" ca="1">INDIRECT("'※ 인력 세부데이터'!"&amp;F$1&amp;$W57, TRUE)</f>
        <v>42</v>
      </c>
      <c r="G56" s="3774" cm="1">
        <f t="array" aca="1" ref="G56" ca="1">INDIRECT("'※ 인력 세부데이터'!"&amp;G$1&amp;$W57, TRUE)</f>
        <v>45</v>
      </c>
      <c r="H56" s="3774" cm="1">
        <f t="array" aca="1" ref="H56" ca="1">INDIRECT("'※ 인력 세부데이터'!"&amp;H$1&amp;$W57, TRUE)</f>
        <v>45</v>
      </c>
      <c r="I56" s="3774" cm="1">
        <f t="array" aca="1" ref="I56" ca="1">INDIRECT("'※ 인력 세부데이터'!"&amp;I$1&amp;$W57, TRUE)</f>
        <v>45</v>
      </c>
      <c r="J56" s="3774" cm="1">
        <f t="array" aca="1" ref="J56" ca="1">INDIRECT("'※ 인력 세부데이터'!"&amp;J$1&amp;$W57, TRUE)</f>
        <v>44</v>
      </c>
      <c r="K56" s="3774" cm="1">
        <f t="array" aca="1" ref="K56" ca="1">INDIRECT("'※ 인력 세부데이터'!"&amp;K$1&amp;$W57, TRUE)</f>
        <v>45</v>
      </c>
      <c r="L56" s="3774" cm="1">
        <f t="array" aca="1" ref="L56" ca="1">INDIRECT("'※ 인력 세부데이터'!"&amp;L$1&amp;$W57, TRUE)</f>
        <v>43</v>
      </c>
      <c r="M56" s="3774" cm="1">
        <f t="array" aca="1" ref="M56" ca="1">INDIRECT("'※ 인력 세부데이터'!"&amp;M$1&amp;$W57, TRUE)</f>
        <v>43</v>
      </c>
      <c r="N56" s="3774" cm="1">
        <f t="array" aca="1" ref="N56" ca="1">INDIRECT("'※ 인력 세부데이터'!"&amp;N$1&amp;$W57, TRUE)</f>
        <v>43</v>
      </c>
      <c r="O56" s="3774" cm="1">
        <f t="array" aca="1" ref="O56" ca="1">INDIRECT("'※ 인력 세부데이터'!"&amp;O$1&amp;$W57, TRUE)</f>
        <v>44</v>
      </c>
      <c r="P56" s="3774" cm="1">
        <f t="array" aca="1" ref="P56" ca="1">INDIRECT("'※ 인력 세부데이터'!"&amp;P$1&amp;$W57, TRUE)</f>
        <v>45</v>
      </c>
      <c r="Q56" s="3774" cm="1">
        <f t="array" aca="1" ref="Q56" ca="1">INDIRECT("'※ 인력 세부데이터'!"&amp;Q$1&amp;$W57, TRUE)</f>
        <v>42</v>
      </c>
      <c r="R56" s="3775" cm="1">
        <f t="array" aca="1" ref="R56" ca="1">INDIRECT("'※ 인력 세부데이터'!"&amp;R$1&amp;$W57, TRUE)</f>
        <v>0.11764705882352941</v>
      </c>
      <c r="S56" s="3776" cm="1">
        <f t="array" aca="1" ref="S56" ca="1">INDIRECT("'※ 인력 세부데이터'!"&amp;S$1&amp;$W57, TRUE)</f>
        <v>10</v>
      </c>
      <c r="T56" s="3777" cm="1">
        <f t="array" aca="1" ref="T56" ca="1">INDIRECT("'※ 인력 세부데이터'!"&amp;T$1&amp;$W57, TRUE)</f>
        <v>0.23809523809523808</v>
      </c>
      <c r="U56" s="3778" cm="1">
        <f t="array" aca="1" ref="U56" ca="1">INDIRECT("'※ 인력 세부데이터'!"&amp;U$1&amp;$W57, TRUE)</f>
        <v>39.976190476190474</v>
      </c>
      <c r="V56" s="3779" cm="1">
        <f t="array" aca="1" ref="V56" ca="1">INDIRECT("'※ 인력 세부데이터'!"&amp;V$1&amp;$W57, TRUE)</f>
        <v>12.261578604044363</v>
      </c>
      <c r="W56" s="3769">
        <f>ROW('※ 인력 세부데이터'!J52)</f>
        <v>52</v>
      </c>
      <c r="X56" s="3770"/>
      <c r="Y56" s="2682"/>
    </row>
    <row r="57" spans="1:25" x14ac:dyDescent="0.55000000000000004">
      <c r="A57" s="7180"/>
      <c r="B57" s="3759"/>
      <c r="C57" s="2639" t="s">
        <v>1019</v>
      </c>
      <c r="D57" s="3771" cm="1">
        <f t="array" aca="1" ref="D57" ca="1">INDIRECT("'※ 인력 세부데이터'!"&amp;D$1&amp;$W58, TRUE)</f>
        <v>26.25</v>
      </c>
      <c r="E57" s="3772" cm="1">
        <f t="array" aca="1" ref="E57" ca="1">INDIRECT("'※ 인력 세부데이터'!"&amp;E$1&amp;$W58, TRUE)</f>
        <v>31.833333333333332</v>
      </c>
      <c r="F57" s="3773" cm="1">
        <f t="array" aca="1" ref="F57" ca="1">INDIRECT("'※ 인력 세부데이터'!"&amp;F$1&amp;$W58, TRUE)</f>
        <v>39</v>
      </c>
      <c r="G57" s="3774" cm="1">
        <f t="array" aca="1" ref="G57" ca="1">INDIRECT("'※ 인력 세부데이터'!"&amp;G$1&amp;$W58, TRUE)</f>
        <v>37</v>
      </c>
      <c r="H57" s="3774" cm="1">
        <f t="array" aca="1" ref="H57" ca="1">INDIRECT("'※ 인력 세부데이터'!"&amp;H$1&amp;$W58, TRUE)</f>
        <v>42</v>
      </c>
      <c r="I57" s="3774" cm="1">
        <f t="array" aca="1" ref="I57" ca="1">INDIRECT("'※ 인력 세부데이터'!"&amp;I$1&amp;$W58, TRUE)</f>
        <v>41</v>
      </c>
      <c r="J57" s="3774" cm="1">
        <f t="array" aca="1" ref="J57" ca="1">INDIRECT("'※ 인력 세부데이터'!"&amp;J$1&amp;$W58, TRUE)</f>
        <v>40</v>
      </c>
      <c r="K57" s="3774" cm="1">
        <f t="array" aca="1" ref="K57" ca="1">INDIRECT("'※ 인력 세부데이터'!"&amp;K$1&amp;$W58, TRUE)</f>
        <v>38</v>
      </c>
      <c r="L57" s="3774" cm="1">
        <f t="array" aca="1" ref="L57" ca="1">INDIRECT("'※ 인력 세부데이터'!"&amp;L$1&amp;$W58, TRUE)</f>
        <v>32</v>
      </c>
      <c r="M57" s="3774" cm="1">
        <f t="array" aca="1" ref="M57" ca="1">INDIRECT("'※ 인력 세부데이터'!"&amp;M$1&amp;$W58, TRUE)</f>
        <v>31</v>
      </c>
      <c r="N57" s="3774" cm="1">
        <f t="array" aca="1" ref="N57" ca="1">INDIRECT("'※ 인력 세부데이터'!"&amp;N$1&amp;$W58, TRUE)</f>
        <v>31</v>
      </c>
      <c r="O57" s="3774" cm="1">
        <f t="array" aca="1" ref="O57" ca="1">INDIRECT("'※ 인력 세부데이터'!"&amp;O$1&amp;$W58, TRUE)</f>
        <v>28</v>
      </c>
      <c r="P57" s="3774" cm="1">
        <f t="array" aca="1" ref="P57" ca="1">INDIRECT("'※ 인력 세부데이터'!"&amp;P$1&amp;$W58, TRUE)</f>
        <v>26</v>
      </c>
      <c r="Q57" s="3774" cm="1">
        <f t="array" aca="1" ref="Q57" ca="1">INDIRECT("'※ 인력 세부데이터'!"&amp;Q$1&amp;$W58, TRUE)</f>
        <v>17</v>
      </c>
      <c r="R57" s="3775" cm="1">
        <f t="array" aca="1" ref="R57" ca="1">INDIRECT("'※ 인력 세부데이터'!"&amp;R$1&amp;$W58, TRUE)</f>
        <v>4.7619047619047616E-2</v>
      </c>
      <c r="S57" s="3776" cm="1">
        <f t="array" aca="1" ref="S57" ca="1">INDIRECT("'※ 인력 세부데이터'!"&amp;S$1&amp;$W58, TRUE)</f>
        <v>5</v>
      </c>
      <c r="T57" s="3777" cm="1">
        <f t="array" aca="1" ref="T57" ca="1">INDIRECT("'※ 인력 세부데이터'!"&amp;T$1&amp;$W58, TRUE)</f>
        <v>0.29411764705882354</v>
      </c>
      <c r="U57" s="3778" cm="1">
        <f t="array" aca="1" ref="U57" ca="1">INDIRECT("'※ 인력 세부데이터'!"&amp;U$1&amp;$W58, TRUE)</f>
        <v>45</v>
      </c>
      <c r="V57" s="3779" cm="1">
        <f t="array" aca="1" ref="V57" ca="1">INDIRECT("'※ 인력 세부데이터'!"&amp;V$1&amp;$W58, TRUE)</f>
        <v>3.4315874294923443</v>
      </c>
      <c r="W57" s="3769">
        <f>ROW('※ 인력 세부데이터'!J53)</f>
        <v>53</v>
      </c>
      <c r="X57" s="3770"/>
      <c r="Y57" s="2682"/>
    </row>
    <row r="58" spans="1:25" x14ac:dyDescent="0.55000000000000004">
      <c r="A58" s="7180"/>
      <c r="B58" s="3759"/>
      <c r="C58" s="2639" t="s">
        <v>19</v>
      </c>
      <c r="D58" s="3771" cm="1">
        <f t="array" aca="1" ref="D58" ca="1">INDIRECT("'※ 인력 세부데이터'!"&amp;D$1&amp;$W59, TRUE)</f>
        <v>197.5</v>
      </c>
      <c r="E58" s="3772" cm="1">
        <f t="array" aca="1" ref="E58" ca="1">INDIRECT("'※ 인력 세부데이터'!"&amp;E$1&amp;$W59, TRUE)</f>
        <v>217.5</v>
      </c>
      <c r="F58" s="3773" cm="1">
        <f t="array" aca="1" ref="F58" ca="1">INDIRECT("'※ 인력 세부데이터'!"&amp;F$1&amp;$W59, TRUE)</f>
        <v>234</v>
      </c>
      <c r="G58" s="3774" cm="1">
        <f t="array" aca="1" ref="G58" ca="1">INDIRECT("'※ 인력 세부데이터'!"&amp;G$1&amp;$W59, TRUE)</f>
        <v>228</v>
      </c>
      <c r="H58" s="3774" cm="1">
        <f t="array" aca="1" ref="H58" ca="1">INDIRECT("'※ 인력 세부데이터'!"&amp;H$1&amp;$W59, TRUE)</f>
        <v>235</v>
      </c>
      <c r="I58" s="3774" cm="1">
        <f t="array" aca="1" ref="I58" ca="1">INDIRECT("'※ 인력 세부데이터'!"&amp;I$1&amp;$W59, TRUE)</f>
        <v>237</v>
      </c>
      <c r="J58" s="3774" cm="1">
        <f t="array" aca="1" ref="J58" ca="1">INDIRECT("'※ 인력 세부데이터'!"&amp;J$1&amp;$W59, TRUE)</f>
        <v>228</v>
      </c>
      <c r="K58" s="3774" cm="1">
        <f t="array" aca="1" ref="K58" ca="1">INDIRECT("'※ 인력 세부데이터'!"&amp;K$1&amp;$W59, TRUE)</f>
        <v>228</v>
      </c>
      <c r="L58" s="3774" cm="1">
        <f t="array" aca="1" ref="L58" ca="1">INDIRECT("'※ 인력 세부데이터'!"&amp;L$1&amp;$W59, TRUE)</f>
        <v>229</v>
      </c>
      <c r="M58" s="3774" cm="1">
        <f t="array" aca="1" ref="M58" ca="1">INDIRECT("'※ 인력 세부데이터'!"&amp;M$1&amp;$W59, TRUE)</f>
        <v>225</v>
      </c>
      <c r="N58" s="3774" cm="1">
        <f t="array" aca="1" ref="N58" ca="1">INDIRECT("'※ 인력 세부데이터'!"&amp;N$1&amp;$W59, TRUE)</f>
        <v>226</v>
      </c>
      <c r="O58" s="3774" cm="1">
        <f t="array" aca="1" ref="O58" ca="1">INDIRECT("'※ 인력 세부데이터'!"&amp;O$1&amp;$W59, TRUE)</f>
        <v>224</v>
      </c>
      <c r="P58" s="3774" cm="1">
        <f t="array" aca="1" ref="P58" ca="1">INDIRECT("'※ 인력 세부데이터'!"&amp;P$1&amp;$W59, TRUE)</f>
        <v>222</v>
      </c>
      <c r="Q58" s="3774" cm="1">
        <f t="array" aca="1" ref="Q58" ca="1">INDIRECT("'※ 인력 세부데이터'!"&amp;Q$1&amp;$W59, TRUE)</f>
        <v>222</v>
      </c>
      <c r="R58" s="3775" cm="1">
        <f t="array" aca="1" ref="R58" ca="1">INDIRECT("'※ 인력 세부데이터'!"&amp;R$1&amp;$W59, TRUE)</f>
        <v>0.62184873949579833</v>
      </c>
      <c r="S58" s="3776" cm="1">
        <f t="array" aca="1" ref="S58" ca="1">INDIRECT("'※ 인력 세부데이터'!"&amp;S$1&amp;$W59, TRUE)</f>
        <v>106</v>
      </c>
      <c r="T58" s="3777" cm="1">
        <f t="array" aca="1" ref="T58" ca="1">INDIRECT("'※ 인력 세부데이터'!"&amp;T$1&amp;$W59, TRUE)</f>
        <v>0.47747747747747749</v>
      </c>
      <c r="U58" s="3778" cm="1">
        <f t="array" aca="1" ref="U58" ca="1">INDIRECT("'※ 인력 세부데이터'!"&amp;U$1&amp;$W59, TRUE)</f>
        <v>30.635135135135137</v>
      </c>
      <c r="V58" s="3779" cm="1">
        <f t="array" aca="1" ref="V58" ca="1">INDIRECT("'※ 인력 세부데이터'!"&amp;V$1&amp;$W59, TRUE)</f>
        <v>4.3358879427372559</v>
      </c>
      <c r="W58" s="3769">
        <f>ROW('※ 인력 세부데이터'!J54)</f>
        <v>54</v>
      </c>
      <c r="X58" s="3770"/>
      <c r="Y58" s="2682"/>
    </row>
    <row r="59" spans="1:25" x14ac:dyDescent="0.55000000000000004">
      <c r="A59" s="7180"/>
      <c r="B59" s="3759"/>
      <c r="C59" s="2639" t="s">
        <v>20</v>
      </c>
      <c r="D59" s="3771" cm="1">
        <f t="array" aca="1" ref="D59" ca="1">INDIRECT("'※ 인력 세부데이터'!"&amp;D$1&amp;$W60, TRUE)</f>
        <v>94.75</v>
      </c>
      <c r="E59" s="3772" cm="1">
        <f t="array" aca="1" ref="E59" ca="1">INDIRECT("'※ 인력 세부데이터'!"&amp;E$1&amp;$W60, TRUE)</f>
        <v>79.75</v>
      </c>
      <c r="F59" s="3773" cm="1">
        <f t="array" aca="1" ref="F59" ca="1">INDIRECT("'※ 인력 세부데이터'!"&amp;F$1&amp;$W60, TRUE)</f>
        <v>78</v>
      </c>
      <c r="G59" s="3774" cm="1">
        <f t="array" aca="1" ref="G59" ca="1">INDIRECT("'※ 인력 세부데이터'!"&amp;G$1&amp;$W60, TRUE)</f>
        <v>75</v>
      </c>
      <c r="H59" s="3774" cm="1">
        <f t="array" aca="1" ref="H59" ca="1">INDIRECT("'※ 인력 세부데이터'!"&amp;H$1&amp;$W60, TRUE)</f>
        <v>78</v>
      </c>
      <c r="I59" s="3774" cm="1">
        <f t="array" aca="1" ref="I59" ca="1">INDIRECT("'※ 인력 세부데이터'!"&amp;I$1&amp;$W60, TRUE)</f>
        <v>77</v>
      </c>
      <c r="J59" s="3774" cm="1">
        <f t="array" aca="1" ref="J59" ca="1">INDIRECT("'※ 인력 세부데이터'!"&amp;J$1&amp;$W60, TRUE)</f>
        <v>74</v>
      </c>
      <c r="K59" s="3774" cm="1">
        <f t="array" aca="1" ref="K59" ca="1">INDIRECT("'※ 인력 세부데이터'!"&amp;K$1&amp;$W60, TRUE)</f>
        <v>76</v>
      </c>
      <c r="L59" s="3774" cm="1">
        <f t="array" aca="1" ref="L59" ca="1">INDIRECT("'※ 인력 세부데이터'!"&amp;L$1&amp;$W60, TRUE)</f>
        <v>70</v>
      </c>
      <c r="M59" s="3774" cm="1">
        <f t="array" aca="1" ref="M59" ca="1">INDIRECT("'※ 인력 세부데이터'!"&amp;M$1&amp;$W60, TRUE)</f>
        <v>64</v>
      </c>
      <c r="N59" s="3774" cm="1">
        <f t="array" aca="1" ref="N59" ca="1">INDIRECT("'※ 인력 세부데이터'!"&amp;N$1&amp;$W60, TRUE)</f>
        <v>61</v>
      </c>
      <c r="O59" s="3774" cm="1">
        <f t="array" aca="1" ref="O59" ca="1">INDIRECT("'※ 인력 세부데이터'!"&amp;O$1&amp;$W60, TRUE)</f>
        <v>65</v>
      </c>
      <c r="P59" s="3774" cm="1">
        <f t="array" aca="1" ref="P59" ca="1">INDIRECT("'※ 인력 세부데이터'!"&amp;P$1&amp;$W60, TRUE)</f>
        <v>74</v>
      </c>
      <c r="Q59" s="3774" cm="1">
        <f t="array" aca="1" ref="Q59" ca="1">INDIRECT("'※ 인력 세부데이터'!"&amp;Q$1&amp;$W60, TRUE)</f>
        <v>76</v>
      </c>
      <c r="R59" s="3775" cm="1">
        <f t="array" aca="1" ref="R59" ca="1">INDIRECT("'※ 인력 세부데이터'!"&amp;R$1&amp;$W60, TRUE)</f>
        <v>0.21288515406162464</v>
      </c>
      <c r="S59" s="3776" cm="1">
        <f t="array" aca="1" ref="S59" ca="1">INDIRECT("'※ 인력 세부데이터'!"&amp;S$1&amp;$W60, TRUE)</f>
        <v>33</v>
      </c>
      <c r="T59" s="3777" cm="1">
        <f t="array" aca="1" ref="T59" ca="1">INDIRECT("'※ 인력 세부데이터'!"&amp;T$1&amp;$W60, TRUE)</f>
        <v>0.43421052631578949</v>
      </c>
      <c r="U59" s="3778" cm="1">
        <f t="array" aca="1" ref="U59" ca="1">INDIRECT("'※ 인력 세부데이터'!"&amp;U$1&amp;$W60, TRUE)</f>
        <v>33.763157894736842</v>
      </c>
      <c r="V59" s="3779" cm="1">
        <f t="array" aca="1" ref="V59" ca="1">INDIRECT("'※ 인력 세부데이터'!"&amp;V$1&amp;$W60, TRUE)</f>
        <v>4.9164383561643836</v>
      </c>
      <c r="W59" s="3769">
        <f>ROW('※ 인력 세부데이터'!J55)</f>
        <v>55</v>
      </c>
      <c r="X59" s="3770"/>
      <c r="Y59" s="2682"/>
    </row>
    <row r="60" spans="1:25" x14ac:dyDescent="0.55000000000000004">
      <c r="A60" s="7180"/>
      <c r="B60" s="3569" t="s">
        <v>209</v>
      </c>
      <c r="C60" s="3780"/>
      <c r="D60" s="3781" cm="1">
        <f t="array" aca="1" ref="D60" ca="1">INDIRECT("'※ 인력 세부데이터'!"&amp;D$1&amp;$W61, TRUE)</f>
        <v>7</v>
      </c>
      <c r="E60" s="3782" cm="1">
        <f t="array" aca="1" ref="E60" ca="1">INDIRECT("'※ 인력 세부데이터'!"&amp;E$1&amp;$W61, TRUE)</f>
        <v>7</v>
      </c>
      <c r="F60" s="3783" cm="1">
        <f t="array" aca="1" ref="F60" ca="1">INDIRECT("'※ 인력 세부데이터'!"&amp;F$1&amp;$W61, TRUE)</f>
        <v>2</v>
      </c>
      <c r="G60" s="3784" cm="1">
        <f t="array" aca="1" ref="G60" ca="1">INDIRECT("'※ 인력 세부데이터'!"&amp;G$1&amp;$W61, TRUE)</f>
        <v>2</v>
      </c>
      <c r="H60" s="3784" cm="1">
        <f t="array" aca="1" ref="H60" ca="1">INDIRECT("'※ 인력 세부데이터'!"&amp;H$1&amp;$W61, TRUE)</f>
        <v>2</v>
      </c>
      <c r="I60" s="3784" cm="1">
        <f t="array" aca="1" ref="I60" ca="1">INDIRECT("'※ 인력 세부데이터'!"&amp;I$1&amp;$W61, TRUE)</f>
        <v>2</v>
      </c>
      <c r="J60" s="3784" cm="1">
        <f t="array" aca="1" ref="J60" ca="1">INDIRECT("'※ 인력 세부데이터'!"&amp;J$1&amp;$W61, TRUE)</f>
        <v>2</v>
      </c>
      <c r="K60" s="3784" cm="1">
        <f t="array" aca="1" ref="K60" ca="1">INDIRECT("'※ 인력 세부데이터'!"&amp;K$1&amp;$W61, TRUE)</f>
        <v>2</v>
      </c>
      <c r="L60" s="3784" cm="1">
        <f t="array" aca="1" ref="L60" ca="1">INDIRECT("'※ 인력 세부데이터'!"&amp;L$1&amp;$W61, TRUE)</f>
        <v>2</v>
      </c>
      <c r="M60" s="3784" cm="1">
        <f t="array" aca="1" ref="M60" ca="1">INDIRECT("'※ 인력 세부데이터'!"&amp;M$1&amp;$W61, TRUE)</f>
        <v>2</v>
      </c>
      <c r="N60" s="3784" cm="1">
        <f t="array" aca="1" ref="N60" ca="1">INDIRECT("'※ 인력 세부데이터'!"&amp;N$1&amp;$W61, TRUE)</f>
        <v>2</v>
      </c>
      <c r="O60" s="3784" cm="1">
        <f t="array" aca="1" ref="O60" ca="1">INDIRECT("'※ 인력 세부데이터'!"&amp;O$1&amp;$W61, TRUE)</f>
        <v>2</v>
      </c>
      <c r="P60" s="3784" cm="1">
        <f t="array" aca="1" ref="P60" ca="1">INDIRECT("'※ 인력 세부데이터'!"&amp;P$1&amp;$W61, TRUE)</f>
        <v>2</v>
      </c>
      <c r="Q60" s="3784" cm="1">
        <f t="array" aca="1" ref="Q60" ca="1">INDIRECT("'※ 인력 세부데이터'!"&amp;Q$1&amp;$W61, TRUE)</f>
        <v>2</v>
      </c>
      <c r="R60" s="3785" cm="1">
        <f t="array" aca="1" ref="R60" ca="1">INDIRECT("'※ 인력 세부데이터'!"&amp;R$1&amp;$W61, TRUE)</f>
        <v>9.0909090909090909E-4</v>
      </c>
      <c r="S60" s="3786" cm="1">
        <f t="array" aca="1" ref="S60" ca="1">INDIRECT("'※ 인력 세부데이터'!"&amp;S$1&amp;$W61, TRUE)</f>
        <v>1</v>
      </c>
      <c r="T60" s="3787" cm="1">
        <f t="array" aca="1" ref="T60" ca="1">INDIRECT("'※ 인력 세부데이터'!"&amp;T$1&amp;$W61, TRUE)</f>
        <v>0.5</v>
      </c>
      <c r="U60" s="3788" cm="1">
        <f t="array" aca="1" ref="U60" ca="1">INDIRECT("'※ 인력 세부데이터'!"&amp;U$1&amp;$W61, TRUE)</f>
        <v>46</v>
      </c>
      <c r="V60" s="3789" cm="1">
        <f t="array" aca="1" ref="V60" ca="1">INDIRECT("'※ 인력 세부데이터'!"&amp;V$1&amp;$W61, TRUE)</f>
        <v>17.954794520547942</v>
      </c>
      <c r="W60" s="3769">
        <f>ROW('※ 인력 세부데이터'!J56)</f>
        <v>56</v>
      </c>
      <c r="X60" s="3770"/>
      <c r="Y60" s="2682"/>
    </row>
    <row r="61" spans="1:25" x14ac:dyDescent="0.55000000000000004">
      <c r="A61" s="7180"/>
      <c r="B61" s="3790" t="s">
        <v>210</v>
      </c>
      <c r="C61" s="3780"/>
      <c r="D61" s="3781" cm="1">
        <f t="array" aca="1" ref="D61" ca="1">INDIRECT("'※ 인력 세부데이터'!"&amp;D$1&amp;$W62, TRUE)</f>
        <v>119.33333333333333</v>
      </c>
      <c r="E61" s="3782" cm="1">
        <f t="array" aca="1" ref="E61" ca="1">INDIRECT("'※ 인력 세부데이터'!"&amp;E$1&amp;$W62, TRUE)</f>
        <v>86.666666666666671</v>
      </c>
      <c r="F61" s="3783" cm="1">
        <f t="array" aca="1" ref="F61" ca="1">INDIRECT("'※ 인력 세부데이터'!"&amp;F$1&amp;$W62, TRUE)</f>
        <v>100</v>
      </c>
      <c r="G61" s="3784" cm="1">
        <f t="array" aca="1" ref="G61" ca="1">INDIRECT("'※ 인력 세부데이터'!"&amp;G$1&amp;$W62, TRUE)</f>
        <v>105</v>
      </c>
      <c r="H61" s="3784" cm="1">
        <f t="array" aca="1" ref="H61" ca="1">INDIRECT("'※ 인력 세부데이터'!"&amp;H$1&amp;$W62, TRUE)</f>
        <v>100</v>
      </c>
      <c r="I61" s="3784" cm="1">
        <f t="array" aca="1" ref="I61" ca="1">INDIRECT("'※ 인력 세부데이터'!"&amp;I$1&amp;$W62, TRUE)</f>
        <v>113</v>
      </c>
      <c r="J61" s="3784" cm="1">
        <f t="array" aca="1" ref="J61" ca="1">INDIRECT("'※ 인력 세부데이터'!"&amp;J$1&amp;$W62, TRUE)</f>
        <v>124</v>
      </c>
      <c r="K61" s="3784" cm="1">
        <f t="array" aca="1" ref="K61" ca="1">INDIRECT("'※ 인력 세부데이터'!"&amp;K$1&amp;$W62, TRUE)</f>
        <v>120</v>
      </c>
      <c r="L61" s="3784" cm="1">
        <f t="array" aca="1" ref="L61" ca="1">INDIRECT("'※ 인력 세부데이터'!"&amp;L$1&amp;$W62, TRUE)</f>
        <v>124</v>
      </c>
      <c r="M61" s="3784" cm="1">
        <f t="array" aca="1" ref="M61" ca="1">INDIRECT("'※ 인력 세부데이터'!"&amp;M$1&amp;$W62, TRUE)</f>
        <v>116</v>
      </c>
      <c r="N61" s="3784" cm="1">
        <f t="array" aca="1" ref="N61" ca="1">INDIRECT("'※ 인력 세부데이터'!"&amp;N$1&amp;$W62, TRUE)</f>
        <v>118</v>
      </c>
      <c r="O61" s="3784" cm="1">
        <f t="array" aca="1" ref="O61" ca="1">INDIRECT("'※ 인력 세부데이터'!"&amp;O$1&amp;$W62, TRUE)</f>
        <v>117</v>
      </c>
      <c r="P61" s="3784" cm="1">
        <f t="array" aca="1" ref="P61" ca="1">INDIRECT("'※ 인력 세부데이터'!"&amp;P$1&amp;$W62, TRUE)</f>
        <v>115</v>
      </c>
      <c r="Q61" s="3784" cm="1">
        <f t="array" aca="1" ref="Q61" ca="1">INDIRECT("'※ 인력 세부데이터'!"&amp;Q$1&amp;$W62, TRUE)</f>
        <v>118</v>
      </c>
      <c r="R61" s="3785" cm="1">
        <f t="array" aca="1" ref="R61" ca="1">INDIRECT("'※ 인력 세부데이터'!"&amp;R$1&amp;$W62, TRUE)</f>
        <v>5.3636363636363635E-2</v>
      </c>
      <c r="S61" s="3786" cm="1">
        <f t="array" aca="1" ref="S61" ca="1">INDIRECT("'※ 인력 세부데이터'!"&amp;S$1&amp;$W62, TRUE)</f>
        <v>71</v>
      </c>
      <c r="T61" s="3787" cm="1">
        <f t="array" aca="1" ref="T61" ca="1">INDIRECT("'※ 인력 세부데이터'!"&amp;T$1&amp;$W62, TRUE)</f>
        <v>0.60169491525423724</v>
      </c>
      <c r="U61" s="3788" cm="1">
        <f t="array" aca="1" ref="U61" ca="1">INDIRECT("'※ 인력 세부데이터'!"&amp;U$1&amp;$W62, TRUE)</f>
        <v>34.698275862068968</v>
      </c>
      <c r="V61" s="3789" cm="1">
        <f t="array" aca="1" ref="V61" ca="1">INDIRECT("'※ 인력 세부데이터'!"&amp;V$1&amp;$W62, TRUE)</f>
        <v>7.4066131317902677</v>
      </c>
      <c r="W61" s="3769">
        <f>ROW('※ 인력 세부데이터'!J57)</f>
        <v>57</v>
      </c>
      <c r="X61" s="3770"/>
      <c r="Y61" s="2682"/>
    </row>
    <row r="62" spans="1:25" ht="15.45" thickBot="1" x14ac:dyDescent="0.6">
      <c r="A62" s="7457"/>
      <c r="B62" s="3791" t="s">
        <v>1137</v>
      </c>
      <c r="C62" s="3792"/>
      <c r="D62" s="3793" cm="1">
        <f t="array" aca="1" ref="D62" ca="1">INDIRECT("'※ 인력 세부데이터'!"&amp;D$1&amp;$W63, TRUE)</f>
        <v>0</v>
      </c>
      <c r="E62" s="3794" cm="1">
        <f t="array" aca="1" ref="E62" ca="1">INDIRECT("'※ 인력 세부데이터'!"&amp;E$1&amp;$W63, TRUE)</f>
        <v>0</v>
      </c>
      <c r="F62" s="3793" cm="1">
        <f t="array" aca="1" ref="F62" ca="1">INDIRECT("'※ 인력 세부데이터'!"&amp;F$1&amp;$W63, TRUE)</f>
        <v>0</v>
      </c>
      <c r="G62" s="3795" cm="1">
        <f t="array" aca="1" ref="G62" ca="1">INDIRECT("'※ 인력 세부데이터'!"&amp;G$1&amp;$W63, TRUE)</f>
        <v>0</v>
      </c>
      <c r="H62" s="3795" cm="1">
        <f t="array" aca="1" ref="H62" ca="1">INDIRECT("'※ 인력 세부데이터'!"&amp;H$1&amp;$W63, TRUE)</f>
        <v>0</v>
      </c>
      <c r="I62" s="3795" cm="1">
        <f t="array" aca="1" ref="I62" ca="1">INDIRECT("'※ 인력 세부데이터'!"&amp;I$1&amp;$W63, TRUE)</f>
        <v>0</v>
      </c>
      <c r="J62" s="3795" cm="1">
        <f t="array" aca="1" ref="J62" ca="1">INDIRECT("'※ 인력 세부데이터'!"&amp;J$1&amp;$W63, TRUE)</f>
        <v>0</v>
      </c>
      <c r="K62" s="3795" cm="1">
        <f t="array" aca="1" ref="K62" ca="1">INDIRECT("'※ 인력 세부데이터'!"&amp;K$1&amp;$W63, TRUE)</f>
        <v>0</v>
      </c>
      <c r="L62" s="3795" cm="1">
        <f t="array" aca="1" ref="L62" ca="1">INDIRECT("'※ 인력 세부데이터'!"&amp;L$1&amp;$W63, TRUE)</f>
        <v>0</v>
      </c>
      <c r="M62" s="3795" cm="1">
        <f t="array" aca="1" ref="M62" ca="1">INDIRECT("'※ 인력 세부데이터'!"&amp;M$1&amp;$W63, TRUE)</f>
        <v>11</v>
      </c>
      <c r="N62" s="3795" cm="1">
        <f t="array" aca="1" ref="N62" ca="1">INDIRECT("'※ 인력 세부데이터'!"&amp;N$1&amp;$W63, TRUE)</f>
        <v>11</v>
      </c>
      <c r="O62" s="3795" cm="1">
        <f t="array" aca="1" ref="O62" ca="1">INDIRECT("'※ 인력 세부데이터'!"&amp;O$1&amp;$W63, TRUE)</f>
        <v>0</v>
      </c>
      <c r="P62" s="3795" cm="1">
        <f t="array" aca="1" ref="P62" ca="1">INDIRECT("'※ 인력 세부데이터'!"&amp;P$1&amp;$W63, TRUE)</f>
        <v>0</v>
      </c>
      <c r="Q62" s="3795" cm="1">
        <f t="array" aca="1" ref="Q62" ca="1">INDIRECT("'※ 인력 세부데이터'!"&amp;Q$1&amp;$W63, TRUE)</f>
        <v>0</v>
      </c>
      <c r="R62" s="3796" cm="1">
        <f t="array" aca="1" ref="R62" ca="1">INDIRECT("'※ 인력 세부데이터'!"&amp;R$1&amp;$W63, TRUE)</f>
        <v>0</v>
      </c>
      <c r="S62" s="3797" cm="1">
        <f t="array" aca="1" ref="S62" ca="1">INDIRECT("'※ 인력 세부데이터'!"&amp;S$1&amp;$W63, TRUE)</f>
        <v>0</v>
      </c>
      <c r="T62" s="3798" cm="1">
        <f t="array" aca="1" ref="T62" ca="1">INDIRECT("'※ 인력 세부데이터'!"&amp;T$1&amp;$W63, TRUE)</f>
        <v>0</v>
      </c>
      <c r="U62" s="3799" cm="1">
        <f t="array" aca="1" ref="U62" ca="1">INDIRECT("'※ 인력 세부데이터'!"&amp;U$1&amp;$W63, TRUE)</f>
        <v>0</v>
      </c>
      <c r="V62" s="3800" cm="1">
        <f t="array" aca="1" ref="V62" ca="1">INDIRECT("'※ 인력 세부데이터'!"&amp;V$1&amp;$W63, TRUE)</f>
        <v>0</v>
      </c>
      <c r="W62" s="3769">
        <f>ROW('※ 인력 세부데이터'!J58)</f>
        <v>58</v>
      </c>
      <c r="X62" s="3694"/>
    </row>
    <row r="63" spans="1:25" ht="16.5" customHeight="1" thickBot="1" x14ac:dyDescent="0.6">
      <c r="B63" s="2682"/>
      <c r="C63" s="2682"/>
      <c r="D63" s="2682"/>
      <c r="E63" s="2682"/>
      <c r="F63" s="3128"/>
      <c r="G63" s="3128"/>
      <c r="H63" s="3128"/>
      <c r="I63" s="3128"/>
      <c r="J63" s="3128"/>
      <c r="K63" s="3128"/>
      <c r="L63" s="3128"/>
      <c r="M63" s="3128"/>
      <c r="N63" s="3128"/>
      <c r="O63" s="3128"/>
      <c r="P63" s="3128"/>
      <c r="Q63" s="3128"/>
      <c r="R63" s="3468"/>
      <c r="S63" s="3468"/>
      <c r="T63" s="3468"/>
      <c r="U63" s="3468"/>
      <c r="V63" s="3468"/>
      <c r="W63" s="3769">
        <f>ROW('※ 인력 세부데이터'!J60)</f>
        <v>60</v>
      </c>
      <c r="X63" s="2682"/>
      <c r="Y63" s="2682"/>
    </row>
    <row r="64" spans="1:25" ht="21.9" customHeight="1" thickTop="1" x14ac:dyDescent="0.55000000000000004">
      <c r="A64" s="7445" t="s">
        <v>127</v>
      </c>
      <c r="B64" s="7446"/>
      <c r="C64" s="7447"/>
      <c r="D64" s="3801" t="s">
        <v>906</v>
      </c>
      <c r="E64" s="3802" t="s">
        <v>905</v>
      </c>
      <c r="F64" s="3803" t="str" cm="1">
        <f t="array" aca="1" ref="F64" ca="1">INDIRECT("'※ 인력 세부데이터'!"&amp;F$1&amp;$W65, TRUE)</f>
        <v>'25.1월</v>
      </c>
      <c r="G64" s="3804" t="str" cm="1">
        <f t="array" aca="1" ref="G64" ca="1">INDIRECT("'※ 인력 세부데이터'!"&amp;G$1&amp;$W65, TRUE)</f>
        <v>'25.2월</v>
      </c>
      <c r="H64" s="3804" t="str" cm="1">
        <f t="array" aca="1" ref="H64" ca="1">INDIRECT("'※ 인력 세부데이터'!"&amp;H$1&amp;$W65, TRUE)</f>
        <v>'25.3월</v>
      </c>
      <c r="I64" s="3804" t="str" cm="1">
        <f t="array" aca="1" ref="I64" ca="1">INDIRECT("'※ 인력 세부데이터'!"&amp;I$1&amp;$W65, TRUE)</f>
        <v>'25.4월</v>
      </c>
      <c r="J64" s="3804" t="str" cm="1">
        <f t="array" aca="1" ref="J64" ca="1">INDIRECT("'※ 인력 세부데이터'!"&amp;J$1&amp;$W65, TRUE)</f>
        <v>'25.5월</v>
      </c>
      <c r="K64" s="3804" t="str" cm="1">
        <f t="array" aca="1" ref="K64" ca="1">INDIRECT("'※ 인력 세부데이터'!"&amp;K$1&amp;$W65, TRUE)</f>
        <v>'25.6월</v>
      </c>
      <c r="L64" s="3804" t="str" cm="1">
        <f t="array" aca="1" ref="L64" ca="1">INDIRECT("'※ 인력 세부데이터'!"&amp;L$1&amp;$W65, TRUE)</f>
        <v>'25.7월</v>
      </c>
      <c r="M64" s="3804" t="str" cm="1">
        <f t="array" aca="1" ref="M64" ca="1">INDIRECT("'※ 인력 세부데이터'!"&amp;M$1&amp;$W65, TRUE)</f>
        <v>'25.8월</v>
      </c>
      <c r="N64" s="3804" t="str" cm="1">
        <f t="array" aca="1" ref="N64" ca="1">INDIRECT("'※ 인력 세부데이터'!"&amp;N$1&amp;$W65, TRUE)</f>
        <v>'25.9월</v>
      </c>
      <c r="O64" s="3804" t="str" cm="1">
        <f t="array" aca="1" ref="O64" ca="1">INDIRECT("'※ 인력 세부데이터'!"&amp;O$1&amp;$W65, TRUE)</f>
        <v>'25.10월</v>
      </c>
      <c r="P64" s="3804" t="str" cm="1">
        <f t="array" aca="1" ref="P64" ca="1">INDIRECT("'※ 인력 세부데이터'!"&amp;P$1&amp;$W65, TRUE)</f>
        <v>'25.11월</v>
      </c>
      <c r="Q64" s="3804" t="str" cm="1">
        <f t="array" aca="1" ref="Q64" ca="1">INDIRECT("'※ 인력 세부데이터'!"&amp;Q$1&amp;$W65, TRUE)</f>
        <v>'25.12월</v>
      </c>
      <c r="R64" s="3805" t="s">
        <v>463</v>
      </c>
      <c r="S64" s="3806" t="s">
        <v>1096</v>
      </c>
      <c r="T64" s="3806" t="s">
        <v>776</v>
      </c>
      <c r="U64" s="3806" t="s">
        <v>46</v>
      </c>
      <c r="V64" s="3806" t="s">
        <v>1095</v>
      </c>
      <c r="W64" s="2682"/>
      <c r="X64" s="2682"/>
      <c r="Y64" s="2682"/>
    </row>
    <row r="65" spans="1:59" ht="21.9" hidden="1" customHeight="1" x14ac:dyDescent="0.55000000000000004">
      <c r="A65" s="7443" t="s">
        <v>1203</v>
      </c>
      <c r="B65" s="7463" t="s">
        <v>1056</v>
      </c>
      <c r="C65" s="7464"/>
      <c r="D65" s="3807" cm="1">
        <f t="array" aca="1" ref="D65" ca="1">INDIRECT("'※ 인력 세부데이터'!"&amp;D$1&amp;$W66, TRUE)</f>
        <v>-6.416666666666667</v>
      </c>
      <c r="E65" s="3808" cm="1">
        <f t="array" aca="1" ref="E65" ca="1">INDIRECT("'※ 인력 세부데이터'!"&amp;E$1&amp;$W66, TRUE)</f>
        <v>12.25</v>
      </c>
      <c r="F65" s="3809" cm="1">
        <f t="array" aca="1" ref="F65" ca="1">INDIRECT("'※ 인력 세부데이터'!"&amp;F$1&amp;$W66, TRUE)</f>
        <v>31</v>
      </c>
      <c r="G65" s="3810" cm="1">
        <f t="array" aca="1" ref="G65" ca="1">INDIRECT("'※ 인력 세부데이터'!"&amp;G$1&amp;$W66, TRUE)</f>
        <v>-4</v>
      </c>
      <c r="H65" s="3810" cm="1">
        <f t="array" aca="1" ref="H65" ca="1">INDIRECT("'※ 인력 세부데이터'!"&amp;H$1&amp;$W66, TRUE)</f>
        <v>12</v>
      </c>
      <c r="I65" s="3810" cm="1">
        <f t="array" aca="1" ref="I65" ca="1">INDIRECT("'※ 인력 세부데이터'!"&amp;I$1&amp;$W66, TRUE)</f>
        <v>7</v>
      </c>
      <c r="J65" s="3810" cm="1">
        <f t="array" aca="1" ref="J65" ca="1">INDIRECT("'※ 인력 세부데이터'!"&amp;J$1&amp;$W66, TRUE)</f>
        <v>-4</v>
      </c>
      <c r="K65" s="3810" cm="1">
        <f t="array" aca="1" ref="K65" ca="1">INDIRECT("'※ 인력 세부데이터'!"&amp;K$1&amp;$W66, TRUE)</f>
        <v>-14</v>
      </c>
      <c r="L65" s="3810" cm="1">
        <f t="array" aca="1" ref="L65" ca="1">INDIRECT("'※ 인력 세부데이터'!"&amp;L$1&amp;$W66, TRUE)</f>
        <v>-24</v>
      </c>
      <c r="M65" s="3810" cm="1">
        <f t="array" aca="1" ref="M65" ca="1">INDIRECT("'※ 인력 세부데이터'!"&amp;M$1&amp;$W66, TRUE)</f>
        <v>-15</v>
      </c>
      <c r="N65" s="3810" cm="1">
        <f t="array" aca="1" ref="N65" ca="1">INDIRECT("'※ 인력 세부데이터'!"&amp;N$1&amp;$W66, TRUE)</f>
        <v>-5</v>
      </c>
      <c r="O65" s="3810" cm="1">
        <f t="array" aca="1" ref="O65" ca="1">INDIRECT("'※ 인력 세부데이터'!"&amp;O$1&amp;$W66, TRUE)</f>
        <v>-23</v>
      </c>
      <c r="P65" s="3810" cm="1">
        <f t="array" aca="1" ref="P65" ca="1">INDIRECT("'※ 인력 세부데이터'!"&amp;P$1&amp;$W66, TRUE)</f>
        <v>3</v>
      </c>
      <c r="Q65" s="3810" cm="1">
        <f t="array" aca="1" ref="Q65" ca="1">INDIRECT("'※ 인력 세부데이터'!"&amp;Q$1&amp;$W66, TRUE)</f>
        <v>9</v>
      </c>
      <c r="R65" s="3809" cm="1">
        <f t="array" aca="1" ref="R65" ca="1">INDIRECT("'※ 인력 세부데이터'!"&amp;R$2&amp;$W66, TRUE)</f>
        <v>-22</v>
      </c>
      <c r="S65" s="3810" cm="1">
        <f t="array" aca="1" ref="S65" ca="1">INDIRECT("'※ 인력 세부데이터'!"&amp;S$1&amp;$W66, TRUE)</f>
        <v>-22</v>
      </c>
      <c r="T65" s="3810" cm="1">
        <f t="array" aca="1" ref="T65" ca="1">INDIRECT("'※ 인력 세부데이터'!"&amp;T$1&amp;$W66, TRUE)</f>
        <v>-14.5</v>
      </c>
      <c r="U65" s="3810" cm="1">
        <f t="array" aca="1" ref="U65" ca="1">INDIRECT("'※ 인력 세부데이터'!"&amp;U$1&amp;$W66, TRUE)</f>
        <v>-14.5</v>
      </c>
      <c r="V65" s="3810" cm="1">
        <f t="array" aca="1" ref="V65" ca="1">INDIRECT("'※ 인력 세부데이터'!"&amp;V$1&amp;$W66, TRUE)</f>
        <v>6</v>
      </c>
      <c r="W65" s="3769">
        <v>3</v>
      </c>
      <c r="X65" s="2682"/>
      <c r="Y65" s="2682"/>
    </row>
    <row r="66" spans="1:59" ht="21.9" hidden="1" customHeight="1" x14ac:dyDescent="0.55000000000000004">
      <c r="A66" s="7443"/>
      <c r="B66" s="7465" t="s">
        <v>1057</v>
      </c>
      <c r="C66" s="7465"/>
      <c r="D66" s="3811" cm="1">
        <f t="array" aca="1" ref="D66" ca="1">INDIRECT("'※ 인력 세부데이터'!"&amp;D$1&amp;$W67, TRUE)</f>
        <v>0</v>
      </c>
      <c r="E66" s="3812" cm="1">
        <f t="array" aca="1" ref="E66" ca="1">INDIRECT("'※ 인력 세부데이터'!"&amp;E$1&amp;$W67, TRUE)</f>
        <v>0.33333333333333331</v>
      </c>
      <c r="F66" s="3813" cm="1">
        <f t="array" aca="1" ref="F66" ca="1">INDIRECT("'※ 인력 세부데이터'!"&amp;F$1&amp;$W67, TRUE)</f>
        <v>0</v>
      </c>
      <c r="G66" s="3814" cm="1">
        <f t="array" aca="1" ref="G66" ca="1">INDIRECT("'※ 인력 세부데이터'!"&amp;G$1&amp;$W67, TRUE)</f>
        <v>3</v>
      </c>
      <c r="H66" s="3814" cm="1">
        <f t="array" aca="1" ref="H66" ca="1">INDIRECT("'※ 인력 세부데이터'!"&amp;H$1&amp;$W67, TRUE)</f>
        <v>-2</v>
      </c>
      <c r="I66" s="3814" cm="1">
        <f t="array" aca="1" ref="I66" ca="1">INDIRECT("'※ 인력 세부데이터'!"&amp;I$1&amp;$W67, TRUE)</f>
        <v>0</v>
      </c>
      <c r="J66" s="3814" cm="1">
        <f t="array" aca="1" ref="J66" ca="1">INDIRECT("'※ 인력 세부데이터'!"&amp;J$1&amp;$W67, TRUE)</f>
        <v>0</v>
      </c>
      <c r="K66" s="3814" cm="1">
        <f t="array" aca="1" ref="K66" ca="1">INDIRECT("'※ 인력 세부데이터'!"&amp;K$1&amp;$W67, TRUE)</f>
        <v>0</v>
      </c>
      <c r="L66" s="3814" cm="1">
        <f t="array" aca="1" ref="L66" ca="1">INDIRECT("'※ 인력 세부데이터'!"&amp;L$1&amp;$W67, TRUE)</f>
        <v>-1</v>
      </c>
      <c r="M66" s="3814" cm="1">
        <f t="array" aca="1" ref="M66" ca="1">INDIRECT("'※ 인력 세부데이터'!"&amp;M$1&amp;$W67, TRUE)</f>
        <v>10</v>
      </c>
      <c r="N66" s="3814" cm="1">
        <f t="array" aca="1" ref="N66" ca="1">INDIRECT("'※ 인력 세부데이터'!"&amp;N$1&amp;$W67, TRUE)</f>
        <v>-1</v>
      </c>
      <c r="O66" s="3814" cm="1">
        <f t="array" aca="1" ref="O66" ca="1">INDIRECT("'※ 인력 세부데이터'!"&amp;O$1&amp;$W67, TRUE)</f>
        <v>0</v>
      </c>
      <c r="P66" s="3814" cm="1">
        <f t="array" aca="1" ref="P66" ca="1">INDIRECT("'※ 인력 세부데이터'!"&amp;P$1&amp;$W67, TRUE)</f>
        <v>0</v>
      </c>
      <c r="Q66" s="3814" cm="1">
        <f t="array" aca="1" ref="Q66" ca="1">INDIRECT("'※ 인력 세부데이터'!"&amp;Q$1&amp;$W67, TRUE)</f>
        <v>-5</v>
      </c>
      <c r="R66" s="3813" cm="1">
        <f t="array" aca="1" ref="R66" ca="1">INDIRECT("'※ 인력 세부데이터'!"&amp;R$2&amp;$W67, TRUE)</f>
        <v>-2</v>
      </c>
      <c r="S66" s="3814" cm="1">
        <f t="array" aca="1" ref="S66" ca="1">INDIRECT("'※ 인력 세부데이터'!"&amp;S$1&amp;$W67, TRUE)</f>
        <v>-2</v>
      </c>
      <c r="T66" s="3814" cm="1">
        <f t="array" aca="1" ref="T66" ca="1">INDIRECT("'※ 인력 세부데이터'!"&amp;T$1&amp;$W67, TRUE)</f>
        <v>0</v>
      </c>
      <c r="U66" s="3814" cm="1">
        <f t="array" aca="1" ref="U66" ca="1">INDIRECT("'※ 인력 세부데이터'!"&amp;U$1&amp;$W67, TRUE)</f>
        <v>0</v>
      </c>
      <c r="V66" s="3814" cm="1">
        <f t="array" aca="1" ref="V66" ca="1">INDIRECT("'※ 인력 세부데이터'!"&amp;V$1&amp;$W67, TRUE)</f>
        <v>-5</v>
      </c>
      <c r="W66" s="3769">
        <f>ROW('※ 인력 세부데이터'!J62)</f>
        <v>62</v>
      </c>
      <c r="X66" s="2682"/>
      <c r="Y66" s="2682"/>
    </row>
    <row r="67" spans="1:59" ht="21.9" hidden="1" customHeight="1" x14ac:dyDescent="0.55000000000000004">
      <c r="A67" s="7443"/>
      <c r="B67" s="7465" t="s">
        <v>1058</v>
      </c>
      <c r="C67" s="7465"/>
      <c r="D67" s="3811" cm="1">
        <f t="array" aca="1" ref="D67" ca="1">INDIRECT("'※ 인력 세부데이터'!"&amp;D$1&amp;$W68, TRUE)</f>
        <v>-5.916666666666667</v>
      </c>
      <c r="E67" s="3812" cm="1">
        <f t="array" aca="1" ref="E67" ca="1">INDIRECT("'※ 인력 세부데이터'!"&amp;E$1&amp;$W68, TRUE)</f>
        <v>12.083333333333334</v>
      </c>
      <c r="F67" s="3813" cm="1">
        <f t="array" aca="1" ref="F67" ca="1">INDIRECT("'※ 인력 세부데이터'!"&amp;F$1&amp;$W68, TRUE)</f>
        <v>25</v>
      </c>
      <c r="G67" s="3814" cm="1">
        <f t="array" aca="1" ref="G67" ca="1">INDIRECT("'※ 인력 세부데이터'!"&amp;G$1&amp;$W68, TRUE)</f>
        <v>-11</v>
      </c>
      <c r="H67" s="3814" cm="1">
        <f t="array" aca="1" ref="H67" ca="1">INDIRECT("'※ 인력 세부데이터'!"&amp;H$1&amp;$W68, TRUE)</f>
        <v>7</v>
      </c>
      <c r="I67" s="3814" cm="1">
        <f t="array" aca="1" ref="I67" ca="1">INDIRECT("'※ 인력 세부데이터'!"&amp;I$1&amp;$W68, TRUE)</f>
        <v>-3</v>
      </c>
      <c r="J67" s="3814" cm="1">
        <f t="array" aca="1" ref="J67" ca="1">INDIRECT("'※ 인력 세부데이터'!"&amp;J$1&amp;$W68, TRUE)</f>
        <v>-7</v>
      </c>
      <c r="K67" s="3814" cm="1">
        <f t="array" aca="1" ref="K67" ca="1">INDIRECT("'※ 인력 세부데이터'!"&amp;K$1&amp;$W68, TRUE)</f>
        <v>-15</v>
      </c>
      <c r="L67" s="3814" cm="1">
        <f t="array" aca="1" ref="L67" ca="1">INDIRECT("'※ 인력 세부데이터'!"&amp;L$1&amp;$W68, TRUE)</f>
        <v>-26</v>
      </c>
      <c r="M67" s="3814" cm="1">
        <f t="array" aca="1" ref="M67" ca="1">INDIRECT("'※ 인력 세부데이터'!"&amp;M$1&amp;$W68, TRUE)</f>
        <v>-24</v>
      </c>
      <c r="N67" s="3814" cm="1">
        <f t="array" aca="1" ref="N67" ca="1">INDIRECT("'※ 인력 세부데이터'!"&amp;N$1&amp;$W68, TRUE)</f>
        <v>-3</v>
      </c>
      <c r="O67" s="3814" cm="1">
        <f t="array" aca="1" ref="O67" ca="1">INDIRECT("'※ 인력 세부데이터'!"&amp;O$1&amp;$W68, TRUE)</f>
        <v>-21</v>
      </c>
      <c r="P67" s="3814" cm="1">
        <f t="array" aca="1" ref="P67" ca="1">INDIRECT("'※ 인력 세부데이터'!"&amp;P$1&amp;$W68, TRUE)</f>
        <v>3</v>
      </c>
      <c r="Q67" s="3814" cm="1">
        <f t="array" aca="1" ref="Q67" ca="1">INDIRECT("'※ 인력 세부데이터'!"&amp;Q$1&amp;$W68, TRUE)</f>
        <v>15</v>
      </c>
      <c r="R67" s="3813" cm="1">
        <f t="array" aca="1" ref="R67" ca="1">INDIRECT("'※ 인력 세부데이터'!"&amp;R$2&amp;$W68, TRUE)</f>
        <v>-9</v>
      </c>
      <c r="S67" s="3814" cm="1">
        <f t="array" aca="1" ref="S67" ca="1">INDIRECT("'※ 인력 세부데이터'!"&amp;S$1&amp;$W68, TRUE)</f>
        <v>-9</v>
      </c>
      <c r="T67" s="3814" cm="1">
        <f t="array" aca="1" ref="T67" ca="1">INDIRECT("'※ 인력 세부데이터'!"&amp;T$1&amp;$W68, TRUE)</f>
        <v>-17.083333333333336</v>
      </c>
      <c r="U67" s="3814" cm="1">
        <f t="array" aca="1" ref="U67" ca="1">INDIRECT("'※ 인력 세부데이터'!"&amp;U$1&amp;$W68, TRUE)</f>
        <v>-17.083333333333336</v>
      </c>
      <c r="V67" s="3814" cm="1">
        <f t="array" aca="1" ref="V67" ca="1">INDIRECT("'※ 인력 세부데이터'!"&amp;V$1&amp;$W68, TRUE)</f>
        <v>12</v>
      </c>
      <c r="W67" s="3769">
        <f>ROW('※ 인력 세부데이터'!J63)</f>
        <v>63</v>
      </c>
      <c r="X67" s="2682"/>
      <c r="Y67" s="2682"/>
    </row>
    <row r="68" spans="1:59" ht="21.9" hidden="1" customHeight="1" x14ac:dyDescent="0.55000000000000004">
      <c r="A68" s="7443"/>
      <c r="B68" s="7466" t="s">
        <v>1059</v>
      </c>
      <c r="C68" s="7466"/>
      <c r="D68" s="3811" cm="1">
        <f t="array" aca="1" ref="D68" ca="1">INDIRECT("'※ 인력 세부데이터'!"&amp;D$1&amp;$W69, TRUE)</f>
        <v>-0.5</v>
      </c>
      <c r="E68" s="3812" cm="1">
        <f t="array" aca="1" ref="E68" ca="1">INDIRECT("'※ 인력 세부데이터'!"&amp;E$1&amp;$W69, TRUE)</f>
        <v>-0.16666666666666666</v>
      </c>
      <c r="F68" s="3813" cm="1">
        <f t="array" aca="1" ref="F68" ca="1">INDIRECT("'※ 인력 세부데이터'!"&amp;F$1&amp;$W69, TRUE)</f>
        <v>6</v>
      </c>
      <c r="G68" s="3814" cm="1">
        <f t="array" aca="1" ref="G68" ca="1">INDIRECT("'※ 인력 세부데이터'!"&amp;G$1&amp;$W69, TRUE)</f>
        <v>4</v>
      </c>
      <c r="H68" s="3814" cm="1">
        <f t="array" aca="1" ref="H68" ca="1">INDIRECT("'※ 인력 세부데이터'!"&amp;H$1&amp;$W69, TRUE)</f>
        <v>7</v>
      </c>
      <c r="I68" s="3814" cm="1">
        <f t="array" aca="1" ref="I68" ca="1">INDIRECT("'※ 인력 세부데이터'!"&amp;I$1&amp;$W69, TRUE)</f>
        <v>10</v>
      </c>
      <c r="J68" s="3814" cm="1">
        <f t="array" aca="1" ref="J68" ca="1">INDIRECT("'※ 인력 세부데이터'!"&amp;J$1&amp;$W69, TRUE)</f>
        <v>3</v>
      </c>
      <c r="K68" s="3814" cm="1">
        <f t="array" aca="1" ref="K68" ca="1">INDIRECT("'※ 인력 세부데이터'!"&amp;K$1&amp;$W69, TRUE)</f>
        <v>1</v>
      </c>
      <c r="L68" s="3814" cm="1">
        <f t="array" aca="1" ref="L68" ca="1">INDIRECT("'※ 인력 세부데이터'!"&amp;L$1&amp;$W69, TRUE)</f>
        <v>3</v>
      </c>
      <c r="M68" s="3814" cm="1">
        <f t="array" aca="1" ref="M68" ca="1">INDIRECT("'※ 인력 세부데이터'!"&amp;M$1&amp;$W69, TRUE)</f>
        <v>-1</v>
      </c>
      <c r="N68" s="3814" cm="1">
        <f t="array" aca="1" ref="N68" ca="1">INDIRECT("'※ 인력 세부데이터'!"&amp;N$1&amp;$W69, TRUE)</f>
        <v>-1</v>
      </c>
      <c r="O68" s="3814" cm="1">
        <f t="array" aca="1" ref="O68" ca="1">INDIRECT("'※ 인력 세부데이터'!"&amp;O$1&amp;$W69, TRUE)</f>
        <v>-2</v>
      </c>
      <c r="P68" s="3814" cm="1">
        <f t="array" aca="1" ref="P68" ca="1">INDIRECT("'※ 인력 세부데이터'!"&amp;P$1&amp;$W69, TRUE)</f>
        <v>0</v>
      </c>
      <c r="Q68" s="3814" cm="1">
        <f t="array" aca="1" ref="Q68" ca="1">INDIRECT("'※ 인력 세부데이터'!"&amp;Q$1&amp;$W69, TRUE)</f>
        <v>-1</v>
      </c>
      <c r="R68" s="3813" cm="1">
        <f t="array" aca="1" ref="R68" ca="1">INDIRECT("'※ 인력 세부데이터'!"&amp;R$2&amp;$W69, TRUE)</f>
        <v>-11</v>
      </c>
      <c r="S68" s="3814" cm="1">
        <f t="array" aca="1" ref="S68" ca="1">INDIRECT("'※ 인력 세부데이터'!"&amp;S$1&amp;$W69, TRUE)</f>
        <v>-11</v>
      </c>
      <c r="T68" s="3814" cm="1">
        <f t="array" aca="1" ref="T68" ca="1">INDIRECT("'※ 인력 세부데이터'!"&amp;T$1&amp;$W69, TRUE)</f>
        <v>2.583333333333333</v>
      </c>
      <c r="U68" s="3814" cm="1">
        <f t="array" aca="1" ref="U68" ca="1">INDIRECT("'※ 인력 세부데이터'!"&amp;U$1&amp;$W69, TRUE)</f>
        <v>2.583333333333333</v>
      </c>
      <c r="V68" s="3814" cm="1">
        <f t="array" aca="1" ref="V68" ca="1">INDIRECT("'※ 인력 세부데이터'!"&amp;V$1&amp;$W69, TRUE)</f>
        <v>-1</v>
      </c>
      <c r="W68" s="3769">
        <f>ROW('※ 인력 세부데이터'!J64)</f>
        <v>64</v>
      </c>
      <c r="X68" s="2682"/>
      <c r="Y68" s="2682"/>
    </row>
    <row r="69" spans="1:59" ht="21.9" customHeight="1" x14ac:dyDescent="0.55000000000000004">
      <c r="A69" s="7442" t="s">
        <v>1204</v>
      </c>
      <c r="B69" s="7440" t="s">
        <v>1072</v>
      </c>
      <c r="C69" s="7441"/>
      <c r="D69" s="3815" cm="1">
        <f t="array" aca="1" ref="D69" ca="1">INDIRECT("'※ 인력 세부데이터'!"&amp;D$1&amp;$W70, TRUE)</f>
        <v>47.833333333333336</v>
      </c>
      <c r="E69" s="3816" cm="1">
        <f t="array" aca="1" ref="E69" ca="1">INDIRECT("'※ 인력 세부데이터'!"&amp;E$1&amp;$W70, TRUE)</f>
        <v>75.416666666666671</v>
      </c>
      <c r="F69" s="3817" cm="1">
        <f t="array" aca="1" ref="F69" ca="1">INDIRECT("'※ 인력 세부데이터'!"&amp;F$1&amp;$W70, TRUE)</f>
        <v>65</v>
      </c>
      <c r="G69" s="3818" cm="1">
        <f t="array" aca="1" ref="G69" ca="1">INDIRECT("'※ 인력 세부데이터'!"&amp;G$1&amp;$W70, TRUE)</f>
        <v>55</v>
      </c>
      <c r="H69" s="3818" cm="1">
        <f t="array" aca="1" ref="H69" ca="1">INDIRECT("'※ 인력 세부데이터'!"&amp;H$1&amp;$W70, TRUE)</f>
        <v>71</v>
      </c>
      <c r="I69" s="3818" cm="1">
        <f t="array" aca="1" ref="I69" ca="1">INDIRECT("'※ 인력 세부데이터'!"&amp;I$1&amp;$W70, TRUE)</f>
        <v>49</v>
      </c>
      <c r="J69" s="3818" cm="1">
        <f t="array" aca="1" ref="J69" ca="1">INDIRECT("'※ 인력 세부데이터'!"&amp;J$1&amp;$W70, TRUE)</f>
        <v>38</v>
      </c>
      <c r="K69" s="3818" cm="1">
        <f t="array" aca="1" ref="K69" ca="1">INDIRECT("'※ 인력 세부데이터'!"&amp;K$1&amp;$W70, TRUE)</f>
        <v>30</v>
      </c>
      <c r="L69" s="3818" cm="1">
        <f t="array" aca="1" ref="L69" ca="1">INDIRECT("'※ 인력 세부데이터'!"&amp;L$1&amp;$W70, TRUE)</f>
        <v>27</v>
      </c>
      <c r="M69" s="3818" cm="1">
        <f t="array" aca="1" ref="M69" ca="1">INDIRECT("'※ 인력 세부데이터'!"&amp;M$1&amp;$W70, TRUE)</f>
        <v>45</v>
      </c>
      <c r="N69" s="3818" cm="1">
        <f t="array" aca="1" ref="N69" ca="1">INDIRECT("'※ 인력 세부데이터'!"&amp;N$1&amp;$W70, TRUE)</f>
        <v>39</v>
      </c>
      <c r="O69" s="3818" cm="1">
        <f t="array" aca="1" ref="O69" ca="1">INDIRECT("'※ 인력 세부데이터'!"&amp;O$1&amp;$W70, TRUE)</f>
        <v>26</v>
      </c>
      <c r="P69" s="3818" cm="1">
        <f t="array" aca="1" ref="P69" ca="1">INDIRECT("'※ 인력 세부데이터'!"&amp;P$1&amp;$W70, TRUE)</f>
        <v>44</v>
      </c>
      <c r="Q69" s="3818" cm="1">
        <f t="array" aca="1" ref="Q69" ca="1">INDIRECT("'※ 인력 세부데이터'!"&amp;Q$1&amp;$W70, TRUE)</f>
        <v>41</v>
      </c>
      <c r="R69" s="3817" cm="1">
        <f t="array" aca="1" ref="R69" ca="1">INDIRECT("'※ 인력 세부데이터'!"&amp;R$2&amp;$W70, TRUE)</f>
        <v>-46</v>
      </c>
      <c r="S69" s="3818" cm="1">
        <f t="array" aca="1" ref="S69" ca="1">INDIRECT("'※ 인력 세부데이터'!"&amp;S$1&amp;$W70, TRUE)</f>
        <v>-46</v>
      </c>
      <c r="T69" s="3818" cm="1">
        <f t="array" aca="1" ref="T69" ca="1">INDIRECT("'※ 인력 세부데이터'!"&amp;T$1&amp;$W70, TRUE)</f>
        <v>-31.250000000000007</v>
      </c>
      <c r="U69" s="3818" cm="1">
        <f t="array" aca="1" ref="U69" ca="1">INDIRECT("'※ 인력 세부데이터'!"&amp;U$1&amp;$W70, TRUE)</f>
        <v>-31.250000000000007</v>
      </c>
      <c r="V69" s="3818" cm="1">
        <f t="array" aca="1" ref="V69" ca="1">INDIRECT("'※ 인력 세부데이터'!"&amp;V$1&amp;$W70, TRUE)</f>
        <v>-3</v>
      </c>
      <c r="W69" s="3769">
        <f>ROW('※ 인력 세부데이터'!J65)</f>
        <v>65</v>
      </c>
      <c r="X69" s="2682"/>
      <c r="Y69" s="2682"/>
    </row>
    <row r="70" spans="1:59" ht="21.9" customHeight="1" x14ac:dyDescent="0.55000000000000004">
      <c r="A70" s="7443"/>
      <c r="B70" s="3819" t="s">
        <v>1071</v>
      </c>
      <c r="C70" s="3820"/>
      <c r="D70" s="3821" cm="1">
        <f t="array" aca="1" ref="D70" ca="1">INDIRECT("'※ 인력 세부데이터'!"&amp;D$1&amp;$W71, TRUE)</f>
        <v>2.3090860804577076E-2</v>
      </c>
      <c r="E70" s="3822" cm="1">
        <f t="array" aca="1" ref="E70" ca="1">INDIRECT("'※ 인력 세부데이터'!"&amp;E$1&amp;$W71, TRUE)</f>
        <v>3.5839513638984209E-2</v>
      </c>
      <c r="F70" s="3823" cm="1">
        <f t="array" aca="1" ref="F70" ca="1">INDIRECT("'※ 인력 세부데이터'!"&amp;F$1&amp;$W71, TRUE)</f>
        <v>2.9318899413622011E-2</v>
      </c>
      <c r="G70" s="3824" cm="1">
        <f t="array" aca="1" ref="G70" ca="1">INDIRECT("'※ 인력 세부데이터'!"&amp;G$1&amp;$W71, TRUE)</f>
        <v>2.4853140533212834E-2</v>
      </c>
      <c r="H70" s="3824" cm="1">
        <f t="array" aca="1" ref="H70" ca="1">INDIRECT("'※ 인력 세부데이터'!"&amp;H$1&amp;$W71, TRUE)</f>
        <v>3.191011235955056E-2</v>
      </c>
      <c r="I70" s="3824" cm="1">
        <f t="array" aca="1" ref="I70" ca="1">INDIRECT("'※ 인력 세부데이터'!"&amp;I$1&amp;$W71, TRUE)</f>
        <v>2.1953405017921146E-2</v>
      </c>
      <c r="J70" s="3824" cm="1">
        <f t="array" aca="1" ref="J70" ca="1">INDIRECT("'※ 인력 세부데이터'!"&amp;J$1&amp;$W71, TRUE)</f>
        <v>1.7055655296229804E-2</v>
      </c>
      <c r="K70" s="3824" cm="1">
        <f t="array" aca="1" ref="K70" ca="1">INDIRECT("'※ 인력 세부데이터'!"&amp;K$1&amp;$W71, TRUE)</f>
        <v>1.3550135501355014E-2</v>
      </c>
      <c r="L70" s="3824" cm="1">
        <f t="array" aca="1" ref="L70" ca="1">INDIRECT("'※ 인력 세부데이터'!"&amp;L$1&amp;$W71, TRUE)</f>
        <v>1.2328767123287671E-2</v>
      </c>
      <c r="M70" s="3824" cm="1">
        <f t="array" aca="1" ref="M70" ca="1">INDIRECT("'※ 인력 세부데이터'!"&amp;M$1&amp;$W71, TRUE)</f>
        <v>2.0689655172413793E-2</v>
      </c>
      <c r="N70" s="3824" cm="1">
        <f t="array" aca="1" ref="N70" ca="1">INDIRECT("'※ 인력 세부데이터'!"&amp;N$1&amp;$W71, TRUE)</f>
        <v>1.7972350230414748E-2</v>
      </c>
      <c r="O70" s="3824" cm="1">
        <f t="array" aca="1" ref="O70" ca="1">INDIRECT("'※ 인력 세부데이터'!"&amp;O$1&amp;$W71, TRUE)</f>
        <v>1.2109920819748486E-2</v>
      </c>
      <c r="P70" s="3824" cm="1">
        <f t="array" aca="1" ref="P70" ca="1">INDIRECT("'※ 인력 세부데이터'!"&amp;P$1&amp;$W71, TRUE)</f>
        <v>2.0465116279069766E-2</v>
      </c>
      <c r="Q70" s="3824" cm="1">
        <f t="array" aca="1" ref="Q70" ca="1">INDIRECT("'※ 인력 세부데이터'!"&amp;Q$1&amp;$W71, TRUE)</f>
        <v>1.8990273274664196E-2</v>
      </c>
      <c r="R70" s="3823" cm="1">
        <f t="array" aca="1" ref="R70" ca="1">INDIRECT("'※ 인력 세부데이터'!"&amp;R$2&amp;$W71, TRUE)</f>
        <v>-2.0808445847019241E-2</v>
      </c>
      <c r="S70" s="3824" cm="1">
        <f t="array" aca="1" ref="S70" ca="1">INDIRECT("'※ 인력 세부데이터'!"&amp;S$1&amp;$W71, TRUE)</f>
        <v>-2.0808445847019241E-2</v>
      </c>
      <c r="T70" s="3824" cm="1">
        <f t="array" aca="1" ref="T70" ca="1">INDIRECT("'※ 인력 세부데이터'!"&amp;T$1&amp;$W71, TRUE)</f>
        <v>-1.5739727720526706E-2</v>
      </c>
      <c r="U70" s="3824" cm="1">
        <f t="array" aca="1" ref="U70" ca="1">INDIRECT("'※ 인력 세부데이터'!"&amp;U$1&amp;$W71, TRUE)</f>
        <v>-1.5739727720526706E-2</v>
      </c>
      <c r="V70" s="3824" cm="1">
        <f t="array" aca="1" ref="V70" ca="1">INDIRECT("'※ 인력 세부데이터'!"&amp;V$1&amp;$W71, TRUE)</f>
        <v>-1.4748430044055696E-3</v>
      </c>
      <c r="W70" s="3769">
        <f>ROW('※ 인력 세부데이터'!J66)</f>
        <v>66</v>
      </c>
      <c r="X70" s="2682"/>
      <c r="Y70" s="2682"/>
    </row>
    <row r="71" spans="1:59" ht="21.9" customHeight="1" x14ac:dyDescent="0.55000000000000004">
      <c r="A71" s="7443"/>
      <c r="B71" s="3825" t="s">
        <v>1057</v>
      </c>
      <c r="C71" s="3826"/>
      <c r="D71" s="3827" cm="1">
        <f t="array" aca="1" ref="D71" ca="1">INDIRECT("'※ 인력 세부데이터'!"&amp;D$1&amp;$W72, TRUE)</f>
        <v>1.0833333333333333</v>
      </c>
      <c r="E71" s="3828" cm="1">
        <f t="array" aca="1" ref="E71" ca="1">INDIRECT("'※ 인력 세부데이터'!"&amp;E$1&amp;$W72, TRUE)</f>
        <v>1.4166666666666667</v>
      </c>
      <c r="F71" s="3829" cm="1">
        <f t="array" aca="1" ref="F71" ca="1">INDIRECT("'※ 인력 세부데이터'!"&amp;F$1&amp;$W72, TRUE)</f>
        <v>0</v>
      </c>
      <c r="G71" s="3830" cm="1">
        <f t="array" aca="1" ref="G71" ca="1">INDIRECT("'※ 인력 세부데이터'!"&amp;G$1&amp;$W72, TRUE)</f>
        <v>3</v>
      </c>
      <c r="H71" s="3830" cm="1">
        <f t="array" aca="1" ref="H71" ca="1">INDIRECT("'※ 인력 세부데이터'!"&amp;H$1&amp;$W72, TRUE)</f>
        <v>0</v>
      </c>
      <c r="I71" s="3830" cm="1">
        <f t="array" aca="1" ref="I71" ca="1">INDIRECT("'※ 인력 세부데이터'!"&amp;I$1&amp;$W72, TRUE)</f>
        <v>0</v>
      </c>
      <c r="J71" s="3830" cm="1">
        <f t="array" aca="1" ref="J71" ca="1">INDIRECT("'※ 인력 세부데이터'!"&amp;J$1&amp;$W72, TRUE)</f>
        <v>0</v>
      </c>
      <c r="K71" s="3830" cm="1">
        <f t="array" aca="1" ref="K71" ca="1">INDIRECT("'※ 인력 세부데이터'!"&amp;K$1&amp;$W72, TRUE)</f>
        <v>0</v>
      </c>
      <c r="L71" s="3830" cm="1">
        <f t="array" aca="1" ref="L71" ca="1">INDIRECT("'※ 인력 세부데이터'!"&amp;L$1&amp;$W72, TRUE)</f>
        <v>0</v>
      </c>
      <c r="M71" s="3830" cm="1">
        <f t="array" aca="1" ref="M71" ca="1">INDIRECT("'※ 인력 세부데이터'!"&amp;M$1&amp;$W72, TRUE)</f>
        <v>11</v>
      </c>
      <c r="N71" s="3830" cm="1">
        <f t="array" aca="1" ref="N71" ca="1">INDIRECT("'※ 인력 세부데이터'!"&amp;N$1&amp;$W72, TRUE)</f>
        <v>0</v>
      </c>
      <c r="O71" s="3830" cm="1">
        <f t="array" aca="1" ref="O71" ca="1">INDIRECT("'※ 인력 세부데이터'!"&amp;O$1&amp;$W72, TRUE)</f>
        <v>0</v>
      </c>
      <c r="P71" s="3830" cm="1">
        <f t="array" aca="1" ref="P71" ca="1">INDIRECT("'※ 인력 세부데이터'!"&amp;P$1&amp;$W72, TRUE)</f>
        <v>0</v>
      </c>
      <c r="Q71" s="3830" cm="1">
        <f t="array" aca="1" ref="Q71" ca="1">INDIRECT("'※ 인력 세부데이터'!"&amp;Q$1&amp;$W72, TRUE)</f>
        <v>1</v>
      </c>
      <c r="R71" s="3829" cm="1">
        <f t="array" aca="1" ref="R71" ca="1">INDIRECT("'※ 인력 세부데이터'!"&amp;R$2&amp;$W72, TRUE)</f>
        <v>1</v>
      </c>
      <c r="S71" s="3830" cm="1">
        <f t="array" aca="1" ref="S71" ca="1">INDIRECT("'※ 인력 세부데이터'!"&amp;S$1&amp;$W72, TRUE)</f>
        <v>1</v>
      </c>
      <c r="T71" s="3830" cm="1">
        <f t="array" aca="1" ref="T71" ca="1">INDIRECT("'※ 인력 세부데이터'!"&amp;T$1&amp;$W72, TRUE)</f>
        <v>-0.16666666666666674</v>
      </c>
      <c r="U71" s="3830" cm="1">
        <f t="array" aca="1" ref="U71" ca="1">INDIRECT("'※ 인력 세부데이터'!"&amp;U$1&amp;$W72, TRUE)</f>
        <v>-0.16666666666666674</v>
      </c>
      <c r="V71" s="3830" cm="1">
        <f t="array" aca="1" ref="V71" ca="1">INDIRECT("'※ 인력 세부데이터'!"&amp;V$1&amp;$W72, TRUE)</f>
        <v>1</v>
      </c>
      <c r="W71" s="3769">
        <f>ROW('※ 인력 세부데이터'!J67)</f>
        <v>67</v>
      </c>
      <c r="X71" s="2682"/>
      <c r="Y71" s="2682"/>
    </row>
    <row r="72" spans="1:59" ht="21.9" customHeight="1" x14ac:dyDescent="0.55000000000000004">
      <c r="A72" s="7443"/>
      <c r="B72" s="3831" t="s">
        <v>1071</v>
      </c>
      <c r="C72" s="3832"/>
      <c r="D72" s="3833" cm="1">
        <f t="array" aca="1" ref="D72" ca="1">INDIRECT("'※ 인력 세부데이터'!"&amp;D$1&amp;$W73, TRUE)</f>
        <v>6.0353908199926483E-3</v>
      </c>
      <c r="E72" s="3834" cm="1">
        <f t="array" aca="1" ref="E72" ca="1">INDIRECT("'※ 인력 세부데이터'!"&amp;E$1&amp;$W73, TRUE)</f>
        <v>7.7486586777551839E-3</v>
      </c>
      <c r="F72" s="3835" cm="1">
        <f t="array" aca="1" ref="F72" ca="1">INDIRECT("'※ 인력 세부데이터'!"&amp;F$1&amp;$W73, TRUE)</f>
        <v>0</v>
      </c>
      <c r="G72" s="3836" cm="1">
        <f t="array" aca="1" ref="G72" ca="1">INDIRECT("'※ 인력 세부데이터'!"&amp;G$1&amp;$W73, TRUE)</f>
        <v>1.6393442622950821E-2</v>
      </c>
      <c r="H72" s="3836" cm="1">
        <f t="array" aca="1" ref="H72" ca="1">INDIRECT("'※ 인력 세부데이터'!"&amp;H$1&amp;$W73, TRUE)</f>
        <v>0</v>
      </c>
      <c r="I72" s="3836" cm="1">
        <f t="array" aca="1" ref="I72" ca="1">INDIRECT("'※ 인력 세부데이터'!"&amp;I$1&amp;$W73, TRUE)</f>
        <v>0</v>
      </c>
      <c r="J72" s="3836" cm="1">
        <f t="array" aca="1" ref="J72" ca="1">INDIRECT("'※ 인력 세부데이터'!"&amp;J$1&amp;$W73, TRUE)</f>
        <v>0</v>
      </c>
      <c r="K72" s="3836" cm="1">
        <f t="array" aca="1" ref="K72" ca="1">INDIRECT("'※ 인력 세부데이터'!"&amp;K$1&amp;$W73, TRUE)</f>
        <v>0</v>
      </c>
      <c r="L72" s="3836" cm="1">
        <f t="array" aca="1" ref="L72" ca="1">INDIRECT("'※ 인력 세부데이터'!"&amp;L$1&amp;$W73, TRUE)</f>
        <v>0</v>
      </c>
      <c r="M72" s="3836" cm="1">
        <f t="array" aca="1" ref="M72" ca="1">INDIRECT("'※ 인력 세부데이터'!"&amp;M$1&amp;$W73, TRUE)</f>
        <v>5.7894736842105263E-2</v>
      </c>
      <c r="N72" s="3836" cm="1">
        <f t="array" aca="1" ref="N72" ca="1">INDIRECT("'※ 인력 세부데이터'!"&amp;N$1&amp;$W73, TRUE)</f>
        <v>0</v>
      </c>
      <c r="O72" s="3836" cm="1">
        <f t="array" aca="1" ref="O72" ca="1">INDIRECT("'※ 인력 세부데이터'!"&amp;O$1&amp;$W73, TRUE)</f>
        <v>0</v>
      </c>
      <c r="P72" s="3836" cm="1">
        <f t="array" aca="1" ref="P72" ca="1">INDIRECT("'※ 인력 세부데이터'!"&amp;P$1&amp;$W73, TRUE)</f>
        <v>0</v>
      </c>
      <c r="Q72" s="3836" cm="1">
        <f t="array" aca="1" ref="Q72" ca="1">INDIRECT("'※ 인력 세부데이터'!"&amp;Q$1&amp;$W73, TRUE)</f>
        <v>5.434782608695652E-3</v>
      </c>
      <c r="R72" s="3835" cm="1">
        <f t="array" aca="1" ref="R72" ca="1">INDIRECT("'※ 인력 세부데이터'!"&amp;R$2&amp;$W73, TRUE)</f>
        <v>5.434782608695652E-3</v>
      </c>
      <c r="S72" s="3836" cm="1">
        <f t="array" aca="1" ref="S72" ca="1">INDIRECT("'※ 인력 세부데이터'!"&amp;S$1&amp;$W73, TRUE)</f>
        <v>5.434782608695652E-3</v>
      </c>
      <c r="T72" s="3836" cm="1">
        <f t="array" aca="1" ref="T72" ca="1">INDIRECT("'※ 인력 세부데이터'!"&amp;T$1&amp;$W73, TRUE)</f>
        <v>-1.105078504942539E-3</v>
      </c>
      <c r="U72" s="3836" cm="1">
        <f t="array" aca="1" ref="U72" ca="1">INDIRECT("'※ 인력 세부데이터'!"&amp;U$1&amp;$W73, TRUE)</f>
        <v>-1.105078504942539E-3</v>
      </c>
      <c r="V72" s="3836" cm="1">
        <f t="array" aca="1" ref="V72" ca="1">INDIRECT("'※ 인력 세부데이터'!"&amp;V$1&amp;$W73, TRUE)</f>
        <v>5.434782608695652E-3</v>
      </c>
      <c r="W72" s="3769">
        <f>ROW('※ 인력 세부데이터'!J68)</f>
        <v>68</v>
      </c>
      <c r="X72" s="2682"/>
      <c r="Y72" s="2682"/>
    </row>
    <row r="73" spans="1:59" ht="21.9" customHeight="1" x14ac:dyDescent="0.55000000000000004">
      <c r="A73" s="7443"/>
      <c r="B73" s="3825" t="s">
        <v>1058</v>
      </c>
      <c r="C73" s="3826"/>
      <c r="D73" s="3827" cm="1">
        <f t="array" aca="1" ref="D73" ca="1">INDIRECT("'※ 인력 세부데이터'!"&amp;D$1&amp;$W74, TRUE)</f>
        <v>45.166666666666664</v>
      </c>
      <c r="E73" s="3828" cm="1">
        <f t="array" aca="1" ref="E73" ca="1">INDIRECT("'※ 인력 세부데이터'!"&amp;E$1&amp;$W74, TRUE)</f>
        <v>67.25</v>
      </c>
      <c r="F73" s="3829" cm="1">
        <f t="array" aca="1" ref="F73" ca="1">INDIRECT("'※ 인력 세부데이터'!"&amp;F$1&amp;$W74, TRUE)</f>
        <v>57</v>
      </c>
      <c r="G73" s="3830" cm="1">
        <f t="array" aca="1" ref="G73" ca="1">INDIRECT("'※ 인력 세부데이터'!"&amp;G$1&amp;$W74, TRUE)</f>
        <v>44</v>
      </c>
      <c r="H73" s="3830" cm="1">
        <f t="array" aca="1" ref="H73" ca="1">INDIRECT("'※ 인력 세부데이터'!"&amp;H$1&amp;$W74, TRUE)</f>
        <v>59</v>
      </c>
      <c r="I73" s="3830" cm="1">
        <f t="array" aca="1" ref="I73" ca="1">INDIRECT("'※ 인력 세부데이터'!"&amp;I$1&amp;$W74, TRUE)</f>
        <v>36</v>
      </c>
      <c r="J73" s="3830" cm="1">
        <f t="array" aca="1" ref="J73" ca="1">INDIRECT("'※ 인력 세부데이터'!"&amp;J$1&amp;$W74, TRUE)</f>
        <v>29</v>
      </c>
      <c r="K73" s="3830" cm="1">
        <f t="array" aca="1" ref="K73" ca="1">INDIRECT("'※ 인력 세부데이터'!"&amp;K$1&amp;$W74, TRUE)</f>
        <v>25</v>
      </c>
      <c r="L73" s="3830" cm="1">
        <f t="array" aca="1" ref="L73" ca="1">INDIRECT("'※ 인력 세부데이터'!"&amp;L$1&amp;$W74, TRUE)</f>
        <v>21</v>
      </c>
      <c r="M73" s="3830" cm="1">
        <f t="array" aca="1" ref="M73" ca="1">INDIRECT("'※ 인력 세부데이터'!"&amp;M$1&amp;$W74, TRUE)</f>
        <v>28</v>
      </c>
      <c r="N73" s="3830" cm="1">
        <f t="array" aca="1" ref="N73" ca="1">INDIRECT("'※ 인력 세부데이터'!"&amp;N$1&amp;$W74, TRUE)</f>
        <v>37</v>
      </c>
      <c r="O73" s="3830" cm="1">
        <f t="array" aca="1" ref="O73" ca="1">INDIRECT("'※ 인력 세부데이터'!"&amp;O$1&amp;$W74, TRUE)</f>
        <v>25</v>
      </c>
      <c r="P73" s="3830" cm="1">
        <f t="array" aca="1" ref="P73" ca="1">INDIRECT("'※ 인력 세부데이터'!"&amp;P$1&amp;$W74, TRUE)</f>
        <v>42</v>
      </c>
      <c r="Q73" s="3830" cm="1">
        <f t="array" aca="1" ref="Q73" ca="1">INDIRECT("'※ 인력 세부데이터'!"&amp;Q$1&amp;$W74, TRUE)</f>
        <v>39</v>
      </c>
      <c r="R73" s="3829" cm="1">
        <f t="array" aca="1" ref="R73" ca="1">INDIRECT("'※ 인력 세부데이터'!"&amp;R$2&amp;$W74, TRUE)</f>
        <v>-34</v>
      </c>
      <c r="S73" s="3830" cm="1">
        <f t="array" aca="1" ref="S73" ca="1">INDIRECT("'※ 인력 세부데이터'!"&amp;S$1&amp;$W74, TRUE)</f>
        <v>-34</v>
      </c>
      <c r="T73" s="3830" cm="1">
        <f t="array" aca="1" ref="T73" ca="1">INDIRECT("'※ 인력 세부데이터'!"&amp;T$1&amp;$W74, TRUE)</f>
        <v>-30.416666666666664</v>
      </c>
      <c r="U73" s="3830" cm="1">
        <f t="array" aca="1" ref="U73" ca="1">INDIRECT("'※ 인력 세부데이터'!"&amp;U$1&amp;$W74, TRUE)</f>
        <v>-30.416666666666664</v>
      </c>
      <c r="V73" s="3830" cm="1">
        <f t="array" aca="1" ref="V73" ca="1">INDIRECT("'※ 인력 세부데이터'!"&amp;V$1&amp;$W74, TRUE)</f>
        <v>-3</v>
      </c>
      <c r="W73" s="3769">
        <f>ROW('※ 인력 세부데이터'!J69)</f>
        <v>69</v>
      </c>
      <c r="X73" s="2682"/>
      <c r="Y73" s="2682"/>
    </row>
    <row r="74" spans="1:59" ht="21.9" customHeight="1" x14ac:dyDescent="0.55000000000000004">
      <c r="A74" s="7443"/>
      <c r="B74" s="3831" t="s">
        <v>1071</v>
      </c>
      <c r="C74" s="3832"/>
      <c r="D74" s="3833" cm="1">
        <f t="array" aca="1" ref="D74" ca="1">INDIRECT("'※ 인력 세부데이터'!"&amp;D$1&amp;$W75, TRUE)</f>
        <v>2.5425569883562732E-2</v>
      </c>
      <c r="E74" s="3834" cm="1">
        <f t="array" aca="1" ref="E74" ca="1">INDIRECT("'※ 인력 세부데이터'!"&amp;E$1&amp;$W75, TRUE)</f>
        <v>3.7116510016892736E-2</v>
      </c>
      <c r="F74" s="3835" cm="1">
        <f t="array" aca="1" ref="F74" ca="1">INDIRECT("'※ 인력 세부데이터'!"&amp;F$1&amp;$W75, TRUE)</f>
        <v>2.9765013054830286E-2</v>
      </c>
      <c r="G74" s="3836" cm="1">
        <f t="array" aca="1" ref="G74" ca="1">INDIRECT("'※ 인력 세부데이터'!"&amp;G$1&amp;$W75, TRUE)</f>
        <v>2.3109243697478993E-2</v>
      </c>
      <c r="H74" s="3836" cm="1">
        <f t="array" aca="1" ref="H74" ca="1">INDIRECT("'※ 인력 세부데이터'!"&amp;H$1&amp;$W75, TRUE)</f>
        <v>3.0873888016745159E-2</v>
      </c>
      <c r="I74" s="3836" cm="1">
        <f t="array" aca="1" ref="I74" ca="1">INDIRECT("'※ 인력 세부데이터'!"&amp;I$1&amp;$W75, TRUE)</f>
        <v>1.8867924528301886E-2</v>
      </c>
      <c r="J74" s="3836" cm="1">
        <f t="array" aca="1" ref="J74" ca="1">INDIRECT("'※ 인력 세부데이터'!"&amp;J$1&amp;$W75, TRUE)</f>
        <v>1.5255128879537085E-2</v>
      </c>
      <c r="K74" s="3836" cm="1">
        <f t="array" aca="1" ref="K74" ca="1">INDIRECT("'※ 인력 세부데이터'!"&amp;K$1&amp;$W75, TRUE)</f>
        <v>1.3255567338282079E-2</v>
      </c>
      <c r="L74" s="3836" cm="1">
        <f t="array" aca="1" ref="L74" ca="1">INDIRECT("'※ 인력 세부데이터'!"&amp;L$1&amp;$W75, TRUE)</f>
        <v>1.1290322580645161E-2</v>
      </c>
      <c r="M74" s="3836" cm="1">
        <f t="array" aca="1" ref="M74" ca="1">INDIRECT("'※ 인력 세부데이터'!"&amp;M$1&amp;$W75, TRUE)</f>
        <v>1.5250544662309368E-2</v>
      </c>
      <c r="N74" s="3836" cm="1">
        <f t="array" aca="1" ref="N74" ca="1">INDIRECT("'※ 인력 세부데이터'!"&amp;N$1&amp;$W75, TRUE)</f>
        <v>2.0185488270594652E-2</v>
      </c>
      <c r="O74" s="3836" cm="1">
        <f t="array" aca="1" ref="O74" ca="1">INDIRECT("'※ 인력 세부데이터'!"&amp;O$1&amp;$W75, TRUE)</f>
        <v>1.379690949227373E-2</v>
      </c>
      <c r="P74" s="3836" cm="1">
        <f t="array" aca="1" ref="P74" ca="1">INDIRECT("'※ 인력 세부데이터'!"&amp;P$1&amp;$W75, TRUE)</f>
        <v>2.3140495867768594E-2</v>
      </c>
      <c r="Q74" s="3836" cm="1">
        <f t="array" aca="1" ref="Q74" ca="1">INDIRECT("'※ 인력 세부데이터'!"&amp;Q$1&amp;$W75, TRUE)</f>
        <v>2.1311475409836064E-2</v>
      </c>
      <c r="R74" s="3835" cm="1">
        <f t="array" aca="1" ref="R74" ca="1">INDIRECT("'※ 인력 세부데이터'!"&amp;R$2&amp;$W75, TRUE)</f>
        <v>-1.7312863214502559E-2</v>
      </c>
      <c r="S74" s="3836" cm="1">
        <f t="array" aca="1" ref="S74" ca="1">INDIRECT("'※ 인력 세부데이터'!"&amp;S$1&amp;$W75, TRUE)</f>
        <v>-1.7312863214502559E-2</v>
      </c>
      <c r="T74" s="3836" cm="1">
        <f t="array" aca="1" ref="T74" ca="1">INDIRECT("'※ 인력 세부데이터'!"&amp;T$1&amp;$W75, TRUE)</f>
        <v>-1.744134320034248E-2</v>
      </c>
      <c r="U74" s="3836" cm="1">
        <f t="array" aca="1" ref="U74" ca="1">INDIRECT("'※ 인력 세부데이터'!"&amp;U$1&amp;$W75, TRUE)</f>
        <v>-1.744134320034248E-2</v>
      </c>
      <c r="V74" s="3836" cm="1">
        <f t="array" aca="1" ref="V74" ca="1">INDIRECT("'※ 인력 세부데이터'!"&amp;V$1&amp;$W75, TRUE)</f>
        <v>-1.8290204579325293E-3</v>
      </c>
      <c r="W74" s="3769">
        <f>ROW('※ 인력 세부데이터'!J70)</f>
        <v>70</v>
      </c>
      <c r="X74" s="2682"/>
      <c r="Y74" s="2682"/>
    </row>
    <row r="75" spans="1:59" ht="21.9" customHeight="1" x14ac:dyDescent="0.55000000000000004">
      <c r="A75" s="7443"/>
      <c r="B75" s="3825" t="s">
        <v>1059</v>
      </c>
      <c r="C75" s="3826"/>
      <c r="D75" s="3827" cm="1">
        <f t="array" aca="1" ref="D75" ca="1">INDIRECT("'※ 인력 세부데이터'!"&amp;D$1&amp;$W76, TRUE)</f>
        <v>1.5833333333333333</v>
      </c>
      <c r="E75" s="3828" cm="1">
        <f t="array" aca="1" ref="E75" ca="1">INDIRECT("'※ 인력 세부데이터'!"&amp;E$1&amp;$W76, TRUE)</f>
        <v>6.75</v>
      </c>
      <c r="F75" s="3829" cm="1">
        <f t="array" aca="1" ref="F75" ca="1">INDIRECT("'※ 인력 세부데이터'!"&amp;F$1&amp;$W76, TRUE)</f>
        <v>8</v>
      </c>
      <c r="G75" s="3830" cm="1">
        <f t="array" aca="1" ref="G75" ca="1">INDIRECT("'※ 인력 세부데이터'!"&amp;G$1&amp;$W76, TRUE)</f>
        <v>8</v>
      </c>
      <c r="H75" s="3830" cm="1">
        <f t="array" aca="1" ref="H75" ca="1">INDIRECT("'※ 인력 세부데이터'!"&amp;H$1&amp;$W76, TRUE)</f>
        <v>12</v>
      </c>
      <c r="I75" s="3830" cm="1">
        <f t="array" aca="1" ref="I75" ca="1">INDIRECT("'※ 인력 세부데이터'!"&amp;I$1&amp;$W76, TRUE)</f>
        <v>13</v>
      </c>
      <c r="J75" s="3830" cm="1">
        <f t="array" aca="1" ref="J75" ca="1">INDIRECT("'※ 인력 세부데이터'!"&amp;J$1&amp;$W76, TRUE)</f>
        <v>9</v>
      </c>
      <c r="K75" s="3830" cm="1">
        <f t="array" aca="1" ref="K75" ca="1">INDIRECT("'※ 인력 세부데이터'!"&amp;K$1&amp;$W76, TRUE)</f>
        <v>5</v>
      </c>
      <c r="L75" s="3830" cm="1">
        <f t="array" aca="1" ref="L75" ca="1">INDIRECT("'※ 인력 세부데이터'!"&amp;L$1&amp;$W76, TRUE)</f>
        <v>6</v>
      </c>
      <c r="M75" s="3830" cm="1">
        <f t="array" aca="1" ref="M75" ca="1">INDIRECT("'※ 인력 세부데이터'!"&amp;M$1&amp;$W76, TRUE)</f>
        <v>6</v>
      </c>
      <c r="N75" s="3830" cm="1">
        <f t="array" aca="1" ref="N75" ca="1">INDIRECT("'※ 인력 세부데이터'!"&amp;N$1&amp;$W76, TRUE)</f>
        <v>2</v>
      </c>
      <c r="O75" s="3830" cm="1">
        <f t="array" aca="1" ref="O75" ca="1">INDIRECT("'※ 인력 세부데이터'!"&amp;O$1&amp;$W76, TRUE)</f>
        <v>1</v>
      </c>
      <c r="P75" s="3830" cm="1">
        <f t="array" aca="1" ref="P75" ca="1">INDIRECT("'※ 인력 세부데이터'!"&amp;P$1&amp;$W76, TRUE)</f>
        <v>2</v>
      </c>
      <c r="Q75" s="3830" cm="1">
        <f t="array" aca="1" ref="Q75" ca="1">INDIRECT("'※ 인력 세부데이터'!"&amp;Q$1&amp;$W76, TRUE)</f>
        <v>1</v>
      </c>
      <c r="R75" s="3829" cm="1">
        <f t="array" aca="1" ref="R75" ca="1">INDIRECT("'※ 인력 세부데이터'!"&amp;R$2&amp;$W76, TRUE)</f>
        <v>-13</v>
      </c>
      <c r="S75" s="3830" cm="1">
        <f t="array" aca="1" ref="S75" ca="1">INDIRECT("'※ 인력 세부데이터'!"&amp;S$1&amp;$W76, TRUE)</f>
        <v>-13</v>
      </c>
      <c r="T75" s="3830" cm="1">
        <f t="array" aca="1" ref="T75" ca="1">INDIRECT("'※ 인력 세부데이터'!"&amp;T$1&amp;$W76, TRUE)</f>
        <v>-0.66666666666666696</v>
      </c>
      <c r="U75" s="3830" cm="1">
        <f t="array" aca="1" ref="U75" ca="1">INDIRECT("'※ 인력 세부데이터'!"&amp;U$1&amp;$W76, TRUE)</f>
        <v>-0.66666666666666696</v>
      </c>
      <c r="V75" s="3830" cm="1">
        <f t="array" aca="1" ref="V75" ca="1">INDIRECT("'※ 인력 세부데이터'!"&amp;V$1&amp;$W76, TRUE)</f>
        <v>-1</v>
      </c>
      <c r="W75" s="3769">
        <f>ROW('※ 인력 세부데이터'!J71)</f>
        <v>71</v>
      </c>
      <c r="X75" s="2682"/>
      <c r="Y75" s="2682"/>
    </row>
    <row r="76" spans="1:59" ht="21.9" customHeight="1" x14ac:dyDescent="0.55000000000000004">
      <c r="A76" s="7443"/>
      <c r="B76" s="3837" t="s">
        <v>1070</v>
      </c>
      <c r="C76" s="3826"/>
      <c r="D76" s="3838" cm="1">
        <f t="array" aca="1" ref="D76" ca="1">INDIRECT("'※ 인력 세부데이터'!"&amp;D$1&amp;$W77, TRUE)</f>
        <v>1.3327164243061638E-2</v>
      </c>
      <c r="E76" s="3839" cm="1">
        <f t="array" aca="1" ref="E76" ca="1">INDIRECT("'※ 인력 세부데이터'!"&amp;E$1&amp;$W77, TRUE)</f>
        <v>6.095533165109366E-2</v>
      </c>
      <c r="F76" s="3840" cm="1">
        <f t="array" aca="1" ref="F76" ca="1">INDIRECT("'※ 인력 세부데이터'!"&amp;F$1&amp;$W77, TRUE)</f>
        <v>6.5573770491803282E-2</v>
      </c>
      <c r="G76" s="3841" cm="1">
        <f t="array" aca="1" ref="G76" ca="1">INDIRECT("'※ 인력 세부데이터'!"&amp;G$1&amp;$W77, TRUE)</f>
        <v>6.3492063492063489E-2</v>
      </c>
      <c r="H76" s="3841" cm="1">
        <f t="array" aca="1" ref="H76" ca="1">INDIRECT("'※ 인력 세부데이터'!"&amp;H$1&amp;$W77, TRUE)</f>
        <v>9.0225563909774431E-2</v>
      </c>
      <c r="I76" s="3841" cm="1">
        <f t="array" aca="1" ref="I76" ca="1">INDIRECT("'※ 인력 세부데이터'!"&amp;I$1&amp;$W77, TRUE)</f>
        <v>9.0909090909090912E-2</v>
      </c>
      <c r="J76" s="3841" cm="1">
        <f t="array" aca="1" ref="J76" ca="1">INDIRECT("'※ 인력 세부데이터'!"&amp;J$1&amp;$W77, TRUE)</f>
        <v>6.1643835616438353E-2</v>
      </c>
      <c r="K76" s="3841" cm="1">
        <f t="array" aca="1" ref="K76" ca="1">INDIRECT("'※ 인력 세부데이터'!"&amp;K$1&amp;$W77, TRUE)</f>
        <v>3.4013605442176874E-2</v>
      </c>
      <c r="L76" s="3841" cm="1">
        <f t="array" aca="1" ref="L76" ca="1">INDIRECT("'※ 인력 세부데이터'!"&amp;L$1&amp;$W77, TRUE)</f>
        <v>0.04</v>
      </c>
      <c r="M76" s="3841" cm="1">
        <f t="array" aca="1" ref="M76" ca="1">INDIRECT("'※ 인력 세부데이터'!"&amp;M$1&amp;$W77, TRUE)</f>
        <v>4.0268456375838924E-2</v>
      </c>
      <c r="N76" s="3841" cm="1">
        <f t="array" aca="1" ref="N76" ca="1">INDIRECT("'※ 인력 세부데이터'!"&amp;N$1&amp;$W77, TRUE)</f>
        <v>1.3513513513513514E-2</v>
      </c>
      <c r="O76" s="3841" cm="1">
        <f t="array" aca="1" ref="O76" ca="1">INDIRECT("'※ 인력 세부데이터'!"&amp;O$1&amp;$W77, TRUE)</f>
        <v>6.8493150684931503E-3</v>
      </c>
      <c r="P76" s="3841" cm="1">
        <f t="array" aca="1" ref="P76" ca="1">INDIRECT("'※ 인력 세부데이터'!"&amp;P$1&amp;$W77, TRUE)</f>
        <v>1.3698630136986301E-2</v>
      </c>
      <c r="Q76" s="3841" cm="1">
        <f t="array" aca="1" ref="Q76" ca="1">INDIRECT("'※ 인력 세부데이터'!"&amp;Q$1&amp;$W77, TRUE)</f>
        <v>6.8965517241379309E-3</v>
      </c>
      <c r="R76" s="3840" cm="1">
        <f t="array" aca="1" ref="R76" ca="1">INDIRECT("'※ 인력 세부데이터'!"&amp;R$2&amp;$W77, TRUE)</f>
        <v>-0.11379310344827587</v>
      </c>
      <c r="S76" s="3841" cm="1">
        <f t="array" aca="1" ref="S76" ca="1">INDIRECT("'※ 인력 세부데이터'!"&amp;S$1&amp;$W77, TRUE)</f>
        <v>-0.11379310344827587</v>
      </c>
      <c r="T76" s="3841" cm="1">
        <f t="array" aca="1" ref="T76" ca="1">INDIRECT("'※ 인력 세부데이터'!"&amp;T$1&amp;$W77, TRUE)</f>
        <v>-1.7031631927733895E-2</v>
      </c>
      <c r="U76" s="3841" cm="1">
        <f t="array" aca="1" ref="U76" ca="1">INDIRECT("'※ 인력 세부데이터'!"&amp;U$1&amp;$W77, TRUE)</f>
        <v>-1.7031631927733895E-2</v>
      </c>
      <c r="V76" s="3841" cm="1">
        <f t="array" aca="1" ref="V76" ca="1">INDIRECT("'※ 인력 세부데이터'!"&amp;V$1&amp;$W77, TRUE)</f>
        <v>-6.8020784128483697E-3</v>
      </c>
      <c r="W76" s="3769">
        <f>ROW('※ 인력 세부데이터'!J72)</f>
        <v>72</v>
      </c>
      <c r="X76" s="2682"/>
      <c r="Y76" s="2682"/>
    </row>
    <row r="77" spans="1:59" ht="21.9" customHeight="1" x14ac:dyDescent="0.55000000000000004">
      <c r="A77" s="7442" t="s">
        <v>1205</v>
      </c>
      <c r="B77" s="7440" t="s">
        <v>1073</v>
      </c>
      <c r="C77" s="7441"/>
      <c r="D77" s="3815" cm="1">
        <f t="array" aca="1" ref="D77" ca="1">INDIRECT("'※ 인력 세부데이터'!"&amp;D$1&amp;$W78, TRUE)</f>
        <v>54.250000000000007</v>
      </c>
      <c r="E77" s="3816" cm="1">
        <f t="array" aca="1" ref="E77" ca="1">INDIRECT("'※ 인력 세부데이터'!"&amp;E$1&amp;$W78, TRUE)</f>
        <v>63.166666666666664</v>
      </c>
      <c r="F77" s="3817" cm="1">
        <f t="array" aca="1" ref="F77" ca="1">INDIRECT("'※ 인력 세부데이터'!"&amp;F$1&amp;$W78, TRUE)</f>
        <v>34</v>
      </c>
      <c r="G77" s="3818" cm="1">
        <f t="array" aca="1" ref="G77" ca="1">INDIRECT("'※ 인력 세부데이터'!"&amp;G$1&amp;$W78, TRUE)</f>
        <v>59</v>
      </c>
      <c r="H77" s="3818" cm="1">
        <f t="array" aca="1" ref="H77" ca="1">INDIRECT("'※ 인력 세부데이터'!"&amp;H$1&amp;$W78, TRUE)</f>
        <v>59</v>
      </c>
      <c r="I77" s="3818" cm="1">
        <f t="array" aca="1" ref="I77" ca="1">INDIRECT("'※ 인력 세부데이터'!"&amp;I$1&amp;$W78, TRUE)</f>
        <v>42</v>
      </c>
      <c r="J77" s="3818" cm="1">
        <f t="array" aca="1" ref="J77" ca="1">INDIRECT("'※ 인력 세부데이터'!"&amp;J$1&amp;$W78, TRUE)</f>
        <v>42</v>
      </c>
      <c r="K77" s="3818" cm="1">
        <f t="array" aca="1" ref="K77" ca="1">INDIRECT("'※ 인력 세부데이터'!"&amp;K$1&amp;$W78, TRUE)</f>
        <v>44</v>
      </c>
      <c r="L77" s="3818" cm="1">
        <f t="array" aca="1" ref="L77" ca="1">INDIRECT("'※ 인력 세부데이터'!"&amp;L$1&amp;$W78, TRUE)</f>
        <v>51</v>
      </c>
      <c r="M77" s="3818" cm="1">
        <f t="array" aca="1" ref="M77" ca="1">INDIRECT("'※ 인력 세부데이터'!"&amp;M$1&amp;$W78, TRUE)</f>
        <v>60</v>
      </c>
      <c r="N77" s="3818" cm="1">
        <f t="array" aca="1" ref="N77" ca="1">INDIRECT("'※ 인력 세부데이터'!"&amp;N$1&amp;$W78, TRUE)</f>
        <v>44</v>
      </c>
      <c r="O77" s="3818" cm="1">
        <f t="array" aca="1" ref="O77" ca="1">INDIRECT("'※ 인력 세부데이터'!"&amp;O$1&amp;$W78, TRUE)</f>
        <v>49</v>
      </c>
      <c r="P77" s="3818" cm="1">
        <f t="array" aca="1" ref="P77" ca="1">INDIRECT("'※ 인력 세부데이터'!"&amp;P$1&amp;$W78, TRUE)</f>
        <v>41</v>
      </c>
      <c r="Q77" s="3818" cm="1">
        <f t="array" aca="1" ref="Q77" ca="1">INDIRECT("'※ 인력 세부데이터'!"&amp;Q$1&amp;$W78, TRUE)</f>
        <v>32</v>
      </c>
      <c r="R77" s="3817" cm="1">
        <f t="array" aca="1" ref="R77" ca="1">INDIRECT("'※ 인력 세부데이터'!"&amp;R$2&amp;$W78, TRUE)</f>
        <v>-24</v>
      </c>
      <c r="S77" s="3818" cm="1">
        <f t="array" aca="1" ref="S77" ca="1">INDIRECT("'※ 인력 세부데이터'!"&amp;S$1&amp;$W78, TRUE)</f>
        <v>-24</v>
      </c>
      <c r="T77" s="3818" cm="1">
        <f t="array" aca="1" ref="T77" ca="1">INDIRECT("'※ 인력 세부데이터'!"&amp;T$1&amp;$W78, TRUE)</f>
        <v>-16.75</v>
      </c>
      <c r="U77" s="3818" cm="1">
        <f t="array" aca="1" ref="U77" ca="1">INDIRECT("'※ 인력 세부데이터'!"&amp;U$1&amp;$W78, TRUE)</f>
        <v>-16.75</v>
      </c>
      <c r="V77" s="3818" cm="1">
        <f t="array" aca="1" ref="V77" ca="1">INDIRECT("'※ 인력 세부데이터'!"&amp;V$1&amp;$W78, TRUE)</f>
        <v>-9</v>
      </c>
      <c r="W77" s="3769">
        <f>ROW('※ 인력 세부데이터'!J73)</f>
        <v>73</v>
      </c>
      <c r="X77" s="2648"/>
      <c r="Y77" s="2648"/>
      <c r="Z77" s="2493"/>
      <c r="AA77" s="2493"/>
      <c r="AB77" s="2493"/>
      <c r="AC77" s="2493"/>
      <c r="AD77" s="2493"/>
      <c r="AE77" s="2493"/>
      <c r="AF77" s="2493"/>
      <c r="AG77" s="2493"/>
      <c r="AH77" s="2493"/>
      <c r="AI77" s="2493"/>
      <c r="AJ77" s="2493"/>
      <c r="AK77" s="2493"/>
      <c r="AL77" s="2493"/>
      <c r="AM77" s="2493"/>
      <c r="AN77" s="2493"/>
      <c r="AO77" s="2493"/>
      <c r="AP77" s="2493"/>
      <c r="AQ77" s="2493"/>
      <c r="AR77" s="2493"/>
      <c r="AS77" s="2493"/>
      <c r="AT77" s="2493"/>
      <c r="AU77" s="2493"/>
      <c r="AV77" s="2493"/>
      <c r="AW77" s="2493"/>
      <c r="AX77" s="2493"/>
      <c r="AY77" s="2493"/>
      <c r="AZ77" s="2493"/>
      <c r="BA77" s="2493"/>
      <c r="BB77" s="2493"/>
      <c r="BC77" s="2493"/>
      <c r="BD77" s="2493"/>
      <c r="BE77" s="2493"/>
      <c r="BF77" s="2493"/>
      <c r="BG77" s="2493"/>
    </row>
    <row r="78" spans="1:59" ht="21.9" customHeight="1" x14ac:dyDescent="0.55000000000000004">
      <c r="A78" s="7443"/>
      <c r="B78" s="3842" t="s">
        <v>1074</v>
      </c>
      <c r="C78" s="3843"/>
      <c r="D78" s="3844" cm="1">
        <f t="array" aca="1" ref="D78" ca="1">INDIRECT("'※ 인력 세부데이터'!"&amp;D$1&amp;$W79, TRUE)</f>
        <v>2.5500243759057E-2</v>
      </c>
      <c r="E78" s="3845" cm="1">
        <f t="array" aca="1" ref="E78" ca="1">INDIRECT("'※ 인력 세부데이터'!"&amp;E$1&amp;$W79, TRUE)</f>
        <v>2.9179864983906154E-2</v>
      </c>
      <c r="F78" s="3846" cm="1">
        <f t="array" aca="1" ref="F78" ca="1">INDIRECT("'※ 인력 세부데이터'!"&amp;F$1&amp;$W79, TRUE)</f>
        <v>1.5104398045313194E-2</v>
      </c>
      <c r="G78" s="3847" cm="1">
        <f t="array" aca="1" ref="G78" ca="1">INDIRECT("'※ 인력 세부데이터'!"&amp;G$1&amp;$W79, TRUE)</f>
        <v>2.596830985915493E-2</v>
      </c>
      <c r="H78" s="3847" cm="1">
        <f t="array" aca="1" ref="H78" ca="1">INDIRECT("'※ 인력 세부데이터'!"&amp;H$1&amp;$W79, TRUE)</f>
        <v>2.583187390542907E-2</v>
      </c>
      <c r="I78" s="3847" cm="1">
        <f t="array" aca="1" ref="I78" ca="1">INDIRECT("'※ 인력 세부데이터'!"&amp;I$1&amp;$W79, TRUE)</f>
        <v>1.8469656992084433E-2</v>
      </c>
      <c r="J78" s="3847" cm="1">
        <f t="array" aca="1" ref="J78" ca="1">INDIRECT("'※ 인력 세부데이터'!"&amp;J$1&amp;$W79, TRUE)</f>
        <v>1.8502202643171806E-2</v>
      </c>
      <c r="K78" s="3847" cm="1">
        <f t="array" aca="1" ref="K78" ca="1">INDIRECT("'※ 인력 세부데이터'!"&amp;K$1&amp;$W79, TRUE)</f>
        <v>1.9486271036315322E-2</v>
      </c>
      <c r="L78" s="3847" cm="1">
        <f t="array" aca="1" ref="L78" ca="1">INDIRECT("'※ 인력 세부데이터'!"&amp;L$1&amp;$W79, TRUE)</f>
        <v>2.2757697456492636E-2</v>
      </c>
      <c r="M78" s="3847" cm="1">
        <f t="array" aca="1" ref="M78" ca="1">INDIRECT("'※ 인력 세부데이터'!"&amp;M$1&amp;$W79, TRUE)</f>
        <v>2.6845637583892617E-2</v>
      </c>
      <c r="N78" s="3847" cm="1">
        <f t="array" aca="1" ref="N78" ca="1">INDIRECT("'※ 인력 세부데이터'!"&amp;N$1&amp;$W79, TRUE)</f>
        <v>1.9873532068654019E-2</v>
      </c>
      <c r="O78" s="3847" cm="1">
        <f t="array" aca="1" ref="O78" ca="1">INDIRECT("'※ 인력 세부데이터'!"&amp;O$1&amp;$W79, TRUE)</f>
        <v>2.2313296903460837E-2</v>
      </c>
      <c r="P78" s="3847" cm="1">
        <f t="array" aca="1" ref="P78" ca="1">INDIRECT("'※ 인력 세부데이터'!"&amp;P$1&amp;$W79, TRUE)</f>
        <v>1.8712916476494753E-2</v>
      </c>
      <c r="Q78" s="3847" cm="1">
        <f t="array" aca="1" ref="Q78" ca="1">INDIRECT("'※ 인력 세부데이터'!"&amp;Q$1&amp;$W79, TRUE)</f>
        <v>1.4605203103605659E-2</v>
      </c>
      <c r="R78" s="3846" cm="1">
        <f t="array" aca="1" ref="R78" ca="1">INDIRECT("'※ 인력 세부데이터'!"&amp;R$2&amp;$W79, TRUE)</f>
        <v>-1.0372495379891218E-2</v>
      </c>
      <c r="S78" s="3847" cm="1">
        <f t="array" aca="1" ref="S78" ca="1">INDIRECT("'※ 인력 세부데이터'!"&amp;S$1&amp;$W79, TRUE)</f>
        <v>-1.0372495379891218E-2</v>
      </c>
      <c r="T78" s="3847" cm="1">
        <f t="array" aca="1" ref="T78" ca="1">INDIRECT("'※ 인력 세부데이터'!"&amp;T$1&amp;$W79, TRUE)</f>
        <v>-8.4739486444003823E-3</v>
      </c>
      <c r="U78" s="3847" cm="1">
        <f t="array" aca="1" ref="U78" ca="1">INDIRECT("'※ 인력 세부데이터'!"&amp;U$1&amp;$W79, TRUE)</f>
        <v>-8.4739486444003823E-3</v>
      </c>
      <c r="V78" s="3847" cm="1">
        <f t="array" aca="1" ref="V78" ca="1">INDIRECT("'※ 인력 세부데이터'!"&amp;V$1&amp;$W79, TRUE)</f>
        <v>-4.1077133728890936E-3</v>
      </c>
      <c r="W78" s="3769">
        <f>ROW('※ 인력 세부데이터'!J74)</f>
        <v>74</v>
      </c>
      <c r="X78" s="2648"/>
      <c r="Y78" s="2648"/>
      <c r="Z78" s="2493"/>
      <c r="AA78" s="2493"/>
      <c r="AB78" s="2493"/>
      <c r="AC78" s="2493"/>
      <c r="AD78" s="2493"/>
      <c r="AE78" s="2493"/>
      <c r="AF78" s="2493"/>
      <c r="AG78" s="2493"/>
      <c r="AH78" s="2493"/>
      <c r="AI78" s="2493"/>
      <c r="AJ78" s="2493"/>
      <c r="AK78" s="2493"/>
      <c r="AL78" s="2493"/>
      <c r="AM78" s="2493"/>
      <c r="AN78" s="2493"/>
      <c r="AO78" s="2493"/>
      <c r="AP78" s="2493"/>
      <c r="AQ78" s="2493"/>
      <c r="AR78" s="2493"/>
      <c r="AS78" s="2493"/>
      <c r="AT78" s="2493"/>
      <c r="AU78" s="2493"/>
      <c r="AV78" s="2493"/>
      <c r="AW78" s="2493"/>
      <c r="AX78" s="2493"/>
      <c r="AY78" s="2493"/>
      <c r="AZ78" s="2493"/>
      <c r="BA78" s="2493"/>
      <c r="BB78" s="2493"/>
      <c r="BC78" s="2493"/>
      <c r="BD78" s="2493"/>
      <c r="BE78" s="2493"/>
      <c r="BF78" s="2493"/>
      <c r="BG78" s="2493"/>
    </row>
    <row r="79" spans="1:59" ht="21.9" customHeight="1" x14ac:dyDescent="0.55000000000000004">
      <c r="A79" s="7443"/>
      <c r="B79" s="3848"/>
      <c r="C79" s="3849" t="s">
        <v>1069</v>
      </c>
      <c r="D79" s="3850"/>
      <c r="E79" s="3851"/>
      <c r="F79" s="3852" cm="1">
        <f t="array" aca="1" ref="F79" ca="1">INDIRECT("'※ 인력 세부데이터'!"&amp;F$1&amp;$W80, TRUE)</f>
        <v>17</v>
      </c>
      <c r="G79" s="3853" cm="1">
        <f t="array" aca="1" ref="G79" ca="1">INDIRECT("'※ 인력 세부데이터'!"&amp;G$1&amp;$W80, TRUE)</f>
        <v>26</v>
      </c>
      <c r="H79" s="3854" cm="1">
        <f t="array" aca="1" ref="H79" ca="1">INDIRECT("'※ 인력 세부데이터'!"&amp;H$1&amp;$W80, TRUE)</f>
        <v>16</v>
      </c>
      <c r="I79" s="3853" cm="1">
        <f t="array" aca="1" ref="I79" ca="1">INDIRECT("'※ 인력 세부데이터'!"&amp;I$1&amp;$W80, TRUE)</f>
        <v>9</v>
      </c>
      <c r="J79" s="3854" cm="1">
        <f t="array" aca="1" ref="J79" ca="1">INDIRECT("'※ 인력 세부데이터'!"&amp;J$1&amp;$W80, TRUE)</f>
        <v>15</v>
      </c>
      <c r="K79" s="3854" cm="1">
        <f t="array" aca="1" ref="K79" ca="1">INDIRECT("'※ 인력 세부데이터'!"&amp;K$1&amp;$W80, TRUE)</f>
        <v>9</v>
      </c>
      <c r="L79" s="3854" cm="1">
        <f t="array" aca="1" ref="L79" ca="1">INDIRECT("'※ 인력 세부데이터'!"&amp;L$1&amp;$W80, TRUE)</f>
        <v>11</v>
      </c>
      <c r="M79" s="3854" cm="1">
        <f t="array" aca="1" ref="M79" ca="1">INDIRECT("'※ 인력 세부데이터'!"&amp;M$1&amp;$W80, TRUE)</f>
        <v>16</v>
      </c>
      <c r="N79" s="3854" cm="1">
        <f t="array" aca="1" ref="N79" ca="1">INDIRECT("'※ 인력 세부데이터'!"&amp;N$1&amp;$W80, TRUE)</f>
        <v>10</v>
      </c>
      <c r="O79" s="3854" cm="1">
        <f t="array" aca="1" ref="O79" ca="1">INDIRECT("'※ 인력 세부데이터'!"&amp;O$1&amp;$W80, TRUE)</f>
        <v>9</v>
      </c>
      <c r="P79" s="3854" cm="1">
        <f t="array" aca="1" ref="P79" ca="1">INDIRECT("'※ 인력 세부데이터'!"&amp;P$1&amp;$W80, TRUE)</f>
        <v>8</v>
      </c>
      <c r="Q79" s="3854" cm="1">
        <f t="array" aca="1" ref="Q79" ca="1">INDIRECT("'※ 인력 세부데이터'!"&amp;Q$1&amp;$W80, TRUE)</f>
        <v>11</v>
      </c>
      <c r="R79" s="3852" cm="1">
        <f t="array" aca="1" ref="R79" ca="1">INDIRECT("'※ 인력 세부데이터'!"&amp;R$2&amp;$W80, TRUE)</f>
        <v>-13</v>
      </c>
      <c r="S79" s="3854" cm="1">
        <f t="array" aca="1" ref="S79" ca="1">INDIRECT("'※ 인력 세부데이터'!"&amp;S$1&amp;$W80, TRUE)</f>
        <v>-13</v>
      </c>
      <c r="T79" s="3854" cm="1">
        <f t="array" aca="1" ref="T79" ca="1">INDIRECT("'※ 인력 세부데이터'!"&amp;T$1&amp;$W80, TRUE)</f>
        <v>-10.833333333333334</v>
      </c>
      <c r="U79" s="3854" cm="1">
        <f t="array" aca="1" ref="U79" ca="1">INDIRECT("'※ 인력 세부데이터'!"&amp;U$1&amp;$W80, TRUE)</f>
        <v>-10.833333333333334</v>
      </c>
      <c r="V79" s="3854" cm="1">
        <f t="array" aca="1" ref="V79" ca="1">INDIRECT("'※ 인력 세부데이터'!"&amp;V$1&amp;$W80, TRUE)</f>
        <v>3</v>
      </c>
      <c r="W79" s="3769">
        <f>ROW('※ 인력 세부데이터'!J75)</f>
        <v>75</v>
      </c>
      <c r="X79" s="2648"/>
      <c r="Y79" s="2648"/>
      <c r="Z79" s="2493"/>
      <c r="AA79" s="2493"/>
      <c r="AB79" s="2493"/>
      <c r="AC79" s="2493"/>
      <c r="AD79" s="2493"/>
      <c r="AE79" s="2493"/>
      <c r="AF79" s="2493"/>
      <c r="AG79" s="2493"/>
      <c r="AH79" s="2493"/>
      <c r="AI79" s="2493"/>
      <c r="AJ79" s="2493"/>
      <c r="AK79" s="2493"/>
      <c r="AL79" s="2493"/>
      <c r="AM79" s="2493"/>
      <c r="AN79" s="2493"/>
      <c r="AO79" s="2493"/>
      <c r="AP79" s="2493"/>
      <c r="AQ79" s="2493"/>
      <c r="AR79" s="2493"/>
      <c r="AS79" s="2493"/>
      <c r="AT79" s="2493"/>
      <c r="AU79" s="2493"/>
      <c r="AV79" s="2493"/>
      <c r="AW79" s="2493"/>
      <c r="AX79" s="2493"/>
      <c r="AY79" s="2493"/>
      <c r="AZ79" s="2493"/>
      <c r="BA79" s="2493"/>
      <c r="BB79" s="2493"/>
      <c r="BC79" s="2493"/>
      <c r="BD79" s="2493"/>
      <c r="BE79" s="2493"/>
      <c r="BF79" s="2493"/>
      <c r="BG79" s="2493"/>
    </row>
    <row r="80" spans="1:59" ht="21.9" customHeight="1" x14ac:dyDescent="0.55000000000000004">
      <c r="A80" s="7443"/>
      <c r="B80" s="3855"/>
      <c r="C80" s="3856" t="s">
        <v>1077</v>
      </c>
      <c r="D80" s="3857"/>
      <c r="E80" s="3858"/>
      <c r="F80" s="3859" cm="1">
        <f t="array" aca="1" ref="F80" ca="1">INDIRECT("'※ 인력 세부데이터'!"&amp;F$1&amp;$W81, TRUE)</f>
        <v>0.5</v>
      </c>
      <c r="G80" s="3860" cm="1">
        <f t="array" aca="1" ref="G80" ca="1">INDIRECT("'※ 인력 세부데이터'!"&amp;G$1&amp;$W81, TRUE)</f>
        <v>0.44067796610169491</v>
      </c>
      <c r="H80" s="3860" cm="1">
        <f t="array" aca="1" ref="H80" ca="1">INDIRECT("'※ 인력 세부데이터'!"&amp;H$1&amp;$W81, TRUE)</f>
        <v>0.29090909090909089</v>
      </c>
      <c r="I80" s="3860" cm="1">
        <f t="array" aca="1" ref="I80" ca="1">INDIRECT("'※ 인력 세부데이터'!"&amp;I$1&amp;$W81, TRUE)</f>
        <v>0.21428571428571427</v>
      </c>
      <c r="J80" s="3860" cm="1">
        <f t="array" aca="1" ref="J80" ca="1">INDIRECT("'※ 인력 세부데이터'!"&amp;J$1&amp;$W81, TRUE)</f>
        <v>0.35714285714285715</v>
      </c>
      <c r="K80" s="3860" cm="1">
        <f t="array" aca="1" ref="K80" ca="1">INDIRECT("'※ 인력 세부데이터'!"&amp;K$1&amp;$W81, TRUE)</f>
        <v>0.20454545454545456</v>
      </c>
      <c r="L80" s="3860" cm="1">
        <f t="array" aca="1" ref="L80" ca="1">INDIRECT("'※ 인력 세부데이터'!"&amp;L$1&amp;$W81, TRUE)</f>
        <v>0.23404255319148937</v>
      </c>
      <c r="M80" s="3860" cm="1">
        <f t="array" aca="1" ref="M80" ca="1">INDIRECT("'※ 인력 세부데이터'!"&amp;M$1&amp;$W81, TRUE)</f>
        <v>0.2711864406779661</v>
      </c>
      <c r="N80" s="3860" cm="1">
        <f t="array" aca="1" ref="N80" ca="1">INDIRECT("'※ 인력 세부데이터'!"&amp;N$1&amp;$W81, TRUE)</f>
        <v>0.23809523809523808</v>
      </c>
      <c r="O80" s="3860" cm="1">
        <f t="array" aca="1" ref="O80" ca="1">INDIRECT("'※ 인력 세부데이터'!"&amp;O$1&amp;$W81, TRUE)</f>
        <v>0.2</v>
      </c>
      <c r="P80" s="3860" cm="1">
        <f t="array" aca="1" ref="P80" ca="1">INDIRECT("'※ 인력 세부데이터'!"&amp;P$1&amp;$W81, TRUE)</f>
        <v>0.2</v>
      </c>
      <c r="Q80" s="3860" cm="1">
        <f t="array" aca="1" ref="Q80" ca="1">INDIRECT("'※ 인력 세부데이터'!"&amp;Q$1&amp;$W81, TRUE)</f>
        <v>0.44</v>
      </c>
      <c r="R80" s="3859" cm="1">
        <f t="array" aca="1" ref="R80" ca="1">INDIRECT("'※ 인력 세부데이터'!"&amp;R$2&amp;$W81, TRUE)</f>
        <v>-3.0588235294117638E-2</v>
      </c>
      <c r="S80" s="3860" cm="1">
        <f t="array" aca="1" ref="S80" ca="1">INDIRECT("'※ 인력 세부데이터'!"&amp;S$1&amp;$W81, TRUE)</f>
        <v>-3.0588235294117638E-2</v>
      </c>
      <c r="T80" s="3860" cm="1">
        <f t="array" aca="1" ref="T80" ca="1">INDIRECT("'※ 인력 세부데이터'!"&amp;T$1&amp;$W81, TRUE)</f>
        <v>-0.1087595570875412</v>
      </c>
      <c r="U80" s="3860" cm="1">
        <f t="array" aca="1" ref="U80" ca="1">INDIRECT("'※ 인력 세부데이터'!"&amp;U$1&amp;$W81, TRUE)</f>
        <v>-0.10843183681288526</v>
      </c>
      <c r="V80" s="3860" cm="1">
        <f t="array" aca="1" ref="V80" ca="1">INDIRECT("'※ 인력 세부데이터'!"&amp;V$1&amp;$W81, TRUE)</f>
        <v>0.24</v>
      </c>
      <c r="W80" s="3769">
        <f>ROW('※ 인력 세부데이터'!J76)</f>
        <v>76</v>
      </c>
      <c r="X80" s="2648"/>
      <c r="Y80" s="2648"/>
      <c r="Z80" s="2493"/>
      <c r="AA80" s="2493"/>
      <c r="AB80" s="2493"/>
      <c r="AC80" s="2493"/>
      <c r="AD80" s="2493"/>
      <c r="AE80" s="2493"/>
      <c r="AF80" s="2493"/>
      <c r="AG80" s="2493"/>
      <c r="AH80" s="2493"/>
      <c r="AI80" s="2493"/>
      <c r="AJ80" s="2493"/>
      <c r="AK80" s="2493"/>
      <c r="AL80" s="2493"/>
      <c r="AM80" s="2493"/>
      <c r="AN80" s="2493"/>
      <c r="AO80" s="2493"/>
      <c r="AP80" s="2493"/>
      <c r="AQ80" s="2493"/>
      <c r="AR80" s="2493"/>
      <c r="AS80" s="2493"/>
      <c r="AT80" s="2493"/>
      <c r="AU80" s="2493"/>
      <c r="AV80" s="2493"/>
      <c r="AW80" s="2493"/>
      <c r="AX80" s="2493"/>
      <c r="AY80" s="2493"/>
      <c r="AZ80" s="2493"/>
      <c r="BA80" s="2493"/>
      <c r="BB80" s="2493"/>
      <c r="BC80" s="2493"/>
      <c r="BD80" s="2493"/>
      <c r="BE80" s="2493"/>
      <c r="BF80" s="2493"/>
      <c r="BG80" s="2493"/>
    </row>
    <row r="81" spans="1:59" ht="21.9" customHeight="1" x14ac:dyDescent="0.55000000000000004">
      <c r="A81" s="7443"/>
      <c r="B81" s="3861" t="s">
        <v>1057</v>
      </c>
      <c r="C81" s="3862"/>
      <c r="D81" s="3863" cm="1">
        <f t="array" aca="1" ref="D81" ca="1">INDIRECT("'※ 인력 세부데이터'!"&amp;D$1&amp;$W82, TRUE)</f>
        <v>1.0833333333333333</v>
      </c>
      <c r="E81" s="3864" cm="1">
        <f t="array" aca="1" ref="E81" ca="1">INDIRECT("'※ 인력 세부데이터'!"&amp;E$1&amp;$W82, TRUE)</f>
        <v>1.0833333333333333</v>
      </c>
      <c r="F81" s="3865" cm="1">
        <f t="array" aca="1" ref="F81" ca="1">INDIRECT("'※ 인력 세부데이터'!"&amp;F$1&amp;$W82, TRUE)</f>
        <v>0</v>
      </c>
      <c r="G81" s="3866" cm="1">
        <f t="array" aca="1" ref="G81" ca="1">INDIRECT("'※ 인력 세부데이터'!"&amp;G$1&amp;$W82, TRUE)</f>
        <v>0</v>
      </c>
      <c r="H81" s="3866" cm="1">
        <f t="array" aca="1" ref="H81" ca="1">INDIRECT("'※ 인력 세부데이터'!"&amp;H$1&amp;$W82, TRUE)</f>
        <v>2</v>
      </c>
      <c r="I81" s="3866" cm="1">
        <f t="array" aca="1" ref="I81" ca="1">INDIRECT("'※ 인력 세부데이터'!"&amp;I$1&amp;$W82, TRUE)</f>
        <v>0</v>
      </c>
      <c r="J81" s="3866" cm="1">
        <f t="array" aca="1" ref="J81" ca="1">INDIRECT("'※ 인력 세부데이터'!"&amp;J$1&amp;$W82, TRUE)</f>
        <v>0</v>
      </c>
      <c r="K81" s="3866" cm="1">
        <f t="array" aca="1" ref="K81" ca="1">INDIRECT("'※ 인력 세부데이터'!"&amp;K$1&amp;$W82, TRUE)</f>
        <v>0</v>
      </c>
      <c r="L81" s="3866" cm="1">
        <f t="array" aca="1" ref="L81" ca="1">INDIRECT("'※ 인력 세부데이터'!"&amp;L$1&amp;$W82, TRUE)</f>
        <v>1</v>
      </c>
      <c r="M81" s="3866" cm="1">
        <f t="array" aca="1" ref="M81" ca="1">INDIRECT("'※ 인력 세부데이터'!"&amp;M$1&amp;$W82, TRUE)</f>
        <v>1</v>
      </c>
      <c r="N81" s="3866" cm="1">
        <f t="array" aca="1" ref="N81" ca="1">INDIRECT("'※ 인력 세부데이터'!"&amp;N$1&amp;$W82, TRUE)</f>
        <v>1</v>
      </c>
      <c r="O81" s="3866" cm="1">
        <f t="array" aca="1" ref="O81" ca="1">INDIRECT("'※ 인력 세부데이터'!"&amp;O$1&amp;$W82, TRUE)</f>
        <v>0</v>
      </c>
      <c r="P81" s="3866" cm="1">
        <f t="array" aca="1" ref="P81" ca="1">INDIRECT("'※ 인력 세부데이터'!"&amp;P$1&amp;$W82, TRUE)</f>
        <v>0</v>
      </c>
      <c r="Q81" s="3866" cm="1">
        <f t="array" aca="1" ref="Q81" ca="1">INDIRECT("'※ 인력 세부데이터'!"&amp;Q$1&amp;$W82, TRUE)</f>
        <v>6</v>
      </c>
      <c r="R81" s="3865" cm="1">
        <f t="array" aca="1" ref="R81" ca="1">INDIRECT("'※ 인력 세부데이터'!"&amp;R$2&amp;$W82, TRUE)</f>
        <v>3</v>
      </c>
      <c r="S81" s="3866" cm="1">
        <f t="array" aca="1" ref="S81" ca="1">INDIRECT("'※ 인력 세부데이터'!"&amp;S$1&amp;$W82, TRUE)</f>
        <v>3</v>
      </c>
      <c r="T81" s="3866" cm="1">
        <f t="array" aca="1" ref="T81" ca="1">INDIRECT("'※ 인력 세부데이터'!"&amp;T$1&amp;$W82, TRUE)</f>
        <v>-0.16666666666666663</v>
      </c>
      <c r="U81" s="3866" cm="1">
        <f t="array" aca="1" ref="U81" ca="1">INDIRECT("'※ 인력 세부데이터'!"&amp;U$1&amp;$W82, TRUE)</f>
        <v>-0.16666666666666663</v>
      </c>
      <c r="V81" s="3866" cm="1">
        <f t="array" aca="1" ref="V81" ca="1">INDIRECT("'※ 인력 세부데이터'!"&amp;V$1&amp;$W82, TRUE)</f>
        <v>6</v>
      </c>
      <c r="W81" s="3769">
        <f>ROW('※ 인력 세부데이터'!J77)</f>
        <v>77</v>
      </c>
      <c r="X81" s="2648"/>
      <c r="Y81" s="2648"/>
      <c r="Z81" s="2493"/>
      <c r="AA81" s="2493"/>
      <c r="AB81" s="2493"/>
      <c r="AC81" s="2493"/>
      <c r="AD81" s="2493"/>
      <c r="AE81" s="2493"/>
      <c r="AF81" s="2493"/>
      <c r="AG81" s="2493"/>
      <c r="AH81" s="2493"/>
      <c r="AI81" s="2493"/>
      <c r="AJ81" s="2493"/>
      <c r="AK81" s="2493"/>
      <c r="AL81" s="2493"/>
      <c r="AM81" s="2493"/>
      <c r="AN81" s="2493"/>
      <c r="AO81" s="2493"/>
      <c r="AP81" s="2493"/>
      <c r="AQ81" s="2493"/>
      <c r="AR81" s="2493"/>
      <c r="AS81" s="2493"/>
      <c r="AT81" s="2493"/>
      <c r="AU81" s="2493"/>
      <c r="AV81" s="2493"/>
      <c r="AW81" s="2493"/>
      <c r="AX81" s="2493"/>
      <c r="AY81" s="2493"/>
      <c r="AZ81" s="2493"/>
      <c r="BA81" s="2493"/>
      <c r="BB81" s="2493"/>
      <c r="BC81" s="2493"/>
      <c r="BD81" s="2493"/>
      <c r="BE81" s="2493"/>
      <c r="BF81" s="2493"/>
      <c r="BG81" s="2493"/>
    </row>
    <row r="82" spans="1:59" ht="21.9" customHeight="1" x14ac:dyDescent="0.55000000000000004">
      <c r="A82" s="7443"/>
      <c r="B82" s="3867" t="s">
        <v>1075</v>
      </c>
      <c r="C82" s="3862"/>
      <c r="D82" s="3868" cm="1">
        <f t="array" aca="1" ref="D82" ca="1">INDIRECT("'※ 인력 세부데이터'!"&amp;D$1&amp;$W83, TRUE)</f>
        <v>6.0930372115836013E-3</v>
      </c>
      <c r="E82" s="3869" cm="1">
        <f t="array" aca="1" ref="E82" ca="1">INDIRECT("'※ 인력 세부데이터'!"&amp;E$1&amp;$W83, TRUE)</f>
        <v>6.055950448643873E-3</v>
      </c>
      <c r="F82" s="3870" cm="1">
        <f t="array" aca="1" ref="F82" ca="1">INDIRECT("'※ 인력 세부데이터'!"&amp;F$1&amp;$W83, TRUE)</f>
        <v>0</v>
      </c>
      <c r="G82" s="3871" cm="1">
        <f t="array" aca="1" ref="G82" ca="1">INDIRECT("'※ 인력 세부데이터'!"&amp;G$1&amp;$W83, TRUE)</f>
        <v>0</v>
      </c>
      <c r="H82" s="3871" cm="1">
        <f t="array" aca="1" ref="H82" ca="1">INDIRECT("'※ 인력 세부데이터'!"&amp;H$1&amp;$W83, TRUE)</f>
        <v>1.092896174863388E-2</v>
      </c>
      <c r="I82" s="3871" cm="1">
        <f t="array" aca="1" ref="I82" ca="1">INDIRECT("'※ 인력 세부데이터'!"&amp;I$1&amp;$W83, TRUE)</f>
        <v>0</v>
      </c>
      <c r="J82" s="3871" cm="1">
        <f t="array" aca="1" ref="J82" ca="1">INDIRECT("'※ 인력 세부데이터'!"&amp;J$1&amp;$W83, TRUE)</f>
        <v>0</v>
      </c>
      <c r="K82" s="3871" cm="1">
        <f t="array" aca="1" ref="K82" ca="1">INDIRECT("'※ 인력 세부데이터'!"&amp;K$1&amp;$W83, TRUE)</f>
        <v>0</v>
      </c>
      <c r="L82" s="3871" cm="1">
        <f t="array" aca="1" ref="L82" ca="1">INDIRECT("'※ 인력 세부데이터'!"&amp;L$1&amp;$W83, TRUE)</f>
        <v>5.5248618784530384E-3</v>
      </c>
      <c r="M82" s="3871" cm="1">
        <f t="array" aca="1" ref="M82" ca="1">INDIRECT("'※ 인력 세부데이터'!"&amp;M$1&amp;$W83, TRUE)</f>
        <v>5.235602094240838E-3</v>
      </c>
      <c r="N82" s="3871" cm="1">
        <f t="array" aca="1" ref="N82" ca="1">INDIRECT("'※ 인력 세부데이터'!"&amp;N$1&amp;$W83, TRUE)</f>
        <v>5.263157894736842E-3</v>
      </c>
      <c r="O82" s="3871" cm="1">
        <f t="array" aca="1" ref="O82" ca="1">INDIRECT("'※ 인력 세부데이터'!"&amp;O$1&amp;$W83, TRUE)</f>
        <v>0</v>
      </c>
      <c r="P82" s="3871" cm="1">
        <f t="array" aca="1" ref="P82" ca="1">INDIRECT("'※ 인력 세부데이터'!"&amp;P$1&amp;$W83, TRUE)</f>
        <v>0</v>
      </c>
      <c r="Q82" s="3871" cm="1">
        <f t="array" aca="1" ref="Q82" ca="1">INDIRECT("'※ 인력 세부데이터'!"&amp;Q$1&amp;$W83, TRUE)</f>
        <v>3.1578947368421054E-2</v>
      </c>
      <c r="R82" s="3870" cm="1">
        <f t="array" aca="1" ref="R82" ca="1">INDIRECT("'※ 인력 세부데이터'!"&amp;R$2&amp;$W83, TRUE)</f>
        <v>1.5185504745470233E-2</v>
      </c>
      <c r="S82" s="3871" cm="1">
        <f t="array" aca="1" ref="S82" ca="1">INDIRECT("'※ 인력 세부데이터'!"&amp;S$1&amp;$W83, TRUE)</f>
        <v>1.5185504745470233E-2</v>
      </c>
      <c r="T82" s="3871" cm="1">
        <f t="array" aca="1" ref="T82" ca="1">INDIRECT("'※ 인력 세부데이터'!"&amp;T$1&amp;$W83, TRUE)</f>
        <v>-1.1783228666034026E-3</v>
      </c>
      <c r="U82" s="3871" cm="1">
        <f t="array" aca="1" ref="U82" ca="1">INDIRECT("'※ 인력 세부데이터'!"&amp;U$1&amp;$W83, TRUE)</f>
        <v>-1.1783228666034026E-3</v>
      </c>
      <c r="V82" s="3871" cm="1">
        <f t="array" aca="1" ref="V82" ca="1">INDIRECT("'※ 인력 세부데이터'!"&amp;V$1&amp;$W83, TRUE)</f>
        <v>3.1578947368421054E-2</v>
      </c>
      <c r="W82" s="3769">
        <f>ROW('※ 인력 세부데이터'!J78)</f>
        <v>78</v>
      </c>
      <c r="X82" s="2648"/>
      <c r="Y82" s="2648"/>
      <c r="Z82" s="2493"/>
      <c r="AA82" s="2493"/>
      <c r="AB82" s="2493"/>
      <c r="AC82" s="2493"/>
      <c r="AD82" s="2493"/>
      <c r="AE82" s="2493"/>
      <c r="AF82" s="2493"/>
      <c r="AG82" s="2493"/>
      <c r="AH82" s="2493"/>
      <c r="AI82" s="2493"/>
      <c r="AJ82" s="2493"/>
      <c r="AK82" s="2493"/>
      <c r="AL82" s="2493"/>
      <c r="AM82" s="2493"/>
      <c r="AN82" s="2493"/>
      <c r="AO82" s="2493"/>
      <c r="AP82" s="2493"/>
      <c r="AQ82" s="2493"/>
      <c r="AR82" s="2493"/>
      <c r="AS82" s="2493"/>
      <c r="AT82" s="2493"/>
      <c r="AU82" s="2493"/>
      <c r="AV82" s="2493"/>
      <c r="AW82" s="2493"/>
      <c r="AX82" s="2493"/>
      <c r="AY82" s="2493"/>
      <c r="AZ82" s="2493"/>
      <c r="BA82" s="2493"/>
      <c r="BB82" s="2493"/>
      <c r="BC82" s="2493"/>
      <c r="BD82" s="2493"/>
      <c r="BE82" s="2493"/>
      <c r="BF82" s="2493"/>
      <c r="BG82" s="2493"/>
    </row>
    <row r="83" spans="1:59" ht="21.9" customHeight="1" x14ac:dyDescent="0.55000000000000004">
      <c r="A83" s="7443"/>
      <c r="B83" s="3825"/>
      <c r="C83" s="3872" t="s">
        <v>1069</v>
      </c>
      <c r="D83" s="3850"/>
      <c r="E83" s="3851"/>
      <c r="F83" s="3873" cm="1">
        <f t="array" aca="1" ref="F83" ca="1">INDIRECT("'※ 인력 세부데이터'!"&amp;F$1&amp;$W84, TRUE)</f>
        <v>0</v>
      </c>
      <c r="G83" s="3874" cm="1">
        <f t="array" aca="1" ref="G83" ca="1">INDIRECT("'※ 인력 세부데이터'!"&amp;G$1&amp;$W84, TRUE)</f>
        <v>0</v>
      </c>
      <c r="H83" s="3875" cm="1">
        <f t="array" aca="1" ref="H83" ca="1">INDIRECT("'※ 인력 세부데이터'!"&amp;H$1&amp;$W84, TRUE)</f>
        <v>0</v>
      </c>
      <c r="I83" s="3875" cm="1">
        <f t="array" aca="1" ref="I83" ca="1">INDIRECT("'※ 인력 세부데이터'!"&amp;I$1&amp;$W84, TRUE)</f>
        <v>0</v>
      </c>
      <c r="J83" s="3875" cm="1">
        <f t="array" aca="1" ref="J83" ca="1">INDIRECT("'※ 인력 세부데이터'!"&amp;J$1&amp;$W84, TRUE)</f>
        <v>0</v>
      </c>
      <c r="K83" s="3875" cm="1">
        <f t="array" aca="1" ref="K83" ca="1">INDIRECT("'※ 인력 세부데이터'!"&amp;K$1&amp;$W84, TRUE)</f>
        <v>0</v>
      </c>
      <c r="L83" s="3875" cm="1">
        <f t="array" aca="1" ref="L83" ca="1">INDIRECT("'※ 인력 세부데이터'!"&amp;L$1&amp;$W84, TRUE)</f>
        <v>0</v>
      </c>
      <c r="M83" s="3875" cm="1">
        <f t="array" aca="1" ref="M83" ca="1">INDIRECT("'※ 인력 세부데이터'!"&amp;M$1&amp;$W84, TRUE)</f>
        <v>0</v>
      </c>
      <c r="N83" s="3875" cm="1">
        <f t="array" aca="1" ref="N83" ca="1">INDIRECT("'※ 인력 세부데이터'!"&amp;N$1&amp;$W84, TRUE)</f>
        <v>0</v>
      </c>
      <c r="O83" s="3875" cm="1">
        <f t="array" aca="1" ref="O83" ca="1">INDIRECT("'※ 인력 세부데이터'!"&amp;O$1&amp;$W84, TRUE)</f>
        <v>0</v>
      </c>
      <c r="P83" s="3875" cm="1">
        <f t="array" aca="1" ref="P83" ca="1">INDIRECT("'※ 인력 세부데이터'!"&amp;P$1&amp;$W84, TRUE)</f>
        <v>0</v>
      </c>
      <c r="Q83" s="3875" cm="1">
        <f t="array" aca="1" ref="Q83" ca="1">INDIRECT("'※ 인력 세부데이터'!"&amp;Q$1&amp;$W84, TRUE)</f>
        <v>0</v>
      </c>
      <c r="R83" s="3873" cm="1">
        <f t="array" aca="1" ref="R83" ca="1">INDIRECT("'※ 인력 세부데이터'!"&amp;R$2&amp;$W84, TRUE)</f>
        <v>0</v>
      </c>
      <c r="S83" s="3874" cm="1">
        <f t="array" aca="1" ref="S83" ca="1">INDIRECT("'※ 인력 세부데이터'!"&amp;S$1&amp;$W84, TRUE)</f>
        <v>0</v>
      </c>
      <c r="T83" s="3874" cm="1">
        <f t="array" aca="1" ref="T83" ca="1">INDIRECT("'※ 인력 세부데이터'!"&amp;T$1&amp;$W84, TRUE)</f>
        <v>0</v>
      </c>
      <c r="U83" s="3874" cm="1">
        <f t="array" aca="1" ref="U83" ca="1">INDIRECT("'※ 인력 세부데이터'!"&amp;U$1&amp;$W84, TRUE)</f>
        <v>0</v>
      </c>
      <c r="V83" s="3874" cm="1">
        <f t="array" aca="1" ref="V83" ca="1">INDIRECT("'※ 인력 세부데이터'!"&amp;V$1&amp;$W84, TRUE)</f>
        <v>0</v>
      </c>
      <c r="W83" s="3769">
        <f>ROW('※ 인력 세부데이터'!J79)</f>
        <v>79</v>
      </c>
      <c r="X83" s="2648"/>
      <c r="Y83" s="2648"/>
      <c r="Z83" s="2493"/>
      <c r="AA83" s="2493"/>
      <c r="AB83" s="2493"/>
      <c r="AC83" s="2493"/>
      <c r="AD83" s="2493"/>
      <c r="AE83" s="2493"/>
      <c r="AF83" s="2493"/>
      <c r="AG83" s="2493"/>
      <c r="AH83" s="2493"/>
      <c r="AI83" s="2493"/>
      <c r="AJ83" s="2493"/>
      <c r="AK83" s="2493"/>
      <c r="AL83" s="2493"/>
      <c r="AM83" s="2493"/>
      <c r="AN83" s="2493"/>
      <c r="AO83" s="2493"/>
      <c r="AP83" s="2493"/>
      <c r="AQ83" s="2493"/>
      <c r="AR83" s="2493"/>
      <c r="AS83" s="2493"/>
      <c r="AT83" s="2493"/>
      <c r="AU83" s="2493"/>
      <c r="AV83" s="2493"/>
      <c r="AW83" s="2493"/>
      <c r="AX83" s="2493"/>
      <c r="AY83" s="2493"/>
      <c r="AZ83" s="2493"/>
      <c r="BA83" s="2493"/>
      <c r="BB83" s="2493"/>
      <c r="BC83" s="2493"/>
      <c r="BD83" s="2493"/>
      <c r="BE83" s="2493"/>
      <c r="BF83" s="2493"/>
      <c r="BG83" s="2493"/>
    </row>
    <row r="84" spans="1:59" ht="21.9" customHeight="1" x14ac:dyDescent="0.55000000000000004">
      <c r="A84" s="7443"/>
      <c r="B84" s="3831"/>
      <c r="C84" s="3856" t="s">
        <v>1077</v>
      </c>
      <c r="D84" s="3857"/>
      <c r="E84" s="3858"/>
      <c r="F84" s="3859" cm="1">
        <f t="array" aca="1" ref="F84" ca="1">INDIRECT("'※ 인력 세부데이터'!"&amp;F$1&amp;$W85, TRUE)</f>
        <v>0</v>
      </c>
      <c r="G84" s="3860" cm="1">
        <f t="array" aca="1" ref="G84" ca="1">INDIRECT("'※ 인력 세부데이터'!"&amp;G$1&amp;$W85, TRUE)</f>
        <v>0</v>
      </c>
      <c r="H84" s="3860" cm="1">
        <f t="array" aca="1" ref="H84" ca="1">INDIRECT("'※ 인력 세부데이터'!"&amp;H$1&amp;$W85, TRUE)</f>
        <v>0</v>
      </c>
      <c r="I84" s="3860" cm="1">
        <f t="array" aca="1" ref="I84" ca="1">INDIRECT("'※ 인력 세부데이터'!"&amp;I$1&amp;$W85, TRUE)</f>
        <v>0</v>
      </c>
      <c r="J84" s="3860" cm="1">
        <f t="array" aca="1" ref="J84" ca="1">INDIRECT("'※ 인력 세부데이터'!"&amp;J$1&amp;$W85, TRUE)</f>
        <v>0</v>
      </c>
      <c r="K84" s="3860" cm="1">
        <f t="array" aca="1" ref="K84" ca="1">INDIRECT("'※ 인력 세부데이터'!"&amp;K$1&amp;$W85, TRUE)</f>
        <v>0</v>
      </c>
      <c r="L84" s="3860" cm="1">
        <f t="array" aca="1" ref="L84" ca="1">INDIRECT("'※ 인력 세부데이터'!"&amp;L$1&amp;$W85, TRUE)</f>
        <v>0</v>
      </c>
      <c r="M84" s="3860" cm="1">
        <f t="array" aca="1" ref="M84" ca="1">INDIRECT("'※ 인력 세부데이터'!"&amp;M$1&amp;$W85, TRUE)</f>
        <v>0</v>
      </c>
      <c r="N84" s="3860" cm="1">
        <f t="array" aca="1" ref="N84" ca="1">INDIRECT("'※ 인력 세부데이터'!"&amp;N$1&amp;$W85, TRUE)</f>
        <v>0</v>
      </c>
      <c r="O84" s="3860" cm="1">
        <f t="array" aca="1" ref="O84" ca="1">INDIRECT("'※ 인력 세부데이터'!"&amp;O$1&amp;$W85, TRUE)</f>
        <v>0</v>
      </c>
      <c r="P84" s="3860" cm="1">
        <f t="array" aca="1" ref="P84" ca="1">INDIRECT("'※ 인력 세부데이터'!"&amp;P$1&amp;$W85, TRUE)</f>
        <v>0</v>
      </c>
      <c r="Q84" s="3860" cm="1">
        <f t="array" aca="1" ref="Q84" ca="1">INDIRECT("'※ 인력 세부데이터'!"&amp;Q$1&amp;$W85, TRUE)</f>
        <v>0</v>
      </c>
      <c r="R84" s="3859" cm="1">
        <f t="array" aca="1" ref="R84" ca="1">INDIRECT("'※ 인력 세부데이터'!"&amp;R$2&amp;$W85, TRUE)</f>
        <v>0</v>
      </c>
      <c r="S84" s="3860" cm="1">
        <f t="array" aca="1" ref="S84" ca="1">INDIRECT("'※ 인력 세부데이터'!"&amp;S$1&amp;$W85, TRUE)</f>
        <v>0</v>
      </c>
      <c r="T84" s="3860" cm="1">
        <f t="array" aca="1" ref="T84" ca="1">INDIRECT("'※ 인력 세부데이터'!"&amp;T$1&amp;$W85, TRUE)</f>
        <v>0</v>
      </c>
      <c r="U84" s="3860" cm="1">
        <f t="array" aca="1" ref="U84" ca="1">INDIRECT("'※ 인력 세부데이터'!"&amp;U$1&amp;$W85, TRUE)</f>
        <v>0</v>
      </c>
      <c r="V84" s="3860" cm="1">
        <f t="array" aca="1" ref="V84" ca="1">INDIRECT("'※ 인력 세부데이터'!"&amp;V$1&amp;$W85, TRUE)</f>
        <v>0</v>
      </c>
      <c r="W84" s="3769">
        <f>ROW('※ 인력 세부데이터'!J80)</f>
        <v>80</v>
      </c>
      <c r="X84" s="2648"/>
      <c r="Y84" s="2648"/>
      <c r="Z84" s="2493"/>
      <c r="AA84" s="2493"/>
      <c r="AB84" s="2493"/>
      <c r="AC84" s="2493"/>
      <c r="AD84" s="2493"/>
      <c r="AE84" s="2493"/>
      <c r="AF84" s="2493"/>
      <c r="AG84" s="2493"/>
      <c r="AH84" s="2493"/>
      <c r="AI84" s="2493"/>
      <c r="AJ84" s="2493"/>
      <c r="AK84" s="2493"/>
      <c r="AL84" s="2493"/>
      <c r="AM84" s="2493"/>
      <c r="AN84" s="2493"/>
      <c r="AO84" s="2493"/>
      <c r="AP84" s="2493"/>
      <c r="AQ84" s="2493"/>
      <c r="AR84" s="2493"/>
      <c r="AS84" s="2493"/>
      <c r="AT84" s="2493"/>
      <c r="AU84" s="2493"/>
      <c r="AV84" s="2493"/>
      <c r="AW84" s="2493"/>
      <c r="AX84" s="2493"/>
      <c r="AY84" s="2493"/>
      <c r="AZ84" s="2493"/>
      <c r="BA84" s="2493"/>
      <c r="BB84" s="2493"/>
      <c r="BC84" s="2493"/>
      <c r="BD84" s="2493"/>
      <c r="BE84" s="2493"/>
      <c r="BF84" s="2493"/>
      <c r="BG84" s="2493"/>
    </row>
    <row r="85" spans="1:59" ht="21.9" customHeight="1" x14ac:dyDescent="0.55000000000000004">
      <c r="A85" s="7443"/>
      <c r="B85" s="3861" t="s">
        <v>1058</v>
      </c>
      <c r="C85" s="3862"/>
      <c r="D85" s="3863" cm="1">
        <f t="array" aca="1" ref="D85" ca="1">INDIRECT("'※ 인력 세부데이터'!"&amp;D$1&amp;$W86, TRUE)</f>
        <v>51.083333333333336</v>
      </c>
      <c r="E85" s="3864" cm="1">
        <f t="array" aca="1" ref="E85" ca="1">INDIRECT("'※ 인력 세부데이터'!"&amp;E$1&amp;$W86, TRUE)</f>
        <v>55.166666666666664</v>
      </c>
      <c r="F85" s="3865" cm="1">
        <f t="array" aca="1" ref="F85" ca="1">INDIRECT("'※ 인력 세부데이터'!"&amp;F$1&amp;$W86, TRUE)</f>
        <v>32</v>
      </c>
      <c r="G85" s="3866" cm="1">
        <f t="array" aca="1" ref="G85" ca="1">INDIRECT("'※ 인력 세부데이터'!"&amp;G$1&amp;$W86, TRUE)</f>
        <v>55</v>
      </c>
      <c r="H85" s="3866" cm="1">
        <f t="array" aca="1" ref="H85" ca="1">INDIRECT("'※ 인력 세부데이터'!"&amp;H$1&amp;$W86, TRUE)</f>
        <v>52</v>
      </c>
      <c r="I85" s="3866" cm="1">
        <f t="array" aca="1" ref="I85" ca="1">INDIRECT("'※ 인력 세부데이터'!"&amp;I$1&amp;$W86, TRUE)</f>
        <v>39</v>
      </c>
      <c r="J85" s="3866" cm="1">
        <f t="array" aca="1" ref="J85" ca="1">INDIRECT("'※ 인력 세부데이터'!"&amp;J$1&amp;$W86, TRUE)</f>
        <v>36</v>
      </c>
      <c r="K85" s="3866" cm="1">
        <f t="array" aca="1" ref="K85" ca="1">INDIRECT("'※ 인력 세부데이터'!"&amp;K$1&amp;$W86, TRUE)</f>
        <v>40</v>
      </c>
      <c r="L85" s="3866" cm="1">
        <f t="array" aca="1" ref="L85" ca="1">INDIRECT("'※ 인력 세부데이터'!"&amp;L$1&amp;$W86, TRUE)</f>
        <v>47</v>
      </c>
      <c r="M85" s="3866" cm="1">
        <f t="array" aca="1" ref="M85" ca="1">INDIRECT("'※ 인력 세부데이터'!"&amp;M$1&amp;$W86, TRUE)</f>
        <v>52</v>
      </c>
      <c r="N85" s="3866" cm="1">
        <f t="array" aca="1" ref="N85" ca="1">INDIRECT("'※ 인력 세부데이터'!"&amp;N$1&amp;$W86, TRUE)</f>
        <v>40</v>
      </c>
      <c r="O85" s="3866" cm="1">
        <f t="array" aca="1" ref="O85" ca="1">INDIRECT("'※ 인력 세부데이터'!"&amp;O$1&amp;$W86, TRUE)</f>
        <v>46</v>
      </c>
      <c r="P85" s="3866" cm="1">
        <f t="array" aca="1" ref="P85" ca="1">INDIRECT("'※ 인력 세부데이터'!"&amp;P$1&amp;$W86, TRUE)</f>
        <v>39</v>
      </c>
      <c r="Q85" s="3866" cm="1">
        <f t="array" aca="1" ref="Q85" ca="1">INDIRECT("'※ 인력 세부데이터'!"&amp;Q$1&amp;$W86, TRUE)</f>
        <v>24</v>
      </c>
      <c r="R85" s="3865" cm="1">
        <f t="array" aca="1" ref="R85" ca="1">INDIRECT("'※ 인력 세부데이터'!"&amp;R$2&amp;$W86, TRUE)</f>
        <v>-25</v>
      </c>
      <c r="S85" s="3866" cm="1">
        <f t="array" aca="1" ref="S85" ca="1">INDIRECT("'※ 인력 세부데이터'!"&amp;S$1&amp;$W86, TRUE)</f>
        <v>-25</v>
      </c>
      <c r="T85" s="3866" cm="1">
        <f t="array" aca="1" ref="T85" ca="1">INDIRECT("'※ 인력 세부데이터'!"&amp;T$1&amp;$W86, TRUE)</f>
        <v>-13.333333333333329</v>
      </c>
      <c r="U85" s="3866" cm="1">
        <f t="array" aca="1" ref="U85" ca="1">INDIRECT("'※ 인력 세부데이터'!"&amp;U$1&amp;$W86, TRUE)</f>
        <v>-13.333333333333329</v>
      </c>
      <c r="V85" s="3866" cm="1">
        <f t="array" aca="1" ref="V85" ca="1">INDIRECT("'※ 인력 세부데이터'!"&amp;V$1&amp;$W86, TRUE)</f>
        <v>-15</v>
      </c>
      <c r="W85" s="3769">
        <f>ROW('※ 인력 세부데이터'!J81)</f>
        <v>81</v>
      </c>
      <c r="X85" s="2648"/>
      <c r="Y85" s="2648"/>
      <c r="Z85" s="2493"/>
      <c r="AA85" s="2493"/>
      <c r="AB85" s="2493"/>
      <c r="AC85" s="2493"/>
      <c r="AD85" s="2493"/>
      <c r="AE85" s="2493"/>
      <c r="AF85" s="2493"/>
      <c r="AG85" s="2493"/>
      <c r="AH85" s="2493"/>
      <c r="AI85" s="2493"/>
      <c r="AJ85" s="2493"/>
      <c r="AK85" s="2493"/>
      <c r="AL85" s="2493"/>
      <c r="AM85" s="2493"/>
      <c r="AN85" s="2493"/>
      <c r="AO85" s="2493"/>
      <c r="AP85" s="2493"/>
      <c r="AQ85" s="2493"/>
      <c r="AR85" s="2493"/>
      <c r="AS85" s="2493"/>
      <c r="AT85" s="2493"/>
      <c r="AU85" s="2493"/>
      <c r="AV85" s="2493"/>
      <c r="AW85" s="2493"/>
      <c r="AX85" s="2493"/>
      <c r="AY85" s="2493"/>
      <c r="AZ85" s="2493"/>
      <c r="BA85" s="2493"/>
      <c r="BB85" s="2493"/>
      <c r="BC85" s="2493"/>
      <c r="BD85" s="2493"/>
      <c r="BE85" s="2493"/>
      <c r="BF85" s="2493"/>
      <c r="BG85" s="2493"/>
    </row>
    <row r="86" spans="1:59" ht="21.9" customHeight="1" x14ac:dyDescent="0.55000000000000004">
      <c r="A86" s="7443"/>
      <c r="B86" s="3867" t="s">
        <v>1075</v>
      </c>
      <c r="C86" s="3862"/>
      <c r="D86" s="3868" cm="1">
        <f t="array" aca="1" ref="D86" ca="1">INDIRECT("'※ 인력 세부데이터'!"&amp;D$1&amp;$W87, TRUE)</f>
        <v>2.7931892203325398E-2</v>
      </c>
      <c r="E86" s="3869" cm="1">
        <f t="array" aca="1" ref="E86" ca="1">INDIRECT("'※ 인력 세부데이터'!"&amp;E$1&amp;$W87, TRUE)</f>
        <v>2.9600973383277957E-2</v>
      </c>
      <c r="F86" s="3870" cm="1">
        <f t="array" aca="1" ref="F86" ca="1">INDIRECT("'※ 인력 세부데이터'!"&amp;F$1&amp;$W87, TRUE)</f>
        <v>1.6435541859270673E-2</v>
      </c>
      <c r="G86" s="3871" cm="1">
        <f t="array" aca="1" ref="G86" ca="1">INDIRECT("'※ 인력 세부데이터'!"&amp;G$1&amp;$W87, TRUE)</f>
        <v>2.8075548749361919E-2</v>
      </c>
      <c r="H86" s="3871" cm="1">
        <f t="array" aca="1" ref="H86" ca="1">INDIRECT("'※ 인력 세부데이터'!"&amp;H$1&amp;$W87, TRUE)</f>
        <v>2.6490066225165563E-2</v>
      </c>
      <c r="I86" s="3871" cm="1">
        <f t="array" aca="1" ref="I86" ca="1">INDIRECT("'※ 인력 세부데이터'!"&amp;I$1&amp;$W87, TRUE)</f>
        <v>2.0030816640986132E-2</v>
      </c>
      <c r="J86" s="3871" cm="1">
        <f t="array" aca="1" ref="J86" ca="1">INDIRECT("'※ 인력 세부데이터'!"&amp;J$1&amp;$W87, TRUE)</f>
        <v>1.8585441404233349E-2</v>
      </c>
      <c r="K86" s="3871" cm="1">
        <f t="array" aca="1" ref="K86" ca="1">INDIRECT("'※ 인력 세부데이터'!"&amp;K$1&amp;$W87, TRUE)</f>
        <v>2.0768431983385256E-2</v>
      </c>
      <c r="L86" s="3871" cm="1">
        <f t="array" aca="1" ref="L86" ca="1">INDIRECT("'※ 인력 세부데이터'!"&amp;L$1&amp;$W87, TRUE)</f>
        <v>2.4646040901940221E-2</v>
      </c>
      <c r="M86" s="3871" cm="1">
        <f t="array" aca="1" ref="M86" ca="1">INDIRECT("'※ 인력 세부데이터'!"&amp;M$1&amp;$W87, TRUE)</f>
        <v>2.7542372881355932E-2</v>
      </c>
      <c r="N86" s="3871" cm="1">
        <f t="array" aca="1" ref="N86" ca="1">INDIRECT("'※ 인력 세부데이터'!"&amp;N$1&amp;$W87, TRUE)</f>
        <v>2.1356113187399894E-2</v>
      </c>
      <c r="O86" s="3871" cm="1">
        <f t="array" aca="1" ref="O86" ca="1">INDIRECT("'※ 인력 세부데이터'!"&amp;O$1&amp;$W87, TRUE)</f>
        <v>2.4757804090419805E-2</v>
      </c>
      <c r="P86" s="3871" cm="1">
        <f t="array" aca="1" ref="P86" ca="1">INDIRECT("'※ 인력 세부데이터'!"&amp;P$1&amp;$W87, TRUE)</f>
        <v>2.1035598705501618E-2</v>
      </c>
      <c r="Q86" s="3871" cm="1">
        <f t="array" aca="1" ref="Q86" ca="1">INDIRECT("'※ 인력 세부데이터'!"&amp;Q$1&amp;$W87, TRUE)</f>
        <v>1.2944983818770227E-2</v>
      </c>
      <c r="R86" s="3870" cm="1">
        <f t="array" aca="1" ref="R86" ca="1">INDIRECT("'※ 인력 세부데이터'!"&amp;R$2&amp;$W87, TRUE)</f>
        <v>-1.2325774303973453E-2</v>
      </c>
      <c r="S86" s="3871" cm="1">
        <f t="array" aca="1" ref="S86" ca="1">INDIRECT("'※ 인력 세부데이터'!"&amp;S$1&amp;$W87, TRUE)</f>
        <v>-1.2325774303973453E-2</v>
      </c>
      <c r="T86" s="3871" cm="1">
        <f t="array" aca="1" ref="T86" ca="1">INDIRECT("'※ 인력 세부데이터'!"&amp;T$1&amp;$W87, TRUE)</f>
        <v>-7.7119100126287407E-3</v>
      </c>
      <c r="U86" s="3871" cm="1">
        <f t="array" aca="1" ref="U86" ca="1">INDIRECT("'※ 인력 세부데이터'!"&amp;U$1&amp;$W87, TRUE)</f>
        <v>-7.7119100126287407E-3</v>
      </c>
      <c r="V86" s="3871" cm="1">
        <f t="array" aca="1" ref="V86" ca="1">INDIRECT("'※ 인력 세부데이터'!"&amp;V$1&amp;$W87, TRUE)</f>
        <v>-8.0906148867313909E-3</v>
      </c>
      <c r="W86" s="3769">
        <f>ROW('※ 인력 세부데이터'!J82)</f>
        <v>82</v>
      </c>
      <c r="X86" s="2648"/>
      <c r="Y86" s="2648"/>
      <c r="Z86" s="2493"/>
      <c r="AA86" s="2493"/>
      <c r="AB86" s="2493"/>
      <c r="AC86" s="2493"/>
      <c r="AD86" s="2493"/>
      <c r="AE86" s="2493"/>
      <c r="AF86" s="2493"/>
      <c r="AG86" s="2493"/>
      <c r="AH86" s="2493"/>
      <c r="AI86" s="2493"/>
      <c r="AJ86" s="2493"/>
      <c r="AK86" s="2493"/>
      <c r="AL86" s="2493"/>
      <c r="AM86" s="2493"/>
      <c r="AN86" s="2493"/>
      <c r="AO86" s="2493"/>
      <c r="AP86" s="2493"/>
      <c r="AQ86" s="2493"/>
      <c r="AR86" s="2493"/>
      <c r="AS86" s="2493"/>
      <c r="AT86" s="2493"/>
      <c r="AU86" s="2493"/>
      <c r="AV86" s="2493"/>
      <c r="AW86" s="2493"/>
      <c r="AX86" s="2493"/>
      <c r="AY86" s="2493"/>
      <c r="AZ86" s="2493"/>
      <c r="BA86" s="2493"/>
      <c r="BB86" s="2493"/>
      <c r="BC86" s="2493"/>
      <c r="BD86" s="2493"/>
      <c r="BE86" s="2493"/>
      <c r="BF86" s="2493"/>
      <c r="BG86" s="2493"/>
    </row>
    <row r="87" spans="1:59" ht="21.9" customHeight="1" x14ac:dyDescent="0.55000000000000004">
      <c r="A87" s="7443"/>
      <c r="B87" s="3837"/>
      <c r="C87" s="3872" t="s">
        <v>1069</v>
      </c>
      <c r="D87" s="3850"/>
      <c r="E87" s="3851"/>
      <c r="F87" s="3876" cm="1">
        <f t="array" aca="1" ref="F87" ca="1">INDIRECT("'※ 인력 세부데이터'!"&amp;F$1&amp;$W88, TRUE)</f>
        <v>15</v>
      </c>
      <c r="G87" s="3875" cm="1">
        <f t="array" aca="1" ref="G87" ca="1">INDIRECT("'※ 인력 세부데이터'!"&amp;G$1&amp;$W88, TRUE)</f>
        <v>23</v>
      </c>
      <c r="H87" s="3875" cm="1">
        <f t="array" aca="1" ref="H87" ca="1">INDIRECT("'※ 인력 세부데이터'!"&amp;H$1&amp;$W88, TRUE)</f>
        <v>13</v>
      </c>
      <c r="I87" s="3875" cm="1">
        <f t="array" aca="1" ref="I87" ca="1">INDIRECT("'※ 인력 세부데이터'!"&amp;I$1&amp;$W88, TRUE)</f>
        <v>8</v>
      </c>
      <c r="J87" s="3875" cm="1">
        <f t="array" aca="1" ref="J87" ca="1">INDIRECT("'※ 인력 세부데이터'!"&amp;J$1&amp;$W88, TRUE)</f>
        <v>9</v>
      </c>
      <c r="K87" s="3875" cm="1">
        <f t="array" aca="1" ref="K87" ca="1">INDIRECT("'※ 인력 세부데이터'!"&amp;K$1&amp;$W88, TRUE)</f>
        <v>6</v>
      </c>
      <c r="L87" s="3875" cm="1">
        <f t="array" aca="1" ref="L87" ca="1">INDIRECT("'※ 인력 세부데이터'!"&amp;L$1&amp;$W88, TRUE)</f>
        <v>10</v>
      </c>
      <c r="M87" s="3875" cm="1">
        <f t="array" aca="1" ref="M87" ca="1">INDIRECT("'※ 인력 세부데이터'!"&amp;M$1&amp;$W88, TRUE)</f>
        <v>11</v>
      </c>
      <c r="N87" s="3875" cm="1">
        <f t="array" aca="1" ref="N87" ca="1">INDIRECT("'※ 인력 세부데이터'!"&amp;N$1&amp;$W88, TRUE)</f>
        <v>9</v>
      </c>
      <c r="O87" s="3875" cm="1">
        <f t="array" aca="1" ref="O87" ca="1">INDIRECT("'※ 인력 세부데이터'!"&amp;O$1&amp;$W88, TRUE)</f>
        <v>7</v>
      </c>
      <c r="P87" s="3875" cm="1">
        <f t="array" aca="1" ref="P87" ca="1">INDIRECT("'※ 인력 세부데이터'!"&amp;P$1&amp;$W88, TRUE)</f>
        <v>7</v>
      </c>
      <c r="Q87" s="3875" cm="1">
        <f t="array" aca="1" ref="Q87" ca="1">INDIRECT("'※ 인력 세부데이터'!"&amp;Q$1&amp;$W88, TRUE)</f>
        <v>11</v>
      </c>
      <c r="R87" s="3876" cm="1">
        <f t="array" aca="1" ref="R87" ca="1">INDIRECT("'※ 인력 세부데이터'!"&amp;R$2&amp;$W88, TRUE)</f>
        <v>-11</v>
      </c>
      <c r="S87" s="3875" cm="1">
        <f t="array" aca="1" ref="S87" ca="1">INDIRECT("'※ 인력 세부데이터'!"&amp;S$1&amp;$W88, TRUE)</f>
        <v>-11</v>
      </c>
      <c r="T87" s="3875" cm="1">
        <f t="array" aca="1" ref="T87" ca="1">INDIRECT("'※ 인력 세부데이터'!"&amp;T$1&amp;$W88, TRUE)</f>
        <v>-10.583333333333332</v>
      </c>
      <c r="U87" s="3875" cm="1">
        <f t="array" aca="1" ref="U87" ca="1">INDIRECT("'※ 인력 세부데이터'!"&amp;U$1&amp;$W88, TRUE)</f>
        <v>-10.583333333333332</v>
      </c>
      <c r="V87" s="3875" cm="1">
        <f t="array" aca="1" ref="V87" ca="1">INDIRECT("'※ 인력 세부데이터'!"&amp;V$1&amp;$W88, TRUE)</f>
        <v>4</v>
      </c>
      <c r="W87" s="3769">
        <f>ROW('※ 인력 세부데이터'!J83)</f>
        <v>83</v>
      </c>
      <c r="X87" s="2648"/>
      <c r="Y87" s="2648"/>
      <c r="Z87" s="2493"/>
      <c r="AA87" s="2493"/>
      <c r="AB87" s="2493"/>
      <c r="AC87" s="2493"/>
      <c r="AD87" s="2493"/>
      <c r="AE87" s="2493"/>
      <c r="AF87" s="2493"/>
      <c r="AG87" s="2493"/>
      <c r="AH87" s="2493"/>
      <c r="AI87" s="2493"/>
      <c r="AJ87" s="2493"/>
      <c r="AK87" s="2493"/>
      <c r="AL87" s="2493"/>
      <c r="AM87" s="2493"/>
      <c r="AN87" s="2493"/>
      <c r="AO87" s="2493"/>
      <c r="AP87" s="2493"/>
      <c r="AQ87" s="2493"/>
      <c r="AR87" s="2493"/>
      <c r="AS87" s="2493"/>
      <c r="AT87" s="2493"/>
      <c r="AU87" s="2493"/>
      <c r="AV87" s="2493"/>
      <c r="AW87" s="2493"/>
      <c r="AX87" s="2493"/>
      <c r="AY87" s="2493"/>
      <c r="AZ87" s="2493"/>
      <c r="BA87" s="2493"/>
      <c r="BB87" s="2493"/>
      <c r="BC87" s="2493"/>
      <c r="BD87" s="2493"/>
      <c r="BE87" s="2493"/>
      <c r="BF87" s="2493"/>
      <c r="BG87" s="2493"/>
    </row>
    <row r="88" spans="1:59" ht="21.9" customHeight="1" x14ac:dyDescent="0.55000000000000004">
      <c r="A88" s="7443"/>
      <c r="B88" s="3837"/>
      <c r="C88" s="3877" t="s">
        <v>1077</v>
      </c>
      <c r="D88" s="3857"/>
      <c r="E88" s="3858"/>
      <c r="F88" s="3878" cm="1">
        <f t="array" aca="1" ref="F88" ca="1">INDIRECT("'※ 인력 세부데이터'!"&amp;F$1&amp;$W89, TRUE)</f>
        <v>0.46875</v>
      </c>
      <c r="G88" s="3879" cm="1">
        <f t="array" aca="1" ref="G88" ca="1">INDIRECT("'※ 인력 세부데이터'!"&amp;G$1&amp;$W89, TRUE)</f>
        <v>0.44230769230769229</v>
      </c>
      <c r="H88" s="3879" cm="1">
        <f t="array" aca="1" ref="H88" ca="1">INDIRECT("'※ 인력 세부데이터'!"&amp;H$1&amp;$W89, TRUE)</f>
        <v>0.26</v>
      </c>
      <c r="I88" s="3879" cm="1">
        <f t="array" aca="1" ref="I88" ca="1">INDIRECT("'※ 인력 세부데이터'!"&amp;I$1&amp;$W89, TRUE)</f>
        <v>0.21052631578947367</v>
      </c>
      <c r="J88" s="3879" cm="1">
        <f t="array" aca="1" ref="J88" ca="1">INDIRECT("'※ 인력 세부데이터'!"&amp;J$1&amp;$W89, TRUE)</f>
        <v>0.25714285714285712</v>
      </c>
      <c r="K88" s="3879" cm="1">
        <f t="array" aca="1" ref="K88" ca="1">INDIRECT("'※ 인력 세부데이터'!"&amp;K$1&amp;$W89, TRUE)</f>
        <v>0.15</v>
      </c>
      <c r="L88" s="3879" cm="1">
        <f t="array" aca="1" ref="L88" ca="1">INDIRECT("'※ 인력 세부데이터'!"&amp;L$1&amp;$W89, TRUE)</f>
        <v>0.22222222222222221</v>
      </c>
      <c r="M88" s="3879" cm="1">
        <f t="array" aca="1" ref="M88" ca="1">INDIRECT("'※ 인력 세부데이터'!"&amp;M$1&amp;$W89, TRUE)</f>
        <v>0.21153846153846154</v>
      </c>
      <c r="N88" s="3879" cm="1">
        <f t="array" aca="1" ref="N88" ca="1">INDIRECT("'※ 인력 세부데이터'!"&amp;N$1&amp;$W89, TRUE)</f>
        <v>0.23076923076923078</v>
      </c>
      <c r="O88" s="3879" cm="1">
        <f t="array" aca="1" ref="O88" ca="1">INDIRECT("'※ 인력 세부데이터'!"&amp;O$1&amp;$W89, TRUE)</f>
        <v>0.16666666666666666</v>
      </c>
      <c r="P88" s="3879" cm="1">
        <f t="array" aca="1" ref="P88" ca="1">INDIRECT("'※ 인력 세부데이터'!"&amp;P$1&amp;$W89, TRUE)</f>
        <v>0.18421052631578946</v>
      </c>
      <c r="Q88" s="3879" cm="1">
        <f t="array" aca="1" ref="Q88" ca="1">INDIRECT("'※ 인력 세부데이터'!"&amp;Q$1&amp;$W89, TRUE)</f>
        <v>0.47826086956521741</v>
      </c>
      <c r="R88" s="3878" cm="1">
        <f t="array" aca="1" ref="R88" ca="1">INDIRECT("'※ 인력 세부데이터'!"&amp;R$2&amp;$W89, TRUE)</f>
        <v>1.0175763182238673E-2</v>
      </c>
      <c r="S88" s="3879" cm="1">
        <f t="array" aca="1" ref="S88" ca="1">INDIRECT("'※ 인력 세부데이터'!"&amp;S$1&amp;$W89, TRUE)</f>
        <v>1.0175763182238673E-2</v>
      </c>
      <c r="T88" s="3879" cm="1">
        <f t="array" aca="1" ref="T88" ca="1">INDIRECT("'※ 인력 세부데이터'!"&amp;T$1&amp;$W89, TRUE)</f>
        <v>-0.11646709647353243</v>
      </c>
      <c r="U88" s="3879" cm="1">
        <f t="array" aca="1" ref="U88" ca="1">INDIRECT("'※ 인력 세부데이터'!"&amp;U$1&amp;$W89, TRUE)</f>
        <v>-0.11643152537356699</v>
      </c>
      <c r="V88" s="3879" cm="1">
        <f t="array" aca="1" ref="V88" ca="1">INDIRECT("'※ 인력 세부데이터'!"&amp;V$1&amp;$W89, TRUE)</f>
        <v>0.29405034324942791</v>
      </c>
      <c r="W88" s="3769">
        <f>ROW('※ 인력 세부데이터'!J84)</f>
        <v>84</v>
      </c>
      <c r="X88" s="2648"/>
      <c r="Y88" s="2648"/>
      <c r="Z88" s="2493"/>
      <c r="AA88" s="2493"/>
      <c r="AB88" s="2493"/>
      <c r="AC88" s="2493"/>
      <c r="AD88" s="2493"/>
      <c r="AE88" s="2493"/>
      <c r="AF88" s="2493"/>
      <c r="AG88" s="2493"/>
      <c r="AH88" s="2493"/>
      <c r="AI88" s="2493"/>
      <c r="AJ88" s="2493"/>
      <c r="AK88" s="2493"/>
      <c r="AL88" s="2493"/>
      <c r="AM88" s="2493"/>
      <c r="AN88" s="2493"/>
      <c r="AO88" s="2493"/>
      <c r="AP88" s="2493"/>
      <c r="AQ88" s="2493"/>
      <c r="AR88" s="2493"/>
      <c r="AS88" s="2493"/>
      <c r="AT88" s="2493"/>
      <c r="AU88" s="2493"/>
      <c r="AV88" s="2493"/>
      <c r="AW88" s="2493"/>
      <c r="AX88" s="2493"/>
      <c r="AY88" s="2493"/>
      <c r="AZ88" s="2493"/>
      <c r="BA88" s="2493"/>
      <c r="BB88" s="2493"/>
      <c r="BC88" s="2493"/>
      <c r="BD88" s="2493"/>
      <c r="BE88" s="2493"/>
      <c r="BF88" s="2493"/>
      <c r="BG88" s="2493"/>
    </row>
    <row r="89" spans="1:59" x14ac:dyDescent="0.55000000000000004">
      <c r="A89" s="7443"/>
      <c r="B89" s="3837"/>
      <c r="C89" s="3880" t="s">
        <v>1063</v>
      </c>
      <c r="D89" s="3881" cm="1">
        <f t="array" aca="1" ref="D89" ca="1">INDIRECT("'※ 인력 세부데이터'!"&amp;D$1&amp;$W90, TRUE)</f>
        <v>0</v>
      </c>
      <c r="E89" s="3882" cm="1">
        <f t="array" aca="1" ref="E89" ca="1">INDIRECT("'※ 인력 세부데이터'!"&amp;E$1&amp;$W90, TRUE)</f>
        <v>38.666666666666664</v>
      </c>
      <c r="F89" s="3883" cm="1">
        <f t="array" aca="1" ref="F89" ca="1">INDIRECT("'※ 인력 세부데이터'!"&amp;F$1&amp;$W90, TRUE)</f>
        <v>23</v>
      </c>
      <c r="G89" s="3882" cm="1">
        <f t="array" aca="1" ref="G89" ca="1">INDIRECT("'※ 인력 세부데이터'!"&amp;G$1&amp;$W90, TRUE)</f>
        <v>36</v>
      </c>
      <c r="H89" s="3882" cm="1">
        <f t="array" aca="1" ref="H89" ca="1">INDIRECT("'※ 인력 세부데이터'!"&amp;H$1&amp;$W90, TRUE)</f>
        <v>33</v>
      </c>
      <c r="I89" s="3882" cm="1">
        <f t="array" aca="1" ref="I89" ca="1">INDIRECT("'※ 인력 세부데이터'!"&amp;I$1&amp;$W90, TRUE)</f>
        <v>23</v>
      </c>
      <c r="J89" s="3882" cm="1">
        <f t="array" aca="1" ref="J89" ca="1">INDIRECT("'※ 인력 세부데이터'!"&amp;J$1&amp;$W90, TRUE)</f>
        <v>25</v>
      </c>
      <c r="K89" s="3882" cm="1">
        <f t="array" aca="1" ref="K89" ca="1">INDIRECT("'※ 인력 세부데이터'!"&amp;K$1&amp;$W90, TRUE)</f>
        <v>21</v>
      </c>
      <c r="L89" s="3882" cm="1">
        <f t="array" aca="1" ref="L89" ca="1">INDIRECT("'※ 인력 세부데이터'!"&amp;L$1&amp;$W90, TRUE)</f>
        <v>32</v>
      </c>
      <c r="M89" s="3882" cm="1">
        <f t="array" aca="1" ref="M89" ca="1">INDIRECT("'※ 인력 세부데이터'!"&amp;M$1&amp;$W90, TRUE)</f>
        <v>35</v>
      </c>
      <c r="N89" s="3882" cm="1">
        <f t="array" aca="1" ref="N89" ca="1">INDIRECT("'※ 인력 세부데이터'!"&amp;N$1&amp;$W90, TRUE)</f>
        <v>17</v>
      </c>
      <c r="O89" s="3882" cm="1">
        <f t="array" aca="1" ref="O89" ca="1">INDIRECT("'※ 인력 세부데이터'!"&amp;O$1&amp;$W90, TRUE)</f>
        <v>22</v>
      </c>
      <c r="P89" s="3882" cm="1">
        <f t="array" aca="1" ref="P89" ca="1">INDIRECT("'※ 인력 세부데이터'!"&amp;P$1&amp;$W90, TRUE)</f>
        <v>19</v>
      </c>
      <c r="Q89" s="3882" cm="1">
        <f t="array" aca="1" ref="Q89" ca="1">INDIRECT("'※ 인력 세부데이터'!"&amp;Q$1&amp;$W90, TRUE)</f>
        <v>16</v>
      </c>
      <c r="R89" s="3883" cm="1">
        <f t="array" aca="1" ref="R89" ca="1">INDIRECT("'※ 인력 세부데이터'!"&amp;R$2&amp;$W90, TRUE)</f>
        <v>-20</v>
      </c>
      <c r="S89" s="3882" cm="1">
        <f t="array" aca="1" ref="S89" ca="1">INDIRECT("'※ 인력 세부데이터'!"&amp;S$1&amp;$W90, TRUE)</f>
        <v>-20</v>
      </c>
      <c r="T89" s="3882" cm="1">
        <f t="array" aca="1" ref="T89" ca="1">INDIRECT("'※ 인력 세부데이터'!"&amp;T$1&amp;$W90, TRUE)</f>
        <v>-13.499999999999996</v>
      </c>
      <c r="U89" s="3882" cm="1">
        <f t="array" aca="1" ref="U89" ca="1">INDIRECT("'※ 인력 세부데이터'!"&amp;U$1&amp;$W90, TRUE)</f>
        <v>-13.499999999999996</v>
      </c>
      <c r="V89" s="3882" cm="1">
        <f t="array" aca="1" ref="V89" ca="1">INDIRECT("'※ 인력 세부데이터'!"&amp;V$1&amp;$W90, TRUE)</f>
        <v>-3</v>
      </c>
      <c r="W89" s="3769">
        <f>ROW('※ 인력 세부데이터'!J85)</f>
        <v>85</v>
      </c>
      <c r="X89" s="2648"/>
      <c r="Y89" s="2648"/>
      <c r="Z89" s="2493"/>
      <c r="AA89" s="2493"/>
      <c r="AB89" s="2493"/>
      <c r="AC89" s="2493"/>
      <c r="AD89" s="2493"/>
      <c r="AE89" s="2493"/>
      <c r="AF89" s="2493"/>
      <c r="AG89" s="2493"/>
      <c r="AH89" s="2493"/>
      <c r="AI89" s="2493"/>
      <c r="AJ89" s="2493"/>
      <c r="AK89" s="2493"/>
      <c r="AL89" s="2493"/>
      <c r="AM89" s="2493"/>
      <c r="AN89" s="2493"/>
      <c r="AO89" s="2493"/>
      <c r="AP89" s="2493"/>
      <c r="AQ89" s="2493"/>
      <c r="AR89" s="2493"/>
      <c r="AS89" s="2493"/>
      <c r="AT89" s="2493"/>
      <c r="AU89" s="2493"/>
      <c r="AV89" s="2493"/>
      <c r="AW89" s="2493"/>
      <c r="AX89" s="2493"/>
      <c r="AY89" s="2493"/>
      <c r="AZ89" s="2493"/>
      <c r="BA89" s="2493"/>
      <c r="BB89" s="2493"/>
      <c r="BC89" s="2493"/>
      <c r="BD89" s="2493"/>
      <c r="BE89" s="2493"/>
      <c r="BF89" s="2493"/>
      <c r="BG89" s="2493"/>
    </row>
    <row r="90" spans="1:59" x14ac:dyDescent="0.55000000000000004">
      <c r="A90" s="7443"/>
      <c r="B90" s="3884"/>
      <c r="C90" s="3885" t="s">
        <v>1069</v>
      </c>
      <c r="D90" s="3850"/>
      <c r="E90" s="3886" cm="1">
        <f t="array" aca="1" ref="E90" ca="1">INDIRECT("'※ 인력 세부데이터'!"&amp;E$1&amp;$W91, TRUE)</f>
        <v>16.916666666666668</v>
      </c>
      <c r="F90" s="3887" cm="1">
        <f t="array" aca="1" ref="F90" ca="1">INDIRECT("'※ 인력 세부데이터'!"&amp;F$1&amp;$W91, TRUE)</f>
        <v>9</v>
      </c>
      <c r="G90" s="3886" cm="1">
        <f t="array" aca="1" ref="G90" ca="1">INDIRECT("'※ 인력 세부데이터'!"&amp;G$1&amp;$W91, TRUE)</f>
        <v>15</v>
      </c>
      <c r="H90" s="3886" cm="1">
        <f t="array" aca="1" ref="H90" ca="1">INDIRECT("'※ 인력 세부데이터'!"&amp;H$1&amp;$W91, TRUE)</f>
        <v>9</v>
      </c>
      <c r="I90" s="3886" cm="1">
        <f t="array" aca="1" ref="I90" ca="1">INDIRECT("'※ 인력 세부데이터'!"&amp;I$1&amp;$W91, TRUE)</f>
        <v>6</v>
      </c>
      <c r="J90" s="3886" cm="1">
        <f t="array" aca="1" ref="J90" ca="1">INDIRECT("'※ 인력 세부데이터'!"&amp;J$1&amp;$W91, TRUE)</f>
        <v>3</v>
      </c>
      <c r="K90" s="3886" cm="1">
        <f t="array" aca="1" ref="K90" ca="1">INDIRECT("'※ 인력 세부데이터'!"&amp;K$1&amp;$W91, TRUE)</f>
        <v>3</v>
      </c>
      <c r="L90" s="3886" cm="1">
        <f t="array" aca="1" ref="L90" ca="1">INDIRECT("'※ 인력 세부데이터'!"&amp;L$1&amp;$W91, TRUE)</f>
        <v>6</v>
      </c>
      <c r="M90" s="3886" cm="1">
        <f t="array" aca="1" ref="M90" ca="1">INDIRECT("'※ 인력 세부데이터'!"&amp;M$1&amp;$W91, TRUE)</f>
        <v>6</v>
      </c>
      <c r="N90" s="3886" cm="1">
        <f t="array" aca="1" ref="N90" ca="1">INDIRECT("'※ 인력 세부데이터'!"&amp;N$1&amp;$W91, TRUE)</f>
        <v>4</v>
      </c>
      <c r="O90" s="3886" cm="1">
        <f t="array" aca="1" ref="O90" ca="1">INDIRECT("'※ 인력 세부데이터'!"&amp;O$1&amp;$W91, TRUE)</f>
        <v>3</v>
      </c>
      <c r="P90" s="3886" cm="1">
        <f t="array" aca="1" ref="P90" ca="1">INDIRECT("'※ 인력 세부데이터'!"&amp;P$1&amp;$W91, TRUE)</f>
        <v>4</v>
      </c>
      <c r="Q90" s="3886" cm="1">
        <f t="array" aca="1" ref="Q90" ca="1">INDIRECT("'※ 인력 세부데이터'!"&amp;Q$1&amp;$W91, TRUE)</f>
        <v>8</v>
      </c>
      <c r="R90" s="3887" cm="1">
        <f t="array" aca="1" ref="R90" ca="1">INDIRECT("'※ 인력 세부데이터'!"&amp;R$2&amp;$W91, TRUE)</f>
        <v>-10</v>
      </c>
      <c r="S90" s="3886" cm="1">
        <f t="array" aca="1" ref="S90" ca="1">INDIRECT("'※ 인력 세부데이터'!"&amp;S$1&amp;$W91, TRUE)</f>
        <v>-10</v>
      </c>
      <c r="T90" s="3886" cm="1">
        <f t="array" aca="1" ref="T90" ca="1">INDIRECT("'※ 인력 세부데이터'!"&amp;T$1&amp;$W91, TRUE)</f>
        <v>-10.583333333333336</v>
      </c>
      <c r="U90" s="3886" cm="1">
        <f t="array" aca="1" ref="U90" ca="1">INDIRECT("'※ 인력 세부데이터'!"&amp;U$1&amp;$W91, TRUE)</f>
        <v>-10.583333333333336</v>
      </c>
      <c r="V90" s="3886" cm="1">
        <f t="array" aca="1" ref="V90" ca="1">INDIRECT("'※ 인력 세부데이터'!"&amp;V$1&amp;$W91, TRUE)</f>
        <v>4</v>
      </c>
      <c r="W90" s="3769">
        <f>ROW('※ 인력 세부데이터'!J86)</f>
        <v>86</v>
      </c>
      <c r="X90" s="2648"/>
      <c r="Y90" s="2648"/>
      <c r="Z90" s="2493"/>
      <c r="AA90" s="2493"/>
      <c r="AB90" s="2493"/>
      <c r="AC90" s="2493"/>
      <c r="AD90" s="2493"/>
      <c r="AE90" s="2493"/>
      <c r="AF90" s="2493"/>
      <c r="AG90" s="2493"/>
      <c r="AH90" s="2493"/>
      <c r="AI90" s="2493"/>
      <c r="AJ90" s="2493"/>
      <c r="AK90" s="2493"/>
      <c r="AL90" s="2493"/>
      <c r="AM90" s="2493"/>
      <c r="AN90" s="2493"/>
      <c r="AO90" s="2493"/>
      <c r="AP90" s="2493"/>
      <c r="AQ90" s="2493"/>
      <c r="AR90" s="2493"/>
      <c r="AS90" s="2493"/>
      <c r="AT90" s="2493"/>
      <c r="AU90" s="2493"/>
      <c r="AV90" s="2493"/>
      <c r="AW90" s="2493"/>
      <c r="AX90" s="2493"/>
      <c r="AY90" s="2493"/>
      <c r="AZ90" s="2493"/>
      <c r="BA90" s="2493"/>
      <c r="BB90" s="2493"/>
      <c r="BC90" s="2493"/>
      <c r="BD90" s="2493"/>
      <c r="BE90" s="2493"/>
      <c r="BF90" s="2493"/>
      <c r="BG90" s="2493"/>
    </row>
    <row r="91" spans="1:59" x14ac:dyDescent="0.55000000000000004">
      <c r="A91" s="7443"/>
      <c r="B91" s="3884"/>
      <c r="C91" s="3888" t="s">
        <v>1076</v>
      </c>
      <c r="D91" s="3857"/>
      <c r="E91" s="3879" cm="1">
        <f t="array" aca="1" ref="E91" ca="1">INDIRECT("'※ 인력 세부데이터'!"&amp;E$1&amp;$W92, TRUE)</f>
        <v>0.435</v>
      </c>
      <c r="F91" s="3878" cm="1">
        <f t="array" aca="1" ref="F91" ca="1">INDIRECT("'※ 인력 세부데이터'!"&amp;F$1&amp;$W92, TRUE)</f>
        <v>0.39130434782608697</v>
      </c>
      <c r="G91" s="3879" cm="1">
        <f t="array" aca="1" ref="G91" ca="1">INDIRECT("'※ 인력 세부데이터'!"&amp;G$1&amp;$W92, TRUE)</f>
        <v>0.41666666666666669</v>
      </c>
      <c r="H91" s="3879" cm="1">
        <f t="array" aca="1" ref="H91" ca="1">INDIRECT("'※ 인력 세부데이터'!"&amp;H$1&amp;$W92, TRUE)</f>
        <v>0.27272727272727271</v>
      </c>
      <c r="I91" s="3879" cm="1">
        <f t="array" aca="1" ref="I91" ca="1">INDIRECT("'※ 인력 세부데이터'!"&amp;I$1&amp;$W92, TRUE)</f>
        <v>0.2608695652173913</v>
      </c>
      <c r="J91" s="3879" cm="1">
        <f t="array" aca="1" ref="J91" ca="1">INDIRECT("'※ 인력 세부데이터'!"&amp;J$1&amp;$W92, TRUE)</f>
        <v>0.12</v>
      </c>
      <c r="K91" s="3879" cm="1">
        <f t="array" aca="1" ref="K91" ca="1">INDIRECT("'※ 인력 세부데이터'!"&amp;K$1&amp;$W92, TRUE)</f>
        <v>0.14285714285714285</v>
      </c>
      <c r="L91" s="3879" cm="1">
        <f t="array" aca="1" ref="L91" ca="1">INDIRECT("'※ 인력 세부데이터'!"&amp;L$1&amp;$W92, TRUE)</f>
        <v>0.1875</v>
      </c>
      <c r="M91" s="3879" cm="1">
        <f t="array" aca="1" ref="M91" ca="1">INDIRECT("'※ 인력 세부데이터'!"&amp;M$1&amp;$W92, TRUE)</f>
        <v>0.17142857142857143</v>
      </c>
      <c r="N91" s="3879" cm="1">
        <f t="array" aca="1" ref="N91" ca="1">INDIRECT("'※ 인력 세부데이터'!"&amp;N$1&amp;$W92, TRUE)</f>
        <v>0.23529411764705882</v>
      </c>
      <c r="O91" s="3879" cm="1">
        <f t="array" aca="1" ref="O91" ca="1">INDIRECT("'※ 인력 세부데이터'!"&amp;O$1&amp;$W92, TRUE)</f>
        <v>0.13636363636363635</v>
      </c>
      <c r="P91" s="3879" cm="1">
        <f t="array" aca="1" ref="P91" ca="1">INDIRECT("'※ 인력 세부데이터'!"&amp;P$1&amp;$W92, TRUE)</f>
        <v>0.21052631578947367</v>
      </c>
      <c r="Q91" s="3879" cm="1">
        <f t="array" aca="1" ref="Q91" ca="1">INDIRECT("'※ 인력 세부데이터'!"&amp;Q$1&amp;$W92, TRUE)</f>
        <v>0.5</v>
      </c>
      <c r="R91" s="3878" cm="1">
        <f t="array" aca="1" ref="R91" ca="1">INDIRECT("'※ 인력 세부데이터'!"&amp;R$1&amp;$W92, TRUE)</f>
        <v>0</v>
      </c>
      <c r="S91" s="3879" cm="1">
        <f t="array" aca="1" ref="S91" ca="1">INDIRECT("'※ 인력 세부데이터'!"&amp;S$1&amp;$W92, TRUE)</f>
        <v>0</v>
      </c>
      <c r="T91" s="3879" cm="1">
        <f t="array" aca="1" ref="T91" ca="1">INDIRECT("'※ 인력 세부데이터'!"&amp;T$1&amp;$W92, TRUE)</f>
        <v>-0.18120519695639165</v>
      </c>
      <c r="U91" s="3879" cm="1">
        <f t="array" aca="1" ref="U91" ca="1">INDIRECT("'※ 인력 세부데이터'!"&amp;U$1&amp;$W92, TRUE)</f>
        <v>-0.18116618645244209</v>
      </c>
      <c r="V91" s="3879" cm="1">
        <f t="array" aca="1" ref="V91" ca="1">INDIRECT("'※ 인력 세부데이터'!"&amp;V$1&amp;$W92, TRUE)</f>
        <v>0.28947368421052633</v>
      </c>
      <c r="W91" s="3769">
        <f>ROW('※ 인력 세부데이터'!J87)</f>
        <v>87</v>
      </c>
      <c r="X91" s="2648"/>
      <c r="Y91" s="2648"/>
      <c r="Z91" s="2493"/>
      <c r="AA91" s="2493"/>
      <c r="AB91" s="2493"/>
      <c r="AC91" s="2493"/>
      <c r="AD91" s="2493"/>
      <c r="AE91" s="2493"/>
      <c r="AF91" s="2493"/>
      <c r="AG91" s="2493"/>
      <c r="AH91" s="2493"/>
      <c r="AI91" s="2493"/>
      <c r="AJ91" s="2493"/>
      <c r="AK91" s="2493"/>
      <c r="AL91" s="2493"/>
      <c r="AM91" s="2493"/>
      <c r="AN91" s="2493"/>
      <c r="AO91" s="2493"/>
      <c r="AP91" s="2493"/>
      <c r="AQ91" s="2493"/>
      <c r="AR91" s="2493"/>
      <c r="AS91" s="2493"/>
      <c r="AT91" s="2493"/>
      <c r="AU91" s="2493"/>
      <c r="AV91" s="2493"/>
      <c r="AW91" s="2493"/>
      <c r="AX91" s="2493"/>
      <c r="AY91" s="2493"/>
      <c r="AZ91" s="2493"/>
      <c r="BA91" s="2493"/>
      <c r="BB91" s="2493"/>
      <c r="BC91" s="2493"/>
      <c r="BD91" s="2493"/>
      <c r="BE91" s="2493"/>
      <c r="BF91" s="2493"/>
      <c r="BG91" s="2493"/>
    </row>
    <row r="92" spans="1:59" x14ac:dyDescent="0.55000000000000004">
      <c r="A92" s="7443"/>
      <c r="B92" s="3884"/>
      <c r="C92" s="3889" t="s">
        <v>1115</v>
      </c>
      <c r="D92" s="3890" cm="1">
        <f t="array" aca="1" ref="D92" ca="1">INDIRECT("'※ 인력 세부데이터'!"&amp;D$1&amp;$W93, TRUE)</f>
        <v>0</v>
      </c>
      <c r="E92" s="3891" cm="1">
        <f t="array" aca="1" ref="E92" ca="1">INDIRECT("'※ 인력 세부데이터'!"&amp;E$1&amp;$W93, TRUE)</f>
        <v>1.3333333333333333</v>
      </c>
      <c r="F92" s="3892" cm="1">
        <f t="array" aca="1" ref="F92" ca="1">INDIRECT("'※ 인력 세부데이터'!"&amp;F$1&amp;$W93, TRUE)</f>
        <v>3</v>
      </c>
      <c r="G92" s="3891" cm="1">
        <f t="array" aca="1" ref="G92" ca="1">INDIRECT("'※ 인력 세부데이터'!"&amp;G$1&amp;$W93, TRUE)</f>
        <v>2</v>
      </c>
      <c r="H92" s="3891" cm="1">
        <f t="array" aca="1" ref="H92" ca="1">INDIRECT("'※ 인력 세부데이터'!"&amp;H$1&amp;$W93, TRUE)</f>
        <v>4</v>
      </c>
      <c r="I92" s="3891" cm="1">
        <f t="array" aca="1" ref="I92" ca="1">INDIRECT("'※ 인력 세부데이터'!"&amp;I$1&amp;$W93, TRUE)</f>
        <v>2</v>
      </c>
      <c r="J92" s="3891" cm="1">
        <f t="array" aca="1" ref="J92" ca="1">INDIRECT("'※ 인력 세부데이터'!"&amp;J$1&amp;$W93, TRUE)</f>
        <v>1</v>
      </c>
      <c r="K92" s="3891" cm="1">
        <f t="array" aca="1" ref="K92" ca="1">INDIRECT("'※ 인력 세부데이터'!"&amp;K$1&amp;$W93, TRUE)</f>
        <v>3</v>
      </c>
      <c r="L92" s="3891" cm="1">
        <f t="array" aca="1" ref="L92" ca="1">INDIRECT("'※ 인력 세부데이터'!"&amp;L$1&amp;$W93, TRUE)</f>
        <v>2</v>
      </c>
      <c r="M92" s="3891" cm="1">
        <f t="array" aca="1" ref="M92" ca="1">INDIRECT("'※ 인력 세부데이터'!"&amp;M$1&amp;$W93, TRUE)</f>
        <v>3</v>
      </c>
      <c r="N92" s="3891" cm="1">
        <f t="array" aca="1" ref="N92" ca="1">INDIRECT("'※ 인력 세부데이터'!"&amp;N$1&amp;$W93, TRUE)</f>
        <v>4</v>
      </c>
      <c r="O92" s="3891" cm="1">
        <f t="array" aca="1" ref="O92" ca="1">INDIRECT("'※ 인력 세부데이터'!"&amp;O$1&amp;$W93, TRUE)</f>
        <v>3</v>
      </c>
      <c r="P92" s="3891" cm="1">
        <f t="array" aca="1" ref="P92" ca="1">INDIRECT("'※ 인력 세부데이터'!"&amp;P$1&amp;$W93, TRUE)</f>
        <v>2</v>
      </c>
      <c r="Q92" s="3891" cm="1">
        <f t="array" aca="1" ref="Q92" ca="1">INDIRECT("'※ 인력 세부데이터'!"&amp;Q$1&amp;$W93, TRUE)</f>
        <v>0</v>
      </c>
      <c r="R92" s="3892" cm="1">
        <f t="array" aca="1" ref="R92" ca="1">INDIRECT("'※ 인력 세부데이터'!"&amp;R$2&amp;$W93, TRUE)</f>
        <v>-2</v>
      </c>
      <c r="S92" s="3891" cm="1">
        <f t="array" aca="1" ref="S92" ca="1">INDIRECT("'※ 인력 세부데이터'!"&amp;S$1&amp;$W93, TRUE)</f>
        <v>-2</v>
      </c>
      <c r="T92" s="3891" cm="1">
        <f t="array" aca="1" ref="T92" ca="1">INDIRECT("'※ 인력 세부데이터'!"&amp;T$1&amp;$W93, TRUE)</f>
        <v>1.303030303030303</v>
      </c>
      <c r="U92" s="3891" cm="1">
        <f t="array" aca="1" ref="U92" ca="1">INDIRECT("'※ 인력 세부데이터'!"&amp;U$1&amp;$W93, TRUE)</f>
        <v>1.303030303030303</v>
      </c>
      <c r="V92" s="3891" cm="1">
        <f t="array" aca="1" ref="V92" ca="1">INDIRECT("'※ 인력 세부데이터'!"&amp;V$1&amp;$W93, TRUE)</f>
        <v>-2</v>
      </c>
      <c r="W92" s="3769">
        <f>ROW('※ 인력 세부데이터'!J88)</f>
        <v>88</v>
      </c>
      <c r="X92" s="2648"/>
      <c r="Y92" s="2648"/>
      <c r="Z92" s="2493"/>
      <c r="AA92" s="2493"/>
      <c r="AB92" s="2493"/>
      <c r="AC92" s="2493"/>
      <c r="AD92" s="2493"/>
      <c r="AE92" s="2493"/>
      <c r="AF92" s="2493"/>
      <c r="AG92" s="2493"/>
      <c r="AH92" s="2493"/>
      <c r="AI92" s="2493"/>
      <c r="AJ92" s="2493"/>
      <c r="AK92" s="2493"/>
      <c r="AL92" s="2493"/>
      <c r="AM92" s="2493"/>
      <c r="AN92" s="2493"/>
      <c r="AO92" s="2493"/>
      <c r="AP92" s="2493"/>
      <c r="AQ92" s="2493"/>
      <c r="AR92" s="2493"/>
      <c r="AS92" s="2493"/>
      <c r="AT92" s="2493"/>
      <c r="AU92" s="2493"/>
      <c r="AV92" s="2493"/>
      <c r="AW92" s="2493"/>
      <c r="AX92" s="2493"/>
      <c r="AY92" s="2493"/>
      <c r="AZ92" s="2493"/>
      <c r="BA92" s="2493"/>
      <c r="BB92" s="2493"/>
      <c r="BC92" s="2493"/>
      <c r="BD92" s="2493"/>
      <c r="BE92" s="2493"/>
      <c r="BF92" s="2493"/>
      <c r="BG92" s="2493"/>
    </row>
    <row r="93" spans="1:59" x14ac:dyDescent="0.55000000000000004">
      <c r="A93" s="7443"/>
      <c r="B93" s="3884"/>
      <c r="C93" s="3885" t="s">
        <v>1068</v>
      </c>
      <c r="D93" s="3850"/>
      <c r="E93" s="3886" cm="1">
        <f t="array" aca="1" ref="E93" ca="1">INDIRECT("'※ 인력 세부데이터'!"&amp;E$1&amp;$W94, TRUE)</f>
        <v>0.16666666666666699</v>
      </c>
      <c r="F93" s="3887" cm="1">
        <f t="array" aca="1" ref="F93" ca="1">INDIRECT("'※ 인력 세부데이터'!"&amp;F$1&amp;$W94, TRUE)</f>
        <v>2</v>
      </c>
      <c r="G93" s="3886" cm="1">
        <f t="array" aca="1" ref="G93" ca="1">INDIRECT("'※ 인력 세부데이터'!"&amp;G$1&amp;$W94, TRUE)</f>
        <v>2</v>
      </c>
      <c r="H93" s="3886" cm="1">
        <f t="array" aca="1" ref="H93" ca="1">INDIRECT("'※ 인력 세부데이터'!"&amp;H$1&amp;$W94, TRUE)</f>
        <v>1</v>
      </c>
      <c r="I93" s="3886" cm="1">
        <f t="array" aca="1" ref="I93" ca="1">INDIRECT("'※ 인력 세부데이터'!"&amp;I$1&amp;$W94, TRUE)</f>
        <v>1</v>
      </c>
      <c r="J93" s="3886" cm="1">
        <f t="array" aca="1" ref="J93" ca="1">INDIRECT("'※ 인력 세부데이터'!"&amp;J$1&amp;$W94, TRUE)</f>
        <v>1</v>
      </c>
      <c r="K93" s="3886" cm="1">
        <f t="array" aca="1" ref="K93" ca="1">INDIRECT("'※ 인력 세부데이터'!"&amp;K$1&amp;$W94, TRUE)</f>
        <v>0</v>
      </c>
      <c r="L93" s="3886" cm="1">
        <f t="array" aca="1" ref="L93" ca="1">INDIRECT("'※ 인력 세부데이터'!"&amp;L$1&amp;$W94, TRUE)</f>
        <v>0</v>
      </c>
      <c r="M93" s="3886" cm="1">
        <f t="array" aca="1" ref="M93" ca="1">INDIRECT("'※ 인력 세부데이터'!"&amp;M$1&amp;$W94, TRUE)</f>
        <v>0</v>
      </c>
      <c r="N93" s="3886" cm="1">
        <f t="array" aca="1" ref="N93" ca="1">INDIRECT("'※ 인력 세부데이터'!"&amp;N$1&amp;$W94, TRUE)</f>
        <v>2</v>
      </c>
      <c r="O93" s="3886" cm="1">
        <f t="array" aca="1" ref="O93" ca="1">INDIRECT("'※ 인력 세부데이터'!"&amp;O$1&amp;$W94, TRUE)</f>
        <v>0</v>
      </c>
      <c r="P93" s="3886" cm="1">
        <f t="array" aca="1" ref="P93" ca="1">INDIRECT("'※ 인력 세부데이터'!"&amp;P$1&amp;$W94, TRUE)</f>
        <v>0</v>
      </c>
      <c r="Q93" s="3886" cm="1">
        <f t="array" aca="1" ref="Q93" ca="1">INDIRECT("'※ 인력 세부데이터'!"&amp;Q$1&amp;$W94, TRUE)</f>
        <v>0</v>
      </c>
      <c r="R93" s="3887" cm="1">
        <f t="array" aca="1" ref="R93" ca="1">INDIRECT("'※ 인력 세부데이터'!"&amp;R$2&amp;$W94, TRUE)</f>
        <v>0</v>
      </c>
      <c r="S93" s="3886" cm="1">
        <f t="array" aca="1" ref="S93" ca="1">INDIRECT("'※ 인력 세부데이터'!"&amp;S$1&amp;$W94, TRUE)</f>
        <v>0</v>
      </c>
      <c r="T93" s="3886" cm="1">
        <f t="array" aca="1" ref="T93" ca="1">INDIRECT("'※ 인력 세부데이터'!"&amp;T$1&amp;$W94, TRUE)</f>
        <v>1.1190476190476188</v>
      </c>
      <c r="U93" s="3886" cm="1">
        <f t="array" aca="1" ref="U93" ca="1">INDIRECT("'※ 인력 세부데이터'!"&amp;U$1&amp;$W94, TRUE)</f>
        <v>1.1190476190476191</v>
      </c>
      <c r="V93" s="3886" cm="1">
        <f t="array" aca="1" ref="V93" ca="1">INDIRECT("'※ 인력 세부데이터'!"&amp;V$1&amp;$W94, TRUE)</f>
        <v>0</v>
      </c>
      <c r="W93" s="3769">
        <f>ROW('※ 인력 세부데이터'!J89)</f>
        <v>89</v>
      </c>
      <c r="X93" s="2648"/>
      <c r="Y93" s="2648"/>
      <c r="Z93" s="2493"/>
      <c r="AA93" s="2493"/>
      <c r="AB93" s="2493"/>
      <c r="AC93" s="2493"/>
      <c r="AD93" s="2493"/>
      <c r="AE93" s="2493"/>
      <c r="AF93" s="2493"/>
      <c r="AG93" s="2493"/>
      <c r="AH93" s="2493"/>
      <c r="AI93" s="2493"/>
      <c r="AJ93" s="2493"/>
      <c r="AK93" s="2493"/>
      <c r="AL93" s="2493"/>
      <c r="AM93" s="2493"/>
      <c r="AN93" s="2493"/>
      <c r="AO93" s="2493"/>
      <c r="AP93" s="2493"/>
      <c r="AQ93" s="2493"/>
      <c r="AR93" s="2493"/>
      <c r="AS93" s="2493"/>
      <c r="AT93" s="2493"/>
      <c r="AU93" s="2493"/>
      <c r="AV93" s="2493"/>
      <c r="AW93" s="2493"/>
      <c r="AX93" s="2493"/>
      <c r="AY93" s="2493"/>
      <c r="AZ93" s="2493"/>
      <c r="BA93" s="2493"/>
      <c r="BB93" s="2493"/>
      <c r="BC93" s="2493"/>
      <c r="BD93" s="2493"/>
      <c r="BE93" s="2493"/>
      <c r="BF93" s="2493"/>
      <c r="BG93" s="2493"/>
    </row>
    <row r="94" spans="1:59" x14ac:dyDescent="0.55000000000000004">
      <c r="A94" s="7443"/>
      <c r="B94" s="3884"/>
      <c r="C94" s="3888" t="s">
        <v>1076</v>
      </c>
      <c r="D94" s="3857"/>
      <c r="E94" s="3879" cm="1">
        <f t="array" aca="1" ref="E94" ca="1">INDIRECT("'※ 인력 세부데이터'!"&amp;E$1&amp;$W95, TRUE)</f>
        <v>0.12500000000000025</v>
      </c>
      <c r="F94" s="3878" cm="1">
        <f t="array" aca="1" ref="F94" ca="1">INDIRECT("'※ 인력 세부데이터'!"&amp;F$1&amp;$W95, TRUE)</f>
        <v>0.66666666666666663</v>
      </c>
      <c r="G94" s="3879" cm="1">
        <f t="array" aca="1" ref="G94" ca="1">INDIRECT("'※ 인력 세부데이터'!"&amp;G$1&amp;$W95, TRUE)</f>
        <v>1</v>
      </c>
      <c r="H94" s="3879" cm="1">
        <f t="array" aca="1" ref="H94" ca="1">INDIRECT("'※ 인력 세부데이터'!"&amp;H$1&amp;$W95, TRUE)</f>
        <v>0.25</v>
      </c>
      <c r="I94" s="3879" cm="1">
        <f t="array" aca="1" ref="I94" ca="1">INDIRECT("'※ 인력 세부데이터'!"&amp;I$1&amp;$W95, TRUE)</f>
        <v>0.5</v>
      </c>
      <c r="J94" s="3879" cm="1">
        <f t="array" aca="1" ref="J94" ca="1">INDIRECT("'※ 인력 세부데이터'!"&amp;J$1&amp;$W95, TRUE)</f>
        <v>1</v>
      </c>
      <c r="K94" s="3879" cm="1">
        <f t="array" aca="1" ref="K94" ca="1">INDIRECT("'※ 인력 세부데이터'!"&amp;K$1&amp;$W95, TRUE)</f>
        <v>0</v>
      </c>
      <c r="L94" s="3879" cm="1">
        <f t="array" aca="1" ref="L94" ca="1">INDIRECT("'※ 인력 세부데이터'!"&amp;L$1&amp;$W95, TRUE)</f>
        <v>0</v>
      </c>
      <c r="M94" s="3879" cm="1">
        <f t="array" aca="1" ref="M94" ca="1">INDIRECT("'※ 인력 세부데이터'!"&amp;M$1&amp;$W95, TRUE)</f>
        <v>0</v>
      </c>
      <c r="N94" s="3879" cm="1">
        <f t="array" aca="1" ref="N94" ca="1">INDIRECT("'※ 인력 세부데이터'!"&amp;N$1&amp;$W95, TRUE)</f>
        <v>0.5</v>
      </c>
      <c r="O94" s="3879" cm="1">
        <f t="array" aca="1" ref="O94" ca="1">INDIRECT("'※ 인력 세부데이터'!"&amp;O$1&amp;$W95, TRUE)</f>
        <v>0</v>
      </c>
      <c r="P94" s="3879" cm="1">
        <f t="array" aca="1" ref="P94" ca="1">INDIRECT("'※ 인력 세부데이터'!"&amp;P$1&amp;$W95, TRUE)</f>
        <v>0</v>
      </c>
      <c r="Q94" s="3879" cm="1">
        <f t="array" aca="1" ref="Q94" ca="1">INDIRECT("'※ 인력 세부데이터'!"&amp;Q$1&amp;$W95, TRUE)</f>
        <v>0</v>
      </c>
      <c r="R94" s="3878" cm="1">
        <f t="array" aca="1" ref="R94" ca="1">INDIRECT("'※ 인력 세부데이터'!"&amp;R$1&amp;$W95, TRUE)</f>
        <v>0</v>
      </c>
      <c r="S94" s="3879" cm="1">
        <f t="array" aca="1" ref="S94" ca="1">INDIRECT("'※ 인력 세부데이터'!"&amp;S$1&amp;$W95, TRUE)</f>
        <v>0</v>
      </c>
      <c r="T94" s="3879" cm="1">
        <f t="array" aca="1" ref="T94" ca="1">INDIRECT("'※ 인력 세부데이터'!"&amp;T$1&amp;$W95, TRUE)</f>
        <v>0.43452380952380931</v>
      </c>
      <c r="U94" s="3879" cm="1">
        <f t="array" aca="1" ref="U94" ca="1">INDIRECT("'※ 인력 세부데이터'!"&amp;U$1&amp;$W95, TRUE)</f>
        <v>0.43452380952380953</v>
      </c>
      <c r="V94" s="3879" cm="1">
        <f t="array" aca="1" ref="V94" ca="1">INDIRECT("'※ 인력 세부데이터'!"&amp;V$1&amp;$W95, TRUE)</f>
        <v>0</v>
      </c>
      <c r="W94" s="3769">
        <f>ROW('※ 인력 세부데이터'!J90)</f>
        <v>90</v>
      </c>
      <c r="X94" s="2648"/>
      <c r="Y94" s="2648"/>
      <c r="Z94" s="2493"/>
      <c r="AA94" s="2493"/>
      <c r="AB94" s="2493"/>
      <c r="AC94" s="2493"/>
      <c r="AD94" s="2493"/>
      <c r="AE94" s="2493"/>
      <c r="AF94" s="2493"/>
      <c r="AG94" s="2493"/>
      <c r="AH94" s="2493"/>
      <c r="AI94" s="2493"/>
      <c r="AJ94" s="2493"/>
      <c r="AK94" s="2493"/>
      <c r="AL94" s="2493"/>
      <c r="AM94" s="2493"/>
      <c r="AN94" s="2493"/>
      <c r="AO94" s="2493"/>
      <c r="AP94" s="2493"/>
      <c r="AQ94" s="2493"/>
      <c r="AR94" s="2493"/>
      <c r="AS94" s="2493"/>
      <c r="AT94" s="2493"/>
      <c r="AU94" s="2493"/>
      <c r="AV94" s="2493"/>
      <c r="AW94" s="2493"/>
      <c r="AX94" s="2493"/>
      <c r="AY94" s="2493"/>
      <c r="AZ94" s="2493"/>
      <c r="BA94" s="2493"/>
      <c r="BB94" s="2493"/>
      <c r="BC94" s="2493"/>
      <c r="BD94" s="2493"/>
      <c r="BE94" s="2493"/>
      <c r="BF94" s="2493"/>
      <c r="BG94" s="2493"/>
    </row>
    <row r="95" spans="1:59" x14ac:dyDescent="0.55000000000000004">
      <c r="A95" s="7443"/>
      <c r="B95" s="3884"/>
      <c r="C95" s="3889" t="s">
        <v>1064</v>
      </c>
      <c r="D95" s="3890" cm="1">
        <f t="array" aca="1" ref="D95" ca="1">INDIRECT("'※ 인력 세부데이터'!"&amp;D$1&amp;$W96, TRUE)</f>
        <v>0</v>
      </c>
      <c r="E95" s="3891" cm="1">
        <f t="array" aca="1" ref="E95" ca="1">INDIRECT("'※ 인력 세부데이터'!"&amp;E$1&amp;$W96, TRUE)</f>
        <v>11.833333333333334</v>
      </c>
      <c r="F95" s="3892" cm="1">
        <f t="array" aca="1" ref="F95" ca="1">INDIRECT("'※ 인력 세부데이터'!"&amp;F$1&amp;$W96, TRUE)</f>
        <v>6</v>
      </c>
      <c r="G95" s="3891" cm="1">
        <f t="array" aca="1" ref="G95" ca="1">INDIRECT("'※ 인력 세부데이터'!"&amp;G$1&amp;$W96, TRUE)</f>
        <v>10</v>
      </c>
      <c r="H95" s="3891" cm="1">
        <f t="array" aca="1" ref="H95" ca="1">INDIRECT("'※ 인력 세부데이터'!"&amp;H$1&amp;$W96, TRUE)</f>
        <v>8</v>
      </c>
      <c r="I95" s="3891" cm="1">
        <f t="array" aca="1" ref="I95" ca="1">INDIRECT("'※ 인력 세부데이터'!"&amp;I$1&amp;$W96, TRUE)</f>
        <v>10</v>
      </c>
      <c r="J95" s="3891" cm="1">
        <f t="array" aca="1" ref="J95" ca="1">INDIRECT("'※ 인력 세부데이터'!"&amp;J$1&amp;$W96, TRUE)</f>
        <v>7</v>
      </c>
      <c r="K95" s="3891" cm="1">
        <f t="array" aca="1" ref="K95" ca="1">INDIRECT("'※ 인력 세부데이터'!"&amp;K$1&amp;$W96, TRUE)</f>
        <v>11</v>
      </c>
      <c r="L95" s="3891" cm="1">
        <f t="array" aca="1" ref="L95" ca="1">INDIRECT("'※ 인력 세부데이터'!"&amp;L$1&amp;$W96, TRUE)</f>
        <v>8</v>
      </c>
      <c r="M95" s="3891" cm="1">
        <f t="array" aca="1" ref="M95" ca="1">INDIRECT("'※ 인력 세부데이터'!"&amp;M$1&amp;$W96, TRUE)</f>
        <v>11</v>
      </c>
      <c r="N95" s="3891" cm="1">
        <f t="array" aca="1" ref="N95" ca="1">INDIRECT("'※ 인력 세부데이터'!"&amp;N$1&amp;$W96, TRUE)</f>
        <v>15</v>
      </c>
      <c r="O95" s="3891" cm="1">
        <f t="array" aca="1" ref="O95" ca="1">INDIRECT("'※ 인력 세부데이터'!"&amp;O$1&amp;$W96, TRUE)</f>
        <v>17</v>
      </c>
      <c r="P95" s="3891" cm="1">
        <f t="array" aca="1" ref="P95" ca="1">INDIRECT("'※ 인력 세부데이터'!"&amp;P$1&amp;$W96, TRUE)</f>
        <v>15</v>
      </c>
      <c r="Q95" s="3891" cm="1">
        <f t="array" aca="1" ref="Q95" ca="1">INDIRECT("'※ 인력 세부데이터'!"&amp;Q$1&amp;$W96, TRUE)</f>
        <v>6</v>
      </c>
      <c r="R95" s="3892" cm="1">
        <f t="array" aca="1" ref="R95" ca="1">INDIRECT("'※ 인력 세부데이터'!"&amp;R$2&amp;$W96, TRUE)</f>
        <v>0</v>
      </c>
      <c r="S95" s="3891" cm="1">
        <f t="array" aca="1" ref="S95" ca="1">INDIRECT("'※ 인력 세부데이터'!"&amp;S$1&amp;$W96, TRUE)</f>
        <v>0</v>
      </c>
      <c r="T95" s="3891" cm="1">
        <f t="array" aca="1" ref="T95" ca="1">INDIRECT("'※ 인력 세부데이터'!"&amp;T$1&amp;$W96, TRUE)</f>
        <v>-1.5</v>
      </c>
      <c r="U95" s="3891" cm="1">
        <f t="array" aca="1" ref="U95" ca="1">INDIRECT("'※ 인력 세부데이터'!"&amp;U$1&amp;$W96, TRUE)</f>
        <v>-1.5</v>
      </c>
      <c r="V95" s="3891" cm="1">
        <f t="array" aca="1" ref="V95" ca="1">INDIRECT("'※ 인력 세부데이터'!"&amp;V$1&amp;$W96, TRUE)</f>
        <v>-9</v>
      </c>
      <c r="W95" s="3769">
        <f>ROW('※ 인력 세부데이터'!J91)</f>
        <v>91</v>
      </c>
      <c r="X95" s="2648"/>
      <c r="Y95" s="2648"/>
      <c r="Z95" s="2493"/>
      <c r="AA95" s="2493"/>
      <c r="AB95" s="2493"/>
      <c r="AC95" s="2493"/>
      <c r="AD95" s="2493"/>
      <c r="AE95" s="2493"/>
      <c r="AF95" s="2493"/>
      <c r="AG95" s="2493"/>
      <c r="AH95" s="2493"/>
      <c r="AI95" s="2493"/>
      <c r="AJ95" s="2493"/>
      <c r="AK95" s="2493"/>
      <c r="AL95" s="2493"/>
      <c r="AM95" s="2493"/>
      <c r="AN95" s="2493"/>
      <c r="AO95" s="2493"/>
      <c r="AP95" s="2493"/>
      <c r="AQ95" s="2493"/>
      <c r="AR95" s="2493"/>
      <c r="AS95" s="2493"/>
      <c r="AT95" s="2493"/>
      <c r="AU95" s="2493"/>
      <c r="AV95" s="2493"/>
      <c r="AW95" s="2493"/>
      <c r="AX95" s="2493"/>
      <c r="AY95" s="2493"/>
      <c r="AZ95" s="2493"/>
      <c r="BA95" s="2493"/>
      <c r="BB95" s="2493"/>
      <c r="BC95" s="2493"/>
      <c r="BD95" s="2493"/>
      <c r="BE95" s="2493"/>
      <c r="BF95" s="2493"/>
      <c r="BG95" s="2493"/>
    </row>
    <row r="96" spans="1:59" x14ac:dyDescent="0.55000000000000004">
      <c r="A96" s="7443"/>
      <c r="B96" s="3884"/>
      <c r="C96" s="3885" t="s">
        <v>1068</v>
      </c>
      <c r="D96" s="3850"/>
      <c r="E96" s="3886" cm="1">
        <f t="array" aca="1" ref="E96" ca="1">INDIRECT("'※ 인력 세부데이터'!"&amp;E$1&amp;$W97, TRUE)</f>
        <v>4.166666666666667</v>
      </c>
      <c r="F96" s="3887" cm="1">
        <f t="array" aca="1" ref="F96" ca="1">INDIRECT("'※ 인력 세부데이터'!"&amp;F$1&amp;$W97, TRUE)</f>
        <v>4</v>
      </c>
      <c r="G96" s="3886" cm="1">
        <f t="array" aca="1" ref="G96" ca="1">INDIRECT("'※ 인력 세부데이터'!"&amp;G$1&amp;$W97, TRUE)</f>
        <v>5</v>
      </c>
      <c r="H96" s="3886" cm="1">
        <f t="array" aca="1" ref="H96" ca="1">INDIRECT("'※ 인력 세부데이터'!"&amp;H$1&amp;$W97, TRUE)</f>
        <v>3</v>
      </c>
      <c r="I96" s="3886" cm="1">
        <f t="array" aca="1" ref="I96" ca="1">INDIRECT("'※ 인력 세부데이터'!"&amp;I$1&amp;$W97, TRUE)</f>
        <v>1</v>
      </c>
      <c r="J96" s="3886" cm="1">
        <f t="array" aca="1" ref="J96" ca="1">INDIRECT("'※ 인력 세부데이터'!"&amp;J$1&amp;$W97, TRUE)</f>
        <v>5</v>
      </c>
      <c r="K96" s="3886" cm="1">
        <f t="array" aca="1" ref="K96" ca="1">INDIRECT("'※ 인력 세부데이터'!"&amp;K$1&amp;$W97, TRUE)</f>
        <v>2</v>
      </c>
      <c r="L96" s="3886" cm="1">
        <f t="array" aca="1" ref="L96" ca="1">INDIRECT("'※ 인력 세부데이터'!"&amp;L$1&amp;$W97, TRUE)</f>
        <v>3</v>
      </c>
      <c r="M96" s="3886" cm="1">
        <f t="array" aca="1" ref="M96" ca="1">INDIRECT("'※ 인력 세부데이터'!"&amp;M$1&amp;$W97, TRUE)</f>
        <v>5</v>
      </c>
      <c r="N96" s="3886" cm="1">
        <f t="array" aca="1" ref="N96" ca="1">INDIRECT("'※ 인력 세부데이터'!"&amp;N$1&amp;$W97, TRUE)</f>
        <v>3</v>
      </c>
      <c r="O96" s="3886" cm="1">
        <f t="array" aca="1" ref="O96" ca="1">INDIRECT("'※ 인력 세부데이터'!"&amp;O$1&amp;$W97, TRUE)</f>
        <v>4</v>
      </c>
      <c r="P96" s="3886" cm="1">
        <f t="array" aca="1" ref="P96" ca="1">INDIRECT("'※ 인력 세부데이터'!"&amp;P$1&amp;$W97, TRUE)</f>
        <v>3</v>
      </c>
      <c r="Q96" s="3886" cm="1">
        <f t="array" aca="1" ref="Q96" ca="1">INDIRECT("'※ 인력 세부데이터'!"&amp;Q$1&amp;$W97, TRUE)</f>
        <v>3</v>
      </c>
      <c r="R96" s="3887" cm="1">
        <f t="array" aca="1" ref="R96" ca="1">INDIRECT("'※ 인력 세부데이터'!"&amp;R$2&amp;$W97, TRUE)</f>
        <v>-1</v>
      </c>
      <c r="S96" s="3886" cm="1">
        <f t="array" aca="1" ref="S96" ca="1">INDIRECT("'※ 인력 세부데이터'!"&amp;S$1&amp;$W97, TRUE)</f>
        <v>-1</v>
      </c>
      <c r="T96" s="3886" cm="1">
        <f t="array" aca="1" ref="T96" ca="1">INDIRECT("'※ 인력 세부데이터'!"&amp;T$1&amp;$W97, TRUE)</f>
        <v>-0.75000000000000044</v>
      </c>
      <c r="U96" s="3886" cm="1">
        <f t="array" aca="1" ref="U96" ca="1">INDIRECT("'※ 인력 세부데이터'!"&amp;U$1&amp;$W97, TRUE)</f>
        <v>-0.75000000000000044</v>
      </c>
      <c r="V96" s="3886" cm="1">
        <f t="array" aca="1" ref="V96" ca="1">INDIRECT("'※ 인력 세부데이터'!"&amp;V$1&amp;$W97, TRUE)</f>
        <v>0</v>
      </c>
      <c r="W96" s="3769">
        <f>ROW('※ 인력 세부데이터'!J92)</f>
        <v>92</v>
      </c>
      <c r="X96" s="2648"/>
      <c r="Y96" s="2648"/>
      <c r="Z96" s="2493"/>
      <c r="AA96" s="2493"/>
      <c r="AB96" s="2493"/>
      <c r="AC96" s="2493"/>
      <c r="AD96" s="2493"/>
      <c r="AE96" s="2493"/>
      <c r="AF96" s="2493"/>
      <c r="AG96" s="2493"/>
      <c r="AH96" s="2493"/>
      <c r="AI96" s="2493"/>
      <c r="AJ96" s="2493"/>
      <c r="AK96" s="2493"/>
      <c r="AL96" s="2493"/>
      <c r="AM96" s="2493"/>
      <c r="AN96" s="2493"/>
      <c r="AO96" s="2493"/>
      <c r="AP96" s="2493"/>
      <c r="AQ96" s="2493"/>
      <c r="AR96" s="2493"/>
      <c r="AS96" s="2493"/>
      <c r="AT96" s="2493"/>
      <c r="AU96" s="2493"/>
      <c r="AV96" s="2493"/>
      <c r="AW96" s="2493"/>
      <c r="AX96" s="2493"/>
      <c r="AY96" s="2493"/>
      <c r="AZ96" s="2493"/>
      <c r="BA96" s="2493"/>
      <c r="BB96" s="2493"/>
      <c r="BC96" s="2493"/>
      <c r="BD96" s="2493"/>
      <c r="BE96" s="2493"/>
      <c r="BF96" s="2493"/>
      <c r="BG96" s="2493"/>
    </row>
    <row r="97" spans="1:59" x14ac:dyDescent="0.55000000000000004">
      <c r="A97" s="7443"/>
      <c r="B97" s="3884"/>
      <c r="C97" s="3888" t="s">
        <v>1076</v>
      </c>
      <c r="D97" s="3857"/>
      <c r="E97" s="3879" cm="1">
        <f t="array" aca="1" ref="E97" ca="1">INDIRECT("'※ 인력 세부데이터'!"&amp;E$1&amp;$W98, TRUE)</f>
        <v>0.35211267605633806</v>
      </c>
      <c r="F97" s="3878" cm="1">
        <f t="array" aca="1" ref="F97" ca="1">INDIRECT("'※ 인력 세부데이터'!"&amp;F$1&amp;$W98, TRUE)</f>
        <v>0.66666666666666663</v>
      </c>
      <c r="G97" s="3879" cm="1">
        <f t="array" aca="1" ref="G97" ca="1">INDIRECT("'※ 인력 세부데이터'!"&amp;G$1&amp;$W98, TRUE)</f>
        <v>0.5</v>
      </c>
      <c r="H97" s="3879" cm="1">
        <f t="array" aca="1" ref="H97" ca="1">INDIRECT("'※ 인력 세부데이터'!"&amp;H$1&amp;$W98, TRUE)</f>
        <v>0.375</v>
      </c>
      <c r="I97" s="3879" cm="1">
        <f t="array" aca="1" ref="I97" ca="1">INDIRECT("'※ 인력 세부데이터'!"&amp;I$1&amp;$W98, TRUE)</f>
        <v>0.1</v>
      </c>
      <c r="J97" s="3879" cm="1">
        <f t="array" aca="1" ref="J97" ca="1">INDIRECT("'※ 인력 세부데이터'!"&amp;J$1&amp;$W98, TRUE)</f>
        <v>0.7142857142857143</v>
      </c>
      <c r="K97" s="3879" cm="1">
        <f t="array" aca="1" ref="K97" ca="1">INDIRECT("'※ 인력 세부데이터'!"&amp;K$1&amp;$W98, TRUE)</f>
        <v>0.18181818181818182</v>
      </c>
      <c r="L97" s="3879" cm="1">
        <f t="array" aca="1" ref="L97" ca="1">INDIRECT("'※ 인력 세부데이터'!"&amp;L$1&amp;$W98, TRUE)</f>
        <v>0.375</v>
      </c>
      <c r="M97" s="3879" cm="1">
        <f t="array" aca="1" ref="M97" ca="1">INDIRECT("'※ 인력 세부데이터'!"&amp;M$1&amp;$W98, TRUE)</f>
        <v>0.45454545454545453</v>
      </c>
      <c r="N97" s="3879" cm="1">
        <f t="array" aca="1" ref="N97" ca="1">INDIRECT("'※ 인력 세부데이터'!"&amp;N$1&amp;$W98, TRUE)</f>
        <v>0.2</v>
      </c>
      <c r="O97" s="3879" cm="1">
        <f t="array" aca="1" ref="O97" ca="1">INDIRECT("'※ 인력 세부데이터'!"&amp;O$1&amp;$W98, TRUE)</f>
        <v>0.23529411764705882</v>
      </c>
      <c r="P97" s="3879" cm="1">
        <f t="array" aca="1" ref="P97" ca="1">INDIRECT("'※ 인력 세부데이터'!"&amp;P$1&amp;$W98, TRUE)</f>
        <v>0.2</v>
      </c>
      <c r="Q97" s="3879" cm="1">
        <f t="array" aca="1" ref="Q97" ca="1">INDIRECT("'※ 인력 세부데이터'!"&amp;Q$1&amp;$W98, TRUE)</f>
        <v>0.5</v>
      </c>
      <c r="R97" s="3878" cm="1">
        <f t="array" aca="1" ref="R97" ca="1">INDIRECT("'※ 인력 세부데이터'!"&amp;R$1&amp;$W98, TRUE)</f>
        <v>0</v>
      </c>
      <c r="S97" s="3879" cm="1">
        <f t="array" aca="1" ref="S97" ca="1">INDIRECT("'※ 인력 세부데이터'!"&amp;S$1&amp;$W98, TRUE)</f>
        <v>-0.16666666666666663</v>
      </c>
      <c r="T97" s="3879" cm="1">
        <f t="array" aca="1" ref="T97" ca="1">INDIRECT("'※ 인력 세부데이터'!"&amp;T$1&amp;$W98, TRUE)</f>
        <v>2.3104835190584927E-2</v>
      </c>
      <c r="U97" s="3879" cm="1">
        <f t="array" aca="1" ref="U97" ca="1">INDIRECT("'※ 인력 세부데이터'!"&amp;U$1&amp;$W98, TRUE)</f>
        <v>1.652745617528889E-2</v>
      </c>
      <c r="V97" s="3879" cm="1">
        <f t="array" aca="1" ref="V97" ca="1">INDIRECT("'※ 인력 세부데이터'!"&amp;V$1&amp;$W98, TRUE)</f>
        <v>0.3</v>
      </c>
      <c r="W97" s="3769">
        <f>ROW('※ 인력 세부데이터'!J93)</f>
        <v>93</v>
      </c>
      <c r="X97" s="2648"/>
      <c r="Y97" s="2648"/>
      <c r="Z97" s="2493"/>
      <c r="AA97" s="2493"/>
      <c r="AB97" s="2493"/>
      <c r="AC97" s="2493"/>
      <c r="AD97" s="2493"/>
      <c r="AE97" s="2493"/>
      <c r="AF97" s="2493"/>
      <c r="AG97" s="2493"/>
      <c r="AH97" s="2493"/>
      <c r="AI97" s="2493"/>
      <c r="AJ97" s="2493"/>
      <c r="AK97" s="2493"/>
      <c r="AL97" s="2493"/>
      <c r="AM97" s="2493"/>
      <c r="AN97" s="2493"/>
      <c r="AO97" s="2493"/>
      <c r="AP97" s="2493"/>
      <c r="AQ97" s="2493"/>
      <c r="AR97" s="2493"/>
      <c r="AS97" s="2493"/>
      <c r="AT97" s="2493"/>
      <c r="AU97" s="2493"/>
      <c r="AV97" s="2493"/>
      <c r="AW97" s="2493"/>
      <c r="AX97" s="2493"/>
      <c r="AY97" s="2493"/>
      <c r="AZ97" s="2493"/>
      <c r="BA97" s="2493"/>
      <c r="BB97" s="2493"/>
      <c r="BC97" s="2493"/>
      <c r="BD97" s="2493"/>
      <c r="BE97" s="2493"/>
      <c r="BF97" s="2493"/>
      <c r="BG97" s="2493"/>
    </row>
    <row r="98" spans="1:59" x14ac:dyDescent="0.55000000000000004">
      <c r="A98" s="7443"/>
      <c r="B98" s="3884"/>
      <c r="C98" s="3889" t="s">
        <v>1065</v>
      </c>
      <c r="D98" s="3890" cm="1">
        <f t="array" aca="1" ref="D98" ca="1">INDIRECT("'※ 인력 세부데이터'!"&amp;D$1&amp;$W99, TRUE)</f>
        <v>0</v>
      </c>
      <c r="E98" s="3891" cm="1">
        <f t="array" aca="1" ref="E98" ca="1">INDIRECT("'※ 인력 세부데이터'!"&amp;E$1&amp;$W99, TRUE)</f>
        <v>2.9166666666666665</v>
      </c>
      <c r="F98" s="3893" cm="1">
        <f t="array" aca="1" ref="F98" ca="1">INDIRECT("'※ 인력 세부데이터'!"&amp;F$1&amp;$W99, TRUE)</f>
        <v>0</v>
      </c>
      <c r="G98" s="3891" cm="1">
        <f t="array" aca="1" ref="G98" ca="1">INDIRECT("'※ 인력 세부데이터'!"&amp;G$1&amp;$W99, TRUE)</f>
        <v>4</v>
      </c>
      <c r="H98" s="3891" cm="1">
        <f t="array" aca="1" ref="H98" ca="1">INDIRECT("'※ 인력 세부데이터'!"&amp;H$1&amp;$W99, TRUE)</f>
        <v>7</v>
      </c>
      <c r="I98" s="3891" cm="1">
        <f t="array" aca="1" ref="I98" ca="1">INDIRECT("'※ 인력 세부데이터'!"&amp;I$1&amp;$W99, TRUE)</f>
        <v>3</v>
      </c>
      <c r="J98" s="3891" cm="1">
        <f t="array" aca="1" ref="J98" ca="1">INDIRECT("'※ 인력 세부데이터'!"&amp;J$1&amp;$W99, TRUE)</f>
        <v>2</v>
      </c>
      <c r="K98" s="3891" cm="1">
        <f t="array" aca="1" ref="K98" ca="1">INDIRECT("'※ 인력 세부데이터'!"&amp;K$1&amp;$W99, TRUE)</f>
        <v>5</v>
      </c>
      <c r="L98" s="3891" cm="1">
        <f t="array" aca="1" ref="L98" ca="1">INDIRECT("'※ 인력 세부데이터'!"&amp;L$1&amp;$W99, TRUE)</f>
        <v>3</v>
      </c>
      <c r="M98" s="3891" cm="1">
        <f t="array" aca="1" ref="M98" ca="1">INDIRECT("'※ 인력 세부데이터'!"&amp;M$1&amp;$W99, TRUE)</f>
        <v>3</v>
      </c>
      <c r="N98" s="3891" cm="1">
        <f t="array" aca="1" ref="N98" ca="1">INDIRECT("'※ 인력 세부데이터'!"&amp;N$1&amp;$W99, TRUE)</f>
        <v>3</v>
      </c>
      <c r="O98" s="3891" cm="1">
        <f t="array" aca="1" ref="O98" ca="1">INDIRECT("'※ 인력 세부데이터'!"&amp;O$1&amp;$W99, TRUE)</f>
        <v>1</v>
      </c>
      <c r="P98" s="3891" cm="1">
        <f t="array" aca="1" ref="P98" ca="1">INDIRECT("'※ 인력 세부데이터'!"&amp;P$1&amp;$W99, TRUE)</f>
        <v>2</v>
      </c>
      <c r="Q98" s="3891" cm="1">
        <f t="array" aca="1" ref="Q98" ca="1">INDIRECT("'※ 인력 세부데이터'!"&amp;Q$1&amp;$W99, TRUE)</f>
        <v>1</v>
      </c>
      <c r="R98" s="3892" cm="1">
        <f t="array" aca="1" ref="R98" ca="1">INDIRECT("'※ 인력 세부데이터'!"&amp;R$2&amp;$W99, TRUE)</f>
        <v>-2</v>
      </c>
      <c r="S98" s="3891" cm="1">
        <f t="array" aca="1" ref="S98" ca="1">INDIRECT("'※ 인력 세부데이터'!"&amp;S$1&amp;$W99, TRUE)</f>
        <v>-2</v>
      </c>
      <c r="T98" s="3891" cm="1">
        <f t="array" aca="1" ref="T98" ca="1">INDIRECT("'※ 인력 세부데이터'!"&amp;T$1&amp;$W99, TRUE)</f>
        <v>-8.3333333333333037E-2</v>
      </c>
      <c r="U98" s="3891" cm="1">
        <f t="array" aca="1" ref="U98" ca="1">INDIRECT("'※ 인력 세부데이터'!"&amp;U$1&amp;$W99, TRUE)</f>
        <v>-8.3333333333333037E-2</v>
      </c>
      <c r="V98" s="3891" cm="1">
        <f t="array" aca="1" ref="V98" ca="1">INDIRECT("'※ 인력 세부데이터'!"&amp;V$1&amp;$W99, TRUE)</f>
        <v>-1</v>
      </c>
      <c r="W98" s="3769">
        <f>ROW('※ 인력 세부데이터'!J94)</f>
        <v>94</v>
      </c>
      <c r="X98" s="2648"/>
      <c r="Y98" s="2648"/>
      <c r="Z98" s="2493"/>
      <c r="AA98" s="2493"/>
      <c r="AB98" s="2493"/>
      <c r="AC98" s="2493"/>
      <c r="AD98" s="2493"/>
      <c r="AE98" s="2493"/>
      <c r="AF98" s="2493"/>
      <c r="AG98" s="2493"/>
      <c r="AH98" s="2493"/>
      <c r="AI98" s="2493"/>
      <c r="AJ98" s="2493"/>
      <c r="AK98" s="2493"/>
      <c r="AL98" s="2493"/>
      <c r="AM98" s="2493"/>
      <c r="AN98" s="2493"/>
      <c r="AO98" s="2493"/>
      <c r="AP98" s="2493"/>
      <c r="AQ98" s="2493"/>
      <c r="AR98" s="2493"/>
      <c r="AS98" s="2493"/>
      <c r="AT98" s="2493"/>
      <c r="AU98" s="2493"/>
      <c r="AV98" s="2493"/>
      <c r="AW98" s="2493"/>
      <c r="AX98" s="2493"/>
      <c r="AY98" s="2493"/>
      <c r="AZ98" s="2493"/>
      <c r="BA98" s="2493"/>
      <c r="BB98" s="2493"/>
      <c r="BC98" s="2493"/>
      <c r="BD98" s="2493"/>
      <c r="BE98" s="2493"/>
      <c r="BF98" s="2493"/>
      <c r="BG98" s="2493"/>
    </row>
    <row r="99" spans="1:59" x14ac:dyDescent="0.55000000000000004">
      <c r="A99" s="7443"/>
      <c r="B99" s="3884"/>
      <c r="C99" s="3885" t="s">
        <v>1068</v>
      </c>
      <c r="D99" s="3850"/>
      <c r="E99" s="3886" cm="1">
        <f t="array" aca="1" ref="E99" ca="1">INDIRECT("'※ 인력 세부데이터'!"&amp;E$1&amp;$W100, TRUE)</f>
        <v>0</v>
      </c>
      <c r="F99" s="3887" cm="1">
        <f t="array" aca="1" ref="F99" ca="1">INDIRECT("'※ 인력 세부데이터'!"&amp;F$1&amp;$W100, TRUE)</f>
        <v>0</v>
      </c>
      <c r="G99" s="3886" cm="1">
        <f t="array" aca="1" ref="G99" ca="1">INDIRECT("'※ 인력 세부데이터'!"&amp;G$1&amp;$W100, TRUE)</f>
        <v>1</v>
      </c>
      <c r="H99" s="3886" cm="1">
        <f t="array" aca="1" ref="H99" ca="1">INDIRECT("'※ 인력 세부데이터'!"&amp;H$1&amp;$W100, TRUE)</f>
        <v>0</v>
      </c>
      <c r="I99" s="3886" cm="1">
        <f t="array" aca="1" ref="I99" ca="1">INDIRECT("'※ 인력 세부데이터'!"&amp;I$1&amp;$W100, TRUE)</f>
        <v>0</v>
      </c>
      <c r="J99" s="3886" cm="1">
        <f t="array" aca="1" ref="J99" ca="1">INDIRECT("'※ 인력 세부데이터'!"&amp;J$1&amp;$W100, TRUE)</f>
        <v>0</v>
      </c>
      <c r="K99" s="3886" cm="1">
        <f t="array" aca="1" ref="K99" ca="1">INDIRECT("'※ 인력 세부데이터'!"&amp;K$1&amp;$W100, TRUE)</f>
        <v>0</v>
      </c>
      <c r="L99" s="3886" cm="1">
        <f t="array" aca="1" ref="L99" ca="1">INDIRECT("'※ 인력 세부데이터'!"&amp;L$1&amp;$W100, TRUE)</f>
        <v>0</v>
      </c>
      <c r="M99" s="3886" cm="1">
        <f t="array" aca="1" ref="M99" ca="1">INDIRECT("'※ 인력 세부데이터'!"&amp;M$1&amp;$W100, TRUE)</f>
        <v>0</v>
      </c>
      <c r="N99" s="3886" cm="1">
        <f t="array" aca="1" ref="N99" ca="1">INDIRECT("'※ 인력 세부데이터'!"&amp;N$1&amp;$W100, TRUE)</f>
        <v>0</v>
      </c>
      <c r="O99" s="3886" cm="1">
        <f t="array" aca="1" ref="O99" ca="1">INDIRECT("'※ 인력 세부데이터'!"&amp;O$1&amp;$W100, TRUE)</f>
        <v>0</v>
      </c>
      <c r="P99" s="3886" cm="1">
        <f t="array" aca="1" ref="P99" ca="1">INDIRECT("'※ 인력 세부데이터'!"&amp;P$1&amp;$W100, TRUE)</f>
        <v>0</v>
      </c>
      <c r="Q99" s="3886" cm="1">
        <f t="array" aca="1" ref="Q99" ca="1">INDIRECT("'※ 인력 세부데이터'!"&amp;Q$1&amp;$W100, TRUE)</f>
        <v>0</v>
      </c>
      <c r="R99" s="3887" cm="1">
        <f t="array" aca="1" ref="R99" ca="1">INDIRECT("'※ 인력 세부데이터'!"&amp;R$2&amp;$W100, TRUE)</f>
        <v>0</v>
      </c>
      <c r="S99" s="3886" cm="1">
        <f t="array" aca="1" ref="S99" ca="1">INDIRECT("'※ 인력 세부데이터'!"&amp;S$1&amp;$W100, TRUE)</f>
        <v>0</v>
      </c>
      <c r="T99" s="3886" cm="1">
        <f t="array" aca="1" ref="T99" ca="1">INDIRECT("'※ 인력 세부데이터'!"&amp;T$1&amp;$W100, TRUE)</f>
        <v>0.5</v>
      </c>
      <c r="U99" s="3886" cm="1">
        <f t="array" aca="1" ref="U99" ca="1">INDIRECT("'※ 인력 세부데이터'!"&amp;U$1&amp;$W100, TRUE)</f>
        <v>0.5</v>
      </c>
      <c r="V99" s="3886" cm="1">
        <f t="array" aca="1" ref="V99" ca="1">INDIRECT("'※ 인력 세부데이터'!"&amp;V$1&amp;$W100, TRUE)</f>
        <v>0</v>
      </c>
      <c r="W99" s="3769">
        <f>ROW('※ 인력 세부데이터'!J95)</f>
        <v>95</v>
      </c>
      <c r="X99" s="2648"/>
      <c r="Y99" s="2648"/>
      <c r="Z99" s="2493"/>
      <c r="AA99" s="2493"/>
      <c r="AB99" s="2493"/>
      <c r="AC99" s="2493"/>
      <c r="AD99" s="2493"/>
      <c r="AE99" s="2493"/>
      <c r="AF99" s="2493"/>
      <c r="AG99" s="2493"/>
      <c r="AH99" s="2493"/>
      <c r="AI99" s="2493"/>
      <c r="AJ99" s="2493"/>
      <c r="AK99" s="2493"/>
      <c r="AL99" s="2493"/>
      <c r="AM99" s="2493"/>
      <c r="AN99" s="2493"/>
      <c r="AO99" s="2493"/>
      <c r="AP99" s="2493"/>
      <c r="AQ99" s="2493"/>
      <c r="AR99" s="2493"/>
      <c r="AS99" s="2493"/>
      <c r="AT99" s="2493"/>
      <c r="AU99" s="2493"/>
      <c r="AV99" s="2493"/>
      <c r="AW99" s="2493"/>
      <c r="AX99" s="2493"/>
      <c r="AY99" s="2493"/>
      <c r="AZ99" s="2493"/>
      <c r="BA99" s="2493"/>
      <c r="BB99" s="2493"/>
      <c r="BC99" s="2493"/>
      <c r="BD99" s="2493"/>
      <c r="BE99" s="2493"/>
      <c r="BF99" s="2493"/>
      <c r="BG99" s="2493"/>
    </row>
    <row r="100" spans="1:59" x14ac:dyDescent="0.55000000000000004">
      <c r="A100" s="7443"/>
      <c r="B100" s="3884"/>
      <c r="C100" s="3894" t="s">
        <v>1076</v>
      </c>
      <c r="D100" s="3857"/>
      <c r="E100" s="3879" cm="1">
        <f t="array" aca="1" ref="E100" ca="1">INDIRECT("'※ 인력 세부데이터'!"&amp;E$1&amp;$W101, TRUE)</f>
        <v>0</v>
      </c>
      <c r="F100" s="3895" cm="1">
        <f t="array" aca="1" ref="F100" ca="1">INDIRECT("'※ 인력 세부데이터'!"&amp;F$1&amp;$W101, TRUE)</f>
        <v>0</v>
      </c>
      <c r="G100" s="3879" cm="1">
        <f t="array" aca="1" ref="G100" ca="1">INDIRECT("'※ 인력 세부데이터'!"&amp;G$1&amp;$W101, TRUE)</f>
        <v>0.25</v>
      </c>
      <c r="H100" s="3886" cm="1">
        <f t="array" aca="1" ref="H100" ca="1">INDIRECT("'※ 인력 세부데이터'!"&amp;H$1&amp;$W101, TRUE)</f>
        <v>0</v>
      </c>
      <c r="I100" s="3886" cm="1">
        <f t="array" aca="1" ref="I100" ca="1">INDIRECT("'※ 인력 세부데이터'!"&amp;I$1&amp;$W101, TRUE)</f>
        <v>0</v>
      </c>
      <c r="J100" s="3886" cm="1">
        <f t="array" aca="1" ref="J100" ca="1">INDIRECT("'※ 인력 세부데이터'!"&amp;J$1&amp;$W101, TRUE)</f>
        <v>0</v>
      </c>
      <c r="K100" s="3886" cm="1">
        <f t="array" aca="1" ref="K100" ca="1">INDIRECT("'※ 인력 세부데이터'!"&amp;K$1&amp;$W101, TRUE)</f>
        <v>0</v>
      </c>
      <c r="L100" s="3886" cm="1">
        <f t="array" aca="1" ref="L100" ca="1">INDIRECT("'※ 인력 세부데이터'!"&amp;L$1&amp;$W101, TRUE)</f>
        <v>0</v>
      </c>
      <c r="M100" s="3886" cm="1">
        <f t="array" aca="1" ref="M100" ca="1">INDIRECT("'※ 인력 세부데이터'!"&amp;M$1&amp;$W101, TRUE)</f>
        <v>0</v>
      </c>
      <c r="N100" s="3886" cm="1">
        <f t="array" aca="1" ref="N100" ca="1">INDIRECT("'※ 인력 세부데이터'!"&amp;N$1&amp;$W101, TRUE)</f>
        <v>0</v>
      </c>
      <c r="O100" s="3886" cm="1">
        <f t="array" aca="1" ref="O100" ca="1">INDIRECT("'※ 인력 세부데이터'!"&amp;O$1&amp;$W101, TRUE)</f>
        <v>0</v>
      </c>
      <c r="P100" s="3886" cm="1">
        <f t="array" aca="1" ref="P100" ca="1">INDIRECT("'※ 인력 세부데이터'!"&amp;P$1&amp;$W101, TRUE)</f>
        <v>0</v>
      </c>
      <c r="Q100" s="3886" cm="1">
        <f t="array" aca="1" ref="Q100" ca="1">INDIRECT("'※ 인력 세부데이터'!"&amp;Q$1&amp;$W101, TRUE)</f>
        <v>0</v>
      </c>
      <c r="R100" s="3895" cm="1">
        <f t="array" aca="1" ref="R100" ca="1">INDIRECT("'※ 인력 세부데이터'!"&amp;R$1&amp;$W101, TRUE)</f>
        <v>0</v>
      </c>
      <c r="S100" s="3879" cm="1">
        <f t="array" aca="1" ref="S100" ca="1">INDIRECT("'※ 인력 세부데이터'!"&amp;S$1&amp;$W101, TRUE)</f>
        <v>0</v>
      </c>
      <c r="T100" s="3879" cm="1">
        <f t="array" aca="1" ref="T100" ca="1">INDIRECT("'※ 인력 세부데이터'!"&amp;T$1&amp;$W101, TRUE)</f>
        <v>4.1666666666666664E-2</v>
      </c>
      <c r="U100" s="3879" cm="1">
        <f t="array" aca="1" ref="U100" ca="1">INDIRECT("'※ 인력 세부데이터'!"&amp;U$1&amp;$W101, TRUE)</f>
        <v>4.1666666666666664E-2</v>
      </c>
      <c r="V100" s="3879" cm="1">
        <f t="array" aca="1" ref="V100" ca="1">INDIRECT("'※ 인력 세부데이터'!"&amp;V$1&amp;$W101, TRUE)</f>
        <v>0</v>
      </c>
      <c r="W100" s="3769">
        <f>ROW('※ 인력 세부데이터'!J96)</f>
        <v>96</v>
      </c>
      <c r="X100" s="2648"/>
      <c r="Y100" s="2648"/>
      <c r="Z100" s="2493"/>
      <c r="AA100" s="2493"/>
      <c r="AB100" s="2493"/>
      <c r="AC100" s="2493"/>
      <c r="AD100" s="2493"/>
      <c r="AE100" s="2493"/>
      <c r="AF100" s="2493"/>
      <c r="AG100" s="2493"/>
      <c r="AH100" s="2493"/>
      <c r="AI100" s="2493"/>
      <c r="AJ100" s="2493"/>
      <c r="AK100" s="2493"/>
      <c r="AL100" s="2493"/>
      <c r="AM100" s="2493"/>
      <c r="AN100" s="2493"/>
      <c r="AO100" s="2493"/>
      <c r="AP100" s="2493"/>
      <c r="AQ100" s="2493"/>
      <c r="AR100" s="2493"/>
      <c r="AS100" s="2493"/>
      <c r="AT100" s="2493"/>
      <c r="AU100" s="2493"/>
      <c r="AV100" s="2493"/>
      <c r="AW100" s="2493"/>
      <c r="AX100" s="2493"/>
      <c r="AY100" s="2493"/>
      <c r="AZ100" s="2493"/>
      <c r="BA100" s="2493"/>
      <c r="BB100" s="2493"/>
      <c r="BC100" s="2493"/>
      <c r="BD100" s="2493"/>
      <c r="BE100" s="2493"/>
      <c r="BF100" s="2493"/>
      <c r="BG100" s="2493"/>
    </row>
    <row r="101" spans="1:59" ht="21.9" customHeight="1" x14ac:dyDescent="0.55000000000000004">
      <c r="A101" s="7443"/>
      <c r="B101" s="3896" t="s">
        <v>1059</v>
      </c>
      <c r="C101" s="3897"/>
      <c r="D101" s="3898" cm="1">
        <f t="array" aca="1" ref="D101" ca="1">INDIRECT("'※ 인력 세부데이터'!"&amp;D$1&amp;$W102, TRUE)</f>
        <v>2.0833333333333335</v>
      </c>
      <c r="E101" s="3899" cm="1">
        <f t="array" aca="1" ref="E101" ca="1">INDIRECT("'※ 인력 세부데이터'!"&amp;E$1&amp;$W102, TRUE)</f>
        <v>6.916666666666667</v>
      </c>
      <c r="F101" s="3900" cm="1">
        <f t="array" aca="1" ref="F101" ca="1">INDIRECT("'※ 인력 세부데이터'!"&amp;F$1&amp;$W102, TRUE)</f>
        <v>2</v>
      </c>
      <c r="G101" s="3901" cm="1">
        <f t="array" aca="1" ref="G101" ca="1">INDIRECT("'※ 인력 세부데이터'!"&amp;G$1&amp;$W102, TRUE)</f>
        <v>4</v>
      </c>
      <c r="H101" s="3901" cm="1">
        <f t="array" aca="1" ref="H101" ca="1">INDIRECT("'※ 인력 세부데이터'!"&amp;H$1&amp;$W102, TRUE)</f>
        <v>5</v>
      </c>
      <c r="I101" s="3901" cm="1">
        <f t="array" aca="1" ref="I101" ca="1">INDIRECT("'※ 인력 세부데이터'!"&amp;I$1&amp;$W102, TRUE)</f>
        <v>3</v>
      </c>
      <c r="J101" s="3901" cm="1">
        <f t="array" aca="1" ref="J101" ca="1">INDIRECT("'※ 인력 세부데이터'!"&amp;J$1&amp;$W102, TRUE)</f>
        <v>6</v>
      </c>
      <c r="K101" s="3901" cm="1">
        <f t="array" aca="1" ref="K101" ca="1">INDIRECT("'※ 인력 세부데이터'!"&amp;K$1&amp;$W102, TRUE)</f>
        <v>4</v>
      </c>
      <c r="L101" s="3901" cm="1">
        <f t="array" aca="1" ref="L101" ca="1">INDIRECT("'※ 인력 세부데이터'!"&amp;L$1&amp;$W102, TRUE)</f>
        <v>3</v>
      </c>
      <c r="M101" s="3901" cm="1">
        <f t="array" aca="1" ref="M101" ca="1">INDIRECT("'※ 인력 세부데이터'!"&amp;M$1&amp;$W102, TRUE)</f>
        <v>7</v>
      </c>
      <c r="N101" s="3901" cm="1">
        <f t="array" aca="1" ref="N101" ca="1">INDIRECT("'※ 인력 세부데이터'!"&amp;N$1&amp;$W102, TRUE)</f>
        <v>3</v>
      </c>
      <c r="O101" s="3901" cm="1">
        <f t="array" aca="1" ref="O101" ca="1">INDIRECT("'※ 인력 세부데이터'!"&amp;O$1&amp;$W102, TRUE)</f>
        <v>3</v>
      </c>
      <c r="P101" s="3901" cm="1">
        <f t="array" aca="1" ref="P101" ca="1">INDIRECT("'※ 인력 세부데이터'!"&amp;P$1&amp;$W102, TRUE)</f>
        <v>2</v>
      </c>
      <c r="Q101" s="3901" cm="1">
        <f t="array" aca="1" ref="Q101" ca="1">INDIRECT("'※ 인력 세부데이터'!"&amp;Q$1&amp;$W102, TRUE)</f>
        <v>2</v>
      </c>
      <c r="R101" s="3900" cm="1">
        <f t="array" aca="1" ref="R101" ca="1">INDIRECT("'※ 인력 세부데이터'!"&amp;R$2&amp;$W102, TRUE)</f>
        <v>-2</v>
      </c>
      <c r="S101" s="3901" cm="1">
        <f t="array" aca="1" ref="S101" ca="1">INDIRECT("'※ 인력 세부데이터'!"&amp;S$1&amp;$W102, TRUE)</f>
        <v>-2</v>
      </c>
      <c r="T101" s="3901" cm="1">
        <f t="array" aca="1" ref="T101" ca="1">INDIRECT("'※ 인력 세부데이터'!"&amp;T$1&amp;$W102, TRUE)</f>
        <v>-3.2500000000000004</v>
      </c>
      <c r="U101" s="3901" cm="1">
        <f t="array" aca="1" ref="U101" ca="1">INDIRECT("'※ 인력 세부데이터'!"&amp;U$1&amp;$W102, TRUE)</f>
        <v>-3.2500000000000004</v>
      </c>
      <c r="V101" s="3901" cm="1">
        <f t="array" aca="1" ref="V101" ca="1">INDIRECT("'※ 인력 세부데이터'!"&amp;V$1&amp;$W102, TRUE)</f>
        <v>0</v>
      </c>
      <c r="W101" s="3769">
        <f>ROW('※ 인력 세부데이터'!J97)</f>
        <v>97</v>
      </c>
      <c r="X101" s="2648"/>
      <c r="Y101" s="2648"/>
      <c r="Z101" s="2493"/>
      <c r="AA101" s="2493"/>
      <c r="AB101" s="2493"/>
      <c r="AC101" s="2493"/>
      <c r="AD101" s="2493"/>
      <c r="AE101" s="2493"/>
      <c r="AF101" s="2493"/>
      <c r="AG101" s="2493"/>
      <c r="AH101" s="2493"/>
      <c r="AI101" s="2493"/>
      <c r="AJ101" s="2493"/>
      <c r="AK101" s="2493"/>
      <c r="AL101" s="2493"/>
      <c r="AM101" s="2493"/>
      <c r="AN101" s="2493"/>
      <c r="AO101" s="2493"/>
      <c r="AP101" s="2493"/>
      <c r="AQ101" s="2493"/>
      <c r="AR101" s="2493"/>
      <c r="AS101" s="2493"/>
      <c r="AT101" s="2493"/>
      <c r="AU101" s="2493"/>
      <c r="AV101" s="2493"/>
      <c r="AW101" s="2493"/>
      <c r="AX101" s="2493"/>
      <c r="AY101" s="2493"/>
      <c r="AZ101" s="2493"/>
      <c r="BA101" s="2493"/>
      <c r="BB101" s="2493"/>
      <c r="BC101" s="2493"/>
      <c r="BD101" s="2493"/>
      <c r="BE101" s="2493"/>
      <c r="BF101" s="2493"/>
      <c r="BG101" s="2493"/>
    </row>
    <row r="102" spans="1:59" ht="21.9" customHeight="1" x14ac:dyDescent="0.55000000000000004">
      <c r="A102" s="7443"/>
      <c r="B102" s="3867" t="s">
        <v>1075</v>
      </c>
      <c r="C102" s="3862"/>
      <c r="D102" s="3868" cm="1">
        <f t="array" aca="1" ref="D102" ca="1">INDIRECT("'※ 인력 세부데이터'!"&amp;D$1&amp;$W103, TRUE)</f>
        <v>1.7196920073458452E-2</v>
      </c>
      <c r="E102" s="3869" cm="1">
        <f t="array" aca="1" ref="E102" ca="1">INDIRECT("'※ 인력 세부데이터'!"&amp;E$1&amp;$W103, TRUE)</f>
        <v>5.5231063596970859E-2</v>
      </c>
      <c r="F102" s="3870" cm="1">
        <f t="array" aca="1" ref="F102" ca="1">INDIRECT("'※ 인력 세부데이터'!"&amp;F$1&amp;$W103, TRUE)</f>
        <v>1.6129032258064516E-2</v>
      </c>
      <c r="G102" s="3871" cm="1">
        <f t="array" aca="1" ref="G102" ca="1">INDIRECT("'※ 인력 세부데이터'!"&amp;G$1&amp;$W103, TRUE)</f>
        <v>3.0769230769230771E-2</v>
      </c>
      <c r="H102" s="3871" cm="1">
        <f t="array" aca="1" ref="H102" ca="1">INDIRECT("'※ 인력 세부데이터'!"&amp;H$1&amp;$W103, TRUE)</f>
        <v>3.6231884057971016E-2</v>
      </c>
      <c r="I102" s="3871" cm="1">
        <f t="array" aca="1" ref="I102" ca="1">INDIRECT("'※ 인력 세부데이터'!"&amp;I$1&amp;$W103, TRUE)</f>
        <v>2.0547945205479451E-2</v>
      </c>
      <c r="J102" s="3871" cm="1">
        <f t="array" aca="1" ref="J102" ca="1">INDIRECT("'※ 인력 세부데이터'!"&amp;J$1&amp;$W103, TRUE)</f>
        <v>3.9473684210526314E-2</v>
      </c>
      <c r="K102" s="3871" cm="1">
        <f t="array" aca="1" ref="K102" ca="1">INDIRECT("'※ 인력 세부데이터'!"&amp;K$1&amp;$W103, TRUE)</f>
        <v>2.6490066225165563E-2</v>
      </c>
      <c r="L102" s="3871" cm="1">
        <f t="array" aca="1" ref="L102" ca="1">INDIRECT("'※ 인력 세부데이터'!"&amp;L$1&amp;$W103, TRUE)</f>
        <v>1.9607843137254902E-2</v>
      </c>
      <c r="M102" s="3871" cm="1">
        <f t="array" aca="1" ref="M102" ca="1">INDIRECT("'※ 인력 세부데이터'!"&amp;M$1&amp;$W103, TRUE)</f>
        <v>4.4871794871794872E-2</v>
      </c>
      <c r="N102" s="3871" cm="1">
        <f t="array" aca="1" ref="N102" ca="1">INDIRECT("'※ 인력 세부데이터'!"&amp;N$1&amp;$W103, TRUE)</f>
        <v>1.9867549668874173E-2</v>
      </c>
      <c r="O102" s="3871" cm="1">
        <f t="array" aca="1" ref="O102" ca="1">INDIRECT("'※ 인력 세부데이터'!"&amp;O$1&amp;$W103, TRUE)</f>
        <v>2.0134228187919462E-2</v>
      </c>
      <c r="P102" s="3871" cm="1">
        <f t="array" aca="1" ref="P102" ca="1">INDIRECT("'※ 인력 세부데이터'!"&amp;P$1&amp;$W103, TRUE)</f>
        <v>1.3513513513513514E-2</v>
      </c>
      <c r="Q102" s="3871" cm="1">
        <f t="array" aca="1" ref="Q102" ca="1">INDIRECT("'※ 인력 세부데이터'!"&amp;Q$1&amp;$W103, TRUE)</f>
        <v>1.3605442176870748E-2</v>
      </c>
      <c r="R102" s="3870" cm="1">
        <f t="array" aca="1" ref="R102" ca="1">INDIRECT("'※ 인력 세부데이터'!"&amp;R$2&amp;$W103, TRUE)</f>
        <v>-1.9727891156462583E-2</v>
      </c>
      <c r="S102" s="3871" cm="1">
        <f t="array" aca="1" ref="S102" ca="1">INDIRECT("'※ 인력 세부데이터'!"&amp;S$1&amp;$W103, TRUE)</f>
        <v>-1.9727891156462583E-2</v>
      </c>
      <c r="T102" s="3871" cm="1">
        <f t="array" aca="1" ref="T102" ca="1">INDIRECT("'※ 인력 세부데이터'!"&amp;T$1&amp;$W103, TRUE)</f>
        <v>-3.0127545740082085E-2</v>
      </c>
      <c r="U102" s="3871" cm="1">
        <f t="array" aca="1" ref="U102" ca="1">INDIRECT("'※ 인력 세부데이터'!"&amp;U$1&amp;$W103, TRUE)</f>
        <v>-3.0127545740082085E-2</v>
      </c>
      <c r="V102" s="3871" cm="1">
        <f t="array" aca="1" ref="V102" ca="1">INDIRECT("'※ 인력 세부데이터'!"&amp;V$1&amp;$W103, TRUE)</f>
        <v>9.1928663357233528E-5</v>
      </c>
      <c r="W102" s="3769">
        <f>ROW('※ 인력 세부데이터'!J98)</f>
        <v>98</v>
      </c>
      <c r="X102" s="2648"/>
      <c r="Y102" s="2648"/>
      <c r="Z102" s="2493"/>
      <c r="AA102" s="2493"/>
      <c r="AB102" s="2493"/>
      <c r="AC102" s="2493"/>
      <c r="AD102" s="2493"/>
      <c r="AE102" s="2493"/>
      <c r="AF102" s="2493"/>
      <c r="AG102" s="2493"/>
      <c r="AH102" s="2493"/>
      <c r="AI102" s="2493"/>
      <c r="AJ102" s="2493"/>
      <c r="AK102" s="2493"/>
      <c r="AL102" s="2493"/>
      <c r="AM102" s="2493"/>
      <c r="AN102" s="2493"/>
      <c r="AO102" s="2493"/>
      <c r="AP102" s="2493"/>
      <c r="AQ102" s="2493"/>
      <c r="AR102" s="2493"/>
      <c r="AS102" s="2493"/>
      <c r="AT102" s="2493"/>
      <c r="AU102" s="2493"/>
      <c r="AV102" s="2493"/>
      <c r="AW102" s="2493"/>
      <c r="AX102" s="2493"/>
      <c r="AY102" s="2493"/>
      <c r="AZ102" s="2493"/>
      <c r="BA102" s="2493"/>
      <c r="BB102" s="2493"/>
      <c r="BC102" s="2493"/>
      <c r="BD102" s="2493"/>
      <c r="BE102" s="2493"/>
      <c r="BF102" s="2493"/>
      <c r="BG102" s="2493"/>
    </row>
    <row r="103" spans="1:59" ht="21.9" customHeight="1" x14ac:dyDescent="0.55000000000000004">
      <c r="A103" s="7443"/>
      <c r="B103" s="3825"/>
      <c r="C103" s="3872" t="s">
        <v>1069</v>
      </c>
      <c r="D103" s="3902"/>
      <c r="E103" s="3903"/>
      <c r="F103" s="3876" cm="1">
        <f t="array" aca="1" ref="F103" ca="1">INDIRECT("'※ 인력 세부데이터'!"&amp;F$1&amp;$W104, TRUE)</f>
        <v>2</v>
      </c>
      <c r="G103" s="3875" cm="1">
        <f t="array" aca="1" ref="G103" ca="1">INDIRECT("'※ 인력 세부데이터'!"&amp;G$1&amp;$W104, TRUE)</f>
        <v>3</v>
      </c>
      <c r="H103" s="3875" cm="1">
        <f t="array" aca="1" ref="H103" ca="1">INDIRECT("'※ 인력 세부데이터'!"&amp;H$1&amp;$W104, TRUE)</f>
        <v>3</v>
      </c>
      <c r="I103" s="3875" cm="1">
        <f t="array" aca="1" ref="I103" ca="1">INDIRECT("'※ 인력 세부데이터'!"&amp;I$1&amp;$W104, TRUE)</f>
        <v>1</v>
      </c>
      <c r="J103" s="3875" cm="1">
        <f t="array" aca="1" ref="J103" ca="1">INDIRECT("'※ 인력 세부데이터'!"&amp;J$1&amp;$W104, TRUE)</f>
        <v>6</v>
      </c>
      <c r="K103" s="3875" cm="1">
        <f t="array" aca="1" ref="K103" ca="1">INDIRECT("'※ 인력 세부데이터'!"&amp;K$1&amp;$W104, TRUE)</f>
        <v>3</v>
      </c>
      <c r="L103" s="3875" cm="1">
        <f t="array" aca="1" ref="L103" ca="1">INDIRECT("'※ 인력 세부데이터'!"&amp;L$1&amp;$W104, TRUE)</f>
        <v>1</v>
      </c>
      <c r="M103" s="3875" cm="1">
        <f t="array" aca="1" ref="M103" ca="1">INDIRECT("'※ 인력 세부데이터'!"&amp;M$1&amp;$W104, TRUE)</f>
        <v>5</v>
      </c>
      <c r="N103" s="3875" cm="1">
        <f t="array" aca="1" ref="N103" ca="1">INDIRECT("'※ 인력 세부데이터'!"&amp;N$1&amp;$W104, TRUE)</f>
        <v>1</v>
      </c>
      <c r="O103" s="3875" cm="1">
        <f t="array" aca="1" ref="O103" ca="1">INDIRECT("'※ 인력 세부데이터'!"&amp;O$1&amp;$W104, TRUE)</f>
        <v>2</v>
      </c>
      <c r="P103" s="3875" cm="1">
        <f t="array" aca="1" ref="P103" ca="1">INDIRECT("'※ 인력 세부데이터'!"&amp;P$1&amp;$W104, TRUE)</f>
        <v>1</v>
      </c>
      <c r="Q103" s="3875" cm="1">
        <f t="array" aca="1" ref="Q103" ca="1">INDIRECT("'※ 인력 세부데이터'!"&amp;Q$1&amp;$W104, TRUE)</f>
        <v>0</v>
      </c>
      <c r="R103" s="3876" cm="1">
        <f t="array" aca="1" ref="R103" ca="1">INDIRECT("'※ 인력 세부데이터'!"&amp;R$2&amp;$W104, TRUE)</f>
        <v>-2</v>
      </c>
      <c r="S103" s="3875" cm="1">
        <f t="array" aca="1" ref="S103" ca="1">INDIRECT("'※ 인력 세부데이터'!"&amp;S$1&amp;$W104, TRUE)</f>
        <v>-2</v>
      </c>
      <c r="T103" s="3875" cm="1">
        <f t="array" aca="1" ref="T103" ca="1">INDIRECT("'※ 인력 세부데이터'!"&amp;T$1&amp;$W104, TRUE)</f>
        <v>-3.7878787878788067E-2</v>
      </c>
      <c r="U103" s="3875" cm="1">
        <f t="array" aca="1" ref="U103" ca="1">INDIRECT("'※ 인력 세부데이터'!"&amp;U$1&amp;$W104, TRUE)</f>
        <v>-0.27272727272727293</v>
      </c>
      <c r="V103" s="3875" cm="1">
        <f t="array" aca="1" ref="V103" ca="1">INDIRECT("'※ 인력 세부데이터'!"&amp;V$1&amp;$W104, TRUE)</f>
        <v>-1</v>
      </c>
      <c r="W103" s="3769">
        <f>ROW('※ 인력 세부데이터'!J99)</f>
        <v>99</v>
      </c>
      <c r="X103" s="2648"/>
      <c r="Y103" s="2648"/>
      <c r="Z103" s="2493"/>
      <c r="AA103" s="2493"/>
      <c r="AB103" s="2493"/>
      <c r="AC103" s="2493"/>
      <c r="AD103" s="2493"/>
      <c r="AE103" s="2493"/>
      <c r="AF103" s="2493"/>
      <c r="AG103" s="2493"/>
      <c r="AH103" s="2493"/>
      <c r="AI103" s="2493"/>
      <c r="AJ103" s="2493"/>
      <c r="AK103" s="2493"/>
      <c r="AL103" s="2493"/>
      <c r="AM103" s="2493"/>
      <c r="AN103" s="2493"/>
      <c r="AO103" s="2493"/>
      <c r="AP103" s="2493"/>
      <c r="AQ103" s="2493"/>
      <c r="AR103" s="2493"/>
      <c r="AS103" s="2493"/>
      <c r="AT103" s="2493"/>
      <c r="AU103" s="2493"/>
      <c r="AV103" s="2493"/>
      <c r="AW103" s="2493"/>
      <c r="AX103" s="2493"/>
      <c r="AY103" s="2493"/>
      <c r="AZ103" s="2493"/>
      <c r="BA103" s="2493"/>
      <c r="BB103" s="2493"/>
      <c r="BC103" s="2493"/>
      <c r="BD103" s="2493"/>
      <c r="BE103" s="2493"/>
      <c r="BF103" s="2493"/>
      <c r="BG103" s="2493"/>
    </row>
    <row r="104" spans="1:59" ht="21.9" customHeight="1" thickBot="1" x14ac:dyDescent="0.6">
      <c r="A104" s="7444"/>
      <c r="B104" s="3904"/>
      <c r="C104" s="3905" t="s">
        <v>1077</v>
      </c>
      <c r="D104" s="3906"/>
      <c r="E104" s="3907"/>
      <c r="F104" s="3908" cm="1">
        <f t="array" aca="1" ref="F104" ca="1">INDIRECT("'※ 인력 세부데이터'!"&amp;F$1&amp;$W105, TRUE)</f>
        <v>1</v>
      </c>
      <c r="G104" s="3909" cm="1">
        <f t="array" aca="1" ref="G104" ca="1">INDIRECT("'※ 인력 세부데이터'!"&amp;G$1&amp;$W105, TRUE)</f>
        <v>0.75</v>
      </c>
      <c r="H104" s="3909" cm="1">
        <f t="array" aca="1" ref="H104" ca="1">INDIRECT("'※ 인력 세부데이터'!"&amp;H$1&amp;$W105, TRUE)</f>
        <v>0.6</v>
      </c>
      <c r="I104" s="3909" cm="1">
        <f t="array" aca="1" ref="I104" ca="1">INDIRECT("'※ 인력 세부데이터'!"&amp;I$1&amp;$W105, TRUE)</f>
        <v>0.33333333333333331</v>
      </c>
      <c r="J104" s="3909" cm="1">
        <f t="array" aca="1" ref="J104" ca="1">INDIRECT("'※ 인력 세부데이터'!"&amp;J$1&amp;$W105, TRUE)</f>
        <v>1</v>
      </c>
      <c r="K104" s="3909" cm="1">
        <f t="array" aca="1" ref="K104" ca="1">INDIRECT("'※ 인력 세부데이터'!"&amp;K$1&amp;$W105, TRUE)</f>
        <v>0.75</v>
      </c>
      <c r="L104" s="3909" cm="1">
        <f t="array" aca="1" ref="L104" ca="1">INDIRECT("'※ 인력 세부데이터'!"&amp;L$1&amp;$W105, TRUE)</f>
        <v>0.5</v>
      </c>
      <c r="M104" s="3909" cm="1">
        <f t="array" aca="1" ref="M104" ca="1">INDIRECT("'※ 인력 세부데이터'!"&amp;M$1&amp;$W105, TRUE)</f>
        <v>0.7142857142857143</v>
      </c>
      <c r="N104" s="3909" cm="1">
        <f t="array" aca="1" ref="N104" ca="1">INDIRECT("'※ 인력 세부데이터'!"&amp;N$1&amp;$W105, TRUE)</f>
        <v>0.33333333333333331</v>
      </c>
      <c r="O104" s="3909" cm="1">
        <f t="array" aca="1" ref="O104" ca="1">INDIRECT("'※ 인력 세부데이터'!"&amp;O$1&amp;$W105, TRUE)</f>
        <v>0.66666666666666663</v>
      </c>
      <c r="P104" s="3909" cm="1">
        <f t="array" aca="1" ref="P104" ca="1">INDIRECT("'※ 인력 세부데이터'!"&amp;P$1&amp;$W105, TRUE)</f>
        <v>0.5</v>
      </c>
      <c r="Q104" s="3909" cm="1">
        <f t="array" aca="1" ref="Q104" ca="1">INDIRECT("'※ 인력 세부데이터'!"&amp;Q$1&amp;$W105, TRUE)</f>
        <v>0</v>
      </c>
      <c r="R104" s="3908" cm="1">
        <f t="array" aca="1" ref="R104" ca="1">INDIRECT("'※ 인력 세부데이터'!"&amp;R$2&amp;$W105, TRUE)</f>
        <v>-0.5</v>
      </c>
      <c r="S104" s="3909" cm="1">
        <f t="array" aca="1" ref="S104" ca="1">INDIRECT("'※ 인력 세부데이터'!"&amp;S$1&amp;$W105, TRUE)</f>
        <v>-0.5</v>
      </c>
      <c r="T104" s="3909" cm="1">
        <f t="array" aca="1" ref="T104" ca="1">INDIRECT("'※ 인력 세부데이터'!"&amp;T$1&amp;$W105, TRUE)</f>
        <v>0.22214094473130619</v>
      </c>
      <c r="U104" s="3909" cm="1">
        <f t="array" aca="1" ref="U104" ca="1">INDIRECT("'※ 인력 세부데이터'!"&amp;U$1&amp;$W105, TRUE)</f>
        <v>-9.1402116402116373E-2</v>
      </c>
      <c r="V104" s="3909" cm="1">
        <f t="array" aca="1" ref="V104" ca="1">INDIRECT("'※ 인력 세부데이터'!"&amp;V$1&amp;$W105, TRUE)</f>
        <v>-0.5</v>
      </c>
      <c r="W104" s="3769">
        <f>ROW('※ 인력 세부데이터'!J100)</f>
        <v>100</v>
      </c>
      <c r="X104" s="2648"/>
      <c r="Y104" s="2648"/>
      <c r="Z104" s="2493"/>
      <c r="AA104" s="2493"/>
      <c r="AB104" s="2493"/>
      <c r="AC104" s="2493"/>
      <c r="AD104" s="2493"/>
      <c r="AE104" s="2493"/>
      <c r="AF104" s="2493"/>
      <c r="AG104" s="2493"/>
      <c r="AH104" s="2493"/>
      <c r="AI104" s="2493"/>
      <c r="AJ104" s="2493"/>
      <c r="AK104" s="2493"/>
      <c r="AL104" s="2493"/>
      <c r="AM104" s="2493"/>
      <c r="AN104" s="2493"/>
      <c r="AO104" s="2493"/>
      <c r="AP104" s="2493"/>
      <c r="AQ104" s="2493"/>
      <c r="AR104" s="2493"/>
      <c r="AS104" s="2493"/>
      <c r="AT104" s="2493"/>
      <c r="AU104" s="2493"/>
      <c r="AV104" s="2493"/>
      <c r="AW104" s="2493"/>
      <c r="AX104" s="2493"/>
      <c r="AY104" s="2493"/>
      <c r="AZ104" s="2493"/>
      <c r="BA104" s="2493"/>
      <c r="BB104" s="2493"/>
      <c r="BC104" s="2493"/>
      <c r="BD104" s="2493"/>
      <c r="BE104" s="2493"/>
      <c r="BF104" s="2493"/>
      <c r="BG104" s="2493"/>
    </row>
    <row r="105" spans="1:59" ht="16.5" customHeight="1" thickBot="1" x14ac:dyDescent="0.6">
      <c r="B105" s="2682"/>
      <c r="C105" s="2682"/>
      <c r="D105" s="2682"/>
      <c r="E105" s="2682"/>
      <c r="F105" s="3128"/>
      <c r="G105" s="3128"/>
      <c r="H105" s="3128"/>
      <c r="I105" s="3128"/>
      <c r="J105" s="3128"/>
      <c r="K105" s="3128"/>
      <c r="L105" s="3128"/>
      <c r="M105" s="3128"/>
      <c r="N105" s="3128"/>
      <c r="O105" s="3128"/>
      <c r="P105" s="3128"/>
      <c r="Q105" s="3128"/>
      <c r="R105" s="3468"/>
      <c r="S105" s="3468"/>
      <c r="T105" s="3468"/>
      <c r="U105" s="3468"/>
      <c r="V105" s="3468"/>
      <c r="W105" s="3769">
        <f>ROW('※ 인력 세부데이터'!J101)</f>
        <v>101</v>
      </c>
      <c r="X105" s="2682"/>
      <c r="Y105" s="2682"/>
    </row>
    <row r="106" spans="1:59" ht="18.899999999999999" customHeight="1" thickBot="1" x14ac:dyDescent="0.6">
      <c r="A106" s="7461" t="s">
        <v>127</v>
      </c>
      <c r="B106" s="7462"/>
      <c r="C106" s="7462"/>
      <c r="D106" s="3910" t="s">
        <v>906</v>
      </c>
      <c r="E106" s="3910" t="s">
        <v>905</v>
      </c>
      <c r="F106" s="3911" t="str">
        <f t="shared" ref="F106:J106" ca="1" si="0">F6</f>
        <v>'25.1월</v>
      </c>
      <c r="G106" s="3912" t="str">
        <f t="shared" ca="1" si="0"/>
        <v>'25.2월</v>
      </c>
      <c r="H106" s="3912" t="str">
        <f t="shared" ca="1" si="0"/>
        <v>'25.3월</v>
      </c>
      <c r="I106" s="3912" t="str">
        <f t="shared" ca="1" si="0"/>
        <v>'25.4월</v>
      </c>
      <c r="J106" s="3912" t="str">
        <f t="shared" ca="1" si="0"/>
        <v>'25.5월</v>
      </c>
      <c r="K106" s="3912" t="str">
        <f t="shared" ref="K106:L106" ca="1" si="1">K6</f>
        <v>'25.6월</v>
      </c>
      <c r="L106" s="3912" t="str">
        <f t="shared" ca="1" si="1"/>
        <v>'25.7월</v>
      </c>
      <c r="M106" s="3912" t="str">
        <f t="shared" ref="M106:N106" ca="1" si="2">M6</f>
        <v>'25.8월</v>
      </c>
      <c r="N106" s="3912" t="str">
        <f t="shared" ca="1" si="2"/>
        <v>'25.9월</v>
      </c>
      <c r="O106" s="3912" t="str">
        <f t="shared" ref="O106:P106" ca="1" si="3">O6</f>
        <v>'25.10월</v>
      </c>
      <c r="P106" s="3912" t="str">
        <f t="shared" ca="1" si="3"/>
        <v>'25.11월</v>
      </c>
      <c r="Q106" s="3912" t="str">
        <f t="shared" ref="Q106" ca="1" si="4">Q6</f>
        <v>'25.12월</v>
      </c>
      <c r="R106" s="3913" t="s">
        <v>237</v>
      </c>
      <c r="S106" s="3914" t="s">
        <v>238</v>
      </c>
      <c r="T106" s="3914" t="s">
        <v>239</v>
      </c>
      <c r="U106" s="3914" t="s">
        <v>250</v>
      </c>
      <c r="V106" s="3915" t="s">
        <v>240</v>
      </c>
      <c r="W106" s="3769"/>
      <c r="X106" s="2682"/>
      <c r="Y106" s="2682"/>
    </row>
    <row r="107" spans="1:59" ht="18.899999999999999" customHeight="1" x14ac:dyDescent="0.55000000000000004">
      <c r="A107" s="7458" t="s">
        <v>221</v>
      </c>
      <c r="B107" s="3625" t="s">
        <v>256</v>
      </c>
      <c r="C107" s="3520"/>
      <c r="D107" s="3916" cm="1">
        <f t="array" aca="1" ref="D107" ca="1">INDIRECT("'※ 인력 세부데이터'!"&amp;D$1&amp;$W108, TRUE)</f>
        <v>1125.6666666666667</v>
      </c>
      <c r="E107" s="3916" cm="1">
        <f t="array" aca="1" ref="E107" ca="1">INDIRECT("'※ 인력 세부데이터'!"&amp;E$1&amp;$W108, TRUE)</f>
        <v>1083.5</v>
      </c>
      <c r="F107" s="3917" cm="1">
        <f t="array" aca="1" ref="F107" ca="1">INDIRECT("'※ 인력 세부데이터'!"&amp;F$1&amp;$W108, TRUE)</f>
        <v>1139</v>
      </c>
      <c r="G107" s="3918" cm="1">
        <f t="array" aca="1" ref="G107" ca="1">INDIRECT("'※ 인력 세부데이터'!"&amp;G$1&amp;$W108, TRUE)</f>
        <v>1117</v>
      </c>
      <c r="H107" s="3918" cm="1">
        <f t="array" aca="1" ref="H107" ca="1">INDIRECT("'※ 인력 세부데이터'!"&amp;H$1&amp;$W108, TRUE)</f>
        <v>1119</v>
      </c>
      <c r="I107" s="3918" cm="1">
        <f t="array" aca="1" ref="I107" ca="1">INDIRECT("'※ 인력 세부데이터'!"&amp;I$1&amp;$W108, TRUE)</f>
        <v>1112</v>
      </c>
      <c r="J107" s="3918" cm="1">
        <f t="array" aca="1" ref="J107" ca="1">INDIRECT("'※ 인력 세부데이터'!"&amp;J$1&amp;$W108, TRUE)</f>
        <v>1098</v>
      </c>
      <c r="K107" s="3918" cm="1">
        <f t="array" aca="1" ref="K107" ca="1">INDIRECT("'※ 인력 세부데이터'!"&amp;K$1&amp;$W108, TRUE)</f>
        <v>1094</v>
      </c>
      <c r="L107" s="3918" cm="1">
        <f t="array" aca="1" ref="L107" ca="1">INDIRECT("'※ 인력 세부데이터'!"&amp;L$1&amp;$W108, TRUE)</f>
        <v>1084</v>
      </c>
      <c r="M107" s="3918" cm="1">
        <f t="array" aca="1" ref="M107" ca="1">INDIRECT("'※ 인력 세부데이터'!"&amp;M$1&amp;$W108, TRUE)</f>
        <v>1070</v>
      </c>
      <c r="N107" s="3918" cm="1">
        <f t="array" aca="1" ref="N107" ca="1">INDIRECT("'※ 인력 세부데이터'!"&amp;N$1&amp;$W108, TRUE)</f>
        <v>1071</v>
      </c>
      <c r="O107" s="3918" cm="1">
        <f t="array" aca="1" ref="O107" ca="1">INDIRECT("'※ 인력 세부데이터'!"&amp;O$1&amp;$W108, TRUE)</f>
        <v>1058</v>
      </c>
      <c r="P107" s="3918" cm="1">
        <f t="array" aca="1" ref="P107" ca="1">INDIRECT("'※ 인력 세부데이터'!"&amp;P$1&amp;$W108, TRUE)</f>
        <v>1059</v>
      </c>
      <c r="Q107" s="3918" cm="1">
        <f t="array" aca="1" ref="Q107" ca="1">INDIRECT("'※ 인력 세부데이터'!"&amp;Q$1&amp;$W108, TRUE)</f>
        <v>1085</v>
      </c>
      <c r="R107" s="3919" cm="1">
        <f t="array" aca="1" ref="R107" ca="1">INDIRECT("'※ 인력 세부데이터'!"&amp;R$1&amp;$W108, TRUE)</f>
        <v>1049</v>
      </c>
      <c r="S107" s="3920" cm="1">
        <f t="array" aca="1" ref="S107" ca="1">INDIRECT("'※ 인력 세부데이터'!"&amp;S$1&amp;$W108, TRUE)</f>
        <v>-36</v>
      </c>
      <c r="T107" s="3921" cm="1">
        <f t="array" aca="1" ref="T107" ca="1">INDIRECT("'※ 인력 세부데이터'!"&amp;T$1&amp;$W108, TRUE)</f>
        <v>1.0343183984747379</v>
      </c>
      <c r="U107" s="3922" cm="1">
        <f t="array" aca="1" ref="U107" ca="1">INDIRECT("'※ 인력 세부데이터'!"&amp;U$1&amp;$W108, TRUE)</f>
        <v>250</v>
      </c>
      <c r="V107" s="3923" cm="1">
        <f t="array" aca="1" ref="V107" ca="1">INDIRECT("'※ 인력 세부데이터'!"&amp;V$1&amp;$W108, TRUE)</f>
        <v>4.34</v>
      </c>
      <c r="W107" s="3769"/>
      <c r="X107" s="6960"/>
      <c r="Y107" s="2682"/>
    </row>
    <row r="108" spans="1:59" ht="18.899999999999999" customHeight="1" x14ac:dyDescent="0.55000000000000004">
      <c r="A108" s="7458"/>
      <c r="B108" s="3924" t="s">
        <v>222</v>
      </c>
      <c r="C108" s="3925"/>
      <c r="D108" s="3926" cm="1">
        <f t="array" aca="1" ref="D108" ca="1">INDIRECT("'※ 인력 세부데이터'!"&amp;D$1&amp;$W109, TRUE)</f>
        <v>188</v>
      </c>
      <c r="E108" s="3926" cm="1">
        <f t="array" aca="1" ref="E108" ca="1">INDIRECT("'※ 인력 세부데이터'!"&amp;E$1&amp;$W109, TRUE)</f>
        <v>203.91666666666666</v>
      </c>
      <c r="F108" s="3927" cm="1">
        <f t="array" aca="1" ref="F108" ca="1">INDIRECT("'※ 인력 세부데이터'!"&amp;F$1&amp;$W109, TRUE)</f>
        <v>219</v>
      </c>
      <c r="G108" s="3928" cm="1">
        <f t="array" aca="1" ref="G108" ca="1">INDIRECT("'※ 인력 세부데이터'!"&amp;G$1&amp;$W109, TRUE)</f>
        <v>217</v>
      </c>
      <c r="H108" s="3928" cm="1">
        <f t="array" aca="1" ref="H108" ca="1">INDIRECT("'※ 인력 세부데이터'!"&amp;H$1&amp;$W109, TRUE)</f>
        <v>211</v>
      </c>
      <c r="I108" s="3928" cm="1">
        <f t="array" aca="1" ref="I108" ca="1">INDIRECT("'※ 인력 세부데이터'!"&amp;I$1&amp;$W109, TRUE)</f>
        <v>208</v>
      </c>
      <c r="J108" s="3928" cm="1">
        <f t="array" aca="1" ref="J108" ca="1">INDIRECT("'※ 인력 세부데이터'!"&amp;J$1&amp;$W109, TRUE)</f>
        <v>208</v>
      </c>
      <c r="K108" s="3928" cm="1">
        <f t="array" aca="1" ref="K108" ca="1">INDIRECT("'※ 인력 세부데이터'!"&amp;K$1&amp;$W109, TRUE)</f>
        <v>208</v>
      </c>
      <c r="L108" s="3928" cm="1">
        <f t="array" aca="1" ref="L108" ca="1">INDIRECT("'※ 인력 세부데이터'!"&amp;L$1&amp;$W109, TRUE)</f>
        <v>208</v>
      </c>
      <c r="M108" s="3928" cm="1">
        <f t="array" aca="1" ref="M108" ca="1">INDIRECT("'※ 인력 세부데이터'!"&amp;M$1&amp;$W109, TRUE)</f>
        <v>202</v>
      </c>
      <c r="N108" s="3928" cm="1">
        <f t="array" aca="1" ref="N108" ca="1">INDIRECT("'※ 인력 세부데이터'!"&amp;N$1&amp;$W109, TRUE)</f>
        <v>202</v>
      </c>
      <c r="O108" s="3928" cm="1">
        <f t="array" aca="1" ref="O108" ca="1">INDIRECT("'※ 인력 세부데이터'!"&amp;O$1&amp;$W109, TRUE)</f>
        <v>204</v>
      </c>
      <c r="P108" s="3928" cm="1">
        <f t="array" aca="1" ref="P108" ca="1">INDIRECT("'※ 인력 세부데이터'!"&amp;P$1&amp;$W109, TRUE)</f>
        <v>204</v>
      </c>
      <c r="Q108" s="3928" cm="1">
        <f t="array" aca="1" ref="Q108" ca="1">INDIRECT("'※ 인력 세부데이터'!"&amp;Q$1&amp;$W109, TRUE)</f>
        <v>208</v>
      </c>
      <c r="R108" s="3929" cm="1">
        <f t="array" aca="1" ref="R108" ca="1">INDIRECT("'※ 인력 세부데이터'!"&amp;R$1&amp;$W109, TRUE)</f>
        <v>200</v>
      </c>
      <c r="S108" s="3930" cm="1">
        <f t="array" aca="1" ref="S108" ca="1">INDIRECT("'※ 인력 세부데이터'!"&amp;S$1&amp;$W109, TRUE)</f>
        <v>-8</v>
      </c>
      <c r="T108" s="3931" cm="1">
        <f t="array" aca="1" ref="T108" ca="1">INDIRECT("'※ 인력 세부데이터'!"&amp;T$1&amp;$W109, TRUE)</f>
        <v>1.04</v>
      </c>
      <c r="U108" s="3932" cm="1">
        <f t="array" aca="1" ref="U108" ca="1">INDIRECT("'※ 인력 세부데이터'!"&amp;U$1&amp;$W109, TRUE)</f>
        <v>48</v>
      </c>
      <c r="V108" s="3933" cm="1">
        <f t="array" aca="1" ref="V108" ca="1">INDIRECT("'※ 인력 세부데이터'!"&amp;V$1&amp;$W109, TRUE)</f>
        <v>4.333333333333333</v>
      </c>
      <c r="W108" s="3769">
        <f>ROW('※ 인력 세부데이터'!J103)</f>
        <v>103</v>
      </c>
      <c r="X108" s="2682"/>
      <c r="Y108" s="2682"/>
    </row>
    <row r="109" spans="1:59" ht="18.899999999999999" customHeight="1" x14ac:dyDescent="0.55000000000000004">
      <c r="A109" s="7458"/>
      <c r="B109" s="3934" t="s">
        <v>223</v>
      </c>
      <c r="C109" s="2655"/>
      <c r="D109" s="3760" cm="1">
        <f t="array" aca="1" ref="D109" ca="1">INDIRECT("'※ 인력 세부데이터'!"&amp;D$1&amp;$W110, TRUE)</f>
        <v>413</v>
      </c>
      <c r="E109" s="3760" cm="1">
        <f t="array" aca="1" ref="E109" ca="1">INDIRECT("'※ 인력 세부데이터'!"&amp;E$1&amp;$W110, TRUE)</f>
        <v>183.75</v>
      </c>
      <c r="F109" s="3762" cm="1">
        <f t="array" aca="1" ref="F109" ca="1">INDIRECT("'※ 인력 세부데이터'!"&amp;F$1&amp;$W110, TRUE)</f>
        <v>184</v>
      </c>
      <c r="G109" s="3763" cm="1">
        <f t="array" aca="1" ref="G109" ca="1">INDIRECT("'※ 인력 세부데이터'!"&amp;G$1&amp;$W110, TRUE)</f>
        <v>181</v>
      </c>
      <c r="H109" s="3763" cm="1">
        <f t="array" aca="1" ref="H109" ca="1">INDIRECT("'※ 인력 세부데이터'!"&amp;H$1&amp;$W110, TRUE)</f>
        <v>186</v>
      </c>
      <c r="I109" s="3763" cm="1">
        <f t="array" aca="1" ref="I109" ca="1">INDIRECT("'※ 인력 세부데이터'!"&amp;I$1&amp;$W110, TRUE)</f>
        <v>181</v>
      </c>
      <c r="J109" s="3763" cm="1">
        <f t="array" aca="1" ref="J109" ca="1">INDIRECT("'※ 인력 세부데이터'!"&amp;J$1&amp;$W110, TRUE)</f>
        <v>179</v>
      </c>
      <c r="K109" s="3763" cm="1">
        <f t="array" aca="1" ref="K109" ca="1">INDIRECT("'※ 인력 세부데이터'!"&amp;K$1&amp;$W110, TRUE)</f>
        <v>178</v>
      </c>
      <c r="L109" s="3763" cm="1">
        <f t="array" aca="1" ref="L109" ca="1">INDIRECT("'※ 인력 세부데이터'!"&amp;L$1&amp;$W110, TRUE)</f>
        <v>172</v>
      </c>
      <c r="M109" s="3763" cm="1">
        <f t="array" aca="1" ref="M109" ca="1">INDIRECT("'※ 인력 세부데이터'!"&amp;M$1&amp;$W110, TRUE)</f>
        <v>178</v>
      </c>
      <c r="N109" s="3763" cm="1">
        <f t="array" aca="1" ref="N109" ca="1">INDIRECT("'※ 인력 세부데이터'!"&amp;N$1&amp;$W110, TRUE)</f>
        <v>178</v>
      </c>
      <c r="O109" s="3763" cm="1">
        <f t="array" aca="1" ref="O109" ca="1">INDIRECT("'※ 인력 세부데이터'!"&amp;O$1&amp;$W110, TRUE)</f>
        <v>179</v>
      </c>
      <c r="P109" s="3763" cm="1">
        <f t="array" aca="1" ref="P109" ca="1">INDIRECT("'※ 인력 세부데이터'!"&amp;P$1&amp;$W110, TRUE)</f>
        <v>181</v>
      </c>
      <c r="Q109" s="3763" cm="1">
        <f t="array" aca="1" ref="Q109" ca="1">INDIRECT("'※ 인력 세부데이터'!"&amp;Q$1&amp;$W110, TRUE)</f>
        <v>184</v>
      </c>
      <c r="R109" s="3935" cm="1">
        <f t="array" aca="1" ref="R109" ca="1">INDIRECT("'※ 인력 세부데이터'!"&amp;R$1&amp;$W110, TRUE)</f>
        <v>173</v>
      </c>
      <c r="S109" s="3936" cm="1">
        <f t="array" aca="1" ref="S109" ca="1">INDIRECT("'※ 인력 세부데이터'!"&amp;S$1&amp;$W110, TRUE)</f>
        <v>-11</v>
      </c>
      <c r="T109" s="3937" cm="1">
        <f t="array" aca="1" ref="T109" ca="1">INDIRECT("'※ 인력 세부데이터'!"&amp;T$1&amp;$W110, TRUE)</f>
        <v>1.0635838150289016</v>
      </c>
      <c r="U109" s="3938" cm="1">
        <f t="array" aca="1" ref="U109" ca="1">INDIRECT("'※ 인력 세부데이터'!"&amp;U$1&amp;$W110, TRUE)</f>
        <v>41</v>
      </c>
      <c r="V109" s="3939" cm="1">
        <f t="array" aca="1" ref="V109" ca="1">INDIRECT("'※ 인력 세부데이터'!"&amp;V$1&amp;$W110, TRUE)</f>
        <v>4.4878048780487809</v>
      </c>
      <c r="W109" s="3769">
        <f>ROW('※ 인력 세부데이터'!J104)</f>
        <v>104</v>
      </c>
      <c r="X109" s="2682"/>
      <c r="Y109" s="2682"/>
    </row>
    <row r="110" spans="1:59" ht="18.899999999999999" customHeight="1" x14ac:dyDescent="0.55000000000000004">
      <c r="A110" s="7458"/>
      <c r="B110" s="3934" t="s">
        <v>224</v>
      </c>
      <c r="C110" s="2655"/>
      <c r="D110" s="3760" cm="1">
        <f t="array" aca="1" ref="D110" ca="1">INDIRECT("'※ 인력 세부데이터'!"&amp;D$1&amp;$W111, TRUE)</f>
        <v>266</v>
      </c>
      <c r="E110" s="3760" cm="1">
        <f t="array" aca="1" ref="E110" ca="1">INDIRECT("'※ 인력 세부데이터'!"&amp;E$1&amp;$W111, TRUE)</f>
        <v>235.25</v>
      </c>
      <c r="F110" s="3762" cm="1">
        <f t="array" aca="1" ref="F110" ca="1">INDIRECT("'※ 인력 세부데이터'!"&amp;F$1&amp;$W111, TRUE)</f>
        <v>245</v>
      </c>
      <c r="G110" s="3763" cm="1">
        <f t="array" aca="1" ref="G110" ca="1">INDIRECT("'※ 인력 세부데이터'!"&amp;G$1&amp;$W111, TRUE)</f>
        <v>242</v>
      </c>
      <c r="H110" s="3763" cm="1">
        <f t="array" aca="1" ref="H110" ca="1">INDIRECT("'※ 인력 세부데이터'!"&amp;H$1&amp;$W111, TRUE)</f>
        <v>241</v>
      </c>
      <c r="I110" s="3763" cm="1">
        <f t="array" aca="1" ref="I110" ca="1">INDIRECT("'※ 인력 세부데이터'!"&amp;I$1&amp;$W111, TRUE)</f>
        <v>241</v>
      </c>
      <c r="J110" s="3763" cm="1">
        <f t="array" aca="1" ref="J110" ca="1">INDIRECT("'※ 인력 세부데이터'!"&amp;J$1&amp;$W111, TRUE)</f>
        <v>241</v>
      </c>
      <c r="K110" s="3763" cm="1">
        <f t="array" aca="1" ref="K110" ca="1">INDIRECT("'※ 인력 세부데이터'!"&amp;K$1&amp;$W111, TRUE)</f>
        <v>237</v>
      </c>
      <c r="L110" s="3763" cm="1">
        <f t="array" aca="1" ref="L110" ca="1">INDIRECT("'※ 인력 세부데이터'!"&amp;L$1&amp;$W111, TRUE)</f>
        <v>236</v>
      </c>
      <c r="M110" s="3763" cm="1">
        <f t="array" aca="1" ref="M110" ca="1">INDIRECT("'※ 인력 세부데이터'!"&amp;M$1&amp;$W111, TRUE)</f>
        <v>227</v>
      </c>
      <c r="N110" s="3763" cm="1">
        <f t="array" aca="1" ref="N110" ca="1">INDIRECT("'※ 인력 세부데이터'!"&amp;N$1&amp;$W111, TRUE)</f>
        <v>229</v>
      </c>
      <c r="O110" s="3763" cm="1">
        <f t="array" aca="1" ref="O110" ca="1">INDIRECT("'※ 인력 세부데이터'!"&amp;O$1&amp;$W111, TRUE)</f>
        <v>224</v>
      </c>
      <c r="P110" s="3763" cm="1">
        <f t="array" aca="1" ref="P110" ca="1">INDIRECT("'※ 인력 세부데이터'!"&amp;P$1&amp;$W111, TRUE)</f>
        <v>222</v>
      </c>
      <c r="Q110" s="3763" cm="1">
        <f t="array" aca="1" ref="Q110" ca="1">INDIRECT("'※ 인력 세부데이터'!"&amp;Q$1&amp;$W111, TRUE)</f>
        <v>231</v>
      </c>
      <c r="R110" s="3935" cm="1">
        <f t="array" aca="1" ref="R110" ca="1">INDIRECT("'※ 인력 세부데이터'!"&amp;R$1&amp;$W111, TRUE)</f>
        <v>221</v>
      </c>
      <c r="S110" s="3936" cm="1">
        <f t="array" aca="1" ref="S110" ca="1">INDIRECT("'※ 인력 세부데이터'!"&amp;S$1&amp;$W111, TRUE)</f>
        <v>-10</v>
      </c>
      <c r="T110" s="3937" cm="1">
        <f t="array" aca="1" ref="T110" ca="1">INDIRECT("'※ 인력 세부데이터'!"&amp;T$1&amp;$W111, TRUE)</f>
        <v>1.0452488687782806</v>
      </c>
      <c r="U110" s="3938" cm="1">
        <f t="array" aca="1" ref="U110" ca="1">INDIRECT("'※ 인력 세부데이터'!"&amp;U$1&amp;$W111, TRUE)</f>
        <v>50</v>
      </c>
      <c r="V110" s="3939" cm="1">
        <f t="array" aca="1" ref="V110" ca="1">INDIRECT("'※ 인력 세부데이터'!"&amp;V$1&amp;$W111, TRUE)</f>
        <v>4.62</v>
      </c>
      <c r="W110" s="3769">
        <f>ROW('※ 인력 세부데이터'!J105)</f>
        <v>105</v>
      </c>
      <c r="X110" s="2682"/>
      <c r="Y110" s="2682"/>
    </row>
    <row r="111" spans="1:59" ht="18.899999999999999" customHeight="1" x14ac:dyDescent="0.55000000000000004">
      <c r="A111" s="7458"/>
      <c r="B111" s="3934" t="s">
        <v>225</v>
      </c>
      <c r="C111" s="2655"/>
      <c r="D111" s="3760" cm="1">
        <f t="array" aca="1" ref="D111" ca="1">INDIRECT("'※ 인력 세부데이터'!"&amp;D$1&amp;$W112, TRUE)</f>
        <v>275.08333333333331</v>
      </c>
      <c r="E111" s="3760" cm="1">
        <f t="array" aca="1" ref="E111" ca="1">INDIRECT("'※ 인력 세부데이터'!"&amp;E$1&amp;$W112, TRUE)</f>
        <v>243.08333333333334</v>
      </c>
      <c r="F111" s="3762" cm="1">
        <f t="array" aca="1" ref="F111" ca="1">INDIRECT("'※ 인력 세부데이터'!"&amp;F$1&amp;$W112, TRUE)</f>
        <v>257</v>
      </c>
      <c r="G111" s="3763" cm="1">
        <f t="array" aca="1" ref="G111" ca="1">INDIRECT("'※ 인력 세부데이터'!"&amp;G$1&amp;$W112, TRUE)</f>
        <v>249</v>
      </c>
      <c r="H111" s="3763" cm="1">
        <f t="array" aca="1" ref="H111" ca="1">INDIRECT("'※ 인력 세부데이터'!"&amp;H$1&amp;$W112, TRUE)</f>
        <v>246</v>
      </c>
      <c r="I111" s="3763" cm="1">
        <f t="array" aca="1" ref="I111" ca="1">INDIRECT("'※ 인력 세부데이터'!"&amp;I$1&amp;$W112, TRUE)</f>
        <v>244</v>
      </c>
      <c r="J111" s="3763" cm="1">
        <f t="array" aca="1" ref="J111" ca="1">INDIRECT("'※ 인력 세부데이터'!"&amp;J$1&amp;$W112, TRUE)</f>
        <v>242</v>
      </c>
      <c r="K111" s="3763" cm="1">
        <f t="array" aca="1" ref="K111" ca="1">INDIRECT("'※ 인력 세부데이터'!"&amp;K$1&amp;$W112, TRUE)</f>
        <v>243</v>
      </c>
      <c r="L111" s="3763" cm="1">
        <f t="array" aca="1" ref="L111" ca="1">INDIRECT("'※ 인력 세부데이터'!"&amp;L$1&amp;$W112, TRUE)</f>
        <v>239</v>
      </c>
      <c r="M111" s="3763" cm="1">
        <f t="array" aca="1" ref="M111" ca="1">INDIRECT("'※ 인력 세부데이터'!"&amp;M$1&amp;$W112, TRUE)</f>
        <v>238</v>
      </c>
      <c r="N111" s="3763" cm="1">
        <f t="array" aca="1" ref="N111" ca="1">INDIRECT("'※ 인력 세부데이터'!"&amp;N$1&amp;$W112, TRUE)</f>
        <v>236</v>
      </c>
      <c r="O111" s="3763" cm="1">
        <f t="array" aca="1" ref="O111" ca="1">INDIRECT("'※ 인력 세부데이터'!"&amp;O$1&amp;$W112, TRUE)</f>
        <v>227</v>
      </c>
      <c r="P111" s="3763" cm="1">
        <f t="array" aca="1" ref="P111" ca="1">INDIRECT("'※ 인력 세부데이터'!"&amp;P$1&amp;$W112, TRUE)</f>
        <v>230</v>
      </c>
      <c r="Q111" s="3763" cm="1">
        <f t="array" aca="1" ref="Q111" ca="1">INDIRECT("'※ 인력 세부데이터'!"&amp;Q$1&amp;$W112, TRUE)</f>
        <v>240</v>
      </c>
      <c r="R111" s="3935" cm="1">
        <f t="array" aca="1" ref="R111" ca="1">INDIRECT("'※ 인력 세부데이터'!"&amp;R$1&amp;$W112, TRUE)</f>
        <v>239</v>
      </c>
      <c r="S111" s="3936" cm="1">
        <f t="array" aca="1" ref="S111" ca="1">INDIRECT("'※ 인력 세부데이터'!"&amp;S$1&amp;$W112, TRUE)</f>
        <v>-1</v>
      </c>
      <c r="T111" s="3937" cm="1">
        <f t="array" aca="1" ref="T111" ca="1">INDIRECT("'※ 인력 세부데이터'!"&amp;T$1&amp;$W112, TRUE)</f>
        <v>1.00418410041841</v>
      </c>
      <c r="U111" s="3938" cm="1">
        <f t="array" aca="1" ref="U111" ca="1">INDIRECT("'※ 인력 세부데이터'!"&amp;U$1&amp;$W112, TRUE)</f>
        <v>57</v>
      </c>
      <c r="V111" s="3939" cm="1">
        <f t="array" aca="1" ref="V111" ca="1">INDIRECT("'※ 인력 세부데이터'!"&amp;V$1&amp;$W112, TRUE)</f>
        <v>4.2105263157894735</v>
      </c>
      <c r="W111" s="3769">
        <f>ROW('※ 인력 세부데이터'!J106)</f>
        <v>106</v>
      </c>
      <c r="X111" s="2682"/>
      <c r="Y111" s="2682"/>
    </row>
    <row r="112" spans="1:59" ht="18.899999999999999" customHeight="1" x14ac:dyDescent="0.55000000000000004">
      <c r="A112" s="7458"/>
      <c r="B112" s="3940" t="s">
        <v>226</v>
      </c>
      <c r="C112" s="3941"/>
      <c r="D112" s="3942" cm="1">
        <f t="array" aca="1" ref="D112" ca="1">INDIRECT("'※ 인력 세부데이터'!"&amp;D$1&amp;$W113, TRUE)</f>
        <v>227.41666666666666</v>
      </c>
      <c r="E112" s="3942" cm="1">
        <f t="array" aca="1" ref="E112" ca="1">INDIRECT("'※ 인력 세부데이터'!"&amp;E$1&amp;$W113, TRUE)</f>
        <v>217.5</v>
      </c>
      <c r="F112" s="3943" cm="1">
        <f t="array" aca="1" ref="F112" ca="1">INDIRECT("'※ 인력 세부데이터'!"&amp;F$1&amp;$W113, TRUE)</f>
        <v>234</v>
      </c>
      <c r="G112" s="3944" cm="1">
        <f t="array" aca="1" ref="G112" ca="1">INDIRECT("'※ 인력 세부데이터'!"&amp;G$1&amp;$W113, TRUE)</f>
        <v>228</v>
      </c>
      <c r="H112" s="3944" cm="1">
        <f t="array" aca="1" ref="H112" ca="1">INDIRECT("'※ 인력 세부데이터'!"&amp;H$1&amp;$W113, TRUE)</f>
        <v>235</v>
      </c>
      <c r="I112" s="3944" cm="1">
        <f t="array" aca="1" ref="I112" ca="1">INDIRECT("'※ 인력 세부데이터'!"&amp;I$1&amp;$W113, TRUE)</f>
        <v>238</v>
      </c>
      <c r="J112" s="3944" cm="1">
        <f t="array" aca="1" ref="J112" ca="1">INDIRECT("'※ 인력 세부데이터'!"&amp;J$1&amp;$W113, TRUE)</f>
        <v>228</v>
      </c>
      <c r="K112" s="3944" cm="1">
        <f t="array" aca="1" ref="K112" ca="1">INDIRECT("'※ 인력 세부데이터'!"&amp;K$1&amp;$W113, TRUE)</f>
        <v>228</v>
      </c>
      <c r="L112" s="3944" cm="1">
        <f t="array" aca="1" ref="L112" ca="1">INDIRECT("'※ 인력 세부데이터'!"&amp;L$1&amp;$W113, TRUE)</f>
        <v>229</v>
      </c>
      <c r="M112" s="3944" cm="1">
        <f t="array" aca="1" ref="M112" ca="1">INDIRECT("'※ 인력 세부데이터'!"&amp;M$1&amp;$W113, TRUE)</f>
        <v>225</v>
      </c>
      <c r="N112" s="3944" cm="1">
        <f t="array" aca="1" ref="N112" ca="1">INDIRECT("'※ 인력 세부데이터'!"&amp;N$1&amp;$W113, TRUE)</f>
        <v>226</v>
      </c>
      <c r="O112" s="3944" cm="1">
        <f t="array" aca="1" ref="O112" ca="1">INDIRECT("'※ 인력 세부데이터'!"&amp;O$1&amp;$W113, TRUE)</f>
        <v>224</v>
      </c>
      <c r="P112" s="3944" cm="1">
        <f t="array" aca="1" ref="P112" ca="1">INDIRECT("'※ 인력 세부데이터'!"&amp;P$1&amp;$W113, TRUE)</f>
        <v>222</v>
      </c>
      <c r="Q112" s="3944" cm="1">
        <f t="array" aca="1" ref="Q112" ca="1">INDIRECT("'※ 인력 세부데이터'!"&amp;Q$1&amp;$W113, TRUE)</f>
        <v>222</v>
      </c>
      <c r="R112" s="3945" cm="1">
        <f t="array" aca="1" ref="R112" ca="1">INDIRECT("'※ 인력 세부데이터'!"&amp;R$1&amp;$W113, TRUE)</f>
        <v>216</v>
      </c>
      <c r="S112" s="3946" cm="1">
        <f t="array" aca="1" ref="S112" ca="1">INDIRECT("'※ 인력 세부데이터'!"&amp;S$1&amp;$W113, TRUE)</f>
        <v>-6</v>
      </c>
      <c r="T112" s="3947" cm="1">
        <f t="array" aca="1" ref="T112" ca="1">INDIRECT("'※ 인력 세부데이터'!"&amp;T$1&amp;$W113, TRUE)</f>
        <v>1.0277777777777777</v>
      </c>
      <c r="U112" s="3948" cm="1">
        <f t="array" aca="1" ref="U112" ca="1">INDIRECT("'※ 인력 세부데이터'!"&amp;U$1&amp;$W113, TRUE)</f>
        <v>54</v>
      </c>
      <c r="V112" s="3949" cm="1">
        <f t="array" aca="1" ref="V112" ca="1">INDIRECT("'※ 인력 세부데이터'!"&amp;V$1&amp;$W113, TRUE)</f>
        <v>4.1111111111111107</v>
      </c>
      <c r="W112" s="3769">
        <f>ROW('※ 인력 세부데이터'!J107)</f>
        <v>107</v>
      </c>
      <c r="X112" s="2682"/>
      <c r="Y112" s="2682"/>
    </row>
    <row r="113" spans="1:25" ht="18.899999999999999" customHeight="1" x14ac:dyDescent="0.55000000000000004">
      <c r="A113" s="7458"/>
      <c r="B113" s="3950"/>
      <c r="C113" s="3951" t="s">
        <v>227</v>
      </c>
      <c r="D113" s="3771" cm="1">
        <f t="array" aca="1" ref="D113" ca="1">INDIRECT("'※ 인력 세부데이터'!"&amp;D$1&amp;$W114, TRUE)</f>
        <v>94.666666666666671</v>
      </c>
      <c r="E113" s="3771" cm="1">
        <f t="array" aca="1" ref="E113" ca="1">INDIRECT("'※ 인력 세부데이터'!"&amp;E$1&amp;$W114, TRUE)</f>
        <v>100.66666666666667</v>
      </c>
      <c r="F113" s="3773" cm="1">
        <f t="array" aca="1" ref="F113" ca="1">INDIRECT("'※ 인력 세부데이터'!"&amp;F$1&amp;$W114, TRUE)</f>
        <v>110</v>
      </c>
      <c r="G113" s="3774" cm="1">
        <f t="array" aca="1" ref="G113" ca="1">INDIRECT("'※ 인력 세부데이터'!"&amp;G$1&amp;$W114, TRUE)</f>
        <v>110</v>
      </c>
      <c r="H113" s="3774" cm="1">
        <f t="array" aca="1" ref="H113" ca="1">INDIRECT("'※ 인력 세부데이터'!"&amp;H$1&amp;$W114, TRUE)</f>
        <v>106</v>
      </c>
      <c r="I113" s="3774" cm="1">
        <f t="array" aca="1" ref="I113" ca="1">INDIRECT("'※ 인력 세부데이터'!"&amp;I$1&amp;$W114, TRUE)</f>
        <v>103</v>
      </c>
      <c r="J113" s="3774" cm="1">
        <f t="array" aca="1" ref="J113" ca="1">INDIRECT("'※ 인력 세부데이터'!"&amp;J$1&amp;$W114, TRUE)</f>
        <v>103</v>
      </c>
      <c r="K113" s="3774" cm="1">
        <f t="array" aca="1" ref="K113" ca="1">INDIRECT("'※ 인력 세부데이터'!"&amp;K$1&amp;$W114, TRUE)</f>
        <v>102</v>
      </c>
      <c r="L113" s="3774" cm="1">
        <f t="array" aca="1" ref="L113" ca="1">INDIRECT("'※ 인력 세부데이터'!"&amp;L$1&amp;$W114, TRUE)</f>
        <v>104</v>
      </c>
      <c r="M113" s="3774" cm="1">
        <f t="array" aca="1" ref="M113" ca="1">INDIRECT("'※ 인력 세부데이터'!"&amp;M$1&amp;$W114, TRUE)</f>
        <v>100</v>
      </c>
      <c r="N113" s="3774" cm="1">
        <f t="array" aca="1" ref="N113" ca="1">INDIRECT("'※ 인력 세부데이터'!"&amp;N$1&amp;$W114, TRUE)</f>
        <v>99</v>
      </c>
      <c r="O113" s="3774" cm="1">
        <f t="array" aca="1" ref="O113" ca="1">INDIRECT("'※ 인력 세부데이터'!"&amp;O$1&amp;$W114, TRUE)</f>
        <v>98</v>
      </c>
      <c r="P113" s="3774" cm="1">
        <f t="array" aca="1" ref="P113" ca="1">INDIRECT("'※ 인력 세부데이터'!"&amp;P$1&amp;$W114, TRUE)</f>
        <v>99</v>
      </c>
      <c r="Q113" s="3774" cm="1">
        <f t="array" aca="1" ref="Q113" ca="1">INDIRECT("'※ 인력 세부데이터'!"&amp;Q$1&amp;$W114, TRUE)</f>
        <v>99</v>
      </c>
      <c r="R113" s="3952" cm="1">
        <f t="array" aca="1" ref="R113" ca="1">INDIRECT("'※ 인력 세부데이터'!"&amp;R$1&amp;$W114, TRUE)</f>
        <v>96</v>
      </c>
      <c r="S113" s="3953" cm="1">
        <f t="array" aca="1" ref="S113" ca="1">INDIRECT("'※ 인력 세부데이터'!"&amp;S$1&amp;$W114, TRUE)</f>
        <v>-3</v>
      </c>
      <c r="T113" s="3954" cm="1">
        <f t="array" aca="1" ref="T113" ca="1">INDIRECT("'※ 인력 세부데이터'!"&amp;T$1&amp;$W114, TRUE)</f>
        <v>1.03125</v>
      </c>
      <c r="U113" s="3955" cm="1">
        <f t="array" aca="1" ref="U113" ca="1">INDIRECT("'※ 인력 세부데이터'!"&amp;U$1&amp;$W114, TRUE)</f>
        <v>23</v>
      </c>
      <c r="V113" s="3956" cm="1">
        <f t="array" aca="1" ref="V113" ca="1">INDIRECT("'※ 인력 세부데이터'!"&amp;V$1&amp;$W114, TRUE)</f>
        <v>4.3043478260869561</v>
      </c>
      <c r="W113" s="3769">
        <f>ROW('※ 인력 세부데이터'!J108)</f>
        <v>108</v>
      </c>
      <c r="X113" s="2682"/>
      <c r="Y113" s="2682"/>
    </row>
    <row r="114" spans="1:25" ht="18.899999999999999" customHeight="1" x14ac:dyDescent="0.55000000000000004">
      <c r="A114" s="7458"/>
      <c r="B114" s="3950"/>
      <c r="C114" s="3951" t="s">
        <v>228</v>
      </c>
      <c r="D114" s="3771" cm="1">
        <f t="array" aca="1" ref="D114" ca="1">INDIRECT("'※ 인력 세부데이터'!"&amp;D$1&amp;$W115, TRUE)</f>
        <v>93.333333333333329</v>
      </c>
      <c r="E114" s="3771" cm="1">
        <f t="array" aca="1" ref="E114" ca="1">INDIRECT("'※ 인력 세부데이터'!"&amp;E$1&amp;$W115, TRUE)</f>
        <v>103.25</v>
      </c>
      <c r="F114" s="3773" cm="1">
        <f t="array" aca="1" ref="F114" ca="1">INDIRECT("'※ 인력 세부데이터'!"&amp;F$1&amp;$W115, TRUE)</f>
        <v>109</v>
      </c>
      <c r="G114" s="3774" cm="1">
        <f t="array" aca="1" ref="G114" ca="1">INDIRECT("'※ 인력 세부데이터'!"&amp;G$1&amp;$W115, TRUE)</f>
        <v>107</v>
      </c>
      <c r="H114" s="3774" cm="1">
        <f t="array" aca="1" ref="H114" ca="1">INDIRECT("'※ 인력 세부데이터'!"&amp;H$1&amp;$W115, TRUE)</f>
        <v>105</v>
      </c>
      <c r="I114" s="3774" cm="1">
        <f t="array" aca="1" ref="I114" ca="1">INDIRECT("'※ 인력 세부데이터'!"&amp;I$1&amp;$W115, TRUE)</f>
        <v>105</v>
      </c>
      <c r="J114" s="3774" cm="1">
        <f t="array" aca="1" ref="J114" ca="1">INDIRECT("'※ 인력 세부데이터'!"&amp;J$1&amp;$W115, TRUE)</f>
        <v>105</v>
      </c>
      <c r="K114" s="3774" cm="1">
        <f t="array" aca="1" ref="K114" ca="1">INDIRECT("'※ 인력 세부데이터'!"&amp;K$1&amp;$W115, TRUE)</f>
        <v>106</v>
      </c>
      <c r="L114" s="3774" cm="1">
        <f t="array" aca="1" ref="L114" ca="1">INDIRECT("'※ 인력 세부데이터'!"&amp;L$1&amp;$W115, TRUE)</f>
        <v>104</v>
      </c>
      <c r="M114" s="3774" cm="1">
        <f t="array" aca="1" ref="M114" ca="1">INDIRECT("'※ 인력 세부데이터'!"&amp;M$1&amp;$W115, TRUE)</f>
        <v>102</v>
      </c>
      <c r="N114" s="3774" cm="1">
        <f t="array" aca="1" ref="N114" ca="1">INDIRECT("'※ 인력 세부데이터'!"&amp;N$1&amp;$W115, TRUE)</f>
        <v>103</v>
      </c>
      <c r="O114" s="3774" cm="1">
        <f t="array" aca="1" ref="O114" ca="1">INDIRECT("'※ 인력 세부데이터'!"&amp;O$1&amp;$W115, TRUE)</f>
        <v>106</v>
      </c>
      <c r="P114" s="3774" cm="1">
        <f t="array" aca="1" ref="P114" ca="1">INDIRECT("'※ 인력 세부데이터'!"&amp;P$1&amp;$W115, TRUE)</f>
        <v>105</v>
      </c>
      <c r="Q114" s="3774" cm="1">
        <f t="array" aca="1" ref="Q114" ca="1">INDIRECT("'※ 인력 세부데이터'!"&amp;Q$1&amp;$W115, TRUE)</f>
        <v>109</v>
      </c>
      <c r="R114" s="3952" cm="1">
        <f t="array" aca="1" ref="R114" ca="1">INDIRECT("'※ 인력 세부데이터'!"&amp;R$1&amp;$W115, TRUE)</f>
        <v>104</v>
      </c>
      <c r="S114" s="3953" cm="1">
        <f t="array" aca="1" ref="S114" ca="1">INDIRECT("'※ 인력 세부데이터'!"&amp;S$1&amp;$W115, TRUE)</f>
        <v>-5</v>
      </c>
      <c r="T114" s="3954" cm="1">
        <f t="array" aca="1" ref="T114" ca="1">INDIRECT("'※ 인력 세부데이터'!"&amp;T$1&amp;$W115, TRUE)</f>
        <v>1.0480769230769231</v>
      </c>
      <c r="U114" s="3955" cm="1">
        <f t="array" aca="1" ref="U114" ca="1">INDIRECT("'※ 인력 세부데이터'!"&amp;U$1&amp;$W115, TRUE)</f>
        <v>25</v>
      </c>
      <c r="V114" s="3956" cm="1">
        <f t="array" aca="1" ref="V114" ca="1">INDIRECT("'※ 인력 세부데이터'!"&amp;V$1&amp;$W115, TRUE)</f>
        <v>4.3600000000000003</v>
      </c>
      <c r="W114" s="3769">
        <f>ROW('※ 인력 세부데이터'!J109)</f>
        <v>109</v>
      </c>
      <c r="X114" s="2682"/>
      <c r="Y114" s="2682"/>
    </row>
    <row r="115" spans="1:25" ht="18.899999999999999" customHeight="1" x14ac:dyDescent="0.55000000000000004">
      <c r="A115" s="7458"/>
      <c r="B115" s="3950"/>
      <c r="C115" s="3951" t="s">
        <v>229</v>
      </c>
      <c r="D115" s="3771" cm="1">
        <f t="array" aca="1" ref="D115" ca="1">INDIRECT("'※ 인력 세부데이터'!"&amp;D$1&amp;$W116, TRUE)</f>
        <v>76.5</v>
      </c>
      <c r="E115" s="3771" cm="1">
        <f t="array" aca="1" ref="E115" ca="1">INDIRECT("'※ 인력 세부데이터'!"&amp;E$1&amp;$W116, TRUE)</f>
        <v>77.916666666666671</v>
      </c>
      <c r="F115" s="3773" cm="1">
        <f t="array" aca="1" ref="F115" ca="1">INDIRECT("'※ 인력 세부데이터'!"&amp;F$1&amp;$W116, TRUE)</f>
        <v>77</v>
      </c>
      <c r="G115" s="3774" cm="1">
        <f t="array" aca="1" ref="G115" ca="1">INDIRECT("'※ 인력 세부데이터'!"&amp;G$1&amp;$W116, TRUE)</f>
        <v>75</v>
      </c>
      <c r="H115" s="3774" cm="1">
        <f t="array" aca="1" ref="H115" ca="1">INDIRECT("'※ 인력 세부데이터'!"&amp;H$1&amp;$W116, TRUE)</f>
        <v>77</v>
      </c>
      <c r="I115" s="3774" cm="1">
        <f t="array" aca="1" ref="I115" ca="1">INDIRECT("'※ 인력 세부데이터'!"&amp;I$1&amp;$W116, TRUE)</f>
        <v>77</v>
      </c>
      <c r="J115" s="3774" cm="1">
        <f t="array" aca="1" ref="J115" ca="1">INDIRECT("'※ 인력 세부데이터'!"&amp;J$1&amp;$W116, TRUE)</f>
        <v>76</v>
      </c>
      <c r="K115" s="3774" cm="1">
        <f t="array" aca="1" ref="K115" ca="1">INDIRECT("'※ 인력 세부데이터'!"&amp;K$1&amp;$W116, TRUE)</f>
        <v>75</v>
      </c>
      <c r="L115" s="3774" cm="1">
        <f t="array" aca="1" ref="L115" ca="1">INDIRECT("'※ 인력 세부데이터'!"&amp;L$1&amp;$W116, TRUE)</f>
        <v>72</v>
      </c>
      <c r="M115" s="3774" cm="1">
        <f t="array" aca="1" ref="M115" ca="1">INDIRECT("'※ 인력 세부데이터'!"&amp;M$1&amp;$W116, TRUE)</f>
        <v>75</v>
      </c>
      <c r="N115" s="3774" cm="1">
        <f t="array" aca="1" ref="N115" ca="1">INDIRECT("'※ 인력 세부데이터'!"&amp;N$1&amp;$W116, TRUE)</f>
        <v>75</v>
      </c>
      <c r="O115" s="3774" cm="1">
        <f t="array" aca="1" ref="O115" ca="1">INDIRECT("'※ 인력 세부데이터'!"&amp;O$1&amp;$W116, TRUE)</f>
        <v>75</v>
      </c>
      <c r="P115" s="3774" cm="1">
        <f t="array" aca="1" ref="P115" ca="1">INDIRECT("'※ 인력 세부데이터'!"&amp;P$1&amp;$W116, TRUE)</f>
        <v>75</v>
      </c>
      <c r="Q115" s="3774" cm="1">
        <f t="array" aca="1" ref="Q115" ca="1">INDIRECT("'※ 인력 세부데이터'!"&amp;Q$1&amp;$W116, TRUE)</f>
        <v>77</v>
      </c>
      <c r="R115" s="3952" cm="1">
        <f t="array" aca="1" ref="R115" ca="1">INDIRECT("'※ 인력 세부데이터'!"&amp;R$1&amp;$W116, TRUE)</f>
        <v>71</v>
      </c>
      <c r="S115" s="3953" cm="1">
        <f t="array" aca="1" ref="S115" ca="1">INDIRECT("'※ 인력 세부데이터'!"&amp;S$1&amp;$W116, TRUE)</f>
        <v>-6</v>
      </c>
      <c r="T115" s="3954" cm="1">
        <f t="array" aca="1" ref="T115" ca="1">INDIRECT("'※ 인력 세부데이터'!"&amp;T$1&amp;$W116, TRUE)</f>
        <v>1.0845070422535212</v>
      </c>
      <c r="U115" s="3955" cm="1">
        <f t="array" aca="1" ref="U115" ca="1">INDIRECT("'※ 인력 세부데이터'!"&amp;U$1&amp;$W116, TRUE)</f>
        <v>16</v>
      </c>
      <c r="V115" s="3956" cm="1">
        <f t="array" aca="1" ref="V115" ca="1">INDIRECT("'※ 인력 세부데이터'!"&amp;V$1&amp;$W116, TRUE)</f>
        <v>4.8125</v>
      </c>
      <c r="W115" s="3769">
        <f>ROW('※ 인력 세부데이터'!J110)</f>
        <v>110</v>
      </c>
      <c r="X115" s="2682"/>
      <c r="Y115" s="2682"/>
    </row>
    <row r="116" spans="1:25" ht="18.899999999999999" customHeight="1" x14ac:dyDescent="0.55000000000000004">
      <c r="A116" s="7458"/>
      <c r="B116" s="3950"/>
      <c r="C116" s="3951" t="s">
        <v>230</v>
      </c>
      <c r="D116" s="3771" cm="1">
        <f t="array" aca="1" ref="D116" ca="1">INDIRECT("'※ 인력 세부데이터'!"&amp;D$1&amp;$W117, TRUE)</f>
        <v>115.33333333333333</v>
      </c>
      <c r="E116" s="3771" cm="1">
        <f t="array" aca="1" ref="E116" ca="1">INDIRECT("'※ 인력 세부데이터'!"&amp;E$1&amp;$W117, TRUE)</f>
        <v>105.83333333333333</v>
      </c>
      <c r="F116" s="3773" cm="1">
        <f t="array" aca="1" ref="F116" ca="1">INDIRECT("'※ 인력 세부데이터'!"&amp;F$1&amp;$W117, TRUE)</f>
        <v>107</v>
      </c>
      <c r="G116" s="3774" cm="1">
        <f t="array" aca="1" ref="G116" ca="1">INDIRECT("'※ 인력 세부데이터'!"&amp;G$1&amp;$W117, TRUE)</f>
        <v>106</v>
      </c>
      <c r="H116" s="3774" cm="1">
        <f t="array" aca="1" ref="H116" ca="1">INDIRECT("'※ 인력 세부데이터'!"&amp;H$1&amp;$W117, TRUE)</f>
        <v>109</v>
      </c>
      <c r="I116" s="3774" cm="1">
        <f t="array" aca="1" ref="I116" ca="1">INDIRECT("'※ 인력 세부데이터'!"&amp;I$1&amp;$W117, TRUE)</f>
        <v>104</v>
      </c>
      <c r="J116" s="3774" cm="1">
        <f t="array" aca="1" ref="J116" ca="1">INDIRECT("'※ 인력 세부데이터'!"&amp;J$1&amp;$W117, TRUE)</f>
        <v>103</v>
      </c>
      <c r="K116" s="3774" cm="1">
        <f t="array" aca="1" ref="K116" ca="1">INDIRECT("'※ 인력 세부데이터'!"&amp;K$1&amp;$W117, TRUE)</f>
        <v>103</v>
      </c>
      <c r="L116" s="3774" cm="1">
        <f t="array" aca="1" ref="L116" ca="1">INDIRECT("'※ 인력 세부데이터'!"&amp;L$1&amp;$W117, TRUE)</f>
        <v>100</v>
      </c>
      <c r="M116" s="3774" cm="1">
        <f t="array" aca="1" ref="M116" ca="1">INDIRECT("'※ 인력 세부데이터'!"&amp;M$1&amp;$W117, TRUE)</f>
        <v>103</v>
      </c>
      <c r="N116" s="3774" cm="1">
        <f t="array" aca="1" ref="N116" ca="1">INDIRECT("'※ 인력 세부데이터'!"&amp;N$1&amp;$W117, TRUE)</f>
        <v>103</v>
      </c>
      <c r="O116" s="3774" cm="1">
        <f t="array" aca="1" ref="O116" ca="1">INDIRECT("'※ 인력 세부데이터'!"&amp;O$1&amp;$W117, TRUE)</f>
        <v>104</v>
      </c>
      <c r="P116" s="3774" cm="1">
        <f t="array" aca="1" ref="P116" ca="1">INDIRECT("'※ 인력 세부데이터'!"&amp;P$1&amp;$W117, TRUE)</f>
        <v>106</v>
      </c>
      <c r="Q116" s="3774" cm="1">
        <f t="array" aca="1" ref="Q116" ca="1">INDIRECT("'※ 인력 세부데이터'!"&amp;Q$1&amp;$W117, TRUE)</f>
        <v>107</v>
      </c>
      <c r="R116" s="3952" cm="1">
        <f t="array" aca="1" ref="R116" ca="1">INDIRECT("'※ 인력 세부데이터'!"&amp;R$1&amp;$W117, TRUE)</f>
        <v>102</v>
      </c>
      <c r="S116" s="3953" cm="1">
        <f t="array" aca="1" ref="S116" ca="1">INDIRECT("'※ 인력 세부데이터'!"&amp;S$1&amp;$W117, TRUE)</f>
        <v>-5</v>
      </c>
      <c r="T116" s="3954" cm="1">
        <f t="array" aca="1" ref="T116" ca="1">INDIRECT("'※ 인력 세부데이터'!"&amp;T$1&amp;$W117, TRUE)</f>
        <v>1.0490196078431373</v>
      </c>
      <c r="U116" s="3955" cm="1">
        <f t="array" aca="1" ref="U116" ca="1">INDIRECT("'※ 인력 세부데이터'!"&amp;U$1&amp;$W117, TRUE)</f>
        <v>25</v>
      </c>
      <c r="V116" s="3956" cm="1">
        <f t="array" aca="1" ref="V116" ca="1">INDIRECT("'※ 인력 세부데이터'!"&amp;V$1&amp;$W117, TRUE)</f>
        <v>4.28</v>
      </c>
      <c r="W116" s="3769">
        <f>ROW('※ 인력 세부데이터'!J111)</f>
        <v>111</v>
      </c>
      <c r="X116" s="2682"/>
      <c r="Y116" s="2682"/>
    </row>
    <row r="117" spans="1:25" ht="18.899999999999999" customHeight="1" x14ac:dyDescent="0.55000000000000004">
      <c r="A117" s="7458"/>
      <c r="B117" s="3950"/>
      <c r="C117" s="3951" t="s">
        <v>231</v>
      </c>
      <c r="D117" s="3771" cm="1">
        <f t="array" aca="1" ref="D117" ca="1">INDIRECT("'※ 인력 세부데이터'!"&amp;D$1&amp;$W118, TRUE)</f>
        <v>143.75</v>
      </c>
      <c r="E117" s="3771" cm="1">
        <f t="array" aca="1" ref="E117" ca="1">INDIRECT("'※ 인력 세부데이터'!"&amp;E$1&amp;$W118, TRUE)</f>
        <v>144.75</v>
      </c>
      <c r="F117" s="3773" cm="1">
        <f t="array" aca="1" ref="F117" ca="1">INDIRECT("'※ 인력 세부데이터'!"&amp;F$1&amp;$W118, TRUE)</f>
        <v>148</v>
      </c>
      <c r="G117" s="3774" cm="1">
        <f t="array" aca="1" ref="G117" ca="1">INDIRECT("'※ 인력 세부데이터'!"&amp;G$1&amp;$W118, TRUE)</f>
        <v>146</v>
      </c>
      <c r="H117" s="3774" cm="1">
        <f t="array" aca="1" ref="H117" ca="1">INDIRECT("'※ 인력 세부데이터'!"&amp;H$1&amp;$W118, TRUE)</f>
        <v>142</v>
      </c>
      <c r="I117" s="3774" cm="1">
        <f t="array" aca="1" ref="I117" ca="1">INDIRECT("'※ 인력 세부데이터'!"&amp;I$1&amp;$W118, TRUE)</f>
        <v>143</v>
      </c>
      <c r="J117" s="3774" cm="1">
        <f t="array" aca="1" ref="J117" ca="1">INDIRECT("'※ 인력 세부데이터'!"&amp;J$1&amp;$W118, TRUE)</f>
        <v>141</v>
      </c>
      <c r="K117" s="3774" cm="1">
        <f t="array" aca="1" ref="K117" ca="1">INDIRECT("'※ 인력 세부데이터'!"&amp;K$1&amp;$W118, TRUE)</f>
        <v>140</v>
      </c>
      <c r="L117" s="3774" cm="1">
        <f t="array" aca="1" ref="L117" ca="1">INDIRECT("'※ 인력 세부데이터'!"&amp;L$1&amp;$W118, TRUE)</f>
        <v>143</v>
      </c>
      <c r="M117" s="3774" cm="1">
        <f t="array" aca="1" ref="M117" ca="1">INDIRECT("'※ 인력 세부데이터'!"&amp;M$1&amp;$W118, TRUE)</f>
        <v>141</v>
      </c>
      <c r="N117" s="3774" cm="1">
        <f t="array" aca="1" ref="N117" ca="1">INDIRECT("'※ 인력 세부데이터'!"&amp;N$1&amp;$W118, TRUE)</f>
        <v>141</v>
      </c>
      <c r="O117" s="3774" cm="1">
        <f t="array" aca="1" ref="O117" ca="1">INDIRECT("'※ 인력 세부데이터'!"&amp;O$1&amp;$W118, TRUE)</f>
        <v>137</v>
      </c>
      <c r="P117" s="3774" cm="1">
        <f t="array" aca="1" ref="P117" ca="1">INDIRECT("'※ 인력 세부데이터'!"&amp;P$1&amp;$W118, TRUE)</f>
        <v>137</v>
      </c>
      <c r="Q117" s="3774" cm="1">
        <f t="array" aca="1" ref="Q117" ca="1">INDIRECT("'※ 인력 세부데이터'!"&amp;Q$1&amp;$W118, TRUE)</f>
        <v>140</v>
      </c>
      <c r="R117" s="3952" cm="1">
        <f t="array" aca="1" ref="R117" ca="1">INDIRECT("'※ 인력 세부데이터'!"&amp;R$1&amp;$W118, TRUE)</f>
        <v>135</v>
      </c>
      <c r="S117" s="3953" cm="1">
        <f t="array" aca="1" ref="S117" ca="1">INDIRECT("'※ 인력 세부데이터'!"&amp;S$1&amp;$W118, TRUE)</f>
        <v>-5</v>
      </c>
      <c r="T117" s="3954" cm="1">
        <f t="array" aca="1" ref="T117" ca="1">INDIRECT("'※ 인력 세부데이터'!"&amp;T$1&amp;$W118, TRUE)</f>
        <v>1.037037037037037</v>
      </c>
      <c r="U117" s="3955" cm="1">
        <f t="array" aca="1" ref="U117" ca="1">INDIRECT("'※ 인력 세부데이터'!"&amp;U$1&amp;$W118, TRUE)</f>
        <v>30</v>
      </c>
      <c r="V117" s="3956" cm="1">
        <f t="array" aca="1" ref="V117" ca="1">INDIRECT("'※ 인력 세부데이터'!"&amp;V$1&amp;$W118, TRUE)</f>
        <v>4.666666666666667</v>
      </c>
      <c r="W117" s="3769">
        <f>ROW('※ 인력 세부데이터'!J112)</f>
        <v>112</v>
      </c>
      <c r="X117" s="2682"/>
      <c r="Y117" s="2682"/>
    </row>
    <row r="118" spans="1:25" ht="18.899999999999999" customHeight="1" x14ac:dyDescent="0.55000000000000004">
      <c r="A118" s="7458"/>
      <c r="B118" s="3950"/>
      <c r="C118" s="3951" t="s">
        <v>232</v>
      </c>
      <c r="D118" s="3717" cm="1">
        <f t="array" aca="1" ref="D118" ca="1">INDIRECT("'※ 인력 세부데이터'!"&amp;D$1&amp;$W119, TRUE)</f>
        <v>99.583333333333329</v>
      </c>
      <c r="E118" s="3717" cm="1">
        <f t="array" aca="1" ref="E118" ca="1">INDIRECT("'※ 인력 세부데이터'!"&amp;E$1&amp;$W119, TRUE)</f>
        <v>90.5</v>
      </c>
      <c r="F118" s="3699" cm="1">
        <f t="array" aca="1" ref="F118" ca="1">INDIRECT("'※ 인력 세부데이터'!"&amp;F$1&amp;$W119, TRUE)</f>
        <v>97</v>
      </c>
      <c r="G118" s="3700" cm="1">
        <f t="array" aca="1" ref="G118" ca="1">INDIRECT("'※ 인력 세부데이터'!"&amp;G$1&amp;$W119, TRUE)</f>
        <v>96</v>
      </c>
      <c r="H118" s="3700" cm="1">
        <f t="array" aca="1" ref="H118" ca="1">INDIRECT("'※ 인력 세부데이터'!"&amp;H$1&amp;$W119, TRUE)</f>
        <v>99</v>
      </c>
      <c r="I118" s="3700" cm="1">
        <f t="array" aca="1" ref="I118" ca="1">INDIRECT("'※ 인력 세부데이터'!"&amp;I$1&amp;$W119, TRUE)</f>
        <v>98</v>
      </c>
      <c r="J118" s="3700" cm="1">
        <f t="array" aca="1" ref="J118" ca="1">INDIRECT("'※ 인력 세부데이터'!"&amp;J$1&amp;$W119, TRUE)</f>
        <v>100</v>
      </c>
      <c r="K118" s="3700" cm="1">
        <f t="array" aca="1" ref="K118" ca="1">INDIRECT("'※ 인력 세부데이터'!"&amp;K$1&amp;$W119, TRUE)</f>
        <v>97</v>
      </c>
      <c r="L118" s="3700" cm="1">
        <f t="array" aca="1" ref="L118" ca="1">INDIRECT("'※ 인력 세부데이터'!"&amp;L$1&amp;$W119, TRUE)</f>
        <v>93</v>
      </c>
      <c r="M118" s="3700" cm="1">
        <f t="array" aca="1" ref="M118" ca="1">INDIRECT("'※ 인력 세부데이터'!"&amp;M$1&amp;$W119, TRUE)</f>
        <v>86</v>
      </c>
      <c r="N118" s="3700" cm="1">
        <f t="array" aca="1" ref="N118" ca="1">INDIRECT("'※ 인력 세부데이터'!"&amp;N$1&amp;$W119, TRUE)</f>
        <v>88</v>
      </c>
      <c r="O118" s="3700" cm="1">
        <f t="array" aca="1" ref="O118" ca="1">INDIRECT("'※ 인력 세부데이터'!"&amp;O$1&amp;$W119, TRUE)</f>
        <v>87</v>
      </c>
      <c r="P118" s="3700" cm="1">
        <f t="array" aca="1" ref="P118" ca="1">INDIRECT("'※ 인력 세부데이터'!"&amp;P$1&amp;$W119, TRUE)</f>
        <v>85</v>
      </c>
      <c r="Q118" s="3700" cm="1">
        <f t="array" aca="1" ref="Q118" ca="1">INDIRECT("'※ 인력 세부데이터'!"&amp;Q$1&amp;$W119, TRUE)</f>
        <v>91</v>
      </c>
      <c r="R118" s="3957" cm="1">
        <f t="array" aca="1" ref="R118" ca="1">INDIRECT("'※ 인력 세부데이터'!"&amp;R$1&amp;$W119, TRUE)</f>
        <v>86</v>
      </c>
      <c r="S118" s="3958" cm="1">
        <f t="array" aca="1" ref="S118" ca="1">INDIRECT("'※ 인력 세부데이터'!"&amp;S$1&amp;$W119, TRUE)</f>
        <v>-5</v>
      </c>
      <c r="T118" s="3959" cm="1">
        <f t="array" aca="1" ref="T118" ca="1">INDIRECT("'※ 인력 세부데이터'!"&amp;T$1&amp;$W119, TRUE)</f>
        <v>1.058139534883721</v>
      </c>
      <c r="U118" s="3960" cm="1">
        <f t="array" aca="1" ref="U118" ca="1">INDIRECT("'※ 인력 세부데이터'!"&amp;U$1&amp;$W119, TRUE)</f>
        <v>20</v>
      </c>
      <c r="V118" s="3961" cm="1">
        <f t="array" aca="1" ref="V118" ca="1">INDIRECT("'※ 인력 세부데이터'!"&amp;V$1&amp;$W119, TRUE)</f>
        <v>4.55</v>
      </c>
      <c r="W118" s="3693">
        <f>ROW('※ 인력 세부데이터'!J113)</f>
        <v>113</v>
      </c>
    </row>
    <row r="119" spans="1:25" ht="18.899999999999999" customHeight="1" x14ac:dyDescent="0.55000000000000004">
      <c r="A119" s="7458"/>
      <c r="B119" s="3950"/>
      <c r="C119" s="3951" t="s">
        <v>233</v>
      </c>
      <c r="D119" s="3717" cm="1">
        <f t="array" aca="1" ref="D119" ca="1">INDIRECT("'※ 인력 세부데이터'!"&amp;D$1&amp;$W120, TRUE)</f>
        <v>138</v>
      </c>
      <c r="E119" s="3717" cm="1">
        <f t="array" aca="1" ref="E119" ca="1">INDIRECT("'※ 인력 세부데이터'!"&amp;E$1&amp;$W120, TRUE)</f>
        <v>121.08333333333333</v>
      </c>
      <c r="F119" s="3699" cm="1">
        <f t="array" aca="1" ref="F119" ca="1">INDIRECT("'※ 인력 세부데이터'!"&amp;F$1&amp;$W120, TRUE)</f>
        <v>134</v>
      </c>
      <c r="G119" s="3700" cm="1">
        <f t="array" aca="1" ref="G119" ca="1">INDIRECT("'※ 인력 세부데이터'!"&amp;G$1&amp;$W120, TRUE)</f>
        <v>125</v>
      </c>
      <c r="H119" s="3700" cm="1">
        <f t="array" aca="1" ref="H119" ca="1">INDIRECT("'※ 인력 세부데이터'!"&amp;H$1&amp;$W120, TRUE)</f>
        <v>125</v>
      </c>
      <c r="I119" s="3700" cm="1">
        <f t="array" aca="1" ref="I119" ca="1">INDIRECT("'※ 인력 세부데이터'!"&amp;I$1&amp;$W120, TRUE)</f>
        <v>123</v>
      </c>
      <c r="J119" s="3700" cm="1">
        <f t="array" aca="1" ref="J119" ca="1">INDIRECT("'※ 인력 세부데이터'!"&amp;J$1&amp;$W120, TRUE)</f>
        <v>120</v>
      </c>
      <c r="K119" s="3700" cm="1">
        <f t="array" aca="1" ref="K119" ca="1">INDIRECT("'※ 인력 세부데이터'!"&amp;K$1&amp;$W120, TRUE)</f>
        <v>118</v>
      </c>
      <c r="L119" s="3700" cm="1">
        <f t="array" aca="1" ref="L119" ca="1">INDIRECT("'※ 인력 세부데이터'!"&amp;L$1&amp;$W120, TRUE)</f>
        <v>114</v>
      </c>
      <c r="M119" s="3700" cm="1">
        <f t="array" aca="1" ref="M119" ca="1">INDIRECT("'※ 인력 세부데이터'!"&amp;M$1&amp;$W120, TRUE)</f>
        <v>114</v>
      </c>
      <c r="N119" s="3700" cm="1">
        <f t="array" aca="1" ref="N119" ca="1">INDIRECT("'※ 인력 세부데이터'!"&amp;N$1&amp;$W120, TRUE)</f>
        <v>117</v>
      </c>
      <c r="O119" s="3700" cm="1">
        <f t="array" aca="1" ref="O119" ca="1">INDIRECT("'※ 인력 세부데이터'!"&amp;O$1&amp;$W120, TRUE)</f>
        <v>110</v>
      </c>
      <c r="P119" s="3700" cm="1">
        <f t="array" aca="1" ref="P119" ca="1">INDIRECT("'※ 인력 세부데이터'!"&amp;P$1&amp;$W120, TRUE)</f>
        <v>112</v>
      </c>
      <c r="Q119" s="3700" cm="1">
        <f t="array" aca="1" ref="Q119" ca="1">INDIRECT("'※ 인력 세부데이터'!"&amp;Q$1&amp;$W120, TRUE)</f>
        <v>119</v>
      </c>
      <c r="R119" s="3957" cm="1">
        <f t="array" aca="1" ref="R119" ca="1">INDIRECT("'※ 인력 세부데이터'!"&amp;R$1&amp;$W120, TRUE)</f>
        <v>119</v>
      </c>
      <c r="S119" s="3958" cm="1">
        <f t="array" aca="1" ref="S119" ca="1">INDIRECT("'※ 인력 세부데이터'!"&amp;S$1&amp;$W120, TRUE)</f>
        <v>0</v>
      </c>
      <c r="T119" s="3959" cm="1">
        <f t="array" aca="1" ref="T119" ca="1">INDIRECT("'※ 인력 세부데이터'!"&amp;T$1&amp;$W120, TRUE)</f>
        <v>1</v>
      </c>
      <c r="U119" s="3960" cm="1">
        <f t="array" aca="1" ref="U119" ca="1">INDIRECT("'※ 인력 세부데이터'!"&amp;U$1&amp;$W120, TRUE)</f>
        <v>28</v>
      </c>
      <c r="V119" s="3961" cm="1">
        <f t="array" aca="1" ref="V119" ca="1">INDIRECT("'※ 인력 세부데이터'!"&amp;V$1&amp;$W120, TRUE)</f>
        <v>4.25</v>
      </c>
      <c r="W119" s="3693">
        <f>ROW('※ 인력 세부데이터'!J114)</f>
        <v>114</v>
      </c>
    </row>
    <row r="120" spans="1:25" ht="18.899999999999999" customHeight="1" x14ac:dyDescent="0.55000000000000004">
      <c r="A120" s="7458"/>
      <c r="B120" s="3950"/>
      <c r="C120" s="3951" t="s">
        <v>234</v>
      </c>
      <c r="D120" s="3717" cm="1">
        <f t="array" aca="1" ref="D120" ca="1">INDIRECT("'※ 인력 세부데이터'!"&amp;D$1&amp;$W121, TRUE)</f>
        <v>137.08333333333334</v>
      </c>
      <c r="E120" s="3717" cm="1">
        <f t="array" aca="1" ref="E120" ca="1">INDIRECT("'※ 인력 세부데이터'!"&amp;E$1&amp;$W121, TRUE)</f>
        <v>122</v>
      </c>
      <c r="F120" s="3699" cm="1">
        <f t="array" aca="1" ref="F120" ca="1">INDIRECT("'※ 인력 세부데이터'!"&amp;F$1&amp;$W121, TRUE)</f>
        <v>123</v>
      </c>
      <c r="G120" s="3700" cm="1">
        <f t="array" aca="1" ref="G120" ca="1">INDIRECT("'※ 인력 세부데이터'!"&amp;G$1&amp;$W121, TRUE)</f>
        <v>124</v>
      </c>
      <c r="H120" s="3700" cm="1">
        <f t="array" aca="1" ref="H120" ca="1">INDIRECT("'※ 인력 세부데이터'!"&amp;H$1&amp;$W121, TRUE)</f>
        <v>121</v>
      </c>
      <c r="I120" s="3700" cm="1">
        <f t="array" aca="1" ref="I120" ca="1">INDIRECT("'※ 인력 세부데이터'!"&amp;I$1&amp;$W121, TRUE)</f>
        <v>121</v>
      </c>
      <c r="J120" s="3700" cm="1">
        <f t="array" aca="1" ref="J120" ca="1">INDIRECT("'※ 인력 세부데이터'!"&amp;J$1&amp;$W121, TRUE)</f>
        <v>122</v>
      </c>
      <c r="K120" s="3700" cm="1">
        <f t="array" aca="1" ref="K120" ca="1">INDIRECT("'※ 인력 세부데이터'!"&amp;K$1&amp;$W121, TRUE)</f>
        <v>125</v>
      </c>
      <c r="L120" s="3700" cm="1">
        <f t="array" aca="1" ref="L120" ca="1">INDIRECT("'※ 인력 세부데이터'!"&amp;L$1&amp;$W121, TRUE)</f>
        <v>125</v>
      </c>
      <c r="M120" s="3700" cm="1">
        <f t="array" aca="1" ref="M120" ca="1">INDIRECT("'※ 인력 세부데이터'!"&amp;M$1&amp;$W121, TRUE)</f>
        <v>124</v>
      </c>
      <c r="N120" s="3700" cm="1">
        <f t="array" aca="1" ref="N120" ca="1">INDIRECT("'※ 인력 세부데이터'!"&amp;N$1&amp;$W121, TRUE)</f>
        <v>119</v>
      </c>
      <c r="O120" s="3700" cm="1">
        <f t="array" aca="1" ref="O120" ca="1">INDIRECT("'※ 인력 세부데이터'!"&amp;O$1&amp;$W121, TRUE)</f>
        <v>117</v>
      </c>
      <c r="P120" s="3700" cm="1">
        <f t="array" aca="1" ref="P120" ca="1">INDIRECT("'※ 인력 세부데이터'!"&amp;P$1&amp;$W121, TRUE)</f>
        <v>118</v>
      </c>
      <c r="Q120" s="3700" cm="1">
        <f t="array" aca="1" ref="Q120" ca="1">INDIRECT("'※ 인력 세부데이터'!"&amp;Q$1&amp;$W121, TRUE)</f>
        <v>121</v>
      </c>
      <c r="R120" s="3957" cm="1">
        <f t="array" aca="1" ref="R120" ca="1">INDIRECT("'※ 인력 세부데이터'!"&amp;R$1&amp;$W121, TRUE)</f>
        <v>120</v>
      </c>
      <c r="S120" s="3958" cm="1">
        <f t="array" aca="1" ref="S120" ca="1">INDIRECT("'※ 인력 세부데이터'!"&amp;S$1&amp;$W121, TRUE)</f>
        <v>-1</v>
      </c>
      <c r="T120" s="3959" cm="1">
        <f t="array" aca="1" ref="T120" ca="1">INDIRECT("'※ 인력 세부데이터'!"&amp;T$1&amp;$W121, TRUE)</f>
        <v>1.0083333333333333</v>
      </c>
      <c r="U120" s="3960" cm="1">
        <f t="array" aca="1" ref="U120" ca="1">INDIRECT("'※ 인력 세부데이터'!"&amp;U$1&amp;$W121, TRUE)</f>
        <v>29</v>
      </c>
      <c r="V120" s="3961" cm="1">
        <f t="array" aca="1" ref="V120" ca="1">INDIRECT("'※ 인력 세부데이터'!"&amp;V$1&amp;$W121, TRUE)</f>
        <v>4.1724137931034484</v>
      </c>
      <c r="W120" s="3693">
        <f>ROW('※ 인력 세부데이터'!J115)</f>
        <v>115</v>
      </c>
    </row>
    <row r="121" spans="1:25" ht="18.899999999999999" customHeight="1" x14ac:dyDescent="0.55000000000000004">
      <c r="A121" s="7458"/>
      <c r="B121" s="3950"/>
      <c r="C121" s="3951" t="s">
        <v>235</v>
      </c>
      <c r="D121" s="3717" cm="1">
        <f t="array" aca="1" ref="D121" ca="1">INDIRECT("'※ 인력 세부데이터'!"&amp;D$1&amp;$W122, TRUE)</f>
        <v>111.66666666666667</v>
      </c>
      <c r="E121" s="3717" cm="1">
        <f t="array" aca="1" ref="E121" ca="1">INDIRECT("'※ 인력 세부데이터'!"&amp;E$1&amp;$W122, TRUE)</f>
        <v>107.58333333333333</v>
      </c>
      <c r="F121" s="3699" cm="1">
        <f t="array" aca="1" ref="F121" ca="1">INDIRECT("'※ 인력 세부데이터'!"&amp;F$1&amp;$W122, TRUE)</f>
        <v>124</v>
      </c>
      <c r="G121" s="3700" cm="1">
        <f t="array" aca="1" ref="G121" ca="1">INDIRECT("'※ 인력 세부데이터'!"&amp;G$1&amp;$W122, TRUE)</f>
        <v>119</v>
      </c>
      <c r="H121" s="3700" cm="1">
        <f t="array" aca="1" ref="H121" ca="1">INDIRECT("'※ 인력 세부데이터'!"&amp;H$1&amp;$W122, TRUE)</f>
        <v>120</v>
      </c>
      <c r="I121" s="3700" cm="1">
        <f t="array" aca="1" ref="I121" ca="1">INDIRECT("'※ 인력 세부데이터'!"&amp;I$1&amp;$W122, TRUE)</f>
        <v>123</v>
      </c>
      <c r="J121" s="3700" cm="1">
        <f t="array" aca="1" ref="J121" ca="1">INDIRECT("'※ 인력 세부데이터'!"&amp;J$1&amp;$W122, TRUE)</f>
        <v>117</v>
      </c>
      <c r="K121" s="3700" cm="1">
        <f t="array" aca="1" ref="K121" ca="1">INDIRECT("'※ 인력 세부데이터'!"&amp;K$1&amp;$W122, TRUE)</f>
        <v>118</v>
      </c>
      <c r="L121" s="3700" cm="1">
        <f t="array" aca="1" ref="L121" ca="1">INDIRECT("'※ 인력 세부데이터'!"&amp;L$1&amp;$W122, TRUE)</f>
        <v>118</v>
      </c>
      <c r="M121" s="3700" cm="1">
        <f t="array" aca="1" ref="M121" ca="1">INDIRECT("'※ 인력 세부데이터'!"&amp;M$1&amp;$W122, TRUE)</f>
        <v>116</v>
      </c>
      <c r="N121" s="3700" cm="1">
        <f t="array" aca="1" ref="N121" ca="1">INDIRECT("'※ 인력 세부데이터'!"&amp;N$1&amp;$W122, TRUE)</f>
        <v>116</v>
      </c>
      <c r="O121" s="3700" cm="1">
        <f t="array" aca="1" ref="O121" ca="1">INDIRECT("'※ 인력 세부데이터'!"&amp;O$1&amp;$W122, TRUE)</f>
        <v>113</v>
      </c>
      <c r="P121" s="3700" cm="1">
        <f t="array" aca="1" ref="P121" ca="1">INDIRECT("'※ 인력 세부데이터'!"&amp;P$1&amp;$W122, TRUE)</f>
        <v>111</v>
      </c>
      <c r="Q121" s="3700" cm="1">
        <f t="array" aca="1" ref="Q121" ca="1">INDIRECT("'※ 인력 세부데이터'!"&amp;Q$1&amp;$W122, TRUE)</f>
        <v>109</v>
      </c>
      <c r="R121" s="3957" cm="1">
        <f t="array" aca="1" ref="R121" ca="1">INDIRECT("'※ 인력 세부데이터'!"&amp;R$1&amp;$W122, TRUE)</f>
        <v>108</v>
      </c>
      <c r="S121" s="3958" cm="1">
        <f t="array" aca="1" ref="S121" ca="1">INDIRECT("'※ 인력 세부데이터'!"&amp;S$1&amp;$W122, TRUE)</f>
        <v>-1</v>
      </c>
      <c r="T121" s="3959" cm="1">
        <f t="array" aca="1" ref="T121" ca="1">INDIRECT("'※ 인력 세부데이터'!"&amp;T$1&amp;$W122, TRUE)</f>
        <v>1.0092592592592593</v>
      </c>
      <c r="U121" s="3960" cm="1">
        <f t="array" aca="1" ref="U121" ca="1">INDIRECT("'※ 인력 세부데이터'!"&amp;U$1&amp;$W122, TRUE)</f>
        <v>27</v>
      </c>
      <c r="V121" s="3961" cm="1">
        <f t="array" aca="1" ref="V121" ca="1">INDIRECT("'※ 인력 세부데이터'!"&amp;V$1&amp;$W122, TRUE)</f>
        <v>4.0370370370370372</v>
      </c>
      <c r="W121" s="3693">
        <f>ROW('※ 인력 세부데이터'!J116)</f>
        <v>116</v>
      </c>
    </row>
    <row r="122" spans="1:25" ht="18.899999999999999" customHeight="1" thickBot="1" x14ac:dyDescent="0.6">
      <c r="A122" s="7458"/>
      <c r="B122" s="3950"/>
      <c r="C122" s="3951" t="s">
        <v>236</v>
      </c>
      <c r="D122" s="3717" cm="1">
        <f t="array" aca="1" ref="D122" ca="1">INDIRECT("'※ 인력 세부데이터'!"&amp;D$1&amp;$W123, TRUE)</f>
        <v>115.75</v>
      </c>
      <c r="E122" s="3717" cm="1">
        <f t="array" aca="1" ref="E122" ca="1">INDIRECT("'※ 인력 세부데이터'!"&amp;E$1&amp;$W123, TRUE)</f>
        <v>109.91666666666667</v>
      </c>
      <c r="F122" s="3699" cm="1">
        <f t="array" aca="1" ref="F122" ca="1">INDIRECT("'※ 인력 세부데이터'!"&amp;F$1&amp;$W123, TRUE)</f>
        <v>110</v>
      </c>
      <c r="G122" s="3700" cm="1">
        <f t="array" aca="1" ref="G122" ca="1">INDIRECT("'※ 인력 세부데이터'!"&amp;G$1&amp;$W123, TRUE)</f>
        <v>109</v>
      </c>
      <c r="H122" s="3700" cm="1">
        <f t="array" aca="1" ref="H122" ca="1">INDIRECT("'※ 인력 세부데이터'!"&amp;H$1&amp;$W123, TRUE)</f>
        <v>115</v>
      </c>
      <c r="I122" s="3700" cm="1">
        <f t="array" aca="1" ref="I122" ca="1">INDIRECT("'※ 인력 세부데이터'!"&amp;I$1&amp;$W123, TRUE)</f>
        <v>115</v>
      </c>
      <c r="J122" s="3700" cm="1">
        <f t="array" aca="1" ref="J122" ca="1">INDIRECT("'※ 인력 세부데이터'!"&amp;J$1&amp;$W123, TRUE)</f>
        <v>111</v>
      </c>
      <c r="K122" s="3700" cm="1">
        <f t="array" aca="1" ref="K122" ca="1">INDIRECT("'※ 인력 세부데이터'!"&amp;K$1&amp;$W123, TRUE)</f>
        <v>110</v>
      </c>
      <c r="L122" s="3700" cm="1">
        <f t="array" aca="1" ref="L122" ca="1">INDIRECT("'※ 인력 세부데이터'!"&amp;L$1&amp;$W123, TRUE)</f>
        <v>111</v>
      </c>
      <c r="M122" s="3700" cm="1">
        <f t="array" aca="1" ref="M122" ca="1">INDIRECT("'※ 인력 세부데이터'!"&amp;M$1&amp;$W123, TRUE)</f>
        <v>109</v>
      </c>
      <c r="N122" s="3700" cm="1">
        <f t="array" aca="1" ref="N122" ca="1">INDIRECT("'※ 인력 세부데이터'!"&amp;N$1&amp;$W123, TRUE)</f>
        <v>110</v>
      </c>
      <c r="O122" s="3700" cm="1">
        <f t="array" aca="1" ref="O122" ca="1">INDIRECT("'※ 인력 세부데이터'!"&amp;O$1&amp;$W123, TRUE)</f>
        <v>111</v>
      </c>
      <c r="P122" s="3700" cm="1">
        <f t="array" aca="1" ref="P122" ca="1">INDIRECT("'※ 인력 세부데이터'!"&amp;P$1&amp;$W123, TRUE)</f>
        <v>111</v>
      </c>
      <c r="Q122" s="3700" cm="1">
        <f t="array" aca="1" ref="Q122" ca="1">INDIRECT("'※ 인력 세부데이터'!"&amp;Q$1&amp;$W123, TRUE)</f>
        <v>113</v>
      </c>
      <c r="R122" s="3957" cm="1">
        <f t="array" aca="1" ref="R122" ca="1">INDIRECT("'※ 인력 세부데이터'!"&amp;R$1&amp;$W123, TRUE)</f>
        <v>108</v>
      </c>
      <c r="S122" s="3958" cm="1">
        <f t="array" aca="1" ref="S122" ca="1">INDIRECT("'※ 인력 세부데이터'!"&amp;S$1&amp;$W123, TRUE)</f>
        <v>-5</v>
      </c>
      <c r="T122" s="3959" cm="1">
        <f t="array" aca="1" ref="T122" ca="1">INDIRECT("'※ 인력 세부데이터'!"&amp;T$1&amp;$W123, TRUE)</f>
        <v>1.0462962962962963</v>
      </c>
      <c r="U122" s="3960" cm="1">
        <f t="array" aca="1" ref="U122" ca="1">INDIRECT("'※ 인력 세부데이터'!"&amp;U$1&amp;$W123, TRUE)</f>
        <v>27</v>
      </c>
      <c r="V122" s="3961" cm="1">
        <f t="array" aca="1" ref="V122" ca="1">INDIRECT("'※ 인력 세부데이터'!"&amp;V$1&amp;$W123, TRUE)</f>
        <v>4.1851851851851851</v>
      </c>
      <c r="W122" s="3693">
        <f>ROW('※ 인력 세부데이터'!J117)</f>
        <v>117</v>
      </c>
    </row>
    <row r="123" spans="1:25" ht="18.899999999999999" customHeight="1" x14ac:dyDescent="0.55000000000000004">
      <c r="A123" s="7451" t="s">
        <v>241</v>
      </c>
      <c r="B123" s="3962" t="s">
        <v>257</v>
      </c>
      <c r="C123" s="3963"/>
      <c r="D123" s="3964" cm="1">
        <f t="array" aca="1" ref="D123" ca="1">INDIRECT("'※ 인력 세부데이터'!"&amp;D$1&amp;$W124, TRUE)</f>
        <v>408.83333333333331</v>
      </c>
      <c r="E123" s="3964" cm="1">
        <f t="array" aca="1" ref="E123" ca="1">INDIRECT("'※ 인력 세부데이터'!"&amp;E$1&amp;$W124, TRUE)</f>
        <v>334.91666666666669</v>
      </c>
      <c r="F123" s="3965" cm="1">
        <f t="array" aca="1" ref="F123" ca="1">INDIRECT("'※ 인력 세부데이터'!"&amp;F$1&amp;$W124, TRUE)</f>
        <v>344</v>
      </c>
      <c r="G123" s="3966" cm="1">
        <f t="array" aca="1" ref="G123" ca="1">INDIRECT("'※ 인력 세부데이터'!"&amp;G$1&amp;$W124, TRUE)</f>
        <v>341</v>
      </c>
      <c r="H123" s="3966" cm="1">
        <f t="array" aca="1" ref="H123" ca="1">INDIRECT("'※ 인력 세부데이터'!"&amp;H$1&amp;$W124, TRUE)</f>
        <v>345</v>
      </c>
      <c r="I123" s="3966" cm="1">
        <f t="array" aca="1" ref="I123" ca="1">INDIRECT("'※ 인력 세부데이터'!"&amp;I$1&amp;$W124, TRUE)</f>
        <v>336</v>
      </c>
      <c r="J123" s="3966" cm="1">
        <f t="array" aca="1" ref="J123" ca="1">INDIRECT("'※ 인력 세부데이터'!"&amp;J$1&amp;$W124, TRUE)</f>
        <v>328</v>
      </c>
      <c r="K123" s="3966" cm="1">
        <f t="array" aca="1" ref="K123" ca="1">INDIRECT("'※ 인력 세부데이터'!"&amp;K$1&amp;$W124, TRUE)</f>
        <v>322</v>
      </c>
      <c r="L123" s="3966" cm="1">
        <f t="array" aca="1" ref="L123" ca="1">INDIRECT("'※ 인력 세부데이터'!"&amp;L$1&amp;$W124, TRUE)</f>
        <v>325</v>
      </c>
      <c r="M123" s="3966" cm="1">
        <f t="array" aca="1" ref="M123" ca="1">INDIRECT("'※ 인력 세부데이터'!"&amp;M$1&amp;$W124, TRUE)</f>
        <v>321</v>
      </c>
      <c r="N123" s="3966" cm="1">
        <f t="array" aca="1" ref="N123" ca="1">INDIRECT("'※ 인력 세부데이터'!"&amp;N$1&amp;$W124, TRUE)</f>
        <v>316</v>
      </c>
      <c r="O123" s="3966" cm="1">
        <f t="array" aca="1" ref="O123" ca="1">INDIRECT("'※ 인력 세부데이터'!"&amp;O$1&amp;$W124, TRUE)</f>
        <v>315</v>
      </c>
      <c r="P123" s="3966" cm="1">
        <f t="array" aca="1" ref="P123" ca="1">INDIRECT("'※ 인력 세부데이터'!"&amp;P$1&amp;$W124, TRUE)</f>
        <v>322</v>
      </c>
      <c r="Q123" s="3966" cm="1">
        <f t="array" aca="1" ref="Q123" ca="1">INDIRECT("'※ 인력 세부데이터'!"&amp;Q$1&amp;$W124, TRUE)</f>
        <v>324</v>
      </c>
      <c r="R123" s="3967" cm="1">
        <f t="array" aca="1" ref="R123" ca="1">INDIRECT("'※ 인력 세부데이터'!"&amp;R$1&amp;$W124, TRUE)</f>
        <v>331</v>
      </c>
      <c r="S123" s="3968" cm="1">
        <f t="array" aca="1" ref="S123" ca="1">INDIRECT("'※ 인력 세부데이터'!"&amp;S$1&amp;$W124, TRUE)</f>
        <v>7</v>
      </c>
      <c r="T123" s="3969" cm="1">
        <f t="array" aca="1" ref="T123" ca="1">INDIRECT("'※ 인력 세부데이터'!"&amp;T$1&amp;$W124, TRUE)</f>
        <v>0.97885196374622352</v>
      </c>
      <c r="U123" s="3970" cm="1">
        <f t="array" aca="1" ref="U123" ca="1">INDIRECT("'※ 인력 세부데이터'!"&amp;U$1&amp;$W124, TRUE)</f>
        <v>50</v>
      </c>
      <c r="V123" s="3971" cm="1">
        <f t="array" aca="1" ref="V123" ca="1">INDIRECT("'※ 인력 세부데이터'!"&amp;V$1&amp;$W124, TRUE)</f>
        <v>6.48</v>
      </c>
      <c r="W123" s="3693">
        <f>ROW('※ 인력 세부데이터'!J118)</f>
        <v>118</v>
      </c>
    </row>
    <row r="124" spans="1:25" ht="18.899999999999999" customHeight="1" x14ac:dyDescent="0.55000000000000004">
      <c r="A124" s="7452"/>
      <c r="B124" s="3924" t="s">
        <v>222</v>
      </c>
      <c r="C124" s="3972"/>
      <c r="D124" s="3973" cm="1">
        <f t="array" aca="1" ref="D124" ca="1">INDIRECT("'※ 인력 세부데이터'!"&amp;D$1&amp;$W125, TRUE)</f>
        <v>84.333333333333329</v>
      </c>
      <c r="E124" s="3973" cm="1">
        <f t="array" aca="1" ref="E124" ca="1">INDIRECT("'※ 인력 세부데이터'!"&amp;E$1&amp;$W125, TRUE)</f>
        <v>68.416666666666671</v>
      </c>
      <c r="F124" s="3974" cm="1">
        <f t="array" aca="1" ref="F124" ca="1">INDIRECT("'※ 인력 세부데이터'!"&amp;F$1&amp;$W125, TRUE)</f>
        <v>72</v>
      </c>
      <c r="G124" s="3975" cm="1">
        <f t="array" aca="1" ref="G124" ca="1">INDIRECT("'※ 인력 세부데이터'!"&amp;G$1&amp;$W125, TRUE)</f>
        <v>72</v>
      </c>
      <c r="H124" s="3975" cm="1">
        <f t="array" aca="1" ref="H124" ca="1">INDIRECT("'※ 인력 세부데이터'!"&amp;H$1&amp;$W125, TRUE)</f>
        <v>73</v>
      </c>
      <c r="I124" s="3975" cm="1">
        <f t="array" aca="1" ref="I124" ca="1">INDIRECT("'※ 인력 세부데이터'!"&amp;I$1&amp;$W125, TRUE)</f>
        <v>71</v>
      </c>
      <c r="J124" s="3975" cm="1">
        <f t="array" aca="1" ref="J124" ca="1">INDIRECT("'※ 인력 세부데이터'!"&amp;J$1&amp;$W125, TRUE)</f>
        <v>70</v>
      </c>
      <c r="K124" s="3975" cm="1">
        <f t="array" aca="1" ref="K124" ca="1">INDIRECT("'※ 인력 세부데이터'!"&amp;K$1&amp;$W125, TRUE)</f>
        <v>68</v>
      </c>
      <c r="L124" s="3975" cm="1">
        <f t="array" aca="1" ref="L124" ca="1">INDIRECT("'※ 인력 세부데이터'!"&amp;L$1&amp;$W125, TRUE)</f>
        <v>70</v>
      </c>
      <c r="M124" s="3975" cm="1">
        <f t="array" aca="1" ref="M124" ca="1">INDIRECT("'※ 인력 세부데이터'!"&amp;M$1&amp;$W125, TRUE)</f>
        <v>68</v>
      </c>
      <c r="N124" s="3975" cm="1">
        <f t="array" aca="1" ref="N124" ca="1">INDIRECT("'※ 인력 세부데이터'!"&amp;N$1&amp;$W125, TRUE)</f>
        <v>65</v>
      </c>
      <c r="O124" s="3975" cm="1">
        <f t="array" aca="1" ref="O124" ca="1">INDIRECT("'※ 인력 세부데이터'!"&amp;O$1&amp;$W125, TRUE)</f>
        <v>65</v>
      </c>
      <c r="P124" s="3975" cm="1">
        <f t="array" aca="1" ref="P124" ca="1">INDIRECT("'※ 인력 세부데이터'!"&amp;P$1&amp;$W125, TRUE)</f>
        <v>65</v>
      </c>
      <c r="Q124" s="3975" cm="1">
        <f t="array" aca="1" ref="Q124" ca="1">INDIRECT("'※ 인력 세부데이터'!"&amp;Q$1&amp;$W125, TRUE)</f>
        <v>62</v>
      </c>
      <c r="R124" s="3976" cm="1">
        <f t="array" aca="1" ref="R124" ca="1">INDIRECT("'※ 인력 세부데이터'!"&amp;R$1&amp;$W125, TRUE)</f>
        <v>61</v>
      </c>
      <c r="S124" s="3977" cm="1">
        <f t="array" aca="1" ref="S124" ca="1">INDIRECT("'※ 인력 세부데이터'!"&amp;S$1&amp;$W125, TRUE)</f>
        <v>-1</v>
      </c>
      <c r="T124" s="3978" cm="1">
        <f t="array" aca="1" ref="T124" ca="1">INDIRECT("'※ 인력 세부데이터'!"&amp;T$1&amp;$W125, TRUE)</f>
        <v>1.0163934426229508</v>
      </c>
      <c r="U124" s="3979" cm="1">
        <f t="array" aca="1" ref="U124" ca="1">INDIRECT("'※ 인력 세부데이터'!"&amp;U$1&amp;$W125, TRUE)</f>
        <v>10</v>
      </c>
      <c r="V124" s="3980" cm="1">
        <f t="array" aca="1" ref="V124" ca="1">INDIRECT("'※ 인력 세부데이터'!"&amp;V$1&amp;$W125, TRUE)</f>
        <v>6.2</v>
      </c>
      <c r="W124" s="3693">
        <f>ROW('※ 인력 세부데이터'!J119)</f>
        <v>119</v>
      </c>
    </row>
    <row r="125" spans="1:25" ht="18.899999999999999" customHeight="1" x14ac:dyDescent="0.55000000000000004">
      <c r="A125" s="7452"/>
      <c r="B125" s="3934" t="s">
        <v>223</v>
      </c>
      <c r="C125" s="3749"/>
      <c r="D125" s="3750" cm="1">
        <f t="array" aca="1" ref="D125" ca="1">INDIRECT("'※ 인력 세부데이터'!"&amp;D$1&amp;$W126, TRUE)</f>
        <v>101.16666666666667</v>
      </c>
      <c r="E125" s="3750" cm="1">
        <f t="array" aca="1" ref="E125" ca="1">INDIRECT("'※ 인력 세부데이터'!"&amp;E$1&amp;$W126, TRUE)</f>
        <v>46.583333333333336</v>
      </c>
      <c r="F125" s="3752" cm="1">
        <f t="array" aca="1" ref="F125" ca="1">INDIRECT("'※ 인력 세부데이터'!"&amp;F$1&amp;$W126, TRUE)</f>
        <v>48</v>
      </c>
      <c r="G125" s="3753" cm="1">
        <f t="array" aca="1" ref="G125" ca="1">INDIRECT("'※ 인력 세부데이터'!"&amp;G$1&amp;$W126, TRUE)</f>
        <v>49</v>
      </c>
      <c r="H125" s="3753" cm="1">
        <f t="array" aca="1" ref="H125" ca="1">INDIRECT("'※ 인력 세부데이터'!"&amp;H$1&amp;$W126, TRUE)</f>
        <v>50</v>
      </c>
      <c r="I125" s="3753" cm="1">
        <f t="array" aca="1" ref="I125" ca="1">INDIRECT("'※ 인력 세부데이터'!"&amp;I$1&amp;$W126, TRUE)</f>
        <v>47</v>
      </c>
      <c r="J125" s="3753" cm="1">
        <f t="array" aca="1" ref="J125" ca="1">INDIRECT("'※ 인력 세부데이터'!"&amp;J$1&amp;$W126, TRUE)</f>
        <v>45</v>
      </c>
      <c r="K125" s="3753" cm="1">
        <f t="array" aca="1" ref="K125" ca="1">INDIRECT("'※ 인력 세부데이터'!"&amp;K$1&amp;$W126, TRUE)</f>
        <v>45</v>
      </c>
      <c r="L125" s="3753" cm="1">
        <f t="array" aca="1" ref="L125" ca="1">INDIRECT("'※ 인력 세부데이터'!"&amp;L$1&amp;$W126, TRUE)</f>
        <v>46</v>
      </c>
      <c r="M125" s="3753" cm="1">
        <f t="array" aca="1" ref="M125" ca="1">INDIRECT("'※ 인력 세부데이터'!"&amp;M$1&amp;$W126, TRUE)</f>
        <v>48</v>
      </c>
      <c r="N125" s="3753" cm="1">
        <f t="array" aca="1" ref="N125" ca="1">INDIRECT("'※ 인력 세부데이터'!"&amp;N$1&amp;$W126, TRUE)</f>
        <v>43</v>
      </c>
      <c r="O125" s="3753" cm="1">
        <f t="array" aca="1" ref="O125" ca="1">INDIRECT("'※ 인력 세부데이터'!"&amp;O$1&amp;$W126, TRUE)</f>
        <v>44</v>
      </c>
      <c r="P125" s="3753" cm="1">
        <f t="array" aca="1" ref="P125" ca="1">INDIRECT("'※ 인력 세부데이터'!"&amp;P$1&amp;$W126, TRUE)</f>
        <v>45</v>
      </c>
      <c r="Q125" s="3753" cm="1">
        <f t="array" aca="1" ref="Q125" ca="1">INDIRECT("'※ 인력 세부데이터'!"&amp;Q$1&amp;$W126, TRUE)</f>
        <v>45</v>
      </c>
      <c r="R125" s="3981" cm="1">
        <f t="array" aca="1" ref="R125" ca="1">INDIRECT("'※ 인력 세부데이터'!"&amp;R$1&amp;$W126, TRUE)</f>
        <v>48</v>
      </c>
      <c r="S125" s="3982" cm="1">
        <f t="array" aca="1" ref="S125" ca="1">INDIRECT("'※ 인력 세부데이터'!"&amp;S$1&amp;$W126, TRUE)</f>
        <v>3</v>
      </c>
      <c r="T125" s="3983" cm="1">
        <f t="array" aca="1" ref="T125" ca="1">INDIRECT("'※ 인력 세부데이터'!"&amp;T$1&amp;$W126, TRUE)</f>
        <v>0.9375</v>
      </c>
      <c r="U125" s="3984" cm="1">
        <f t="array" aca="1" ref="U125" ca="1">INDIRECT("'※ 인력 세부데이터'!"&amp;U$1&amp;$W126, TRUE)</f>
        <v>7</v>
      </c>
      <c r="V125" s="3985" cm="1">
        <f t="array" aca="1" ref="V125" ca="1">INDIRECT("'※ 인력 세부데이터'!"&amp;V$1&amp;$W126, TRUE)</f>
        <v>6.4285714285714288</v>
      </c>
      <c r="W125" s="3693">
        <f>ROW('※ 인력 세부데이터'!J120)</f>
        <v>120</v>
      </c>
    </row>
    <row r="126" spans="1:25" ht="18.899999999999999" customHeight="1" x14ac:dyDescent="0.55000000000000004">
      <c r="A126" s="7452"/>
      <c r="B126" s="3934" t="s">
        <v>224</v>
      </c>
      <c r="C126" s="3749"/>
      <c r="D126" s="3750" cm="1">
        <f t="array" aca="1" ref="D126" ca="1">INDIRECT("'※ 인력 세부데이터'!"&amp;D$1&amp;$W127, TRUE)</f>
        <v>49</v>
      </c>
      <c r="E126" s="3750" cm="1">
        <f t="array" aca="1" ref="E126" ca="1">INDIRECT("'※ 인력 세부데이터'!"&amp;E$1&amp;$W127, TRUE)</f>
        <v>44.25</v>
      </c>
      <c r="F126" s="3752" cm="1">
        <f t="array" aca="1" ref="F126" ca="1">INDIRECT("'※ 인력 세부데이터'!"&amp;F$1&amp;$W127, TRUE)</f>
        <v>44</v>
      </c>
      <c r="G126" s="3753" cm="1">
        <f t="array" aca="1" ref="G126" ca="1">INDIRECT("'※ 인력 세부데이터'!"&amp;G$1&amp;$W127, TRUE)</f>
        <v>42</v>
      </c>
      <c r="H126" s="3753" cm="1">
        <f t="array" aca="1" ref="H126" ca="1">INDIRECT("'※ 인력 세부데이터'!"&amp;H$1&amp;$W127, TRUE)</f>
        <v>44</v>
      </c>
      <c r="I126" s="3753" cm="1">
        <f t="array" aca="1" ref="I126" ca="1">INDIRECT("'※ 인력 세부데이터'!"&amp;I$1&amp;$W127, TRUE)</f>
        <v>44</v>
      </c>
      <c r="J126" s="3753" cm="1">
        <f t="array" aca="1" ref="J126" ca="1">INDIRECT("'※ 인력 세부데이터'!"&amp;J$1&amp;$W127, TRUE)</f>
        <v>42</v>
      </c>
      <c r="K126" s="3753" cm="1">
        <f t="array" aca="1" ref="K126" ca="1">INDIRECT("'※ 인력 세부데이터'!"&amp;K$1&amp;$W127, TRUE)</f>
        <v>40</v>
      </c>
      <c r="L126" s="3753" cm="1">
        <f t="array" aca="1" ref="L126" ca="1">INDIRECT("'※ 인력 세부데이터'!"&amp;L$1&amp;$W127, TRUE)</f>
        <v>43</v>
      </c>
      <c r="M126" s="3753" cm="1">
        <f t="array" aca="1" ref="M126" ca="1">INDIRECT("'※ 인력 세부데이터'!"&amp;M$1&amp;$W127, TRUE)</f>
        <v>43</v>
      </c>
      <c r="N126" s="3753" cm="1">
        <f t="array" aca="1" ref="N126" ca="1">INDIRECT("'※ 인력 세부데이터'!"&amp;N$1&amp;$W127, TRUE)</f>
        <v>45</v>
      </c>
      <c r="O126" s="3753" cm="1">
        <f t="array" aca="1" ref="O126" ca="1">INDIRECT("'※ 인력 세부데이터'!"&amp;O$1&amp;$W127, TRUE)</f>
        <v>43</v>
      </c>
      <c r="P126" s="3753" cm="1">
        <f t="array" aca="1" ref="P126" ca="1">INDIRECT("'※ 인력 세부데이터'!"&amp;P$1&amp;$W127, TRUE)</f>
        <v>41</v>
      </c>
      <c r="Q126" s="3753" cm="1">
        <f t="array" aca="1" ref="Q126" ca="1">INDIRECT("'※ 인력 세부데이터'!"&amp;Q$1&amp;$W127, TRUE)</f>
        <v>42</v>
      </c>
      <c r="R126" s="3981" cm="1">
        <f t="array" aca="1" ref="R126" ca="1">INDIRECT("'※ 인력 세부데이터'!"&amp;R$1&amp;$W127, TRUE)</f>
        <v>46</v>
      </c>
      <c r="S126" s="3982" cm="1">
        <f t="array" aca="1" ref="S126" ca="1">INDIRECT("'※ 인력 세부데이터'!"&amp;S$1&amp;$W127, TRUE)</f>
        <v>4</v>
      </c>
      <c r="T126" s="3983" cm="1">
        <f t="array" aca="1" ref="T126" ca="1">INDIRECT("'※ 인력 세부데이터'!"&amp;T$1&amp;$W127, TRUE)</f>
        <v>0.91304347826086951</v>
      </c>
      <c r="U126" s="3984" cm="1">
        <f t="array" aca="1" ref="U126" ca="1">INDIRECT("'※ 인력 세부데이터'!"&amp;U$1&amp;$W127, TRUE)</f>
        <v>7</v>
      </c>
      <c r="V126" s="3985" cm="1">
        <f t="array" aca="1" ref="V126" ca="1">INDIRECT("'※ 인력 세부데이터'!"&amp;V$1&amp;$W127, TRUE)</f>
        <v>6</v>
      </c>
      <c r="W126" s="3693">
        <f>ROW('※ 인력 세부데이터'!J121)</f>
        <v>121</v>
      </c>
    </row>
    <row r="127" spans="1:25" ht="18.899999999999999" customHeight="1" x14ac:dyDescent="0.55000000000000004">
      <c r="A127" s="7452"/>
      <c r="B127" s="3934" t="s">
        <v>225</v>
      </c>
      <c r="C127" s="3749"/>
      <c r="D127" s="3750" cm="1">
        <f t="array" aca="1" ref="D127" ca="1">INDIRECT("'※ 인력 세부데이터'!"&amp;D$1&amp;$W128, TRUE)</f>
        <v>118.75</v>
      </c>
      <c r="E127" s="3750" cm="1">
        <f t="array" aca="1" ref="E127" ca="1">INDIRECT("'※ 인력 세부데이터'!"&amp;E$1&amp;$W128, TRUE)</f>
        <v>96</v>
      </c>
      <c r="F127" s="3752" cm="1">
        <f t="array" aca="1" ref="F127" ca="1">INDIRECT("'※ 인력 세부데이터'!"&amp;F$1&amp;$W128, TRUE)</f>
        <v>102</v>
      </c>
      <c r="G127" s="3753" cm="1">
        <f t="array" aca="1" ref="G127" ca="1">INDIRECT("'※ 인력 세부데이터'!"&amp;G$1&amp;$W128, TRUE)</f>
        <v>103</v>
      </c>
      <c r="H127" s="3753" cm="1">
        <f t="array" aca="1" ref="H127" ca="1">INDIRECT("'※ 인력 세부데이터'!"&amp;H$1&amp;$W128, TRUE)</f>
        <v>100</v>
      </c>
      <c r="I127" s="3753" cm="1">
        <f t="array" aca="1" ref="I127" ca="1">INDIRECT("'※ 인력 세부데이터'!"&amp;I$1&amp;$W128, TRUE)</f>
        <v>96</v>
      </c>
      <c r="J127" s="3753" cm="1">
        <f t="array" aca="1" ref="J127" ca="1">INDIRECT("'※ 인력 세부데이터'!"&amp;J$1&amp;$W128, TRUE)</f>
        <v>97</v>
      </c>
      <c r="K127" s="3753" cm="1">
        <f t="array" aca="1" ref="K127" ca="1">INDIRECT("'※ 인력 세부데이터'!"&amp;K$1&amp;$W128, TRUE)</f>
        <v>93</v>
      </c>
      <c r="L127" s="3753" cm="1">
        <f t="array" aca="1" ref="L127" ca="1">INDIRECT("'※ 인력 세부데이터'!"&amp;L$1&amp;$W128, TRUE)</f>
        <v>96</v>
      </c>
      <c r="M127" s="3753" cm="1">
        <f t="array" aca="1" ref="M127" ca="1">INDIRECT("'※ 인력 세부데이터'!"&amp;M$1&amp;$W128, TRUE)</f>
        <v>98</v>
      </c>
      <c r="N127" s="3753" cm="1">
        <f t="array" aca="1" ref="N127" ca="1">INDIRECT("'※ 인력 세부데이터'!"&amp;N$1&amp;$W128, TRUE)</f>
        <v>102</v>
      </c>
      <c r="O127" s="3753" cm="1">
        <f t="array" aca="1" ref="O127" ca="1">INDIRECT("'※ 인력 세부데이터'!"&amp;O$1&amp;$W128, TRUE)</f>
        <v>98</v>
      </c>
      <c r="P127" s="3753" cm="1">
        <f t="array" aca="1" ref="P127" ca="1">INDIRECT("'※ 인력 세부데이터'!"&amp;P$1&amp;$W128, TRUE)</f>
        <v>97</v>
      </c>
      <c r="Q127" s="3753" cm="1">
        <f t="array" aca="1" ref="Q127" ca="1">INDIRECT("'※ 인력 세부데이터'!"&amp;Q$1&amp;$W128, TRUE)</f>
        <v>99</v>
      </c>
      <c r="R127" s="3981" cm="1">
        <f t="array" aca="1" ref="R127" ca="1">INDIRECT("'※ 인력 세부데이터'!"&amp;R$1&amp;$W128, TRUE)</f>
        <v>98</v>
      </c>
      <c r="S127" s="3982" cm="1">
        <f t="array" aca="1" ref="S127" ca="1">INDIRECT("'※ 인력 세부데이터'!"&amp;S$1&amp;$W128, TRUE)</f>
        <v>-1</v>
      </c>
      <c r="T127" s="3983" cm="1">
        <f t="array" aca="1" ref="T127" ca="1">INDIRECT("'※ 인력 세부데이터'!"&amp;T$1&amp;$W128, TRUE)</f>
        <v>1.010204081632653</v>
      </c>
      <c r="U127" s="3984" cm="1">
        <f t="array" aca="1" ref="U127" ca="1">INDIRECT("'※ 인력 세부데이터'!"&amp;U$1&amp;$W128, TRUE)</f>
        <v>14</v>
      </c>
      <c r="V127" s="3985" cm="1">
        <f t="array" aca="1" ref="V127" ca="1">INDIRECT("'※ 인력 세부데이터'!"&amp;V$1&amp;$W128, TRUE)</f>
        <v>7.0714285714285712</v>
      </c>
      <c r="W127" s="3693">
        <f>ROW('※ 인력 세부데이터'!J122)</f>
        <v>122</v>
      </c>
    </row>
    <row r="128" spans="1:25" ht="18.899999999999999" customHeight="1" x14ac:dyDescent="0.55000000000000004">
      <c r="A128" s="7452"/>
      <c r="B128" s="3940" t="s">
        <v>226</v>
      </c>
      <c r="C128" s="3986"/>
      <c r="D128" s="3987" cm="1">
        <f t="array" aca="1" ref="D128" ca="1">INDIRECT("'※ 인력 세부데이터'!"&amp;D$1&amp;$W129, TRUE)</f>
        <v>100.5</v>
      </c>
      <c r="E128" s="3987" cm="1">
        <f t="array" aca="1" ref="E128" ca="1">INDIRECT("'※ 인력 세부데이터'!"&amp;E$1&amp;$W129, TRUE)</f>
        <v>79.666666666666671</v>
      </c>
      <c r="F128" s="3988" cm="1">
        <f t="array" aca="1" ref="F128" ca="1">INDIRECT("'※ 인력 세부데이터'!"&amp;F$1&amp;$W129, TRUE)</f>
        <v>78</v>
      </c>
      <c r="G128" s="3989" cm="1">
        <f t="array" aca="1" ref="G128" ca="1">INDIRECT("'※ 인력 세부데이터'!"&amp;G$1&amp;$W129, TRUE)</f>
        <v>75</v>
      </c>
      <c r="H128" s="3989" cm="1">
        <f t="array" aca="1" ref="H128" ca="1">INDIRECT("'※ 인력 세부데이터'!"&amp;H$1&amp;$W129, TRUE)</f>
        <v>78</v>
      </c>
      <c r="I128" s="3989" cm="1">
        <f t="array" aca="1" ref="I128" ca="1">INDIRECT("'※ 인력 세부데이터'!"&amp;I$1&amp;$W129, TRUE)</f>
        <v>78</v>
      </c>
      <c r="J128" s="3989" cm="1">
        <f t="array" aca="1" ref="J128" ca="1">INDIRECT("'※ 인력 세부데이터'!"&amp;J$1&amp;$W129, TRUE)</f>
        <v>74</v>
      </c>
      <c r="K128" s="3989" cm="1">
        <f t="array" aca="1" ref="K128" ca="1">INDIRECT("'※ 인력 세부데이터'!"&amp;K$1&amp;$W129, TRUE)</f>
        <v>76</v>
      </c>
      <c r="L128" s="3989" cm="1">
        <f t="array" aca="1" ref="L128" ca="1">INDIRECT("'※ 인력 세부데이터'!"&amp;L$1&amp;$W129, TRUE)</f>
        <v>70</v>
      </c>
      <c r="M128" s="3989" cm="1">
        <f t="array" aca="1" ref="M128" ca="1">INDIRECT("'※ 인력 세부데이터'!"&amp;M$1&amp;$W129, TRUE)</f>
        <v>64</v>
      </c>
      <c r="N128" s="3989" cm="1">
        <f t="array" aca="1" ref="N128" ca="1">INDIRECT("'※ 인력 세부데이터'!"&amp;N$1&amp;$W129, TRUE)</f>
        <v>61</v>
      </c>
      <c r="O128" s="3989" cm="1">
        <f t="array" aca="1" ref="O128" ca="1">INDIRECT("'※ 인력 세부데이터'!"&amp;O$1&amp;$W129, TRUE)</f>
        <v>65</v>
      </c>
      <c r="P128" s="3989" cm="1">
        <f t="array" aca="1" ref="P128" ca="1">INDIRECT("'※ 인력 세부데이터'!"&amp;P$1&amp;$W129, TRUE)</f>
        <v>74</v>
      </c>
      <c r="Q128" s="3989" cm="1">
        <f t="array" aca="1" ref="Q128" ca="1">INDIRECT("'※ 인력 세부데이터'!"&amp;Q$1&amp;$W129, TRUE)</f>
        <v>76</v>
      </c>
      <c r="R128" s="3990" cm="1">
        <f t="array" aca="1" ref="R128" ca="1">INDIRECT("'※ 인력 세부데이터'!"&amp;R$1&amp;$W129, TRUE)</f>
        <v>78</v>
      </c>
      <c r="S128" s="3991" cm="1">
        <f t="array" aca="1" ref="S128" ca="1">INDIRECT("'※ 인력 세부데이터'!"&amp;S$1&amp;$W129, TRUE)</f>
        <v>2</v>
      </c>
      <c r="T128" s="3992" cm="1">
        <f t="array" aca="1" ref="T128" ca="1">INDIRECT("'※ 인력 세부데이터'!"&amp;T$1&amp;$W129, TRUE)</f>
        <v>0.97435897435897434</v>
      </c>
      <c r="U128" s="3993" cm="1">
        <f t="array" aca="1" ref="U128" ca="1">INDIRECT("'※ 인력 세부데이터'!"&amp;U$1&amp;$W129, TRUE)</f>
        <v>12</v>
      </c>
      <c r="V128" s="3994" cm="1">
        <f t="array" aca="1" ref="V128" ca="1">INDIRECT("'※ 인력 세부데이터'!"&amp;V$1&amp;$W129, TRUE)</f>
        <v>6.333333333333333</v>
      </c>
      <c r="W128" s="3693">
        <f>ROW('※ 인력 세부데이터'!J123)</f>
        <v>123</v>
      </c>
    </row>
    <row r="129" spans="1:23" ht="18.899999999999999" customHeight="1" x14ac:dyDescent="0.55000000000000004">
      <c r="A129" s="7452"/>
      <c r="B129" s="3995"/>
      <c r="C129" s="3996" t="s">
        <v>242</v>
      </c>
      <c r="D129" s="3717" cm="1">
        <f t="array" aca="1" ref="D129" ca="1">INDIRECT("'※ 인력 세부데이터'!"&amp;D$1&amp;$W130, TRUE)</f>
        <v>55.583333333333336</v>
      </c>
      <c r="E129" s="3717" cm="1">
        <f t="array" aca="1" ref="E129" ca="1">INDIRECT("'※ 인력 세부데이터'!"&amp;E$1&amp;$W130, TRUE)</f>
        <v>45.75</v>
      </c>
      <c r="F129" s="3699" cm="1">
        <f t="array" aca="1" ref="F129" ca="1">INDIRECT("'※ 인력 세부데이터'!"&amp;F$1&amp;$W130, TRUE)</f>
        <v>49</v>
      </c>
      <c r="G129" s="3700" cm="1">
        <f t="array" aca="1" ref="G129" ca="1">INDIRECT("'※ 인력 세부데이터'!"&amp;G$1&amp;$W130, TRUE)</f>
        <v>49</v>
      </c>
      <c r="H129" s="3700" cm="1">
        <f t="array" aca="1" ref="H129" ca="1">INDIRECT("'※ 인력 세부데이터'!"&amp;H$1&amp;$W130, TRUE)</f>
        <v>49</v>
      </c>
      <c r="I129" s="3700" cm="1">
        <f t="array" aca="1" ref="I129" ca="1">INDIRECT("'※ 인력 세부데이터'!"&amp;I$1&amp;$W130, TRUE)</f>
        <v>48</v>
      </c>
      <c r="J129" s="3700" cm="1">
        <f t="array" aca="1" ref="J129" ca="1">INDIRECT("'※ 인력 세부데이터'!"&amp;J$1&amp;$W130, TRUE)</f>
        <v>49</v>
      </c>
      <c r="K129" s="3700" cm="1">
        <f t="array" aca="1" ref="K129" ca="1">INDIRECT("'※ 인력 세부데이터'!"&amp;K$1&amp;$W130, TRUE)</f>
        <v>47</v>
      </c>
      <c r="L129" s="3700" cm="1">
        <f t="array" aca="1" ref="L129" ca="1">INDIRECT("'※ 인력 세부데이터'!"&amp;L$1&amp;$W130, TRUE)</f>
        <v>70</v>
      </c>
      <c r="M129" s="3700" cm="1">
        <f t="array" aca="1" ref="M129" ca="1">INDIRECT("'※ 인력 세부데이터'!"&amp;M$1&amp;$W130, TRUE)</f>
        <v>68</v>
      </c>
      <c r="N129" s="3700" cm="1">
        <f t="array" aca="1" ref="N129" ca="1">INDIRECT("'※ 인력 세부데이터'!"&amp;N$1&amp;$W130, TRUE)</f>
        <v>65</v>
      </c>
      <c r="O129" s="3700" cm="1">
        <f t="array" aca="1" ref="O129" ca="1">INDIRECT("'※ 인력 세부데이터'!"&amp;O$1&amp;$W130, TRUE)</f>
        <v>65</v>
      </c>
      <c r="P129" s="3700" cm="1">
        <f t="array" aca="1" ref="P129" ca="1">INDIRECT("'※ 인력 세부데이터'!"&amp;P$1&amp;$W130, TRUE)</f>
        <v>65</v>
      </c>
      <c r="Q129" s="3700" cm="1">
        <f t="array" aca="1" ref="Q129" ca="1">INDIRECT("'※ 인력 세부데이터'!"&amp;Q$1&amp;$W130, TRUE)</f>
        <v>62</v>
      </c>
      <c r="R129" s="3997"/>
      <c r="S129" s="3998"/>
      <c r="T129" s="3999"/>
      <c r="U129" s="4000" cm="1">
        <f t="array" aca="1" ref="U129" ca="1">INDIRECT("'※ 인력 세부데이터'!"&amp;U$1&amp;$W130, TRUE)</f>
        <v>10</v>
      </c>
      <c r="V129" s="3961" cm="1">
        <f t="array" aca="1" ref="V129" ca="1">INDIRECT("'※ 인력 세부데이터'!"&amp;V$1&amp;$W130, TRUE)</f>
        <v>6.2</v>
      </c>
      <c r="W129" s="3693">
        <f>ROW('※ 인력 세부데이터'!J124)</f>
        <v>124</v>
      </c>
    </row>
    <row r="130" spans="1:23" ht="18.899999999999999" customHeight="1" x14ac:dyDescent="0.55000000000000004">
      <c r="A130" s="7452"/>
      <c r="B130" s="3995"/>
      <c r="C130" s="4001" t="s">
        <v>254</v>
      </c>
      <c r="D130" s="3717" cm="1">
        <f t="array" aca="1" ref="D130" ca="1">INDIRECT("'※ 인력 세부데이터'!"&amp;D$1&amp;$W131, TRUE)</f>
        <v>20.833333333333332</v>
      </c>
      <c r="E130" s="3717" cm="1">
        <f t="array" aca="1" ref="E130" ca="1">INDIRECT("'※ 인력 세부데이터'!"&amp;E$1&amp;$W131, TRUE)</f>
        <v>17.666666666666668</v>
      </c>
      <c r="F130" s="3699" cm="1">
        <f t="array" aca="1" ref="F130" ca="1">INDIRECT("'※ 인력 세부데이터'!"&amp;F$1&amp;$W131, TRUE)</f>
        <v>18</v>
      </c>
      <c r="G130" s="3700" cm="1">
        <f t="array" aca="1" ref="G130" ca="1">INDIRECT("'※ 인력 세부데이터'!"&amp;G$1&amp;$W131, TRUE)</f>
        <v>18</v>
      </c>
      <c r="H130" s="3700" cm="1">
        <f t="array" aca="1" ref="H130" ca="1">INDIRECT("'※ 인력 세부데이터'!"&amp;H$1&amp;$W131, TRUE)</f>
        <v>20</v>
      </c>
      <c r="I130" s="3700" cm="1">
        <f t="array" aca="1" ref="I130" ca="1">INDIRECT("'※ 인력 세부데이터'!"&amp;I$1&amp;$W131, TRUE)</f>
        <v>19</v>
      </c>
      <c r="J130" s="3700" cm="1">
        <f t="array" aca="1" ref="J130" ca="1">INDIRECT("'※ 인력 세부데이터'!"&amp;J$1&amp;$W131, TRUE)</f>
        <v>20</v>
      </c>
      <c r="K130" s="3700" cm="1">
        <f t="array" aca="1" ref="K130" ca="1">INDIRECT("'※ 인력 세부데이터'!"&amp;K$1&amp;$W131, TRUE)</f>
        <v>19</v>
      </c>
      <c r="L130" s="3700" cm="1">
        <f t="array" aca="1" ref="L130" ca="1">INDIRECT("'※ 인력 세부데이터'!"&amp;L$1&amp;$W131, TRUE)</f>
        <v>27</v>
      </c>
      <c r="M130" s="3700" cm="1">
        <f t="array" aca="1" ref="M130" ca="1">INDIRECT("'※ 인력 세부데이터'!"&amp;M$1&amp;$W131, TRUE)</f>
        <v>18</v>
      </c>
      <c r="N130" s="3700" cm="1">
        <f t="array" aca="1" ref="N130" ca="1">INDIRECT("'※ 인력 세부데이터'!"&amp;N$1&amp;$W131, TRUE)</f>
        <v>17</v>
      </c>
      <c r="O130" s="3700" cm="1">
        <f t="array" aca="1" ref="O130" ca="1">INDIRECT("'※ 인력 세부데이터'!"&amp;O$1&amp;$W131, TRUE)</f>
        <v>20</v>
      </c>
      <c r="P130" s="3700" cm="1">
        <f t="array" aca="1" ref="P130" ca="1">INDIRECT("'※ 인력 세부데이터'!"&amp;P$1&amp;$W131, TRUE)</f>
        <v>20</v>
      </c>
      <c r="Q130" s="3700" cm="1">
        <f t="array" aca="1" ref="Q130" ca="1">INDIRECT("'※ 인력 세부데이터'!"&amp;Q$1&amp;$W131, TRUE)</f>
        <v>20</v>
      </c>
      <c r="R130" s="3997"/>
      <c r="S130" s="3998"/>
      <c r="T130" s="3999"/>
      <c r="U130" s="4002"/>
      <c r="V130" s="4003"/>
      <c r="W130" s="3693">
        <f>ROW('※ 인력 세부데이터'!J125)</f>
        <v>125</v>
      </c>
    </row>
    <row r="131" spans="1:23" ht="18.899999999999999" customHeight="1" x14ac:dyDescent="0.55000000000000004">
      <c r="A131" s="7452"/>
      <c r="B131" s="3995"/>
      <c r="C131" s="4004" t="s">
        <v>243</v>
      </c>
      <c r="D131" s="4005" cm="1">
        <f t="array" aca="1" ref="D131" ca="1">INDIRECT("'※ 인력 세부데이터'!"&amp;D$1&amp;$W132, TRUE)</f>
        <v>28.75</v>
      </c>
      <c r="E131" s="4005" cm="1">
        <f t="array" aca="1" ref="E131" ca="1">INDIRECT("'※ 인력 세부데이터'!"&amp;E$1&amp;$W132, TRUE)</f>
        <v>22.25</v>
      </c>
      <c r="F131" s="4006" cm="1">
        <f t="array" aca="1" ref="F131" ca="1">INDIRECT("'※ 인력 세부데이터'!"&amp;F$1&amp;$W132, TRUE)</f>
        <v>23</v>
      </c>
      <c r="G131" s="4007" cm="1">
        <f t="array" aca="1" ref="G131" ca="1">INDIRECT("'※ 인력 세부데이터'!"&amp;G$1&amp;$W132, TRUE)</f>
        <v>23</v>
      </c>
      <c r="H131" s="4007" cm="1">
        <f t="array" aca="1" ref="H131" ca="1">INDIRECT("'※ 인력 세부데이터'!"&amp;H$1&amp;$W132, TRUE)</f>
        <v>24</v>
      </c>
      <c r="I131" s="4007" cm="1">
        <f t="array" aca="1" ref="I131" ca="1">INDIRECT("'※ 인력 세부데이터'!"&amp;I$1&amp;$W132, TRUE)</f>
        <v>23</v>
      </c>
      <c r="J131" s="4007" cm="1">
        <f t="array" aca="1" ref="J131" ca="1">INDIRECT("'※ 인력 세부데이터'!"&amp;J$1&amp;$W132, TRUE)</f>
        <v>21</v>
      </c>
      <c r="K131" s="4007" cm="1">
        <f t="array" aca="1" ref="K131" ca="1">INDIRECT("'※ 인력 세부데이터'!"&amp;K$1&amp;$W132, TRUE)</f>
        <v>21</v>
      </c>
      <c r="L131" s="4008"/>
      <c r="M131" s="4008"/>
      <c r="N131" s="4008"/>
      <c r="O131" s="4008"/>
      <c r="P131" s="4008"/>
      <c r="Q131" s="4008"/>
      <c r="R131" s="3997"/>
      <c r="S131" s="3998"/>
      <c r="T131" s="3999"/>
      <c r="U131" s="4002"/>
      <c r="V131" s="4003"/>
      <c r="W131" s="3693">
        <f>ROW('※ 인력 세부데이터'!J126)</f>
        <v>126</v>
      </c>
    </row>
    <row r="132" spans="1:23" ht="18.899999999999999" customHeight="1" x14ac:dyDescent="0.55000000000000004">
      <c r="A132" s="7452"/>
      <c r="B132" s="3995"/>
      <c r="C132" s="4009" t="s">
        <v>254</v>
      </c>
      <c r="D132" s="4005" cm="1">
        <f t="array" aca="1" ref="D132" ca="1">INDIRECT("'※ 인력 세부데이터'!"&amp;D$1&amp;$W133, TRUE)</f>
        <v>10.5</v>
      </c>
      <c r="E132" s="4005" cm="1">
        <f t="array" aca="1" ref="E132" ca="1">INDIRECT("'※ 인력 세부데이터'!"&amp;E$1&amp;$W133, TRUE)</f>
        <v>8.6666666666666661</v>
      </c>
      <c r="F132" s="4006" cm="1">
        <f t="array" aca="1" ref="F132" ca="1">INDIRECT("'※ 인력 세부데이터'!"&amp;F$1&amp;$W133, TRUE)</f>
        <v>9</v>
      </c>
      <c r="G132" s="4007" cm="1">
        <f t="array" aca="1" ref="G132" ca="1">INDIRECT("'※ 인력 세부데이터'!"&amp;G$1&amp;$W133, TRUE)</f>
        <v>9</v>
      </c>
      <c r="H132" s="4007" cm="1">
        <f t="array" aca="1" ref="H132" ca="1">INDIRECT("'※ 인력 세부데이터'!"&amp;H$1&amp;$W133, TRUE)</f>
        <v>10</v>
      </c>
      <c r="I132" s="4007" cm="1">
        <f t="array" aca="1" ref="I132" ca="1">INDIRECT("'※ 인력 세부데이터'!"&amp;I$1&amp;$W133, TRUE)</f>
        <v>10</v>
      </c>
      <c r="J132" s="4007" cm="1">
        <f t="array" aca="1" ref="J132" ca="1">INDIRECT("'※ 인력 세부데이터'!"&amp;J$1&amp;$W133, TRUE)</f>
        <v>8</v>
      </c>
      <c r="K132" s="4007" cm="1">
        <f t="array" aca="1" ref="K132" ca="1">INDIRECT("'※ 인력 세부데이터'!"&amp;K$1&amp;$W133, TRUE)</f>
        <v>8</v>
      </c>
      <c r="L132" s="4008"/>
      <c r="M132" s="4008"/>
      <c r="N132" s="4008"/>
      <c r="O132" s="4008"/>
      <c r="P132" s="4008"/>
      <c r="Q132" s="4008"/>
      <c r="R132" s="3997"/>
      <c r="S132" s="3998"/>
      <c r="T132" s="3999"/>
      <c r="U132" s="4002"/>
      <c r="V132" s="4003"/>
      <c r="W132" s="3693">
        <f>ROW('※ 인력 세부데이터'!J127)</f>
        <v>127</v>
      </c>
    </row>
    <row r="133" spans="1:23" ht="18.899999999999999" customHeight="1" x14ac:dyDescent="0.55000000000000004">
      <c r="A133" s="7452"/>
      <c r="B133" s="3995"/>
      <c r="C133" s="4010" t="s">
        <v>244</v>
      </c>
      <c r="D133" s="3717" cm="1">
        <f t="array" aca="1" ref="D133" ca="1">INDIRECT("'※ 인력 세부데이터'!"&amp;D$1&amp;$W134, TRUE)</f>
        <v>48.833333333333336</v>
      </c>
      <c r="E133" s="3717" cm="1">
        <f t="array" aca="1" ref="E133" ca="1">INDIRECT("'※ 인력 세부데이터'!"&amp;E$1&amp;$W134, TRUE)</f>
        <v>46.583333333333336</v>
      </c>
      <c r="F133" s="3699" cm="1">
        <f t="array" aca="1" ref="F133" ca="1">INDIRECT("'※ 인력 세부데이터'!"&amp;F$1&amp;$W134, TRUE)</f>
        <v>48</v>
      </c>
      <c r="G133" s="3700" cm="1">
        <f t="array" aca="1" ref="G133" ca="1">INDIRECT("'※ 인력 세부데이터'!"&amp;G$1&amp;$W134, TRUE)</f>
        <v>49</v>
      </c>
      <c r="H133" s="3700" cm="1">
        <f t="array" aca="1" ref="H133" ca="1">INDIRECT("'※ 인력 세부데이터'!"&amp;H$1&amp;$W134, TRUE)</f>
        <v>50</v>
      </c>
      <c r="I133" s="3700" cm="1">
        <f t="array" aca="1" ref="I133" ca="1">INDIRECT("'※ 인력 세부데이터'!"&amp;I$1&amp;$W134, TRUE)</f>
        <v>47</v>
      </c>
      <c r="J133" s="3700" cm="1">
        <f t="array" aca="1" ref="J133" ca="1">INDIRECT("'※ 인력 세부데이터'!"&amp;J$1&amp;$W134, TRUE)</f>
        <v>45</v>
      </c>
      <c r="K133" s="3700" cm="1">
        <f t="array" aca="1" ref="K133" ca="1">INDIRECT("'※ 인력 세부데이터'!"&amp;K$1&amp;$W134, TRUE)</f>
        <v>45</v>
      </c>
      <c r="L133" s="3700" cm="1">
        <f t="array" aca="1" ref="L133" ca="1">INDIRECT("'※ 인력 세부데이터'!"&amp;L$1&amp;$W134, TRUE)</f>
        <v>46</v>
      </c>
      <c r="M133" s="3700" cm="1">
        <f t="array" aca="1" ref="M133" ca="1">INDIRECT("'※ 인력 세부데이터'!"&amp;M$1&amp;$W134, TRUE)</f>
        <v>48</v>
      </c>
      <c r="N133" s="3700" cm="1">
        <f t="array" aca="1" ref="N133" ca="1">INDIRECT("'※ 인력 세부데이터'!"&amp;N$1&amp;$W134, TRUE)</f>
        <v>43</v>
      </c>
      <c r="O133" s="3700" cm="1">
        <f t="array" aca="1" ref="O133" ca="1">INDIRECT("'※ 인력 세부데이터'!"&amp;O$1&amp;$W134, TRUE)</f>
        <v>44</v>
      </c>
      <c r="P133" s="3700" cm="1">
        <f t="array" aca="1" ref="P133" ca="1">INDIRECT("'※ 인력 세부데이터'!"&amp;P$1&amp;$W134, TRUE)</f>
        <v>45</v>
      </c>
      <c r="Q133" s="3700" cm="1">
        <f t="array" aca="1" ref="Q133" ca="1">INDIRECT("'※ 인력 세부데이터'!"&amp;Q$1&amp;$W134, TRUE)</f>
        <v>45</v>
      </c>
      <c r="R133" s="3997"/>
      <c r="S133" s="3998"/>
      <c r="T133" s="3999"/>
      <c r="U133" s="4000" cm="1">
        <f t="array" aca="1" ref="U133" ca="1">INDIRECT("'※ 인력 세부데이터'!"&amp;U$1&amp;$W134, TRUE)</f>
        <v>7</v>
      </c>
      <c r="V133" s="3961" cm="1">
        <f t="array" aca="1" ref="V133" ca="1">INDIRECT("'※ 인력 세부데이터'!"&amp;V$1&amp;$W134, TRUE)</f>
        <v>6.4285714285714288</v>
      </c>
      <c r="W133" s="3693">
        <f>ROW('※ 인력 세부데이터'!J128)</f>
        <v>128</v>
      </c>
    </row>
    <row r="134" spans="1:23" ht="18.899999999999999" customHeight="1" x14ac:dyDescent="0.55000000000000004">
      <c r="A134" s="7452"/>
      <c r="B134" s="3995"/>
      <c r="C134" s="4001" t="s">
        <v>254</v>
      </c>
      <c r="D134" s="3717" cm="1">
        <f t="array" aca="1" ref="D134" ca="1">INDIRECT("'※ 인력 세부데이터'!"&amp;D$1&amp;$W135, TRUE)</f>
        <v>15.916666666666666</v>
      </c>
      <c r="E134" s="3717" cm="1">
        <f t="array" aca="1" ref="E134" ca="1">INDIRECT("'※ 인력 세부데이터'!"&amp;E$1&amp;$W135, TRUE)</f>
        <v>19.75</v>
      </c>
      <c r="F134" s="3699" cm="1">
        <f t="array" aca="1" ref="F134" ca="1">INDIRECT("'※ 인력 세부데이터'!"&amp;F$1&amp;$W135, TRUE)</f>
        <v>19</v>
      </c>
      <c r="G134" s="3700" cm="1">
        <f t="array" aca="1" ref="G134" ca="1">INDIRECT("'※ 인력 세부데이터'!"&amp;G$1&amp;$W135, TRUE)</f>
        <v>19</v>
      </c>
      <c r="H134" s="3700" cm="1">
        <f t="array" aca="1" ref="H134" ca="1">INDIRECT("'※ 인력 세부데이터'!"&amp;H$1&amp;$W135, TRUE)</f>
        <v>20</v>
      </c>
      <c r="I134" s="3700" cm="1">
        <f t="array" aca="1" ref="I134" ca="1">INDIRECT("'※ 인력 세부데이터'!"&amp;I$1&amp;$W135, TRUE)</f>
        <v>20</v>
      </c>
      <c r="J134" s="3700" cm="1">
        <f t="array" aca="1" ref="J134" ca="1">INDIRECT("'※ 인력 세부데이터'!"&amp;J$1&amp;$W135, TRUE)</f>
        <v>18</v>
      </c>
      <c r="K134" s="3700" cm="1">
        <f t="array" aca="1" ref="K134" ca="1">INDIRECT("'※ 인력 세부데이터'!"&amp;K$1&amp;$W135, TRUE)</f>
        <v>18</v>
      </c>
      <c r="L134" s="3700" cm="1">
        <f t="array" aca="1" ref="L134" ca="1">INDIRECT("'※ 인력 세부데이터'!"&amp;L$1&amp;$W135, TRUE)</f>
        <v>18</v>
      </c>
      <c r="M134" s="3700" cm="1">
        <f t="array" aca="1" ref="M134" ca="1">INDIRECT("'※ 인력 세부데이터'!"&amp;M$1&amp;$W135, TRUE)</f>
        <v>20</v>
      </c>
      <c r="N134" s="3700" cm="1">
        <f t="array" aca="1" ref="N134" ca="1">INDIRECT("'※ 인력 세부데이터'!"&amp;N$1&amp;$W135, TRUE)</f>
        <v>17</v>
      </c>
      <c r="O134" s="3700" cm="1">
        <f t="array" aca="1" ref="O134" ca="1">INDIRECT("'※ 인력 세부데이터'!"&amp;O$1&amp;$W135, TRUE)</f>
        <v>19</v>
      </c>
      <c r="P134" s="3700" cm="1">
        <f t="array" aca="1" ref="P134" ca="1">INDIRECT("'※ 인력 세부데이터'!"&amp;P$1&amp;$W135, TRUE)</f>
        <v>19</v>
      </c>
      <c r="Q134" s="3700" cm="1">
        <f t="array" aca="1" ref="Q134" ca="1">INDIRECT("'※ 인력 세부데이터'!"&amp;Q$1&amp;$W135, TRUE)</f>
        <v>20</v>
      </c>
      <c r="R134" s="3997"/>
      <c r="S134" s="3998"/>
      <c r="T134" s="3999"/>
      <c r="U134" s="4002"/>
      <c r="V134" s="4003"/>
      <c r="W134" s="3693">
        <f>ROW('※ 인력 세부데이터'!J129)</f>
        <v>129</v>
      </c>
    </row>
    <row r="135" spans="1:23" ht="18.899999999999999" customHeight="1" x14ac:dyDescent="0.55000000000000004">
      <c r="A135" s="7452"/>
      <c r="B135" s="3995"/>
      <c r="C135" s="4004" t="s">
        <v>245</v>
      </c>
      <c r="D135" s="4005" cm="1">
        <f t="array" aca="1" ref="D135" ca="1">INDIRECT("'※ 인력 세부데이터'!"&amp;D$1&amp;$W136, TRUE)</f>
        <v>56.416666666666664</v>
      </c>
      <c r="E135" s="4005" cm="1">
        <f t="array" aca="1" ref="E135" ca="1">INDIRECT("'※ 인력 세부데이터'!"&amp;E$1&amp;$W136, TRUE)</f>
        <v>44.25</v>
      </c>
      <c r="F135" s="4006" cm="1">
        <f t="array" aca="1" ref="F135" ca="1">INDIRECT("'※ 인력 세부데이터'!"&amp;F$1&amp;$W136, TRUE)</f>
        <v>44</v>
      </c>
      <c r="G135" s="4007" cm="1">
        <f t="array" aca="1" ref="G135" ca="1">INDIRECT("'※ 인력 세부데이터'!"&amp;G$1&amp;$W136, TRUE)</f>
        <v>42</v>
      </c>
      <c r="H135" s="4007" cm="1">
        <f t="array" aca="1" ref="H135" ca="1">INDIRECT("'※ 인력 세부데이터'!"&amp;H$1&amp;$W136, TRUE)</f>
        <v>44</v>
      </c>
      <c r="I135" s="4007" cm="1">
        <f t="array" aca="1" ref="I135" ca="1">INDIRECT("'※ 인력 세부데이터'!"&amp;I$1&amp;$W136, TRUE)</f>
        <v>44</v>
      </c>
      <c r="J135" s="4007" cm="1">
        <f t="array" aca="1" ref="J135" ca="1">INDIRECT("'※ 인력 세부데이터'!"&amp;J$1&amp;$W136, TRUE)</f>
        <v>42</v>
      </c>
      <c r="K135" s="4007" cm="1">
        <f t="array" aca="1" ref="K135" ca="1">INDIRECT("'※ 인력 세부데이터'!"&amp;K$1&amp;$W136, TRUE)</f>
        <v>40</v>
      </c>
      <c r="L135" s="4007" cm="1">
        <f t="array" aca="1" ref="L135" ca="1">INDIRECT("'※ 인력 세부데이터'!"&amp;L$1&amp;$W136, TRUE)</f>
        <v>43</v>
      </c>
      <c r="M135" s="4007" cm="1">
        <f t="array" aca="1" ref="M135" ca="1">INDIRECT("'※ 인력 세부데이터'!"&amp;M$1&amp;$W136, TRUE)</f>
        <v>43</v>
      </c>
      <c r="N135" s="4007" cm="1">
        <f t="array" aca="1" ref="N135" ca="1">INDIRECT("'※ 인력 세부데이터'!"&amp;N$1&amp;$W136, TRUE)</f>
        <v>45</v>
      </c>
      <c r="O135" s="4007" cm="1">
        <f t="array" aca="1" ref="O135" ca="1">INDIRECT("'※ 인력 세부데이터'!"&amp;O$1&amp;$W136, TRUE)</f>
        <v>43</v>
      </c>
      <c r="P135" s="4007" cm="1">
        <f t="array" aca="1" ref="P135" ca="1">INDIRECT("'※ 인력 세부데이터'!"&amp;P$1&amp;$W136, TRUE)</f>
        <v>41</v>
      </c>
      <c r="Q135" s="4007" cm="1">
        <f t="array" aca="1" ref="Q135" ca="1">INDIRECT("'※ 인력 세부데이터'!"&amp;Q$1&amp;$W136, TRUE)</f>
        <v>42</v>
      </c>
      <c r="R135" s="3997"/>
      <c r="S135" s="3998"/>
      <c r="T135" s="3999"/>
      <c r="U135" s="4011" cm="1">
        <f t="array" aca="1" ref="U135" ca="1">INDIRECT("'※ 인력 세부데이터'!"&amp;U$1&amp;$W136, TRUE)</f>
        <v>7</v>
      </c>
      <c r="V135" s="4012" cm="1">
        <f t="array" aca="1" ref="V135" ca="1">INDIRECT("'※ 인력 세부데이터'!"&amp;V$1&amp;$W136, TRUE)</f>
        <v>6</v>
      </c>
      <c r="W135" s="3693">
        <f>ROW('※ 인력 세부데이터'!J130)</f>
        <v>130</v>
      </c>
    </row>
    <row r="136" spans="1:23" ht="18.899999999999999" customHeight="1" x14ac:dyDescent="0.55000000000000004">
      <c r="A136" s="7452"/>
      <c r="B136" s="3995"/>
      <c r="C136" s="4009" t="s">
        <v>254</v>
      </c>
      <c r="D136" s="4005" cm="1">
        <f t="array" aca="1" ref="D136" ca="1">INDIRECT("'※ 인력 세부데이터'!"&amp;D$1&amp;$W137, TRUE)</f>
        <v>21.5</v>
      </c>
      <c r="E136" s="4005" cm="1">
        <f t="array" aca="1" ref="E136" ca="1">INDIRECT("'※ 인력 세부데이터'!"&amp;E$1&amp;$W137, TRUE)</f>
        <v>18.666666666666668</v>
      </c>
      <c r="F136" s="4006" cm="1">
        <f t="array" aca="1" ref="F136" ca="1">INDIRECT("'※ 인력 세부데이터'!"&amp;F$1&amp;$W137, TRUE)</f>
        <v>16</v>
      </c>
      <c r="G136" s="4007" cm="1">
        <f t="array" aca="1" ref="G136" ca="1">INDIRECT("'※ 인력 세부데이터'!"&amp;G$1&amp;$W137, TRUE)</f>
        <v>16</v>
      </c>
      <c r="H136" s="4007" cm="1">
        <f t="array" aca="1" ref="H136" ca="1">INDIRECT("'※ 인력 세부데이터'!"&amp;H$1&amp;$W137, TRUE)</f>
        <v>17</v>
      </c>
      <c r="I136" s="4007" cm="1">
        <f t="array" aca="1" ref="I136" ca="1">INDIRECT("'※ 인력 세부데이터'!"&amp;I$1&amp;$W137, TRUE)</f>
        <v>17</v>
      </c>
      <c r="J136" s="4007" cm="1">
        <f t="array" aca="1" ref="J136" ca="1">INDIRECT("'※ 인력 세부데이터'!"&amp;J$1&amp;$W137, TRUE)</f>
        <v>17</v>
      </c>
      <c r="K136" s="4007" cm="1">
        <f t="array" aca="1" ref="K136" ca="1">INDIRECT("'※ 인력 세부데이터'!"&amp;K$1&amp;$W137, TRUE)</f>
        <v>17</v>
      </c>
      <c r="L136" s="4007" cm="1">
        <f t="array" aca="1" ref="L136" ca="1">INDIRECT("'※ 인력 세부데이터'!"&amp;L$1&amp;$W137, TRUE)</f>
        <v>17</v>
      </c>
      <c r="M136" s="4007" cm="1">
        <f t="array" aca="1" ref="M136" ca="1">INDIRECT("'※ 인력 세부데이터'!"&amp;M$1&amp;$W137, TRUE)</f>
        <v>17</v>
      </c>
      <c r="N136" s="4007" cm="1">
        <f t="array" aca="1" ref="N136" ca="1">INDIRECT("'※ 인력 세부데이터'!"&amp;N$1&amp;$W137, TRUE)</f>
        <v>19</v>
      </c>
      <c r="O136" s="4007" cm="1">
        <f t="array" aca="1" ref="O136" ca="1">INDIRECT("'※ 인력 세부데이터'!"&amp;O$1&amp;$W137, TRUE)</f>
        <v>17</v>
      </c>
      <c r="P136" s="4007" cm="1">
        <f t="array" aca="1" ref="P136" ca="1">INDIRECT("'※ 인력 세부데이터'!"&amp;P$1&amp;$W137, TRUE)</f>
        <v>15</v>
      </c>
      <c r="Q136" s="4007" cm="1">
        <f t="array" aca="1" ref="Q136" ca="1">INDIRECT("'※ 인력 세부데이터'!"&amp;Q$1&amp;$W137, TRUE)</f>
        <v>15</v>
      </c>
      <c r="R136" s="3997"/>
      <c r="S136" s="3998"/>
      <c r="T136" s="3999"/>
      <c r="U136" s="4002"/>
      <c r="V136" s="4003"/>
      <c r="W136" s="3693">
        <f>ROW('※ 인력 세부데이터'!J131)</f>
        <v>131</v>
      </c>
    </row>
    <row r="137" spans="1:23" ht="18.899999999999999" customHeight="1" x14ac:dyDescent="0.55000000000000004">
      <c r="A137" s="7452"/>
      <c r="B137" s="3995"/>
      <c r="C137" s="4010" t="s">
        <v>246</v>
      </c>
      <c r="D137" s="3717" cm="1">
        <f t="array" aca="1" ref="D137" ca="1">INDIRECT("'※ 인력 세부데이터'!"&amp;D$1&amp;$W138, TRUE)</f>
        <v>67.666666666666671</v>
      </c>
      <c r="E137" s="3717" cm="1">
        <f t="array" aca="1" ref="E137" ca="1">INDIRECT("'※ 인력 세부데이터'!"&amp;E$1&amp;$W138, TRUE)</f>
        <v>53.833333333333336</v>
      </c>
      <c r="F137" s="3699" cm="1">
        <f t="array" aca="1" ref="F137" ca="1">INDIRECT("'※ 인력 세부데이터'!"&amp;F$1&amp;$W138, TRUE)</f>
        <v>60</v>
      </c>
      <c r="G137" s="3700" cm="1">
        <f t="array" aca="1" ref="G137" ca="1">INDIRECT("'※ 인력 세부데이터'!"&amp;G$1&amp;$W138, TRUE)</f>
        <v>60</v>
      </c>
      <c r="H137" s="3700" cm="1">
        <f t="array" aca="1" ref="H137" ca="1">INDIRECT("'※ 인력 세부데이터'!"&amp;H$1&amp;$W138, TRUE)</f>
        <v>58</v>
      </c>
      <c r="I137" s="3700" cm="1">
        <f t="array" aca="1" ref="I137" ca="1">INDIRECT("'※ 인력 세부데이터'!"&amp;I$1&amp;$W138, TRUE)</f>
        <v>55</v>
      </c>
      <c r="J137" s="3700" cm="1">
        <f t="array" aca="1" ref="J137" ca="1">INDIRECT("'※ 인력 세부데이터'!"&amp;J$1&amp;$W138, TRUE)</f>
        <v>56</v>
      </c>
      <c r="K137" s="3700" cm="1">
        <f t="array" aca="1" ref="K137" ca="1">INDIRECT("'※ 인력 세부데이터'!"&amp;K$1&amp;$W138, TRUE)</f>
        <v>54</v>
      </c>
      <c r="L137" s="3700" cm="1">
        <f t="array" aca="1" ref="L137" ca="1">INDIRECT("'※ 인력 세부데이터'!"&amp;L$1&amp;$W138, TRUE)</f>
        <v>57</v>
      </c>
      <c r="M137" s="3700" cm="1">
        <f t="array" aca="1" ref="M137" ca="1">INDIRECT("'※ 인력 세부데이터'!"&amp;M$1&amp;$W138, TRUE)</f>
        <v>58</v>
      </c>
      <c r="N137" s="3700" cm="1">
        <f t="array" aca="1" ref="N137" ca="1">INDIRECT("'※ 인력 세부데이터'!"&amp;N$1&amp;$W138, TRUE)</f>
        <v>59</v>
      </c>
      <c r="O137" s="3700" cm="1">
        <f t="array" aca="1" ref="O137" ca="1">INDIRECT("'※ 인력 세부데이터'!"&amp;O$1&amp;$W138, TRUE)</f>
        <v>56</v>
      </c>
      <c r="P137" s="3700" cm="1">
        <f t="array" aca="1" ref="P137" ca="1">INDIRECT("'※ 인력 세부데이터'!"&amp;P$1&amp;$W138, TRUE)</f>
        <v>56</v>
      </c>
      <c r="Q137" s="3700" cm="1">
        <f t="array" aca="1" ref="Q137" ca="1">INDIRECT("'※ 인력 세부데이터'!"&amp;Q$1&amp;$W138, TRUE)</f>
        <v>58</v>
      </c>
      <c r="R137" s="3997"/>
      <c r="S137" s="3998"/>
      <c r="T137" s="3999"/>
      <c r="U137" s="4000" cm="1">
        <f t="array" aca="1" ref="U137" ca="1">INDIRECT("'※ 인력 세부데이터'!"&amp;U$1&amp;$W138, TRUE)</f>
        <v>8</v>
      </c>
      <c r="V137" s="3961" cm="1">
        <f t="array" aca="1" ref="V137" ca="1">INDIRECT("'※ 인력 세부데이터'!"&amp;V$1&amp;$W138, TRUE)</f>
        <v>7.25</v>
      </c>
      <c r="W137" s="3693">
        <f>ROW('※ 인력 세부데이터'!J132)</f>
        <v>132</v>
      </c>
    </row>
    <row r="138" spans="1:23" ht="18.899999999999999" customHeight="1" x14ac:dyDescent="0.55000000000000004">
      <c r="A138" s="7452"/>
      <c r="B138" s="3995"/>
      <c r="C138" s="4001" t="s">
        <v>254</v>
      </c>
      <c r="D138" s="3717" cm="1">
        <f t="array" aca="1" ref="D138" ca="1">INDIRECT("'※ 인력 세부데이터'!"&amp;D$1&amp;$W139, TRUE)</f>
        <v>26.583333333333332</v>
      </c>
      <c r="E138" s="3717" cm="1">
        <f t="array" aca="1" ref="E138" ca="1">INDIRECT("'※ 인력 세부데이터'!"&amp;E$1&amp;$W139, TRUE)</f>
        <v>23.333333333333332</v>
      </c>
      <c r="F138" s="3699" cm="1">
        <f t="array" aca="1" ref="F138" ca="1">INDIRECT("'※ 인력 세부데이터'!"&amp;F$1&amp;$W139, TRUE)</f>
        <v>26</v>
      </c>
      <c r="G138" s="3700" cm="1">
        <f t="array" aca="1" ref="G138" ca="1">INDIRECT("'※ 인력 세부데이터'!"&amp;G$1&amp;$W139, TRUE)</f>
        <v>26</v>
      </c>
      <c r="H138" s="3700" cm="1">
        <f t="array" aca="1" ref="H138" ca="1">INDIRECT("'※ 인력 세부데이터'!"&amp;H$1&amp;$W139, TRUE)</f>
        <v>27</v>
      </c>
      <c r="I138" s="3700" cm="1">
        <f t="array" aca="1" ref="I138" ca="1">INDIRECT("'※ 인력 세부데이터'!"&amp;I$1&amp;$W139, TRUE)</f>
        <v>27</v>
      </c>
      <c r="J138" s="3700" cm="1">
        <f t="array" aca="1" ref="J138" ca="1">INDIRECT("'※ 인력 세부데이터'!"&amp;J$1&amp;$W139, TRUE)</f>
        <v>27</v>
      </c>
      <c r="K138" s="3700" cm="1">
        <f t="array" aca="1" ref="K138" ca="1">INDIRECT("'※ 인력 세부데이터'!"&amp;K$1&amp;$W139, TRUE)</f>
        <v>25</v>
      </c>
      <c r="L138" s="3700" cm="1">
        <f t="array" aca="1" ref="L138" ca="1">INDIRECT("'※ 인력 세부데이터'!"&amp;L$1&amp;$W139, TRUE)</f>
        <v>27</v>
      </c>
      <c r="M138" s="3700" cm="1">
        <f t="array" aca="1" ref="M138" ca="1">INDIRECT("'※ 인력 세부데이터'!"&amp;M$1&amp;$W139, TRUE)</f>
        <v>28</v>
      </c>
      <c r="N138" s="3700" cm="1">
        <f t="array" aca="1" ref="N138" ca="1">INDIRECT("'※ 인력 세부데이터'!"&amp;N$1&amp;$W139, TRUE)</f>
        <v>29</v>
      </c>
      <c r="O138" s="3700" cm="1">
        <f t="array" aca="1" ref="O138" ca="1">INDIRECT("'※ 인력 세부데이터'!"&amp;O$1&amp;$W139, TRUE)</f>
        <v>28</v>
      </c>
      <c r="P138" s="3700" cm="1">
        <f t="array" aca="1" ref="P138" ca="1">INDIRECT("'※ 인력 세부데이터'!"&amp;P$1&amp;$W139, TRUE)</f>
        <v>21</v>
      </c>
      <c r="Q138" s="3700" cm="1">
        <f t="array" aca="1" ref="Q138" ca="1">INDIRECT("'※ 인력 세부데이터'!"&amp;Q$1&amp;$W139, TRUE)</f>
        <v>24</v>
      </c>
      <c r="R138" s="3997"/>
      <c r="S138" s="3998"/>
      <c r="T138" s="3999"/>
      <c r="U138" s="4002"/>
      <c r="V138" s="4003"/>
      <c r="W138" s="3693">
        <f>ROW('※ 인력 세부데이터'!J133)</f>
        <v>133</v>
      </c>
    </row>
    <row r="139" spans="1:23" ht="18.899999999999999" customHeight="1" x14ac:dyDescent="0.55000000000000004">
      <c r="A139" s="7452"/>
      <c r="B139" s="3995"/>
      <c r="C139" s="4004" t="s">
        <v>247</v>
      </c>
      <c r="D139" s="4005" cm="1">
        <f t="array" aca="1" ref="D139" ca="1">INDIRECT("'※ 인력 세부데이터'!"&amp;D$1&amp;$W140, TRUE)</f>
        <v>51.083333333333336</v>
      </c>
      <c r="E139" s="4005" cm="1">
        <f t="array" aca="1" ref="E139" ca="1">INDIRECT("'※ 인력 세부데이터'!"&amp;E$1&amp;$W140, TRUE)</f>
        <v>42.166666666666664</v>
      </c>
      <c r="F139" s="4006" cm="1">
        <f t="array" aca="1" ref="F139" ca="1">INDIRECT("'※ 인력 세부데이터'!"&amp;F$1&amp;$W140, TRUE)</f>
        <v>42</v>
      </c>
      <c r="G139" s="4007" cm="1">
        <f t="array" aca="1" ref="G139" ca="1">INDIRECT("'※ 인력 세부데이터'!"&amp;G$1&amp;$W140, TRUE)</f>
        <v>43</v>
      </c>
      <c r="H139" s="4007" cm="1">
        <f t="array" aca="1" ref="H139" ca="1">INDIRECT("'※ 인력 세부데이터'!"&amp;H$1&amp;$W140, TRUE)</f>
        <v>42</v>
      </c>
      <c r="I139" s="4007" cm="1">
        <f t="array" aca="1" ref="I139" ca="1">INDIRECT("'※ 인력 세부데이터'!"&amp;I$1&amp;$W140, TRUE)</f>
        <v>41</v>
      </c>
      <c r="J139" s="4007" cm="1">
        <f t="array" aca="1" ref="J139" ca="1">INDIRECT("'※ 인력 세부데이터'!"&amp;J$1&amp;$W140, TRUE)</f>
        <v>41</v>
      </c>
      <c r="K139" s="4007" cm="1">
        <f t="array" aca="1" ref="K139" ca="1">INDIRECT("'※ 인력 세부데이터'!"&amp;K$1&amp;$W140, TRUE)</f>
        <v>39</v>
      </c>
      <c r="L139" s="4007" cm="1">
        <f t="array" aca="1" ref="L139" ca="1">INDIRECT("'※ 인력 세부데이터'!"&amp;L$1&amp;$W140, TRUE)</f>
        <v>39</v>
      </c>
      <c r="M139" s="4007" cm="1">
        <f t="array" aca="1" ref="M139" ca="1">INDIRECT("'※ 인력 세부데이터'!"&amp;M$1&amp;$W140, TRUE)</f>
        <v>40</v>
      </c>
      <c r="N139" s="4007" cm="1">
        <f t="array" aca="1" ref="N139" ca="1">INDIRECT("'※ 인력 세부데이터'!"&amp;N$1&amp;$W140, TRUE)</f>
        <v>43</v>
      </c>
      <c r="O139" s="4007" cm="1">
        <f t="array" aca="1" ref="O139" ca="1">INDIRECT("'※ 인력 세부데이터'!"&amp;O$1&amp;$W140, TRUE)</f>
        <v>42</v>
      </c>
      <c r="P139" s="4007" cm="1">
        <f t="array" aca="1" ref="P139" ca="1">INDIRECT("'※ 인력 세부데이터'!"&amp;P$1&amp;$W140, TRUE)</f>
        <v>41</v>
      </c>
      <c r="Q139" s="4007" cm="1">
        <f t="array" aca="1" ref="Q139" ca="1">INDIRECT("'※ 인력 세부데이터'!"&amp;Q$1&amp;$W140, TRUE)</f>
        <v>41</v>
      </c>
      <c r="R139" s="3997"/>
      <c r="S139" s="3998"/>
      <c r="T139" s="3999"/>
      <c r="U139" s="4011" cm="1">
        <f t="array" aca="1" ref="U139" ca="1">INDIRECT("'※ 인력 세부데이터'!"&amp;U$1&amp;$W140, TRUE)</f>
        <v>6</v>
      </c>
      <c r="V139" s="4012" cm="1">
        <f t="array" aca="1" ref="V139" ca="1">INDIRECT("'※ 인력 세부데이터'!"&amp;V$1&amp;$W140, TRUE)</f>
        <v>6.833333333333333</v>
      </c>
      <c r="W139" s="3693">
        <f>ROW('※ 인력 세부데이터'!J134)</f>
        <v>134</v>
      </c>
    </row>
    <row r="140" spans="1:23" ht="18.899999999999999" customHeight="1" x14ac:dyDescent="0.55000000000000004">
      <c r="A140" s="7452"/>
      <c r="B140" s="3995"/>
      <c r="C140" s="4009" t="s">
        <v>254</v>
      </c>
      <c r="D140" s="4005" cm="1">
        <f t="array" aca="1" ref="D140" ca="1">INDIRECT("'※ 인력 세부데이터'!"&amp;D$1&amp;$W141, TRUE)</f>
        <v>19.5</v>
      </c>
      <c r="E140" s="4005" cm="1">
        <f t="array" aca="1" ref="E140" ca="1">INDIRECT("'※ 인력 세부데이터'!"&amp;E$1&amp;$W141, TRUE)</f>
        <v>18</v>
      </c>
      <c r="F140" s="4006" cm="1">
        <f t="array" aca="1" ref="F140" ca="1">INDIRECT("'※ 인력 세부데이터'!"&amp;F$1&amp;$W141, TRUE)</f>
        <v>18</v>
      </c>
      <c r="G140" s="4007" cm="1">
        <f t="array" aca="1" ref="G140" ca="1">INDIRECT("'※ 인력 세부데이터'!"&amp;G$1&amp;$W141, TRUE)</f>
        <v>19</v>
      </c>
      <c r="H140" s="4007" cm="1">
        <f t="array" aca="1" ref="H140" ca="1">INDIRECT("'※ 인력 세부데이터'!"&amp;H$1&amp;$W141, TRUE)</f>
        <v>19</v>
      </c>
      <c r="I140" s="4007" cm="1">
        <f t="array" aca="1" ref="I140" ca="1">INDIRECT("'※ 인력 세부데이터'!"&amp;I$1&amp;$W141, TRUE)</f>
        <v>18</v>
      </c>
      <c r="J140" s="4007" cm="1">
        <f t="array" aca="1" ref="J140" ca="1">INDIRECT("'※ 인력 세부데이터'!"&amp;J$1&amp;$W141, TRUE)</f>
        <v>19</v>
      </c>
      <c r="K140" s="4007" cm="1">
        <f t="array" aca="1" ref="K140" ca="1">INDIRECT("'※ 인력 세부데이터'!"&amp;K$1&amp;$W141, TRUE)</f>
        <v>17</v>
      </c>
      <c r="L140" s="4007" cm="1">
        <f t="array" aca="1" ref="L140" ca="1">INDIRECT("'※ 인력 세부데이터'!"&amp;L$1&amp;$W141, TRUE)</f>
        <v>17</v>
      </c>
      <c r="M140" s="4007" cm="1">
        <f t="array" aca="1" ref="M140" ca="1">INDIRECT("'※ 인력 세부데이터'!"&amp;M$1&amp;$W141, TRUE)</f>
        <v>17</v>
      </c>
      <c r="N140" s="4007" cm="1">
        <f t="array" aca="1" ref="N140" ca="1">INDIRECT("'※ 인력 세부데이터'!"&amp;N$1&amp;$W141, TRUE)</f>
        <v>22</v>
      </c>
      <c r="O140" s="4007" cm="1">
        <f t="array" aca="1" ref="O140" ca="1">INDIRECT("'※ 인력 세부데이터'!"&amp;O$1&amp;$W141, TRUE)</f>
        <v>21</v>
      </c>
      <c r="P140" s="4007" cm="1">
        <f t="array" aca="1" ref="P140" ca="1">INDIRECT("'※ 인력 세부데이터'!"&amp;P$1&amp;$W141, TRUE)</f>
        <v>16</v>
      </c>
      <c r="Q140" s="4007" cm="1">
        <f t="array" aca="1" ref="Q140" ca="1">INDIRECT("'※ 인력 세부데이터'!"&amp;Q$1&amp;$W141, TRUE)</f>
        <v>17</v>
      </c>
      <c r="R140" s="3997"/>
      <c r="S140" s="3998"/>
      <c r="T140" s="3999"/>
      <c r="U140" s="4002"/>
      <c r="V140" s="4003"/>
      <c r="W140" s="3693">
        <f>ROW('※ 인력 세부데이터'!J135)</f>
        <v>135</v>
      </c>
    </row>
    <row r="141" spans="1:23" ht="18.899999999999999" customHeight="1" x14ac:dyDescent="0.55000000000000004">
      <c r="A141" s="7452"/>
      <c r="B141" s="3995"/>
      <c r="C141" s="4010" t="s">
        <v>248</v>
      </c>
      <c r="D141" s="3717" cm="1">
        <f t="array" aca="1" ref="D141" ca="1">INDIRECT("'※ 인력 세부데이터'!"&amp;D$1&amp;$W142, TRUE)</f>
        <v>52.25</v>
      </c>
      <c r="E141" s="3717" cm="1">
        <f t="array" aca="1" ref="E141" ca="1">INDIRECT("'※ 인력 세부데이터'!"&amp;E$1&amp;$W142, TRUE)</f>
        <v>43.75</v>
      </c>
      <c r="F141" s="3699" cm="1">
        <f t="array" aca="1" ref="F141" ca="1">INDIRECT("'※ 인력 세부데이터'!"&amp;F$1&amp;$W142, TRUE)</f>
        <v>45</v>
      </c>
      <c r="G141" s="3700" cm="1">
        <f t="array" aca="1" ref="G141" ca="1">INDIRECT("'※ 인력 세부데이터'!"&amp;G$1&amp;$W142, TRUE)</f>
        <v>42</v>
      </c>
      <c r="H141" s="3700" cm="1">
        <f t="array" aca="1" ref="H141" ca="1">INDIRECT("'※ 인력 세부데이터'!"&amp;H$1&amp;$W142, TRUE)</f>
        <v>45</v>
      </c>
      <c r="I141" s="3700" cm="1">
        <f t="array" aca="1" ref="I141" ca="1">INDIRECT("'※ 인력 세부데이터'!"&amp;I$1&amp;$W142, TRUE)</f>
        <v>45</v>
      </c>
      <c r="J141" s="3700" cm="1">
        <f t="array" aca="1" ref="J141" ca="1">INDIRECT("'※ 인력 세부데이터'!"&amp;J$1&amp;$W142, TRUE)</f>
        <v>42</v>
      </c>
      <c r="K141" s="3700" cm="1">
        <f t="array" aca="1" ref="K141" ca="1">INDIRECT("'※ 인력 세부데이터'!"&amp;K$1&amp;$W142, TRUE)</f>
        <v>45</v>
      </c>
      <c r="L141" s="3700" cm="1">
        <f t="array" aca="1" ref="L141" ca="1">INDIRECT("'※ 인력 세부데이터'!"&amp;L$1&amp;$W142, TRUE)</f>
        <v>40</v>
      </c>
      <c r="M141" s="3700" cm="1">
        <f t="array" aca="1" ref="M141" ca="1">INDIRECT("'※ 인력 세부데이터'!"&amp;M$1&amp;$W142, TRUE)</f>
        <v>36</v>
      </c>
      <c r="N141" s="3700" cm="1">
        <f t="array" aca="1" ref="N141" ca="1">INDIRECT("'※ 인력 세부데이터'!"&amp;N$1&amp;$W142, TRUE)</f>
        <v>31</v>
      </c>
      <c r="O141" s="3700" cm="1">
        <f t="array" aca="1" ref="O141" ca="1">INDIRECT("'※ 인력 세부데이터'!"&amp;O$1&amp;$W142, TRUE)</f>
        <v>32</v>
      </c>
      <c r="P141" s="3700" cm="1">
        <f t="array" aca="1" ref="P141" ca="1">INDIRECT("'※ 인력 세부데이터'!"&amp;P$1&amp;$W142, TRUE)</f>
        <v>38</v>
      </c>
      <c r="Q141" s="3700" cm="1">
        <f t="array" aca="1" ref="Q141" ca="1">INDIRECT("'※ 인력 세부데이터'!"&amp;Q$1&amp;$W142, TRUE)</f>
        <v>42</v>
      </c>
      <c r="R141" s="3997"/>
      <c r="S141" s="3998"/>
      <c r="T141" s="3999"/>
      <c r="U141" s="4000" cm="1">
        <f t="array" aca="1" ref="U141" ca="1">INDIRECT("'※ 인력 세부데이터'!"&amp;U$1&amp;$W142, TRUE)</f>
        <v>6</v>
      </c>
      <c r="V141" s="3961" cm="1">
        <f t="array" aca="1" ref="V141" ca="1">INDIRECT("'※ 인력 세부데이터'!"&amp;V$1&amp;$W142, TRUE)</f>
        <v>7</v>
      </c>
      <c r="W141" s="3693">
        <f>ROW('※ 인력 세부데이터'!J136)</f>
        <v>136</v>
      </c>
    </row>
    <row r="142" spans="1:23" ht="18.899999999999999" customHeight="1" x14ac:dyDescent="0.55000000000000004">
      <c r="A142" s="7452"/>
      <c r="B142" s="3995"/>
      <c r="C142" s="4001" t="s">
        <v>254</v>
      </c>
      <c r="D142" s="3717" cm="1">
        <f t="array" aca="1" ref="D142" ca="1">INDIRECT("'※ 인력 세부데이터'!"&amp;D$1&amp;$W143, TRUE)</f>
        <v>21.583333333333332</v>
      </c>
      <c r="E142" s="3717" cm="1">
        <f t="array" aca="1" ref="E142" ca="1">INDIRECT("'※ 인력 세부데이터'!"&amp;E$1&amp;$W143, TRUE)</f>
        <v>20.666666666666668</v>
      </c>
      <c r="F142" s="3699" cm="1">
        <f t="array" aca="1" ref="F142" ca="1">INDIRECT("'※ 인력 세부데이터'!"&amp;F$1&amp;$W143, TRUE)</f>
        <v>20</v>
      </c>
      <c r="G142" s="3700" cm="1">
        <f t="array" aca="1" ref="G142" ca="1">INDIRECT("'※ 인력 세부데이터'!"&amp;G$1&amp;$W143, TRUE)</f>
        <v>20</v>
      </c>
      <c r="H142" s="3700" cm="1">
        <f t="array" aca="1" ref="H142" ca="1">INDIRECT("'※ 인력 세부데이터'!"&amp;H$1&amp;$W143, TRUE)</f>
        <v>22</v>
      </c>
      <c r="I142" s="3700" cm="1">
        <f t="array" aca="1" ref="I142" ca="1">INDIRECT("'※ 인력 세부데이터'!"&amp;I$1&amp;$W143, TRUE)</f>
        <v>23</v>
      </c>
      <c r="J142" s="3700" cm="1">
        <f t="array" aca="1" ref="J142" ca="1">INDIRECT("'※ 인력 세부데이터'!"&amp;J$1&amp;$W143, TRUE)</f>
        <v>20</v>
      </c>
      <c r="K142" s="3700" cm="1">
        <f t="array" aca="1" ref="K142" ca="1">INDIRECT("'※ 인력 세부데이터'!"&amp;K$1&amp;$W143, TRUE)</f>
        <v>22</v>
      </c>
      <c r="L142" s="3700" cm="1">
        <f t="array" aca="1" ref="L142" ca="1">INDIRECT("'※ 인력 세부데이터'!"&amp;L$1&amp;$W143, TRUE)</f>
        <v>18</v>
      </c>
      <c r="M142" s="3700" cm="1">
        <f t="array" aca="1" ref="M142" ca="1">INDIRECT("'※ 인력 세부데이터'!"&amp;M$1&amp;$W143, TRUE)</f>
        <v>16</v>
      </c>
      <c r="N142" s="3700" cm="1">
        <f t="array" aca="1" ref="N142" ca="1">INDIRECT("'※ 인력 세부데이터'!"&amp;N$1&amp;$W143, TRUE)</f>
        <v>11</v>
      </c>
      <c r="O142" s="3700" cm="1">
        <f t="array" aca="1" ref="O142" ca="1">INDIRECT("'※ 인력 세부데이터'!"&amp;O$1&amp;$W143, TRUE)</f>
        <v>11</v>
      </c>
      <c r="P142" s="3700" cm="1">
        <f t="array" aca="1" ref="P142" ca="1">INDIRECT("'※ 인력 세부데이터'!"&amp;P$1&amp;$W143, TRUE)</f>
        <v>13</v>
      </c>
      <c r="Q142" s="3700" cm="1">
        <f t="array" aca="1" ref="Q142" ca="1">INDIRECT("'※ 인력 세부데이터'!"&amp;Q$1&amp;$W143, TRUE)</f>
        <v>15</v>
      </c>
      <c r="R142" s="3997"/>
      <c r="S142" s="3998"/>
      <c r="T142" s="3999"/>
      <c r="U142" s="4002"/>
      <c r="V142" s="4003"/>
      <c r="W142" s="3693">
        <f>ROW('※ 인력 세부데이터'!J137)</f>
        <v>137</v>
      </c>
    </row>
    <row r="143" spans="1:23" ht="18.899999999999999" customHeight="1" x14ac:dyDescent="0.55000000000000004">
      <c r="A143" s="7452"/>
      <c r="B143" s="3995"/>
      <c r="C143" s="4004" t="s">
        <v>249</v>
      </c>
      <c r="D143" s="4005" cm="1">
        <f t="array" aca="1" ref="D143" ca="1">INDIRECT("'※ 인력 세부데이터'!"&amp;D$1&amp;$W144, TRUE)</f>
        <v>48.25</v>
      </c>
      <c r="E143" s="4005" cm="1">
        <f t="array" aca="1" ref="E143" ca="1">INDIRECT("'※ 인력 세부데이터'!"&amp;E$1&amp;$W144, TRUE)</f>
        <v>35.916666666666664</v>
      </c>
      <c r="F143" s="4006" cm="1">
        <f t="array" aca="1" ref="F143" ca="1">INDIRECT("'※ 인력 세부데이터'!"&amp;F$1&amp;$W144, TRUE)</f>
        <v>33</v>
      </c>
      <c r="G143" s="4007" cm="1">
        <f t="array" aca="1" ref="G143" ca="1">INDIRECT("'※ 인력 세부데이터'!"&amp;G$1&amp;$W144, TRUE)</f>
        <v>33</v>
      </c>
      <c r="H143" s="4007" cm="1">
        <f t="array" aca="1" ref="H143" ca="1">INDIRECT("'※ 인력 세부데이터'!"&amp;H$1&amp;$W144, TRUE)</f>
        <v>33</v>
      </c>
      <c r="I143" s="4007" cm="1">
        <f t="array" aca="1" ref="I143" ca="1">INDIRECT("'※ 인력 세부데이터'!"&amp;I$1&amp;$W144, TRUE)</f>
        <v>33</v>
      </c>
      <c r="J143" s="4007" cm="1">
        <f t="array" aca="1" ref="J143" ca="1">INDIRECT("'※ 인력 세부데이터'!"&amp;J$1&amp;$W144, TRUE)</f>
        <v>32</v>
      </c>
      <c r="K143" s="4007" cm="1">
        <f t="array" aca="1" ref="K143" ca="1">INDIRECT("'※ 인력 세부데이터'!"&amp;K$1&amp;$W144, TRUE)</f>
        <v>31</v>
      </c>
      <c r="L143" s="4007" cm="1">
        <f t="array" aca="1" ref="L143" ca="1">INDIRECT("'※ 인력 세부데이터'!"&amp;L$1&amp;$W144, TRUE)</f>
        <v>30</v>
      </c>
      <c r="M143" s="4007" cm="1">
        <f t="array" aca="1" ref="M143" ca="1">INDIRECT("'※ 인력 세부데이터'!"&amp;M$1&amp;$W144, TRUE)</f>
        <v>28</v>
      </c>
      <c r="N143" s="4007" cm="1">
        <f t="array" aca="1" ref="N143" ca="1">INDIRECT("'※ 인력 세부데이터'!"&amp;N$1&amp;$W144, TRUE)</f>
        <v>30</v>
      </c>
      <c r="O143" s="4007" cm="1">
        <f t="array" aca="1" ref="O143" ca="1">INDIRECT("'※ 인력 세부데이터'!"&amp;O$1&amp;$W144, TRUE)</f>
        <v>33</v>
      </c>
      <c r="P143" s="4007" cm="1">
        <f t="array" aca="1" ref="P143" ca="1">INDIRECT("'※ 인력 세부데이터'!"&amp;P$1&amp;$W144, TRUE)</f>
        <v>36</v>
      </c>
      <c r="Q143" s="4007" cm="1">
        <f t="array" aca="1" ref="Q143" ca="1">INDIRECT("'※ 인력 세부데이터'!"&amp;Q$1&amp;$W144, TRUE)</f>
        <v>34</v>
      </c>
      <c r="R143" s="3997"/>
      <c r="S143" s="4013"/>
      <c r="T143" s="4014"/>
      <c r="U143" s="4015" cm="1">
        <f t="array" aca="1" ref="U143" ca="1">INDIRECT("'※ 인력 세부데이터'!"&amp;U$1&amp;$W144, TRUE)</f>
        <v>6</v>
      </c>
      <c r="V143" s="4016" cm="1">
        <f t="array" aca="1" ref="V143" ca="1">INDIRECT("'※ 인력 세부데이터'!"&amp;V$1&amp;$W144, TRUE)</f>
        <v>5.666666666666667</v>
      </c>
      <c r="W143" s="3693">
        <f>ROW('※ 인력 세부데이터'!J138)</f>
        <v>138</v>
      </c>
    </row>
    <row r="144" spans="1:23" ht="18.899999999999999" customHeight="1" thickBot="1" x14ac:dyDescent="0.6">
      <c r="A144" s="7453"/>
      <c r="B144" s="4017"/>
      <c r="C144" s="4018" t="s">
        <v>254</v>
      </c>
      <c r="D144" s="4019" cm="1">
        <f t="array" aca="1" ref="D144" ca="1">INDIRECT("'※ 인력 세부데이터'!"&amp;D$1&amp;$W145, TRUE)</f>
        <v>17.666666666666668</v>
      </c>
      <c r="E144" s="4019" cm="1">
        <f t="array" aca="1" ref="E144" ca="1">INDIRECT("'※ 인력 세부데이터'!"&amp;E$1&amp;$W145, TRUE)</f>
        <v>15</v>
      </c>
      <c r="F144" s="4020" cm="1">
        <f t="array" aca="1" ref="F144" ca="1">INDIRECT("'※ 인력 세부데이터'!"&amp;F$1&amp;$W145, TRUE)</f>
        <v>11</v>
      </c>
      <c r="G144" s="4021" cm="1">
        <f t="array" aca="1" ref="G144" ca="1">INDIRECT("'※ 인력 세부데이터'!"&amp;G$1&amp;$W145, TRUE)</f>
        <v>11</v>
      </c>
      <c r="H144" s="4021" cm="1">
        <f t="array" aca="1" ref="H144" ca="1">INDIRECT("'※ 인력 세부데이터'!"&amp;H$1&amp;$W145, TRUE)</f>
        <v>11</v>
      </c>
      <c r="I144" s="4021" cm="1">
        <f t="array" aca="1" ref="I144" ca="1">INDIRECT("'※ 인력 세부데이터'!"&amp;I$1&amp;$W145, TRUE)</f>
        <v>13</v>
      </c>
      <c r="J144" s="4021" cm="1">
        <f t="array" aca="1" ref="J144" ca="1">INDIRECT("'※ 인력 세부데이터'!"&amp;J$1&amp;$W145, TRUE)</f>
        <v>13</v>
      </c>
      <c r="K144" s="4021" cm="1">
        <f t="array" aca="1" ref="K144" ca="1">INDIRECT("'※ 인력 세부데이터'!"&amp;K$1&amp;$W145, TRUE)</f>
        <v>12</v>
      </c>
      <c r="L144" s="4021" cm="1">
        <f t="array" aca="1" ref="L144" ca="1">INDIRECT("'※ 인력 세부데이터'!"&amp;L$1&amp;$W145, TRUE)</f>
        <v>10</v>
      </c>
      <c r="M144" s="4021" cm="1">
        <f t="array" aca="1" ref="M144" ca="1">INDIRECT("'※ 인력 세부데이터'!"&amp;M$1&amp;$W145, TRUE)</f>
        <v>8</v>
      </c>
      <c r="N144" s="4021" cm="1">
        <f t="array" aca="1" ref="N144" ca="1">INDIRECT("'※ 인력 세부데이터'!"&amp;N$1&amp;$W145, TRUE)</f>
        <v>10</v>
      </c>
      <c r="O144" s="4021" cm="1">
        <f t="array" aca="1" ref="O144" ca="1">INDIRECT("'※ 인력 세부데이터'!"&amp;O$1&amp;$W145, TRUE)</f>
        <v>9</v>
      </c>
      <c r="P144" s="4021" cm="1">
        <f t="array" aca="1" ref="P144" ca="1">INDIRECT("'※ 인력 세부데이터'!"&amp;P$1&amp;$W145, TRUE)</f>
        <v>11</v>
      </c>
      <c r="Q144" s="4021" cm="1">
        <f t="array" aca="1" ref="Q144" ca="1">INDIRECT("'※ 인력 세부데이터'!"&amp;Q$1&amp;$W145, TRUE)</f>
        <v>11</v>
      </c>
      <c r="R144" s="4022"/>
      <c r="S144" s="4023"/>
      <c r="T144" s="4024"/>
      <c r="U144" s="4025"/>
      <c r="V144" s="4026"/>
      <c r="W144" s="3693">
        <f>ROW('※ 인력 세부데이터'!J139)</f>
        <v>139</v>
      </c>
    </row>
    <row r="145" spans="23:23" x14ac:dyDescent="0.55000000000000004">
      <c r="W145" s="3693">
        <f>ROW('※ 인력 세부데이터'!J140)</f>
        <v>140</v>
      </c>
    </row>
  </sheetData>
  <mergeCells count="20">
    <mergeCell ref="A123:A144"/>
    <mergeCell ref="A8:A24"/>
    <mergeCell ref="A25:A62"/>
    <mergeCell ref="A107:A122"/>
    <mergeCell ref="A7:C7"/>
    <mergeCell ref="A106:C106"/>
    <mergeCell ref="A65:A68"/>
    <mergeCell ref="B65:C65"/>
    <mergeCell ref="B66:C66"/>
    <mergeCell ref="B67:C67"/>
    <mergeCell ref="B68:C68"/>
    <mergeCell ref="A69:A76"/>
    <mergeCell ref="B69:C69"/>
    <mergeCell ref="A77:A104"/>
    <mergeCell ref="B77:C77"/>
    <mergeCell ref="A64:C64"/>
    <mergeCell ref="A3:V3"/>
    <mergeCell ref="A6:C6"/>
    <mergeCell ref="R5:V5"/>
    <mergeCell ref="F5:Q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1" fitToHeight="0" orientation="landscape" r:id="rId1"/>
  <headerFooter scaleWithDoc="0">
    <oddFooter>&amp;R&amp;"-,기울임꼴"&amp;8&amp;P &amp; 페이지</oddFooter>
  </headerFooter>
  <rowBreaks count="2" manualBreakCount="2">
    <brk id="62" max="21" man="1"/>
    <brk id="105" max="2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7B74-ECF6-422C-965A-A35C30BB38BF}">
  <sheetPr codeName="Sheet23">
    <tabColor theme="9" tint="0.79998168889431442"/>
    <pageSetUpPr fitToPage="1"/>
  </sheetPr>
  <dimension ref="A1:BA141"/>
  <sheetViews>
    <sheetView showGridLines="0" zoomScale="70" zoomScaleNormal="70" zoomScaleSheetLayoutView="25" workbookViewId="0">
      <pane xSplit="3" topLeftCell="D1" activePane="topRight" state="frozen"/>
      <selection activeCell="V54" sqref="V54"/>
      <selection pane="topRight" activeCell="AL11" sqref="AL11"/>
    </sheetView>
  </sheetViews>
  <sheetFormatPr defaultRowHeight="17.600000000000001" outlineLevelCol="1" x14ac:dyDescent="0.55000000000000004"/>
  <cols>
    <col min="1" max="1" width="13.640625" customWidth="1"/>
    <col min="2" max="2" width="17.2109375" customWidth="1"/>
    <col min="3" max="3" width="14.35546875" customWidth="1"/>
    <col min="4" max="15" width="8.640625" hidden="1" customWidth="1" outlineLevel="1"/>
    <col min="16" max="16" width="8.640625" customWidth="1" collapsed="1"/>
    <col min="17" max="17" width="9.85546875" customWidth="1"/>
    <col min="18" max="18" width="5.2109375" customWidth="1"/>
    <col min="19" max="23" width="8.640625" hidden="1" customWidth="1" outlineLevel="1"/>
    <col min="24" max="24" width="7.7109375" hidden="1" customWidth="1" outlineLevel="1"/>
    <col min="25" max="28" width="8.640625" hidden="1" customWidth="1" outlineLevel="1"/>
    <col min="29" max="29" width="8.640625" style="1499" hidden="1" customWidth="1" outlineLevel="1"/>
    <col min="30" max="30" width="8.640625" hidden="1" customWidth="1" outlineLevel="1"/>
    <col min="31" max="31" width="8.640625" customWidth="1" collapsed="1"/>
    <col min="37" max="37" width="9.140625" customWidth="1"/>
    <col min="39" max="39" width="7.7109375" bestFit="1" customWidth="1"/>
    <col min="44" max="44" width="8.640625" style="1499"/>
    <col min="46" max="46" width="9.140625" customWidth="1"/>
    <col min="49" max="53" width="11.5703125" customWidth="1"/>
  </cols>
  <sheetData>
    <row r="1" spans="1:53" x14ac:dyDescent="0.55000000000000004">
      <c r="A1" s="196">
        <f>'2-(1) 수수료 기준_가입자(무선)'!A1</f>
        <v>12.000999999999999</v>
      </c>
      <c r="B1" s="2366">
        <f>'※ 영기팀 작성_가입자'!B1</f>
        <v>11.000999999999999</v>
      </c>
      <c r="AH1" s="6958">
        <f>AH6+AH12+AH20</f>
        <v>2218</v>
      </c>
      <c r="AI1" s="716">
        <f>AI6+AI12+AI20</f>
        <v>2213</v>
      </c>
      <c r="AJ1" s="716">
        <f t="shared" ref="AJ1:AS1" si="0">AJ6+AJ12+AJ20</f>
        <v>2225</v>
      </c>
      <c r="AK1" s="716">
        <f t="shared" si="0"/>
        <v>2232</v>
      </c>
      <c r="AL1" s="716">
        <f t="shared" si="0"/>
        <v>2228</v>
      </c>
      <c r="AM1" s="716">
        <f t="shared" si="0"/>
        <v>2214</v>
      </c>
      <c r="AN1" s="1145">
        <f>AN6+AN12+AN20</f>
        <v>2190</v>
      </c>
      <c r="AO1" s="716">
        <f t="shared" si="0"/>
        <v>2175</v>
      </c>
      <c r="AP1" s="716">
        <f t="shared" si="0"/>
        <v>2170</v>
      </c>
      <c r="AQ1" s="716">
        <f t="shared" si="0"/>
        <v>2147</v>
      </c>
      <c r="AR1" s="716">
        <f t="shared" si="0"/>
        <v>2150</v>
      </c>
      <c r="AS1" s="716">
        <f t="shared" si="0"/>
        <v>2159</v>
      </c>
      <c r="AW1" s="196">
        <f>A1</f>
        <v>12.000999999999999</v>
      </c>
    </row>
    <row r="2" spans="1:53" ht="18" thickBot="1" x14ac:dyDescent="0.6">
      <c r="D2" s="782">
        <v>1.0009999999999999</v>
      </c>
      <c r="E2" s="782">
        <v>2.0009999999999999</v>
      </c>
      <c r="F2" s="782">
        <v>3.0009999999999999</v>
      </c>
      <c r="G2" s="782">
        <v>4.0010000000000003</v>
      </c>
      <c r="H2" s="782">
        <v>5.0010000000000003</v>
      </c>
      <c r="I2" s="782">
        <v>6.0010000000000003</v>
      </c>
      <c r="J2" s="782">
        <v>7.0010000000000003</v>
      </c>
      <c r="K2" s="782">
        <v>8.0009999999999994</v>
      </c>
      <c r="L2" s="782">
        <v>9.0009999999999994</v>
      </c>
      <c r="M2" s="782">
        <v>10.000999999999999</v>
      </c>
      <c r="N2" s="782">
        <v>11.000999999999999</v>
      </c>
      <c r="O2" s="782">
        <v>12.000999999999999</v>
      </c>
      <c r="S2" s="782">
        <v>1.0009999999999999</v>
      </c>
      <c r="T2" s="782">
        <v>2.0009999999999999</v>
      </c>
      <c r="U2" s="782">
        <v>3.0009999999999999</v>
      </c>
      <c r="V2" s="782">
        <v>4.0010000000000003</v>
      </c>
      <c r="W2" s="782">
        <v>5.0010000000000003</v>
      </c>
      <c r="X2" s="782">
        <v>6.0010000000000003</v>
      </c>
      <c r="Y2" s="782">
        <v>7.0010000000000003</v>
      </c>
      <c r="Z2" s="782">
        <v>8.0009999999999994</v>
      </c>
      <c r="AA2" s="782">
        <v>9.0009999999999994</v>
      </c>
      <c r="AB2" s="782">
        <v>10.000999999999999</v>
      </c>
      <c r="AC2" s="782">
        <v>11.000999999999999</v>
      </c>
      <c r="AD2" s="782">
        <v>12.000999999999999</v>
      </c>
      <c r="AH2" s="782">
        <v>1.0009999999999999</v>
      </c>
      <c r="AI2" s="782">
        <v>2.0009999999999999</v>
      </c>
      <c r="AJ2" s="782">
        <v>3.0009999999999999</v>
      </c>
      <c r="AK2" s="782">
        <v>4.0010000000000003</v>
      </c>
      <c r="AL2" s="782">
        <v>5.0010000000000003</v>
      </c>
      <c r="AM2" s="782">
        <v>6.0010000000000003</v>
      </c>
      <c r="AN2" s="782">
        <v>7.0010000000000003</v>
      </c>
      <c r="AO2" s="782">
        <v>8.0009999999999994</v>
      </c>
      <c r="AP2" s="782">
        <v>9.0009999999999994</v>
      </c>
      <c r="AQ2" s="782">
        <v>10.000999999999999</v>
      </c>
      <c r="AR2" s="782">
        <v>11.000999999999999</v>
      </c>
      <c r="AS2" s="782">
        <v>12.000999999999999</v>
      </c>
    </row>
    <row r="3" spans="1:53" ht="18" thickBot="1" x14ac:dyDescent="0.6">
      <c r="D3" s="890" t="s">
        <v>666</v>
      </c>
      <c r="E3" s="890" t="s">
        <v>667</v>
      </c>
      <c r="F3" s="890" t="s">
        <v>668</v>
      </c>
      <c r="G3" s="890" t="s">
        <v>669</v>
      </c>
      <c r="H3" s="890" t="s">
        <v>670</v>
      </c>
      <c r="I3" s="890" t="s">
        <v>671</v>
      </c>
      <c r="J3" s="890" t="s">
        <v>672</v>
      </c>
      <c r="K3" s="890" t="s">
        <v>673</v>
      </c>
      <c r="L3" s="890" t="s">
        <v>674</v>
      </c>
      <c r="M3" s="890" t="s">
        <v>675</v>
      </c>
      <c r="N3" s="890" t="s">
        <v>676</v>
      </c>
      <c r="O3" s="890" t="s">
        <v>677</v>
      </c>
      <c r="P3" s="890" t="s">
        <v>412</v>
      </c>
      <c r="Q3" s="890" t="s">
        <v>655</v>
      </c>
      <c r="S3" s="889" t="s">
        <v>2</v>
      </c>
      <c r="T3" s="889" t="s">
        <v>653</v>
      </c>
      <c r="U3" s="889" t="s">
        <v>525</v>
      </c>
      <c r="V3" s="889" t="s">
        <v>358</v>
      </c>
      <c r="W3" s="889" t="s">
        <v>359</v>
      </c>
      <c r="X3" s="889" t="s">
        <v>360</v>
      </c>
      <c r="Y3" s="889" t="s">
        <v>361</v>
      </c>
      <c r="Z3" s="889" t="s">
        <v>362</v>
      </c>
      <c r="AA3" s="889" t="s">
        <v>363</v>
      </c>
      <c r="AB3" s="889" t="s">
        <v>364</v>
      </c>
      <c r="AC3" s="1500" t="s">
        <v>365</v>
      </c>
      <c r="AD3" s="889" t="s">
        <v>366</v>
      </c>
      <c r="AE3" s="890" t="s">
        <v>654</v>
      </c>
      <c r="AF3" s="890" t="s">
        <v>655</v>
      </c>
      <c r="AH3" s="1660" t="s">
        <v>1021</v>
      </c>
      <c r="AI3" s="987" t="s">
        <v>1022</v>
      </c>
      <c r="AJ3" s="987" t="s">
        <v>1024</v>
      </c>
      <c r="AK3" s="987" t="s">
        <v>1025</v>
      </c>
      <c r="AL3" s="987" t="s">
        <v>1026</v>
      </c>
      <c r="AM3" s="987" t="s">
        <v>1027</v>
      </c>
      <c r="AN3" s="987" t="s">
        <v>1028</v>
      </c>
      <c r="AO3" s="987" t="s">
        <v>1029</v>
      </c>
      <c r="AP3" s="987" t="s">
        <v>1030</v>
      </c>
      <c r="AQ3" s="987" t="s">
        <v>1031</v>
      </c>
      <c r="AR3" s="987" t="s">
        <v>1032</v>
      </c>
      <c r="AS3" s="987" t="s">
        <v>1033</v>
      </c>
      <c r="AT3" s="1661" t="s">
        <v>1036</v>
      </c>
      <c r="AU3" s="1662" t="s">
        <v>655</v>
      </c>
      <c r="AW3" s="91" t="s">
        <v>215</v>
      </c>
      <c r="AX3" s="725" t="s">
        <v>216</v>
      </c>
      <c r="AY3" s="726" t="s">
        <v>217</v>
      </c>
      <c r="AZ3" s="92" t="s">
        <v>218</v>
      </c>
      <c r="BA3" s="93" t="s">
        <v>219</v>
      </c>
    </row>
    <row r="4" spans="1:53" ht="18" thickTop="1" x14ac:dyDescent="0.55000000000000004">
      <c r="A4" s="7469" t="s">
        <v>197</v>
      </c>
      <c r="B4" s="7470"/>
      <c r="C4" s="7470"/>
      <c r="D4" s="991">
        <f t="shared" ref="D4:N4" si="1">D5+D6+D12+D20+D21</f>
        <v>2164</v>
      </c>
      <c r="E4" s="991">
        <f t="shared" si="1"/>
        <v>2158</v>
      </c>
      <c r="F4" s="991">
        <f t="shared" si="1"/>
        <v>2146</v>
      </c>
      <c r="G4" s="991">
        <f t="shared" si="1"/>
        <v>2133</v>
      </c>
      <c r="H4" s="991">
        <f t="shared" si="1"/>
        <v>2147</v>
      </c>
      <c r="I4" s="991">
        <f t="shared" si="1"/>
        <v>2125</v>
      </c>
      <c r="J4" s="991">
        <f t="shared" si="1"/>
        <v>2120</v>
      </c>
      <c r="K4" s="991">
        <f t="shared" si="1"/>
        <v>2107</v>
      </c>
      <c r="L4" s="991">
        <f t="shared" si="1"/>
        <v>2091</v>
      </c>
      <c r="M4" s="991">
        <f t="shared" si="1"/>
        <v>2094</v>
      </c>
      <c r="N4" s="991">
        <f t="shared" si="1"/>
        <v>2096</v>
      </c>
      <c r="O4" s="991">
        <f>O5+O6+O12+O20+O21</f>
        <v>2089</v>
      </c>
      <c r="P4" s="458"/>
      <c r="Q4" s="991">
        <f t="shared" ref="Q4:Q25" si="2">AVERAGE(D4:O4)</f>
        <v>2122.5</v>
      </c>
      <c r="S4" s="991">
        <f t="shared" ref="S4:Z4" si="3">S5+S6+S12+S20+S21</f>
        <v>2091</v>
      </c>
      <c r="T4" s="991">
        <f t="shared" si="3"/>
        <v>2099</v>
      </c>
      <c r="U4" s="991">
        <f t="shared" si="3"/>
        <v>2110</v>
      </c>
      <c r="V4" s="991">
        <f t="shared" si="3"/>
        <v>2141</v>
      </c>
      <c r="W4" s="991">
        <f t="shared" si="3"/>
        <v>2148</v>
      </c>
      <c r="X4" s="991">
        <f t="shared" si="3"/>
        <v>2148</v>
      </c>
      <c r="Y4" s="991">
        <f t="shared" si="3"/>
        <v>2162</v>
      </c>
      <c r="Z4" s="991">
        <f t="shared" si="3"/>
        <v>2169</v>
      </c>
      <c r="AA4" s="991">
        <f>AA5+AA6+AA12+AA20+AA21</f>
        <v>2178</v>
      </c>
      <c r="AB4" s="991">
        <f>AB5+AB6+AB12+AB20+AB21</f>
        <v>2198</v>
      </c>
      <c r="AC4" s="991">
        <f>AC5+AC6+AC12+AC20+AC21</f>
        <v>2210</v>
      </c>
      <c r="AD4" s="991">
        <v>2244</v>
      </c>
      <c r="AE4" s="458"/>
      <c r="AF4" s="991">
        <f>AVERAGE(S4:AE4)</f>
        <v>2158.1666666666665</v>
      </c>
      <c r="AH4" s="6959">
        <v>2278</v>
      </c>
      <c r="AI4" s="991">
        <v>2274</v>
      </c>
      <c r="AJ4" s="6958">
        <v>2285</v>
      </c>
      <c r="AK4" s="991">
        <v>2291</v>
      </c>
      <c r="AL4" s="991">
        <v>2284</v>
      </c>
      <c r="AM4" s="991">
        <v>2267</v>
      </c>
      <c r="AN4" s="6958">
        <v>2239</v>
      </c>
      <c r="AO4" s="991">
        <v>2221</v>
      </c>
      <c r="AP4" s="991">
        <v>2214</v>
      </c>
      <c r="AQ4" s="991">
        <v>2192</v>
      </c>
      <c r="AR4" s="991">
        <v>2193</v>
      </c>
      <c r="AS4" s="991">
        <v>2200</v>
      </c>
      <c r="AT4" s="991"/>
      <c r="AU4" s="991">
        <f>AVERAGE(AH4:AT4)</f>
        <v>2244.8333333333335</v>
      </c>
      <c r="AW4" s="2256">
        <f>AS4/$AS$4</f>
        <v>1</v>
      </c>
      <c r="AX4" s="1977">
        <v>872</v>
      </c>
      <c r="AY4" s="801">
        <f t="shared" ref="AY4:AY18" si="4">AX4/AS4</f>
        <v>0.39636363636363636</v>
      </c>
      <c r="AZ4" s="1984">
        <v>35.237057220708444</v>
      </c>
      <c r="BA4" s="1985"/>
    </row>
    <row r="5" spans="1:53" x14ac:dyDescent="0.55000000000000004">
      <c r="A5" s="7471" t="s">
        <v>196</v>
      </c>
      <c r="B5" s="51" t="s">
        <v>188</v>
      </c>
      <c r="C5" s="34"/>
      <c r="D5" s="34">
        <v>7</v>
      </c>
      <c r="E5" s="34">
        <v>7</v>
      </c>
      <c r="F5" s="34">
        <v>7</v>
      </c>
      <c r="G5" s="34">
        <v>7</v>
      </c>
      <c r="H5" s="34">
        <v>7</v>
      </c>
      <c r="I5" s="34">
        <v>7</v>
      </c>
      <c r="J5" s="34">
        <v>7</v>
      </c>
      <c r="K5" s="34">
        <v>7</v>
      </c>
      <c r="L5" s="34">
        <v>7</v>
      </c>
      <c r="M5" s="34">
        <v>7</v>
      </c>
      <c r="N5" s="34">
        <v>7</v>
      </c>
      <c r="O5" s="34">
        <v>8</v>
      </c>
      <c r="P5" s="34"/>
      <c r="Q5" s="1394">
        <f t="shared" si="2"/>
        <v>7.083333333333333</v>
      </c>
      <c r="S5" s="714">
        <v>8</v>
      </c>
      <c r="T5" s="714">
        <v>8</v>
      </c>
      <c r="U5" s="714">
        <v>8</v>
      </c>
      <c r="V5" s="714">
        <v>8</v>
      </c>
      <c r="W5" s="714">
        <v>8</v>
      </c>
      <c r="X5" s="714">
        <v>8</v>
      </c>
      <c r="Y5" s="714">
        <v>8</v>
      </c>
      <c r="Z5" s="714">
        <v>8</v>
      </c>
      <c r="AA5" s="714">
        <v>8</v>
      </c>
      <c r="AB5" s="714">
        <v>8</v>
      </c>
      <c r="AC5" s="1501">
        <v>8</v>
      </c>
      <c r="AD5" s="714">
        <v>8</v>
      </c>
      <c r="AE5" s="34"/>
      <c r="AF5" s="1512">
        <f t="shared" ref="AF5:AF57" si="5">AVERAGE(S5:AE5)</f>
        <v>8</v>
      </c>
      <c r="AH5" s="1958">
        <v>8</v>
      </c>
      <c r="AI5" s="714">
        <v>8</v>
      </c>
      <c r="AJ5" s="714">
        <v>8</v>
      </c>
      <c r="AK5" s="714">
        <v>8</v>
      </c>
      <c r="AL5" s="714">
        <v>8</v>
      </c>
      <c r="AM5" s="714">
        <v>8</v>
      </c>
      <c r="AN5" s="714">
        <v>8</v>
      </c>
      <c r="AO5" s="714">
        <v>8</v>
      </c>
      <c r="AP5" s="714">
        <v>8</v>
      </c>
      <c r="AQ5" s="714">
        <v>8</v>
      </c>
      <c r="AR5" s="714">
        <v>8</v>
      </c>
      <c r="AS5" s="714">
        <v>8</v>
      </c>
      <c r="AT5" s="34"/>
      <c r="AU5" s="1512">
        <f t="shared" ref="AU5:AU57" si="6">AVERAGE(AH5:AT5)</f>
        <v>8</v>
      </c>
      <c r="AW5" s="498">
        <f>AS5/$AS$4</f>
        <v>3.6363636363636364E-3</v>
      </c>
      <c r="AX5" s="1978"/>
      <c r="AY5" s="802">
        <f t="shared" si="4"/>
        <v>0</v>
      </c>
      <c r="AZ5" s="1986">
        <v>55.5</v>
      </c>
      <c r="BA5" s="1987">
        <v>15.570205479452056</v>
      </c>
    </row>
    <row r="6" spans="1:53" x14ac:dyDescent="0.55000000000000004">
      <c r="A6" s="7096"/>
      <c r="B6" s="104" t="s">
        <v>193</v>
      </c>
      <c r="C6" s="35"/>
      <c r="D6" s="715">
        <f t="shared" ref="D6:N6" si="7">SUM(D7:D11)</f>
        <v>176</v>
      </c>
      <c r="E6" s="715">
        <f t="shared" si="7"/>
        <v>174</v>
      </c>
      <c r="F6" s="715">
        <f t="shared" si="7"/>
        <v>174</v>
      </c>
      <c r="G6" s="715">
        <f t="shared" si="7"/>
        <v>174</v>
      </c>
      <c r="H6" s="715">
        <f t="shared" si="7"/>
        <v>175</v>
      </c>
      <c r="I6" s="715">
        <f t="shared" si="7"/>
        <v>172</v>
      </c>
      <c r="J6" s="715">
        <f t="shared" si="7"/>
        <v>181</v>
      </c>
      <c r="K6" s="715">
        <f t="shared" si="7"/>
        <v>181</v>
      </c>
      <c r="L6" s="715">
        <f t="shared" si="7"/>
        <v>181</v>
      </c>
      <c r="M6" s="715">
        <f t="shared" si="7"/>
        <v>180</v>
      </c>
      <c r="N6" s="715">
        <f t="shared" si="7"/>
        <v>180</v>
      </c>
      <c r="O6" s="715">
        <f>SUM(O7:O11)</f>
        <v>179</v>
      </c>
      <c r="P6" s="35"/>
      <c r="Q6" s="1395">
        <f t="shared" si="2"/>
        <v>177.25</v>
      </c>
      <c r="S6" s="992">
        <f t="shared" ref="S6:X6" si="8">SUM(S7:S11)</f>
        <v>176</v>
      </c>
      <c r="T6" s="992">
        <f t="shared" si="8"/>
        <v>173</v>
      </c>
      <c r="U6" s="992">
        <f t="shared" si="8"/>
        <v>173</v>
      </c>
      <c r="V6" s="992">
        <f t="shared" si="8"/>
        <v>171</v>
      </c>
      <c r="W6" s="992">
        <f t="shared" si="8"/>
        <v>171</v>
      </c>
      <c r="X6" s="992">
        <f t="shared" si="8"/>
        <v>184</v>
      </c>
      <c r="Y6" s="715">
        <f>SUM(Y7:Y11)</f>
        <v>183</v>
      </c>
      <c r="Z6" s="715">
        <f>SUM(Z7:Z11)</f>
        <v>183</v>
      </c>
      <c r="AA6" s="715">
        <f>SUM(AA7:AA11)</f>
        <v>183</v>
      </c>
      <c r="AB6" s="715">
        <v>184</v>
      </c>
      <c r="AC6" s="1502">
        <v>183</v>
      </c>
      <c r="AD6" s="992">
        <v>180</v>
      </c>
      <c r="AE6" s="35"/>
      <c r="AF6" s="1513">
        <f t="shared" si="5"/>
        <v>178.66666666666666</v>
      </c>
      <c r="AH6" s="1959">
        <v>180</v>
      </c>
      <c r="AI6" s="992">
        <v>183</v>
      </c>
      <c r="AJ6" s="992">
        <v>181</v>
      </c>
      <c r="AK6" s="992">
        <v>181</v>
      </c>
      <c r="AL6" s="715">
        <v>181</v>
      </c>
      <c r="AM6" s="715">
        <v>181</v>
      </c>
      <c r="AN6" s="715">
        <v>180</v>
      </c>
      <c r="AO6" s="715">
        <v>190</v>
      </c>
      <c r="AP6" s="715">
        <v>189</v>
      </c>
      <c r="AQ6" s="715">
        <v>189</v>
      </c>
      <c r="AR6" s="715">
        <v>189</v>
      </c>
      <c r="AS6" s="715">
        <v>184</v>
      </c>
      <c r="AT6" s="35"/>
      <c r="AU6" s="1513">
        <f t="shared" si="6"/>
        <v>184</v>
      </c>
      <c r="AW6" s="499">
        <f>AS6/$AS$4</f>
        <v>8.3636363636363634E-2</v>
      </c>
      <c r="AX6" s="1979">
        <v>37</v>
      </c>
      <c r="AY6" s="729">
        <f t="shared" si="4"/>
        <v>0.20108695652173914</v>
      </c>
      <c r="AZ6" s="1988">
        <v>40.880434782608695</v>
      </c>
      <c r="BA6" s="1989">
        <v>11.884648600357352</v>
      </c>
    </row>
    <row r="7" spans="1:53" x14ac:dyDescent="0.55000000000000004">
      <c r="A7" s="7096"/>
      <c r="B7" s="1"/>
      <c r="C7" s="1" t="s">
        <v>187</v>
      </c>
      <c r="D7">
        <v>27</v>
      </c>
      <c r="E7">
        <v>27</v>
      </c>
      <c r="F7">
        <v>27</v>
      </c>
      <c r="G7">
        <v>27</v>
      </c>
      <c r="H7">
        <v>27</v>
      </c>
      <c r="I7">
        <v>26</v>
      </c>
      <c r="J7">
        <v>26</v>
      </c>
      <c r="K7">
        <v>26</v>
      </c>
      <c r="L7">
        <v>26</v>
      </c>
      <c r="M7">
        <v>26</v>
      </c>
      <c r="N7">
        <v>26</v>
      </c>
      <c r="O7">
        <v>26</v>
      </c>
      <c r="P7" s="1"/>
      <c r="Q7" s="1396">
        <f t="shared" si="2"/>
        <v>26.416666666666668</v>
      </c>
      <c r="S7" s="985">
        <v>24</v>
      </c>
      <c r="T7" s="985">
        <v>24</v>
      </c>
      <c r="U7" s="985">
        <v>24</v>
      </c>
      <c r="V7" s="985">
        <v>24</v>
      </c>
      <c r="W7" s="985">
        <v>24</v>
      </c>
      <c r="X7" s="985">
        <v>24</v>
      </c>
      <c r="Y7" s="716">
        <v>24</v>
      </c>
      <c r="Z7" s="716">
        <v>24</v>
      </c>
      <c r="AA7" s="716">
        <v>24</v>
      </c>
      <c r="AB7" s="716">
        <v>24</v>
      </c>
      <c r="AC7" s="1503">
        <v>23</v>
      </c>
      <c r="AD7" s="985">
        <v>28</v>
      </c>
      <c r="AE7" s="1"/>
      <c r="AF7" s="448">
        <f t="shared" si="5"/>
        <v>24.25</v>
      </c>
      <c r="AH7" s="1503">
        <v>28</v>
      </c>
      <c r="AI7" s="985">
        <v>28</v>
      </c>
      <c r="AJ7" s="716">
        <v>28</v>
      </c>
      <c r="AK7" s="985">
        <v>28</v>
      </c>
      <c r="AL7" s="716">
        <v>28</v>
      </c>
      <c r="AM7" s="716">
        <v>28</v>
      </c>
      <c r="AN7" s="716">
        <v>28</v>
      </c>
      <c r="AO7" s="716">
        <v>28</v>
      </c>
      <c r="AP7" s="716">
        <v>28</v>
      </c>
      <c r="AQ7" s="716">
        <v>28</v>
      </c>
      <c r="AR7" s="716">
        <v>28</v>
      </c>
      <c r="AS7" s="716">
        <v>25</v>
      </c>
      <c r="AT7" s="1"/>
      <c r="AU7" s="448">
        <f t="shared" si="6"/>
        <v>27.75</v>
      </c>
      <c r="AW7" s="500">
        <f>AS7/$AS$6</f>
        <v>0.1358695652173913</v>
      </c>
      <c r="AX7" s="1980">
        <v>1</v>
      </c>
      <c r="AY7" s="728">
        <f t="shared" si="4"/>
        <v>0.04</v>
      </c>
      <c r="AZ7" s="1990">
        <v>51.36</v>
      </c>
      <c r="BA7" s="1991">
        <v>18.101808219178082</v>
      </c>
    </row>
    <row r="8" spans="1:53" x14ac:dyDescent="0.55000000000000004">
      <c r="A8" s="7096"/>
      <c r="B8" s="8"/>
      <c r="C8" s="1" t="s">
        <v>189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59</v>
      </c>
      <c r="P8" s="1"/>
      <c r="Q8" s="1396">
        <f t="shared" si="2"/>
        <v>59.916666666666664</v>
      </c>
      <c r="S8" s="985">
        <v>59</v>
      </c>
      <c r="T8" s="985">
        <v>59</v>
      </c>
      <c r="U8" s="985">
        <v>60</v>
      </c>
      <c r="V8" s="985">
        <v>60</v>
      </c>
      <c r="W8" s="985">
        <v>60</v>
      </c>
      <c r="X8" s="985">
        <v>60</v>
      </c>
      <c r="Y8" s="716">
        <v>60</v>
      </c>
      <c r="Z8" s="716">
        <v>60</v>
      </c>
      <c r="AA8" s="716">
        <v>60</v>
      </c>
      <c r="AB8" s="716">
        <v>60</v>
      </c>
      <c r="AC8" s="1503">
        <v>60</v>
      </c>
      <c r="AD8" s="985">
        <v>61</v>
      </c>
      <c r="AE8" s="1"/>
      <c r="AF8" s="448">
        <f t="shared" si="5"/>
        <v>59.916666666666664</v>
      </c>
      <c r="AH8" s="1503">
        <v>61</v>
      </c>
      <c r="AI8" s="985">
        <v>64</v>
      </c>
      <c r="AJ8" s="716">
        <v>64</v>
      </c>
      <c r="AK8" s="985">
        <v>64</v>
      </c>
      <c r="AL8" s="716">
        <v>64</v>
      </c>
      <c r="AM8" s="716">
        <v>64</v>
      </c>
      <c r="AN8" s="716">
        <v>64</v>
      </c>
      <c r="AO8" s="716">
        <v>64</v>
      </c>
      <c r="AP8" s="716">
        <v>64</v>
      </c>
      <c r="AQ8" s="716">
        <v>64</v>
      </c>
      <c r="AR8" s="716">
        <v>64</v>
      </c>
      <c r="AS8" s="716">
        <v>63</v>
      </c>
      <c r="AT8" s="1"/>
      <c r="AU8" s="448">
        <f t="shared" si="6"/>
        <v>63.666666666666664</v>
      </c>
      <c r="AW8" s="500">
        <f>AS8/$AS$6</f>
        <v>0.34239130434782611</v>
      </c>
      <c r="AX8" s="1980">
        <v>3</v>
      </c>
      <c r="AY8" s="728">
        <f t="shared" si="4"/>
        <v>4.7619047619047616E-2</v>
      </c>
      <c r="AZ8" s="1990">
        <v>47.079365079365083</v>
      </c>
      <c r="BA8" s="1991">
        <v>15.951815612089591</v>
      </c>
    </row>
    <row r="9" spans="1:53" x14ac:dyDescent="0.55000000000000004">
      <c r="A9" s="7096"/>
      <c r="B9" s="8"/>
      <c r="C9" s="8" t="s">
        <v>190</v>
      </c>
      <c r="D9">
        <v>47</v>
      </c>
      <c r="E9">
        <v>47</v>
      </c>
      <c r="F9">
        <v>47</v>
      </c>
      <c r="G9">
        <v>46</v>
      </c>
      <c r="H9">
        <v>46</v>
      </c>
      <c r="I9">
        <v>46</v>
      </c>
      <c r="J9">
        <v>46</v>
      </c>
      <c r="K9">
        <v>46</v>
      </c>
      <c r="L9">
        <v>46</v>
      </c>
      <c r="M9">
        <v>46</v>
      </c>
      <c r="N9">
        <v>46</v>
      </c>
      <c r="O9">
        <v>46</v>
      </c>
      <c r="P9" s="8"/>
      <c r="Q9" s="1397">
        <f t="shared" si="2"/>
        <v>46.25</v>
      </c>
      <c r="S9" s="993">
        <v>46</v>
      </c>
      <c r="T9" s="993">
        <v>46</v>
      </c>
      <c r="U9" s="993">
        <v>46</v>
      </c>
      <c r="V9" s="993">
        <v>45</v>
      </c>
      <c r="W9" s="993">
        <v>45</v>
      </c>
      <c r="X9" s="993">
        <v>45</v>
      </c>
      <c r="Y9" s="716">
        <v>45</v>
      </c>
      <c r="Z9" s="716">
        <v>45</v>
      </c>
      <c r="AA9" s="716">
        <v>45</v>
      </c>
      <c r="AB9" s="716">
        <v>46</v>
      </c>
      <c r="AC9" s="1503">
        <v>46</v>
      </c>
      <c r="AD9" s="993">
        <v>47</v>
      </c>
      <c r="AE9" s="8"/>
      <c r="AF9" s="288">
        <f t="shared" si="5"/>
        <v>45.583333333333336</v>
      </c>
      <c r="AH9" s="1503">
        <v>47</v>
      </c>
      <c r="AI9" s="993">
        <v>47</v>
      </c>
      <c r="AJ9" s="716">
        <v>47</v>
      </c>
      <c r="AK9" s="993">
        <v>47</v>
      </c>
      <c r="AL9" s="716">
        <v>47</v>
      </c>
      <c r="AM9" s="716">
        <v>47</v>
      </c>
      <c r="AN9" s="716">
        <v>47</v>
      </c>
      <c r="AO9" s="716">
        <v>47</v>
      </c>
      <c r="AP9" s="716">
        <v>47</v>
      </c>
      <c r="AQ9" s="716">
        <v>47</v>
      </c>
      <c r="AR9" s="716">
        <v>47</v>
      </c>
      <c r="AS9" s="716">
        <v>48</v>
      </c>
      <c r="AT9" s="8"/>
      <c r="AU9" s="288">
        <f t="shared" si="6"/>
        <v>47.083333333333336</v>
      </c>
      <c r="AW9" s="500">
        <f>AS9/$AS$6</f>
        <v>0.2608695652173913</v>
      </c>
      <c r="AX9" s="1980">
        <v>13</v>
      </c>
      <c r="AY9" s="728">
        <f t="shared" si="4"/>
        <v>0.27083333333333331</v>
      </c>
      <c r="AZ9" s="1990">
        <v>38.979166666666664</v>
      </c>
      <c r="BA9" s="1991">
        <v>12.00262557077626</v>
      </c>
    </row>
    <row r="10" spans="1:53" x14ac:dyDescent="0.55000000000000004">
      <c r="A10" s="7096"/>
      <c r="B10" s="8"/>
      <c r="C10" s="8" t="s">
        <v>191</v>
      </c>
      <c r="D10">
        <v>25</v>
      </c>
      <c r="E10">
        <v>23</v>
      </c>
      <c r="F10">
        <v>23</v>
      </c>
      <c r="G10">
        <v>24</v>
      </c>
      <c r="H10">
        <v>25</v>
      </c>
      <c r="I10">
        <v>24</v>
      </c>
      <c r="J10">
        <v>24</v>
      </c>
      <c r="K10">
        <v>24</v>
      </c>
      <c r="L10">
        <v>24</v>
      </c>
      <c r="M10">
        <v>23</v>
      </c>
      <c r="N10">
        <v>23</v>
      </c>
      <c r="O10">
        <v>23</v>
      </c>
      <c r="P10" s="8"/>
      <c r="Q10" s="1397">
        <f t="shared" si="2"/>
        <v>23.75</v>
      </c>
      <c r="S10" s="993">
        <v>23</v>
      </c>
      <c r="T10" s="993">
        <v>23</v>
      </c>
      <c r="U10" s="993">
        <v>23</v>
      </c>
      <c r="V10" s="993">
        <v>23</v>
      </c>
      <c r="W10" s="993">
        <v>23</v>
      </c>
      <c r="X10" s="993">
        <v>23</v>
      </c>
      <c r="Y10" s="716">
        <v>22</v>
      </c>
      <c r="Z10" s="716">
        <v>22</v>
      </c>
      <c r="AA10" s="716">
        <v>22</v>
      </c>
      <c r="AB10" s="716">
        <v>22</v>
      </c>
      <c r="AC10" s="1503">
        <v>22</v>
      </c>
      <c r="AD10" s="993">
        <v>26</v>
      </c>
      <c r="AE10" s="8"/>
      <c r="AF10" s="288">
        <f t="shared" si="5"/>
        <v>22.833333333333332</v>
      </c>
      <c r="AH10" s="1503">
        <v>26</v>
      </c>
      <c r="AI10" s="993">
        <v>26</v>
      </c>
      <c r="AJ10" s="716">
        <v>24</v>
      </c>
      <c r="AK10" s="993">
        <v>24</v>
      </c>
      <c r="AL10" s="716">
        <v>24</v>
      </c>
      <c r="AM10" s="716">
        <v>24</v>
      </c>
      <c r="AN10" s="716">
        <v>24</v>
      </c>
      <c r="AO10" s="716">
        <v>23</v>
      </c>
      <c r="AP10" s="716">
        <v>22</v>
      </c>
      <c r="AQ10" s="716">
        <v>22</v>
      </c>
      <c r="AR10" s="716">
        <v>22</v>
      </c>
      <c r="AS10" s="716">
        <v>21</v>
      </c>
      <c r="AT10" s="8"/>
      <c r="AU10" s="288">
        <f t="shared" si="6"/>
        <v>23.5</v>
      </c>
      <c r="AW10" s="500">
        <f>AS10/$AS$6</f>
        <v>0.11413043478260869</v>
      </c>
      <c r="AX10" s="1980">
        <v>8</v>
      </c>
      <c r="AY10" s="728">
        <f t="shared" si="4"/>
        <v>0.38095238095238093</v>
      </c>
      <c r="AZ10" s="1990">
        <v>31.238095238095237</v>
      </c>
      <c r="BA10" s="1991">
        <v>5.6707110241356826</v>
      </c>
    </row>
    <row r="11" spans="1:53" x14ac:dyDescent="0.55000000000000004">
      <c r="A11" s="7096"/>
      <c r="B11" s="1"/>
      <c r="C11" s="8" t="s">
        <v>192</v>
      </c>
      <c r="D11">
        <v>17</v>
      </c>
      <c r="E11">
        <v>17</v>
      </c>
      <c r="F11">
        <v>17</v>
      </c>
      <c r="G11">
        <v>17</v>
      </c>
      <c r="H11">
        <v>17</v>
      </c>
      <c r="I11">
        <v>16</v>
      </c>
      <c r="J11">
        <v>25</v>
      </c>
      <c r="K11">
        <v>25</v>
      </c>
      <c r="L11">
        <v>25</v>
      </c>
      <c r="M11">
        <v>25</v>
      </c>
      <c r="N11">
        <v>25</v>
      </c>
      <c r="O11">
        <v>25</v>
      </c>
      <c r="P11" s="8"/>
      <c r="Q11" s="1397">
        <f t="shared" si="2"/>
        <v>20.916666666666668</v>
      </c>
      <c r="S11" s="993">
        <v>24</v>
      </c>
      <c r="T11" s="993">
        <v>21</v>
      </c>
      <c r="U11" s="993">
        <v>20</v>
      </c>
      <c r="V11" s="993">
        <v>19</v>
      </c>
      <c r="W11" s="993">
        <v>19</v>
      </c>
      <c r="X11" s="993">
        <v>32</v>
      </c>
      <c r="Y11" s="716">
        <v>32</v>
      </c>
      <c r="Z11" s="716">
        <v>32</v>
      </c>
      <c r="AA11" s="716">
        <v>32</v>
      </c>
      <c r="AB11" s="716">
        <v>32</v>
      </c>
      <c r="AC11" s="1503">
        <v>32</v>
      </c>
      <c r="AD11" s="993">
        <v>18</v>
      </c>
      <c r="AE11" s="8"/>
      <c r="AF11" s="288">
        <f t="shared" si="5"/>
        <v>26.083333333333332</v>
      </c>
      <c r="AH11" s="1503">
        <v>18</v>
      </c>
      <c r="AI11" s="993">
        <v>18</v>
      </c>
      <c r="AJ11" s="716">
        <v>18</v>
      </c>
      <c r="AK11" s="993">
        <v>18</v>
      </c>
      <c r="AL11" s="716">
        <v>18</v>
      </c>
      <c r="AM11" s="716">
        <v>18</v>
      </c>
      <c r="AN11" s="716">
        <v>17</v>
      </c>
      <c r="AO11" s="716">
        <v>28</v>
      </c>
      <c r="AP11" s="716">
        <v>28</v>
      </c>
      <c r="AQ11" s="716">
        <v>28</v>
      </c>
      <c r="AR11" s="716">
        <v>28</v>
      </c>
      <c r="AS11" s="716">
        <v>27</v>
      </c>
      <c r="AT11" s="8"/>
      <c r="AU11" s="288">
        <f t="shared" si="6"/>
        <v>22</v>
      </c>
      <c r="AW11" s="500">
        <f>AS11/$AS$6</f>
        <v>0.14673913043478262</v>
      </c>
      <c r="AX11" s="1980">
        <v>12</v>
      </c>
      <c r="AY11" s="728">
        <f t="shared" si="4"/>
        <v>0.44444444444444442</v>
      </c>
      <c r="AZ11" s="1990">
        <v>27.592592592592592</v>
      </c>
      <c r="BA11" s="1991">
        <v>1.2612886859462198</v>
      </c>
    </row>
    <row r="12" spans="1:53" x14ac:dyDescent="0.55000000000000004">
      <c r="A12" s="7096"/>
      <c r="B12" s="104" t="s">
        <v>194</v>
      </c>
      <c r="C12" s="35"/>
      <c r="D12" s="715">
        <f t="shared" ref="D12:N12" si="9">SUM(D13:D19)</f>
        <v>1831</v>
      </c>
      <c r="E12" s="715">
        <f t="shared" si="9"/>
        <v>1825</v>
      </c>
      <c r="F12" s="715">
        <f t="shared" si="9"/>
        <v>1811</v>
      </c>
      <c r="G12" s="715">
        <f t="shared" si="9"/>
        <v>1797</v>
      </c>
      <c r="H12" s="715">
        <f t="shared" si="9"/>
        <v>1803</v>
      </c>
      <c r="I12" s="715">
        <f t="shared" si="9"/>
        <v>1786</v>
      </c>
      <c r="J12" s="715">
        <f t="shared" si="9"/>
        <v>1772</v>
      </c>
      <c r="K12" s="715">
        <f t="shared" si="9"/>
        <v>1762</v>
      </c>
      <c r="L12" s="715">
        <f t="shared" si="9"/>
        <v>1740</v>
      </c>
      <c r="M12" s="715">
        <f t="shared" si="9"/>
        <v>1744</v>
      </c>
      <c r="N12" s="715">
        <f t="shared" si="9"/>
        <v>1746</v>
      </c>
      <c r="O12" s="715">
        <f>SUM(O13:O19)</f>
        <v>1745</v>
      </c>
      <c r="P12" s="35"/>
      <c r="Q12" s="1395">
        <f t="shared" si="2"/>
        <v>1780.1666666666667</v>
      </c>
      <c r="S12" s="992">
        <f t="shared" ref="S12:AA12" si="10">SUM(S13:S19)</f>
        <v>1743</v>
      </c>
      <c r="T12" s="992">
        <f t="shared" si="10"/>
        <v>1753</v>
      </c>
      <c r="U12" s="992">
        <f t="shared" si="10"/>
        <v>1765</v>
      </c>
      <c r="V12" s="992">
        <f t="shared" si="10"/>
        <v>1800</v>
      </c>
      <c r="W12" s="992">
        <f t="shared" si="10"/>
        <v>1804</v>
      </c>
      <c r="X12" s="992">
        <f t="shared" si="10"/>
        <v>1794</v>
      </c>
      <c r="Y12" s="715">
        <f t="shared" si="10"/>
        <v>1811</v>
      </c>
      <c r="Z12" s="715">
        <f t="shared" si="10"/>
        <v>1825</v>
      </c>
      <c r="AA12" s="715">
        <f t="shared" si="10"/>
        <v>1830</v>
      </c>
      <c r="AB12" s="715">
        <v>1861</v>
      </c>
      <c r="AC12" s="1502">
        <v>1866</v>
      </c>
      <c r="AD12" s="992">
        <v>1890</v>
      </c>
      <c r="AE12" s="35"/>
      <c r="AF12" s="1513">
        <f t="shared" si="5"/>
        <v>1811.8333333333333</v>
      </c>
      <c r="AH12" s="6959">
        <v>1916</v>
      </c>
      <c r="AI12" s="992">
        <v>1904</v>
      </c>
      <c r="AJ12" s="715">
        <v>1911</v>
      </c>
      <c r="AK12" s="992">
        <v>1908</v>
      </c>
      <c r="AL12" s="715">
        <v>1901</v>
      </c>
      <c r="AM12" s="715">
        <v>1886</v>
      </c>
      <c r="AN12" s="715">
        <v>1860</v>
      </c>
      <c r="AO12" s="715">
        <v>1836</v>
      </c>
      <c r="AP12" s="715">
        <v>1833</v>
      </c>
      <c r="AQ12" s="715">
        <v>1812</v>
      </c>
      <c r="AR12" s="715">
        <v>1815</v>
      </c>
      <c r="AS12" s="715">
        <v>1830</v>
      </c>
      <c r="AT12" s="35"/>
      <c r="AU12" s="1513">
        <f t="shared" si="6"/>
        <v>1867.6666666666667</v>
      </c>
      <c r="AW12" s="499">
        <f>AS12/$AS$4</f>
        <v>0.83181818181818179</v>
      </c>
      <c r="AX12" s="1979">
        <v>730</v>
      </c>
      <c r="AY12" s="729">
        <f t="shared" si="4"/>
        <v>0.39890710382513661</v>
      </c>
      <c r="AZ12" s="1988">
        <v>34.075409836065575</v>
      </c>
      <c r="BA12" s="1989">
        <v>6.2276023654465087</v>
      </c>
    </row>
    <row r="13" spans="1:53" x14ac:dyDescent="0.55000000000000004">
      <c r="A13" s="7096"/>
      <c r="B13" s="47"/>
      <c r="C13" s="8" t="s">
        <v>211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 s="8"/>
      <c r="Q13" s="1397">
        <f t="shared" si="2"/>
        <v>3</v>
      </c>
      <c r="S13" s="993">
        <v>2</v>
      </c>
      <c r="T13" s="993">
        <v>3</v>
      </c>
      <c r="U13" s="993">
        <v>3</v>
      </c>
      <c r="V13" s="993">
        <v>3</v>
      </c>
      <c r="W13" s="993">
        <v>3</v>
      </c>
      <c r="X13" s="993">
        <v>3</v>
      </c>
      <c r="Y13" s="716">
        <v>3</v>
      </c>
      <c r="Z13" s="716">
        <v>3</v>
      </c>
      <c r="AA13" s="716">
        <v>3</v>
      </c>
      <c r="AB13" s="716">
        <v>3</v>
      </c>
      <c r="AC13" s="1503">
        <v>3</v>
      </c>
      <c r="AD13" s="993">
        <v>3</v>
      </c>
      <c r="AE13" s="8"/>
      <c r="AF13" s="288">
        <f t="shared" si="5"/>
        <v>2.9166666666666665</v>
      </c>
      <c r="AH13" s="1503">
        <v>3</v>
      </c>
      <c r="AI13" s="993">
        <v>1</v>
      </c>
      <c r="AJ13" s="716">
        <v>1</v>
      </c>
      <c r="AK13" s="993">
        <v>1</v>
      </c>
      <c r="AL13" s="716">
        <v>1</v>
      </c>
      <c r="AM13">
        <v>1</v>
      </c>
      <c r="AN13" s="716">
        <v>1</v>
      </c>
      <c r="AO13" s="716">
        <v>1</v>
      </c>
      <c r="AP13" s="716">
        <v>1</v>
      </c>
      <c r="AQ13" s="716">
        <v>1</v>
      </c>
      <c r="AR13" s="716">
        <v>1</v>
      </c>
      <c r="AS13" s="716">
        <v>1</v>
      </c>
      <c r="AT13" s="8"/>
      <c r="AU13" s="288">
        <f t="shared" si="6"/>
        <v>1.1666666666666667</v>
      </c>
      <c r="AW13" s="788">
        <f t="shared" ref="AW13:AW19" si="11">AS13/$AS$12</f>
        <v>5.4644808743169399E-4</v>
      </c>
      <c r="AX13" s="1980">
        <v>1</v>
      </c>
      <c r="AY13" s="728">
        <f t="shared" si="4"/>
        <v>1</v>
      </c>
      <c r="AZ13" s="1990">
        <v>48</v>
      </c>
      <c r="BA13" s="1991">
        <v>17.591780821917808</v>
      </c>
    </row>
    <row r="14" spans="1:53" x14ac:dyDescent="0.55000000000000004">
      <c r="A14" s="7096"/>
      <c r="B14" s="1"/>
      <c r="C14" s="1" t="s">
        <v>187</v>
      </c>
      <c r="D14">
        <v>22</v>
      </c>
      <c r="E14">
        <v>22</v>
      </c>
      <c r="F14">
        <v>21</v>
      </c>
      <c r="G14">
        <v>21</v>
      </c>
      <c r="H14">
        <v>21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21</v>
      </c>
      <c r="O14">
        <v>21</v>
      </c>
      <c r="P14" s="1"/>
      <c r="Q14" s="1396">
        <f t="shared" si="2"/>
        <v>21.166666666666668</v>
      </c>
      <c r="S14" s="985">
        <v>20</v>
      </c>
      <c r="T14" s="985">
        <v>21</v>
      </c>
      <c r="U14" s="985">
        <v>21</v>
      </c>
      <c r="V14" s="985">
        <v>21</v>
      </c>
      <c r="W14" s="985">
        <v>21</v>
      </c>
      <c r="X14" s="985">
        <v>20</v>
      </c>
      <c r="Y14" s="716">
        <v>20</v>
      </c>
      <c r="Z14" s="716">
        <v>22</v>
      </c>
      <c r="AA14" s="716">
        <v>22</v>
      </c>
      <c r="AB14" s="716">
        <v>22</v>
      </c>
      <c r="AC14" s="1503">
        <v>22</v>
      </c>
      <c r="AD14" s="985">
        <v>22</v>
      </c>
      <c r="AE14" s="1"/>
      <c r="AF14" s="448">
        <f t="shared" si="5"/>
        <v>21.166666666666668</v>
      </c>
      <c r="AH14" s="1503">
        <v>22</v>
      </c>
      <c r="AI14" s="985">
        <v>25</v>
      </c>
      <c r="AJ14" s="716">
        <v>25</v>
      </c>
      <c r="AK14" s="985">
        <v>25</v>
      </c>
      <c r="AL14" s="716">
        <v>24</v>
      </c>
      <c r="AM14">
        <v>24</v>
      </c>
      <c r="AN14" s="716">
        <v>24</v>
      </c>
      <c r="AO14" s="716">
        <v>32</v>
      </c>
      <c r="AP14" s="716">
        <v>32</v>
      </c>
      <c r="AQ14" s="716">
        <v>31</v>
      </c>
      <c r="AR14" s="716">
        <v>31</v>
      </c>
      <c r="AS14" s="716">
        <v>31</v>
      </c>
      <c r="AT14" s="1"/>
      <c r="AU14" s="448">
        <f t="shared" si="6"/>
        <v>27.166666666666668</v>
      </c>
      <c r="AW14" s="788">
        <f t="shared" si="11"/>
        <v>1.6939890710382512E-2</v>
      </c>
      <c r="AX14" s="1980">
        <v>4</v>
      </c>
      <c r="AY14" s="728">
        <f t="shared" si="4"/>
        <v>0.12903225806451613</v>
      </c>
      <c r="AZ14" s="1990">
        <v>43.548387096774192</v>
      </c>
      <c r="BA14" s="1991">
        <v>16.080866106937695</v>
      </c>
    </row>
    <row r="15" spans="1:53" x14ac:dyDescent="0.55000000000000004">
      <c r="A15" s="7096"/>
      <c r="B15" s="1"/>
      <c r="C15" s="1" t="s">
        <v>189</v>
      </c>
      <c r="D15">
        <v>109</v>
      </c>
      <c r="E15">
        <v>108</v>
      </c>
      <c r="F15">
        <v>108</v>
      </c>
      <c r="G15">
        <v>105</v>
      </c>
      <c r="H15">
        <v>105</v>
      </c>
      <c r="I15">
        <v>105</v>
      </c>
      <c r="J15">
        <v>104</v>
      </c>
      <c r="K15">
        <v>103</v>
      </c>
      <c r="L15">
        <v>103</v>
      </c>
      <c r="M15">
        <v>103</v>
      </c>
      <c r="N15">
        <v>101</v>
      </c>
      <c r="O15">
        <v>100</v>
      </c>
      <c r="P15" s="1"/>
      <c r="Q15" s="1396">
        <f t="shared" si="2"/>
        <v>104.5</v>
      </c>
      <c r="S15" s="985">
        <v>90</v>
      </c>
      <c r="T15" s="985">
        <v>98</v>
      </c>
      <c r="U15" s="985">
        <v>97</v>
      </c>
      <c r="V15" s="985">
        <v>96</v>
      </c>
      <c r="W15" s="985">
        <v>96</v>
      </c>
      <c r="X15" s="985">
        <v>96</v>
      </c>
      <c r="Y15" s="716">
        <v>95</v>
      </c>
      <c r="Z15" s="716">
        <v>107</v>
      </c>
      <c r="AA15" s="716">
        <v>107</v>
      </c>
      <c r="AB15" s="716">
        <v>107</v>
      </c>
      <c r="AC15" s="1503">
        <v>107</v>
      </c>
      <c r="AD15" s="985">
        <v>106</v>
      </c>
      <c r="AE15" s="1"/>
      <c r="AF15" s="448">
        <f t="shared" si="5"/>
        <v>100.16666666666667</v>
      </c>
      <c r="AH15" s="1503">
        <v>106</v>
      </c>
      <c r="AI15" s="985">
        <v>125</v>
      </c>
      <c r="AJ15" s="716">
        <v>124</v>
      </c>
      <c r="AK15" s="985">
        <v>124</v>
      </c>
      <c r="AL15" s="716">
        <v>124</v>
      </c>
      <c r="AM15">
        <v>124</v>
      </c>
      <c r="AN15" s="716">
        <v>122</v>
      </c>
      <c r="AO15" s="716">
        <v>138</v>
      </c>
      <c r="AP15" s="716">
        <v>137</v>
      </c>
      <c r="AQ15" s="716">
        <v>136</v>
      </c>
      <c r="AR15" s="716">
        <v>135</v>
      </c>
      <c r="AS15" s="716">
        <v>133</v>
      </c>
      <c r="AT15" s="1"/>
      <c r="AU15" s="448">
        <f t="shared" si="6"/>
        <v>127.33333333333333</v>
      </c>
      <c r="AW15" s="788">
        <f t="shared" si="11"/>
        <v>7.2677595628415304E-2</v>
      </c>
      <c r="AX15" s="1980">
        <v>29</v>
      </c>
      <c r="AY15" s="728">
        <f t="shared" si="4"/>
        <v>0.21804511278195488</v>
      </c>
      <c r="AZ15" s="1990">
        <v>40.609022556390975</v>
      </c>
      <c r="BA15" s="1991">
        <v>13.27524976825625</v>
      </c>
    </row>
    <row r="16" spans="1:53" x14ac:dyDescent="0.55000000000000004">
      <c r="A16" s="7096"/>
      <c r="B16" s="1"/>
      <c r="C16" s="8" t="s">
        <v>190</v>
      </c>
      <c r="D16">
        <v>332</v>
      </c>
      <c r="E16">
        <v>328</v>
      </c>
      <c r="F16">
        <v>328</v>
      </c>
      <c r="G16">
        <v>326</v>
      </c>
      <c r="H16">
        <v>320</v>
      </c>
      <c r="I16">
        <v>318</v>
      </c>
      <c r="J16">
        <v>315</v>
      </c>
      <c r="K16">
        <v>315</v>
      </c>
      <c r="L16">
        <v>314</v>
      </c>
      <c r="M16">
        <v>312</v>
      </c>
      <c r="N16">
        <v>309</v>
      </c>
      <c r="O16">
        <v>309</v>
      </c>
      <c r="P16" s="8"/>
      <c r="Q16" s="1397">
        <f t="shared" si="2"/>
        <v>318.83333333333331</v>
      </c>
      <c r="S16" s="993">
        <v>284</v>
      </c>
      <c r="T16" s="993">
        <v>308</v>
      </c>
      <c r="U16" s="993">
        <v>307</v>
      </c>
      <c r="V16" s="993">
        <v>311</v>
      </c>
      <c r="W16" s="993">
        <v>308</v>
      </c>
      <c r="X16" s="993">
        <v>309</v>
      </c>
      <c r="Y16" s="716">
        <v>304</v>
      </c>
      <c r="Z16" s="716">
        <v>328</v>
      </c>
      <c r="AA16" s="716">
        <v>326</v>
      </c>
      <c r="AB16" s="716">
        <v>324</v>
      </c>
      <c r="AC16" s="1503">
        <v>322</v>
      </c>
      <c r="AD16" s="993">
        <v>322</v>
      </c>
      <c r="AE16" s="8"/>
      <c r="AF16" s="288">
        <f t="shared" si="5"/>
        <v>312.75</v>
      </c>
      <c r="AH16" s="1503">
        <v>322</v>
      </c>
      <c r="AI16" s="993">
        <v>348</v>
      </c>
      <c r="AJ16" s="716">
        <v>344</v>
      </c>
      <c r="AK16" s="993">
        <v>343</v>
      </c>
      <c r="AL16" s="716">
        <v>344</v>
      </c>
      <c r="AM16">
        <v>340</v>
      </c>
      <c r="AN16" s="716">
        <v>337</v>
      </c>
      <c r="AO16" s="716">
        <v>349</v>
      </c>
      <c r="AP16" s="716">
        <v>348</v>
      </c>
      <c r="AQ16" s="716">
        <v>347</v>
      </c>
      <c r="AR16" s="716">
        <v>345</v>
      </c>
      <c r="AS16" s="716">
        <v>346</v>
      </c>
      <c r="AT16" s="8"/>
      <c r="AU16" s="288">
        <f t="shared" si="6"/>
        <v>342.75</v>
      </c>
      <c r="AW16" s="788">
        <f t="shared" si="11"/>
        <v>0.18907103825136612</v>
      </c>
      <c r="AX16" s="1980">
        <v>145</v>
      </c>
      <c r="AY16" s="728">
        <f t="shared" si="4"/>
        <v>0.41907514450867051</v>
      </c>
      <c r="AZ16" s="1990">
        <v>37.901734104046241</v>
      </c>
      <c r="BA16" s="1991">
        <v>10.595351967693414</v>
      </c>
    </row>
    <row r="17" spans="1:53" x14ac:dyDescent="0.55000000000000004">
      <c r="A17" s="7096"/>
      <c r="B17" s="1"/>
      <c r="C17" s="8" t="s">
        <v>191</v>
      </c>
      <c r="D17">
        <v>549</v>
      </c>
      <c r="E17">
        <v>545</v>
      </c>
      <c r="F17">
        <v>543</v>
      </c>
      <c r="G17">
        <v>536</v>
      </c>
      <c r="H17">
        <v>535</v>
      </c>
      <c r="I17">
        <v>527</v>
      </c>
      <c r="J17">
        <v>521</v>
      </c>
      <c r="K17">
        <v>516</v>
      </c>
      <c r="L17">
        <v>513</v>
      </c>
      <c r="M17">
        <v>512</v>
      </c>
      <c r="N17">
        <v>508</v>
      </c>
      <c r="O17">
        <v>504</v>
      </c>
      <c r="P17" s="8"/>
      <c r="Q17" s="1397">
        <f t="shared" si="2"/>
        <v>525.75</v>
      </c>
      <c r="S17" s="993">
        <v>478</v>
      </c>
      <c r="T17" s="993">
        <v>501</v>
      </c>
      <c r="U17" s="993">
        <v>499</v>
      </c>
      <c r="V17" s="993">
        <v>503</v>
      </c>
      <c r="W17" s="993">
        <v>503</v>
      </c>
      <c r="X17" s="993">
        <v>492</v>
      </c>
      <c r="Y17" s="716">
        <v>500</v>
      </c>
      <c r="Z17" s="716">
        <v>525</v>
      </c>
      <c r="AA17" s="716">
        <v>518</v>
      </c>
      <c r="AB17" s="716">
        <v>521</v>
      </c>
      <c r="AC17" s="1503">
        <v>522</v>
      </c>
      <c r="AD17" s="993">
        <v>522</v>
      </c>
      <c r="AE17" s="8"/>
      <c r="AF17" s="288">
        <f t="shared" si="5"/>
        <v>507</v>
      </c>
      <c r="AH17" s="1503">
        <v>518</v>
      </c>
      <c r="AI17" s="993">
        <v>544</v>
      </c>
      <c r="AJ17" s="716">
        <v>543</v>
      </c>
      <c r="AK17" s="993">
        <v>536</v>
      </c>
      <c r="AL17" s="716">
        <v>529</v>
      </c>
      <c r="AM17">
        <v>522</v>
      </c>
      <c r="AN17" s="1145">
        <v>519</v>
      </c>
      <c r="AO17" s="716">
        <v>553</v>
      </c>
      <c r="AP17" s="716">
        <v>542</v>
      </c>
      <c r="AQ17" s="716">
        <v>542</v>
      </c>
      <c r="AR17" s="716">
        <v>534</v>
      </c>
      <c r="AS17" s="716">
        <v>530</v>
      </c>
      <c r="AT17" s="8"/>
      <c r="AU17" s="288">
        <f t="shared" si="6"/>
        <v>534.33333333333337</v>
      </c>
      <c r="AW17" s="788">
        <f t="shared" si="11"/>
        <v>0.2896174863387978</v>
      </c>
      <c r="AX17" s="1980">
        <v>236</v>
      </c>
      <c r="AY17" s="728">
        <f t="shared" si="4"/>
        <v>0.44528301886792454</v>
      </c>
      <c r="AZ17" s="1990">
        <v>35.001886792452829</v>
      </c>
      <c r="BA17" s="1991">
        <v>7.1034479193590103</v>
      </c>
    </row>
    <row r="18" spans="1:53" x14ac:dyDescent="0.55000000000000004">
      <c r="A18" s="7096"/>
      <c r="B18" s="30"/>
      <c r="C18" s="8" t="s">
        <v>192</v>
      </c>
      <c r="D18">
        <v>787</v>
      </c>
      <c r="E18">
        <v>793</v>
      </c>
      <c r="F18">
        <v>787</v>
      </c>
      <c r="G18">
        <v>791</v>
      </c>
      <c r="H18">
        <v>797</v>
      </c>
      <c r="I18">
        <v>791</v>
      </c>
      <c r="J18">
        <v>790</v>
      </c>
      <c r="K18">
        <v>781</v>
      </c>
      <c r="L18">
        <v>769</v>
      </c>
      <c r="M18">
        <v>774</v>
      </c>
      <c r="N18">
        <v>782</v>
      </c>
      <c r="O18">
        <v>782</v>
      </c>
      <c r="P18" s="8"/>
      <c r="Q18" s="1397">
        <f t="shared" si="2"/>
        <v>785.33333333333337</v>
      </c>
      <c r="S18" s="993">
        <v>786</v>
      </c>
      <c r="T18" s="993">
        <v>716</v>
      </c>
      <c r="U18" s="993">
        <v>707</v>
      </c>
      <c r="V18" s="993">
        <v>730</v>
      </c>
      <c r="W18" s="993">
        <v>741</v>
      </c>
      <c r="X18" s="993">
        <v>762</v>
      </c>
      <c r="Y18" s="716">
        <v>770</v>
      </c>
      <c r="Z18" s="716">
        <v>730</v>
      </c>
      <c r="AA18" s="716">
        <v>735</v>
      </c>
      <c r="AB18" s="716">
        <v>744</v>
      </c>
      <c r="AC18" s="1503">
        <v>748</v>
      </c>
      <c r="AD18" s="993">
        <v>763</v>
      </c>
      <c r="AE18" s="8"/>
      <c r="AF18" s="288">
        <f t="shared" si="5"/>
        <v>744.33333333333337</v>
      </c>
      <c r="AH18" s="1503">
        <v>810</v>
      </c>
      <c r="AI18" s="993">
        <v>860</v>
      </c>
      <c r="AJ18" s="716">
        <v>874</v>
      </c>
      <c r="AK18" s="993">
        <v>879</v>
      </c>
      <c r="AL18" s="716">
        <v>879</v>
      </c>
      <c r="AM18">
        <v>875</v>
      </c>
      <c r="AN18" s="716">
        <v>857</v>
      </c>
      <c r="AO18" s="716">
        <v>763</v>
      </c>
      <c r="AP18" s="716">
        <v>772</v>
      </c>
      <c r="AQ18" s="716">
        <v>754</v>
      </c>
      <c r="AR18" s="716">
        <v>769</v>
      </c>
      <c r="AS18" s="716">
        <v>789</v>
      </c>
      <c r="AT18" s="8"/>
      <c r="AU18" s="288">
        <f t="shared" si="6"/>
        <v>823.41666666666663</v>
      </c>
      <c r="AW18" s="788">
        <f t="shared" si="11"/>
        <v>0.43114754098360658</v>
      </c>
      <c r="AX18" s="1980">
        <v>315</v>
      </c>
      <c r="AY18" s="728">
        <f t="shared" si="4"/>
        <v>0.39923954372623577</v>
      </c>
      <c r="AZ18" s="1990">
        <v>30.283903675538657</v>
      </c>
      <c r="BA18" s="1991">
        <v>2.1343299130163071</v>
      </c>
    </row>
    <row r="19" spans="1:53" x14ac:dyDescent="0.55000000000000004">
      <c r="A19" s="7096"/>
      <c r="B19" s="30"/>
      <c r="C19" s="8" t="s">
        <v>212</v>
      </c>
      <c r="D19">
        <v>29</v>
      </c>
      <c r="E19">
        <v>26</v>
      </c>
      <c r="F19">
        <v>21</v>
      </c>
      <c r="G19">
        <v>15</v>
      </c>
      <c r="H19">
        <v>22</v>
      </c>
      <c r="I19">
        <v>21</v>
      </c>
      <c r="J19">
        <v>18</v>
      </c>
      <c r="K19">
        <v>23</v>
      </c>
      <c r="L19">
        <v>17</v>
      </c>
      <c r="M19">
        <v>19</v>
      </c>
      <c r="N19">
        <v>22</v>
      </c>
      <c r="O19">
        <v>26</v>
      </c>
      <c r="P19" s="8"/>
      <c r="Q19" s="1397">
        <f t="shared" si="2"/>
        <v>21.583333333333332</v>
      </c>
      <c r="S19" s="993">
        <v>83</v>
      </c>
      <c r="T19" s="993">
        <v>106</v>
      </c>
      <c r="U19" s="993">
        <v>131</v>
      </c>
      <c r="V19" s="993">
        <v>136</v>
      </c>
      <c r="W19" s="993">
        <v>132</v>
      </c>
      <c r="X19" s="993">
        <v>112</v>
      </c>
      <c r="Y19" s="716">
        <v>119</v>
      </c>
      <c r="Z19" s="716">
        <v>110</v>
      </c>
      <c r="AA19" s="716">
        <v>119</v>
      </c>
      <c r="AB19" s="716">
        <v>140</v>
      </c>
      <c r="AC19" s="1503">
        <v>142</v>
      </c>
      <c r="AD19" s="993">
        <v>152</v>
      </c>
      <c r="AE19" s="8"/>
      <c r="AF19" s="288">
        <f t="shared" si="5"/>
        <v>123.5</v>
      </c>
      <c r="AH19" s="1503">
        <v>135</v>
      </c>
      <c r="AI19" s="993">
        <v>1</v>
      </c>
      <c r="AJ19" s="716"/>
      <c r="AK19" s="993"/>
      <c r="AL19" s="716"/>
      <c r="AM19" s="716"/>
      <c r="AN19" s="716"/>
      <c r="AO19" s="716"/>
      <c r="AP19" s="716">
        <v>1</v>
      </c>
      <c r="AQ19" s="716">
        <v>1</v>
      </c>
      <c r="AR19" s="716"/>
      <c r="AS19" s="716"/>
      <c r="AT19" s="8"/>
      <c r="AU19" s="288">
        <f t="shared" si="6"/>
        <v>34.5</v>
      </c>
      <c r="AW19" s="788">
        <f t="shared" si="11"/>
        <v>0</v>
      </c>
      <c r="AX19" s="1980"/>
      <c r="AY19" s="728"/>
      <c r="AZ19" s="1990"/>
      <c r="BA19" s="1991"/>
    </row>
    <row r="20" spans="1:53" x14ac:dyDescent="0.55000000000000004">
      <c r="A20" s="7096"/>
      <c r="B20" s="104" t="s">
        <v>195</v>
      </c>
      <c r="C20" s="35"/>
      <c r="D20" s="1021">
        <v>124</v>
      </c>
      <c r="E20" s="1021">
        <v>121</v>
      </c>
      <c r="F20" s="1021">
        <v>121</v>
      </c>
      <c r="G20" s="1021">
        <v>121</v>
      </c>
      <c r="H20" s="1021">
        <v>120</v>
      </c>
      <c r="I20" s="1021">
        <v>120</v>
      </c>
      <c r="J20" s="1021">
        <v>119</v>
      </c>
      <c r="K20" s="1021">
        <v>114</v>
      </c>
      <c r="L20" s="1021">
        <v>117</v>
      </c>
      <c r="M20" s="1021">
        <v>116</v>
      </c>
      <c r="N20" s="1021">
        <v>116</v>
      </c>
      <c r="O20" s="1021">
        <v>118</v>
      </c>
      <c r="P20" s="35"/>
      <c r="Q20" s="1395">
        <f t="shared" si="2"/>
        <v>118.91666666666667</v>
      </c>
      <c r="S20" s="992">
        <v>123</v>
      </c>
      <c r="T20" s="992">
        <v>122</v>
      </c>
      <c r="U20" s="992">
        <v>119</v>
      </c>
      <c r="V20" s="992">
        <v>116</v>
      </c>
      <c r="W20" s="992">
        <v>116</v>
      </c>
      <c r="X20" s="992">
        <v>116</v>
      </c>
      <c r="Y20" s="715">
        <v>108</v>
      </c>
      <c r="Z20" s="715">
        <v>98</v>
      </c>
      <c r="AA20" s="715">
        <v>102</v>
      </c>
      <c r="AB20" s="715">
        <v>95</v>
      </c>
      <c r="AC20" s="1502">
        <v>106</v>
      </c>
      <c r="AD20" s="992">
        <v>116</v>
      </c>
      <c r="AE20" s="35"/>
      <c r="AF20" s="1513">
        <f t="shared" si="5"/>
        <v>111.41666666666667</v>
      </c>
      <c r="AH20" s="1959">
        <v>122</v>
      </c>
      <c r="AI20" s="992">
        <v>126</v>
      </c>
      <c r="AJ20" s="715">
        <v>133</v>
      </c>
      <c r="AK20" s="992">
        <v>143</v>
      </c>
      <c r="AL20" s="715">
        <v>146</v>
      </c>
      <c r="AM20" s="715">
        <v>147</v>
      </c>
      <c r="AN20" s="715">
        <v>150</v>
      </c>
      <c r="AO20" s="715">
        <v>149</v>
      </c>
      <c r="AP20" s="715">
        <v>148</v>
      </c>
      <c r="AQ20" s="715">
        <v>146</v>
      </c>
      <c r="AR20" s="715">
        <v>146</v>
      </c>
      <c r="AS20" s="715">
        <v>145</v>
      </c>
      <c r="AT20" s="35"/>
      <c r="AU20" s="1513">
        <f t="shared" si="6"/>
        <v>141.75</v>
      </c>
      <c r="AW20" s="499">
        <f>AS20/$AS$4</f>
        <v>6.5909090909090903E-2</v>
      </c>
      <c r="AX20" s="1979">
        <v>87</v>
      </c>
      <c r="AY20" s="729">
        <f>AX20/AS20</f>
        <v>0.6</v>
      </c>
      <c r="AZ20" s="1988">
        <v>38.896551724137929</v>
      </c>
      <c r="BA20" s="1989">
        <v>4.5909116674539421</v>
      </c>
    </row>
    <row r="21" spans="1:53" ht="18" thickBot="1" x14ac:dyDescent="0.6">
      <c r="A21" s="7472"/>
      <c r="B21" s="105" t="s">
        <v>255</v>
      </c>
      <c r="C21" s="106"/>
      <c r="D21" s="106">
        <v>26</v>
      </c>
      <c r="E21" s="106">
        <v>31</v>
      </c>
      <c r="F21" s="106">
        <v>33</v>
      </c>
      <c r="G21" s="106">
        <v>34</v>
      </c>
      <c r="H21" s="106">
        <v>42</v>
      </c>
      <c r="I21" s="106">
        <v>40</v>
      </c>
      <c r="J21" s="106">
        <v>41</v>
      </c>
      <c r="K21" s="106">
        <v>43</v>
      </c>
      <c r="L21" s="106">
        <v>46</v>
      </c>
      <c r="M21" s="106">
        <v>47</v>
      </c>
      <c r="N21" s="106">
        <v>47</v>
      </c>
      <c r="O21" s="106">
        <v>39</v>
      </c>
      <c r="P21" s="106"/>
      <c r="Q21" s="1398">
        <f t="shared" si="2"/>
        <v>39.083333333333336</v>
      </c>
      <c r="S21" s="717">
        <v>41</v>
      </c>
      <c r="T21" s="717">
        <v>43</v>
      </c>
      <c r="U21" s="717">
        <v>45</v>
      </c>
      <c r="V21" s="717">
        <v>46</v>
      </c>
      <c r="W21" s="717">
        <v>49</v>
      </c>
      <c r="X21" s="717">
        <v>46</v>
      </c>
      <c r="Y21" s="717">
        <v>52</v>
      </c>
      <c r="Z21" s="717">
        <v>55</v>
      </c>
      <c r="AA21" s="717">
        <v>55</v>
      </c>
      <c r="AB21" s="717">
        <v>50</v>
      </c>
      <c r="AC21" s="1504">
        <v>47</v>
      </c>
      <c r="AD21" s="717">
        <v>50</v>
      </c>
      <c r="AE21" s="106"/>
      <c r="AF21" s="1514">
        <f t="shared" si="5"/>
        <v>48.25</v>
      </c>
      <c r="AH21" s="1960">
        <v>52</v>
      </c>
      <c r="AI21" s="717">
        <v>53</v>
      </c>
      <c r="AJ21" s="717">
        <v>52</v>
      </c>
      <c r="AK21" s="717">
        <v>51</v>
      </c>
      <c r="AL21" s="717">
        <v>48</v>
      </c>
      <c r="AM21" s="717">
        <v>45</v>
      </c>
      <c r="AN21" s="717">
        <v>41</v>
      </c>
      <c r="AO21" s="717">
        <v>38</v>
      </c>
      <c r="AP21" s="717">
        <v>36</v>
      </c>
      <c r="AQ21" s="717">
        <v>37</v>
      </c>
      <c r="AR21" s="717">
        <v>35</v>
      </c>
      <c r="AS21" s="717">
        <v>33</v>
      </c>
      <c r="AT21" s="106"/>
      <c r="AU21" s="1514">
        <f t="shared" si="6"/>
        <v>43.416666666666664</v>
      </c>
      <c r="AW21" s="501">
        <f>AS21/$AS$4</f>
        <v>1.4999999999999999E-2</v>
      </c>
      <c r="AX21" s="1981">
        <v>18</v>
      </c>
      <c r="AY21" s="803">
        <f>AX21/AS21</f>
        <v>0.54545454545454541</v>
      </c>
      <c r="AZ21" s="1992">
        <v>46.514285714285712</v>
      </c>
      <c r="BA21" s="1993">
        <v>1.8562818003913895</v>
      </c>
    </row>
    <row r="22" spans="1:53" x14ac:dyDescent="0.55000000000000004">
      <c r="A22" s="7096" t="s">
        <v>198</v>
      </c>
      <c r="B22" s="104" t="s">
        <v>199</v>
      </c>
      <c r="C22" s="35"/>
      <c r="D22" s="715">
        <f t="shared" ref="D22:N22" si="12">SUM(D23:D30)</f>
        <v>333</v>
      </c>
      <c r="E22" s="715">
        <f t="shared" si="12"/>
        <v>329</v>
      </c>
      <c r="F22" s="715">
        <f t="shared" si="12"/>
        <v>325</v>
      </c>
      <c r="G22" s="715">
        <f t="shared" si="12"/>
        <v>325</v>
      </c>
      <c r="H22" s="715">
        <f t="shared" si="12"/>
        <v>325</v>
      </c>
      <c r="I22" s="715">
        <f t="shared" si="12"/>
        <v>319</v>
      </c>
      <c r="J22" s="715">
        <f t="shared" si="12"/>
        <v>325</v>
      </c>
      <c r="K22" s="715">
        <f t="shared" si="12"/>
        <v>320</v>
      </c>
      <c r="L22" s="715">
        <f t="shared" si="12"/>
        <v>324</v>
      </c>
      <c r="M22" s="715">
        <f t="shared" si="12"/>
        <v>323</v>
      </c>
      <c r="N22" s="715">
        <f t="shared" si="12"/>
        <v>322</v>
      </c>
      <c r="O22" s="715">
        <f>SUM(O23:O30)</f>
        <v>325</v>
      </c>
      <c r="P22" s="35"/>
      <c r="Q22" s="1395">
        <f t="shared" si="2"/>
        <v>324.58333333333331</v>
      </c>
      <c r="S22" s="992">
        <f t="shared" ref="S22:X22" si="13">SUM(S23:S30)</f>
        <v>345</v>
      </c>
      <c r="T22" s="992">
        <f t="shared" si="13"/>
        <v>336</v>
      </c>
      <c r="U22" s="992">
        <f t="shared" si="13"/>
        <v>338</v>
      </c>
      <c r="V22" s="992">
        <f t="shared" si="13"/>
        <v>328</v>
      </c>
      <c r="W22" s="992">
        <f t="shared" si="13"/>
        <v>327</v>
      </c>
      <c r="X22" s="992">
        <f t="shared" si="13"/>
        <v>329</v>
      </c>
      <c r="Y22" s="715">
        <f>SUM(Y23:Y30)</f>
        <v>335</v>
      </c>
      <c r="Z22" s="715">
        <f>SUM(Z23:Z30)</f>
        <v>345</v>
      </c>
      <c r="AA22" s="715">
        <f>SUM(AA23:AA30)</f>
        <v>351</v>
      </c>
      <c r="AB22" s="715">
        <f>SUM(AB23:AB30)</f>
        <v>345</v>
      </c>
      <c r="AC22" s="1502">
        <v>352</v>
      </c>
      <c r="AD22" s="992">
        <v>361</v>
      </c>
      <c r="AE22" s="35"/>
      <c r="AF22" s="1513">
        <f t="shared" si="5"/>
        <v>341</v>
      </c>
      <c r="AH22" s="1959">
        <v>370</v>
      </c>
      <c r="AI22" s="992">
        <v>379</v>
      </c>
      <c r="AJ22" s="715">
        <v>382</v>
      </c>
      <c r="AK22" s="992">
        <v>391</v>
      </c>
      <c r="AL22" s="715">
        <v>403</v>
      </c>
      <c r="AM22" s="715">
        <v>403</v>
      </c>
      <c r="AN22" s="715">
        <v>397</v>
      </c>
      <c r="AO22" s="1959">
        <v>397</v>
      </c>
      <c r="AP22" s="715">
        <v>408</v>
      </c>
      <c r="AQ22" s="715">
        <v>404</v>
      </c>
      <c r="AR22" s="715">
        <v>405</v>
      </c>
      <c r="AS22" s="715">
        <v>417</v>
      </c>
      <c r="AT22" s="35"/>
      <c r="AU22" s="1513">
        <f t="shared" si="6"/>
        <v>396.33333333333331</v>
      </c>
      <c r="AW22" s="499">
        <f>AS22/$AS$4</f>
        <v>0.18954545454545454</v>
      </c>
      <c r="AX22" s="1979">
        <v>195</v>
      </c>
      <c r="AY22" s="729">
        <f>AX22/AS22</f>
        <v>0.46762589928057552</v>
      </c>
      <c r="AZ22" s="1988"/>
      <c r="BA22" s="1989"/>
    </row>
    <row r="23" spans="1:53" x14ac:dyDescent="0.55000000000000004">
      <c r="A23" s="7096"/>
      <c r="B23" s="43"/>
      <c r="C23" s="8" t="s">
        <v>200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 s="8"/>
      <c r="Q23" s="1397">
        <f t="shared" si="2"/>
        <v>1</v>
      </c>
      <c r="S23" s="993">
        <v>1</v>
      </c>
      <c r="T23" s="993">
        <v>1</v>
      </c>
      <c r="U23" s="993">
        <v>1</v>
      </c>
      <c r="V23" s="993">
        <v>1</v>
      </c>
      <c r="W23" s="993">
        <v>1</v>
      </c>
      <c r="X23" s="993">
        <v>1</v>
      </c>
      <c r="Y23" s="716">
        <v>1</v>
      </c>
      <c r="Z23" s="716">
        <v>1</v>
      </c>
      <c r="AA23" s="716">
        <v>1</v>
      </c>
      <c r="AB23" s="716">
        <v>1</v>
      </c>
      <c r="AC23" s="1503">
        <v>1</v>
      </c>
      <c r="AD23" s="993">
        <v>1</v>
      </c>
      <c r="AE23" s="8"/>
      <c r="AF23" s="288">
        <f t="shared" si="5"/>
        <v>1</v>
      </c>
      <c r="AH23" s="1503">
        <v>1</v>
      </c>
      <c r="AI23" s="993">
        <v>1</v>
      </c>
      <c r="AJ23" s="716">
        <v>1</v>
      </c>
      <c r="AK23" s="993">
        <v>1</v>
      </c>
      <c r="AL23" s="716">
        <v>1</v>
      </c>
      <c r="AM23" s="716">
        <v>1</v>
      </c>
      <c r="AN23" s="716">
        <v>1</v>
      </c>
      <c r="AO23" s="716">
        <v>1</v>
      </c>
      <c r="AP23" s="716">
        <v>1</v>
      </c>
      <c r="AQ23" s="716">
        <v>1</v>
      </c>
      <c r="AR23" s="1503">
        <v>1</v>
      </c>
      <c r="AS23" s="993">
        <v>1</v>
      </c>
      <c r="AT23" s="8"/>
      <c r="AU23" s="288">
        <f t="shared" si="6"/>
        <v>1</v>
      </c>
      <c r="AW23" s="500">
        <f>AS23/$AS$22</f>
        <v>2.3980815347721821E-3</v>
      </c>
      <c r="AX23" s="1980"/>
      <c r="AY23" s="728">
        <f>AX23/AS23</f>
        <v>0</v>
      </c>
      <c r="AZ23" s="1990">
        <v>59</v>
      </c>
      <c r="BA23" s="1991">
        <v>1.0821917808219179</v>
      </c>
    </row>
    <row r="24" spans="1:53" x14ac:dyDescent="0.55000000000000004">
      <c r="A24" s="7096"/>
      <c r="B24" s="43"/>
      <c r="C24" s="8" t="s">
        <v>201</v>
      </c>
      <c r="D24">
        <v>36</v>
      </c>
      <c r="E24">
        <v>36</v>
      </c>
      <c r="F24">
        <v>35</v>
      </c>
      <c r="G24">
        <v>33</v>
      </c>
      <c r="H24">
        <v>33</v>
      </c>
      <c r="I24">
        <v>31</v>
      </c>
      <c r="J24">
        <v>34</v>
      </c>
      <c r="K24">
        <v>34</v>
      </c>
      <c r="L24">
        <v>34</v>
      </c>
      <c r="M24">
        <v>34</v>
      </c>
      <c r="N24">
        <v>34</v>
      </c>
      <c r="O24">
        <v>35</v>
      </c>
      <c r="P24" s="8"/>
      <c r="Q24" s="1397">
        <f t="shared" si="2"/>
        <v>34.083333333333336</v>
      </c>
      <c r="S24" s="993">
        <v>36</v>
      </c>
      <c r="T24" s="993">
        <v>35</v>
      </c>
      <c r="U24" s="993">
        <v>35</v>
      </c>
      <c r="V24" s="993">
        <v>34</v>
      </c>
      <c r="W24" s="993">
        <v>34</v>
      </c>
      <c r="X24" s="993">
        <v>36</v>
      </c>
      <c r="Y24" s="716">
        <v>35</v>
      </c>
      <c r="Z24" s="716">
        <v>35</v>
      </c>
      <c r="AA24" s="716">
        <v>36</v>
      </c>
      <c r="AB24" s="716">
        <v>21</v>
      </c>
      <c r="AC24" s="1503">
        <v>22</v>
      </c>
      <c r="AD24" s="993">
        <v>21</v>
      </c>
      <c r="AE24" s="8"/>
      <c r="AF24" s="288">
        <f t="shared" si="5"/>
        <v>31.666666666666668</v>
      </c>
      <c r="AH24" s="1503">
        <v>43</v>
      </c>
      <c r="AI24" s="993">
        <v>43</v>
      </c>
      <c r="AJ24" s="716">
        <v>42</v>
      </c>
      <c r="AK24" s="993">
        <v>41</v>
      </c>
      <c r="AL24" s="716">
        <v>41</v>
      </c>
      <c r="AM24" s="716">
        <v>42</v>
      </c>
      <c r="AN24" s="716">
        <v>41</v>
      </c>
      <c r="AO24" s="716">
        <v>42</v>
      </c>
      <c r="AP24" s="716">
        <v>53</v>
      </c>
      <c r="AQ24" s="716">
        <v>44</v>
      </c>
      <c r="AR24" s="1503">
        <v>43</v>
      </c>
      <c r="AS24" s="993">
        <v>42</v>
      </c>
      <c r="AT24" s="8"/>
      <c r="AU24" s="288">
        <f t="shared" si="6"/>
        <v>43.083333333333336</v>
      </c>
      <c r="AW24" s="500">
        <f>AS24/$AS$22</f>
        <v>0.10071942446043165</v>
      </c>
      <c r="AX24" s="1980">
        <v>13</v>
      </c>
      <c r="AY24" s="728">
        <f>AX24/AS24</f>
        <v>0.30952380952380953</v>
      </c>
      <c r="AZ24" s="1990">
        <v>38.547619047619051</v>
      </c>
      <c r="BA24" s="1991">
        <v>8.6627527723418165</v>
      </c>
    </row>
    <row r="25" spans="1:53" x14ac:dyDescent="0.55000000000000004">
      <c r="A25" s="7096"/>
      <c r="B25" s="43"/>
      <c r="C25" s="8" t="s">
        <v>213</v>
      </c>
      <c r="D25">
        <v>25</v>
      </c>
      <c r="E25">
        <v>24</v>
      </c>
      <c r="F25">
        <v>24</v>
      </c>
      <c r="G25">
        <v>24</v>
      </c>
      <c r="H25">
        <v>25</v>
      </c>
      <c r="I25">
        <v>24</v>
      </c>
      <c r="J25">
        <v>26</v>
      </c>
      <c r="K25">
        <v>26</v>
      </c>
      <c r="L25">
        <v>26</v>
      </c>
      <c r="M25">
        <v>25</v>
      </c>
      <c r="N25">
        <v>24</v>
      </c>
      <c r="O25">
        <v>23</v>
      </c>
      <c r="P25" s="8"/>
      <c r="Q25" s="1397">
        <f t="shared" si="2"/>
        <v>24.666666666666668</v>
      </c>
      <c r="S25" s="993">
        <v>21</v>
      </c>
      <c r="T25" s="993">
        <v>19</v>
      </c>
      <c r="U25" s="993">
        <v>19</v>
      </c>
      <c r="V25" s="993">
        <v>19</v>
      </c>
      <c r="W25" s="993">
        <v>19</v>
      </c>
      <c r="X25" s="993">
        <v>23</v>
      </c>
      <c r="Y25" s="716">
        <v>21</v>
      </c>
      <c r="Z25" s="716">
        <v>20</v>
      </c>
      <c r="AA25" s="716">
        <v>20</v>
      </c>
      <c r="AB25" s="716">
        <v>21</v>
      </c>
      <c r="AC25" s="1503">
        <v>20</v>
      </c>
      <c r="AD25" s="993">
        <v>21</v>
      </c>
      <c r="AE25" s="8"/>
      <c r="AF25" s="288">
        <f t="shared" si="5"/>
        <v>20.25</v>
      </c>
      <c r="AH25" s="1503"/>
      <c r="AI25" s="993"/>
      <c r="AJ25" s="716"/>
      <c r="AK25" s="993"/>
      <c r="AL25" s="716"/>
      <c r="AM25" s="716"/>
      <c r="AN25" s="716"/>
      <c r="AO25" s="716"/>
      <c r="AP25" s="716"/>
      <c r="AQ25" s="716"/>
      <c r="AR25" s="1503"/>
      <c r="AS25" s="993"/>
      <c r="AT25" s="8"/>
      <c r="AU25" s="288"/>
      <c r="AW25" s="500"/>
      <c r="AX25" s="1980"/>
      <c r="AY25" s="728"/>
      <c r="AZ25" s="1990"/>
      <c r="BA25" s="1991"/>
    </row>
    <row r="26" spans="1:53" x14ac:dyDescent="0.55000000000000004">
      <c r="A26" s="7096"/>
      <c r="B26" s="43"/>
      <c r="C26" s="8" t="s">
        <v>771</v>
      </c>
      <c r="P26" s="8"/>
      <c r="Q26" s="1397"/>
      <c r="S26" s="993"/>
      <c r="T26" s="993"/>
      <c r="U26" s="993"/>
      <c r="V26" s="993"/>
      <c r="W26" s="993"/>
      <c r="X26" s="993"/>
      <c r="Y26" s="716"/>
      <c r="Z26" s="716"/>
      <c r="AA26" s="716"/>
      <c r="AB26" s="716">
        <v>15</v>
      </c>
      <c r="AC26" s="1503">
        <v>15</v>
      </c>
      <c r="AD26" s="993">
        <v>17</v>
      </c>
      <c r="AE26" s="8"/>
      <c r="AF26" s="288">
        <f t="shared" si="5"/>
        <v>15.666666666666666</v>
      </c>
      <c r="AH26" s="1503">
        <v>20</v>
      </c>
      <c r="AI26" s="993">
        <v>20</v>
      </c>
      <c r="AJ26" s="716">
        <v>20</v>
      </c>
      <c r="AK26" s="993">
        <v>20</v>
      </c>
      <c r="AL26" s="716">
        <v>19</v>
      </c>
      <c r="AM26" s="716">
        <v>19</v>
      </c>
      <c r="AN26" s="716">
        <v>19</v>
      </c>
      <c r="AO26" s="716">
        <v>19</v>
      </c>
      <c r="AP26" s="716">
        <v>20</v>
      </c>
      <c r="AQ26" s="716">
        <v>21</v>
      </c>
      <c r="AR26" s="1503">
        <v>21</v>
      </c>
      <c r="AS26" s="993">
        <v>21</v>
      </c>
      <c r="AT26" s="8"/>
      <c r="AU26" s="288">
        <f t="shared" si="6"/>
        <v>19.916666666666668</v>
      </c>
      <c r="AW26" s="500">
        <f>AS26/$AS$22</f>
        <v>5.0359712230215826E-2</v>
      </c>
      <c r="AX26" s="1980">
        <v>6</v>
      </c>
      <c r="AY26" s="728">
        <f t="shared" ref="AY26:AY59" si="14">AX26/AS26</f>
        <v>0.2857142857142857</v>
      </c>
      <c r="AZ26" s="1990">
        <v>37.952380952380949</v>
      </c>
      <c r="BA26" s="1991">
        <v>6.9423352902804947</v>
      </c>
    </row>
    <row r="27" spans="1:53" x14ac:dyDescent="0.55000000000000004">
      <c r="A27" s="7096"/>
      <c r="B27" s="43"/>
      <c r="C27" s="8" t="s">
        <v>214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 s="8"/>
      <c r="Q27" s="1397">
        <f t="shared" ref="Q27:Q57" si="15">AVERAGE(D27:O27)</f>
        <v>6</v>
      </c>
      <c r="S27" s="993">
        <v>6</v>
      </c>
      <c r="T27" s="993">
        <v>6</v>
      </c>
      <c r="U27" s="993">
        <v>6</v>
      </c>
      <c r="V27" s="993">
        <v>6</v>
      </c>
      <c r="W27" s="993">
        <v>6</v>
      </c>
      <c r="X27" s="993">
        <v>6</v>
      </c>
      <c r="Y27" s="716">
        <v>6</v>
      </c>
      <c r="Z27" s="716">
        <v>6</v>
      </c>
      <c r="AA27" s="716">
        <v>6</v>
      </c>
      <c r="AB27" s="716">
        <v>6</v>
      </c>
      <c r="AC27" s="1503">
        <v>6</v>
      </c>
      <c r="AD27" s="993">
        <v>6</v>
      </c>
      <c r="AE27" s="8"/>
      <c r="AF27" s="288">
        <f t="shared" si="5"/>
        <v>6</v>
      </c>
      <c r="AH27" s="1503">
        <v>6</v>
      </c>
      <c r="AI27" s="993">
        <v>6</v>
      </c>
      <c r="AJ27" s="716">
        <v>6</v>
      </c>
      <c r="AK27" s="993">
        <v>6</v>
      </c>
      <c r="AL27" s="716">
        <v>6</v>
      </c>
      <c r="AM27" s="716">
        <v>6</v>
      </c>
      <c r="AN27" s="716">
        <v>6</v>
      </c>
      <c r="AO27" s="716">
        <v>6</v>
      </c>
      <c r="AP27" s="716">
        <v>6</v>
      </c>
      <c r="AQ27" s="716">
        <v>6</v>
      </c>
      <c r="AR27" s="1503">
        <v>6</v>
      </c>
      <c r="AS27" s="993">
        <v>6</v>
      </c>
      <c r="AT27" s="8"/>
      <c r="AU27" s="288">
        <f t="shared" si="6"/>
        <v>6</v>
      </c>
      <c r="AW27" s="500">
        <f>AS27/$AS$22</f>
        <v>1.4388489208633094E-2</v>
      </c>
      <c r="AX27" s="1980">
        <v>2</v>
      </c>
      <c r="AY27" s="728">
        <f t="shared" si="14"/>
        <v>0.33333333333333331</v>
      </c>
      <c r="AZ27" s="1990">
        <v>43.5</v>
      </c>
      <c r="BA27" s="1991">
        <v>13.903652968036532</v>
      </c>
    </row>
    <row r="28" spans="1:53" x14ac:dyDescent="0.55000000000000004">
      <c r="A28" s="7096"/>
      <c r="B28" s="43"/>
      <c r="C28" s="8" t="s">
        <v>202</v>
      </c>
      <c r="D28">
        <v>59</v>
      </c>
      <c r="E28">
        <v>56</v>
      </c>
      <c r="F28">
        <v>57</v>
      </c>
      <c r="G28">
        <v>57</v>
      </c>
      <c r="H28">
        <v>57</v>
      </c>
      <c r="I28">
        <v>54</v>
      </c>
      <c r="J28">
        <v>53</v>
      </c>
      <c r="K28">
        <v>52</v>
      </c>
      <c r="L28">
        <v>53</v>
      </c>
      <c r="M28">
        <v>53</v>
      </c>
      <c r="N28">
        <v>53</v>
      </c>
      <c r="O28">
        <v>54</v>
      </c>
      <c r="P28" s="8"/>
      <c r="Q28" s="1397">
        <f t="shared" si="15"/>
        <v>54.833333333333336</v>
      </c>
      <c r="S28" s="993">
        <v>53</v>
      </c>
      <c r="T28" s="993">
        <v>51</v>
      </c>
      <c r="U28" s="993">
        <v>51</v>
      </c>
      <c r="V28" s="993">
        <v>50</v>
      </c>
      <c r="W28" s="993">
        <v>50</v>
      </c>
      <c r="X28" s="993">
        <v>52</v>
      </c>
      <c r="Y28" s="716">
        <v>51</v>
      </c>
      <c r="Z28" s="716">
        <v>50</v>
      </c>
      <c r="AA28" s="716">
        <v>50</v>
      </c>
      <c r="AB28" s="716">
        <v>50</v>
      </c>
      <c r="AC28" s="1503">
        <v>50</v>
      </c>
      <c r="AD28" s="993">
        <v>50</v>
      </c>
      <c r="AE28" s="8"/>
      <c r="AF28" s="288">
        <f t="shared" si="5"/>
        <v>50.666666666666664</v>
      </c>
      <c r="AH28" s="1503">
        <v>50</v>
      </c>
      <c r="AI28" s="993">
        <v>50</v>
      </c>
      <c r="AJ28" s="716">
        <v>49</v>
      </c>
      <c r="AK28" s="993">
        <v>49</v>
      </c>
      <c r="AL28" s="716">
        <v>49</v>
      </c>
      <c r="AM28" s="716">
        <v>49</v>
      </c>
      <c r="AN28" s="716">
        <v>45</v>
      </c>
      <c r="AO28" s="716">
        <v>44</v>
      </c>
      <c r="AP28" s="716">
        <v>44</v>
      </c>
      <c r="AQ28" s="716">
        <v>45</v>
      </c>
      <c r="AR28" s="1503">
        <v>47</v>
      </c>
      <c r="AS28" s="993">
        <v>47</v>
      </c>
      <c r="AT28" s="8"/>
      <c r="AU28" s="288">
        <f t="shared" si="6"/>
        <v>47.333333333333336</v>
      </c>
      <c r="AW28" s="500">
        <f>AS28/$AS$22</f>
        <v>0.11270983213429256</v>
      </c>
      <c r="AX28" s="1980">
        <v>19</v>
      </c>
      <c r="AY28" s="728">
        <f t="shared" si="14"/>
        <v>0.40425531914893614</v>
      </c>
      <c r="AZ28" s="1990">
        <v>42.042553191489361</v>
      </c>
      <c r="BA28" s="1991">
        <v>10.944505974934421</v>
      </c>
    </row>
    <row r="29" spans="1:53" x14ac:dyDescent="0.55000000000000004">
      <c r="A29" s="7096"/>
      <c r="B29" s="43"/>
      <c r="C29" s="8" t="s">
        <v>1113</v>
      </c>
      <c r="D29">
        <v>118</v>
      </c>
      <c r="E29">
        <v>117</v>
      </c>
      <c r="F29">
        <v>116</v>
      </c>
      <c r="G29">
        <v>116</v>
      </c>
      <c r="H29">
        <v>116</v>
      </c>
      <c r="I29">
        <v>117</v>
      </c>
      <c r="J29">
        <v>117</v>
      </c>
      <c r="K29">
        <v>113</v>
      </c>
      <c r="L29">
        <v>116</v>
      </c>
      <c r="M29">
        <v>116</v>
      </c>
      <c r="N29">
        <v>116</v>
      </c>
      <c r="O29">
        <v>118</v>
      </c>
      <c r="P29" s="8"/>
      <c r="Q29" s="1397">
        <f t="shared" si="15"/>
        <v>116.33333333333333</v>
      </c>
      <c r="S29" s="993">
        <v>120</v>
      </c>
      <c r="T29" s="993">
        <v>116</v>
      </c>
      <c r="U29" s="993">
        <v>115</v>
      </c>
      <c r="V29" s="993">
        <v>114</v>
      </c>
      <c r="W29" s="993">
        <v>117</v>
      </c>
      <c r="X29" s="993">
        <v>121</v>
      </c>
      <c r="Y29" s="716">
        <v>133</v>
      </c>
      <c r="Z29" s="716">
        <v>146</v>
      </c>
      <c r="AA29" s="716">
        <v>150</v>
      </c>
      <c r="AB29" s="716">
        <v>142</v>
      </c>
      <c r="AC29" s="1503">
        <v>151</v>
      </c>
      <c r="AD29" s="993">
        <v>161</v>
      </c>
      <c r="AE29" s="8"/>
      <c r="AF29" s="288">
        <f t="shared" si="5"/>
        <v>132.16666666666666</v>
      </c>
      <c r="AH29" s="1503">
        <v>158</v>
      </c>
      <c r="AI29" s="993">
        <v>163</v>
      </c>
      <c r="AJ29" s="716">
        <v>170</v>
      </c>
      <c r="AK29" s="993">
        <v>180</v>
      </c>
      <c r="AL29" s="716">
        <v>181</v>
      </c>
      <c r="AM29" s="716">
        <v>181</v>
      </c>
      <c r="AN29" s="716">
        <v>183</v>
      </c>
      <c r="AO29" s="716">
        <v>181</v>
      </c>
      <c r="AP29" s="716">
        <v>179</v>
      </c>
      <c r="AQ29" s="716">
        <v>177</v>
      </c>
      <c r="AR29" s="1503">
        <v>176</v>
      </c>
      <c r="AS29" s="993">
        <v>176</v>
      </c>
      <c r="AT29" s="8"/>
      <c r="AU29" s="288">
        <f t="shared" si="6"/>
        <v>175.41666666666666</v>
      </c>
      <c r="AW29" s="500">
        <f>AS29/$AS$22</f>
        <v>0.42206235011990406</v>
      </c>
      <c r="AX29" s="1980">
        <v>94</v>
      </c>
      <c r="AY29" s="728">
        <f t="shared" si="14"/>
        <v>0.53409090909090906</v>
      </c>
      <c r="AZ29" s="1990">
        <v>38.840909090909093</v>
      </c>
      <c r="BA29" s="1991">
        <v>5.6478051058530561</v>
      </c>
    </row>
    <row r="30" spans="1:53" x14ac:dyDescent="0.55000000000000004">
      <c r="A30" s="7096"/>
      <c r="B30" s="43"/>
      <c r="C30" s="8" t="s">
        <v>1114</v>
      </c>
      <c r="D30">
        <v>88</v>
      </c>
      <c r="E30">
        <v>89</v>
      </c>
      <c r="F30">
        <v>86</v>
      </c>
      <c r="G30">
        <v>88</v>
      </c>
      <c r="H30">
        <v>87</v>
      </c>
      <c r="I30">
        <v>86</v>
      </c>
      <c r="J30">
        <v>88</v>
      </c>
      <c r="K30">
        <v>88</v>
      </c>
      <c r="L30">
        <v>88</v>
      </c>
      <c r="M30">
        <v>88</v>
      </c>
      <c r="N30">
        <v>88</v>
      </c>
      <c r="O30">
        <v>88</v>
      </c>
      <c r="P30" s="8"/>
      <c r="Q30" s="1397">
        <f t="shared" si="15"/>
        <v>87.666666666666671</v>
      </c>
      <c r="S30" s="993">
        <v>108</v>
      </c>
      <c r="T30" s="993">
        <v>108</v>
      </c>
      <c r="U30" s="993">
        <v>111</v>
      </c>
      <c r="V30" s="993">
        <v>104</v>
      </c>
      <c r="W30" s="993">
        <v>100</v>
      </c>
      <c r="X30" s="993">
        <v>90</v>
      </c>
      <c r="Y30" s="716">
        <v>88</v>
      </c>
      <c r="Z30" s="716">
        <v>87</v>
      </c>
      <c r="AA30" s="716">
        <v>88</v>
      </c>
      <c r="AB30" s="716">
        <v>89</v>
      </c>
      <c r="AC30" s="1503">
        <v>87</v>
      </c>
      <c r="AD30" s="993">
        <v>84</v>
      </c>
      <c r="AE30" s="8"/>
      <c r="AF30" s="288">
        <f t="shared" si="5"/>
        <v>95.333333333333329</v>
      </c>
      <c r="AH30" s="1503">
        <v>92</v>
      </c>
      <c r="AI30" s="993">
        <v>94</v>
      </c>
      <c r="AJ30" s="716">
        <v>94</v>
      </c>
      <c r="AK30" s="993">
        <v>94</v>
      </c>
      <c r="AL30" s="716">
        <v>104</v>
      </c>
      <c r="AM30" s="716">
        <v>103</v>
      </c>
      <c r="AN30" s="716">
        <v>102</v>
      </c>
      <c r="AO30" s="716">
        <v>104</v>
      </c>
      <c r="AP30" s="716">
        <v>105</v>
      </c>
      <c r="AQ30" s="716">
        <v>110</v>
      </c>
      <c r="AR30" s="1503">
        <v>111</v>
      </c>
      <c r="AS30" s="993">
        <v>124</v>
      </c>
      <c r="AT30" s="8"/>
      <c r="AU30" s="288">
        <f t="shared" si="6"/>
        <v>103.08333333333333</v>
      </c>
      <c r="AW30" s="500">
        <f>AS30/$AS$22</f>
        <v>0.29736211031175058</v>
      </c>
      <c r="AX30" s="1980">
        <v>61</v>
      </c>
      <c r="AY30" s="728">
        <f t="shared" si="14"/>
        <v>0.49193548387096775</v>
      </c>
      <c r="AZ30" s="1990">
        <v>37.572580645161288</v>
      </c>
      <c r="BA30" s="1991">
        <v>8.4066725585505964</v>
      </c>
    </row>
    <row r="31" spans="1:53" x14ac:dyDescent="0.55000000000000004">
      <c r="A31" s="7096"/>
      <c r="B31" s="104" t="s">
        <v>203</v>
      </c>
      <c r="C31" s="35"/>
      <c r="D31" s="715">
        <f t="shared" ref="D31:N31" si="16">SUM(D32,D37,D42,D47,D52)</f>
        <v>1690</v>
      </c>
      <c r="E31" s="715">
        <f t="shared" si="16"/>
        <v>1687</v>
      </c>
      <c r="F31" s="715">
        <f t="shared" si="16"/>
        <v>1677</v>
      </c>
      <c r="G31" s="715">
        <f t="shared" si="16"/>
        <v>1670</v>
      </c>
      <c r="H31" s="715">
        <f t="shared" si="16"/>
        <v>1684</v>
      </c>
      <c r="I31" s="715">
        <f t="shared" si="16"/>
        <v>1772</v>
      </c>
      <c r="J31" s="715">
        <f t="shared" si="16"/>
        <v>1661</v>
      </c>
      <c r="K31" s="715">
        <f t="shared" si="16"/>
        <v>1657</v>
      </c>
      <c r="L31" s="715">
        <f t="shared" si="16"/>
        <v>1639</v>
      </c>
      <c r="M31" s="715">
        <f t="shared" si="16"/>
        <v>1592</v>
      </c>
      <c r="N31" s="715">
        <f t="shared" si="16"/>
        <v>1650</v>
      </c>
      <c r="O31" s="715">
        <f>SUM(O32,O37,O42,O47,O52)</f>
        <v>1730</v>
      </c>
      <c r="P31" s="35"/>
      <c r="Q31" s="1395">
        <f t="shared" si="15"/>
        <v>1675.75</v>
      </c>
      <c r="S31" s="992">
        <f t="shared" ref="S31:Z31" si="17">SUM(S32,S37,S42,S47,S52)</f>
        <v>1657</v>
      </c>
      <c r="T31" s="992">
        <f t="shared" si="17"/>
        <v>1676</v>
      </c>
      <c r="U31" s="992">
        <f t="shared" si="17"/>
        <v>1677</v>
      </c>
      <c r="V31" s="992">
        <f t="shared" si="17"/>
        <v>1723</v>
      </c>
      <c r="W31" s="992">
        <f t="shared" si="17"/>
        <v>1722</v>
      </c>
      <c r="X31" s="992">
        <f t="shared" si="17"/>
        <v>1719</v>
      </c>
      <c r="Y31" s="715">
        <f t="shared" si="17"/>
        <v>1724</v>
      </c>
      <c r="Z31" s="715">
        <f t="shared" si="17"/>
        <v>1721</v>
      </c>
      <c r="AA31" s="715">
        <f>SUM(AA32,AA37,AA42,AA47,AA52)</f>
        <v>1731</v>
      </c>
      <c r="AB31" s="715">
        <f>SUM(AB32,AB37,AB42,AB47,AB52)</f>
        <v>1759</v>
      </c>
      <c r="AC31" s="1502">
        <v>1764</v>
      </c>
      <c r="AD31" s="992">
        <v>1792</v>
      </c>
      <c r="AE31" s="35"/>
      <c r="AF31" s="1513">
        <f t="shared" si="5"/>
        <v>1722.0833333333333</v>
      </c>
      <c r="AH31" s="1959">
        <v>1809</v>
      </c>
      <c r="AI31" s="992">
        <v>1788</v>
      </c>
      <c r="AJ31" s="715">
        <v>1801</v>
      </c>
      <c r="AK31" s="992">
        <v>1782</v>
      </c>
      <c r="AL31" s="715">
        <v>1755</v>
      </c>
      <c r="AM31" s="715">
        <v>1744</v>
      </c>
      <c r="AN31" s="715">
        <v>1715</v>
      </c>
      <c r="AO31" s="715">
        <v>1695</v>
      </c>
      <c r="AP31" s="715">
        <v>1686</v>
      </c>
      <c r="AQ31" s="715">
        <v>1669</v>
      </c>
      <c r="AR31" s="715">
        <v>1671</v>
      </c>
      <c r="AS31" s="992">
        <f>AS32+AS37+AS42+AS52+AS47</f>
        <v>1658</v>
      </c>
      <c r="AT31" s="35"/>
      <c r="AU31" s="1513">
        <f t="shared" si="6"/>
        <v>1731.0833333333333</v>
      </c>
      <c r="AW31" s="499">
        <f>AS31/$AS$4</f>
        <v>0.75363636363636366</v>
      </c>
      <c r="AX31" s="1979">
        <v>602</v>
      </c>
      <c r="AY31" s="729">
        <f t="shared" si="14"/>
        <v>0.36308805790108567</v>
      </c>
      <c r="AZ31" s="1994">
        <v>34.336550060313634</v>
      </c>
      <c r="BA31" s="1989">
        <v>6.2464894161971047</v>
      </c>
    </row>
    <row r="32" spans="1:53" x14ac:dyDescent="0.55000000000000004">
      <c r="A32" s="7096"/>
      <c r="B32" s="30"/>
      <c r="C32" s="14" t="s">
        <v>204</v>
      </c>
      <c r="D32" s="718">
        <f t="shared" ref="D32:N32" si="18">SUM(D33:D36)</f>
        <v>290</v>
      </c>
      <c r="E32" s="718">
        <f t="shared" si="18"/>
        <v>299</v>
      </c>
      <c r="F32" s="718">
        <f t="shared" si="18"/>
        <v>290</v>
      </c>
      <c r="G32" s="718">
        <f t="shared" si="18"/>
        <v>291</v>
      </c>
      <c r="H32" s="718">
        <f t="shared" si="18"/>
        <v>294</v>
      </c>
      <c r="I32" s="718">
        <f t="shared" si="18"/>
        <v>293</v>
      </c>
      <c r="J32" s="718">
        <f t="shared" si="18"/>
        <v>295</v>
      </c>
      <c r="K32" s="718">
        <f t="shared" si="18"/>
        <v>296</v>
      </c>
      <c r="L32" s="718">
        <f t="shared" si="18"/>
        <v>290</v>
      </c>
      <c r="M32" s="718">
        <f t="shared" si="18"/>
        <v>238</v>
      </c>
      <c r="N32" s="718">
        <f t="shared" si="18"/>
        <v>287</v>
      </c>
      <c r="O32" s="718">
        <f>SUM(O33:O36)</f>
        <v>333</v>
      </c>
      <c r="P32" s="14"/>
      <c r="Q32" s="1399">
        <f t="shared" si="15"/>
        <v>291.33333333333331</v>
      </c>
      <c r="S32" s="984">
        <f t="shared" ref="S32:Z32" si="19">SUM(S33:S36)</f>
        <v>293</v>
      </c>
      <c r="T32" s="984">
        <f t="shared" si="19"/>
        <v>305</v>
      </c>
      <c r="U32" s="984">
        <f t="shared" si="19"/>
        <v>315</v>
      </c>
      <c r="V32" s="984">
        <f t="shared" si="19"/>
        <v>333</v>
      </c>
      <c r="W32" s="984">
        <f t="shared" si="19"/>
        <v>334</v>
      </c>
      <c r="X32" s="984">
        <f t="shared" si="19"/>
        <v>332</v>
      </c>
      <c r="Y32" s="718">
        <f t="shared" si="19"/>
        <v>332</v>
      </c>
      <c r="Z32" s="718">
        <f t="shared" si="19"/>
        <v>330</v>
      </c>
      <c r="AA32" s="718">
        <f>SUM(AA33:AA36)</f>
        <v>335</v>
      </c>
      <c r="AB32" s="718">
        <f>SUM(AB33:AB36)</f>
        <v>341</v>
      </c>
      <c r="AC32" s="1505">
        <v>343</v>
      </c>
      <c r="AD32" s="984">
        <v>350</v>
      </c>
      <c r="AE32" s="14"/>
      <c r="AF32" s="290">
        <f t="shared" si="5"/>
        <v>328.58333333333331</v>
      </c>
      <c r="AH32" s="1505">
        <v>351</v>
      </c>
      <c r="AI32" s="984">
        <v>354</v>
      </c>
      <c r="AJ32" s="718">
        <v>350</v>
      </c>
      <c r="AK32" s="984">
        <v>346</v>
      </c>
      <c r="AL32" s="718">
        <v>343</v>
      </c>
      <c r="AM32" s="718">
        <v>342</v>
      </c>
      <c r="AN32" s="718">
        <v>336</v>
      </c>
      <c r="AO32" s="718">
        <v>328</v>
      </c>
      <c r="AP32" s="718">
        <v>324</v>
      </c>
      <c r="AQ32" s="718">
        <v>324</v>
      </c>
      <c r="AR32" s="1505">
        <v>324</v>
      </c>
      <c r="AS32" s="984">
        <v>317</v>
      </c>
      <c r="AT32" s="14"/>
      <c r="AU32" s="290">
        <f t="shared" si="6"/>
        <v>336.58333333333331</v>
      </c>
      <c r="AW32" s="502">
        <f>AS32/$AS$4</f>
        <v>0.1440909090909091</v>
      </c>
      <c r="AX32" s="1982">
        <v>81</v>
      </c>
      <c r="AY32" s="727">
        <f t="shared" si="14"/>
        <v>0.25552050473186122</v>
      </c>
      <c r="AZ32" s="1995">
        <v>35.047318611987379</v>
      </c>
      <c r="BA32" s="1996">
        <v>6.1920487446523538</v>
      </c>
    </row>
    <row r="33" spans="1:53" x14ac:dyDescent="0.55000000000000004">
      <c r="A33" s="7096"/>
      <c r="B33" s="30"/>
      <c r="C33" s="8" t="s">
        <v>220</v>
      </c>
      <c r="D33">
        <v>35</v>
      </c>
      <c r="E33">
        <v>36</v>
      </c>
      <c r="F33">
        <v>35</v>
      </c>
      <c r="G33">
        <v>35</v>
      </c>
      <c r="H33">
        <v>35</v>
      </c>
      <c r="I33">
        <v>35</v>
      </c>
      <c r="J33">
        <v>36</v>
      </c>
      <c r="K33">
        <v>35</v>
      </c>
      <c r="L33">
        <v>35</v>
      </c>
      <c r="M33">
        <v>35</v>
      </c>
      <c r="N33">
        <v>35</v>
      </c>
      <c r="O33">
        <v>36</v>
      </c>
      <c r="P33" s="8"/>
      <c r="Q33" s="1397">
        <f t="shared" si="15"/>
        <v>35.25</v>
      </c>
      <c r="S33" s="993">
        <v>38</v>
      </c>
      <c r="T33" s="993">
        <v>38</v>
      </c>
      <c r="U33" s="993">
        <v>36</v>
      </c>
      <c r="V33" s="993">
        <v>35</v>
      </c>
      <c r="W33" s="993">
        <v>35</v>
      </c>
      <c r="X33" s="993">
        <v>34</v>
      </c>
      <c r="Y33" s="716">
        <v>37</v>
      </c>
      <c r="Z33" s="716">
        <v>38</v>
      </c>
      <c r="AA33" s="716">
        <v>38</v>
      </c>
      <c r="AB33" s="716">
        <v>37</v>
      </c>
      <c r="AC33" s="1503">
        <v>37</v>
      </c>
      <c r="AD33" s="993">
        <v>36</v>
      </c>
      <c r="AE33" s="8"/>
      <c r="AF33" s="288">
        <f t="shared" si="5"/>
        <v>36.583333333333336</v>
      </c>
      <c r="AH33" s="1503">
        <v>38</v>
      </c>
      <c r="AI33" s="993">
        <v>41</v>
      </c>
      <c r="AJ33" s="716">
        <v>41</v>
      </c>
      <c r="AK33" s="993">
        <v>42</v>
      </c>
      <c r="AL33" s="716">
        <v>40</v>
      </c>
      <c r="AM33" s="716">
        <v>41</v>
      </c>
      <c r="AN33" s="716">
        <v>35</v>
      </c>
      <c r="AO33" s="716">
        <v>35</v>
      </c>
      <c r="AP33" s="716">
        <v>34</v>
      </c>
      <c r="AQ33" s="716">
        <v>33</v>
      </c>
      <c r="AR33" s="1503">
        <v>33</v>
      </c>
      <c r="AS33" s="993">
        <v>33</v>
      </c>
      <c r="AT33" s="8"/>
      <c r="AU33" s="288">
        <f t="shared" si="6"/>
        <v>37.166666666666664</v>
      </c>
      <c r="AW33" s="500">
        <f>AS33/$AS$32</f>
        <v>0.10410094637223975</v>
      </c>
      <c r="AX33" s="1980">
        <v>10</v>
      </c>
      <c r="AY33" s="728">
        <f t="shared" si="14"/>
        <v>0.30303030303030304</v>
      </c>
      <c r="AZ33" s="1990">
        <v>41.515151515151516</v>
      </c>
      <c r="BA33" s="1991">
        <v>13.489331672893314</v>
      </c>
    </row>
    <row r="34" spans="1:53" x14ac:dyDescent="0.55000000000000004">
      <c r="A34" s="7096"/>
      <c r="B34" s="30"/>
      <c r="C34" s="8" t="s">
        <v>66</v>
      </c>
      <c r="D34">
        <v>16</v>
      </c>
      <c r="E34">
        <v>16</v>
      </c>
      <c r="F34">
        <v>13</v>
      </c>
      <c r="G34">
        <v>17</v>
      </c>
      <c r="H34">
        <v>18</v>
      </c>
      <c r="I34">
        <v>18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20</v>
      </c>
      <c r="P34" s="8"/>
      <c r="Q34" s="1397">
        <f t="shared" si="15"/>
        <v>17.75</v>
      </c>
      <c r="S34" s="993">
        <v>17</v>
      </c>
      <c r="T34" s="993">
        <v>16</v>
      </c>
      <c r="U34" s="993">
        <v>19</v>
      </c>
      <c r="V34" s="993">
        <v>19</v>
      </c>
      <c r="W34" s="993">
        <v>19</v>
      </c>
      <c r="X34" s="993">
        <v>20</v>
      </c>
      <c r="Y34" s="716">
        <v>20</v>
      </c>
      <c r="Z34" s="716">
        <v>19</v>
      </c>
      <c r="AA34">
        <v>19</v>
      </c>
      <c r="AB34" s="716">
        <v>21</v>
      </c>
      <c r="AC34" s="1503">
        <v>22</v>
      </c>
      <c r="AD34" s="993">
        <v>24</v>
      </c>
      <c r="AE34" s="8"/>
      <c r="AF34" s="288">
        <f t="shared" si="5"/>
        <v>19.583333333333332</v>
      </c>
      <c r="AH34" s="1503">
        <v>22</v>
      </c>
      <c r="AI34" s="993">
        <v>24</v>
      </c>
      <c r="AJ34" s="716">
        <v>25</v>
      </c>
      <c r="AK34" s="993">
        <v>25</v>
      </c>
      <c r="AL34" s="716">
        <v>25</v>
      </c>
      <c r="AM34" s="716">
        <v>25</v>
      </c>
      <c r="AN34" s="716">
        <v>23</v>
      </c>
      <c r="AO34" s="716">
        <v>23</v>
      </c>
      <c r="AP34" s="716">
        <v>23</v>
      </c>
      <c r="AQ34" s="716">
        <v>22</v>
      </c>
      <c r="AR34" s="1503">
        <v>22</v>
      </c>
      <c r="AS34" s="993">
        <v>14</v>
      </c>
      <c r="AT34" s="8"/>
      <c r="AU34" s="288">
        <f t="shared" si="6"/>
        <v>22.75</v>
      </c>
      <c r="AW34" s="500">
        <f>AS34/$AS$32</f>
        <v>4.4164037854889593E-2</v>
      </c>
      <c r="AX34" s="1980"/>
      <c r="AY34" s="728">
        <f t="shared" si="14"/>
        <v>0</v>
      </c>
      <c r="AZ34" s="1990">
        <v>46.142857142857146</v>
      </c>
      <c r="BA34" s="1991">
        <v>8.3984344422700605</v>
      </c>
    </row>
    <row r="35" spans="1:53" x14ac:dyDescent="0.55000000000000004">
      <c r="A35" s="7096"/>
      <c r="B35" s="30"/>
      <c r="C35" s="8" t="s">
        <v>19</v>
      </c>
      <c r="D35">
        <v>169</v>
      </c>
      <c r="E35">
        <v>174</v>
      </c>
      <c r="F35">
        <v>170</v>
      </c>
      <c r="G35">
        <v>167</v>
      </c>
      <c r="H35">
        <v>169</v>
      </c>
      <c r="I35">
        <v>169</v>
      </c>
      <c r="J35">
        <v>169</v>
      </c>
      <c r="K35">
        <v>171</v>
      </c>
      <c r="L35">
        <v>163</v>
      </c>
      <c r="M35">
        <v>167</v>
      </c>
      <c r="N35">
        <v>162</v>
      </c>
      <c r="O35">
        <v>208</v>
      </c>
      <c r="P35" s="8"/>
      <c r="Q35" s="1397">
        <f t="shared" si="15"/>
        <v>171.5</v>
      </c>
      <c r="S35" s="993">
        <v>169</v>
      </c>
      <c r="T35" s="993">
        <v>182</v>
      </c>
      <c r="U35" s="993">
        <v>192</v>
      </c>
      <c r="V35" s="993">
        <v>209</v>
      </c>
      <c r="W35" s="993">
        <v>210</v>
      </c>
      <c r="X35" s="993">
        <v>210</v>
      </c>
      <c r="Y35" s="716">
        <v>206</v>
      </c>
      <c r="Z35" s="716">
        <v>207</v>
      </c>
      <c r="AA35">
        <v>212</v>
      </c>
      <c r="AB35" s="716">
        <v>216</v>
      </c>
      <c r="AC35" s="1503">
        <v>217</v>
      </c>
      <c r="AD35" s="993">
        <v>219</v>
      </c>
      <c r="AE35" s="8"/>
      <c r="AF35" s="288">
        <f t="shared" si="5"/>
        <v>204.08333333333334</v>
      </c>
      <c r="AH35" s="1503">
        <v>219</v>
      </c>
      <c r="AI35" s="993">
        <v>217</v>
      </c>
      <c r="AJ35" s="716">
        <v>211</v>
      </c>
      <c r="AK35" s="993">
        <v>208</v>
      </c>
      <c r="AL35" s="716">
        <v>208</v>
      </c>
      <c r="AM35" s="716">
        <v>208</v>
      </c>
      <c r="AN35" s="716">
        <v>208</v>
      </c>
      <c r="AO35" s="716">
        <v>202</v>
      </c>
      <c r="AP35" s="716">
        <v>202</v>
      </c>
      <c r="AQ35" s="716">
        <v>204</v>
      </c>
      <c r="AR35" s="1503">
        <v>204</v>
      </c>
      <c r="AS35" s="993">
        <v>208</v>
      </c>
      <c r="AT35" s="8"/>
      <c r="AU35" s="288">
        <f t="shared" si="6"/>
        <v>208.25</v>
      </c>
      <c r="AW35" s="500">
        <f>AS35/$AS$32</f>
        <v>0.65615141955835965</v>
      </c>
      <c r="AX35" s="1980">
        <v>46</v>
      </c>
      <c r="AY35" s="728">
        <f t="shared" si="14"/>
        <v>0.22115384615384615</v>
      </c>
      <c r="AZ35" s="1990">
        <v>33.177884615384613</v>
      </c>
      <c r="BA35" s="1991">
        <v>4.9578240252897796</v>
      </c>
    </row>
    <row r="36" spans="1:53" x14ac:dyDescent="0.55000000000000004">
      <c r="A36" s="7096"/>
      <c r="B36" s="30"/>
      <c r="C36" s="8" t="s">
        <v>20</v>
      </c>
      <c r="D36">
        <v>70</v>
      </c>
      <c r="E36">
        <v>73</v>
      </c>
      <c r="F36">
        <v>72</v>
      </c>
      <c r="G36">
        <v>72</v>
      </c>
      <c r="H36">
        <v>72</v>
      </c>
      <c r="I36">
        <v>71</v>
      </c>
      <c r="J36">
        <v>71</v>
      </c>
      <c r="K36">
        <v>71</v>
      </c>
      <c r="L36">
        <v>73</v>
      </c>
      <c r="M36">
        <v>17</v>
      </c>
      <c r="N36">
        <v>71</v>
      </c>
      <c r="O36">
        <v>69</v>
      </c>
      <c r="P36" s="8"/>
      <c r="Q36" s="1397">
        <f t="shared" si="15"/>
        <v>66.833333333333329</v>
      </c>
      <c r="S36" s="993">
        <v>69</v>
      </c>
      <c r="T36" s="993">
        <v>69</v>
      </c>
      <c r="U36" s="993">
        <v>68</v>
      </c>
      <c r="V36" s="993">
        <v>70</v>
      </c>
      <c r="W36" s="993">
        <v>70</v>
      </c>
      <c r="X36" s="993">
        <v>68</v>
      </c>
      <c r="Y36" s="716">
        <v>69</v>
      </c>
      <c r="Z36" s="716">
        <v>66</v>
      </c>
      <c r="AA36">
        <v>66</v>
      </c>
      <c r="AB36" s="716">
        <v>67</v>
      </c>
      <c r="AC36" s="1503">
        <v>67</v>
      </c>
      <c r="AD36" s="993">
        <v>71</v>
      </c>
      <c r="AE36" s="8"/>
      <c r="AF36" s="288">
        <f t="shared" si="5"/>
        <v>68.333333333333329</v>
      </c>
      <c r="AH36" s="1503">
        <v>72</v>
      </c>
      <c r="AI36" s="993">
        <v>72</v>
      </c>
      <c r="AJ36" s="716">
        <v>73</v>
      </c>
      <c r="AK36" s="993">
        <v>71</v>
      </c>
      <c r="AL36" s="716">
        <v>70</v>
      </c>
      <c r="AM36" s="716">
        <v>68</v>
      </c>
      <c r="AN36" s="716">
        <v>70</v>
      </c>
      <c r="AO36" s="716">
        <v>68</v>
      </c>
      <c r="AP36" s="716">
        <v>65</v>
      </c>
      <c r="AQ36" s="716">
        <v>65</v>
      </c>
      <c r="AR36" s="1503">
        <v>65</v>
      </c>
      <c r="AS36" s="993">
        <v>62</v>
      </c>
      <c r="AT36" s="8"/>
      <c r="AU36" s="288">
        <f t="shared" si="6"/>
        <v>68.416666666666671</v>
      </c>
      <c r="AW36" s="500">
        <f>AS36/$AS$32</f>
        <v>0.19558359621451105</v>
      </c>
      <c r="AX36" s="1980">
        <v>25</v>
      </c>
      <c r="AY36" s="728">
        <f t="shared" si="14"/>
        <v>0.40322580645161288</v>
      </c>
      <c r="AZ36" s="1990">
        <v>35.37096774193548</v>
      </c>
      <c r="BA36" s="1991">
        <v>5.9504197967300074</v>
      </c>
    </row>
    <row r="37" spans="1:53" x14ac:dyDescent="0.55000000000000004">
      <c r="A37" s="7096"/>
      <c r="B37" s="30"/>
      <c r="C37" s="14" t="s">
        <v>205</v>
      </c>
      <c r="D37" s="718">
        <f t="shared" ref="D37:N37" si="20">SUM(D38:D41)</f>
        <v>594</v>
      </c>
      <c r="E37" s="718">
        <f t="shared" si="20"/>
        <v>592</v>
      </c>
      <c r="F37" s="718">
        <f t="shared" si="20"/>
        <v>592</v>
      </c>
      <c r="G37" s="718">
        <f t="shared" si="20"/>
        <v>589</v>
      </c>
      <c r="H37" s="718">
        <f t="shared" si="20"/>
        <v>592</v>
      </c>
      <c r="I37" s="718">
        <f t="shared" si="20"/>
        <v>584</v>
      </c>
      <c r="J37" s="718">
        <f t="shared" si="20"/>
        <v>583</v>
      </c>
      <c r="K37" s="718">
        <f t="shared" si="20"/>
        <v>580</v>
      </c>
      <c r="L37" s="718">
        <f t="shared" si="20"/>
        <v>578</v>
      </c>
      <c r="M37" s="718">
        <f t="shared" si="20"/>
        <v>582</v>
      </c>
      <c r="N37" s="718">
        <f t="shared" si="20"/>
        <v>590</v>
      </c>
      <c r="O37" s="718">
        <f>SUM(O38:O41)</f>
        <v>277</v>
      </c>
      <c r="P37" s="14"/>
      <c r="Q37" s="1399">
        <f t="shared" si="15"/>
        <v>561.08333333333337</v>
      </c>
      <c r="S37" s="984">
        <f t="shared" ref="S37:Z37" si="21">SUM(S38:S41)</f>
        <v>268</v>
      </c>
      <c r="T37" s="984">
        <f t="shared" si="21"/>
        <v>275</v>
      </c>
      <c r="U37" s="984">
        <f t="shared" si="21"/>
        <v>269</v>
      </c>
      <c r="V37" s="984">
        <f t="shared" si="21"/>
        <v>281</v>
      </c>
      <c r="W37" s="984">
        <f t="shared" si="21"/>
        <v>282</v>
      </c>
      <c r="X37" s="984">
        <f t="shared" si="21"/>
        <v>275</v>
      </c>
      <c r="Y37" s="718">
        <f t="shared" si="21"/>
        <v>279</v>
      </c>
      <c r="Z37" s="718">
        <f t="shared" si="21"/>
        <v>274</v>
      </c>
      <c r="AA37" s="718">
        <f>SUM(AA38:AA41)</f>
        <v>278</v>
      </c>
      <c r="AB37" s="718">
        <f>SUM(AB38:AB41)</f>
        <v>280</v>
      </c>
      <c r="AC37" s="1505">
        <v>278</v>
      </c>
      <c r="AD37" s="984">
        <v>282</v>
      </c>
      <c r="AE37" s="14"/>
      <c r="AF37" s="290">
        <f t="shared" si="5"/>
        <v>276.75</v>
      </c>
      <c r="AH37" s="1505">
        <v>283</v>
      </c>
      <c r="AI37" s="984">
        <v>280</v>
      </c>
      <c r="AJ37" s="718">
        <v>286</v>
      </c>
      <c r="AK37" s="984">
        <v>278</v>
      </c>
      <c r="AL37" s="718">
        <v>274</v>
      </c>
      <c r="AM37" s="718">
        <v>273</v>
      </c>
      <c r="AN37" s="718">
        <v>266</v>
      </c>
      <c r="AO37" s="718">
        <v>272</v>
      </c>
      <c r="AP37" s="718">
        <v>266</v>
      </c>
      <c r="AQ37" s="718">
        <v>269</v>
      </c>
      <c r="AR37" s="1505">
        <v>272</v>
      </c>
      <c r="AS37" s="984">
        <v>270</v>
      </c>
      <c r="AT37" s="14"/>
      <c r="AU37" s="290">
        <f t="shared" si="6"/>
        <v>274.08333333333331</v>
      </c>
      <c r="AW37" s="502">
        <f>AS37/$AS$4</f>
        <v>0.12272727272727273</v>
      </c>
      <c r="AX37" s="1982">
        <v>91</v>
      </c>
      <c r="AY37" s="727">
        <f t="shared" si="14"/>
        <v>0.33703703703703702</v>
      </c>
      <c r="AZ37" s="1995">
        <v>36.329629629629629</v>
      </c>
      <c r="BA37" s="1996">
        <v>7.1625976661593072</v>
      </c>
    </row>
    <row r="38" spans="1:53" ht="20.8" customHeight="1" x14ac:dyDescent="0.55000000000000004">
      <c r="A38" s="7096"/>
      <c r="B38" s="30"/>
      <c r="C38" s="8" t="s">
        <v>220</v>
      </c>
      <c r="D38">
        <v>63</v>
      </c>
      <c r="E38">
        <v>63</v>
      </c>
      <c r="F38">
        <v>63</v>
      </c>
      <c r="G38">
        <v>63</v>
      </c>
      <c r="H38">
        <v>63</v>
      </c>
      <c r="I38">
        <v>62</v>
      </c>
      <c r="J38">
        <v>63</v>
      </c>
      <c r="K38">
        <v>63</v>
      </c>
      <c r="L38">
        <v>63</v>
      </c>
      <c r="M38">
        <v>63</v>
      </c>
      <c r="N38">
        <v>63</v>
      </c>
      <c r="O38">
        <v>29</v>
      </c>
      <c r="P38" s="8"/>
      <c r="Q38" s="1397">
        <f t="shared" si="15"/>
        <v>60.083333333333336</v>
      </c>
      <c r="S38" s="993">
        <v>32</v>
      </c>
      <c r="T38" s="993">
        <v>33</v>
      </c>
      <c r="U38" s="993">
        <v>30</v>
      </c>
      <c r="V38" s="993">
        <v>31</v>
      </c>
      <c r="W38" s="993">
        <v>31</v>
      </c>
      <c r="X38" s="993">
        <v>31</v>
      </c>
      <c r="Y38" s="716">
        <v>31</v>
      </c>
      <c r="Z38" s="716">
        <v>31</v>
      </c>
      <c r="AA38" s="716">
        <v>31</v>
      </c>
      <c r="AB38" s="716">
        <v>32</v>
      </c>
      <c r="AC38" s="1503">
        <v>32</v>
      </c>
      <c r="AD38" s="993">
        <v>35</v>
      </c>
      <c r="AE38" s="8"/>
      <c r="AF38" s="288">
        <f t="shared" si="5"/>
        <v>31.666666666666668</v>
      </c>
      <c r="AH38" s="1503">
        <v>36</v>
      </c>
      <c r="AI38" s="993">
        <v>38</v>
      </c>
      <c r="AJ38" s="716">
        <v>37</v>
      </c>
      <c r="AK38" s="993">
        <v>38</v>
      </c>
      <c r="AL38" s="716">
        <v>38</v>
      </c>
      <c r="AM38" s="716">
        <v>38</v>
      </c>
      <c r="AN38" s="716">
        <v>34</v>
      </c>
      <c r="AO38" s="716">
        <v>34</v>
      </c>
      <c r="AP38" s="716">
        <v>33</v>
      </c>
      <c r="AQ38" s="716">
        <v>34</v>
      </c>
      <c r="AR38" s="1503">
        <v>34</v>
      </c>
      <c r="AS38" s="993">
        <v>33</v>
      </c>
      <c r="AT38" s="8"/>
      <c r="AU38" s="288">
        <f t="shared" si="6"/>
        <v>35.583333333333336</v>
      </c>
      <c r="AW38" s="500">
        <f>AS38/$AS$37</f>
        <v>0.12222222222222222</v>
      </c>
      <c r="AX38" s="1980">
        <v>10</v>
      </c>
      <c r="AY38" s="728">
        <f t="shared" si="14"/>
        <v>0.30303030303030304</v>
      </c>
      <c r="AZ38" s="1990">
        <v>41.878787878787875</v>
      </c>
      <c r="BA38" s="1991">
        <v>12.462515566625157</v>
      </c>
    </row>
    <row r="39" spans="1:53" x14ac:dyDescent="0.55000000000000004">
      <c r="A39" s="7096"/>
      <c r="B39" s="30"/>
      <c r="C39" s="8" t="s">
        <v>66</v>
      </c>
      <c r="D39">
        <v>34</v>
      </c>
      <c r="E39">
        <v>34</v>
      </c>
      <c r="F39">
        <v>35</v>
      </c>
      <c r="G39">
        <v>35</v>
      </c>
      <c r="H39">
        <v>37</v>
      </c>
      <c r="I39">
        <v>37</v>
      </c>
      <c r="J39">
        <v>37</v>
      </c>
      <c r="K39">
        <v>37</v>
      </c>
      <c r="L39">
        <v>39</v>
      </c>
      <c r="M39">
        <v>39</v>
      </c>
      <c r="N39">
        <v>39</v>
      </c>
      <c r="O39">
        <v>16</v>
      </c>
      <c r="P39" s="8"/>
      <c r="Q39" s="1397">
        <f t="shared" si="15"/>
        <v>34.916666666666664</v>
      </c>
      <c r="S39" s="993">
        <v>13</v>
      </c>
      <c r="T39" s="993">
        <v>13</v>
      </c>
      <c r="U39" s="993">
        <v>16</v>
      </c>
      <c r="V39" s="993">
        <v>17</v>
      </c>
      <c r="W39" s="993">
        <v>16</v>
      </c>
      <c r="X39" s="993">
        <v>16</v>
      </c>
      <c r="Y39" s="716">
        <v>16</v>
      </c>
      <c r="Z39" s="716">
        <v>13</v>
      </c>
      <c r="AA39">
        <v>15</v>
      </c>
      <c r="AB39" s="716">
        <v>15</v>
      </c>
      <c r="AC39" s="1503">
        <v>15</v>
      </c>
      <c r="AD39" s="993">
        <v>15</v>
      </c>
      <c r="AE39" s="8"/>
      <c r="AF39" s="288">
        <f t="shared" si="5"/>
        <v>15</v>
      </c>
      <c r="AH39" s="1503">
        <v>15</v>
      </c>
      <c r="AI39" s="993">
        <v>12</v>
      </c>
      <c r="AJ39" s="716">
        <v>13</v>
      </c>
      <c r="AK39" s="993">
        <v>13</v>
      </c>
      <c r="AL39" s="716">
        <v>12</v>
      </c>
      <c r="AM39" s="716">
        <v>12</v>
      </c>
      <c r="AN39" s="716">
        <v>14</v>
      </c>
      <c r="AO39" s="716">
        <v>12</v>
      </c>
      <c r="AP39" s="716">
        <v>12</v>
      </c>
      <c r="AQ39" s="716">
        <v>12</v>
      </c>
      <c r="AR39" s="1503">
        <v>12</v>
      </c>
      <c r="AS39" s="993">
        <v>8</v>
      </c>
      <c r="AT39" s="8"/>
      <c r="AU39" s="288">
        <f t="shared" si="6"/>
        <v>12.25</v>
      </c>
      <c r="AW39" s="500">
        <f>AS39/$AS$37</f>
        <v>2.9629629629629631E-2</v>
      </c>
      <c r="AX39" s="1980"/>
      <c r="AY39" s="728">
        <f t="shared" si="14"/>
        <v>0</v>
      </c>
      <c r="AZ39" s="1990">
        <v>45.25</v>
      </c>
      <c r="BA39" s="1991">
        <v>8.2332191780821926</v>
      </c>
    </row>
    <row r="40" spans="1:53" x14ac:dyDescent="0.55000000000000004">
      <c r="A40" s="7096"/>
      <c r="B40" s="30"/>
      <c r="C40" s="8" t="s">
        <v>19</v>
      </c>
      <c r="D40">
        <v>401</v>
      </c>
      <c r="E40">
        <v>399</v>
      </c>
      <c r="F40">
        <v>401</v>
      </c>
      <c r="G40">
        <v>400</v>
      </c>
      <c r="H40">
        <v>402</v>
      </c>
      <c r="I40">
        <v>397</v>
      </c>
      <c r="J40">
        <v>388</v>
      </c>
      <c r="K40">
        <v>389</v>
      </c>
      <c r="L40">
        <v>389</v>
      </c>
      <c r="M40">
        <v>392</v>
      </c>
      <c r="N40">
        <v>396</v>
      </c>
      <c r="O40">
        <v>184</v>
      </c>
      <c r="P40" s="8"/>
      <c r="Q40" s="1397">
        <f t="shared" si="15"/>
        <v>378.16666666666669</v>
      </c>
      <c r="S40" s="993">
        <v>180</v>
      </c>
      <c r="T40" s="993">
        <v>184</v>
      </c>
      <c r="U40" s="993">
        <v>179</v>
      </c>
      <c r="V40" s="993">
        <v>184</v>
      </c>
      <c r="W40" s="993">
        <v>187</v>
      </c>
      <c r="X40" s="993">
        <v>183</v>
      </c>
      <c r="Y40" s="716">
        <v>184</v>
      </c>
      <c r="Z40" s="716">
        <v>183</v>
      </c>
      <c r="AA40">
        <v>186</v>
      </c>
      <c r="AB40" s="716">
        <v>184</v>
      </c>
      <c r="AC40" s="1503">
        <v>185</v>
      </c>
      <c r="AD40" s="993">
        <v>186</v>
      </c>
      <c r="AE40" s="8"/>
      <c r="AF40" s="288">
        <f t="shared" si="5"/>
        <v>183.75</v>
      </c>
      <c r="AH40" s="1503">
        <v>184</v>
      </c>
      <c r="AI40" s="993">
        <v>181</v>
      </c>
      <c r="AJ40" s="716">
        <v>186</v>
      </c>
      <c r="AK40" s="993">
        <v>181</v>
      </c>
      <c r="AL40" s="716">
        <v>179</v>
      </c>
      <c r="AM40" s="716">
        <v>178</v>
      </c>
      <c r="AN40" s="716">
        <v>172</v>
      </c>
      <c r="AO40" s="716">
        <v>178</v>
      </c>
      <c r="AP40" s="716">
        <v>178</v>
      </c>
      <c r="AQ40" s="716">
        <v>179</v>
      </c>
      <c r="AR40" s="1503">
        <v>181</v>
      </c>
      <c r="AS40" s="993">
        <v>184</v>
      </c>
      <c r="AT40" s="8"/>
      <c r="AU40" s="288">
        <f t="shared" si="6"/>
        <v>180.08333333333334</v>
      </c>
      <c r="AW40" s="500">
        <f>AS40/$AS$37</f>
        <v>0.68148148148148147</v>
      </c>
      <c r="AX40" s="1980">
        <v>61</v>
      </c>
      <c r="AY40" s="728">
        <f t="shared" si="14"/>
        <v>0.33152173913043476</v>
      </c>
      <c r="AZ40" s="1990">
        <v>35.288043478260867</v>
      </c>
      <c r="BA40" s="1991">
        <v>6.3304496724240593</v>
      </c>
    </row>
    <row r="41" spans="1:53" x14ac:dyDescent="0.55000000000000004">
      <c r="A41" s="7096"/>
      <c r="B41" s="30"/>
      <c r="C41" s="8" t="s">
        <v>20</v>
      </c>
      <c r="D41">
        <v>96</v>
      </c>
      <c r="E41">
        <v>96</v>
      </c>
      <c r="F41">
        <v>93</v>
      </c>
      <c r="G41">
        <v>91</v>
      </c>
      <c r="H41">
        <v>90</v>
      </c>
      <c r="I41">
        <v>88</v>
      </c>
      <c r="J41">
        <v>95</v>
      </c>
      <c r="K41">
        <v>91</v>
      </c>
      <c r="L41">
        <v>87</v>
      </c>
      <c r="M41">
        <v>88</v>
      </c>
      <c r="N41">
        <v>92</v>
      </c>
      <c r="O41">
        <v>48</v>
      </c>
      <c r="P41" s="8"/>
      <c r="Q41" s="1397">
        <f t="shared" si="15"/>
        <v>87.916666666666671</v>
      </c>
      <c r="S41" s="993">
        <v>43</v>
      </c>
      <c r="T41" s="993">
        <v>45</v>
      </c>
      <c r="U41" s="993">
        <v>44</v>
      </c>
      <c r="V41" s="993">
        <v>49</v>
      </c>
      <c r="W41" s="993">
        <v>48</v>
      </c>
      <c r="X41" s="993">
        <v>45</v>
      </c>
      <c r="Y41" s="716">
        <v>48</v>
      </c>
      <c r="Z41" s="716">
        <v>47</v>
      </c>
      <c r="AA41">
        <v>46</v>
      </c>
      <c r="AB41" s="716">
        <v>49</v>
      </c>
      <c r="AC41" s="1503">
        <v>46</v>
      </c>
      <c r="AD41" s="993">
        <v>46</v>
      </c>
      <c r="AE41" s="8"/>
      <c r="AF41" s="288">
        <f t="shared" si="5"/>
        <v>46.333333333333336</v>
      </c>
      <c r="AH41" s="1503">
        <v>48</v>
      </c>
      <c r="AI41" s="993">
        <v>49</v>
      </c>
      <c r="AJ41" s="716">
        <v>50</v>
      </c>
      <c r="AK41" s="993">
        <v>46</v>
      </c>
      <c r="AL41" s="716">
        <v>45</v>
      </c>
      <c r="AM41" s="716">
        <v>45</v>
      </c>
      <c r="AN41" s="716">
        <v>46</v>
      </c>
      <c r="AO41" s="716">
        <v>48</v>
      </c>
      <c r="AP41" s="716">
        <v>43</v>
      </c>
      <c r="AQ41" s="716">
        <v>44</v>
      </c>
      <c r="AR41" s="1503">
        <v>45</v>
      </c>
      <c r="AS41" s="993">
        <v>45</v>
      </c>
      <c r="AT41" s="8"/>
      <c r="AU41" s="288">
        <f t="shared" si="6"/>
        <v>46.166666666666664</v>
      </c>
      <c r="AW41" s="500">
        <f>AS41/$AS$37</f>
        <v>0.16666666666666666</v>
      </c>
      <c r="AX41" s="1980">
        <v>20</v>
      </c>
      <c r="AY41" s="728">
        <f t="shared" si="14"/>
        <v>0.44444444444444442</v>
      </c>
      <c r="AZ41" s="1990">
        <v>34.93333333333333</v>
      </c>
      <c r="BA41" s="1991">
        <v>6.4882191780821916</v>
      </c>
    </row>
    <row r="42" spans="1:53" x14ac:dyDescent="0.55000000000000004">
      <c r="A42" s="7096"/>
      <c r="B42" s="30"/>
      <c r="C42" s="14" t="s">
        <v>206</v>
      </c>
      <c r="D42" s="718">
        <f t="shared" ref="D42:N42" si="22">SUM(D43:D46)</f>
        <v>0</v>
      </c>
      <c r="E42" s="718">
        <f t="shared" si="22"/>
        <v>0</v>
      </c>
      <c r="F42" s="718">
        <f t="shared" si="22"/>
        <v>0</v>
      </c>
      <c r="G42" s="718">
        <f t="shared" si="22"/>
        <v>0</v>
      </c>
      <c r="H42" s="718">
        <f t="shared" si="22"/>
        <v>0</v>
      </c>
      <c r="I42" s="718">
        <f>SUM(I43:I46)</f>
        <v>0</v>
      </c>
      <c r="J42" s="718">
        <f t="shared" si="22"/>
        <v>0</v>
      </c>
      <c r="K42" s="718">
        <f t="shared" si="22"/>
        <v>0</v>
      </c>
      <c r="L42" s="718">
        <f t="shared" si="22"/>
        <v>0</v>
      </c>
      <c r="M42" s="718">
        <f t="shared" si="22"/>
        <v>0</v>
      </c>
      <c r="N42" s="718">
        <f t="shared" si="22"/>
        <v>0</v>
      </c>
      <c r="O42" s="718">
        <f>SUM(O43:O46)</f>
        <v>342</v>
      </c>
      <c r="P42" s="14"/>
      <c r="Q42" s="1399">
        <f t="shared" si="15"/>
        <v>28.5</v>
      </c>
      <c r="S42" s="984">
        <f t="shared" ref="S42:AB42" si="23">SUM(S43:S46)</f>
        <v>324</v>
      </c>
      <c r="T42" s="984">
        <f t="shared" si="23"/>
        <v>325</v>
      </c>
      <c r="U42" s="984">
        <f t="shared" si="23"/>
        <v>326</v>
      </c>
      <c r="V42" s="984">
        <f t="shared" si="23"/>
        <v>327</v>
      </c>
      <c r="W42" s="984">
        <f t="shared" si="23"/>
        <v>327</v>
      </c>
      <c r="X42" s="984">
        <f t="shared" si="23"/>
        <v>338</v>
      </c>
      <c r="Y42" s="718">
        <f t="shared" si="23"/>
        <v>342</v>
      </c>
      <c r="Z42" s="718">
        <f t="shared" si="23"/>
        <v>339</v>
      </c>
      <c r="AA42" s="718">
        <f t="shared" si="23"/>
        <v>340</v>
      </c>
      <c r="AB42" s="718">
        <f t="shared" si="23"/>
        <v>340</v>
      </c>
      <c r="AC42" s="1505">
        <v>346</v>
      </c>
      <c r="AD42" s="984">
        <v>345</v>
      </c>
      <c r="AE42" s="14"/>
      <c r="AF42" s="290">
        <f t="shared" si="5"/>
        <v>334.91666666666669</v>
      </c>
      <c r="AH42" s="1505">
        <v>348</v>
      </c>
      <c r="AI42" s="984">
        <v>343</v>
      </c>
      <c r="AJ42" s="718">
        <v>342</v>
      </c>
      <c r="AK42" s="984">
        <v>341</v>
      </c>
      <c r="AL42" s="718">
        <v>338</v>
      </c>
      <c r="AM42" s="718">
        <v>332</v>
      </c>
      <c r="AN42" s="718">
        <v>333</v>
      </c>
      <c r="AO42" s="718">
        <v>325</v>
      </c>
      <c r="AP42" s="718">
        <v>325</v>
      </c>
      <c r="AQ42" s="718">
        <v>319</v>
      </c>
      <c r="AR42" s="1505">
        <v>312</v>
      </c>
      <c r="AS42" s="984">
        <v>316</v>
      </c>
      <c r="AT42" s="14"/>
      <c r="AU42" s="290">
        <f t="shared" si="6"/>
        <v>331.16666666666669</v>
      </c>
      <c r="AW42" s="502">
        <f>AS42/$AS$4</f>
        <v>0.14363636363636365</v>
      </c>
      <c r="AX42" s="1982">
        <v>104</v>
      </c>
      <c r="AY42" s="727">
        <f t="shared" si="14"/>
        <v>0.32911392405063289</v>
      </c>
      <c r="AZ42" s="1995">
        <v>33.62341772151899</v>
      </c>
      <c r="BA42" s="1996">
        <v>5.8116958557308829</v>
      </c>
    </row>
    <row r="43" spans="1:53" x14ac:dyDescent="0.55000000000000004">
      <c r="A43" s="7096"/>
      <c r="B43" s="30"/>
      <c r="C43" s="8" t="s">
        <v>220</v>
      </c>
      <c r="O43">
        <v>32</v>
      </c>
      <c r="P43" s="8"/>
      <c r="Q43" s="1397">
        <f t="shared" si="15"/>
        <v>32</v>
      </c>
      <c r="S43" s="993">
        <v>36</v>
      </c>
      <c r="T43" s="993">
        <v>36</v>
      </c>
      <c r="U43" s="993">
        <v>34</v>
      </c>
      <c r="V43" s="993">
        <v>33</v>
      </c>
      <c r="W43" s="993">
        <v>32</v>
      </c>
      <c r="X43" s="993">
        <v>34</v>
      </c>
      <c r="Y43" s="716">
        <v>34</v>
      </c>
      <c r="Z43" s="716">
        <v>36</v>
      </c>
      <c r="AA43" s="716">
        <v>37</v>
      </c>
      <c r="AB43" s="716">
        <v>36</v>
      </c>
      <c r="AC43" s="1503">
        <v>36</v>
      </c>
      <c r="AD43" s="993">
        <v>36</v>
      </c>
      <c r="AE43" s="8"/>
      <c r="AF43" s="288">
        <f t="shared" si="5"/>
        <v>35</v>
      </c>
      <c r="AH43" s="1503">
        <v>38</v>
      </c>
      <c r="AI43" s="993">
        <v>38</v>
      </c>
      <c r="AJ43" s="716">
        <v>37</v>
      </c>
      <c r="AK43" s="993">
        <v>38</v>
      </c>
      <c r="AL43" s="716">
        <v>37</v>
      </c>
      <c r="AM43" s="716">
        <v>37</v>
      </c>
      <c r="AN43" s="716">
        <v>35</v>
      </c>
      <c r="AO43" s="716">
        <v>35</v>
      </c>
      <c r="AP43" s="716">
        <v>34</v>
      </c>
      <c r="AQ43" s="716">
        <v>36</v>
      </c>
      <c r="AR43" s="1503">
        <v>35</v>
      </c>
      <c r="AS43" s="993">
        <v>34</v>
      </c>
      <c r="AT43" s="8"/>
      <c r="AU43" s="288">
        <f t="shared" si="6"/>
        <v>36.166666666666664</v>
      </c>
      <c r="AW43" s="500">
        <f>AS43/$AS$42</f>
        <v>0.10759493670886076</v>
      </c>
      <c r="AX43" s="1980">
        <v>13</v>
      </c>
      <c r="AY43" s="728">
        <f t="shared" si="14"/>
        <v>0.38235294117647056</v>
      </c>
      <c r="AZ43" s="1990">
        <v>40.235294117647058</v>
      </c>
      <c r="BA43" s="1991">
        <v>12.953505237711521</v>
      </c>
    </row>
    <row r="44" spans="1:53" x14ac:dyDescent="0.55000000000000004">
      <c r="A44" s="7096"/>
      <c r="B44" s="30"/>
      <c r="C44" s="8" t="s">
        <v>66</v>
      </c>
      <c r="O44">
        <v>23</v>
      </c>
      <c r="P44" s="8"/>
      <c r="Q44" s="1397">
        <f t="shared" si="15"/>
        <v>23</v>
      </c>
      <c r="S44" s="993">
        <v>17</v>
      </c>
      <c r="T44" s="993">
        <v>17</v>
      </c>
      <c r="U44" s="993">
        <v>20</v>
      </c>
      <c r="V44" s="993">
        <v>19</v>
      </c>
      <c r="W44" s="993">
        <v>20</v>
      </c>
      <c r="X44" s="993">
        <v>22</v>
      </c>
      <c r="Y44" s="716">
        <v>23</v>
      </c>
      <c r="Z44" s="716">
        <v>21</v>
      </c>
      <c r="AA44">
        <v>20</v>
      </c>
      <c r="AB44" s="716">
        <v>20</v>
      </c>
      <c r="AC44" s="1503">
        <v>21</v>
      </c>
      <c r="AD44" s="993">
        <v>21</v>
      </c>
      <c r="AE44" s="8"/>
      <c r="AF44" s="288">
        <f t="shared" si="5"/>
        <v>20.083333333333332</v>
      </c>
      <c r="AH44" s="1503">
        <v>21</v>
      </c>
      <c r="AI44" s="993">
        <v>21</v>
      </c>
      <c r="AJ44" s="716">
        <v>20</v>
      </c>
      <c r="AK44" s="993">
        <v>18</v>
      </c>
      <c r="AL44" s="716">
        <v>18</v>
      </c>
      <c r="AM44" s="716">
        <v>18</v>
      </c>
      <c r="AN44" s="716">
        <v>19</v>
      </c>
      <c r="AO44" s="716">
        <v>19</v>
      </c>
      <c r="AP44" s="716">
        <v>17</v>
      </c>
      <c r="AQ44" s="716">
        <v>16</v>
      </c>
      <c r="AR44" s="1503">
        <v>14</v>
      </c>
      <c r="AS44" s="993">
        <v>9</v>
      </c>
      <c r="AT44" s="8"/>
      <c r="AU44" s="288">
        <f t="shared" si="6"/>
        <v>17.5</v>
      </c>
      <c r="AW44" s="500">
        <f>AS44/$AS$42</f>
        <v>2.8481012658227847E-2</v>
      </c>
      <c r="AX44" s="1980"/>
      <c r="AY44" s="728">
        <f t="shared" si="14"/>
        <v>0</v>
      </c>
      <c r="AZ44" s="1990">
        <v>37.111111111111114</v>
      </c>
      <c r="BA44" s="1991">
        <v>3.4337899543378994</v>
      </c>
    </row>
    <row r="45" spans="1:53" x14ac:dyDescent="0.55000000000000004">
      <c r="A45" s="7096"/>
      <c r="B45" s="30"/>
      <c r="C45" s="8" t="s">
        <v>19</v>
      </c>
      <c r="O45">
        <v>246</v>
      </c>
      <c r="P45" s="8"/>
      <c r="Q45" s="1397">
        <f t="shared" si="15"/>
        <v>246</v>
      </c>
      <c r="S45" s="993">
        <v>224</v>
      </c>
      <c r="T45" s="993">
        <v>226</v>
      </c>
      <c r="U45" s="993">
        <v>225</v>
      </c>
      <c r="V45" s="993">
        <v>229</v>
      </c>
      <c r="W45" s="993">
        <v>231</v>
      </c>
      <c r="X45" s="993">
        <v>238</v>
      </c>
      <c r="Y45" s="716">
        <v>245</v>
      </c>
      <c r="Z45" s="716">
        <v>241</v>
      </c>
      <c r="AA45">
        <v>240</v>
      </c>
      <c r="AB45" s="716">
        <v>242</v>
      </c>
      <c r="AC45" s="1503">
        <v>244</v>
      </c>
      <c r="AD45" s="993">
        <v>244</v>
      </c>
      <c r="AE45" s="8"/>
      <c r="AF45" s="288">
        <f t="shared" si="5"/>
        <v>235.75</v>
      </c>
      <c r="AH45" s="1503">
        <v>245</v>
      </c>
      <c r="AI45" s="993">
        <v>242</v>
      </c>
      <c r="AJ45" s="716">
        <v>241</v>
      </c>
      <c r="AK45" s="993">
        <v>241</v>
      </c>
      <c r="AL45" s="716">
        <v>241</v>
      </c>
      <c r="AM45" s="716">
        <v>237</v>
      </c>
      <c r="AN45" s="716">
        <v>236</v>
      </c>
      <c r="AO45" s="716">
        <v>228</v>
      </c>
      <c r="AP45" s="716">
        <v>229</v>
      </c>
      <c r="AQ45" s="716">
        <v>224</v>
      </c>
      <c r="AR45" s="1503">
        <v>222</v>
      </c>
      <c r="AS45" s="993">
        <v>231</v>
      </c>
      <c r="AT45" s="8"/>
      <c r="AU45" s="288">
        <f t="shared" si="6"/>
        <v>234.75</v>
      </c>
      <c r="AW45" s="500">
        <f>AS45/$AS$42</f>
        <v>0.73101265822784811</v>
      </c>
      <c r="AX45" s="1980">
        <v>72</v>
      </c>
      <c r="AY45" s="728">
        <f t="shared" si="14"/>
        <v>0.31168831168831168</v>
      </c>
      <c r="AZ45" s="1990">
        <v>32.688311688311686</v>
      </c>
      <c r="BA45" s="1991">
        <v>4.9486331020577534</v>
      </c>
    </row>
    <row r="46" spans="1:53" x14ac:dyDescent="0.55000000000000004">
      <c r="A46" s="7096"/>
      <c r="B46" s="30"/>
      <c r="C46" s="8" t="s">
        <v>20</v>
      </c>
      <c r="O46">
        <v>41</v>
      </c>
      <c r="P46" s="8"/>
      <c r="Q46" s="1397">
        <f t="shared" si="15"/>
        <v>41</v>
      </c>
      <c r="S46" s="993">
        <v>47</v>
      </c>
      <c r="T46" s="993">
        <v>46</v>
      </c>
      <c r="U46" s="993">
        <v>47</v>
      </c>
      <c r="V46" s="993">
        <v>46</v>
      </c>
      <c r="W46" s="993">
        <v>44</v>
      </c>
      <c r="X46" s="993">
        <v>44</v>
      </c>
      <c r="Y46" s="716">
        <v>40</v>
      </c>
      <c r="Z46" s="716">
        <v>41</v>
      </c>
      <c r="AA46">
        <v>43</v>
      </c>
      <c r="AB46" s="716">
        <v>42</v>
      </c>
      <c r="AC46" s="1503">
        <v>45</v>
      </c>
      <c r="AD46" s="993">
        <v>44</v>
      </c>
      <c r="AE46" s="8"/>
      <c r="AF46" s="288">
        <f t="shared" si="5"/>
        <v>44.083333333333336</v>
      </c>
      <c r="AH46" s="1503">
        <v>44</v>
      </c>
      <c r="AI46" s="993">
        <v>42</v>
      </c>
      <c r="AJ46" s="716">
        <v>44</v>
      </c>
      <c r="AK46" s="993">
        <v>44</v>
      </c>
      <c r="AL46" s="716">
        <v>42</v>
      </c>
      <c r="AM46" s="716">
        <v>40</v>
      </c>
      <c r="AN46" s="716">
        <v>43</v>
      </c>
      <c r="AO46" s="716">
        <v>43</v>
      </c>
      <c r="AP46" s="716">
        <v>45</v>
      </c>
      <c r="AQ46" s="716">
        <v>43</v>
      </c>
      <c r="AR46" s="1503">
        <v>41</v>
      </c>
      <c r="AS46" s="993">
        <v>42</v>
      </c>
      <c r="AT46" s="8"/>
      <c r="AU46" s="288">
        <f t="shared" si="6"/>
        <v>42.75</v>
      </c>
      <c r="AW46" s="500">
        <f>AS46/$AS$42</f>
        <v>0.13291139240506328</v>
      </c>
      <c r="AX46" s="1980">
        <v>19</v>
      </c>
      <c r="AY46" s="728">
        <f t="shared" si="14"/>
        <v>0.45238095238095238</v>
      </c>
      <c r="AZ46" s="1990">
        <v>32.666666666666664</v>
      </c>
      <c r="BA46" s="1991">
        <v>5.286627527723418</v>
      </c>
    </row>
    <row r="47" spans="1:53" x14ac:dyDescent="0.55000000000000004">
      <c r="A47" s="7096"/>
      <c r="B47" s="30"/>
      <c r="C47" s="14" t="s">
        <v>207</v>
      </c>
      <c r="D47" s="718">
        <f t="shared" ref="D47:N47" si="24">SUM(D48:D51)</f>
        <v>433</v>
      </c>
      <c r="E47" s="718">
        <f t="shared" si="24"/>
        <v>437</v>
      </c>
      <c r="F47" s="718">
        <f t="shared" si="24"/>
        <v>437</v>
      </c>
      <c r="G47" s="718">
        <f t="shared" si="24"/>
        <v>428</v>
      </c>
      <c r="H47" s="718">
        <f t="shared" si="24"/>
        <v>432</v>
      </c>
      <c r="I47" s="718">
        <f t="shared" si="24"/>
        <v>531</v>
      </c>
      <c r="J47" s="718">
        <f t="shared" si="24"/>
        <v>427</v>
      </c>
      <c r="K47" s="718">
        <f t="shared" si="24"/>
        <v>424</v>
      </c>
      <c r="L47" s="718">
        <f t="shared" si="24"/>
        <v>415</v>
      </c>
      <c r="M47" s="718">
        <f t="shared" si="24"/>
        <v>418</v>
      </c>
      <c r="N47" s="718">
        <f t="shared" si="24"/>
        <v>415</v>
      </c>
      <c r="O47" s="718">
        <f>SUM(O48:O51)</f>
        <v>403</v>
      </c>
      <c r="P47" s="14"/>
      <c r="Q47" s="1399">
        <f t="shared" si="15"/>
        <v>433.33333333333331</v>
      </c>
      <c r="S47" s="984">
        <f t="shared" ref="S47:AB47" si="25">SUM(S48:S51)</f>
        <v>409</v>
      </c>
      <c r="T47" s="984">
        <f t="shared" si="25"/>
        <v>409</v>
      </c>
      <c r="U47" s="984">
        <f t="shared" si="25"/>
        <v>409</v>
      </c>
      <c r="V47" s="984">
        <f t="shared" si="25"/>
        <v>415</v>
      </c>
      <c r="W47" s="984">
        <f t="shared" si="25"/>
        <v>416</v>
      </c>
      <c r="X47" s="984">
        <f t="shared" si="25"/>
        <v>408</v>
      </c>
      <c r="Y47" s="718">
        <f t="shared" si="25"/>
        <v>402</v>
      </c>
      <c r="Z47" s="718">
        <f t="shared" si="25"/>
        <v>402</v>
      </c>
      <c r="AA47" s="718">
        <f t="shared" si="25"/>
        <v>400</v>
      </c>
      <c r="AB47" s="718">
        <f t="shared" si="25"/>
        <v>412</v>
      </c>
      <c r="AC47" s="1505">
        <v>420</v>
      </c>
      <c r="AD47" s="984">
        <v>427</v>
      </c>
      <c r="AE47" s="14"/>
      <c r="AF47" s="290">
        <f t="shared" si="5"/>
        <v>410.75</v>
      </c>
      <c r="AH47" s="1505">
        <v>434</v>
      </c>
      <c r="AI47" s="984">
        <v>426</v>
      </c>
      <c r="AJ47" s="718">
        <v>423</v>
      </c>
      <c r="AK47" s="984">
        <v>417</v>
      </c>
      <c r="AL47" s="718">
        <v>414</v>
      </c>
      <c r="AM47" s="718">
        <v>410</v>
      </c>
      <c r="AN47" s="718">
        <v>406</v>
      </c>
      <c r="AO47" s="718">
        <v>407</v>
      </c>
      <c r="AP47" s="718">
        <v>410</v>
      </c>
      <c r="AQ47" s="718">
        <v>396</v>
      </c>
      <c r="AR47" s="1505">
        <v>396</v>
      </c>
      <c r="AS47" s="984">
        <v>398</v>
      </c>
      <c r="AT47" s="14"/>
      <c r="AU47" s="290">
        <f t="shared" si="6"/>
        <v>411.41666666666669</v>
      </c>
      <c r="AW47" s="502">
        <f>AS47/$AS$4</f>
        <v>0.18090909090909091</v>
      </c>
      <c r="AX47" s="1982">
        <v>172</v>
      </c>
      <c r="AY47" s="727">
        <f t="shared" si="14"/>
        <v>0.43216080402010049</v>
      </c>
      <c r="AZ47" s="1995">
        <v>34.108040201005025</v>
      </c>
      <c r="BA47" s="1996">
        <v>6.8187512907000771</v>
      </c>
    </row>
    <row r="48" spans="1:53" x14ac:dyDescent="0.55000000000000004">
      <c r="A48" s="7096"/>
      <c r="B48" s="30"/>
      <c r="C48" s="8" t="s">
        <v>220</v>
      </c>
      <c r="D48">
        <v>46</v>
      </c>
      <c r="E48">
        <v>46</v>
      </c>
      <c r="F48">
        <v>46</v>
      </c>
      <c r="G48">
        <v>45</v>
      </c>
      <c r="H48">
        <v>45</v>
      </c>
      <c r="I48">
        <v>45</v>
      </c>
      <c r="J48">
        <v>45</v>
      </c>
      <c r="K48">
        <v>45</v>
      </c>
      <c r="L48">
        <v>45</v>
      </c>
      <c r="M48">
        <v>45</v>
      </c>
      <c r="N48">
        <v>45</v>
      </c>
      <c r="O48">
        <v>45</v>
      </c>
      <c r="P48" s="8"/>
      <c r="Q48" s="1397">
        <f t="shared" si="15"/>
        <v>45.25</v>
      </c>
      <c r="S48" s="993">
        <v>45</v>
      </c>
      <c r="T48" s="993">
        <v>45</v>
      </c>
      <c r="U48" s="993">
        <v>45</v>
      </c>
      <c r="V48" s="993">
        <v>45</v>
      </c>
      <c r="W48" s="993">
        <v>47</v>
      </c>
      <c r="X48" s="993">
        <v>47</v>
      </c>
      <c r="Y48" s="716">
        <v>45</v>
      </c>
      <c r="Z48" s="716">
        <v>47</v>
      </c>
      <c r="AA48" s="716">
        <v>47</v>
      </c>
      <c r="AB48" s="716">
        <v>45</v>
      </c>
      <c r="AC48" s="1503">
        <v>45</v>
      </c>
      <c r="AD48" s="993">
        <v>46</v>
      </c>
      <c r="AE48" s="8"/>
      <c r="AF48" s="288">
        <f t="shared" si="5"/>
        <v>45.75</v>
      </c>
      <c r="AH48" s="1503">
        <v>46</v>
      </c>
      <c r="AI48" s="993">
        <v>48</v>
      </c>
      <c r="AJ48" s="716">
        <v>49</v>
      </c>
      <c r="AK48" s="993">
        <v>49</v>
      </c>
      <c r="AL48" s="716">
        <v>48</v>
      </c>
      <c r="AM48" s="716">
        <v>47</v>
      </c>
      <c r="AN48" s="716">
        <v>44</v>
      </c>
      <c r="AO48" s="716">
        <v>45</v>
      </c>
      <c r="AP48" s="716">
        <v>46</v>
      </c>
      <c r="AQ48" s="716">
        <v>46</v>
      </c>
      <c r="AR48" s="1503">
        <v>44</v>
      </c>
      <c r="AS48" s="993">
        <v>44</v>
      </c>
      <c r="AT48" s="8"/>
      <c r="AU48" s="288">
        <f t="shared" si="6"/>
        <v>46.333333333333336</v>
      </c>
      <c r="AW48" s="500">
        <f>AS48/$AS$47</f>
        <v>0.11055276381909548</v>
      </c>
      <c r="AX48" s="1980">
        <v>16</v>
      </c>
      <c r="AY48" s="728">
        <f t="shared" si="14"/>
        <v>0.36363636363636365</v>
      </c>
      <c r="AZ48" s="1990">
        <v>41.25</v>
      </c>
      <c r="BA48" s="1991">
        <v>13.108592777085933</v>
      </c>
    </row>
    <row r="49" spans="1:53" x14ac:dyDescent="0.55000000000000004">
      <c r="A49" s="7096"/>
      <c r="B49" s="30"/>
      <c r="C49" s="8" t="s">
        <v>66</v>
      </c>
      <c r="D49">
        <v>18</v>
      </c>
      <c r="E49">
        <v>20</v>
      </c>
      <c r="F49">
        <v>21</v>
      </c>
      <c r="G49">
        <v>23</v>
      </c>
      <c r="H49">
        <v>24</v>
      </c>
      <c r="I49">
        <v>25</v>
      </c>
      <c r="J49">
        <v>25</v>
      </c>
      <c r="K49">
        <v>26</v>
      </c>
      <c r="L49">
        <v>26</v>
      </c>
      <c r="M49">
        <v>26</v>
      </c>
      <c r="N49">
        <v>26</v>
      </c>
      <c r="O49">
        <v>27</v>
      </c>
      <c r="P49" s="8"/>
      <c r="Q49" s="1397">
        <f t="shared" si="15"/>
        <v>23.916666666666668</v>
      </c>
      <c r="S49" s="993">
        <v>23</v>
      </c>
      <c r="T49" s="993">
        <v>23</v>
      </c>
      <c r="U49" s="993">
        <v>25</v>
      </c>
      <c r="V49" s="993">
        <v>26</v>
      </c>
      <c r="W49" s="993">
        <v>29</v>
      </c>
      <c r="X49" s="993">
        <v>29</v>
      </c>
      <c r="Y49" s="716">
        <v>28</v>
      </c>
      <c r="Z49" s="716">
        <v>26</v>
      </c>
      <c r="AA49">
        <v>24</v>
      </c>
      <c r="AB49" s="716">
        <v>27</v>
      </c>
      <c r="AC49" s="1503">
        <v>28</v>
      </c>
      <c r="AD49" s="993">
        <v>29</v>
      </c>
      <c r="AE49" s="8"/>
      <c r="AF49" s="288">
        <f t="shared" si="5"/>
        <v>26.416666666666668</v>
      </c>
      <c r="AH49" s="1503">
        <v>29</v>
      </c>
      <c r="AI49" s="993">
        <v>27</v>
      </c>
      <c r="AJ49" s="716">
        <v>28</v>
      </c>
      <c r="AK49" s="993">
        <v>28</v>
      </c>
      <c r="AL49" s="716">
        <v>27</v>
      </c>
      <c r="AM49" s="716">
        <v>27</v>
      </c>
      <c r="AN49" s="716">
        <v>27</v>
      </c>
      <c r="AO49" s="716">
        <v>26</v>
      </c>
      <c r="AP49" s="716">
        <v>26</v>
      </c>
      <c r="AQ49" s="716">
        <v>25</v>
      </c>
      <c r="AR49" s="1503">
        <v>25</v>
      </c>
      <c r="AS49" s="993">
        <v>15</v>
      </c>
      <c r="AT49" s="8"/>
      <c r="AU49" s="288">
        <f t="shared" si="6"/>
        <v>25.833333333333332</v>
      </c>
      <c r="AW49" s="500">
        <f>AS49/$AS$47</f>
        <v>3.7688442211055273E-2</v>
      </c>
      <c r="AX49" s="1980">
        <v>2</v>
      </c>
      <c r="AY49" s="728">
        <f t="shared" si="14"/>
        <v>0.13333333333333333</v>
      </c>
      <c r="AZ49" s="1990">
        <v>41.666666666666664</v>
      </c>
      <c r="BA49" s="1991">
        <v>6.4345205479452066</v>
      </c>
    </row>
    <row r="50" spans="1:53" x14ac:dyDescent="0.55000000000000004">
      <c r="A50" s="7096"/>
      <c r="B50" s="30"/>
      <c r="C50" s="8" t="s">
        <v>19</v>
      </c>
      <c r="D50">
        <v>260</v>
      </c>
      <c r="E50">
        <v>262</v>
      </c>
      <c r="F50">
        <v>263</v>
      </c>
      <c r="G50">
        <v>255</v>
      </c>
      <c r="H50">
        <v>258</v>
      </c>
      <c r="I50">
        <v>356</v>
      </c>
      <c r="J50">
        <v>250</v>
      </c>
      <c r="K50">
        <v>250</v>
      </c>
      <c r="L50">
        <v>243</v>
      </c>
      <c r="M50">
        <v>245</v>
      </c>
      <c r="N50">
        <v>244</v>
      </c>
      <c r="O50">
        <v>238</v>
      </c>
      <c r="P50" s="8"/>
      <c r="Q50" s="1397">
        <f t="shared" si="15"/>
        <v>260.33333333333331</v>
      </c>
      <c r="S50" s="993">
        <v>245</v>
      </c>
      <c r="T50" s="993">
        <v>245</v>
      </c>
      <c r="U50" s="993">
        <v>242</v>
      </c>
      <c r="V50" s="993">
        <v>245</v>
      </c>
      <c r="W50" s="993">
        <v>244</v>
      </c>
      <c r="X50" s="993">
        <v>238</v>
      </c>
      <c r="Y50" s="716">
        <v>236</v>
      </c>
      <c r="Z50" s="716">
        <v>236</v>
      </c>
      <c r="AA50">
        <v>235</v>
      </c>
      <c r="AB50" s="716">
        <v>243</v>
      </c>
      <c r="AC50" s="1503">
        <v>249</v>
      </c>
      <c r="AD50" s="993">
        <v>252</v>
      </c>
      <c r="AE50" s="8"/>
      <c r="AF50" s="288">
        <f t="shared" si="5"/>
        <v>242.5</v>
      </c>
      <c r="AH50" s="1503">
        <v>257</v>
      </c>
      <c r="AI50" s="993">
        <v>248</v>
      </c>
      <c r="AJ50" s="716">
        <v>246</v>
      </c>
      <c r="AK50" s="993">
        <v>244</v>
      </c>
      <c r="AL50" s="716">
        <v>242</v>
      </c>
      <c r="AM50" s="716">
        <v>243</v>
      </c>
      <c r="AN50" s="716">
        <v>239</v>
      </c>
      <c r="AO50" s="716">
        <v>238</v>
      </c>
      <c r="AP50" s="716">
        <v>236</v>
      </c>
      <c r="AQ50" s="716">
        <v>227</v>
      </c>
      <c r="AR50" s="1503">
        <v>230</v>
      </c>
      <c r="AS50" s="993">
        <v>240</v>
      </c>
      <c r="AT50" s="8"/>
      <c r="AU50" s="288">
        <f t="shared" si="6"/>
        <v>240.83333333333334</v>
      </c>
      <c r="AW50" s="500">
        <f>AS50/$AS$47</f>
        <v>0.60301507537688437</v>
      </c>
      <c r="AX50" s="1980">
        <v>108</v>
      </c>
      <c r="AY50" s="728">
        <f t="shared" si="14"/>
        <v>0.45</v>
      </c>
      <c r="AZ50" s="1990">
        <v>32.091666666666669</v>
      </c>
      <c r="BA50" s="1991">
        <v>5.8889954337899519</v>
      </c>
    </row>
    <row r="51" spans="1:53" x14ac:dyDescent="0.55000000000000004">
      <c r="A51" s="7096"/>
      <c r="B51" s="30"/>
      <c r="C51" s="8" t="s">
        <v>20</v>
      </c>
      <c r="D51">
        <v>109</v>
      </c>
      <c r="E51">
        <v>109</v>
      </c>
      <c r="F51">
        <v>107</v>
      </c>
      <c r="G51">
        <v>105</v>
      </c>
      <c r="H51">
        <v>105</v>
      </c>
      <c r="I51">
        <v>105</v>
      </c>
      <c r="J51">
        <v>107</v>
      </c>
      <c r="K51">
        <v>103</v>
      </c>
      <c r="L51">
        <v>101</v>
      </c>
      <c r="M51">
        <v>102</v>
      </c>
      <c r="N51">
        <v>100</v>
      </c>
      <c r="O51">
        <v>93</v>
      </c>
      <c r="P51" s="8"/>
      <c r="Q51" s="1397">
        <f t="shared" si="15"/>
        <v>103.83333333333333</v>
      </c>
      <c r="S51" s="993">
        <v>96</v>
      </c>
      <c r="T51" s="993">
        <v>96</v>
      </c>
      <c r="U51" s="993">
        <v>97</v>
      </c>
      <c r="V51" s="993">
        <v>99</v>
      </c>
      <c r="W51" s="993">
        <v>96</v>
      </c>
      <c r="X51" s="993">
        <v>94</v>
      </c>
      <c r="Y51" s="716">
        <v>93</v>
      </c>
      <c r="Z51" s="716">
        <v>93</v>
      </c>
      <c r="AA51">
        <v>94</v>
      </c>
      <c r="AB51" s="716">
        <v>97</v>
      </c>
      <c r="AC51" s="1503">
        <v>98</v>
      </c>
      <c r="AD51" s="993">
        <v>100</v>
      </c>
      <c r="AE51" s="8"/>
      <c r="AF51" s="288">
        <f t="shared" si="5"/>
        <v>96.083333333333329</v>
      </c>
      <c r="AH51" s="1503">
        <v>102</v>
      </c>
      <c r="AI51" s="993">
        <v>103</v>
      </c>
      <c r="AJ51" s="716">
        <v>100</v>
      </c>
      <c r="AK51" s="993">
        <v>96</v>
      </c>
      <c r="AL51" s="716">
        <v>97</v>
      </c>
      <c r="AM51" s="716">
        <v>93</v>
      </c>
      <c r="AN51" s="716">
        <v>96</v>
      </c>
      <c r="AO51" s="716">
        <v>98</v>
      </c>
      <c r="AP51" s="716">
        <v>102</v>
      </c>
      <c r="AQ51" s="716">
        <v>98</v>
      </c>
      <c r="AR51" s="1503">
        <v>97</v>
      </c>
      <c r="AS51" s="993">
        <v>99</v>
      </c>
      <c r="AT51" s="8"/>
      <c r="AU51" s="288">
        <f t="shared" si="6"/>
        <v>98.416666666666671</v>
      </c>
      <c r="AW51" s="500">
        <f>AS51/$AS$47</f>
        <v>0.24874371859296482</v>
      </c>
      <c r="AX51" s="1980">
        <v>46</v>
      </c>
      <c r="AY51" s="728">
        <f t="shared" si="14"/>
        <v>0.46464646464646464</v>
      </c>
      <c r="AZ51" s="1990">
        <v>34.676767676767675</v>
      </c>
      <c r="BA51" s="1991">
        <v>6.335436557354365</v>
      </c>
    </row>
    <row r="52" spans="1:53" x14ac:dyDescent="0.55000000000000004">
      <c r="A52" s="7096"/>
      <c r="B52" s="30"/>
      <c r="C52" s="14" t="s">
        <v>208</v>
      </c>
      <c r="D52" s="718">
        <f t="shared" ref="D52:N52" si="26">SUM(D53:D56)</f>
        <v>373</v>
      </c>
      <c r="E52" s="718">
        <f t="shared" si="26"/>
        <v>359</v>
      </c>
      <c r="F52" s="718">
        <f t="shared" si="26"/>
        <v>358</v>
      </c>
      <c r="G52" s="718">
        <f t="shared" si="26"/>
        <v>362</v>
      </c>
      <c r="H52" s="718">
        <f t="shared" si="26"/>
        <v>366</v>
      </c>
      <c r="I52" s="718">
        <f t="shared" si="26"/>
        <v>364</v>
      </c>
      <c r="J52" s="718">
        <f t="shared" si="26"/>
        <v>356</v>
      </c>
      <c r="K52" s="718">
        <f t="shared" si="26"/>
        <v>357</v>
      </c>
      <c r="L52" s="718">
        <f t="shared" si="26"/>
        <v>356</v>
      </c>
      <c r="M52" s="718">
        <f t="shared" si="26"/>
        <v>354</v>
      </c>
      <c r="N52" s="718">
        <f t="shared" si="26"/>
        <v>358</v>
      </c>
      <c r="O52" s="718">
        <f>SUM(O53:O56)</f>
        <v>375</v>
      </c>
      <c r="P52" s="14"/>
      <c r="Q52" s="1399">
        <f t="shared" si="15"/>
        <v>361.5</v>
      </c>
      <c r="S52" s="984">
        <f t="shared" ref="S52:AB52" si="27">SUM(S53:S56)</f>
        <v>363</v>
      </c>
      <c r="T52" s="984">
        <f t="shared" si="27"/>
        <v>362</v>
      </c>
      <c r="U52" s="984">
        <f t="shared" si="27"/>
        <v>358</v>
      </c>
      <c r="V52" s="984">
        <f t="shared" si="27"/>
        <v>367</v>
      </c>
      <c r="W52" s="984">
        <f t="shared" si="27"/>
        <v>363</v>
      </c>
      <c r="X52" s="984">
        <f t="shared" si="27"/>
        <v>366</v>
      </c>
      <c r="Y52" s="718">
        <f t="shared" si="27"/>
        <v>369</v>
      </c>
      <c r="Z52" s="718">
        <f t="shared" si="27"/>
        <v>376</v>
      </c>
      <c r="AA52" s="718">
        <f t="shared" si="27"/>
        <v>378</v>
      </c>
      <c r="AB52" s="718">
        <f t="shared" si="27"/>
        <v>386</v>
      </c>
      <c r="AC52" s="1505">
        <v>377</v>
      </c>
      <c r="AD52" s="984">
        <v>388</v>
      </c>
      <c r="AE52" s="14"/>
      <c r="AF52" s="290">
        <f t="shared" si="5"/>
        <v>371.08333333333331</v>
      </c>
      <c r="AH52" s="1505">
        <v>393</v>
      </c>
      <c r="AI52" s="984">
        <v>385</v>
      </c>
      <c r="AJ52" s="718">
        <v>400</v>
      </c>
      <c r="AK52" s="984">
        <v>400</v>
      </c>
      <c r="AL52" s="718">
        <v>386</v>
      </c>
      <c r="AM52" s="718">
        <v>387</v>
      </c>
      <c r="AN52" s="718">
        <v>374</v>
      </c>
      <c r="AO52" s="718">
        <v>363</v>
      </c>
      <c r="AP52" s="718">
        <v>361</v>
      </c>
      <c r="AQ52" s="718">
        <v>361</v>
      </c>
      <c r="AR52" s="1505">
        <v>367</v>
      </c>
      <c r="AS52" s="984">
        <v>357</v>
      </c>
      <c r="AT52" s="14"/>
      <c r="AU52" s="290">
        <f t="shared" si="6"/>
        <v>377.83333333333331</v>
      </c>
      <c r="AW52" s="502">
        <f>AS52/$AS$4</f>
        <v>0.16227272727272726</v>
      </c>
      <c r="AX52" s="1982">
        <v>154</v>
      </c>
      <c r="AY52" s="727">
        <f t="shared" si="14"/>
        <v>0.43137254901960786</v>
      </c>
      <c r="AZ52" s="1995">
        <v>33.084033613445378</v>
      </c>
      <c r="BA52" s="1996">
        <v>5.348850773185994</v>
      </c>
    </row>
    <row r="53" spans="1:53" x14ac:dyDescent="0.55000000000000004">
      <c r="A53" s="7096"/>
      <c r="B53" s="30"/>
      <c r="C53" s="8" t="s">
        <v>220</v>
      </c>
      <c r="D53">
        <v>44</v>
      </c>
      <c r="E53">
        <v>43</v>
      </c>
      <c r="F53">
        <v>43</v>
      </c>
      <c r="G53">
        <v>43</v>
      </c>
      <c r="H53">
        <v>43</v>
      </c>
      <c r="I53">
        <v>42</v>
      </c>
      <c r="J53">
        <v>43</v>
      </c>
      <c r="K53">
        <v>43</v>
      </c>
      <c r="L53">
        <v>43</v>
      </c>
      <c r="M53">
        <v>43</v>
      </c>
      <c r="N53">
        <v>43</v>
      </c>
      <c r="O53">
        <v>43</v>
      </c>
      <c r="P53" s="8"/>
      <c r="Q53" s="1397">
        <f t="shared" si="15"/>
        <v>43</v>
      </c>
      <c r="S53" s="993">
        <v>44</v>
      </c>
      <c r="T53" s="993">
        <v>45</v>
      </c>
      <c r="U53" s="993">
        <v>42</v>
      </c>
      <c r="V53" s="993">
        <v>42</v>
      </c>
      <c r="W53" s="993">
        <v>41</v>
      </c>
      <c r="X53" s="993">
        <v>41</v>
      </c>
      <c r="Y53" s="716">
        <v>42</v>
      </c>
      <c r="Z53" s="716">
        <v>44</v>
      </c>
      <c r="AA53" s="716">
        <v>43</v>
      </c>
      <c r="AB53" s="716">
        <v>41</v>
      </c>
      <c r="AC53" s="1503">
        <v>40</v>
      </c>
      <c r="AD53" s="993">
        <v>39</v>
      </c>
      <c r="AE53" s="8"/>
      <c r="AF53" s="288">
        <f t="shared" si="5"/>
        <v>42</v>
      </c>
      <c r="AH53" s="1503">
        <v>42</v>
      </c>
      <c r="AI53" s="993">
        <v>45</v>
      </c>
      <c r="AJ53" s="716">
        <v>45</v>
      </c>
      <c r="AK53" s="993">
        <v>45</v>
      </c>
      <c r="AL53" s="716">
        <v>44</v>
      </c>
      <c r="AM53" s="716">
        <v>45</v>
      </c>
      <c r="AN53" s="716">
        <v>43</v>
      </c>
      <c r="AO53" s="716">
        <v>43</v>
      </c>
      <c r="AP53" s="716">
        <v>43</v>
      </c>
      <c r="AQ53" s="716">
        <v>44</v>
      </c>
      <c r="AR53" s="1503">
        <v>45</v>
      </c>
      <c r="AS53" s="993">
        <v>42</v>
      </c>
      <c r="AT53" s="8"/>
      <c r="AU53" s="288">
        <f t="shared" si="6"/>
        <v>43.833333333333336</v>
      </c>
      <c r="AW53" s="500">
        <f>AS53/$AS$52</f>
        <v>0.11764705882352941</v>
      </c>
      <c r="AX53" s="1980">
        <v>10</v>
      </c>
      <c r="AY53" s="728">
        <f t="shared" si="14"/>
        <v>0.23809523809523808</v>
      </c>
      <c r="AZ53" s="1990">
        <v>39.976190476190474</v>
      </c>
      <c r="BA53" s="1991">
        <v>12.261578604044363</v>
      </c>
    </row>
    <row r="54" spans="1:53" x14ac:dyDescent="0.55000000000000004">
      <c r="A54" s="7096"/>
      <c r="B54" s="30"/>
      <c r="C54" s="8" t="s">
        <v>66</v>
      </c>
      <c r="D54">
        <v>22</v>
      </c>
      <c r="E54">
        <v>22</v>
      </c>
      <c r="F54">
        <v>23</v>
      </c>
      <c r="G54">
        <v>25</v>
      </c>
      <c r="H54">
        <v>26</v>
      </c>
      <c r="I54">
        <v>26</v>
      </c>
      <c r="J54">
        <v>27</v>
      </c>
      <c r="K54">
        <v>27</v>
      </c>
      <c r="L54">
        <v>27</v>
      </c>
      <c r="M54">
        <v>27</v>
      </c>
      <c r="N54">
        <v>28</v>
      </c>
      <c r="O54">
        <v>35</v>
      </c>
      <c r="P54" s="8"/>
      <c r="Q54" s="1397">
        <f t="shared" si="15"/>
        <v>26.25</v>
      </c>
      <c r="S54" s="993">
        <v>23</v>
      </c>
      <c r="T54" s="993">
        <v>23</v>
      </c>
      <c r="U54" s="993">
        <v>25</v>
      </c>
      <c r="V54" s="993">
        <v>33</v>
      </c>
      <c r="W54" s="993">
        <v>34</v>
      </c>
      <c r="X54" s="993">
        <v>35</v>
      </c>
      <c r="Y54" s="716">
        <v>35</v>
      </c>
      <c r="Z54" s="716">
        <v>34</v>
      </c>
      <c r="AA54">
        <v>36</v>
      </c>
      <c r="AB54" s="716">
        <v>35</v>
      </c>
      <c r="AC54" s="1503">
        <v>34</v>
      </c>
      <c r="AD54" s="993">
        <v>35</v>
      </c>
      <c r="AE54" s="8"/>
      <c r="AF54" s="288">
        <f t="shared" si="5"/>
        <v>31.833333333333332</v>
      </c>
      <c r="AH54" s="1503">
        <v>39</v>
      </c>
      <c r="AI54" s="993">
        <v>37</v>
      </c>
      <c r="AJ54" s="716">
        <v>42</v>
      </c>
      <c r="AK54" s="993">
        <v>41</v>
      </c>
      <c r="AL54" s="716">
        <v>40</v>
      </c>
      <c r="AM54" s="716">
        <v>38</v>
      </c>
      <c r="AN54" s="716">
        <v>32</v>
      </c>
      <c r="AO54" s="716">
        <v>31</v>
      </c>
      <c r="AP54" s="716">
        <v>31</v>
      </c>
      <c r="AQ54" s="716">
        <v>28</v>
      </c>
      <c r="AR54" s="1503">
        <v>26</v>
      </c>
      <c r="AS54" s="993">
        <v>17</v>
      </c>
      <c r="AT54" s="8"/>
      <c r="AU54" s="288">
        <f t="shared" si="6"/>
        <v>33.5</v>
      </c>
      <c r="AW54" s="500">
        <f>AS54/$AS$52</f>
        <v>4.7619047619047616E-2</v>
      </c>
      <c r="AX54" s="1980">
        <v>5</v>
      </c>
      <c r="AY54" s="728">
        <f t="shared" si="14"/>
        <v>0.29411764705882354</v>
      </c>
      <c r="AZ54" s="1990">
        <v>45</v>
      </c>
      <c r="BA54" s="1991">
        <v>3.4315874294923443</v>
      </c>
    </row>
    <row r="55" spans="1:53" x14ac:dyDescent="0.55000000000000004">
      <c r="A55" s="7096"/>
      <c r="B55" s="30"/>
      <c r="C55" s="8" t="s">
        <v>19</v>
      </c>
      <c r="D55">
        <v>218</v>
      </c>
      <c r="E55">
        <v>206</v>
      </c>
      <c r="F55">
        <v>91</v>
      </c>
      <c r="G55">
        <v>205</v>
      </c>
      <c r="H55">
        <v>211</v>
      </c>
      <c r="I55">
        <v>208</v>
      </c>
      <c r="J55">
        <v>201</v>
      </c>
      <c r="K55">
        <v>205</v>
      </c>
      <c r="L55">
        <v>203</v>
      </c>
      <c r="M55">
        <v>200</v>
      </c>
      <c r="N55">
        <v>202</v>
      </c>
      <c r="O55">
        <v>220</v>
      </c>
      <c r="P55" s="8"/>
      <c r="Q55" s="1397">
        <f t="shared" si="15"/>
        <v>197.5</v>
      </c>
      <c r="S55" s="993">
        <v>214</v>
      </c>
      <c r="T55" s="993">
        <v>209</v>
      </c>
      <c r="U55" s="993">
        <v>209</v>
      </c>
      <c r="V55" s="993">
        <v>211</v>
      </c>
      <c r="W55" s="993">
        <v>207</v>
      </c>
      <c r="X55" s="993">
        <v>208</v>
      </c>
      <c r="Y55" s="716">
        <v>216</v>
      </c>
      <c r="Z55" s="716">
        <v>220</v>
      </c>
      <c r="AA55">
        <v>223</v>
      </c>
      <c r="AB55" s="716">
        <v>232</v>
      </c>
      <c r="AC55" s="1503">
        <v>226</v>
      </c>
      <c r="AD55" s="993">
        <v>235</v>
      </c>
      <c r="AE55" s="8"/>
      <c r="AF55" s="288">
        <f t="shared" si="5"/>
        <v>217.5</v>
      </c>
      <c r="AH55" s="1503">
        <v>234</v>
      </c>
      <c r="AI55" s="993">
        <v>228</v>
      </c>
      <c r="AJ55" s="716">
        <v>235</v>
      </c>
      <c r="AK55" s="993">
        <v>237</v>
      </c>
      <c r="AL55" s="716">
        <v>228</v>
      </c>
      <c r="AM55" s="716">
        <v>228</v>
      </c>
      <c r="AN55" s="716">
        <v>229</v>
      </c>
      <c r="AO55" s="716">
        <v>225</v>
      </c>
      <c r="AP55" s="716">
        <v>226</v>
      </c>
      <c r="AQ55" s="716">
        <v>224</v>
      </c>
      <c r="AR55" s="1503">
        <v>222</v>
      </c>
      <c r="AS55" s="993">
        <v>222</v>
      </c>
      <c r="AT55" s="8"/>
      <c r="AU55" s="288">
        <f t="shared" si="6"/>
        <v>228.16666666666666</v>
      </c>
      <c r="AW55" s="500">
        <f>AS55/$AS$52</f>
        <v>0.62184873949579833</v>
      </c>
      <c r="AX55" s="1980">
        <v>106</v>
      </c>
      <c r="AY55" s="728">
        <f t="shared" si="14"/>
        <v>0.47747747747747749</v>
      </c>
      <c r="AZ55" s="1990">
        <v>30.635135135135137</v>
      </c>
      <c r="BA55" s="1991">
        <v>4.3358879427372559</v>
      </c>
    </row>
    <row r="56" spans="1:53" x14ac:dyDescent="0.55000000000000004">
      <c r="A56" s="7096"/>
      <c r="B56" s="30"/>
      <c r="C56" s="8" t="s">
        <v>20</v>
      </c>
      <c r="D56">
        <v>89</v>
      </c>
      <c r="E56">
        <v>88</v>
      </c>
      <c r="F56">
        <v>201</v>
      </c>
      <c r="G56">
        <v>89</v>
      </c>
      <c r="H56">
        <v>86</v>
      </c>
      <c r="I56">
        <v>88</v>
      </c>
      <c r="J56">
        <v>85</v>
      </c>
      <c r="K56">
        <v>82</v>
      </c>
      <c r="L56">
        <v>83</v>
      </c>
      <c r="M56">
        <v>84</v>
      </c>
      <c r="N56">
        <v>85</v>
      </c>
      <c r="O56">
        <v>77</v>
      </c>
      <c r="P56" s="8"/>
      <c r="Q56" s="1397">
        <f t="shared" si="15"/>
        <v>94.75</v>
      </c>
      <c r="S56" s="993">
        <v>82</v>
      </c>
      <c r="T56" s="993">
        <v>85</v>
      </c>
      <c r="U56" s="993">
        <v>82</v>
      </c>
      <c r="V56" s="993">
        <v>81</v>
      </c>
      <c r="W56" s="993">
        <v>81</v>
      </c>
      <c r="X56" s="993">
        <v>82</v>
      </c>
      <c r="Y56" s="716">
        <v>76</v>
      </c>
      <c r="Z56" s="716">
        <v>78</v>
      </c>
      <c r="AA56">
        <v>76</v>
      </c>
      <c r="AB56" s="716">
        <v>78</v>
      </c>
      <c r="AC56" s="1503">
        <v>77</v>
      </c>
      <c r="AD56" s="993">
        <v>79</v>
      </c>
      <c r="AE56" s="8"/>
      <c r="AF56" s="288">
        <f t="shared" si="5"/>
        <v>79.75</v>
      </c>
      <c r="AH56" s="1503">
        <v>78</v>
      </c>
      <c r="AI56" s="993">
        <v>75</v>
      </c>
      <c r="AJ56" s="716">
        <v>78</v>
      </c>
      <c r="AK56" s="993">
        <v>77</v>
      </c>
      <c r="AL56" s="716">
        <v>74</v>
      </c>
      <c r="AM56" s="716">
        <v>76</v>
      </c>
      <c r="AN56" s="716">
        <v>70</v>
      </c>
      <c r="AO56" s="716">
        <v>64</v>
      </c>
      <c r="AP56" s="716">
        <v>61</v>
      </c>
      <c r="AQ56" s="716">
        <v>65</v>
      </c>
      <c r="AR56" s="1503">
        <v>74</v>
      </c>
      <c r="AS56" s="993">
        <v>76</v>
      </c>
      <c r="AT56" s="8"/>
      <c r="AU56" s="288">
        <f t="shared" si="6"/>
        <v>72.333333333333329</v>
      </c>
      <c r="AW56" s="500">
        <f>AS56/$AS$52</f>
        <v>0.21288515406162464</v>
      </c>
      <c r="AX56" s="1980">
        <v>33</v>
      </c>
      <c r="AY56" s="728">
        <f t="shared" si="14"/>
        <v>0.43421052631578949</v>
      </c>
      <c r="AZ56" s="1990">
        <v>33.763157894736842</v>
      </c>
      <c r="BA56" s="1991">
        <v>4.9164383561643836</v>
      </c>
    </row>
    <row r="57" spans="1:53" x14ac:dyDescent="0.55000000000000004">
      <c r="A57" s="7096"/>
      <c r="B57" s="104" t="s">
        <v>209</v>
      </c>
      <c r="C57" s="35"/>
      <c r="D57" s="1021">
        <v>7</v>
      </c>
      <c r="E57" s="1021">
        <v>7</v>
      </c>
      <c r="F57" s="1021">
        <v>7</v>
      </c>
      <c r="G57" s="1021">
        <v>7</v>
      </c>
      <c r="H57" s="1021">
        <v>7</v>
      </c>
      <c r="I57" s="1021">
        <v>7</v>
      </c>
      <c r="J57" s="1021">
        <v>7</v>
      </c>
      <c r="K57" s="1021">
        <v>7</v>
      </c>
      <c r="L57" s="1021">
        <v>7</v>
      </c>
      <c r="M57" s="1021">
        <v>7</v>
      </c>
      <c r="N57" s="1021">
        <v>7</v>
      </c>
      <c r="O57" s="1021">
        <v>7</v>
      </c>
      <c r="P57" s="35"/>
      <c r="Q57" s="1395">
        <f t="shared" si="15"/>
        <v>7</v>
      </c>
      <c r="S57" s="992">
        <v>7</v>
      </c>
      <c r="T57" s="992">
        <v>7</v>
      </c>
      <c r="U57" s="992">
        <v>7</v>
      </c>
      <c r="V57" s="992">
        <v>7</v>
      </c>
      <c r="W57" s="992">
        <v>7</v>
      </c>
      <c r="X57" s="992">
        <v>7</v>
      </c>
      <c r="Y57" s="715">
        <v>7</v>
      </c>
      <c r="Z57" s="715">
        <v>7</v>
      </c>
      <c r="AA57" s="715">
        <v>7</v>
      </c>
      <c r="AB57" s="715">
        <v>7</v>
      </c>
      <c r="AC57" s="715">
        <v>7</v>
      </c>
      <c r="AD57" s="992">
        <v>7</v>
      </c>
      <c r="AE57" s="35"/>
      <c r="AF57" s="1513">
        <f t="shared" si="5"/>
        <v>7</v>
      </c>
      <c r="AH57" s="1959">
        <v>2</v>
      </c>
      <c r="AI57" s="992">
        <v>2</v>
      </c>
      <c r="AJ57" s="715">
        <v>2</v>
      </c>
      <c r="AK57" s="992">
        <v>2</v>
      </c>
      <c r="AL57" s="715">
        <v>2</v>
      </c>
      <c r="AM57" s="715">
        <v>2</v>
      </c>
      <c r="AN57" s="715">
        <v>2</v>
      </c>
      <c r="AO57" s="715">
        <v>2</v>
      </c>
      <c r="AP57" s="715">
        <v>2</v>
      </c>
      <c r="AQ57" s="715">
        <v>2</v>
      </c>
      <c r="AR57" s="715">
        <v>2</v>
      </c>
      <c r="AS57" s="992">
        <v>2</v>
      </c>
      <c r="AT57" s="35"/>
      <c r="AU57" s="1513">
        <f t="shared" si="6"/>
        <v>2</v>
      </c>
      <c r="AW57" s="499">
        <f>AS57/$AS$4</f>
        <v>9.0909090909090909E-4</v>
      </c>
      <c r="AX57" s="1979">
        <v>1</v>
      </c>
      <c r="AY57" s="729">
        <f t="shared" si="14"/>
        <v>0.5</v>
      </c>
      <c r="AZ57" s="1988">
        <v>46</v>
      </c>
      <c r="BA57" s="1989">
        <v>17.954794520547942</v>
      </c>
    </row>
    <row r="58" spans="1:53" x14ac:dyDescent="0.55000000000000004">
      <c r="A58" s="7096"/>
      <c r="B58" s="2260" t="s">
        <v>210</v>
      </c>
      <c r="C58" s="35"/>
      <c r="D58" s="35">
        <v>129</v>
      </c>
      <c r="E58" s="35">
        <v>130</v>
      </c>
      <c r="F58" s="35">
        <v>129</v>
      </c>
      <c r="G58" s="35">
        <v>126</v>
      </c>
      <c r="H58" s="35">
        <v>122</v>
      </c>
      <c r="I58" s="35">
        <v>119</v>
      </c>
      <c r="J58" s="35">
        <v>118</v>
      </c>
      <c r="K58" s="35">
        <v>115</v>
      </c>
      <c r="L58" s="35">
        <v>114</v>
      </c>
      <c r="M58" s="35">
        <v>112</v>
      </c>
      <c r="N58" s="35">
        <v>110</v>
      </c>
      <c r="O58" s="35">
        <v>108</v>
      </c>
      <c r="P58" s="35"/>
      <c r="Q58" s="1395">
        <f t="shared" ref="Q58" si="28">AVERAGE(D58:O58)</f>
        <v>119.33333333333333</v>
      </c>
      <c r="R58" s="1"/>
      <c r="S58" s="992">
        <v>82</v>
      </c>
      <c r="T58" s="992">
        <v>80</v>
      </c>
      <c r="U58" s="992">
        <v>88</v>
      </c>
      <c r="V58" s="992">
        <v>80</v>
      </c>
      <c r="W58" s="992">
        <v>88</v>
      </c>
      <c r="X58" s="992">
        <v>95</v>
      </c>
      <c r="Y58" s="992">
        <v>93</v>
      </c>
      <c r="Z58" s="992">
        <v>93</v>
      </c>
      <c r="AA58" s="992">
        <v>83</v>
      </c>
      <c r="AB58" s="992">
        <v>87</v>
      </c>
      <c r="AC58" s="992">
        <v>87</v>
      </c>
      <c r="AD58" s="992">
        <v>84</v>
      </c>
      <c r="AE58" s="35"/>
      <c r="AF58" s="1513">
        <f t="shared" ref="AF58" si="29">AVERAGE(S58:AE58)</f>
        <v>86.666666666666671</v>
      </c>
      <c r="AG58" s="1"/>
      <c r="AH58" s="2261">
        <v>100</v>
      </c>
      <c r="AI58" s="992">
        <v>105</v>
      </c>
      <c r="AJ58" s="992">
        <v>100</v>
      </c>
      <c r="AK58" s="992">
        <v>113</v>
      </c>
      <c r="AL58" s="715">
        <v>124</v>
      </c>
      <c r="AM58" s="715">
        <v>120</v>
      </c>
      <c r="AN58" s="715">
        <v>124</v>
      </c>
      <c r="AO58" s="715">
        <v>116</v>
      </c>
      <c r="AP58" s="992">
        <v>118</v>
      </c>
      <c r="AQ58" s="992">
        <v>117</v>
      </c>
      <c r="AR58" s="992">
        <v>115</v>
      </c>
      <c r="AS58" s="992">
        <v>118</v>
      </c>
      <c r="AT58" s="35"/>
      <c r="AU58" s="1513">
        <f t="shared" ref="AU58:AU60" si="30">AVERAGE(AH58:AT58)</f>
        <v>114.16666666666667</v>
      </c>
      <c r="AV58" s="1"/>
      <c r="AW58" s="2262">
        <f>AS58/$AS$4</f>
        <v>5.3636363636363635E-2</v>
      </c>
      <c r="AX58" s="1979">
        <v>71</v>
      </c>
      <c r="AY58" s="729">
        <f t="shared" si="14"/>
        <v>0.60169491525423724</v>
      </c>
      <c r="AZ58" s="1988">
        <v>34.698275862068968</v>
      </c>
      <c r="BA58" s="1989">
        <v>7.4066131317902677</v>
      </c>
    </row>
    <row r="59" spans="1:53" x14ac:dyDescent="0.55000000000000004">
      <c r="A59" s="7096"/>
      <c r="B59" s="2260" t="s">
        <v>1158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1395"/>
      <c r="R59" s="1"/>
      <c r="S59" s="992"/>
      <c r="T59" s="992"/>
      <c r="U59" s="992"/>
      <c r="V59" s="992"/>
      <c r="W59" s="992"/>
      <c r="X59" s="992"/>
      <c r="Y59" s="992"/>
      <c r="Z59" s="992"/>
      <c r="AA59" s="992"/>
      <c r="AB59" s="992"/>
      <c r="AC59" s="992"/>
      <c r="AD59" s="992"/>
      <c r="AE59" s="35"/>
      <c r="AF59" s="1513"/>
      <c r="AG59" s="1"/>
      <c r="AH59" s="2261"/>
      <c r="AI59" s="992"/>
      <c r="AJ59" s="992"/>
      <c r="AK59" s="992">
        <v>3</v>
      </c>
      <c r="AL59" s="715">
        <v>2</v>
      </c>
      <c r="AM59" s="715">
        <v>1</v>
      </c>
      <c r="AN59" s="715">
        <v>1</v>
      </c>
      <c r="AO59" s="715">
        <v>1</v>
      </c>
      <c r="AP59" s="992">
        <v>1</v>
      </c>
      <c r="AQ59" s="992">
        <v>2</v>
      </c>
      <c r="AR59" s="992">
        <v>1</v>
      </c>
      <c r="AS59" s="992">
        <v>7</v>
      </c>
      <c r="AT59" s="35"/>
      <c r="AU59" s="1513">
        <f t="shared" si="30"/>
        <v>2.1111111111111112</v>
      </c>
      <c r="AV59" s="1"/>
      <c r="AW59" s="2262">
        <f>AS59/$AS$4</f>
        <v>3.1818181818181819E-3</v>
      </c>
      <c r="AX59" s="1979">
        <v>3</v>
      </c>
      <c r="AY59" s="729">
        <f t="shared" si="14"/>
        <v>0.42857142857142855</v>
      </c>
      <c r="AZ59" s="1988">
        <v>31.571428571428573</v>
      </c>
      <c r="BA59" s="1989">
        <v>5.5409001956947161</v>
      </c>
    </row>
    <row r="60" spans="1:53" ht="18" thickBot="1" x14ac:dyDescent="0.6">
      <c r="A60" s="7472"/>
      <c r="B60" s="2257" t="s">
        <v>1159</v>
      </c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398"/>
      <c r="R60" s="710"/>
      <c r="S60" s="717"/>
      <c r="T60" s="717"/>
      <c r="U60" s="717"/>
      <c r="V60" s="717"/>
      <c r="W60" s="717"/>
      <c r="X60" s="717"/>
      <c r="Y60" s="717"/>
      <c r="Z60" s="717"/>
      <c r="AA60" s="717"/>
      <c r="AB60" s="717"/>
      <c r="AC60" s="717"/>
      <c r="AD60" s="717"/>
      <c r="AE60" s="106"/>
      <c r="AF60" s="1514"/>
      <c r="AG60" s="710"/>
      <c r="AH60" s="2258"/>
      <c r="AI60" s="717"/>
      <c r="AJ60" s="717"/>
      <c r="AK60" s="717"/>
      <c r="AL60" s="717"/>
      <c r="AM60" s="717"/>
      <c r="AN60" s="717"/>
      <c r="AO60" s="717">
        <v>11</v>
      </c>
      <c r="AP60" s="717">
        <v>11</v>
      </c>
      <c r="AQ60" s="717"/>
      <c r="AR60" s="717"/>
      <c r="AS60" s="717"/>
      <c r="AT60" s="106"/>
      <c r="AU60" s="1514">
        <f t="shared" si="30"/>
        <v>11</v>
      </c>
      <c r="AW60" s="2259">
        <f>AK60/$AS$4</f>
        <v>0</v>
      </c>
      <c r="AX60" s="1983"/>
      <c r="AY60" s="730"/>
      <c r="AZ60" s="1997"/>
      <c r="BA60" s="1998"/>
    </row>
    <row r="61" spans="1:53" ht="18" thickBot="1" x14ac:dyDescent="0.6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1506"/>
      <c r="AD61" s="4"/>
      <c r="AE61" s="4"/>
      <c r="AF61" s="1515"/>
      <c r="AH61" s="6984"/>
      <c r="AI61" s="6985">
        <f t="shared" ref="AI61:AS61" si="31">(AI6+AI12+AI20)-(AH6+AH12+AH20)</f>
        <v>-5</v>
      </c>
      <c r="AJ61" s="6983">
        <f t="shared" si="31"/>
        <v>12</v>
      </c>
      <c r="AK61" s="6983">
        <f t="shared" si="31"/>
        <v>7</v>
      </c>
      <c r="AL61" s="6983">
        <f t="shared" si="31"/>
        <v>-4</v>
      </c>
      <c r="AM61" s="6983">
        <f t="shared" si="31"/>
        <v>-14</v>
      </c>
      <c r="AN61" s="6983">
        <f t="shared" si="31"/>
        <v>-24</v>
      </c>
      <c r="AO61" s="6983">
        <f t="shared" si="31"/>
        <v>-15</v>
      </c>
      <c r="AP61" s="6983">
        <f t="shared" si="31"/>
        <v>-5</v>
      </c>
      <c r="AQ61" s="6983">
        <f t="shared" si="31"/>
        <v>-23</v>
      </c>
      <c r="AR61" s="6983">
        <f t="shared" si="31"/>
        <v>3</v>
      </c>
      <c r="AS61" s="6983">
        <f t="shared" si="31"/>
        <v>9</v>
      </c>
      <c r="AT61" s="4"/>
      <c r="AU61" s="1515"/>
      <c r="AX61" s="2144" t="s">
        <v>463</v>
      </c>
      <c r="AY61" s="2144" t="s">
        <v>1095</v>
      </c>
      <c r="AZ61" s="2216" t="s">
        <v>1096</v>
      </c>
      <c r="BA61" s="2144" t="s">
        <v>776</v>
      </c>
    </row>
    <row r="62" spans="1:53" x14ac:dyDescent="0.55000000000000004">
      <c r="A62" s="7474" t="s">
        <v>1060</v>
      </c>
      <c r="B62" s="7480" t="s">
        <v>1056</v>
      </c>
      <c r="C62" s="7481"/>
      <c r="D62" s="1744">
        <v>4</v>
      </c>
      <c r="E62" s="1745">
        <v>-16</v>
      </c>
      <c r="F62" s="1745">
        <v>-10</v>
      </c>
      <c r="G62" s="1745">
        <v>-4</v>
      </c>
      <c r="H62" s="1745">
        <v>1</v>
      </c>
      <c r="I62" s="1745">
        <v>-25</v>
      </c>
      <c r="J62" s="1745">
        <v>-7</v>
      </c>
      <c r="K62" s="1745">
        <v>-12</v>
      </c>
      <c r="L62" s="1745">
        <v>-12</v>
      </c>
      <c r="M62" s="1745">
        <v>-6</v>
      </c>
      <c r="N62" s="1745">
        <v>8</v>
      </c>
      <c r="O62" s="1745">
        <v>2</v>
      </c>
      <c r="P62" s="1745">
        <v>-77</v>
      </c>
      <c r="Q62" s="1864">
        <f>AVERAGE(D62:O62)</f>
        <v>-6.416666666666667</v>
      </c>
      <c r="S62" s="1749">
        <v>3</v>
      </c>
      <c r="T62" s="1745">
        <v>6</v>
      </c>
      <c r="U62" s="1745">
        <v>9</v>
      </c>
      <c r="V62" s="1745">
        <v>29</v>
      </c>
      <c r="W62" s="1745">
        <v>4</v>
      </c>
      <c r="X62" s="1745">
        <v>-15</v>
      </c>
      <c r="Y62" s="1745">
        <v>27</v>
      </c>
      <c r="Z62" s="1745">
        <v>-16</v>
      </c>
      <c r="AA62" s="1745">
        <v>28</v>
      </c>
      <c r="AB62" s="1745">
        <v>26</v>
      </c>
      <c r="AC62" s="1745">
        <v>15</v>
      </c>
      <c r="AD62" s="1745">
        <v>31</v>
      </c>
      <c r="AE62" s="1745">
        <v>147</v>
      </c>
      <c r="AF62" s="1747">
        <v>12.25</v>
      </c>
      <c r="AH62" s="1961">
        <v>31</v>
      </c>
      <c r="AI62" s="1745">
        <v>-4</v>
      </c>
      <c r="AJ62" s="1745">
        <v>12</v>
      </c>
      <c r="AK62" s="1745">
        <v>7</v>
      </c>
      <c r="AL62" s="1745">
        <v>-4</v>
      </c>
      <c r="AM62" s="1745">
        <v>-14</v>
      </c>
      <c r="AN62" s="1745">
        <v>-24</v>
      </c>
      <c r="AO62" s="1745">
        <v>-15</v>
      </c>
      <c r="AP62" s="1745">
        <v>-5</v>
      </c>
      <c r="AQ62" s="1745">
        <v>-23</v>
      </c>
      <c r="AR62" s="1745">
        <v>3</v>
      </c>
      <c r="AS62" s="1745">
        <v>9</v>
      </c>
      <c r="AT62" s="1745"/>
      <c r="AU62" s="1747">
        <f>AVERAGE(AH62:AS62)</f>
        <v>-2.25</v>
      </c>
      <c r="AW62" s="1740"/>
      <c r="AX62" s="1741">
        <f t="shared" ref="AX62:AX85" si="32">HLOOKUP($A$1,$AH$2:$AT$502,ROW()-1,0)-HLOOKUP($A$1,$S$2:$AD$502,ROW()-1,0)</f>
        <v>-22</v>
      </c>
      <c r="AY62" s="1741">
        <f>AU62-AF62</f>
        <v>-14.5</v>
      </c>
      <c r="AZ62" s="1742">
        <f>AU62-AVERAGE(S62:AD62)</f>
        <v>-14.5</v>
      </c>
      <c r="BA62" s="1743">
        <f t="shared" ref="BA62:BA85" si="33">HLOOKUP($A$1,$AH$2:$AT$502,ROW()-1,0)-HLOOKUP($B$1,$AH$2:$AT$502,ROW()-1,0)</f>
        <v>6</v>
      </c>
    </row>
    <row r="63" spans="1:53" x14ac:dyDescent="0.55000000000000004">
      <c r="A63" s="7475"/>
      <c r="B63" s="7482" t="s">
        <v>1057</v>
      </c>
      <c r="C63" s="7482"/>
      <c r="D63" s="1746">
        <v>0</v>
      </c>
      <c r="E63" s="2158">
        <v>-2</v>
      </c>
      <c r="F63" s="2158">
        <v>-1</v>
      </c>
      <c r="G63" s="2158">
        <v>1</v>
      </c>
      <c r="H63" s="2158">
        <v>0</v>
      </c>
      <c r="I63" s="2158">
        <v>-2</v>
      </c>
      <c r="J63" s="2158">
        <v>9</v>
      </c>
      <c r="K63" s="2158">
        <v>0</v>
      </c>
      <c r="L63" s="2158">
        <v>0</v>
      </c>
      <c r="M63" s="2158">
        <v>-1</v>
      </c>
      <c r="N63" s="2158">
        <v>-1</v>
      </c>
      <c r="O63" s="2158">
        <v>-3</v>
      </c>
      <c r="P63" s="2168">
        <v>0</v>
      </c>
      <c r="Q63" s="2169">
        <f>AVERAGE(D63:O63)</f>
        <v>0</v>
      </c>
      <c r="S63" s="1746">
        <v>0</v>
      </c>
      <c r="T63" s="2158">
        <v>-3</v>
      </c>
      <c r="U63" s="2158">
        <v>0</v>
      </c>
      <c r="V63" s="2158">
        <v>-2</v>
      </c>
      <c r="W63" s="2158">
        <v>0</v>
      </c>
      <c r="X63" s="2158">
        <v>13</v>
      </c>
      <c r="Y63" s="2158">
        <v>-1</v>
      </c>
      <c r="Z63" s="2158">
        <v>0</v>
      </c>
      <c r="AA63" s="2158">
        <v>0</v>
      </c>
      <c r="AB63" s="2158">
        <v>1</v>
      </c>
      <c r="AC63" s="2158">
        <v>-1</v>
      </c>
      <c r="AD63" s="2158">
        <v>-3</v>
      </c>
      <c r="AE63" s="2168">
        <v>4</v>
      </c>
      <c r="AF63" s="1748">
        <v>0.33333333333333331</v>
      </c>
      <c r="AH63" s="1962">
        <v>0</v>
      </c>
      <c r="AI63" s="2158">
        <v>3</v>
      </c>
      <c r="AJ63" s="2158">
        <v>-2</v>
      </c>
      <c r="AK63" s="2158">
        <v>0</v>
      </c>
      <c r="AL63" s="2158">
        <v>0</v>
      </c>
      <c r="AM63" s="2158">
        <v>0</v>
      </c>
      <c r="AN63" s="2158">
        <v>-1</v>
      </c>
      <c r="AO63" s="2158">
        <v>10</v>
      </c>
      <c r="AP63" s="2158">
        <v>-1</v>
      </c>
      <c r="AQ63" s="2158">
        <v>0</v>
      </c>
      <c r="AR63" s="2158">
        <v>0</v>
      </c>
      <c r="AS63" s="2158">
        <v>-5</v>
      </c>
      <c r="AT63" s="2168"/>
      <c r="AU63" s="1748">
        <f t="shared" ref="AU63:AU101" si="34">AVERAGE(AH63:AS63)</f>
        <v>0.33333333333333331</v>
      </c>
      <c r="AW63" s="1731"/>
      <c r="AX63" s="2143">
        <f t="shared" si="32"/>
        <v>-2</v>
      </c>
      <c r="AY63" s="1683">
        <f t="shared" ref="AX63:AY101" si="35">AU63-AF63</f>
        <v>0</v>
      </c>
      <c r="AZ63" s="1684">
        <f t="shared" ref="AZ63:AZ79" si="36">AU63-AVERAGE(S63:AD63)</f>
        <v>0</v>
      </c>
      <c r="BA63" s="1732">
        <f t="shared" si="33"/>
        <v>-5</v>
      </c>
    </row>
    <row r="64" spans="1:53" x14ac:dyDescent="0.55000000000000004">
      <c r="A64" s="7475"/>
      <c r="B64" s="7482" t="s">
        <v>1058</v>
      </c>
      <c r="C64" s="7482"/>
      <c r="D64" s="1746">
        <v>4</v>
      </c>
      <c r="E64" s="2158">
        <v>-11</v>
      </c>
      <c r="F64" s="2158">
        <v>-8</v>
      </c>
      <c r="G64" s="2158">
        <v>-6</v>
      </c>
      <c r="H64" s="2158">
        <v>2</v>
      </c>
      <c r="I64" s="2158">
        <v>-23</v>
      </c>
      <c r="J64" s="2158">
        <v>-14</v>
      </c>
      <c r="K64" s="2158">
        <v>-8</v>
      </c>
      <c r="L64" s="2158">
        <v>-15</v>
      </c>
      <c r="M64" s="2158">
        <v>-4</v>
      </c>
      <c r="N64" s="2158">
        <v>9</v>
      </c>
      <c r="O64" s="2158">
        <v>3</v>
      </c>
      <c r="P64" s="2168">
        <v>-71</v>
      </c>
      <c r="Q64" s="2169">
        <f>AVERAGE(D64:O64)</f>
        <v>-5.916666666666667</v>
      </c>
      <c r="S64" s="1746">
        <v>-2</v>
      </c>
      <c r="T64" s="2158">
        <v>10</v>
      </c>
      <c r="U64" s="2158">
        <v>12</v>
      </c>
      <c r="V64" s="2158">
        <v>34</v>
      </c>
      <c r="W64" s="2158">
        <v>5</v>
      </c>
      <c r="X64" s="2158">
        <v>-11</v>
      </c>
      <c r="Y64" s="2158">
        <v>18</v>
      </c>
      <c r="Z64" s="2158">
        <v>-6</v>
      </c>
      <c r="AA64" s="2158">
        <v>24</v>
      </c>
      <c r="AB64" s="2158">
        <v>32</v>
      </c>
      <c r="AC64" s="2158">
        <v>5</v>
      </c>
      <c r="AD64" s="2158">
        <v>24</v>
      </c>
      <c r="AE64" s="2168">
        <v>145</v>
      </c>
      <c r="AF64" s="1748">
        <v>12.083333333333334</v>
      </c>
      <c r="AH64" s="1962">
        <v>25</v>
      </c>
      <c r="AI64" s="2158">
        <v>-11</v>
      </c>
      <c r="AJ64" s="2158">
        <v>7</v>
      </c>
      <c r="AK64" s="2158">
        <v>-3</v>
      </c>
      <c r="AL64" s="2158">
        <v>-7</v>
      </c>
      <c r="AM64" s="2158">
        <v>-15</v>
      </c>
      <c r="AN64" s="2158">
        <v>-26</v>
      </c>
      <c r="AO64" s="2158">
        <v>-24</v>
      </c>
      <c r="AP64" s="2158">
        <v>-3</v>
      </c>
      <c r="AQ64" s="2158">
        <v>-21</v>
      </c>
      <c r="AR64" s="2158">
        <v>3</v>
      </c>
      <c r="AS64" s="2158">
        <v>15</v>
      </c>
      <c r="AT64" s="2168"/>
      <c r="AU64" s="1748">
        <f t="shared" si="34"/>
        <v>-5</v>
      </c>
      <c r="AW64" s="1731"/>
      <c r="AX64" s="1683">
        <f t="shared" si="32"/>
        <v>-9</v>
      </c>
      <c r="AY64" s="1683">
        <f t="shared" si="35"/>
        <v>-17.083333333333336</v>
      </c>
      <c r="AZ64" s="1684">
        <f t="shared" si="36"/>
        <v>-17.083333333333336</v>
      </c>
      <c r="BA64" s="1732">
        <f t="shared" si="33"/>
        <v>12</v>
      </c>
    </row>
    <row r="65" spans="1:53" x14ac:dyDescent="0.55000000000000004">
      <c r="A65" s="7475"/>
      <c r="B65" s="7483" t="s">
        <v>1059</v>
      </c>
      <c r="C65" s="7483"/>
      <c r="D65" s="1746">
        <v>0</v>
      </c>
      <c r="E65" s="2158">
        <v>-3</v>
      </c>
      <c r="F65" s="2158">
        <v>-1</v>
      </c>
      <c r="G65" s="2158">
        <v>1</v>
      </c>
      <c r="H65" s="2158">
        <v>-1</v>
      </c>
      <c r="I65" s="2158">
        <v>0</v>
      </c>
      <c r="J65" s="2158">
        <v>-2</v>
      </c>
      <c r="K65" s="2158">
        <v>-4</v>
      </c>
      <c r="L65" s="2158">
        <v>3</v>
      </c>
      <c r="M65" s="2158">
        <v>-1</v>
      </c>
      <c r="N65" s="2158">
        <v>0</v>
      </c>
      <c r="O65" s="2158">
        <v>2</v>
      </c>
      <c r="P65" s="2168">
        <v>-6</v>
      </c>
      <c r="Q65" s="2169">
        <f>AVERAGE(D65:O65)</f>
        <v>-0.5</v>
      </c>
      <c r="S65" s="1746">
        <v>5</v>
      </c>
      <c r="T65" s="2158">
        <v>-1</v>
      </c>
      <c r="U65" s="2158">
        <v>-3</v>
      </c>
      <c r="V65" s="2158">
        <v>-3</v>
      </c>
      <c r="W65" s="2158">
        <v>-1</v>
      </c>
      <c r="X65" s="2158">
        <v>-17</v>
      </c>
      <c r="Y65" s="2158">
        <v>10</v>
      </c>
      <c r="Z65" s="2158">
        <v>-10</v>
      </c>
      <c r="AA65" s="2158">
        <v>4</v>
      </c>
      <c r="AB65" s="2158">
        <v>-7</v>
      </c>
      <c r="AC65" s="2158">
        <v>11</v>
      </c>
      <c r="AD65" s="2158">
        <v>10</v>
      </c>
      <c r="AE65" s="2168">
        <v>-2</v>
      </c>
      <c r="AF65" s="1748">
        <v>-0.16666666666666666</v>
      </c>
      <c r="AH65" s="1962">
        <v>6</v>
      </c>
      <c r="AI65" s="2158">
        <v>4</v>
      </c>
      <c r="AJ65" s="2158">
        <v>7</v>
      </c>
      <c r="AK65" s="2158">
        <v>10</v>
      </c>
      <c r="AL65" s="2158">
        <v>3</v>
      </c>
      <c r="AM65" s="2158">
        <v>1</v>
      </c>
      <c r="AN65" s="2158">
        <v>3</v>
      </c>
      <c r="AO65" s="2158">
        <v>-1</v>
      </c>
      <c r="AP65" s="2158">
        <v>-1</v>
      </c>
      <c r="AQ65" s="2158">
        <v>-2</v>
      </c>
      <c r="AR65" s="2158">
        <v>0</v>
      </c>
      <c r="AS65" s="2158">
        <v>-1</v>
      </c>
      <c r="AT65" s="2168"/>
      <c r="AU65" s="1748">
        <f t="shared" si="34"/>
        <v>2.4166666666666665</v>
      </c>
      <c r="AW65" s="1733"/>
      <c r="AX65" s="1685">
        <f t="shared" si="32"/>
        <v>-11</v>
      </c>
      <c r="AY65" s="1685">
        <f t="shared" si="35"/>
        <v>2.583333333333333</v>
      </c>
      <c r="AZ65" s="1686">
        <f t="shared" si="36"/>
        <v>2.583333333333333</v>
      </c>
      <c r="BA65" s="1734">
        <f t="shared" si="33"/>
        <v>-1</v>
      </c>
    </row>
    <row r="66" spans="1:53" ht="16.5" customHeight="1" x14ac:dyDescent="0.55000000000000004">
      <c r="A66" s="7476" t="s">
        <v>1066</v>
      </c>
      <c r="B66" s="7478" t="s">
        <v>1072</v>
      </c>
      <c r="C66" s="7479"/>
      <c r="D66" s="1783">
        <v>50</v>
      </c>
      <c r="E66" s="1784">
        <v>53</v>
      </c>
      <c r="F66" s="1784">
        <v>54</v>
      </c>
      <c r="G66" s="1784">
        <v>58</v>
      </c>
      <c r="H66" s="1784">
        <v>50</v>
      </c>
      <c r="I66" s="1784">
        <v>42</v>
      </c>
      <c r="J66" s="1784">
        <v>53</v>
      </c>
      <c r="K66" s="1784">
        <v>40</v>
      </c>
      <c r="L66" s="1784">
        <v>34</v>
      </c>
      <c r="M66" s="1784">
        <v>54</v>
      </c>
      <c r="N66" s="1784">
        <v>46</v>
      </c>
      <c r="O66" s="1784">
        <v>40</v>
      </c>
      <c r="P66" s="1784">
        <f>SUM(D66:O66)</f>
        <v>574</v>
      </c>
      <c r="Q66" s="1784">
        <v>47.833333333333336</v>
      </c>
      <c r="S66" s="1783">
        <v>67</v>
      </c>
      <c r="T66" s="1784">
        <v>62</v>
      </c>
      <c r="U66" s="1784">
        <v>66</v>
      </c>
      <c r="V66" s="1784">
        <v>97</v>
      </c>
      <c r="W66" s="1784">
        <v>56</v>
      </c>
      <c r="X66" s="1784">
        <v>66</v>
      </c>
      <c r="Y66" s="1784">
        <v>92</v>
      </c>
      <c r="Z66" s="1784">
        <v>58</v>
      </c>
      <c r="AA66" s="1784">
        <v>93</v>
      </c>
      <c r="AB66" s="1784">
        <v>79</v>
      </c>
      <c r="AC66" s="1784">
        <v>82</v>
      </c>
      <c r="AD66" s="1784">
        <v>87</v>
      </c>
      <c r="AE66" s="1784">
        <v>905</v>
      </c>
      <c r="AF66" s="1784">
        <v>75.416666666666671</v>
      </c>
      <c r="AH66" s="1963">
        <v>65</v>
      </c>
      <c r="AI66" s="1784">
        <v>55</v>
      </c>
      <c r="AJ66" s="1784">
        <v>71</v>
      </c>
      <c r="AK66" s="1784">
        <v>49</v>
      </c>
      <c r="AL66" s="1784">
        <v>38</v>
      </c>
      <c r="AM66" s="1784">
        <v>30</v>
      </c>
      <c r="AN66" s="1784">
        <v>27</v>
      </c>
      <c r="AO66" s="1784">
        <v>45</v>
      </c>
      <c r="AP66" s="1784">
        <v>39</v>
      </c>
      <c r="AQ66" s="1784">
        <v>26</v>
      </c>
      <c r="AR66" s="1784">
        <v>44</v>
      </c>
      <c r="AS66" s="1784">
        <v>41</v>
      </c>
      <c r="AT66" s="1784"/>
      <c r="AU66" s="1784">
        <f t="shared" si="34"/>
        <v>44.166666666666664</v>
      </c>
      <c r="AW66" s="1757"/>
      <c r="AX66" s="1753">
        <f t="shared" si="32"/>
        <v>-46</v>
      </c>
      <c r="AY66" s="1753">
        <f t="shared" si="35"/>
        <v>-31.250000000000007</v>
      </c>
      <c r="AZ66" s="1754">
        <f t="shared" si="36"/>
        <v>-31.250000000000007</v>
      </c>
      <c r="BA66" s="1758">
        <f t="shared" si="33"/>
        <v>-3</v>
      </c>
    </row>
    <row r="67" spans="1:53" ht="16.5" customHeight="1" x14ac:dyDescent="0.55000000000000004">
      <c r="A67" s="7475"/>
      <c r="B67" s="1771" t="s">
        <v>1071</v>
      </c>
      <c r="C67" s="1772"/>
      <c r="D67" s="1773">
        <v>2.35626767200754E-2</v>
      </c>
      <c r="E67" s="1774">
        <v>2.5166191832858498E-2</v>
      </c>
      <c r="F67" s="1774">
        <v>2.5763358778625955E-2</v>
      </c>
      <c r="G67" s="1774">
        <v>2.7724665391969407E-2</v>
      </c>
      <c r="H67" s="1774">
        <v>2.3889154323936932E-2</v>
      </c>
      <c r="I67" s="1774">
        <v>2.0309477756286266E-2</v>
      </c>
      <c r="J67" s="1774">
        <v>2.5715672003881612E-2</v>
      </c>
      <c r="K67" s="1774">
        <v>1.9521717911176184E-2</v>
      </c>
      <c r="L67" s="1774">
        <v>1.6691212567501227E-2</v>
      </c>
      <c r="M67" s="1774">
        <v>2.6587887740029542E-2</v>
      </c>
      <c r="N67" s="1774">
        <v>2.2560078469838155E-2</v>
      </c>
      <c r="O67" s="1774">
        <v>1.9598236158745713E-2</v>
      </c>
      <c r="P67" s="1774"/>
      <c r="Q67" s="1774">
        <v>2.3090860804577076E-2</v>
      </c>
      <c r="S67" s="1773">
        <v>3.2810969637610189E-2</v>
      </c>
      <c r="T67" s="1774">
        <v>3.02734375E-2</v>
      </c>
      <c r="U67" s="1774">
        <v>3.2085561497326207E-2</v>
      </c>
      <c r="V67" s="1774">
        <v>4.6500479386385428E-2</v>
      </c>
      <c r="W67" s="1774">
        <v>2.6781444285031087E-2</v>
      </c>
      <c r="X67" s="1774">
        <v>3.1503579952267304E-2</v>
      </c>
      <c r="Y67" s="1774">
        <v>4.3767840152235969E-2</v>
      </c>
      <c r="Z67" s="1774">
        <v>2.7592768791627021E-2</v>
      </c>
      <c r="AA67" s="1774">
        <v>4.3992431409649951E-2</v>
      </c>
      <c r="AB67" s="1774">
        <v>3.6915887850467288E-2</v>
      </c>
      <c r="AC67" s="1774">
        <v>3.8051044083526685E-2</v>
      </c>
      <c r="AD67" s="1774">
        <v>3.9798719121683437E-2</v>
      </c>
      <c r="AE67" s="1774"/>
      <c r="AF67" s="1774">
        <v>3.5839513638984209E-2</v>
      </c>
      <c r="AH67" s="1964">
        <v>2.9318899413622011E-2</v>
      </c>
      <c r="AI67" s="1774">
        <v>2.4853140533212834E-2</v>
      </c>
      <c r="AJ67" s="1774">
        <v>3.191011235955056E-2</v>
      </c>
      <c r="AK67" s="1774">
        <v>2.1953405017921146E-2</v>
      </c>
      <c r="AL67" s="1774">
        <v>1.7055655296229804E-2</v>
      </c>
      <c r="AM67" s="1774">
        <v>1.3550135501355014E-2</v>
      </c>
      <c r="AN67" s="1774">
        <v>1.2328767123287671E-2</v>
      </c>
      <c r="AO67" s="1774">
        <v>2.0689655172413793E-2</v>
      </c>
      <c r="AP67" s="1774">
        <v>1.7972350230414748E-2</v>
      </c>
      <c r="AQ67" s="1774">
        <v>1.2109920819748486E-2</v>
      </c>
      <c r="AR67" s="1774">
        <v>2.0465116279069766E-2</v>
      </c>
      <c r="AS67" s="1774">
        <v>1.8990273274664196E-2</v>
      </c>
      <c r="AT67" s="1774"/>
      <c r="AU67" s="1774">
        <f t="shared" si="34"/>
        <v>2.0099785918457503E-2</v>
      </c>
      <c r="AW67" s="1759"/>
      <c r="AX67" s="1755">
        <f t="shared" si="32"/>
        <v>-2.0808445847019241E-2</v>
      </c>
      <c r="AY67" s="1755">
        <f t="shared" si="35"/>
        <v>-1.5739727720526706E-2</v>
      </c>
      <c r="AZ67" s="1756">
        <f t="shared" si="36"/>
        <v>-1.5739727720526706E-2</v>
      </c>
      <c r="BA67" s="1760">
        <f t="shared" si="33"/>
        <v>-1.4748430044055696E-3</v>
      </c>
    </row>
    <row r="68" spans="1:53" x14ac:dyDescent="0.55000000000000004">
      <c r="A68" s="7475"/>
      <c r="B68" s="1761" t="s">
        <v>1057</v>
      </c>
      <c r="C68" s="1762"/>
      <c r="D68" s="1863">
        <v>0</v>
      </c>
      <c r="E68" s="2170">
        <v>0</v>
      </c>
      <c r="F68" s="2170">
        <v>0</v>
      </c>
      <c r="G68" s="2170">
        <v>1</v>
      </c>
      <c r="H68" s="2170">
        <v>1</v>
      </c>
      <c r="I68" s="2170">
        <v>0</v>
      </c>
      <c r="J68" s="2170">
        <v>10</v>
      </c>
      <c r="K68" s="2170">
        <v>0</v>
      </c>
      <c r="L68" s="2170">
        <v>0</v>
      </c>
      <c r="M68" s="2170">
        <v>0</v>
      </c>
      <c r="N68" s="2170">
        <v>0</v>
      </c>
      <c r="O68" s="2170">
        <v>1</v>
      </c>
      <c r="P68" s="2171">
        <f>SUM(D68:O68)</f>
        <v>13</v>
      </c>
      <c r="Q68" s="2172">
        <v>1.0833333333333333</v>
      </c>
      <c r="S68" s="1863">
        <v>1</v>
      </c>
      <c r="T68" s="2170">
        <v>0</v>
      </c>
      <c r="U68" s="2170">
        <v>1</v>
      </c>
      <c r="V68" s="2170">
        <v>0</v>
      </c>
      <c r="W68" s="2170">
        <v>0</v>
      </c>
      <c r="X68" s="2170">
        <v>14</v>
      </c>
      <c r="Y68" s="2170">
        <v>0</v>
      </c>
      <c r="Z68" s="2170">
        <v>0</v>
      </c>
      <c r="AA68" s="2170">
        <v>0</v>
      </c>
      <c r="AB68" s="2170">
        <v>1</v>
      </c>
      <c r="AC68" s="2170">
        <v>0</v>
      </c>
      <c r="AD68" s="2170">
        <v>0</v>
      </c>
      <c r="AE68" s="2171">
        <v>17</v>
      </c>
      <c r="AF68" s="2172">
        <v>1.4166666666666667</v>
      </c>
      <c r="AH68" s="1965">
        <v>0</v>
      </c>
      <c r="AI68" s="2159">
        <v>3</v>
      </c>
      <c r="AJ68" s="2159">
        <v>0</v>
      </c>
      <c r="AK68" s="2159">
        <v>0</v>
      </c>
      <c r="AL68" s="2159">
        <v>0</v>
      </c>
      <c r="AM68" s="2159">
        <v>0</v>
      </c>
      <c r="AN68" s="2159">
        <v>0</v>
      </c>
      <c r="AO68" s="2159">
        <v>11</v>
      </c>
      <c r="AP68" s="2159">
        <v>0</v>
      </c>
      <c r="AQ68" s="2159">
        <v>0</v>
      </c>
      <c r="AR68" s="2159">
        <v>0</v>
      </c>
      <c r="AS68" s="2159">
        <v>1</v>
      </c>
      <c r="AT68" s="2171"/>
      <c r="AU68" s="2172">
        <f t="shared" si="34"/>
        <v>1.25</v>
      </c>
      <c r="AW68" s="1735"/>
      <c r="AX68" s="1679">
        <f t="shared" si="32"/>
        <v>1</v>
      </c>
      <c r="AY68" s="1679">
        <f t="shared" si="35"/>
        <v>-0.16666666666666674</v>
      </c>
      <c r="AZ68" s="1680">
        <f t="shared" si="36"/>
        <v>-0.16666666666666674</v>
      </c>
      <c r="BA68" s="1736">
        <f t="shared" si="33"/>
        <v>1</v>
      </c>
    </row>
    <row r="69" spans="1:53" x14ac:dyDescent="0.55000000000000004">
      <c r="A69" s="7475"/>
      <c r="B69" s="1766" t="s">
        <v>1071</v>
      </c>
      <c r="C69" s="1767"/>
      <c r="D69" s="1768">
        <v>0</v>
      </c>
      <c r="E69" s="1769">
        <v>0</v>
      </c>
      <c r="F69" s="1769">
        <v>0</v>
      </c>
      <c r="G69" s="1769">
        <v>5.7471264367816091E-3</v>
      </c>
      <c r="H69" s="1769">
        <v>5.7471264367816091E-3</v>
      </c>
      <c r="I69" s="1769">
        <v>0</v>
      </c>
      <c r="J69" s="1769">
        <v>5.5248618784530384E-2</v>
      </c>
      <c r="K69" s="1769">
        <v>0</v>
      </c>
      <c r="L69" s="1769">
        <v>0</v>
      </c>
      <c r="M69" s="1769">
        <v>0</v>
      </c>
      <c r="N69" s="1769">
        <v>0</v>
      </c>
      <c r="O69" s="1769">
        <v>5.681818181818182E-3</v>
      </c>
      <c r="P69" s="1769"/>
      <c r="Q69" s="1769">
        <v>6.0353908199926483E-3</v>
      </c>
      <c r="S69" s="1768">
        <v>5.681818181818182E-3</v>
      </c>
      <c r="T69" s="1769">
        <v>0</v>
      </c>
      <c r="U69" s="1769">
        <v>5.7803468208092483E-3</v>
      </c>
      <c r="V69" s="1769">
        <v>0</v>
      </c>
      <c r="W69" s="1769">
        <v>0</v>
      </c>
      <c r="X69" s="1769">
        <v>7.6086956521739135E-2</v>
      </c>
      <c r="Y69" s="1769">
        <v>0</v>
      </c>
      <c r="Z69" s="1769">
        <v>0</v>
      </c>
      <c r="AA69" s="1769">
        <v>0</v>
      </c>
      <c r="AB69" s="1769">
        <v>5.434782608695652E-3</v>
      </c>
      <c r="AC69" s="1769">
        <v>0</v>
      </c>
      <c r="AD69" s="1769">
        <v>0</v>
      </c>
      <c r="AE69" s="1770"/>
      <c r="AF69" s="1769">
        <v>7.7486586777551839E-3</v>
      </c>
      <c r="AH69" s="1966">
        <v>0</v>
      </c>
      <c r="AI69" s="1769">
        <v>1.6393442622950821E-2</v>
      </c>
      <c r="AJ69" s="1769">
        <v>0</v>
      </c>
      <c r="AK69" s="1769">
        <v>0</v>
      </c>
      <c r="AL69" s="1769">
        <v>0</v>
      </c>
      <c r="AM69" s="1769">
        <v>0</v>
      </c>
      <c r="AN69" s="1769">
        <v>0</v>
      </c>
      <c r="AO69" s="1769">
        <v>5.7894736842105263E-2</v>
      </c>
      <c r="AP69" s="1769">
        <v>0</v>
      </c>
      <c r="AQ69" s="1769">
        <v>0</v>
      </c>
      <c r="AR69" s="1769">
        <v>0</v>
      </c>
      <c r="AS69" s="1769">
        <v>5.434782608695652E-3</v>
      </c>
      <c r="AT69" s="1770"/>
      <c r="AU69" s="1769">
        <f t="shared" si="34"/>
        <v>6.6435801728126449E-3</v>
      </c>
      <c r="AW69" s="1737"/>
      <c r="AX69" s="1681">
        <f t="shared" si="32"/>
        <v>5.434782608695652E-3</v>
      </c>
      <c r="AY69" s="1681">
        <f t="shared" si="35"/>
        <v>-1.105078504942539E-3</v>
      </c>
      <c r="AZ69" s="1682">
        <f t="shared" si="36"/>
        <v>-1.105078504942539E-3</v>
      </c>
      <c r="BA69" s="1738">
        <f t="shared" si="33"/>
        <v>5.434782608695652E-3</v>
      </c>
    </row>
    <row r="70" spans="1:53" x14ac:dyDescent="0.55000000000000004">
      <c r="A70" s="7475"/>
      <c r="B70" s="1761" t="s">
        <v>1058</v>
      </c>
      <c r="C70" s="1762"/>
      <c r="D70" s="1863">
        <v>49</v>
      </c>
      <c r="E70" s="2170">
        <v>53</v>
      </c>
      <c r="F70" s="2170">
        <v>51</v>
      </c>
      <c r="G70" s="2170">
        <v>54</v>
      </c>
      <c r="H70" s="2170">
        <v>49</v>
      </c>
      <c r="I70" s="2170">
        <v>40</v>
      </c>
      <c r="J70" s="2170">
        <v>42</v>
      </c>
      <c r="K70" s="2170">
        <v>40</v>
      </c>
      <c r="L70" s="2170">
        <v>31</v>
      </c>
      <c r="M70" s="2170">
        <v>53</v>
      </c>
      <c r="N70" s="2170">
        <v>44</v>
      </c>
      <c r="O70" s="2170">
        <v>36</v>
      </c>
      <c r="P70" s="2171">
        <f>SUM(D70:O70)</f>
        <v>542</v>
      </c>
      <c r="Q70" s="2173">
        <v>45.166666666666664</v>
      </c>
      <c r="S70" s="1863">
        <v>58</v>
      </c>
      <c r="T70" s="2170">
        <v>61</v>
      </c>
      <c r="U70" s="2170">
        <v>65</v>
      </c>
      <c r="V70" s="2170">
        <v>95</v>
      </c>
      <c r="W70" s="2170">
        <v>56</v>
      </c>
      <c r="X70" s="2170">
        <v>49</v>
      </c>
      <c r="Y70" s="2170">
        <v>80</v>
      </c>
      <c r="Z70" s="2170">
        <v>44</v>
      </c>
      <c r="AA70" s="2170">
        <v>85</v>
      </c>
      <c r="AB70" s="2170">
        <v>75</v>
      </c>
      <c r="AC70" s="2170">
        <v>66</v>
      </c>
      <c r="AD70" s="2170">
        <v>73</v>
      </c>
      <c r="AE70" s="2171">
        <v>807</v>
      </c>
      <c r="AF70" s="2173">
        <v>67.25</v>
      </c>
      <c r="AH70" s="1965">
        <v>57</v>
      </c>
      <c r="AI70" s="2159">
        <v>44</v>
      </c>
      <c r="AJ70" s="2159">
        <v>59</v>
      </c>
      <c r="AK70" s="2159">
        <v>36</v>
      </c>
      <c r="AL70" s="2159">
        <v>29</v>
      </c>
      <c r="AM70" s="2159">
        <v>25</v>
      </c>
      <c r="AN70" s="2159">
        <v>21</v>
      </c>
      <c r="AO70" s="2159">
        <v>28</v>
      </c>
      <c r="AP70" s="2159">
        <v>37</v>
      </c>
      <c r="AQ70" s="2159">
        <v>25</v>
      </c>
      <c r="AR70" s="2159">
        <v>42</v>
      </c>
      <c r="AS70" s="2159">
        <v>39</v>
      </c>
      <c r="AT70" s="2171"/>
      <c r="AU70" s="2173">
        <f t="shared" si="34"/>
        <v>36.833333333333336</v>
      </c>
      <c r="AW70" s="1735"/>
      <c r="AX70" s="1679">
        <f t="shared" si="32"/>
        <v>-34</v>
      </c>
      <c r="AY70" s="1679">
        <f t="shared" si="35"/>
        <v>-30.416666666666664</v>
      </c>
      <c r="AZ70" s="1680">
        <f t="shared" si="36"/>
        <v>-30.416666666666664</v>
      </c>
      <c r="BA70" s="1739">
        <f t="shared" si="33"/>
        <v>-3</v>
      </c>
    </row>
    <row r="71" spans="1:53" x14ac:dyDescent="0.55000000000000004">
      <c r="A71" s="7475"/>
      <c r="B71" s="1766" t="s">
        <v>1071</v>
      </c>
      <c r="C71" s="1767"/>
      <c r="D71" s="1768">
        <v>2.6893523600439079E-2</v>
      </c>
      <c r="E71" s="1769">
        <v>2.9265599116510214E-2</v>
      </c>
      <c r="F71" s="1769">
        <v>2.8286189683860232E-2</v>
      </c>
      <c r="G71" s="1769">
        <v>3.0050083472454091E-2</v>
      </c>
      <c r="H71" s="1769">
        <v>2.7237354085603113E-2</v>
      </c>
      <c r="I71" s="1769">
        <v>2.2522522522522521E-2</v>
      </c>
      <c r="J71" s="1769">
        <v>2.383654937570942E-2</v>
      </c>
      <c r="K71" s="1769">
        <v>2.2805017103762829E-2</v>
      </c>
      <c r="L71" s="1769">
        <v>1.7826336975273145E-2</v>
      </c>
      <c r="M71" s="1769">
        <v>3.0547550432276659E-2</v>
      </c>
      <c r="N71" s="1769">
        <v>2.5229357798165139E-2</v>
      </c>
      <c r="O71" s="1769">
        <v>2.0606754436176301E-2</v>
      </c>
      <c r="P71" s="1769"/>
      <c r="Q71" s="1769">
        <v>2.5425569883562732E-2</v>
      </c>
      <c r="S71" s="1768">
        <v>3.3275960986804361E-2</v>
      </c>
      <c r="T71" s="1769">
        <v>3.4797490017113519E-2</v>
      </c>
      <c r="U71" s="1769">
        <v>3.6827195467422094E-2</v>
      </c>
      <c r="V71" s="1769">
        <v>5.2807115063924402E-2</v>
      </c>
      <c r="W71" s="1769">
        <v>3.1042128603104215E-2</v>
      </c>
      <c r="X71" s="1769">
        <v>2.7328499721137756E-2</v>
      </c>
      <c r="Y71" s="1769">
        <v>4.417448923246825E-2</v>
      </c>
      <c r="Z71" s="1769">
        <v>2.4376731301939059E-2</v>
      </c>
      <c r="AA71" s="1769">
        <v>4.6473482777474026E-2</v>
      </c>
      <c r="AB71" s="1769">
        <v>4.0300913487372379E-2</v>
      </c>
      <c r="AC71" s="1769">
        <v>3.5369774919614148E-2</v>
      </c>
      <c r="AD71" s="1769">
        <v>3.8624338624338624E-2</v>
      </c>
      <c r="AE71" s="1770"/>
      <c r="AF71" s="1769">
        <v>3.7116510016892736E-2</v>
      </c>
      <c r="AH71" s="1966">
        <v>2.9765013054830286E-2</v>
      </c>
      <c r="AI71" s="1769">
        <v>2.3109243697478993E-2</v>
      </c>
      <c r="AJ71" s="1769">
        <v>3.0873888016745159E-2</v>
      </c>
      <c r="AK71" s="1769">
        <v>1.8867924528301886E-2</v>
      </c>
      <c r="AL71" s="1769">
        <v>1.5255128879537085E-2</v>
      </c>
      <c r="AM71" s="1769">
        <v>1.3255567338282079E-2</v>
      </c>
      <c r="AN71" s="1769">
        <v>1.1290322580645161E-2</v>
      </c>
      <c r="AO71" s="1769">
        <v>1.5250544662309368E-2</v>
      </c>
      <c r="AP71" s="1769">
        <v>2.0185488270594652E-2</v>
      </c>
      <c r="AQ71" s="1769">
        <v>1.379690949227373E-2</v>
      </c>
      <c r="AR71" s="1769">
        <v>2.3140495867768594E-2</v>
      </c>
      <c r="AS71" s="1769">
        <v>2.1311475409836064E-2</v>
      </c>
      <c r="AT71" s="1770"/>
      <c r="AU71" s="1769">
        <f t="shared" si="34"/>
        <v>1.9675166816550255E-2</v>
      </c>
      <c r="AW71" s="1737"/>
      <c r="AX71" s="1681">
        <f t="shared" si="32"/>
        <v>-1.7312863214502559E-2</v>
      </c>
      <c r="AY71" s="1681">
        <f t="shared" si="35"/>
        <v>-1.744134320034248E-2</v>
      </c>
      <c r="AZ71" s="1682">
        <f t="shared" si="36"/>
        <v>-1.744134320034248E-2</v>
      </c>
      <c r="BA71" s="1738">
        <f t="shared" si="33"/>
        <v>-1.8290204579325293E-3</v>
      </c>
    </row>
    <row r="72" spans="1:53" x14ac:dyDescent="0.55000000000000004">
      <c r="A72" s="7475"/>
      <c r="B72" s="1761" t="s">
        <v>1059</v>
      </c>
      <c r="C72" s="1762"/>
      <c r="D72" s="1863">
        <v>1</v>
      </c>
      <c r="E72" s="2170">
        <v>0</v>
      </c>
      <c r="F72" s="2170">
        <v>3</v>
      </c>
      <c r="G72" s="2170">
        <v>3</v>
      </c>
      <c r="H72" s="2170">
        <v>0</v>
      </c>
      <c r="I72" s="2170">
        <v>2</v>
      </c>
      <c r="J72" s="2170">
        <v>1</v>
      </c>
      <c r="K72" s="2170">
        <v>0</v>
      </c>
      <c r="L72" s="2170">
        <v>3</v>
      </c>
      <c r="M72" s="2170">
        <v>1</v>
      </c>
      <c r="N72" s="2170">
        <v>2</v>
      </c>
      <c r="O72" s="2170">
        <v>3</v>
      </c>
      <c r="P72" s="2171">
        <f>SUM(D72:O72)</f>
        <v>19</v>
      </c>
      <c r="Q72" s="2173">
        <v>1.5833333333333333</v>
      </c>
      <c r="S72" s="1863">
        <v>8</v>
      </c>
      <c r="T72" s="2170">
        <v>1</v>
      </c>
      <c r="U72" s="2170">
        <v>0</v>
      </c>
      <c r="V72" s="2170">
        <v>2</v>
      </c>
      <c r="W72" s="2170">
        <v>0</v>
      </c>
      <c r="X72" s="2170">
        <v>3</v>
      </c>
      <c r="Y72" s="2170">
        <v>12</v>
      </c>
      <c r="Z72" s="2170">
        <v>14</v>
      </c>
      <c r="AA72" s="2170">
        <v>8</v>
      </c>
      <c r="AB72" s="2170">
        <v>3</v>
      </c>
      <c r="AC72" s="2170">
        <v>16</v>
      </c>
      <c r="AD72" s="2170">
        <v>14</v>
      </c>
      <c r="AE72" s="2171">
        <v>81</v>
      </c>
      <c r="AF72" s="2173">
        <v>6.75</v>
      </c>
      <c r="AH72" s="1965">
        <v>8</v>
      </c>
      <c r="AI72" s="2159">
        <v>8</v>
      </c>
      <c r="AJ72" s="2159">
        <v>12</v>
      </c>
      <c r="AK72" s="2159">
        <v>13</v>
      </c>
      <c r="AL72" s="2159">
        <v>9</v>
      </c>
      <c r="AM72" s="2159">
        <v>5</v>
      </c>
      <c r="AN72" s="2159">
        <v>6</v>
      </c>
      <c r="AO72" s="2159">
        <v>6</v>
      </c>
      <c r="AP72" s="2159">
        <v>2</v>
      </c>
      <c r="AQ72" s="2159">
        <v>1</v>
      </c>
      <c r="AR72" s="2159">
        <v>2</v>
      </c>
      <c r="AS72" s="2159">
        <v>1</v>
      </c>
      <c r="AT72" s="2171"/>
      <c r="AU72" s="2173">
        <f t="shared" si="34"/>
        <v>6.083333333333333</v>
      </c>
      <c r="AW72" s="1735"/>
      <c r="AX72" s="1679">
        <f t="shared" si="32"/>
        <v>-13</v>
      </c>
      <c r="AY72" s="1679">
        <f t="shared" si="35"/>
        <v>-0.66666666666666696</v>
      </c>
      <c r="AZ72" s="1680">
        <f t="shared" si="36"/>
        <v>-0.66666666666666696</v>
      </c>
      <c r="BA72" s="1739">
        <f t="shared" si="33"/>
        <v>-1</v>
      </c>
    </row>
    <row r="73" spans="1:53" x14ac:dyDescent="0.55000000000000004">
      <c r="A73" s="7475"/>
      <c r="B73" s="1764" t="s">
        <v>1070</v>
      </c>
      <c r="C73" s="1762"/>
      <c r="D73" s="1751">
        <v>8.0645161290322578E-3</v>
      </c>
      <c r="E73" s="2160">
        <v>0</v>
      </c>
      <c r="F73" s="2160">
        <v>2.5000000000000001E-2</v>
      </c>
      <c r="G73" s="2160">
        <v>2.4793388429752067E-2</v>
      </c>
      <c r="H73" s="2160">
        <v>0</v>
      </c>
      <c r="I73" s="2160">
        <v>1.6666666666666666E-2</v>
      </c>
      <c r="J73" s="2160">
        <v>8.4745762711864406E-3</v>
      </c>
      <c r="K73" s="2160">
        <v>0</v>
      </c>
      <c r="L73" s="2160">
        <v>2.564102564102564E-2</v>
      </c>
      <c r="M73" s="2160">
        <v>8.6206896551724137E-3</v>
      </c>
      <c r="N73" s="2160">
        <v>1.7241379310344827E-2</v>
      </c>
      <c r="O73" s="2160">
        <v>2.5423728813559324E-2</v>
      </c>
      <c r="P73" s="2160"/>
      <c r="Q73" s="2160">
        <v>1.3327164243061638E-2</v>
      </c>
      <c r="S73" s="1751">
        <v>6.5040650406504072E-2</v>
      </c>
      <c r="T73" s="2160">
        <v>8.1967213114754103E-3</v>
      </c>
      <c r="U73" s="2160">
        <v>0</v>
      </c>
      <c r="V73" s="2160">
        <v>1.7241379310344827E-2</v>
      </c>
      <c r="W73" s="2160">
        <v>0</v>
      </c>
      <c r="X73" s="2160">
        <v>2.5423728813559324E-2</v>
      </c>
      <c r="Y73" s="2160">
        <v>0.1111111111111111</v>
      </c>
      <c r="Z73" s="2160">
        <v>0.12280701754385964</v>
      </c>
      <c r="AA73" s="2160">
        <v>7.8431372549019607E-2</v>
      </c>
      <c r="AB73" s="2160">
        <v>3.1578947368421054E-2</v>
      </c>
      <c r="AC73" s="2160">
        <v>0.15094339622641509</v>
      </c>
      <c r="AD73" s="2160">
        <v>0.1206896551724138</v>
      </c>
      <c r="AE73" s="2160"/>
      <c r="AF73" s="2160">
        <v>6.095533165109366E-2</v>
      </c>
      <c r="AH73" s="1967">
        <v>6.5573770491803282E-2</v>
      </c>
      <c r="AI73" s="2160">
        <v>6.3492063492063489E-2</v>
      </c>
      <c r="AJ73" s="2160">
        <v>9.0225563909774431E-2</v>
      </c>
      <c r="AK73" s="2160">
        <v>9.0909090909090912E-2</v>
      </c>
      <c r="AL73" s="2160">
        <v>6.1643835616438353E-2</v>
      </c>
      <c r="AM73" s="2160">
        <v>3.4013605442176874E-2</v>
      </c>
      <c r="AN73" s="2160">
        <v>0.04</v>
      </c>
      <c r="AO73" s="2160">
        <v>4.0268456375838924E-2</v>
      </c>
      <c r="AP73" s="2160">
        <v>1.3513513513513514E-2</v>
      </c>
      <c r="AQ73" s="2160">
        <v>6.8493150684931503E-3</v>
      </c>
      <c r="AR73" s="2160">
        <v>1.3698630136986301E-2</v>
      </c>
      <c r="AS73" s="2160">
        <v>6.8965517241379309E-3</v>
      </c>
      <c r="AT73" s="2160"/>
      <c r="AU73" s="2160">
        <f t="shared" si="34"/>
        <v>4.3923699723359765E-2</v>
      </c>
      <c r="AW73" s="1737"/>
      <c r="AX73" s="1681">
        <f t="shared" si="32"/>
        <v>-0.11379310344827587</v>
      </c>
      <c r="AY73" s="1681">
        <f>AU73-AF73</f>
        <v>-1.7031631927733895E-2</v>
      </c>
      <c r="AZ73" s="1682">
        <f t="shared" si="36"/>
        <v>-1.7031631927733895E-2</v>
      </c>
      <c r="BA73" s="1738">
        <f t="shared" si="33"/>
        <v>-6.8020784128483697E-3</v>
      </c>
    </row>
    <row r="74" spans="1:53" ht="16.5" customHeight="1" x14ac:dyDescent="0.55000000000000004">
      <c r="A74" s="7476" t="s">
        <v>1067</v>
      </c>
      <c r="B74" s="7478" t="s">
        <v>1073</v>
      </c>
      <c r="C74" s="7479"/>
      <c r="D74" s="1783">
        <v>46</v>
      </c>
      <c r="E74" s="1784">
        <v>69</v>
      </c>
      <c r="F74" s="1784">
        <v>64</v>
      </c>
      <c r="G74" s="1784">
        <v>62</v>
      </c>
      <c r="H74" s="1784">
        <v>49</v>
      </c>
      <c r="I74" s="1784">
        <v>67</v>
      </c>
      <c r="J74" s="1784">
        <v>60</v>
      </c>
      <c r="K74" s="1784">
        <v>52</v>
      </c>
      <c r="L74" s="1784">
        <v>46</v>
      </c>
      <c r="M74" s="1784">
        <v>60</v>
      </c>
      <c r="N74" s="1784">
        <v>38</v>
      </c>
      <c r="O74" s="1784">
        <v>38</v>
      </c>
      <c r="P74" s="1784">
        <f>SUM(D74:O74)</f>
        <v>651</v>
      </c>
      <c r="Q74" s="1784">
        <v>54.250000000000007</v>
      </c>
      <c r="S74" s="1783">
        <v>64</v>
      </c>
      <c r="T74" s="1784">
        <v>56</v>
      </c>
      <c r="U74" s="1784">
        <v>57</v>
      </c>
      <c r="V74" s="1784">
        <v>68</v>
      </c>
      <c r="W74" s="1784">
        <v>52</v>
      </c>
      <c r="X74" s="1784">
        <v>81</v>
      </c>
      <c r="Y74" s="1784">
        <v>65</v>
      </c>
      <c r="Z74" s="1784">
        <v>74</v>
      </c>
      <c r="AA74" s="1784">
        <v>65</v>
      </c>
      <c r="AB74" s="1784">
        <v>53</v>
      </c>
      <c r="AC74" s="1784">
        <v>67</v>
      </c>
      <c r="AD74" s="1784">
        <v>56</v>
      </c>
      <c r="AE74" s="1784">
        <v>758</v>
      </c>
      <c r="AF74" s="1784">
        <v>63.166666666666664</v>
      </c>
      <c r="AH74" s="1963">
        <v>34</v>
      </c>
      <c r="AI74" s="1784">
        <v>59</v>
      </c>
      <c r="AJ74" s="1784">
        <v>59</v>
      </c>
      <c r="AK74" s="1784">
        <v>42</v>
      </c>
      <c r="AL74" s="1784">
        <v>42</v>
      </c>
      <c r="AM74" s="1784">
        <v>44</v>
      </c>
      <c r="AN74" s="1784">
        <v>51</v>
      </c>
      <c r="AO74" s="1784">
        <v>60</v>
      </c>
      <c r="AP74" s="1784">
        <v>44</v>
      </c>
      <c r="AQ74" s="1784">
        <v>49</v>
      </c>
      <c r="AR74" s="1784">
        <v>41</v>
      </c>
      <c r="AS74" s="1784">
        <v>32</v>
      </c>
      <c r="AT74" s="1784"/>
      <c r="AU74" s="1784">
        <f t="shared" si="34"/>
        <v>46.416666666666664</v>
      </c>
      <c r="AW74" s="1757"/>
      <c r="AX74" s="1753">
        <f t="shared" si="32"/>
        <v>-24</v>
      </c>
      <c r="AY74" s="1753">
        <f t="shared" si="35"/>
        <v>-16.75</v>
      </c>
      <c r="AZ74" s="1754">
        <f t="shared" si="36"/>
        <v>-16.75</v>
      </c>
      <c r="BA74" s="1758">
        <f t="shared" si="33"/>
        <v>-9</v>
      </c>
    </row>
    <row r="75" spans="1:53" ht="16.5" customHeight="1" x14ac:dyDescent="0.55000000000000004">
      <c r="A75" s="7475"/>
      <c r="B75" s="1763" t="s">
        <v>1074</v>
      </c>
      <c r="C75" s="1765"/>
      <c r="D75" s="1777">
        <v>2.1217712177121772E-2</v>
      </c>
      <c r="E75" s="2174">
        <v>3.1724137931034485E-2</v>
      </c>
      <c r="F75" s="2174">
        <v>2.9629629629629631E-2</v>
      </c>
      <c r="G75" s="2174">
        <v>2.8783658310120707E-2</v>
      </c>
      <c r="H75" s="2174">
        <v>2.2875816993464051E-2</v>
      </c>
      <c r="I75" s="2174">
        <v>3.1381733021077281E-2</v>
      </c>
      <c r="J75" s="2174">
        <v>2.8288543140028287E-2</v>
      </c>
      <c r="K75" s="2174">
        <v>2.4750118990956686E-2</v>
      </c>
      <c r="L75" s="2174">
        <v>2.2083533365338453E-2</v>
      </c>
      <c r="M75" s="2174">
        <v>2.8694404591104734E-2</v>
      </c>
      <c r="N75" s="2174">
        <v>1.8295618680789601E-2</v>
      </c>
      <c r="O75" s="2174">
        <v>1.8278018278018279E-2</v>
      </c>
      <c r="P75" s="2174"/>
      <c r="Q75" s="2174">
        <v>2.5500243759057E-2</v>
      </c>
      <c r="S75" s="1777">
        <v>3.0389363722697058E-2</v>
      </c>
      <c r="T75" s="2174">
        <v>2.6615969581749048E-2</v>
      </c>
      <c r="U75" s="2174">
        <v>2.696310312204352E-2</v>
      </c>
      <c r="V75" s="2174">
        <v>3.1569173630454965E-2</v>
      </c>
      <c r="W75" s="2174">
        <v>2.4265048996733551E-2</v>
      </c>
      <c r="X75" s="2174">
        <v>3.7224264705882353E-2</v>
      </c>
      <c r="Y75" s="2174">
        <v>2.9995385325334564E-2</v>
      </c>
      <c r="Z75" s="2174">
        <v>3.4007352941176468E-2</v>
      </c>
      <c r="AA75" s="2174">
        <v>2.9830197338228545E-2</v>
      </c>
      <c r="AB75" s="2174">
        <v>2.4167806657546739E-2</v>
      </c>
      <c r="AC75" s="2174">
        <v>3.0153015301530153E-2</v>
      </c>
      <c r="AD75" s="2174">
        <v>2.4977698483496878E-2</v>
      </c>
      <c r="AE75" s="2174"/>
      <c r="AF75" s="2174">
        <v>2.9179864983906154E-2</v>
      </c>
      <c r="AH75" s="1968">
        <v>1.5104398045313194E-2</v>
      </c>
      <c r="AI75" s="2161">
        <v>2.596830985915493E-2</v>
      </c>
      <c r="AJ75" s="2161">
        <v>2.583187390542907E-2</v>
      </c>
      <c r="AK75" s="2161">
        <v>1.8469656992084433E-2</v>
      </c>
      <c r="AL75" s="2161">
        <v>1.8502202643171806E-2</v>
      </c>
      <c r="AM75" s="2161">
        <v>1.9486271036315322E-2</v>
      </c>
      <c r="AN75" s="2161">
        <v>2.2757697456492636E-2</v>
      </c>
      <c r="AO75" s="2161">
        <v>2.6845637583892617E-2</v>
      </c>
      <c r="AP75" s="2161">
        <v>1.9873532068654019E-2</v>
      </c>
      <c r="AQ75" s="2161">
        <v>2.2313296903460837E-2</v>
      </c>
      <c r="AR75" s="2161">
        <v>1.8712916476494753E-2</v>
      </c>
      <c r="AS75" s="2161">
        <v>1.4605203103605659E-2</v>
      </c>
      <c r="AT75" s="2175"/>
      <c r="AU75" s="1774">
        <f t="shared" si="34"/>
        <v>2.0705916339505772E-2</v>
      </c>
      <c r="AW75" s="1775"/>
      <c r="AX75" s="1755">
        <f t="shared" si="32"/>
        <v>-1.0372495379891218E-2</v>
      </c>
      <c r="AY75" s="1755">
        <f t="shared" si="35"/>
        <v>-8.4739486444003823E-3</v>
      </c>
      <c r="AZ75" s="1756">
        <f t="shared" si="36"/>
        <v>-8.4739486444003823E-3</v>
      </c>
      <c r="BA75" s="1776">
        <f t="shared" si="33"/>
        <v>-4.1077133728890936E-3</v>
      </c>
    </row>
    <row r="76" spans="1:53" ht="16.5" customHeight="1" x14ac:dyDescent="0.55000000000000004">
      <c r="A76" s="7475"/>
      <c r="B76" s="1778"/>
      <c r="C76" s="1807" t="s">
        <v>1069</v>
      </c>
      <c r="D76" s="1808"/>
      <c r="E76" s="2162"/>
      <c r="F76" s="2162"/>
      <c r="G76" s="2162"/>
      <c r="H76" s="2162"/>
      <c r="I76" s="2162"/>
      <c r="J76" s="2162"/>
      <c r="K76" s="2162"/>
      <c r="L76" s="2162"/>
      <c r="M76" s="2162"/>
      <c r="N76" s="2162"/>
      <c r="O76" s="2162"/>
      <c r="P76" s="2162"/>
      <c r="Q76" s="2162"/>
      <c r="S76" s="1808">
        <v>35</v>
      </c>
      <c r="T76" s="2162">
        <v>20</v>
      </c>
      <c r="U76" s="2162">
        <v>17</v>
      </c>
      <c r="V76" s="2162">
        <v>23</v>
      </c>
      <c r="W76" s="2162">
        <v>19</v>
      </c>
      <c r="X76" s="2162">
        <v>18</v>
      </c>
      <c r="Y76" s="2162">
        <v>20</v>
      </c>
      <c r="Z76" s="2162">
        <v>22</v>
      </c>
      <c r="AA76" s="2162">
        <v>29</v>
      </c>
      <c r="AB76" s="2162">
        <v>25</v>
      </c>
      <c r="AC76" s="2162">
        <v>35</v>
      </c>
      <c r="AD76" s="2162">
        <v>24</v>
      </c>
      <c r="AE76" s="2162">
        <v>287</v>
      </c>
      <c r="AF76" s="2162">
        <v>23.916666666666668</v>
      </c>
      <c r="AH76" s="6965">
        <f>AH80+AH84+AH100</f>
        <v>17</v>
      </c>
      <c r="AI76" s="6966">
        <f t="shared" ref="AI76:AP76" si="37">AI84+AI80+AI100</f>
        <v>26</v>
      </c>
      <c r="AJ76" s="6966">
        <f t="shared" si="37"/>
        <v>16</v>
      </c>
      <c r="AK76" s="6966">
        <f t="shared" si="37"/>
        <v>9</v>
      </c>
      <c r="AL76" s="6966">
        <f t="shared" si="37"/>
        <v>15</v>
      </c>
      <c r="AM76" s="6966">
        <f t="shared" si="37"/>
        <v>9</v>
      </c>
      <c r="AN76" s="6966">
        <f t="shared" si="37"/>
        <v>11</v>
      </c>
      <c r="AO76" s="6966">
        <f t="shared" si="37"/>
        <v>16</v>
      </c>
      <c r="AP76" s="6966">
        <f t="shared" si="37"/>
        <v>10</v>
      </c>
      <c r="AQ76" s="6966">
        <v>9</v>
      </c>
      <c r="AR76" s="6966">
        <v>8</v>
      </c>
      <c r="AS76" s="6966">
        <v>11</v>
      </c>
      <c r="AT76" s="2162"/>
      <c r="AU76" s="2162">
        <f t="shared" si="34"/>
        <v>13.083333333333334</v>
      </c>
      <c r="AW76" s="1809"/>
      <c r="AX76" s="1810">
        <f t="shared" si="32"/>
        <v>-13</v>
      </c>
      <c r="AY76" s="1810">
        <f t="shared" si="35"/>
        <v>-10.833333333333334</v>
      </c>
      <c r="AZ76" s="1811">
        <f t="shared" si="36"/>
        <v>-10.833333333333334</v>
      </c>
      <c r="BA76" s="1812">
        <f t="shared" si="33"/>
        <v>3</v>
      </c>
    </row>
    <row r="77" spans="1:53" ht="16.5" customHeight="1" x14ac:dyDescent="0.55000000000000004">
      <c r="A77" s="7475"/>
      <c r="B77" s="1779"/>
      <c r="C77" s="1813" t="s">
        <v>1077</v>
      </c>
      <c r="D77" s="1814"/>
      <c r="E77" s="1815"/>
      <c r="F77" s="1815"/>
      <c r="G77" s="1815"/>
      <c r="H77" s="1815"/>
      <c r="I77" s="1815"/>
      <c r="J77" s="1815"/>
      <c r="K77" s="1815"/>
      <c r="L77" s="1815"/>
      <c r="M77" s="1815"/>
      <c r="N77" s="1815"/>
      <c r="O77" s="1815"/>
      <c r="P77" s="1815"/>
      <c r="Q77" s="1815"/>
      <c r="S77" s="1814">
        <v>0.56451612903225812</v>
      </c>
      <c r="T77" s="1815">
        <v>0.37735849056603776</v>
      </c>
      <c r="U77" s="1815">
        <v>0.30909090909090908</v>
      </c>
      <c r="V77" s="1815">
        <v>0.35384615384615387</v>
      </c>
      <c r="W77" s="1815">
        <v>0.37254901960784315</v>
      </c>
      <c r="X77" s="1815">
        <v>0.29508196721311475</v>
      </c>
      <c r="Y77" s="1815">
        <v>0.3125</v>
      </c>
      <c r="Z77" s="1815">
        <v>0.37931034482758619</v>
      </c>
      <c r="AA77" s="1815">
        <v>0.44615384615384618</v>
      </c>
      <c r="AB77" s="1815">
        <v>0.48076923076923078</v>
      </c>
      <c r="AC77" s="1815">
        <v>0.53030303030303028</v>
      </c>
      <c r="AD77" s="1815">
        <v>0.47058823529411764</v>
      </c>
      <c r="AE77" s="1815"/>
      <c r="AF77" s="1815">
        <v>0.40799999999999997</v>
      </c>
      <c r="AH77" s="6967">
        <f>AH76/AH74</f>
        <v>0.5</v>
      </c>
      <c r="AI77" s="6968">
        <f>AI76/AI74</f>
        <v>0.44067796610169491</v>
      </c>
      <c r="AJ77" s="6968">
        <v>0.29090909090909089</v>
      </c>
      <c r="AK77" s="6968">
        <f>AK76/AK74</f>
        <v>0.21428571428571427</v>
      </c>
      <c r="AL77" s="6968">
        <f>AL76/AL74</f>
        <v>0.35714285714285715</v>
      </c>
      <c r="AM77" s="6968">
        <f>AM76/AM74</f>
        <v>0.20454545454545456</v>
      </c>
      <c r="AN77" s="6968">
        <v>0.23404255319148937</v>
      </c>
      <c r="AO77" s="6968">
        <v>0.2711864406779661</v>
      </c>
      <c r="AP77" s="6968">
        <v>0.23809523809523808</v>
      </c>
      <c r="AQ77" s="6968">
        <v>0.2</v>
      </c>
      <c r="AR77" s="6968">
        <v>0.2</v>
      </c>
      <c r="AS77" s="6968">
        <v>0.44</v>
      </c>
      <c r="AT77" s="1815"/>
      <c r="AU77" s="1815">
        <f t="shared" si="34"/>
        <v>0.29924044291245877</v>
      </c>
      <c r="AW77" s="1816"/>
      <c r="AX77" s="1817">
        <f t="shared" si="32"/>
        <v>-3.0588235294117638E-2</v>
      </c>
      <c r="AY77" s="1817">
        <f t="shared" si="35"/>
        <v>-0.1087595570875412</v>
      </c>
      <c r="AZ77" s="1818">
        <f t="shared" si="36"/>
        <v>-0.10843183681288526</v>
      </c>
      <c r="BA77" s="1819">
        <f t="shared" si="33"/>
        <v>0.24</v>
      </c>
    </row>
    <row r="78" spans="1:53" x14ac:dyDescent="0.55000000000000004">
      <c r="A78" s="7475"/>
      <c r="B78" s="1830" t="s">
        <v>1057</v>
      </c>
      <c r="C78" s="1801"/>
      <c r="D78" s="1862">
        <v>0</v>
      </c>
      <c r="E78" s="2176">
        <v>2</v>
      </c>
      <c r="F78" s="2176">
        <v>1</v>
      </c>
      <c r="G78" s="2176">
        <v>0</v>
      </c>
      <c r="H78" s="2176">
        <v>1</v>
      </c>
      <c r="I78" s="2176">
        <v>2</v>
      </c>
      <c r="J78" s="2176">
        <v>1</v>
      </c>
      <c r="K78" s="2176">
        <v>0</v>
      </c>
      <c r="L78" s="2176">
        <v>0</v>
      </c>
      <c r="M78" s="2176">
        <v>1</v>
      </c>
      <c r="N78" s="2176">
        <v>1</v>
      </c>
      <c r="O78" s="2176">
        <v>4</v>
      </c>
      <c r="P78" s="2177">
        <f>SUM(D78:O78)</f>
        <v>13</v>
      </c>
      <c r="Q78" s="2178">
        <v>1.0833333333333333</v>
      </c>
      <c r="S78" s="1862">
        <v>1</v>
      </c>
      <c r="T78" s="2176">
        <v>3</v>
      </c>
      <c r="U78" s="2176">
        <v>1</v>
      </c>
      <c r="V78" s="2176">
        <v>2</v>
      </c>
      <c r="W78" s="2176">
        <v>0</v>
      </c>
      <c r="X78" s="2176">
        <v>1</v>
      </c>
      <c r="Y78" s="2176">
        <v>1</v>
      </c>
      <c r="Z78" s="2176">
        <v>0</v>
      </c>
      <c r="AA78" s="2176">
        <v>0</v>
      </c>
      <c r="AB78" s="2176">
        <v>0</v>
      </c>
      <c r="AC78" s="2176">
        <v>1</v>
      </c>
      <c r="AD78" s="2176">
        <v>3</v>
      </c>
      <c r="AE78" s="2177">
        <v>13</v>
      </c>
      <c r="AF78" s="2178">
        <v>1.0833333333333333</v>
      </c>
      <c r="AH78" s="1970">
        <v>0</v>
      </c>
      <c r="AI78" s="2163">
        <v>0</v>
      </c>
      <c r="AJ78" s="2166">
        <v>2</v>
      </c>
      <c r="AK78" s="2163">
        <v>0</v>
      </c>
      <c r="AL78" s="2163">
        <v>0</v>
      </c>
      <c r="AM78" s="2163">
        <v>0</v>
      </c>
      <c r="AN78" s="2166">
        <v>1</v>
      </c>
      <c r="AO78" s="2166">
        <v>1</v>
      </c>
      <c r="AP78" s="2166">
        <v>1</v>
      </c>
      <c r="AQ78" s="2166">
        <v>0</v>
      </c>
      <c r="AR78" s="2176">
        <v>0</v>
      </c>
      <c r="AS78" s="2166">
        <v>6</v>
      </c>
      <c r="AT78" s="2177"/>
      <c r="AU78" s="2178">
        <f t="shared" si="34"/>
        <v>0.91666666666666663</v>
      </c>
      <c r="AW78" s="1802"/>
      <c r="AX78" s="1803">
        <f t="shared" si="32"/>
        <v>3</v>
      </c>
      <c r="AY78" s="1803">
        <f t="shared" si="35"/>
        <v>-0.16666666666666663</v>
      </c>
      <c r="AZ78" s="1804">
        <f t="shared" si="36"/>
        <v>-0.16666666666666663</v>
      </c>
      <c r="BA78" s="1805">
        <f t="shared" si="33"/>
        <v>6</v>
      </c>
    </row>
    <row r="79" spans="1:53" x14ac:dyDescent="0.55000000000000004">
      <c r="A79" s="7475"/>
      <c r="B79" s="1806" t="s">
        <v>1075</v>
      </c>
      <c r="C79" s="1801"/>
      <c r="D79" s="1861">
        <v>0</v>
      </c>
      <c r="E79" s="2179">
        <v>1.1363636363636364E-2</v>
      </c>
      <c r="F79" s="2179">
        <v>5.7471264367816091E-3</v>
      </c>
      <c r="G79" s="2179">
        <v>0</v>
      </c>
      <c r="H79" s="2179">
        <v>5.7142857142857143E-3</v>
      </c>
      <c r="I79" s="2179">
        <v>1.1494252873563218E-2</v>
      </c>
      <c r="J79" s="2179">
        <v>5.4945054945054949E-3</v>
      </c>
      <c r="K79" s="2179">
        <v>0</v>
      </c>
      <c r="L79" s="2179">
        <v>0</v>
      </c>
      <c r="M79" s="2179">
        <v>5.5248618784530384E-3</v>
      </c>
      <c r="N79" s="2179">
        <v>5.5555555555555558E-3</v>
      </c>
      <c r="O79" s="2179">
        <v>2.2222222222222223E-2</v>
      </c>
      <c r="P79" s="2177"/>
      <c r="Q79" s="2179">
        <v>6.0930372115836013E-3</v>
      </c>
      <c r="S79" s="1861">
        <v>5.6497175141242938E-3</v>
      </c>
      <c r="T79" s="2179">
        <v>1.7045454545454544E-2</v>
      </c>
      <c r="U79" s="2179">
        <v>5.7471264367816091E-3</v>
      </c>
      <c r="V79" s="2179">
        <v>1.1560693641618497E-2</v>
      </c>
      <c r="W79" s="2179">
        <v>0</v>
      </c>
      <c r="X79" s="2179">
        <v>5.4054054054054057E-3</v>
      </c>
      <c r="Y79" s="2179">
        <v>5.434782608695652E-3</v>
      </c>
      <c r="Z79" s="2179">
        <v>0</v>
      </c>
      <c r="AA79" s="2179">
        <v>0</v>
      </c>
      <c r="AB79" s="2179">
        <v>0</v>
      </c>
      <c r="AC79" s="2179">
        <v>5.434782608695652E-3</v>
      </c>
      <c r="AD79" s="2179">
        <v>1.6393442622950821E-2</v>
      </c>
      <c r="AE79" s="2177"/>
      <c r="AF79" s="2179">
        <v>6.055950448643873E-3</v>
      </c>
      <c r="AH79" s="1971">
        <v>0</v>
      </c>
      <c r="AI79" s="2164">
        <v>0</v>
      </c>
      <c r="AJ79" s="2164">
        <v>1.092896174863388E-2</v>
      </c>
      <c r="AK79" s="2164">
        <v>0</v>
      </c>
      <c r="AL79" s="2164">
        <v>0</v>
      </c>
      <c r="AM79" s="2164">
        <v>0</v>
      </c>
      <c r="AN79" s="2164">
        <v>5.5248618784530384E-3</v>
      </c>
      <c r="AO79" s="2164">
        <v>5.235602094240838E-3</v>
      </c>
      <c r="AP79" s="2164">
        <v>5.263157894736842E-3</v>
      </c>
      <c r="AQ79" s="2164">
        <v>0</v>
      </c>
      <c r="AR79" s="2164">
        <v>0</v>
      </c>
      <c r="AS79" s="2164">
        <v>3.1578947368421054E-2</v>
      </c>
      <c r="AT79" s="2177"/>
      <c r="AU79" s="2178">
        <f t="shared" si="34"/>
        <v>4.8776275820404703E-3</v>
      </c>
      <c r="AW79" s="1789"/>
      <c r="AX79" s="1790">
        <f t="shared" si="32"/>
        <v>1.5185504745470233E-2</v>
      </c>
      <c r="AY79" s="1790">
        <f t="shared" si="35"/>
        <v>-1.1783228666034026E-3</v>
      </c>
      <c r="AZ79" s="1791">
        <f t="shared" si="36"/>
        <v>-1.1783228666034026E-3</v>
      </c>
      <c r="BA79" s="1792">
        <f t="shared" si="33"/>
        <v>3.1578947368421054E-2</v>
      </c>
    </row>
    <row r="80" spans="1:53" x14ac:dyDescent="0.55000000000000004">
      <c r="A80" s="7475"/>
      <c r="B80" s="1761"/>
      <c r="C80" s="1820" t="s">
        <v>1069</v>
      </c>
      <c r="D80" s="1821"/>
      <c r="E80" s="2165"/>
      <c r="F80" s="2165"/>
      <c r="G80" s="2165"/>
      <c r="H80" s="2165"/>
      <c r="I80" s="2165"/>
      <c r="J80" s="2165"/>
      <c r="K80" s="2165"/>
      <c r="L80" s="2165"/>
      <c r="M80" s="2165"/>
      <c r="N80" s="2165"/>
      <c r="O80" s="2165"/>
      <c r="P80" s="2180"/>
      <c r="Q80" s="2181"/>
      <c r="S80" s="1821"/>
      <c r="T80" s="2165"/>
      <c r="U80" s="2165"/>
      <c r="V80" s="2165"/>
      <c r="W80" s="2165"/>
      <c r="X80" s="2165"/>
      <c r="Y80" s="2165"/>
      <c r="Z80" s="2165"/>
      <c r="AA80" s="2165"/>
      <c r="AB80" s="2165"/>
      <c r="AC80" s="2165"/>
      <c r="AD80" s="2165"/>
      <c r="AE80" s="2180"/>
      <c r="AF80" s="2181"/>
      <c r="AH80" s="2006">
        <v>0</v>
      </c>
      <c r="AI80" s="2165">
        <v>0</v>
      </c>
      <c r="AJ80" s="2165"/>
      <c r="AK80" s="2165"/>
      <c r="AL80" s="2165"/>
      <c r="AM80" s="2165"/>
      <c r="AN80" s="2165"/>
      <c r="AO80" s="2165"/>
      <c r="AP80" s="2165"/>
      <c r="AQ80" s="2165"/>
      <c r="AR80" s="2165"/>
      <c r="AS80" s="2165"/>
      <c r="AT80" s="2180"/>
      <c r="AU80" s="2181">
        <f t="shared" si="34"/>
        <v>0</v>
      </c>
      <c r="AW80" s="1822"/>
      <c r="AX80" s="1823">
        <f t="shared" si="32"/>
        <v>0</v>
      </c>
      <c r="AY80" s="1823">
        <f t="shared" si="35"/>
        <v>0</v>
      </c>
      <c r="AZ80" s="2373">
        <v>0</v>
      </c>
      <c r="BA80" s="1825">
        <f t="shared" si="33"/>
        <v>0</v>
      </c>
    </row>
    <row r="81" spans="1:53" x14ac:dyDescent="0.55000000000000004">
      <c r="A81" s="7475"/>
      <c r="B81" s="1766"/>
      <c r="C81" s="1813" t="s">
        <v>1077</v>
      </c>
      <c r="D81" s="1814"/>
      <c r="E81" s="1815"/>
      <c r="F81" s="1815"/>
      <c r="G81" s="1815"/>
      <c r="H81" s="1815"/>
      <c r="I81" s="1815"/>
      <c r="J81" s="1815"/>
      <c r="K81" s="1815"/>
      <c r="L81" s="1815"/>
      <c r="M81" s="1815"/>
      <c r="N81" s="1815"/>
      <c r="O81" s="1815"/>
      <c r="P81" s="1815"/>
      <c r="Q81" s="1815"/>
      <c r="S81" s="1969">
        <v>0</v>
      </c>
      <c r="T81" s="1815">
        <v>0</v>
      </c>
      <c r="U81" s="1815">
        <v>0</v>
      </c>
      <c r="V81" s="1815">
        <v>0</v>
      </c>
      <c r="W81" s="1815">
        <v>0</v>
      </c>
      <c r="X81" s="1815">
        <v>0</v>
      </c>
      <c r="Y81" s="1815">
        <v>0</v>
      </c>
      <c r="Z81" s="1815">
        <v>0</v>
      </c>
      <c r="AA81" s="1815">
        <v>0</v>
      </c>
      <c r="AB81" s="1815">
        <v>0</v>
      </c>
      <c r="AC81" s="1815">
        <v>0</v>
      </c>
      <c r="AD81" s="1815">
        <v>0</v>
      </c>
      <c r="AE81" s="1815"/>
      <c r="AF81" s="1815">
        <v>0</v>
      </c>
      <c r="AH81" s="1969">
        <v>0</v>
      </c>
      <c r="AI81" s="1815">
        <v>0</v>
      </c>
      <c r="AJ81" s="1815">
        <v>0</v>
      </c>
      <c r="AK81" s="1815">
        <v>0</v>
      </c>
      <c r="AL81" s="1815">
        <v>0</v>
      </c>
      <c r="AM81" s="1815">
        <v>0</v>
      </c>
      <c r="AN81" s="1815"/>
      <c r="AO81" s="1815">
        <v>0</v>
      </c>
      <c r="AP81" s="1815"/>
      <c r="AQ81" s="1815">
        <v>0</v>
      </c>
      <c r="AR81" s="1815"/>
      <c r="AS81" s="1815">
        <v>0</v>
      </c>
      <c r="AT81" s="1826"/>
      <c r="AU81" s="1815">
        <f t="shared" si="34"/>
        <v>0</v>
      </c>
      <c r="AW81" s="1816"/>
      <c r="AX81" s="1817">
        <f t="shared" si="32"/>
        <v>0</v>
      </c>
      <c r="AY81" s="1817">
        <f t="shared" si="35"/>
        <v>0</v>
      </c>
      <c r="AZ81" s="1818">
        <f t="shared" ref="AZ81:AZ101" si="38">AU81-AVERAGE(S81:AD81)</f>
        <v>0</v>
      </c>
      <c r="BA81" s="1819">
        <f t="shared" si="33"/>
        <v>0</v>
      </c>
    </row>
    <row r="82" spans="1:53" x14ac:dyDescent="0.55000000000000004">
      <c r="A82" s="7475"/>
      <c r="B82" s="1830" t="s">
        <v>1058</v>
      </c>
      <c r="C82" s="1801"/>
      <c r="D82" s="1752">
        <v>45</v>
      </c>
      <c r="E82" s="2166">
        <v>64</v>
      </c>
      <c r="F82" s="2166">
        <v>59</v>
      </c>
      <c r="G82" s="2166">
        <v>60</v>
      </c>
      <c r="H82" s="2166">
        <v>47</v>
      </c>
      <c r="I82" s="2166">
        <v>63</v>
      </c>
      <c r="J82" s="2166">
        <v>56</v>
      </c>
      <c r="K82" s="2166">
        <v>48</v>
      </c>
      <c r="L82" s="2166">
        <v>46</v>
      </c>
      <c r="M82" s="2166">
        <v>57</v>
      </c>
      <c r="N82" s="2166">
        <v>35</v>
      </c>
      <c r="O82" s="2166">
        <v>33</v>
      </c>
      <c r="P82" s="2177">
        <f>SUM(D82:O82)</f>
        <v>613</v>
      </c>
      <c r="Q82" s="2182">
        <v>51.083333333333336</v>
      </c>
      <c r="S82" s="1752">
        <v>60</v>
      </c>
      <c r="T82" s="2166">
        <v>51</v>
      </c>
      <c r="U82" s="2166">
        <v>53</v>
      </c>
      <c r="V82" s="2166">
        <v>61</v>
      </c>
      <c r="W82" s="2166">
        <v>51</v>
      </c>
      <c r="X82" s="2166">
        <v>60</v>
      </c>
      <c r="Y82" s="2166">
        <v>62</v>
      </c>
      <c r="Z82" s="2166">
        <v>50</v>
      </c>
      <c r="AA82" s="2166">
        <v>61</v>
      </c>
      <c r="AB82" s="2166">
        <v>43</v>
      </c>
      <c r="AC82" s="2166">
        <v>61</v>
      </c>
      <c r="AD82" s="2166">
        <v>49</v>
      </c>
      <c r="AE82" s="2177">
        <v>662</v>
      </c>
      <c r="AF82" s="2182">
        <v>55.166666666666664</v>
      </c>
      <c r="AG82" s="6986" t="s">
        <v>1218</v>
      </c>
      <c r="AH82" s="1972">
        <v>32</v>
      </c>
      <c r="AI82" s="2166">
        <v>55</v>
      </c>
      <c r="AJ82" s="2166">
        <v>52</v>
      </c>
      <c r="AK82" s="2166">
        <v>39</v>
      </c>
      <c r="AL82" s="2166">
        <v>36</v>
      </c>
      <c r="AM82" s="2166">
        <v>40</v>
      </c>
      <c r="AN82" s="2166">
        <v>47</v>
      </c>
      <c r="AO82" s="2166">
        <v>52</v>
      </c>
      <c r="AP82" s="2166">
        <v>40</v>
      </c>
      <c r="AQ82" s="2166">
        <v>46</v>
      </c>
      <c r="AR82" s="2166">
        <v>39</v>
      </c>
      <c r="AS82" s="2166">
        <v>24</v>
      </c>
      <c r="AT82" s="2177"/>
      <c r="AU82" s="2182">
        <f t="shared" si="34"/>
        <v>41.833333333333336</v>
      </c>
      <c r="AW82" s="1802"/>
      <c r="AX82" s="1803">
        <f t="shared" si="32"/>
        <v>-25</v>
      </c>
      <c r="AY82" s="1803">
        <f t="shared" si="35"/>
        <v>-13.333333333333329</v>
      </c>
      <c r="AZ82" s="1804">
        <f t="shared" si="38"/>
        <v>-13.333333333333329</v>
      </c>
      <c r="BA82" s="1827">
        <f t="shared" si="33"/>
        <v>-15</v>
      </c>
    </row>
    <row r="83" spans="1:53" x14ac:dyDescent="0.55000000000000004">
      <c r="A83" s="7475"/>
      <c r="B83" s="1806" t="s">
        <v>1075</v>
      </c>
      <c r="C83" s="1801"/>
      <c r="D83" s="1861">
        <v>2.4102838778789503E-2</v>
      </c>
      <c r="E83" s="2179">
        <v>3.4133333333333335E-2</v>
      </c>
      <c r="F83" s="2179">
        <v>3.1686358754027928E-2</v>
      </c>
      <c r="G83" s="2179">
        <v>3.2310177705977383E-2</v>
      </c>
      <c r="H83" s="2179">
        <v>2.5460455037919827E-2</v>
      </c>
      <c r="I83" s="2179">
        <v>3.4257748776508973E-2</v>
      </c>
      <c r="J83" s="2179">
        <v>3.0803080308030802E-2</v>
      </c>
      <c r="K83" s="2179">
        <v>2.6637069922308545E-2</v>
      </c>
      <c r="L83" s="2179">
        <v>2.5770308123249298E-2</v>
      </c>
      <c r="M83" s="2179">
        <v>3.1808035714285712E-2</v>
      </c>
      <c r="N83" s="2179">
        <v>1.9673974142776839E-2</v>
      </c>
      <c r="O83" s="2179">
        <v>1.853932584269663E-2</v>
      </c>
      <c r="P83" s="2177"/>
      <c r="Q83" s="2179">
        <v>2.7931892203325398E-2</v>
      </c>
      <c r="S83" s="1861">
        <v>3.3277870216306155E-2</v>
      </c>
      <c r="T83" s="2179">
        <v>2.8270509977827051E-2</v>
      </c>
      <c r="U83" s="2179">
        <v>2.9152915291529153E-2</v>
      </c>
      <c r="V83" s="2179">
        <v>3.2795698924731186E-2</v>
      </c>
      <c r="W83" s="2179">
        <v>2.7493261455525605E-2</v>
      </c>
      <c r="X83" s="2179">
        <v>3.2379924446842956E-2</v>
      </c>
      <c r="Y83" s="2179">
        <v>3.3101975440469833E-2</v>
      </c>
      <c r="Z83" s="2179">
        <v>2.6954177897574125E-2</v>
      </c>
      <c r="AA83" s="2179">
        <v>3.2275132275132276E-2</v>
      </c>
      <c r="AB83" s="2179">
        <v>2.2584033613445378E-2</v>
      </c>
      <c r="AC83" s="2179">
        <v>3.1655422937208098E-2</v>
      </c>
      <c r="AD83" s="2179">
        <v>2.5270758122743681E-2</v>
      </c>
      <c r="AE83" s="2177"/>
      <c r="AF83" s="2179">
        <v>2.9600973383277957E-2</v>
      </c>
      <c r="AH83" s="1971">
        <v>1.6435541859270673E-2</v>
      </c>
      <c r="AI83" s="2164">
        <v>2.8075548749361919E-2</v>
      </c>
      <c r="AJ83" s="2164">
        <v>2.6490066225165563E-2</v>
      </c>
      <c r="AK83" s="2164">
        <v>2.0030816640986132E-2</v>
      </c>
      <c r="AL83" s="2164">
        <v>1.8585441404233349E-2</v>
      </c>
      <c r="AM83" s="2164">
        <v>2.0768431983385256E-2</v>
      </c>
      <c r="AN83" s="2164">
        <v>2.4646040901940221E-2</v>
      </c>
      <c r="AO83" s="2164">
        <v>2.7542372881355932E-2</v>
      </c>
      <c r="AP83" s="2164">
        <v>2.1356113187399894E-2</v>
      </c>
      <c r="AQ83" s="2164">
        <v>2.4757804090419805E-2</v>
      </c>
      <c r="AR83" s="2164">
        <v>2.1035598705501618E-2</v>
      </c>
      <c r="AS83" s="2164">
        <v>1.2944983818770227E-2</v>
      </c>
      <c r="AT83" s="2164"/>
      <c r="AU83" s="2182">
        <f t="shared" si="34"/>
        <v>2.1889063370649216E-2</v>
      </c>
      <c r="AW83" s="1789"/>
      <c r="AX83" s="1790">
        <f t="shared" si="32"/>
        <v>-1.2325774303973453E-2</v>
      </c>
      <c r="AY83" s="1790">
        <f t="shared" si="35"/>
        <v>-7.7119100126287407E-3</v>
      </c>
      <c r="AZ83" s="1791">
        <f t="shared" si="38"/>
        <v>-7.7119100126287407E-3</v>
      </c>
      <c r="BA83" s="1828">
        <f t="shared" si="33"/>
        <v>-8.0906148867313909E-3</v>
      </c>
    </row>
    <row r="84" spans="1:53" x14ac:dyDescent="0.55000000000000004">
      <c r="A84" s="7475"/>
      <c r="B84" s="1764"/>
      <c r="C84" s="1820" t="s">
        <v>1069</v>
      </c>
      <c r="D84" s="1821"/>
      <c r="E84" s="2165"/>
      <c r="F84" s="2165"/>
      <c r="G84" s="2165"/>
      <c r="H84" s="2165"/>
      <c r="I84" s="2165"/>
      <c r="J84" s="2165"/>
      <c r="K84" s="2165"/>
      <c r="L84" s="2165"/>
      <c r="M84" s="2165"/>
      <c r="N84" s="2165"/>
      <c r="O84" s="2165"/>
      <c r="P84" s="2180"/>
      <c r="Q84" s="2181"/>
      <c r="S84" s="1821">
        <v>32</v>
      </c>
      <c r="T84" s="2165">
        <v>18</v>
      </c>
      <c r="U84" s="2165">
        <v>17</v>
      </c>
      <c r="V84" s="2165">
        <v>22</v>
      </c>
      <c r="W84" s="2165">
        <v>19</v>
      </c>
      <c r="X84" s="2165">
        <v>18</v>
      </c>
      <c r="Y84" s="2165">
        <v>18</v>
      </c>
      <c r="Z84" s="2165">
        <v>14</v>
      </c>
      <c r="AA84" s="2165">
        <v>26</v>
      </c>
      <c r="AB84" s="2165">
        <v>19</v>
      </c>
      <c r="AC84" s="2165">
        <v>31</v>
      </c>
      <c r="AD84" s="2165">
        <v>22</v>
      </c>
      <c r="AE84" s="2180">
        <v>256</v>
      </c>
      <c r="AF84" s="2181">
        <v>21.333333333333332</v>
      </c>
      <c r="AH84" s="6969">
        <v>15</v>
      </c>
      <c r="AI84" s="6970">
        <v>23</v>
      </c>
      <c r="AJ84" s="6970">
        <v>13</v>
      </c>
      <c r="AK84" s="6970">
        <v>8</v>
      </c>
      <c r="AL84" s="6970">
        <v>9</v>
      </c>
      <c r="AM84" s="6970">
        <v>6</v>
      </c>
      <c r="AN84" s="6970">
        <v>10</v>
      </c>
      <c r="AO84" s="6970">
        <v>11</v>
      </c>
      <c r="AP84" s="6970">
        <v>9</v>
      </c>
      <c r="AQ84" s="6970">
        <v>7</v>
      </c>
      <c r="AR84" s="6970">
        <v>7</v>
      </c>
      <c r="AS84" s="6970">
        <v>11</v>
      </c>
      <c r="AT84" s="2180"/>
      <c r="AU84" s="2181">
        <f t="shared" si="34"/>
        <v>10.75</v>
      </c>
      <c r="AW84" s="1822"/>
      <c r="AX84" s="1823">
        <f t="shared" si="32"/>
        <v>-11</v>
      </c>
      <c r="AY84" s="1823">
        <f t="shared" si="35"/>
        <v>-10.583333333333332</v>
      </c>
      <c r="AZ84" s="1824">
        <f t="shared" si="38"/>
        <v>-10.583333333333332</v>
      </c>
      <c r="BA84" s="1825">
        <f t="shared" si="33"/>
        <v>4</v>
      </c>
    </row>
    <row r="85" spans="1:53" x14ac:dyDescent="0.55000000000000004">
      <c r="A85" s="7475"/>
      <c r="B85" s="1764"/>
      <c r="C85" s="1831" t="s">
        <v>1077</v>
      </c>
      <c r="D85" s="1832"/>
      <c r="E85" s="2167"/>
      <c r="F85" s="2167"/>
      <c r="G85" s="2167"/>
      <c r="H85" s="2167"/>
      <c r="I85" s="2167"/>
      <c r="J85" s="2167"/>
      <c r="K85" s="2167"/>
      <c r="L85" s="2167"/>
      <c r="M85" s="2167"/>
      <c r="N85" s="2167"/>
      <c r="O85" s="2167"/>
      <c r="P85" s="2167"/>
      <c r="Q85" s="2167"/>
      <c r="S85" s="1832">
        <v>0.5423728813559322</v>
      </c>
      <c r="T85" s="2167">
        <v>0.35294117647058826</v>
      </c>
      <c r="U85" s="2167">
        <v>0.32075471698113206</v>
      </c>
      <c r="V85" s="2167">
        <v>0.36065573770491804</v>
      </c>
      <c r="W85" s="2167">
        <v>0.37254901960784315</v>
      </c>
      <c r="X85" s="2167">
        <v>0.30508474576271188</v>
      </c>
      <c r="Y85" s="2167">
        <v>0.29032258064516131</v>
      </c>
      <c r="Z85" s="2167">
        <v>0.28000000000000003</v>
      </c>
      <c r="AA85" s="2167">
        <v>0.42622950819672129</v>
      </c>
      <c r="AB85" s="2167">
        <v>0.45238095238095238</v>
      </c>
      <c r="AC85" s="2167">
        <v>0.50819672131147542</v>
      </c>
      <c r="AD85" s="2167">
        <v>0.46808510638297873</v>
      </c>
      <c r="AE85" s="2183"/>
      <c r="AF85" s="2167">
        <v>0.39</v>
      </c>
      <c r="AH85" s="6971">
        <v>0.46875</v>
      </c>
      <c r="AI85" s="6972">
        <v>0.44230769230769229</v>
      </c>
      <c r="AJ85" s="6972">
        <v>0.26</v>
      </c>
      <c r="AK85" s="6972">
        <v>0.21052631578947367</v>
      </c>
      <c r="AL85" s="6972">
        <v>0.25714285714285712</v>
      </c>
      <c r="AM85" s="6972">
        <v>0.15</v>
      </c>
      <c r="AN85" s="6972">
        <v>0.22222222222222221</v>
      </c>
      <c r="AO85" s="6972">
        <v>0.21153846153846154</v>
      </c>
      <c r="AP85" s="6972">
        <v>0.23076923076923078</v>
      </c>
      <c r="AQ85" s="6972">
        <v>0.16666666666666666</v>
      </c>
      <c r="AR85" s="6972">
        <v>0.18421052631578946</v>
      </c>
      <c r="AS85" s="6972">
        <v>0.47826086956521741</v>
      </c>
      <c r="AT85" s="2183"/>
      <c r="AU85" s="2167">
        <f t="shared" si="34"/>
        <v>0.27353290352646759</v>
      </c>
      <c r="AW85" s="1833"/>
      <c r="AX85" s="1834">
        <f t="shared" si="32"/>
        <v>1.0175763182238673E-2</v>
      </c>
      <c r="AY85" s="1834">
        <f t="shared" si="35"/>
        <v>-0.11646709647353243</v>
      </c>
      <c r="AZ85" s="1835">
        <f t="shared" si="38"/>
        <v>-0.11643152537356699</v>
      </c>
      <c r="BA85" s="1836">
        <f t="shared" si="33"/>
        <v>0.29405034324942791</v>
      </c>
    </row>
    <row r="86" spans="1:53" x14ac:dyDescent="0.55000000000000004">
      <c r="A86" s="7475"/>
      <c r="B86" s="1764"/>
      <c r="C86" s="1837" t="s">
        <v>1063</v>
      </c>
      <c r="D86" s="1838"/>
      <c r="E86" s="1839"/>
      <c r="F86" s="1839"/>
      <c r="G86" s="1839"/>
      <c r="H86" s="1839"/>
      <c r="I86" s="1839"/>
      <c r="J86" s="1839"/>
      <c r="K86" s="1839"/>
      <c r="L86" s="1839"/>
      <c r="M86" s="1839"/>
      <c r="N86" s="1839"/>
      <c r="O86" s="1839"/>
      <c r="P86" s="1840"/>
      <c r="Q86" s="1841"/>
      <c r="S86" s="1838">
        <v>48</v>
      </c>
      <c r="T86" s="1839">
        <v>39</v>
      </c>
      <c r="U86" s="1839">
        <v>39</v>
      </c>
      <c r="V86" s="1839">
        <v>36</v>
      </c>
      <c r="W86" s="1839">
        <v>39</v>
      </c>
      <c r="X86" s="1839">
        <v>41</v>
      </c>
      <c r="Y86" s="1839">
        <v>42</v>
      </c>
      <c r="Z86" s="1839">
        <v>33</v>
      </c>
      <c r="AA86" s="1839">
        <v>39</v>
      </c>
      <c r="AB86" s="1839">
        <v>32</v>
      </c>
      <c r="AC86" s="1839">
        <v>40</v>
      </c>
      <c r="AD86" s="1839">
        <v>36</v>
      </c>
      <c r="AE86" s="1840">
        <v>464</v>
      </c>
      <c r="AF86" s="1841">
        <v>38.666666666666664</v>
      </c>
      <c r="AH86" s="6973">
        <v>23</v>
      </c>
      <c r="AI86" s="6974">
        <v>36</v>
      </c>
      <c r="AJ86" s="6974">
        <v>33</v>
      </c>
      <c r="AK86" s="6974">
        <v>23</v>
      </c>
      <c r="AL86" s="6974">
        <v>25</v>
      </c>
      <c r="AM86" s="6974">
        <v>21</v>
      </c>
      <c r="AN86" s="6974">
        <v>32</v>
      </c>
      <c r="AO86" s="6974">
        <v>35</v>
      </c>
      <c r="AP86" s="6974">
        <v>17</v>
      </c>
      <c r="AQ86" s="6974">
        <v>22</v>
      </c>
      <c r="AR86" s="6974">
        <v>19</v>
      </c>
      <c r="AS86" s="6974">
        <v>16</v>
      </c>
      <c r="AT86" s="1840"/>
      <c r="AU86" s="1841">
        <f t="shared" si="34"/>
        <v>25.166666666666668</v>
      </c>
      <c r="AW86" s="1842"/>
      <c r="AX86" s="1843">
        <f t="shared" ref="AX86:AX89" si="39">HLOOKUP($A$1,$AH$2:$AT$502,ROW()-1,0)-HLOOKUP($A$1,$S$2:$AD$502,ROW()-1,0)</f>
        <v>-20</v>
      </c>
      <c r="AY86" s="1843">
        <f t="shared" si="35"/>
        <v>-13.499999999999996</v>
      </c>
      <c r="AZ86" s="1844">
        <f t="shared" si="38"/>
        <v>-13.499999999999996</v>
      </c>
      <c r="BA86" s="1845">
        <f t="shared" ref="BA86:BA97" si="40">HLOOKUP($A$1,$AH$2:$AT$502,ROW()-1,0)-HLOOKUP($B$1,$AH$2:$AT$502,ROW()-1,0)</f>
        <v>-3</v>
      </c>
    </row>
    <row r="87" spans="1:53" x14ac:dyDescent="0.55000000000000004">
      <c r="A87" s="7475"/>
      <c r="B87" s="1787"/>
      <c r="C87" s="1786" t="s">
        <v>1069</v>
      </c>
      <c r="D87" s="1750"/>
      <c r="E87" s="2159"/>
      <c r="F87" s="2159"/>
      <c r="G87" s="2159"/>
      <c r="H87" s="2159"/>
      <c r="I87" s="2159"/>
      <c r="J87" s="2159"/>
      <c r="K87" s="2159"/>
      <c r="L87" s="2159"/>
      <c r="M87" s="2159"/>
      <c r="N87" s="2159"/>
      <c r="O87" s="2159"/>
      <c r="P87" s="2171"/>
      <c r="Q87" s="2173"/>
      <c r="S87" s="1821">
        <v>28</v>
      </c>
      <c r="T87" s="2165">
        <v>15</v>
      </c>
      <c r="U87" s="2165">
        <v>16</v>
      </c>
      <c r="V87" s="2165">
        <v>17</v>
      </c>
      <c r="W87" s="2165">
        <v>16</v>
      </c>
      <c r="X87" s="2165">
        <v>14</v>
      </c>
      <c r="Y87" s="2165">
        <v>15</v>
      </c>
      <c r="Z87" s="2165">
        <v>10</v>
      </c>
      <c r="AA87" s="2165">
        <v>21</v>
      </c>
      <c r="AB87" s="2165">
        <v>15</v>
      </c>
      <c r="AC87" s="2165">
        <v>18</v>
      </c>
      <c r="AD87" s="2165">
        <v>18</v>
      </c>
      <c r="AE87" s="2171">
        <v>203</v>
      </c>
      <c r="AF87" s="2173">
        <v>16.916666666666668</v>
      </c>
      <c r="AH87" s="6975">
        <v>9</v>
      </c>
      <c r="AI87" s="6970">
        <v>15</v>
      </c>
      <c r="AJ87" s="6970">
        <v>9</v>
      </c>
      <c r="AK87" s="6970">
        <v>6</v>
      </c>
      <c r="AL87" s="6970">
        <v>3</v>
      </c>
      <c r="AM87" s="6970">
        <v>3</v>
      </c>
      <c r="AN87" s="6970">
        <v>6</v>
      </c>
      <c r="AO87" s="6970">
        <v>6</v>
      </c>
      <c r="AP87" s="6970">
        <v>4</v>
      </c>
      <c r="AQ87" s="6970">
        <v>3</v>
      </c>
      <c r="AR87" s="6970">
        <v>4</v>
      </c>
      <c r="AS87" s="6970">
        <v>8</v>
      </c>
      <c r="AT87" s="2171"/>
      <c r="AU87" s="2173">
        <f t="shared" si="34"/>
        <v>6.333333333333333</v>
      </c>
      <c r="AW87" s="1780"/>
      <c r="AX87" s="1781">
        <f t="shared" si="39"/>
        <v>-10</v>
      </c>
      <c r="AY87" s="1781">
        <f t="shared" si="35"/>
        <v>-10.583333333333336</v>
      </c>
      <c r="AZ87" s="1782">
        <f t="shared" si="38"/>
        <v>-10.583333333333336</v>
      </c>
      <c r="BA87" s="1785">
        <f t="shared" si="40"/>
        <v>4</v>
      </c>
    </row>
    <row r="88" spans="1:53" x14ac:dyDescent="0.55000000000000004">
      <c r="A88" s="7475"/>
      <c r="B88" s="1787"/>
      <c r="C88" s="1793" t="s">
        <v>1076</v>
      </c>
      <c r="D88" s="1794"/>
      <c r="E88" s="1795"/>
      <c r="F88" s="1795"/>
      <c r="G88" s="1795"/>
      <c r="H88" s="1795"/>
      <c r="I88" s="1795"/>
      <c r="J88" s="1795"/>
      <c r="K88" s="1795"/>
      <c r="L88" s="1795"/>
      <c r="M88" s="1795"/>
      <c r="N88" s="1795"/>
      <c r="O88" s="1795"/>
      <c r="P88" s="1796"/>
      <c r="Q88" s="1797"/>
      <c r="S88" s="1832">
        <v>0.58333333333333337</v>
      </c>
      <c r="T88" s="2167">
        <v>0.38461538461538464</v>
      </c>
      <c r="U88" s="2167">
        <v>0.41025641025641024</v>
      </c>
      <c r="V88" s="2167">
        <v>0.47222222222222221</v>
      </c>
      <c r="W88" s="2167">
        <v>0.41025641025641024</v>
      </c>
      <c r="X88" s="2167">
        <v>0.34146341463414637</v>
      </c>
      <c r="Y88" s="2167">
        <v>0.35714285714285715</v>
      </c>
      <c r="Z88" s="2167">
        <v>0.30303030303030304</v>
      </c>
      <c r="AA88" s="2167">
        <v>0.53846153846153844</v>
      </c>
      <c r="AB88" s="2167">
        <v>0.46875</v>
      </c>
      <c r="AC88" s="2167">
        <v>0.45</v>
      </c>
      <c r="AD88" s="2167">
        <v>0.5</v>
      </c>
      <c r="AE88" s="1796"/>
      <c r="AF88" s="2184">
        <v>0.435</v>
      </c>
      <c r="AH88" s="6976">
        <v>0.39130434782608697</v>
      </c>
      <c r="AI88" s="6977">
        <v>0.41666666666666669</v>
      </c>
      <c r="AJ88" s="6977">
        <v>0.27272727272727271</v>
      </c>
      <c r="AK88" s="6977">
        <v>0.2608695652173913</v>
      </c>
      <c r="AL88" s="6977">
        <v>0.12</v>
      </c>
      <c r="AM88" s="6977">
        <v>0.14285714285714285</v>
      </c>
      <c r="AN88" s="6977">
        <v>0.1875</v>
      </c>
      <c r="AO88" s="6977">
        <v>0.17142857142857143</v>
      </c>
      <c r="AP88" s="6977">
        <v>0.23529411764705882</v>
      </c>
      <c r="AQ88" s="6978">
        <v>0.13636363636363635</v>
      </c>
      <c r="AR88" s="6979">
        <v>0.21052631578947367</v>
      </c>
      <c r="AS88" s="6979">
        <v>0.5</v>
      </c>
      <c r="AT88" s="1796"/>
      <c r="AU88" s="2167">
        <f t="shared" si="34"/>
        <v>0.25379480304360835</v>
      </c>
      <c r="AW88" s="1798"/>
      <c r="AX88" s="1799">
        <f t="shared" si="39"/>
        <v>0</v>
      </c>
      <c r="AY88" s="1799">
        <f t="shared" si="35"/>
        <v>-0.18120519695639165</v>
      </c>
      <c r="AZ88" s="1835">
        <f t="shared" si="38"/>
        <v>-0.18116618645244209</v>
      </c>
      <c r="BA88" s="1819">
        <f t="shared" si="40"/>
        <v>0.28947368421052633</v>
      </c>
    </row>
    <row r="89" spans="1:53" x14ac:dyDescent="0.55000000000000004">
      <c r="A89" s="7475"/>
      <c r="B89" s="1787"/>
      <c r="C89" s="1829" t="s">
        <v>1115</v>
      </c>
      <c r="D89" s="1752"/>
      <c r="E89" s="2166"/>
      <c r="F89" s="2166"/>
      <c r="G89" s="2166"/>
      <c r="H89" s="2166"/>
      <c r="I89" s="2166"/>
      <c r="J89" s="2166"/>
      <c r="K89" s="2166"/>
      <c r="L89" s="2166"/>
      <c r="M89" s="2166"/>
      <c r="N89" s="2166"/>
      <c r="O89" s="2166"/>
      <c r="P89" s="2177"/>
      <c r="Q89" s="2182"/>
      <c r="S89" s="2185">
        <v>0</v>
      </c>
      <c r="T89" s="2186">
        <v>1</v>
      </c>
      <c r="U89" s="2186">
        <v>2</v>
      </c>
      <c r="V89" s="2186">
        <v>3</v>
      </c>
      <c r="W89" s="2186">
        <v>0</v>
      </c>
      <c r="X89" s="2186">
        <v>1</v>
      </c>
      <c r="Y89" s="2186">
        <v>1</v>
      </c>
      <c r="Z89" s="2186">
        <v>2</v>
      </c>
      <c r="AA89" s="2186">
        <v>2</v>
      </c>
      <c r="AB89" s="2186">
        <v>0</v>
      </c>
      <c r="AC89" s="2186">
        <v>2</v>
      </c>
      <c r="AD89" s="2186">
        <v>2</v>
      </c>
      <c r="AE89" s="2177">
        <v>16</v>
      </c>
      <c r="AF89" s="2187">
        <v>1.3333333333333333</v>
      </c>
      <c r="AH89" s="6969">
        <v>3</v>
      </c>
      <c r="AI89" s="6970">
        <v>2</v>
      </c>
      <c r="AJ89" s="6970">
        <v>4</v>
      </c>
      <c r="AK89" s="6970">
        <v>2</v>
      </c>
      <c r="AL89" s="6970">
        <v>1</v>
      </c>
      <c r="AM89" s="6970">
        <v>3</v>
      </c>
      <c r="AN89" s="6970">
        <v>2</v>
      </c>
      <c r="AO89" s="6970">
        <v>3</v>
      </c>
      <c r="AP89" s="6970">
        <v>4</v>
      </c>
      <c r="AQ89" s="6970">
        <v>3</v>
      </c>
      <c r="AR89" s="6970">
        <v>2</v>
      </c>
      <c r="AS89" s="6970"/>
      <c r="AT89" s="2177"/>
      <c r="AU89" s="1841">
        <f t="shared" si="34"/>
        <v>2.6363636363636362</v>
      </c>
      <c r="AW89" s="1789"/>
      <c r="AX89" s="1790">
        <f t="shared" si="39"/>
        <v>-2</v>
      </c>
      <c r="AY89" s="1790">
        <f t="shared" si="35"/>
        <v>1.303030303030303</v>
      </c>
      <c r="AZ89" s="1791">
        <f t="shared" si="38"/>
        <v>1.303030303030303</v>
      </c>
      <c r="BA89" s="1828">
        <f t="shared" si="40"/>
        <v>-2</v>
      </c>
    </row>
    <row r="90" spans="1:53" x14ac:dyDescent="0.55000000000000004">
      <c r="A90" s="7475"/>
      <c r="B90" s="1787"/>
      <c r="C90" s="1786" t="s">
        <v>1068</v>
      </c>
      <c r="D90" s="1750"/>
      <c r="E90" s="2159"/>
      <c r="F90" s="2159"/>
      <c r="G90" s="2159"/>
      <c r="H90" s="2159"/>
      <c r="I90" s="2159"/>
      <c r="J90" s="2159"/>
      <c r="K90" s="2159"/>
      <c r="L90" s="2159"/>
      <c r="M90" s="2159"/>
      <c r="N90" s="2159"/>
      <c r="O90" s="2159"/>
      <c r="P90" s="2171"/>
      <c r="Q90" s="2173"/>
      <c r="S90" s="1750">
        <v>0</v>
      </c>
      <c r="T90" s="2159">
        <v>0</v>
      </c>
      <c r="U90" s="2159">
        <v>0</v>
      </c>
      <c r="V90" s="2159">
        <v>0</v>
      </c>
      <c r="W90" s="2159">
        <v>0</v>
      </c>
      <c r="X90" s="2159">
        <v>1</v>
      </c>
      <c r="Y90" s="2159">
        <v>0</v>
      </c>
      <c r="Z90" s="2159">
        <v>0</v>
      </c>
      <c r="AA90" s="2159">
        <v>0</v>
      </c>
      <c r="AB90" s="2159">
        <v>0</v>
      </c>
      <c r="AC90" s="2159">
        <v>1</v>
      </c>
      <c r="AD90" s="2159">
        <v>0</v>
      </c>
      <c r="AE90" s="2171">
        <v>2</v>
      </c>
      <c r="AF90" s="2172">
        <v>0.16666666666666699</v>
      </c>
      <c r="AH90" s="6975">
        <v>2</v>
      </c>
      <c r="AI90" s="6970">
        <v>2</v>
      </c>
      <c r="AJ90" s="6970">
        <v>1</v>
      </c>
      <c r="AK90" s="6970">
        <v>1</v>
      </c>
      <c r="AL90" s="6970">
        <v>1</v>
      </c>
      <c r="AM90" s="6970">
        <v>0</v>
      </c>
      <c r="AN90" s="6970"/>
      <c r="AO90" s="6970"/>
      <c r="AP90" s="6970">
        <v>2</v>
      </c>
      <c r="AQ90" s="6970"/>
      <c r="AR90" s="6970"/>
      <c r="AS90" s="6970"/>
      <c r="AT90" s="2171"/>
      <c r="AU90" s="2173">
        <f t="shared" si="34"/>
        <v>1.2857142857142858</v>
      </c>
      <c r="AW90" s="1780"/>
      <c r="AX90" s="1781">
        <f>IFERROR(HLOOKUP($A$1,$AH$2:$AT$502,ROW()-1,0)-HLOOKUP($A$1,$S$2:$AD$502,ROW()-1,0),"")</f>
        <v>0</v>
      </c>
      <c r="AY90" s="1781">
        <f t="shared" si="35"/>
        <v>1.1190476190476188</v>
      </c>
      <c r="AZ90" s="1782">
        <f t="shared" si="38"/>
        <v>1.1190476190476191</v>
      </c>
      <c r="BA90" s="1785">
        <f t="shared" si="40"/>
        <v>0</v>
      </c>
    </row>
    <row r="91" spans="1:53" x14ac:dyDescent="0.55000000000000004">
      <c r="A91" s="7475"/>
      <c r="B91" s="1787"/>
      <c r="C91" s="1793" t="s">
        <v>1076</v>
      </c>
      <c r="D91" s="1794"/>
      <c r="E91" s="1795"/>
      <c r="F91" s="1795"/>
      <c r="G91" s="1795"/>
      <c r="H91" s="1795"/>
      <c r="I91" s="1795"/>
      <c r="J91" s="1795"/>
      <c r="K91" s="1795"/>
      <c r="L91" s="1795"/>
      <c r="M91" s="1795"/>
      <c r="N91" s="1795"/>
      <c r="O91" s="1795"/>
      <c r="P91" s="1796"/>
      <c r="Q91" s="1797"/>
      <c r="S91" s="1832">
        <v>0</v>
      </c>
      <c r="T91" s="2167">
        <v>0</v>
      </c>
      <c r="U91" s="2167">
        <v>0</v>
      </c>
      <c r="V91" s="2167">
        <v>0</v>
      </c>
      <c r="W91" s="2167">
        <v>0</v>
      </c>
      <c r="X91" s="2167">
        <v>1</v>
      </c>
      <c r="Y91" s="2167">
        <v>0</v>
      </c>
      <c r="Z91" s="2167">
        <v>0</v>
      </c>
      <c r="AA91" s="2167">
        <v>0</v>
      </c>
      <c r="AB91" s="2167">
        <v>0</v>
      </c>
      <c r="AC91" s="2167">
        <v>0.5</v>
      </c>
      <c r="AD91" s="2167">
        <v>0</v>
      </c>
      <c r="AE91" s="1796"/>
      <c r="AF91" s="2184">
        <v>0.12500000000000025</v>
      </c>
      <c r="AH91" s="6976">
        <v>0.66666666666666663</v>
      </c>
      <c r="AI91" s="6977">
        <v>1</v>
      </c>
      <c r="AJ91" s="6977">
        <v>0.25</v>
      </c>
      <c r="AK91" s="6977">
        <v>0.5</v>
      </c>
      <c r="AL91" s="6977">
        <v>1</v>
      </c>
      <c r="AM91" s="6977">
        <v>0</v>
      </c>
      <c r="AN91" s="6977"/>
      <c r="AO91" s="6977"/>
      <c r="AP91" s="6977">
        <v>0.5</v>
      </c>
      <c r="AQ91" s="6978"/>
      <c r="AR91" s="6979"/>
      <c r="AS91" s="6979"/>
      <c r="AT91" s="1796"/>
      <c r="AU91" s="2167">
        <f t="shared" si="34"/>
        <v>0.55952380952380953</v>
      </c>
      <c r="AW91" s="1798"/>
      <c r="AX91" s="1835">
        <f t="shared" si="35"/>
        <v>0</v>
      </c>
      <c r="AY91" s="1835">
        <f>AU91-AF91</f>
        <v>0.43452380952380931</v>
      </c>
      <c r="AZ91" s="1835">
        <f t="shared" si="38"/>
        <v>0.43452380952380953</v>
      </c>
      <c r="BA91" s="1819">
        <f t="shared" si="40"/>
        <v>0</v>
      </c>
    </row>
    <row r="92" spans="1:53" x14ac:dyDescent="0.55000000000000004">
      <c r="A92" s="7475"/>
      <c r="B92" s="1787"/>
      <c r="C92" s="1829" t="s">
        <v>1064</v>
      </c>
      <c r="D92" s="1752"/>
      <c r="E92" s="2166"/>
      <c r="F92" s="2166"/>
      <c r="G92" s="2166"/>
      <c r="H92" s="2166"/>
      <c r="I92" s="2166"/>
      <c r="J92" s="2166"/>
      <c r="K92" s="2166"/>
      <c r="L92" s="2166"/>
      <c r="M92" s="2166"/>
      <c r="N92" s="2166"/>
      <c r="O92" s="2166"/>
      <c r="P92" s="2177"/>
      <c r="Q92" s="2182"/>
      <c r="S92" s="1752">
        <v>10</v>
      </c>
      <c r="T92" s="2166">
        <v>8</v>
      </c>
      <c r="U92" s="2166">
        <v>11</v>
      </c>
      <c r="V92" s="2166">
        <v>17</v>
      </c>
      <c r="W92" s="2188">
        <v>8</v>
      </c>
      <c r="X92" s="2188">
        <v>13</v>
      </c>
      <c r="Y92" s="2188">
        <v>12</v>
      </c>
      <c r="Z92" s="2188">
        <v>12</v>
      </c>
      <c r="AA92" s="2188">
        <v>19</v>
      </c>
      <c r="AB92" s="2188">
        <v>9</v>
      </c>
      <c r="AC92" s="2188">
        <v>17</v>
      </c>
      <c r="AD92" s="2188">
        <v>6</v>
      </c>
      <c r="AE92" s="2177">
        <v>142</v>
      </c>
      <c r="AF92" s="2187">
        <v>11.833333333333334</v>
      </c>
      <c r="AH92" s="6969">
        <v>6</v>
      </c>
      <c r="AI92" s="6970">
        <v>10</v>
      </c>
      <c r="AJ92" s="6970">
        <v>8</v>
      </c>
      <c r="AK92" s="6970">
        <v>10</v>
      </c>
      <c r="AL92" s="6970">
        <v>7</v>
      </c>
      <c r="AM92" s="6970">
        <v>11</v>
      </c>
      <c r="AN92" s="6970">
        <v>8</v>
      </c>
      <c r="AO92" s="6970">
        <v>11</v>
      </c>
      <c r="AP92" s="6970">
        <v>15</v>
      </c>
      <c r="AQ92" s="6970">
        <v>17</v>
      </c>
      <c r="AR92" s="6970">
        <v>15</v>
      </c>
      <c r="AS92" s="6970">
        <v>6</v>
      </c>
      <c r="AT92" s="2177"/>
      <c r="AU92" s="1841">
        <f t="shared" si="34"/>
        <v>10.333333333333334</v>
      </c>
      <c r="AW92" s="1789"/>
      <c r="AX92" s="1790">
        <f t="shared" ref="AX92:AX97" si="41">HLOOKUP($A$1,$AH$2:$AT$502,ROW()-1,0)-HLOOKUP($A$1,$S$2:$AD$502,ROW()-1,0)</f>
        <v>0</v>
      </c>
      <c r="AY92" s="1790">
        <f t="shared" si="35"/>
        <v>-1.5</v>
      </c>
      <c r="AZ92" s="1791">
        <f t="shared" si="38"/>
        <v>-1.5</v>
      </c>
      <c r="BA92" s="1828">
        <f t="shared" si="40"/>
        <v>-9</v>
      </c>
    </row>
    <row r="93" spans="1:53" x14ac:dyDescent="0.55000000000000004">
      <c r="A93" s="7475"/>
      <c r="B93" s="1787"/>
      <c r="C93" s="1786" t="s">
        <v>1068</v>
      </c>
      <c r="D93" s="1750"/>
      <c r="E93" s="2159"/>
      <c r="F93" s="2159"/>
      <c r="G93" s="2159"/>
      <c r="H93" s="2159"/>
      <c r="I93" s="2159"/>
      <c r="J93" s="2159"/>
      <c r="K93" s="2159"/>
      <c r="L93" s="2159"/>
      <c r="M93" s="2159"/>
      <c r="N93" s="2159"/>
      <c r="O93" s="2159"/>
      <c r="P93" s="2171"/>
      <c r="Q93" s="2173"/>
      <c r="S93" s="1750">
        <v>4</v>
      </c>
      <c r="T93" s="2159">
        <v>3</v>
      </c>
      <c r="U93" s="2159">
        <v>1</v>
      </c>
      <c r="V93" s="2159">
        <v>5</v>
      </c>
      <c r="W93" s="2159">
        <v>2</v>
      </c>
      <c r="X93" s="2159">
        <v>3</v>
      </c>
      <c r="Y93" s="2159">
        <v>3</v>
      </c>
      <c r="Z93" s="2159">
        <v>4</v>
      </c>
      <c r="AA93" s="2159">
        <v>5</v>
      </c>
      <c r="AB93" s="2159">
        <v>4</v>
      </c>
      <c r="AC93" s="2159">
        <v>12</v>
      </c>
      <c r="AD93" s="2159">
        <v>4</v>
      </c>
      <c r="AE93" s="2171">
        <v>50</v>
      </c>
      <c r="AF93" s="2173">
        <v>4.166666666666667</v>
      </c>
      <c r="AH93" s="6975">
        <v>4</v>
      </c>
      <c r="AI93" s="6970">
        <v>5</v>
      </c>
      <c r="AJ93" s="6970">
        <v>3</v>
      </c>
      <c r="AK93" s="6970">
        <v>1</v>
      </c>
      <c r="AL93" s="6970">
        <v>5</v>
      </c>
      <c r="AM93" s="6970">
        <v>2</v>
      </c>
      <c r="AN93" s="6970">
        <v>3</v>
      </c>
      <c r="AO93" s="6970">
        <v>5</v>
      </c>
      <c r="AP93" s="6970">
        <v>3</v>
      </c>
      <c r="AQ93" s="6970">
        <v>4</v>
      </c>
      <c r="AR93" s="6970">
        <v>3</v>
      </c>
      <c r="AS93" s="6970">
        <v>3</v>
      </c>
      <c r="AT93" s="2171"/>
      <c r="AU93" s="2173">
        <f t="shared" si="34"/>
        <v>3.4166666666666665</v>
      </c>
      <c r="AW93" s="1780"/>
      <c r="AX93" s="1781">
        <f t="shared" si="41"/>
        <v>-1</v>
      </c>
      <c r="AY93" s="1781">
        <f t="shared" si="35"/>
        <v>-0.75000000000000044</v>
      </c>
      <c r="AZ93" s="1782">
        <f t="shared" si="38"/>
        <v>-0.75000000000000044</v>
      </c>
      <c r="BA93" s="1785">
        <f t="shared" si="40"/>
        <v>0</v>
      </c>
    </row>
    <row r="94" spans="1:53" x14ac:dyDescent="0.55000000000000004">
      <c r="A94" s="7475"/>
      <c r="B94" s="1787"/>
      <c r="C94" s="1793" t="s">
        <v>1076</v>
      </c>
      <c r="D94" s="1794"/>
      <c r="E94" s="1795"/>
      <c r="F94" s="1795"/>
      <c r="G94" s="1795"/>
      <c r="H94" s="1795"/>
      <c r="I94" s="1795"/>
      <c r="J94" s="1795"/>
      <c r="K94" s="1795"/>
      <c r="L94" s="1795"/>
      <c r="M94" s="1795"/>
      <c r="N94" s="1795"/>
      <c r="O94" s="1795"/>
      <c r="P94" s="1796"/>
      <c r="Q94" s="1797"/>
      <c r="S94" s="1832">
        <v>0.4</v>
      </c>
      <c r="T94" s="2167">
        <v>0.375</v>
      </c>
      <c r="U94" s="2167">
        <v>9.0909090909090912E-2</v>
      </c>
      <c r="V94" s="2167">
        <v>0.29411764705882354</v>
      </c>
      <c r="W94" s="2167">
        <v>0.25</v>
      </c>
      <c r="X94" s="2167">
        <v>0.23076923076923078</v>
      </c>
      <c r="Y94" s="2167">
        <v>0.25</v>
      </c>
      <c r="Z94" s="2167">
        <v>0.33333333333333331</v>
      </c>
      <c r="AA94" s="2167">
        <v>0.26315789473684209</v>
      </c>
      <c r="AB94" s="2167">
        <v>0.44444444444444442</v>
      </c>
      <c r="AC94" s="2167">
        <v>0.70588235294117652</v>
      </c>
      <c r="AD94" s="2167">
        <v>0.66666666666666663</v>
      </c>
      <c r="AE94" s="2171"/>
      <c r="AF94" s="2167">
        <f>AF93/AF92</f>
        <v>0.35211267605633806</v>
      </c>
      <c r="AH94" s="6976">
        <v>0.66666666666666663</v>
      </c>
      <c r="AI94" s="6977">
        <v>0.5</v>
      </c>
      <c r="AJ94" s="6977">
        <v>0.375</v>
      </c>
      <c r="AK94" s="6977">
        <v>0.1</v>
      </c>
      <c r="AL94" s="6977">
        <v>0.7142857142857143</v>
      </c>
      <c r="AM94" s="6977">
        <v>0.18181818181818182</v>
      </c>
      <c r="AN94" s="6977">
        <v>0.375</v>
      </c>
      <c r="AO94" s="6977">
        <v>0.45454545454545453</v>
      </c>
      <c r="AP94" s="6977">
        <v>0.2</v>
      </c>
      <c r="AQ94" s="6977">
        <v>0.23529411764705882</v>
      </c>
      <c r="AR94" s="6977">
        <v>0.2</v>
      </c>
      <c r="AS94" s="6977">
        <v>0.5</v>
      </c>
      <c r="AT94" s="1796"/>
      <c r="AU94" s="2167">
        <f t="shared" si="34"/>
        <v>0.37521751124692299</v>
      </c>
      <c r="AW94" s="1798"/>
      <c r="AX94" s="1799">
        <f t="shared" si="41"/>
        <v>-0.16666666666666663</v>
      </c>
      <c r="AY94" s="1799">
        <f t="shared" si="35"/>
        <v>2.3104835190584927E-2</v>
      </c>
      <c r="AZ94" s="1800">
        <f t="shared" si="38"/>
        <v>1.652745617528889E-2</v>
      </c>
      <c r="BA94" s="1819">
        <f t="shared" si="40"/>
        <v>0.3</v>
      </c>
    </row>
    <row r="95" spans="1:53" x14ac:dyDescent="0.55000000000000004">
      <c r="A95" s="7475"/>
      <c r="B95" s="1787"/>
      <c r="C95" s="1829" t="s">
        <v>1065</v>
      </c>
      <c r="D95" s="1752"/>
      <c r="E95" s="2166"/>
      <c r="F95" s="2166"/>
      <c r="G95" s="2166"/>
      <c r="H95" s="2166"/>
      <c r="I95" s="2166"/>
      <c r="J95" s="2166"/>
      <c r="K95" s="2166"/>
      <c r="L95" s="2166"/>
      <c r="M95" s="2166"/>
      <c r="N95" s="2166"/>
      <c r="O95" s="2166"/>
      <c r="P95" s="2177"/>
      <c r="Q95" s="2182"/>
      <c r="S95" s="2185">
        <v>1</v>
      </c>
      <c r="T95" s="2186">
        <v>3</v>
      </c>
      <c r="U95" s="2186">
        <v>1</v>
      </c>
      <c r="V95" s="2186">
        <v>5</v>
      </c>
      <c r="W95" s="2186">
        <v>4</v>
      </c>
      <c r="X95" s="2186">
        <v>4</v>
      </c>
      <c r="Y95" s="2186">
        <v>7</v>
      </c>
      <c r="Z95" s="2186">
        <v>3</v>
      </c>
      <c r="AA95" s="2186">
        <v>1</v>
      </c>
      <c r="AB95" s="2186">
        <v>1</v>
      </c>
      <c r="AC95" s="2186">
        <v>2</v>
      </c>
      <c r="AD95" s="2186">
        <v>3</v>
      </c>
      <c r="AE95" s="2189">
        <v>35</v>
      </c>
      <c r="AF95" s="2190">
        <v>2.9166666666666665</v>
      </c>
      <c r="AH95" s="6969">
        <v>0</v>
      </c>
      <c r="AI95" s="6970">
        <v>4</v>
      </c>
      <c r="AJ95" s="6970">
        <v>7</v>
      </c>
      <c r="AK95" s="6970">
        <v>3</v>
      </c>
      <c r="AL95" s="6970">
        <v>2</v>
      </c>
      <c r="AM95" s="6970">
        <v>5</v>
      </c>
      <c r="AN95" s="6970">
        <v>3</v>
      </c>
      <c r="AO95" s="6970">
        <v>3</v>
      </c>
      <c r="AP95" s="6970">
        <v>3</v>
      </c>
      <c r="AQ95" s="6970">
        <v>1</v>
      </c>
      <c r="AR95" s="6970">
        <v>2</v>
      </c>
      <c r="AS95" s="6970">
        <v>1</v>
      </c>
      <c r="AT95" s="2177"/>
      <c r="AU95" s="1841">
        <f t="shared" si="34"/>
        <v>2.8333333333333335</v>
      </c>
      <c r="AW95" s="1789"/>
      <c r="AX95" s="1790">
        <f t="shared" si="41"/>
        <v>-2</v>
      </c>
      <c r="AY95" s="1790">
        <f t="shared" si="35"/>
        <v>-8.3333333333333037E-2</v>
      </c>
      <c r="AZ95" s="1791">
        <f t="shared" si="38"/>
        <v>-8.3333333333333037E-2</v>
      </c>
      <c r="BA95" s="1828">
        <f t="shared" si="40"/>
        <v>-1</v>
      </c>
    </row>
    <row r="96" spans="1:53" x14ac:dyDescent="0.55000000000000004">
      <c r="A96" s="7475"/>
      <c r="B96" s="1787"/>
      <c r="C96" s="1786" t="s">
        <v>1068</v>
      </c>
      <c r="D96" s="1750"/>
      <c r="E96" s="2159"/>
      <c r="F96" s="2159"/>
      <c r="G96" s="2159"/>
      <c r="H96" s="2159"/>
      <c r="I96" s="2159"/>
      <c r="J96" s="2159"/>
      <c r="K96" s="2159"/>
      <c r="L96" s="2159"/>
      <c r="M96" s="2159"/>
      <c r="N96" s="2159"/>
      <c r="O96" s="2159"/>
      <c r="P96" s="2171"/>
      <c r="Q96" s="2173"/>
      <c r="S96" s="1750">
        <v>0</v>
      </c>
      <c r="T96" s="2159">
        <v>0</v>
      </c>
      <c r="U96" s="2159">
        <v>0</v>
      </c>
      <c r="V96" s="2159">
        <v>0</v>
      </c>
      <c r="W96" s="2159">
        <v>0</v>
      </c>
      <c r="X96" s="2159">
        <v>0</v>
      </c>
      <c r="Y96" s="2159">
        <v>0</v>
      </c>
      <c r="Z96" s="2159">
        <v>0</v>
      </c>
      <c r="AA96" s="2159">
        <v>0</v>
      </c>
      <c r="AB96" s="2159">
        <v>0</v>
      </c>
      <c r="AC96" s="2159">
        <v>0</v>
      </c>
      <c r="AD96" s="2159">
        <v>0</v>
      </c>
      <c r="AE96" s="2171">
        <v>0</v>
      </c>
      <c r="AF96" s="2173">
        <v>0</v>
      </c>
      <c r="AH96" s="6975">
        <v>0</v>
      </c>
      <c r="AI96" s="6970">
        <v>1</v>
      </c>
      <c r="AJ96" s="6970"/>
      <c r="AK96" s="6970"/>
      <c r="AL96" s="6970"/>
      <c r="AM96" s="6970"/>
      <c r="AN96" s="6970"/>
      <c r="AO96" s="6970"/>
      <c r="AP96" s="6970"/>
      <c r="AQ96" s="6970"/>
      <c r="AR96" s="6970"/>
      <c r="AS96" s="6970"/>
      <c r="AT96" s="2171"/>
      <c r="AU96" s="2173">
        <f t="shared" si="34"/>
        <v>0.5</v>
      </c>
      <c r="AW96" s="1780"/>
      <c r="AX96" s="1781">
        <f t="shared" si="41"/>
        <v>0</v>
      </c>
      <c r="AY96" s="1781">
        <f t="shared" si="35"/>
        <v>0.5</v>
      </c>
      <c r="AZ96" s="1782">
        <f t="shared" si="38"/>
        <v>0.5</v>
      </c>
      <c r="BA96" s="1785">
        <f t="shared" si="40"/>
        <v>0</v>
      </c>
    </row>
    <row r="97" spans="1:53" x14ac:dyDescent="0.55000000000000004">
      <c r="A97" s="7475"/>
      <c r="B97" s="1787"/>
      <c r="C97" s="1788" t="s">
        <v>1076</v>
      </c>
      <c r="D97" s="1750"/>
      <c r="E97" s="2159"/>
      <c r="F97" s="2159"/>
      <c r="G97" s="2159"/>
      <c r="H97" s="2159"/>
      <c r="I97" s="2159"/>
      <c r="J97" s="2159"/>
      <c r="K97" s="2159"/>
      <c r="L97" s="2159"/>
      <c r="M97" s="2159"/>
      <c r="N97" s="2159"/>
      <c r="O97" s="2159"/>
      <c r="P97" s="2171"/>
      <c r="Q97" s="2173"/>
      <c r="S97" s="1750">
        <v>0</v>
      </c>
      <c r="T97" s="2159">
        <v>0</v>
      </c>
      <c r="U97" s="2159">
        <v>0</v>
      </c>
      <c r="V97" s="2159">
        <v>0</v>
      </c>
      <c r="W97" s="2159">
        <v>0</v>
      </c>
      <c r="X97" s="2159">
        <v>0</v>
      </c>
      <c r="Y97" s="2159">
        <v>0</v>
      </c>
      <c r="Z97" s="2159">
        <v>0</v>
      </c>
      <c r="AA97" s="2159">
        <v>0</v>
      </c>
      <c r="AB97" s="2159">
        <v>0</v>
      </c>
      <c r="AC97" s="2159">
        <v>0</v>
      </c>
      <c r="AD97" s="2159">
        <v>0</v>
      </c>
      <c r="AE97" s="2171">
        <v>0</v>
      </c>
      <c r="AF97" s="2173">
        <v>0</v>
      </c>
      <c r="AH97" s="6980">
        <v>0</v>
      </c>
      <c r="AI97" s="6977">
        <v>0.25</v>
      </c>
      <c r="AJ97" s="6977">
        <v>0</v>
      </c>
      <c r="AK97" s="6977">
        <v>0</v>
      </c>
      <c r="AL97" s="6977">
        <v>0</v>
      </c>
      <c r="AM97" s="6977">
        <v>0</v>
      </c>
      <c r="AN97" s="6977"/>
      <c r="AO97" s="6977"/>
      <c r="AP97" s="6977"/>
      <c r="AQ97" s="6977"/>
      <c r="AR97" s="6977"/>
      <c r="AS97" s="6977"/>
      <c r="AT97" s="2171"/>
      <c r="AU97" s="2167">
        <f t="shared" si="34"/>
        <v>4.1666666666666664E-2</v>
      </c>
      <c r="AW97" s="1780"/>
      <c r="AX97" s="1781">
        <f t="shared" si="41"/>
        <v>0</v>
      </c>
      <c r="AY97" s="1781">
        <f t="shared" si="35"/>
        <v>4.1666666666666664E-2</v>
      </c>
      <c r="AZ97" s="1782">
        <f t="shared" si="38"/>
        <v>4.1666666666666664E-2</v>
      </c>
      <c r="BA97" s="1819">
        <f t="shared" si="40"/>
        <v>0</v>
      </c>
    </row>
    <row r="98" spans="1:53" x14ac:dyDescent="0.55000000000000004">
      <c r="A98" s="7475"/>
      <c r="B98" s="1846" t="s">
        <v>1059</v>
      </c>
      <c r="C98" s="1847"/>
      <c r="D98" s="1848">
        <v>1</v>
      </c>
      <c r="E98" s="1849">
        <v>3</v>
      </c>
      <c r="F98" s="1849">
        <v>4</v>
      </c>
      <c r="G98" s="1849">
        <v>2</v>
      </c>
      <c r="H98" s="1849">
        <v>1</v>
      </c>
      <c r="I98" s="1849">
        <v>2</v>
      </c>
      <c r="J98" s="1849">
        <v>3</v>
      </c>
      <c r="K98" s="1849">
        <v>4</v>
      </c>
      <c r="L98" s="1849">
        <v>0</v>
      </c>
      <c r="M98" s="1849">
        <v>2</v>
      </c>
      <c r="N98" s="1849">
        <v>2</v>
      </c>
      <c r="O98" s="1849">
        <v>1</v>
      </c>
      <c r="P98" s="1850">
        <f>SUM(D98:O98)</f>
        <v>25</v>
      </c>
      <c r="Q98" s="1851">
        <v>2.0833333333333335</v>
      </c>
      <c r="S98" s="1848">
        <v>3</v>
      </c>
      <c r="T98" s="1849">
        <v>2</v>
      </c>
      <c r="U98" s="1849">
        <v>3</v>
      </c>
      <c r="V98" s="1849">
        <v>5</v>
      </c>
      <c r="W98" s="1849">
        <v>1</v>
      </c>
      <c r="X98" s="1849">
        <v>20</v>
      </c>
      <c r="Y98" s="1849">
        <v>2</v>
      </c>
      <c r="Z98" s="1849">
        <v>24</v>
      </c>
      <c r="AA98" s="1849">
        <v>4</v>
      </c>
      <c r="AB98" s="1849">
        <v>10</v>
      </c>
      <c r="AC98" s="1849">
        <v>5</v>
      </c>
      <c r="AD98" s="1849">
        <v>4</v>
      </c>
      <c r="AE98" s="1850">
        <v>83</v>
      </c>
      <c r="AF98" s="1851">
        <v>6.916666666666667</v>
      </c>
      <c r="AH98" s="1973">
        <v>2</v>
      </c>
      <c r="AI98" s="1849">
        <v>4</v>
      </c>
      <c r="AJ98" s="1849">
        <v>5</v>
      </c>
      <c r="AK98" s="1849">
        <v>3</v>
      </c>
      <c r="AL98" s="1849">
        <v>6</v>
      </c>
      <c r="AM98" s="1849">
        <v>4</v>
      </c>
      <c r="AN98" s="1849">
        <v>3</v>
      </c>
      <c r="AO98" s="1849">
        <v>7</v>
      </c>
      <c r="AP98" s="1849">
        <v>3</v>
      </c>
      <c r="AQ98" s="1849">
        <v>3</v>
      </c>
      <c r="AR98" s="1849">
        <v>2</v>
      </c>
      <c r="AS98" s="1849">
        <v>2</v>
      </c>
      <c r="AT98" s="1850"/>
      <c r="AU98" s="1851">
        <f t="shared" si="34"/>
        <v>3.6666666666666665</v>
      </c>
      <c r="AW98" s="1852"/>
      <c r="AX98" s="1853">
        <f>HLOOKUP($A$1,$AH$2:$AT$502,ROW()-1,0)-HLOOKUP($A$1,$S$2:$AD$502,ROW()-1,0)</f>
        <v>-2</v>
      </c>
      <c r="AY98" s="1853">
        <f t="shared" si="35"/>
        <v>-3.2500000000000004</v>
      </c>
      <c r="AZ98" s="1854">
        <f t="shared" si="38"/>
        <v>-3.2500000000000004</v>
      </c>
      <c r="BA98" s="1855">
        <f>HLOOKUP($A$1,$AH$2:$AT$502,ROW()-1,0)-HLOOKUP($B$1,$AH$2:$AT$502,ROW()-1,0)</f>
        <v>0</v>
      </c>
    </row>
    <row r="99" spans="1:53" x14ac:dyDescent="0.55000000000000004">
      <c r="A99" s="7475"/>
      <c r="B99" s="1806" t="s">
        <v>1075</v>
      </c>
      <c r="C99" s="1801"/>
      <c r="D99" s="1861">
        <v>8.0000000000000002E-3</v>
      </c>
      <c r="E99" s="2179">
        <v>2.4193548387096774E-2</v>
      </c>
      <c r="F99" s="2179">
        <v>3.2258064516129031E-2</v>
      </c>
      <c r="G99" s="2179">
        <v>1.6260162601626018E-2</v>
      </c>
      <c r="H99" s="2179">
        <v>8.2644628099173556E-3</v>
      </c>
      <c r="I99" s="2179">
        <v>1.6393442622950821E-2</v>
      </c>
      <c r="J99" s="2179">
        <v>2.4793388429752067E-2</v>
      </c>
      <c r="K99" s="2179">
        <v>3.3898305084745763E-2</v>
      </c>
      <c r="L99" s="2179">
        <v>0</v>
      </c>
      <c r="M99" s="2179">
        <v>1.6949152542372881E-2</v>
      </c>
      <c r="N99" s="2179">
        <v>1.6949152542372881E-2</v>
      </c>
      <c r="O99" s="2179">
        <v>8.4033613445378148E-3</v>
      </c>
      <c r="P99" s="2177"/>
      <c r="Q99" s="2179">
        <v>1.7196920073458452E-2</v>
      </c>
      <c r="S99" s="1861">
        <v>2.3809523809523808E-2</v>
      </c>
      <c r="T99" s="2179">
        <v>1.6129032258064516E-2</v>
      </c>
      <c r="U99" s="2179">
        <v>2.4590163934426229E-2</v>
      </c>
      <c r="V99" s="2179">
        <v>4.1322314049586778E-2</v>
      </c>
      <c r="W99" s="2179">
        <v>8.5470085470085479E-3</v>
      </c>
      <c r="X99" s="2179">
        <v>0.14492753623188406</v>
      </c>
      <c r="Y99" s="2179">
        <v>1.8181818181818181E-2</v>
      </c>
      <c r="Z99" s="2179">
        <v>0.17391304347826086</v>
      </c>
      <c r="AA99" s="2179">
        <v>3.7735849056603772E-2</v>
      </c>
      <c r="AB99" s="2179">
        <v>9.5238095238095233E-2</v>
      </c>
      <c r="AC99" s="2179">
        <v>4.5045045045045043E-2</v>
      </c>
      <c r="AD99" s="2179">
        <v>3.3333333333333333E-2</v>
      </c>
      <c r="AE99" s="2177"/>
      <c r="AF99" s="2179">
        <v>5.5231063596970859E-2</v>
      </c>
      <c r="AH99" s="1971">
        <v>1.6129032258064516E-2</v>
      </c>
      <c r="AI99" s="2164">
        <v>3.0769230769230771E-2</v>
      </c>
      <c r="AJ99" s="2164">
        <v>3.6231884057971016E-2</v>
      </c>
      <c r="AK99" s="2164">
        <v>2.0547945205479451E-2</v>
      </c>
      <c r="AL99" s="2164">
        <v>3.9473684210526314E-2</v>
      </c>
      <c r="AM99" s="2164">
        <v>2.6490066225165563E-2</v>
      </c>
      <c r="AN99" s="2164">
        <v>1.9607843137254902E-2</v>
      </c>
      <c r="AO99" s="2164">
        <v>4.4871794871794872E-2</v>
      </c>
      <c r="AP99" s="2164">
        <v>1.9867549668874173E-2</v>
      </c>
      <c r="AQ99" s="2164">
        <v>2.0134228187919462E-2</v>
      </c>
      <c r="AR99" s="2164">
        <v>1.3513513513513514E-2</v>
      </c>
      <c r="AS99" s="2164">
        <v>1.3605442176870748E-2</v>
      </c>
      <c r="AT99" s="2177"/>
      <c r="AU99" s="2178">
        <f t="shared" si="34"/>
        <v>2.5103517856888774E-2</v>
      </c>
      <c r="AW99" s="1789"/>
      <c r="AX99" s="1790">
        <f>HLOOKUP($A$1,$AH$2:$AT$502,ROW()-1,0)-HLOOKUP($A$1,$S$2:$AD$502,ROW()-1,0)</f>
        <v>-1.9727891156462583E-2</v>
      </c>
      <c r="AY99" s="1790">
        <f t="shared" si="35"/>
        <v>-3.0127545740082085E-2</v>
      </c>
      <c r="AZ99" s="1791">
        <f t="shared" si="38"/>
        <v>-3.0127545740082085E-2</v>
      </c>
      <c r="BA99" s="1792">
        <f>HLOOKUP($A$1,$AH$2:$AT$502,ROW()-1,0)-HLOOKUP($B$1,$AH$2:$AT$502,ROW()-1,0)</f>
        <v>9.1928663357233528E-5</v>
      </c>
    </row>
    <row r="100" spans="1:53" x14ac:dyDescent="0.55000000000000004">
      <c r="A100" s="7475"/>
      <c r="B100" s="1761"/>
      <c r="C100" s="1820" t="s">
        <v>1069</v>
      </c>
      <c r="D100" s="1821"/>
      <c r="E100" s="2165"/>
      <c r="F100" s="2165"/>
      <c r="G100" s="2165"/>
      <c r="H100" s="2165"/>
      <c r="I100" s="2165"/>
      <c r="J100" s="2165"/>
      <c r="K100" s="2165"/>
      <c r="L100" s="2165"/>
      <c r="M100" s="2165"/>
      <c r="N100" s="2165"/>
      <c r="O100" s="2165"/>
      <c r="P100" s="2180"/>
      <c r="Q100" s="2181"/>
      <c r="S100" s="1821">
        <v>3</v>
      </c>
      <c r="T100" s="2165">
        <v>2</v>
      </c>
      <c r="U100" s="2165" t="s">
        <v>838</v>
      </c>
      <c r="V100" s="2165">
        <v>1</v>
      </c>
      <c r="W100" s="2165">
        <v>0</v>
      </c>
      <c r="X100" s="2165">
        <v>0</v>
      </c>
      <c r="Y100" s="2165">
        <v>2</v>
      </c>
      <c r="Z100" s="2165">
        <v>8</v>
      </c>
      <c r="AA100" s="2165">
        <v>3</v>
      </c>
      <c r="AB100" s="2165">
        <v>6</v>
      </c>
      <c r="AC100" s="2165">
        <v>4</v>
      </c>
      <c r="AD100" s="2165">
        <v>2</v>
      </c>
      <c r="AE100" s="2180">
        <v>31</v>
      </c>
      <c r="AF100" s="2181">
        <v>2.5833333333333335</v>
      </c>
      <c r="AH100" s="6969">
        <v>2</v>
      </c>
      <c r="AI100" s="6970">
        <v>3</v>
      </c>
      <c r="AJ100" s="6970">
        <v>3</v>
      </c>
      <c r="AK100" s="6970">
        <v>1</v>
      </c>
      <c r="AL100" s="6970">
        <v>6</v>
      </c>
      <c r="AM100" s="6970">
        <v>3</v>
      </c>
      <c r="AN100" s="6970">
        <v>1</v>
      </c>
      <c r="AO100" s="6970">
        <v>5</v>
      </c>
      <c r="AP100" s="6970">
        <v>1</v>
      </c>
      <c r="AQ100" s="6970">
        <v>2</v>
      </c>
      <c r="AR100" s="6970">
        <v>1</v>
      </c>
      <c r="AS100" s="6970"/>
      <c r="AT100" s="2180"/>
      <c r="AU100" s="2181">
        <f t="shared" si="34"/>
        <v>2.5454545454545454</v>
      </c>
      <c r="AW100" s="1822"/>
      <c r="AX100" s="1781">
        <f>HLOOKUP($A$1,$AH$2:$AT$502,ROW()-1,0)-HLOOKUP($A$1,$S$2:$AD$502,ROW()-1,0)</f>
        <v>-2</v>
      </c>
      <c r="AY100" s="1823">
        <f t="shared" si="35"/>
        <v>-3.7878787878788067E-2</v>
      </c>
      <c r="AZ100" s="1824">
        <f t="shared" si="38"/>
        <v>-0.27272727272727293</v>
      </c>
      <c r="BA100" s="1825">
        <f>HLOOKUP($A$1,$AH$2:$AT$502,ROW()-1,0)-HLOOKUP($B$1,$AH$2:$AT$502,ROW()-1,0)</f>
        <v>-1</v>
      </c>
    </row>
    <row r="101" spans="1:53" ht="18" thickBot="1" x14ac:dyDescent="0.6">
      <c r="A101" s="7477"/>
      <c r="B101" s="1856"/>
      <c r="C101" s="1857" t="s">
        <v>1077</v>
      </c>
      <c r="D101" s="1858"/>
      <c r="E101" s="1859"/>
      <c r="F101" s="1859"/>
      <c r="G101" s="1859"/>
      <c r="H101" s="1859"/>
      <c r="I101" s="1859"/>
      <c r="J101" s="1859"/>
      <c r="K101" s="1859"/>
      <c r="L101" s="1859"/>
      <c r="M101" s="1859"/>
      <c r="N101" s="1859"/>
      <c r="O101" s="1859"/>
      <c r="P101" s="1859"/>
      <c r="Q101" s="1859"/>
      <c r="S101" s="1858">
        <v>1</v>
      </c>
      <c r="T101" s="1859">
        <v>1</v>
      </c>
      <c r="U101" s="1859"/>
      <c r="V101" s="1859">
        <v>0.2</v>
      </c>
      <c r="W101" s="1859"/>
      <c r="X101" s="1859"/>
      <c r="Y101" s="1859">
        <v>1</v>
      </c>
      <c r="Z101" s="1859">
        <v>0.33333333333333331</v>
      </c>
      <c r="AA101" s="1859">
        <v>0.75</v>
      </c>
      <c r="AB101" s="1859">
        <v>0.6</v>
      </c>
      <c r="AC101" s="1859">
        <v>0.8</v>
      </c>
      <c r="AD101" s="1859">
        <v>0.5</v>
      </c>
      <c r="AE101" s="1860"/>
      <c r="AF101" s="1859">
        <v>0.37349397590361444</v>
      </c>
      <c r="AH101" s="6981">
        <v>1</v>
      </c>
      <c r="AI101" s="6982">
        <v>0.75</v>
      </c>
      <c r="AJ101" s="6982">
        <v>0.6</v>
      </c>
      <c r="AK101" s="6982">
        <v>0.33333333333333331</v>
      </c>
      <c r="AL101" s="6982">
        <v>1</v>
      </c>
      <c r="AM101" s="6982">
        <v>0.75</v>
      </c>
      <c r="AN101" s="6982">
        <v>0.5</v>
      </c>
      <c r="AO101" s="6982">
        <v>0.7142857142857143</v>
      </c>
      <c r="AP101" s="6982">
        <v>0.33333333333333331</v>
      </c>
      <c r="AQ101" s="6982">
        <v>0.66666666666666663</v>
      </c>
      <c r="AR101" s="6982">
        <v>0.5</v>
      </c>
      <c r="AS101" s="6982">
        <v>0</v>
      </c>
      <c r="AT101" s="1860"/>
      <c r="AU101" s="1859">
        <f t="shared" si="34"/>
        <v>0.59563492063492063</v>
      </c>
      <c r="AW101" s="1816"/>
      <c r="AX101" s="1817">
        <f>HLOOKUP($A$1,$AH$2:$AT$502,ROW()-1,0)-HLOOKUP($A$1,$S$2:$AD$502,ROW()-1,0)</f>
        <v>-0.5</v>
      </c>
      <c r="AY101" s="1817">
        <f t="shared" si="35"/>
        <v>0.22214094473130619</v>
      </c>
      <c r="AZ101" s="1818">
        <f t="shared" si="38"/>
        <v>-9.1402116402116373E-2</v>
      </c>
      <c r="BA101" s="1819">
        <f>HLOOKUP($A$1,$AH$2:$AT$502,ROW()-1,0)-HLOOKUP($B$1,$AH$2:$AT$502,ROW()-1,0)</f>
        <v>-0.5</v>
      </c>
    </row>
    <row r="102" spans="1:53" ht="18" thickBot="1" x14ac:dyDescent="0.6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1506"/>
      <c r="AD102" s="4"/>
      <c r="AE102" s="4"/>
      <c r="AF102" s="1515"/>
      <c r="AG102" s="1"/>
      <c r="AH102" s="1506"/>
      <c r="AI102" s="4"/>
      <c r="AJ102" s="4"/>
      <c r="AK102" s="2255"/>
      <c r="AL102" s="4"/>
      <c r="AM102" s="4"/>
      <c r="AN102" s="4"/>
      <c r="AO102" s="4"/>
      <c r="AP102" s="4"/>
      <c r="AQ102" s="4"/>
      <c r="AR102" s="1506"/>
      <c r="AS102" s="4"/>
      <c r="AT102" s="4"/>
      <c r="AU102" s="1515"/>
      <c r="AW102" s="990" t="s">
        <v>237</v>
      </c>
      <c r="AX102" s="92" t="s">
        <v>1109</v>
      </c>
      <c r="AY102" s="92" t="s">
        <v>239</v>
      </c>
      <c r="AZ102" s="92" t="s">
        <v>250</v>
      </c>
      <c r="BA102" s="93" t="s">
        <v>240</v>
      </c>
    </row>
    <row r="103" spans="1:53" x14ac:dyDescent="0.55000000000000004">
      <c r="A103" s="7467" t="s">
        <v>221</v>
      </c>
      <c r="B103" s="74" t="s">
        <v>256</v>
      </c>
      <c r="C103" s="27"/>
      <c r="D103" s="719">
        <f t="shared" ref="D103:N103" si="42">SUM(D104:D108)</f>
        <v>1146</v>
      </c>
      <c r="E103" s="719">
        <f t="shared" si="42"/>
        <v>1138</v>
      </c>
      <c r="F103" s="719">
        <f t="shared" si="42"/>
        <v>1132</v>
      </c>
      <c r="G103" s="719">
        <f t="shared" si="42"/>
        <v>1123</v>
      </c>
      <c r="H103" s="719">
        <f t="shared" si="42"/>
        <v>1136</v>
      </c>
      <c r="I103" s="719">
        <f t="shared" si="42"/>
        <v>1125</v>
      </c>
      <c r="J103" s="719">
        <f t="shared" si="42"/>
        <v>1106</v>
      </c>
      <c r="K103" s="719">
        <f>SUM(K104:K108)</f>
        <v>1112</v>
      </c>
      <c r="L103" s="719">
        <f t="shared" si="42"/>
        <v>1095</v>
      </c>
      <c r="M103" s="719">
        <f t="shared" si="42"/>
        <v>1101</v>
      </c>
      <c r="N103" s="719">
        <f t="shared" si="42"/>
        <v>1103</v>
      </c>
      <c r="O103" s="719">
        <f>SUM(O104:O108)</f>
        <v>1191</v>
      </c>
      <c r="P103" s="27"/>
      <c r="Q103" s="1407">
        <f t="shared" ref="Q103:Q140" si="43">AVERAGE(D103:O103)</f>
        <v>1125.6666666666667</v>
      </c>
      <c r="S103" s="719">
        <f t="shared" ref="S103:Z103" si="44">SUM(S104:S108)</f>
        <v>1032</v>
      </c>
      <c r="T103" s="719">
        <f t="shared" si="44"/>
        <v>1044</v>
      </c>
      <c r="U103" s="719">
        <f t="shared" si="44"/>
        <v>1048</v>
      </c>
      <c r="V103" s="719">
        <f t="shared" si="44"/>
        <v>1072</v>
      </c>
      <c r="W103" s="719">
        <f t="shared" si="44"/>
        <v>1091</v>
      </c>
      <c r="X103" s="989">
        <f t="shared" si="44"/>
        <v>1076</v>
      </c>
      <c r="Y103" s="989">
        <f t="shared" si="44"/>
        <v>1086</v>
      </c>
      <c r="Z103" s="989">
        <f t="shared" si="44"/>
        <v>1080</v>
      </c>
      <c r="AA103" s="989">
        <f>SUM(AA104:AA108)</f>
        <v>1103</v>
      </c>
      <c r="AB103" s="989">
        <f>SUM(AB104:AB108)</f>
        <v>1117</v>
      </c>
      <c r="AC103" s="1507">
        <v>1121</v>
      </c>
      <c r="AD103" s="719">
        <v>1132</v>
      </c>
      <c r="AE103" s="27"/>
      <c r="AF103" s="1516">
        <f t="shared" ref="AF103:AF140" si="45">AVERAGE(S103:AE103)</f>
        <v>1083.5</v>
      </c>
      <c r="AG103" s="1"/>
      <c r="AH103" s="1974">
        <v>1139</v>
      </c>
      <c r="AI103" s="719">
        <v>1117</v>
      </c>
      <c r="AJ103" s="719">
        <v>1119</v>
      </c>
      <c r="AK103" s="719">
        <v>1112</v>
      </c>
      <c r="AL103" s="719">
        <v>1098</v>
      </c>
      <c r="AM103" s="989">
        <v>1094</v>
      </c>
      <c r="AN103" s="989">
        <v>1084</v>
      </c>
      <c r="AO103" s="989">
        <v>1070</v>
      </c>
      <c r="AP103" s="989">
        <v>1071</v>
      </c>
      <c r="AQ103" s="989">
        <v>1058</v>
      </c>
      <c r="AR103" s="1507">
        <v>1059</v>
      </c>
      <c r="AS103" s="719">
        <v>1085</v>
      </c>
      <c r="AT103" s="27"/>
      <c r="AU103" s="1516">
        <f t="shared" ref="AU103:AU140" si="46">AVERAGE(AH103:AT103)</f>
        <v>1092.1666666666667</v>
      </c>
      <c r="AW103" s="2273">
        <v>1049</v>
      </c>
      <c r="AX103" s="804">
        <f t="shared" ref="AX103:AX126" si="47">AW103-HLOOKUP($A$1,$AH$2:$AT$502,ROW()-1,0)</f>
        <v>-36</v>
      </c>
      <c r="AY103" s="505">
        <f t="shared" ref="AY103:AY124" si="48">AS103/AW103</f>
        <v>1.0343183984747379</v>
      </c>
      <c r="AZ103" s="805">
        <f>SUM(AZ104:AZ108)</f>
        <v>250</v>
      </c>
      <c r="BA103" s="806">
        <f t="shared" ref="BA103:BA125" si="49">AS103/AZ103</f>
        <v>4.34</v>
      </c>
    </row>
    <row r="104" spans="1:53" x14ac:dyDescent="0.55000000000000004">
      <c r="A104" s="7468"/>
      <c r="B104" s="996" t="s">
        <v>222</v>
      </c>
      <c r="C104" s="100"/>
      <c r="D104" s="720">
        <f t="shared" ref="D104:M104" si="50">D109+D110</f>
        <v>185</v>
      </c>
      <c r="E104" s="720">
        <f t="shared" si="50"/>
        <v>190</v>
      </c>
      <c r="F104" s="720">
        <f t="shared" si="50"/>
        <v>186</v>
      </c>
      <c r="G104" s="720">
        <f t="shared" si="50"/>
        <v>183</v>
      </c>
      <c r="H104" s="720">
        <f t="shared" si="50"/>
        <v>185</v>
      </c>
      <c r="I104" s="720">
        <f t="shared" si="50"/>
        <v>185</v>
      </c>
      <c r="J104" s="720">
        <f t="shared" si="50"/>
        <v>186</v>
      </c>
      <c r="K104" s="720">
        <f t="shared" si="50"/>
        <v>187</v>
      </c>
      <c r="L104" s="720">
        <f t="shared" si="50"/>
        <v>179</v>
      </c>
      <c r="M104" s="720">
        <f t="shared" si="50"/>
        <v>183</v>
      </c>
      <c r="N104" s="720">
        <f>N109+N110</f>
        <v>182</v>
      </c>
      <c r="O104" s="720">
        <f>O109+O110</f>
        <v>225</v>
      </c>
      <c r="P104" s="100"/>
      <c r="Q104" s="1408">
        <f t="shared" si="43"/>
        <v>188</v>
      </c>
      <c r="S104" s="720">
        <v>169</v>
      </c>
      <c r="T104" s="720">
        <v>183</v>
      </c>
      <c r="U104" s="720">
        <v>192</v>
      </c>
      <c r="V104" s="720">
        <v>205</v>
      </c>
      <c r="W104" s="720">
        <v>207</v>
      </c>
      <c r="X104" s="984">
        <f>SUM(X109:X110)</f>
        <v>211</v>
      </c>
      <c r="Y104" s="718">
        <f>SUM(Y109:Y110)</f>
        <v>206</v>
      </c>
      <c r="Z104" s="718">
        <f>SUM(Z109:Z110)</f>
        <v>204</v>
      </c>
      <c r="AA104" s="718">
        <v>217</v>
      </c>
      <c r="AB104" s="718">
        <v>216</v>
      </c>
      <c r="AC104" s="1505">
        <v>217</v>
      </c>
      <c r="AD104" s="720">
        <v>220</v>
      </c>
      <c r="AE104" s="100"/>
      <c r="AF104" s="1517">
        <f t="shared" si="45"/>
        <v>203.91666666666666</v>
      </c>
      <c r="AG104" s="1"/>
      <c r="AH104" s="1975">
        <v>219</v>
      </c>
      <c r="AI104" s="720">
        <v>217</v>
      </c>
      <c r="AJ104" s="720">
        <v>211</v>
      </c>
      <c r="AK104" s="720">
        <v>208</v>
      </c>
      <c r="AL104" s="720">
        <v>208</v>
      </c>
      <c r="AM104" s="718">
        <v>208</v>
      </c>
      <c r="AN104" s="718">
        <v>208</v>
      </c>
      <c r="AO104" s="718">
        <v>202</v>
      </c>
      <c r="AP104" s="718">
        <v>202</v>
      </c>
      <c r="AQ104" s="718">
        <v>204</v>
      </c>
      <c r="AR104" s="1505">
        <v>204</v>
      </c>
      <c r="AS104" s="720">
        <v>208</v>
      </c>
      <c r="AT104" s="100"/>
      <c r="AU104" s="1517">
        <f t="shared" si="46"/>
        <v>208.25</v>
      </c>
      <c r="AW104" s="2274">
        <v>200</v>
      </c>
      <c r="AX104" s="807">
        <f t="shared" si="47"/>
        <v>-8</v>
      </c>
      <c r="AY104" s="506">
        <f t="shared" si="48"/>
        <v>1.04</v>
      </c>
      <c r="AZ104" s="808">
        <f>'※ 팀별 작성_인프라_인력'!BI7</f>
        <v>48</v>
      </c>
      <c r="BA104" s="809">
        <f t="shared" si="49"/>
        <v>4.333333333333333</v>
      </c>
    </row>
    <row r="105" spans="1:53" x14ac:dyDescent="0.55000000000000004">
      <c r="A105" s="7468"/>
      <c r="B105" s="997" t="s">
        <v>223</v>
      </c>
      <c r="C105" s="14"/>
      <c r="D105" s="718">
        <f t="shared" ref="D105:M105" si="51">D111+D112+D113+D114</f>
        <v>437</v>
      </c>
      <c r="E105" s="718">
        <f t="shared" si="51"/>
        <v>435</v>
      </c>
      <c r="F105" s="718">
        <f t="shared" si="51"/>
        <v>437</v>
      </c>
      <c r="G105" s="718">
        <f t="shared" si="51"/>
        <v>436</v>
      </c>
      <c r="H105" s="718">
        <f t="shared" si="51"/>
        <v>438</v>
      </c>
      <c r="I105" s="718">
        <f t="shared" si="51"/>
        <v>433</v>
      </c>
      <c r="J105" s="718">
        <f t="shared" si="51"/>
        <v>425</v>
      </c>
      <c r="K105" s="718">
        <f t="shared" si="51"/>
        <v>426</v>
      </c>
      <c r="L105" s="718">
        <f t="shared" si="51"/>
        <v>426</v>
      </c>
      <c r="M105" s="718">
        <f t="shared" si="51"/>
        <v>429</v>
      </c>
      <c r="N105" s="718">
        <f>N111+N112+N113+N114</f>
        <v>434</v>
      </c>
      <c r="O105" s="718">
        <f>O111+O112</f>
        <v>200</v>
      </c>
      <c r="P105" s="14"/>
      <c r="Q105" s="1409">
        <f t="shared" si="43"/>
        <v>413</v>
      </c>
      <c r="S105" s="984">
        <v>180</v>
      </c>
      <c r="T105" s="718">
        <v>183</v>
      </c>
      <c r="U105" s="718">
        <v>179</v>
      </c>
      <c r="V105" s="718">
        <v>184</v>
      </c>
      <c r="W105" s="984">
        <v>190</v>
      </c>
      <c r="X105" s="984">
        <f>SUM(X111:X112)</f>
        <v>183</v>
      </c>
      <c r="Y105" s="718">
        <f>SUM(Y111:Y112)</f>
        <v>184</v>
      </c>
      <c r="Z105" s="718">
        <f>SUM(Z111:Z112)</f>
        <v>182</v>
      </c>
      <c r="AA105" s="718">
        <v>186</v>
      </c>
      <c r="AB105" s="718">
        <v>184</v>
      </c>
      <c r="AC105" s="1505">
        <v>185</v>
      </c>
      <c r="AD105" s="984">
        <v>185</v>
      </c>
      <c r="AE105" s="14"/>
      <c r="AF105" s="290">
        <f t="shared" si="45"/>
        <v>183.75</v>
      </c>
      <c r="AH105" s="1505">
        <v>184</v>
      </c>
      <c r="AI105" s="718">
        <v>181</v>
      </c>
      <c r="AJ105" s="718">
        <v>186</v>
      </c>
      <c r="AK105" s="718">
        <v>181</v>
      </c>
      <c r="AL105" s="718">
        <v>179</v>
      </c>
      <c r="AM105" s="718">
        <v>178</v>
      </c>
      <c r="AN105" s="718">
        <v>172</v>
      </c>
      <c r="AO105" s="718">
        <v>178</v>
      </c>
      <c r="AP105" s="718">
        <v>178</v>
      </c>
      <c r="AQ105" s="718">
        <v>179</v>
      </c>
      <c r="AR105" s="1505">
        <v>181</v>
      </c>
      <c r="AS105" s="984">
        <v>184</v>
      </c>
      <c r="AT105" s="14"/>
      <c r="AU105" s="290">
        <f t="shared" si="46"/>
        <v>180.08333333333334</v>
      </c>
      <c r="AW105" s="2275">
        <v>173</v>
      </c>
      <c r="AX105" s="810">
        <f t="shared" si="47"/>
        <v>-11</v>
      </c>
      <c r="AY105" s="503">
        <f t="shared" si="48"/>
        <v>1.0635838150289016</v>
      </c>
      <c r="AZ105" s="811">
        <f>'※ 팀별 작성_인프라_인력'!BI8</f>
        <v>41</v>
      </c>
      <c r="BA105" s="812">
        <f t="shared" si="49"/>
        <v>4.4878048780487809</v>
      </c>
    </row>
    <row r="106" spans="1:53" x14ac:dyDescent="0.55000000000000004">
      <c r="A106" s="7468"/>
      <c r="B106" s="997" t="s">
        <v>224</v>
      </c>
      <c r="C106" s="14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718">
        <f>O113+O114</f>
        <v>266</v>
      </c>
      <c r="P106" s="14"/>
      <c r="Q106" s="1409">
        <f t="shared" si="43"/>
        <v>266</v>
      </c>
      <c r="S106" s="984">
        <v>224</v>
      </c>
      <c r="T106" s="718">
        <v>226</v>
      </c>
      <c r="U106" s="718">
        <v>226</v>
      </c>
      <c r="V106" s="718">
        <v>229</v>
      </c>
      <c r="W106" s="984">
        <v>233</v>
      </c>
      <c r="X106" s="984">
        <f>SUM(X113:X114)</f>
        <v>232</v>
      </c>
      <c r="Y106" s="718">
        <f>SUM(Y113:Y114)</f>
        <v>245</v>
      </c>
      <c r="Z106" s="718">
        <f>SUM(Z113:Z114)</f>
        <v>240</v>
      </c>
      <c r="AA106" s="718">
        <v>241</v>
      </c>
      <c r="AB106" s="718">
        <v>242</v>
      </c>
      <c r="AC106" s="1505">
        <v>244</v>
      </c>
      <c r="AD106" s="984">
        <v>241</v>
      </c>
      <c r="AE106" s="14"/>
      <c r="AF106" s="290">
        <f t="shared" si="45"/>
        <v>235.25</v>
      </c>
      <c r="AH106" s="1505">
        <v>245</v>
      </c>
      <c r="AI106" s="718">
        <v>242</v>
      </c>
      <c r="AJ106" s="718">
        <v>241</v>
      </c>
      <c r="AK106" s="718">
        <v>241</v>
      </c>
      <c r="AL106" s="718">
        <v>241</v>
      </c>
      <c r="AM106" s="718">
        <v>237</v>
      </c>
      <c r="AN106" s="718">
        <v>236</v>
      </c>
      <c r="AO106" s="718">
        <v>227</v>
      </c>
      <c r="AP106" s="718">
        <v>229</v>
      </c>
      <c r="AQ106" s="718">
        <v>224</v>
      </c>
      <c r="AR106" s="1505">
        <v>222</v>
      </c>
      <c r="AS106" s="984">
        <v>231</v>
      </c>
      <c r="AT106" s="14"/>
      <c r="AU106" s="290">
        <f t="shared" si="46"/>
        <v>234.66666666666666</v>
      </c>
      <c r="AW106" s="2275">
        <v>221</v>
      </c>
      <c r="AX106" s="810">
        <f t="shared" si="47"/>
        <v>-10</v>
      </c>
      <c r="AY106" s="503">
        <f t="shared" si="48"/>
        <v>1.0452488687782806</v>
      </c>
      <c r="AZ106" s="811">
        <f>'※ 팀별 작성_인프라_인력'!BI9</f>
        <v>50</v>
      </c>
      <c r="BA106" s="812">
        <f t="shared" si="49"/>
        <v>4.62</v>
      </c>
    </row>
    <row r="107" spans="1:53" x14ac:dyDescent="0.55000000000000004">
      <c r="A107" s="7468"/>
      <c r="B107" s="997" t="s">
        <v>225</v>
      </c>
      <c r="C107" s="14"/>
      <c r="D107" s="718">
        <f t="shared" ref="D107:N107" si="52">D115+D116</f>
        <v>284</v>
      </c>
      <c r="E107" s="718">
        <f t="shared" si="52"/>
        <v>286</v>
      </c>
      <c r="F107" s="718">
        <f t="shared" si="52"/>
        <v>287</v>
      </c>
      <c r="G107" s="718">
        <f t="shared" si="52"/>
        <v>278</v>
      </c>
      <c r="H107" s="718">
        <f t="shared" si="52"/>
        <v>281</v>
      </c>
      <c r="I107" s="718">
        <f t="shared" si="52"/>
        <v>279</v>
      </c>
      <c r="J107" s="718">
        <f t="shared" si="52"/>
        <v>273</v>
      </c>
      <c r="K107" s="718">
        <f t="shared" si="52"/>
        <v>273</v>
      </c>
      <c r="L107" s="718">
        <f t="shared" si="52"/>
        <v>266</v>
      </c>
      <c r="M107" s="718">
        <f t="shared" si="52"/>
        <v>268</v>
      </c>
      <c r="N107" s="718">
        <f t="shared" si="52"/>
        <v>266</v>
      </c>
      <c r="O107" s="718">
        <f>O115+O116</f>
        <v>260</v>
      </c>
      <c r="P107" s="14"/>
      <c r="Q107" s="1409">
        <f t="shared" si="43"/>
        <v>275.08333333333331</v>
      </c>
      <c r="S107" s="984">
        <v>245</v>
      </c>
      <c r="T107" s="718">
        <v>244</v>
      </c>
      <c r="U107" s="718">
        <v>242</v>
      </c>
      <c r="V107" s="718">
        <v>243</v>
      </c>
      <c r="W107" s="984">
        <v>250</v>
      </c>
      <c r="X107" s="984">
        <f>SUM(X115:X116)</f>
        <v>241</v>
      </c>
      <c r="Y107" s="718">
        <f>SUM(Y115:Y116)</f>
        <v>235</v>
      </c>
      <c r="Z107" s="718">
        <f>SUM(Z115:Z116)</f>
        <v>235</v>
      </c>
      <c r="AA107" s="718">
        <v>236</v>
      </c>
      <c r="AB107" s="718">
        <v>243</v>
      </c>
      <c r="AC107" s="1505">
        <v>249</v>
      </c>
      <c r="AD107" s="984">
        <v>254</v>
      </c>
      <c r="AE107" s="14"/>
      <c r="AF107" s="290">
        <f t="shared" si="45"/>
        <v>243.08333333333334</v>
      </c>
      <c r="AH107" s="1505">
        <v>257</v>
      </c>
      <c r="AI107" s="718">
        <v>249</v>
      </c>
      <c r="AJ107" s="718">
        <v>246</v>
      </c>
      <c r="AK107" s="718">
        <v>244</v>
      </c>
      <c r="AL107" s="718">
        <v>242</v>
      </c>
      <c r="AM107" s="718">
        <v>243</v>
      </c>
      <c r="AN107" s="718">
        <v>239</v>
      </c>
      <c r="AO107" s="718">
        <v>238</v>
      </c>
      <c r="AP107" s="718">
        <v>236</v>
      </c>
      <c r="AQ107" s="718">
        <v>227</v>
      </c>
      <c r="AR107" s="1505">
        <v>230</v>
      </c>
      <c r="AS107" s="984">
        <v>240</v>
      </c>
      <c r="AT107" s="14"/>
      <c r="AU107" s="290">
        <f t="shared" si="46"/>
        <v>240.91666666666666</v>
      </c>
      <c r="AW107" s="2275">
        <v>239</v>
      </c>
      <c r="AX107" s="810">
        <f t="shared" si="47"/>
        <v>-1</v>
      </c>
      <c r="AY107" s="503">
        <f t="shared" si="48"/>
        <v>1.00418410041841</v>
      </c>
      <c r="AZ107" s="811">
        <f>'※ 팀별 작성_인프라_인력'!BI10</f>
        <v>57</v>
      </c>
      <c r="BA107" s="812">
        <f t="shared" si="49"/>
        <v>4.2105263157894735</v>
      </c>
    </row>
    <row r="108" spans="1:53" x14ac:dyDescent="0.55000000000000004">
      <c r="A108" s="7468"/>
      <c r="B108" s="998" t="s">
        <v>226</v>
      </c>
      <c r="C108" s="103"/>
      <c r="D108" s="721">
        <f t="shared" ref="D108:N108" si="53">D117+D118</f>
        <v>240</v>
      </c>
      <c r="E108" s="721">
        <f t="shared" si="53"/>
        <v>227</v>
      </c>
      <c r="F108" s="721">
        <f t="shared" si="53"/>
        <v>222</v>
      </c>
      <c r="G108" s="721">
        <f t="shared" si="53"/>
        <v>226</v>
      </c>
      <c r="H108" s="721">
        <f t="shared" si="53"/>
        <v>232</v>
      </c>
      <c r="I108" s="721">
        <f t="shared" si="53"/>
        <v>228</v>
      </c>
      <c r="J108" s="721">
        <f t="shared" si="53"/>
        <v>222</v>
      </c>
      <c r="K108" s="721">
        <f t="shared" si="53"/>
        <v>226</v>
      </c>
      <c r="L108" s="721">
        <f t="shared" si="53"/>
        <v>224</v>
      </c>
      <c r="M108" s="721">
        <f t="shared" si="53"/>
        <v>221</v>
      </c>
      <c r="N108" s="721">
        <f t="shared" si="53"/>
        <v>221</v>
      </c>
      <c r="O108" s="721">
        <f>O117+O118</f>
        <v>240</v>
      </c>
      <c r="P108" s="103"/>
      <c r="Q108" s="1410">
        <f t="shared" si="43"/>
        <v>227.41666666666666</v>
      </c>
      <c r="S108" s="721">
        <v>214</v>
      </c>
      <c r="T108" s="721">
        <v>208</v>
      </c>
      <c r="U108" s="721">
        <v>209</v>
      </c>
      <c r="V108" s="721">
        <v>211</v>
      </c>
      <c r="W108" s="721">
        <v>211</v>
      </c>
      <c r="X108" s="721">
        <f>SUM(X117:X118)</f>
        <v>209</v>
      </c>
      <c r="Y108" s="721">
        <f>SUM(Y117:Y118)</f>
        <v>216</v>
      </c>
      <c r="Z108" s="721">
        <f>SUM(Z117:Z118)</f>
        <v>219</v>
      </c>
      <c r="AA108" s="721">
        <v>223</v>
      </c>
      <c r="AB108" s="721">
        <v>232</v>
      </c>
      <c r="AC108" s="1508">
        <v>226</v>
      </c>
      <c r="AD108" s="721">
        <v>232</v>
      </c>
      <c r="AE108" s="103"/>
      <c r="AF108" s="1518">
        <f t="shared" si="45"/>
        <v>217.5</v>
      </c>
      <c r="AH108" s="1508">
        <v>234</v>
      </c>
      <c r="AI108" s="721">
        <v>228</v>
      </c>
      <c r="AJ108" s="721">
        <v>235</v>
      </c>
      <c r="AK108" s="721">
        <v>238</v>
      </c>
      <c r="AL108" s="721">
        <v>228</v>
      </c>
      <c r="AM108" s="721">
        <v>228</v>
      </c>
      <c r="AN108" s="721">
        <v>229</v>
      </c>
      <c r="AO108" s="721">
        <v>225</v>
      </c>
      <c r="AP108" s="721">
        <v>226</v>
      </c>
      <c r="AQ108" s="721">
        <v>224</v>
      </c>
      <c r="AR108" s="1508">
        <v>222</v>
      </c>
      <c r="AS108" s="721">
        <v>222</v>
      </c>
      <c r="AT108" s="103"/>
      <c r="AU108" s="1518">
        <f t="shared" si="46"/>
        <v>228.25</v>
      </c>
      <c r="AW108" s="2276">
        <v>216</v>
      </c>
      <c r="AX108" s="813">
        <f t="shared" si="47"/>
        <v>-6</v>
      </c>
      <c r="AY108" s="507">
        <f t="shared" si="48"/>
        <v>1.0277777777777777</v>
      </c>
      <c r="AZ108" s="814">
        <f>'※ 팀별 작성_인프라_인력'!BI11</f>
        <v>54</v>
      </c>
      <c r="BA108" s="815">
        <f>AS108/AZ108</f>
        <v>4.1111111111111107</v>
      </c>
    </row>
    <row r="109" spans="1:53" x14ac:dyDescent="0.55000000000000004">
      <c r="A109" s="7468"/>
      <c r="B109" s="87"/>
      <c r="C109" s="994" t="s">
        <v>227</v>
      </c>
      <c r="D109">
        <v>95</v>
      </c>
      <c r="E109">
        <v>99</v>
      </c>
      <c r="F109">
        <v>96</v>
      </c>
      <c r="G109">
        <v>94</v>
      </c>
      <c r="H109">
        <v>93</v>
      </c>
      <c r="I109">
        <v>92</v>
      </c>
      <c r="J109">
        <v>92</v>
      </c>
      <c r="K109">
        <v>92</v>
      </c>
      <c r="L109">
        <v>90</v>
      </c>
      <c r="M109">
        <v>89</v>
      </c>
      <c r="N109">
        <v>91</v>
      </c>
      <c r="O109">
        <v>113</v>
      </c>
      <c r="P109" s="8"/>
      <c r="Q109" s="1397">
        <f t="shared" si="43"/>
        <v>94.666666666666671</v>
      </c>
      <c r="S109" s="985">
        <v>86</v>
      </c>
      <c r="T109" s="716">
        <v>93</v>
      </c>
      <c r="U109" s="716">
        <v>96</v>
      </c>
      <c r="V109" s="716">
        <v>97</v>
      </c>
      <c r="W109" s="985">
        <v>99</v>
      </c>
      <c r="X109" s="985">
        <v>102</v>
      </c>
      <c r="Y109" s="716">
        <v>102</v>
      </c>
      <c r="Z109" s="716">
        <v>101</v>
      </c>
      <c r="AA109" s="716">
        <v>111</v>
      </c>
      <c r="AB109" s="716">
        <v>104</v>
      </c>
      <c r="AC109" s="1503">
        <v>107</v>
      </c>
      <c r="AD109" s="993">
        <v>110</v>
      </c>
      <c r="AE109" s="8"/>
      <c r="AF109" s="288">
        <f t="shared" si="45"/>
        <v>100.66666666666667</v>
      </c>
      <c r="AG109" s="716">
        <f>SUM(S109:AD109)</f>
        <v>1208</v>
      </c>
      <c r="AH109" s="1503">
        <v>110</v>
      </c>
      <c r="AI109" s="716">
        <v>110</v>
      </c>
      <c r="AJ109" s="716">
        <v>106</v>
      </c>
      <c r="AK109" s="716">
        <v>103</v>
      </c>
      <c r="AL109" s="716">
        <v>103</v>
      </c>
      <c r="AM109" s="716">
        <v>102</v>
      </c>
      <c r="AN109" s="716">
        <v>104</v>
      </c>
      <c r="AO109" s="716">
        <v>100</v>
      </c>
      <c r="AP109" s="716">
        <v>99</v>
      </c>
      <c r="AQ109" s="716">
        <v>98</v>
      </c>
      <c r="AR109" s="1503">
        <v>99</v>
      </c>
      <c r="AS109" s="993">
        <v>99</v>
      </c>
      <c r="AT109" s="8"/>
      <c r="AU109" s="288">
        <f t="shared" si="46"/>
        <v>102.75</v>
      </c>
      <c r="AV109" s="716">
        <f>SUM(AH109:AS109)</f>
        <v>1233</v>
      </c>
      <c r="AW109" s="2277">
        <v>96</v>
      </c>
      <c r="AX109" s="816">
        <f t="shared" si="47"/>
        <v>-3</v>
      </c>
      <c r="AY109" s="504">
        <f t="shared" si="48"/>
        <v>1.03125</v>
      </c>
      <c r="AZ109" s="817">
        <f>'※ 팀별 작성_인프라_인력'!BI12</f>
        <v>23</v>
      </c>
      <c r="BA109" s="818">
        <f t="shared" si="49"/>
        <v>4.3043478260869561</v>
      </c>
    </row>
    <row r="110" spans="1:53" x14ac:dyDescent="0.55000000000000004">
      <c r="A110" s="7468"/>
      <c r="B110" s="87"/>
      <c r="C110" s="994" t="s">
        <v>228</v>
      </c>
      <c r="D110">
        <v>90</v>
      </c>
      <c r="E110">
        <v>91</v>
      </c>
      <c r="F110">
        <v>90</v>
      </c>
      <c r="G110">
        <v>89</v>
      </c>
      <c r="H110">
        <v>92</v>
      </c>
      <c r="I110">
        <v>93</v>
      </c>
      <c r="J110">
        <v>94</v>
      </c>
      <c r="K110">
        <v>95</v>
      </c>
      <c r="L110">
        <v>89</v>
      </c>
      <c r="M110">
        <v>94</v>
      </c>
      <c r="N110">
        <v>91</v>
      </c>
      <c r="O110">
        <v>112</v>
      </c>
      <c r="P110" s="8"/>
      <c r="Q110" s="1397">
        <f t="shared" si="43"/>
        <v>93.333333333333329</v>
      </c>
      <c r="S110" s="985">
        <v>83</v>
      </c>
      <c r="T110" s="716">
        <v>90</v>
      </c>
      <c r="U110" s="716">
        <v>96</v>
      </c>
      <c r="V110" s="716">
        <v>108</v>
      </c>
      <c r="W110" s="985">
        <v>108</v>
      </c>
      <c r="X110" s="985">
        <v>109</v>
      </c>
      <c r="Y110" s="716">
        <v>104</v>
      </c>
      <c r="Z110" s="716">
        <v>103</v>
      </c>
      <c r="AA110" s="716">
        <v>106</v>
      </c>
      <c r="AB110" s="716">
        <v>112</v>
      </c>
      <c r="AC110" s="1503">
        <v>110</v>
      </c>
      <c r="AD110" s="993">
        <v>110</v>
      </c>
      <c r="AE110" s="8"/>
      <c r="AF110" s="288">
        <f t="shared" si="45"/>
        <v>103.25</v>
      </c>
      <c r="AG110" s="716">
        <f t="shared" ref="AG110:AG118" si="54">SUM(S110:AD110)</f>
        <v>1239</v>
      </c>
      <c r="AH110" s="1503">
        <v>109</v>
      </c>
      <c r="AI110" s="716">
        <v>107</v>
      </c>
      <c r="AJ110" s="716">
        <v>105</v>
      </c>
      <c r="AK110" s="716">
        <v>105</v>
      </c>
      <c r="AL110" s="716">
        <v>105</v>
      </c>
      <c r="AM110" s="716">
        <v>106</v>
      </c>
      <c r="AN110" s="716">
        <v>104</v>
      </c>
      <c r="AO110" s="716">
        <v>102</v>
      </c>
      <c r="AP110" s="716">
        <v>103</v>
      </c>
      <c r="AQ110" s="716">
        <v>106</v>
      </c>
      <c r="AR110" s="1503">
        <v>105</v>
      </c>
      <c r="AS110" s="993">
        <v>109</v>
      </c>
      <c r="AT110" s="8"/>
      <c r="AU110" s="288">
        <f t="shared" si="46"/>
        <v>105.5</v>
      </c>
      <c r="AV110" s="716">
        <f t="shared" ref="AV110:AV118" si="55">SUM(AH110:AS110)</f>
        <v>1266</v>
      </c>
      <c r="AW110" s="2277">
        <v>104</v>
      </c>
      <c r="AX110" s="816">
        <f t="shared" si="47"/>
        <v>-5</v>
      </c>
      <c r="AY110" s="504">
        <f t="shared" si="48"/>
        <v>1.0480769230769231</v>
      </c>
      <c r="AZ110" s="817">
        <f>'※ 팀별 작성_인프라_인력'!BI13</f>
        <v>25</v>
      </c>
      <c r="BA110" s="818">
        <f t="shared" si="49"/>
        <v>4.3600000000000003</v>
      </c>
    </row>
    <row r="111" spans="1:53" x14ac:dyDescent="0.55000000000000004">
      <c r="A111" s="7468"/>
      <c r="B111" s="87"/>
      <c r="C111" s="994" t="s">
        <v>229</v>
      </c>
      <c r="D111">
        <v>76</v>
      </c>
      <c r="E111">
        <v>76</v>
      </c>
      <c r="F111">
        <v>78</v>
      </c>
      <c r="G111">
        <v>77</v>
      </c>
      <c r="H111">
        <v>75</v>
      </c>
      <c r="I111">
        <v>74</v>
      </c>
      <c r="J111">
        <v>74</v>
      </c>
      <c r="K111">
        <v>74</v>
      </c>
      <c r="L111">
        <v>73</v>
      </c>
      <c r="M111">
        <v>78</v>
      </c>
      <c r="N111">
        <v>78</v>
      </c>
      <c r="O111">
        <v>85</v>
      </c>
      <c r="P111" s="8"/>
      <c r="Q111" s="1397">
        <f t="shared" si="43"/>
        <v>76.5</v>
      </c>
      <c r="S111" s="985">
        <v>73</v>
      </c>
      <c r="T111" s="716">
        <v>74</v>
      </c>
      <c r="U111" s="716">
        <v>77</v>
      </c>
      <c r="V111" s="716">
        <v>79</v>
      </c>
      <c r="W111" s="985">
        <v>80</v>
      </c>
      <c r="X111" s="985">
        <v>79</v>
      </c>
      <c r="Y111" s="716">
        <v>78</v>
      </c>
      <c r="Z111" s="716">
        <v>78</v>
      </c>
      <c r="AA111" s="716">
        <v>80</v>
      </c>
      <c r="AB111" s="716">
        <v>79</v>
      </c>
      <c r="AC111" s="1503">
        <v>80</v>
      </c>
      <c r="AD111" s="993">
        <v>78</v>
      </c>
      <c r="AE111" s="8"/>
      <c r="AF111" s="288">
        <f t="shared" si="45"/>
        <v>77.916666666666671</v>
      </c>
      <c r="AG111" s="716">
        <f t="shared" si="54"/>
        <v>935</v>
      </c>
      <c r="AH111" s="1503">
        <v>77</v>
      </c>
      <c r="AI111" s="716">
        <v>75</v>
      </c>
      <c r="AJ111" s="716">
        <v>77</v>
      </c>
      <c r="AK111" s="716">
        <v>77</v>
      </c>
      <c r="AL111" s="716">
        <v>76</v>
      </c>
      <c r="AM111" s="716">
        <v>75</v>
      </c>
      <c r="AN111" s="716">
        <v>72</v>
      </c>
      <c r="AO111" s="716">
        <v>75</v>
      </c>
      <c r="AP111" s="716">
        <v>75</v>
      </c>
      <c r="AQ111" s="716">
        <v>75</v>
      </c>
      <c r="AR111" s="1503">
        <v>75</v>
      </c>
      <c r="AS111" s="993">
        <v>77</v>
      </c>
      <c r="AT111" s="8"/>
      <c r="AU111" s="288">
        <f t="shared" si="46"/>
        <v>75.5</v>
      </c>
      <c r="AV111" s="716">
        <f t="shared" si="55"/>
        <v>906</v>
      </c>
      <c r="AW111" s="2277">
        <v>71</v>
      </c>
      <c r="AX111" s="816">
        <f t="shared" si="47"/>
        <v>-6</v>
      </c>
      <c r="AY111" s="504">
        <f t="shared" si="48"/>
        <v>1.0845070422535212</v>
      </c>
      <c r="AZ111" s="817">
        <f>'※ 팀별 작성_인프라_인력'!BI14</f>
        <v>16</v>
      </c>
      <c r="BA111" s="818">
        <f t="shared" si="49"/>
        <v>4.8125</v>
      </c>
    </row>
    <row r="112" spans="1:53" x14ac:dyDescent="0.55000000000000004">
      <c r="A112" s="7468"/>
      <c r="B112" s="87"/>
      <c r="C112" s="994" t="s">
        <v>230</v>
      </c>
      <c r="D112">
        <v>115</v>
      </c>
      <c r="E112">
        <v>115</v>
      </c>
      <c r="F112">
        <v>115</v>
      </c>
      <c r="G112">
        <v>116</v>
      </c>
      <c r="H112">
        <v>118</v>
      </c>
      <c r="I112">
        <v>117</v>
      </c>
      <c r="J112">
        <v>116</v>
      </c>
      <c r="K112">
        <v>116</v>
      </c>
      <c r="L112">
        <v>113</v>
      </c>
      <c r="M112">
        <v>113</v>
      </c>
      <c r="N112">
        <v>115</v>
      </c>
      <c r="O112">
        <v>115</v>
      </c>
      <c r="P112" s="8"/>
      <c r="Q112" s="1397">
        <f t="shared" si="43"/>
        <v>115.33333333333333</v>
      </c>
      <c r="S112" s="985">
        <v>107</v>
      </c>
      <c r="T112" s="716">
        <v>109</v>
      </c>
      <c r="U112" s="716">
        <v>102</v>
      </c>
      <c r="V112" s="716">
        <v>105</v>
      </c>
      <c r="W112" s="985">
        <v>110</v>
      </c>
      <c r="X112" s="985">
        <v>104</v>
      </c>
      <c r="Y112" s="716">
        <v>106</v>
      </c>
      <c r="Z112" s="716">
        <v>104</v>
      </c>
      <c r="AA112" s="716">
        <v>106</v>
      </c>
      <c r="AB112" s="716">
        <v>105</v>
      </c>
      <c r="AC112" s="1503">
        <v>105</v>
      </c>
      <c r="AD112" s="993">
        <v>107</v>
      </c>
      <c r="AE112" s="8"/>
      <c r="AF112" s="288">
        <f t="shared" si="45"/>
        <v>105.83333333333333</v>
      </c>
      <c r="AG112" s="716">
        <f t="shared" si="54"/>
        <v>1270</v>
      </c>
      <c r="AH112" s="1503">
        <v>107</v>
      </c>
      <c r="AI112" s="716">
        <v>106</v>
      </c>
      <c r="AJ112" s="716">
        <v>109</v>
      </c>
      <c r="AK112" s="716">
        <v>104</v>
      </c>
      <c r="AL112" s="716">
        <v>103</v>
      </c>
      <c r="AM112" s="716">
        <v>103</v>
      </c>
      <c r="AN112" s="716">
        <v>100</v>
      </c>
      <c r="AO112" s="716">
        <v>103</v>
      </c>
      <c r="AP112" s="716">
        <v>103</v>
      </c>
      <c r="AQ112" s="716">
        <v>104</v>
      </c>
      <c r="AR112" s="1503">
        <v>106</v>
      </c>
      <c r="AS112" s="993">
        <v>107</v>
      </c>
      <c r="AT112" s="8"/>
      <c r="AU112" s="288">
        <f t="shared" si="46"/>
        <v>104.58333333333333</v>
      </c>
      <c r="AV112" s="716">
        <f t="shared" si="55"/>
        <v>1255</v>
      </c>
      <c r="AW112" s="2277">
        <v>102</v>
      </c>
      <c r="AX112" s="816">
        <f t="shared" si="47"/>
        <v>-5</v>
      </c>
      <c r="AY112" s="504">
        <f t="shared" si="48"/>
        <v>1.0490196078431373</v>
      </c>
      <c r="AZ112" s="817">
        <f>'※ 팀별 작성_인프라_인력'!BI15</f>
        <v>25</v>
      </c>
      <c r="BA112" s="818">
        <f t="shared" si="49"/>
        <v>4.28</v>
      </c>
    </row>
    <row r="113" spans="1:53" x14ac:dyDescent="0.55000000000000004">
      <c r="A113" s="7468"/>
      <c r="B113" s="87"/>
      <c r="C113" s="994" t="s">
        <v>231</v>
      </c>
      <c r="D113">
        <v>146</v>
      </c>
      <c r="E113">
        <v>141</v>
      </c>
      <c r="F113">
        <v>144</v>
      </c>
      <c r="G113">
        <v>143</v>
      </c>
      <c r="H113">
        <v>143</v>
      </c>
      <c r="I113">
        <v>141</v>
      </c>
      <c r="J113">
        <v>138</v>
      </c>
      <c r="K113">
        <v>137</v>
      </c>
      <c r="L113">
        <v>141</v>
      </c>
      <c r="M113">
        <v>142</v>
      </c>
      <c r="N113">
        <v>145</v>
      </c>
      <c r="O113">
        <v>164</v>
      </c>
      <c r="P113" s="8"/>
      <c r="Q113" s="1397">
        <f t="shared" si="43"/>
        <v>143.75</v>
      </c>
      <c r="S113" s="985">
        <v>134</v>
      </c>
      <c r="T113" s="716">
        <v>137</v>
      </c>
      <c r="U113" s="716">
        <v>140</v>
      </c>
      <c r="V113" s="716">
        <v>141</v>
      </c>
      <c r="W113" s="985">
        <v>146</v>
      </c>
      <c r="X113" s="985">
        <v>144</v>
      </c>
      <c r="Y113" s="716">
        <v>154</v>
      </c>
      <c r="Z113" s="716">
        <v>150</v>
      </c>
      <c r="AA113" s="716">
        <v>151</v>
      </c>
      <c r="AB113" s="716">
        <v>146</v>
      </c>
      <c r="AC113" s="1503">
        <v>148</v>
      </c>
      <c r="AD113" s="993">
        <v>146</v>
      </c>
      <c r="AE113" s="8"/>
      <c r="AF113" s="288">
        <f t="shared" si="45"/>
        <v>144.75</v>
      </c>
      <c r="AG113" s="716">
        <f t="shared" si="54"/>
        <v>1737</v>
      </c>
      <c r="AH113" s="1503">
        <v>148</v>
      </c>
      <c r="AI113" s="716">
        <v>146</v>
      </c>
      <c r="AJ113" s="716">
        <v>142</v>
      </c>
      <c r="AK113" s="716">
        <v>143</v>
      </c>
      <c r="AL113" s="716">
        <v>141</v>
      </c>
      <c r="AM113" s="716">
        <v>140</v>
      </c>
      <c r="AN113" s="716">
        <v>143</v>
      </c>
      <c r="AO113" s="716">
        <v>141</v>
      </c>
      <c r="AP113" s="716">
        <v>141</v>
      </c>
      <c r="AQ113" s="716">
        <v>137</v>
      </c>
      <c r="AR113" s="1503">
        <v>137</v>
      </c>
      <c r="AS113" s="993">
        <v>140</v>
      </c>
      <c r="AT113" s="8"/>
      <c r="AU113" s="288">
        <f t="shared" si="46"/>
        <v>141.58333333333334</v>
      </c>
      <c r="AV113" s="716">
        <f t="shared" si="55"/>
        <v>1699</v>
      </c>
      <c r="AW113" s="2277">
        <v>135</v>
      </c>
      <c r="AX113" s="816">
        <f t="shared" si="47"/>
        <v>-5</v>
      </c>
      <c r="AY113" s="504">
        <f t="shared" si="48"/>
        <v>1.037037037037037</v>
      </c>
      <c r="AZ113" s="817">
        <f>'※ 팀별 작성_인프라_인력'!BI16</f>
        <v>30</v>
      </c>
      <c r="BA113" s="818">
        <f t="shared" si="49"/>
        <v>4.666666666666667</v>
      </c>
    </row>
    <row r="114" spans="1:53" x14ac:dyDescent="0.55000000000000004">
      <c r="A114" s="7468"/>
      <c r="B114" s="87"/>
      <c r="C114" s="994" t="s">
        <v>232</v>
      </c>
      <c r="D114">
        <v>100</v>
      </c>
      <c r="E114">
        <v>103</v>
      </c>
      <c r="F114">
        <v>100</v>
      </c>
      <c r="G114">
        <v>100</v>
      </c>
      <c r="H114">
        <v>102</v>
      </c>
      <c r="I114">
        <v>101</v>
      </c>
      <c r="J114">
        <v>97</v>
      </c>
      <c r="K114">
        <v>99</v>
      </c>
      <c r="L114">
        <v>99</v>
      </c>
      <c r="M114">
        <v>96</v>
      </c>
      <c r="N114">
        <v>96</v>
      </c>
      <c r="O114">
        <v>102</v>
      </c>
      <c r="P114" s="8"/>
      <c r="Q114" s="1397">
        <f t="shared" si="43"/>
        <v>99.583333333333329</v>
      </c>
      <c r="S114" s="985">
        <v>90</v>
      </c>
      <c r="T114" s="716">
        <v>89</v>
      </c>
      <c r="U114" s="716">
        <v>86</v>
      </c>
      <c r="V114" s="716">
        <v>88</v>
      </c>
      <c r="W114" s="985">
        <v>87</v>
      </c>
      <c r="X114" s="985">
        <v>88</v>
      </c>
      <c r="Y114" s="716">
        <v>91</v>
      </c>
      <c r="Z114" s="716">
        <v>90</v>
      </c>
      <c r="AA114" s="716">
        <v>90</v>
      </c>
      <c r="AB114" s="716">
        <v>96</v>
      </c>
      <c r="AC114" s="1503">
        <v>96</v>
      </c>
      <c r="AD114" s="993">
        <v>95</v>
      </c>
      <c r="AE114" s="8"/>
      <c r="AF114" s="288">
        <f t="shared" si="45"/>
        <v>90.5</v>
      </c>
      <c r="AG114" s="716">
        <f t="shared" si="54"/>
        <v>1086</v>
      </c>
      <c r="AH114" s="1503">
        <v>97</v>
      </c>
      <c r="AI114" s="716">
        <v>96</v>
      </c>
      <c r="AJ114" s="716">
        <v>99</v>
      </c>
      <c r="AK114" s="716">
        <v>98</v>
      </c>
      <c r="AL114" s="716">
        <v>100</v>
      </c>
      <c r="AM114" s="716">
        <v>97</v>
      </c>
      <c r="AN114" s="716">
        <v>93</v>
      </c>
      <c r="AO114" s="716">
        <v>86</v>
      </c>
      <c r="AP114" s="716">
        <v>88</v>
      </c>
      <c r="AQ114" s="716">
        <v>87</v>
      </c>
      <c r="AR114" s="1503">
        <v>85</v>
      </c>
      <c r="AS114" s="993">
        <v>91</v>
      </c>
      <c r="AT114" s="8"/>
      <c r="AU114" s="288">
        <f t="shared" si="46"/>
        <v>93.083333333333329</v>
      </c>
      <c r="AV114" s="716">
        <f t="shared" si="55"/>
        <v>1117</v>
      </c>
      <c r="AW114" s="2277">
        <v>86</v>
      </c>
      <c r="AX114" s="816">
        <f t="shared" si="47"/>
        <v>-5</v>
      </c>
      <c r="AY114" s="504">
        <f t="shared" si="48"/>
        <v>1.058139534883721</v>
      </c>
      <c r="AZ114" s="817">
        <f>'※ 팀별 작성_인프라_인력'!BI17</f>
        <v>20</v>
      </c>
      <c r="BA114" s="818">
        <f t="shared" si="49"/>
        <v>4.55</v>
      </c>
    </row>
    <row r="115" spans="1:53" x14ac:dyDescent="0.55000000000000004">
      <c r="A115" s="7468"/>
      <c r="B115" s="87"/>
      <c r="C115" s="994" t="s">
        <v>233</v>
      </c>
      <c r="D115">
        <v>140</v>
      </c>
      <c r="E115">
        <v>147</v>
      </c>
      <c r="F115">
        <v>147</v>
      </c>
      <c r="G115">
        <v>141</v>
      </c>
      <c r="H115">
        <v>143</v>
      </c>
      <c r="I115">
        <v>140</v>
      </c>
      <c r="J115">
        <v>135</v>
      </c>
      <c r="K115">
        <v>134</v>
      </c>
      <c r="L115">
        <v>132</v>
      </c>
      <c r="M115">
        <v>133</v>
      </c>
      <c r="N115">
        <v>132</v>
      </c>
      <c r="O115">
        <v>132</v>
      </c>
      <c r="P115" s="8"/>
      <c r="Q115" s="1397">
        <f t="shared" si="43"/>
        <v>138</v>
      </c>
      <c r="S115" s="985">
        <v>120</v>
      </c>
      <c r="T115" s="716">
        <v>120</v>
      </c>
      <c r="U115" s="716">
        <v>121</v>
      </c>
      <c r="V115" s="716">
        <v>121</v>
      </c>
      <c r="W115" s="985">
        <v>123</v>
      </c>
      <c r="X115" s="985">
        <v>120</v>
      </c>
      <c r="Y115" s="716">
        <v>116</v>
      </c>
      <c r="Z115" s="716">
        <v>118</v>
      </c>
      <c r="AA115" s="716">
        <v>118</v>
      </c>
      <c r="AB115" s="716">
        <v>122</v>
      </c>
      <c r="AC115" s="1503">
        <v>126</v>
      </c>
      <c r="AD115" s="993">
        <v>128</v>
      </c>
      <c r="AE115" s="8"/>
      <c r="AF115" s="288">
        <f t="shared" si="45"/>
        <v>121.08333333333333</v>
      </c>
      <c r="AG115" s="716">
        <f t="shared" si="54"/>
        <v>1453</v>
      </c>
      <c r="AH115" s="1503">
        <v>134</v>
      </c>
      <c r="AI115" s="716">
        <v>125</v>
      </c>
      <c r="AJ115" s="716">
        <v>125</v>
      </c>
      <c r="AK115" s="716">
        <v>123</v>
      </c>
      <c r="AL115" s="716">
        <v>120</v>
      </c>
      <c r="AM115" s="716">
        <v>118</v>
      </c>
      <c r="AN115" s="716">
        <v>114</v>
      </c>
      <c r="AO115" s="716">
        <v>114</v>
      </c>
      <c r="AP115" s="716">
        <v>117</v>
      </c>
      <c r="AQ115" s="716">
        <v>110</v>
      </c>
      <c r="AR115" s="1503">
        <v>112</v>
      </c>
      <c r="AS115" s="993">
        <v>119</v>
      </c>
      <c r="AT115" s="8"/>
      <c r="AU115" s="288">
        <f t="shared" si="46"/>
        <v>119.25</v>
      </c>
      <c r="AV115" s="716">
        <f t="shared" si="55"/>
        <v>1431</v>
      </c>
      <c r="AW115" s="2277">
        <v>119</v>
      </c>
      <c r="AX115" s="816">
        <f t="shared" si="47"/>
        <v>0</v>
      </c>
      <c r="AY115" s="504">
        <f t="shared" si="48"/>
        <v>1</v>
      </c>
      <c r="AZ115" s="817">
        <f>'※ 팀별 작성_인프라_인력'!BI18</f>
        <v>28</v>
      </c>
      <c r="BA115" s="818">
        <f t="shared" si="49"/>
        <v>4.25</v>
      </c>
    </row>
    <row r="116" spans="1:53" x14ac:dyDescent="0.55000000000000004">
      <c r="A116" s="7468"/>
      <c r="B116" s="87"/>
      <c r="C116" s="994" t="s">
        <v>234</v>
      </c>
      <c r="D116">
        <v>144</v>
      </c>
      <c r="E116">
        <v>139</v>
      </c>
      <c r="F116">
        <v>140</v>
      </c>
      <c r="G116">
        <v>137</v>
      </c>
      <c r="H116">
        <v>138</v>
      </c>
      <c r="I116">
        <v>139</v>
      </c>
      <c r="J116">
        <v>138</v>
      </c>
      <c r="K116">
        <v>139</v>
      </c>
      <c r="L116">
        <v>134</v>
      </c>
      <c r="M116">
        <v>135</v>
      </c>
      <c r="N116">
        <v>134</v>
      </c>
      <c r="O116">
        <v>128</v>
      </c>
      <c r="P116" s="8"/>
      <c r="Q116" s="1397">
        <f t="shared" si="43"/>
        <v>137.08333333333334</v>
      </c>
      <c r="S116" s="985">
        <v>125</v>
      </c>
      <c r="T116" s="716">
        <v>124</v>
      </c>
      <c r="U116" s="716">
        <v>121</v>
      </c>
      <c r="V116" s="716">
        <v>122</v>
      </c>
      <c r="W116" s="985">
        <v>127</v>
      </c>
      <c r="X116" s="985">
        <v>121</v>
      </c>
      <c r="Y116" s="716">
        <v>119</v>
      </c>
      <c r="Z116" s="716">
        <v>117</v>
      </c>
      <c r="AA116" s="716">
        <v>118</v>
      </c>
      <c r="AB116" s="716">
        <v>121</v>
      </c>
      <c r="AC116" s="1503">
        <v>123</v>
      </c>
      <c r="AD116" s="993">
        <v>126</v>
      </c>
      <c r="AE116" s="8"/>
      <c r="AF116" s="288">
        <f t="shared" si="45"/>
        <v>122</v>
      </c>
      <c r="AG116" s="716">
        <f t="shared" si="54"/>
        <v>1464</v>
      </c>
      <c r="AH116" s="1503">
        <v>123</v>
      </c>
      <c r="AI116" s="716">
        <v>124</v>
      </c>
      <c r="AJ116" s="716">
        <v>121</v>
      </c>
      <c r="AK116" s="716">
        <v>121</v>
      </c>
      <c r="AL116" s="716">
        <v>122</v>
      </c>
      <c r="AM116" s="716">
        <v>125</v>
      </c>
      <c r="AN116" s="716">
        <v>125</v>
      </c>
      <c r="AO116" s="716">
        <v>124</v>
      </c>
      <c r="AP116" s="716">
        <v>119</v>
      </c>
      <c r="AQ116" s="716">
        <v>117</v>
      </c>
      <c r="AR116" s="1503">
        <v>118</v>
      </c>
      <c r="AS116" s="993">
        <v>121</v>
      </c>
      <c r="AT116" s="8"/>
      <c r="AU116" s="288">
        <f t="shared" si="46"/>
        <v>121.66666666666667</v>
      </c>
      <c r="AV116" s="716">
        <f t="shared" si="55"/>
        <v>1460</v>
      </c>
      <c r="AW116" s="2277">
        <v>120</v>
      </c>
      <c r="AX116" s="816">
        <f t="shared" si="47"/>
        <v>-1</v>
      </c>
      <c r="AY116" s="504">
        <f t="shared" si="48"/>
        <v>1.0083333333333333</v>
      </c>
      <c r="AZ116" s="817">
        <f>'※ 팀별 작성_인프라_인력'!BI19</f>
        <v>29</v>
      </c>
      <c r="BA116" s="818">
        <f t="shared" si="49"/>
        <v>4.1724137931034484</v>
      </c>
    </row>
    <row r="117" spans="1:53" x14ac:dyDescent="0.55000000000000004">
      <c r="A117" s="7468"/>
      <c r="B117" s="87"/>
      <c r="C117" s="994" t="s">
        <v>235</v>
      </c>
      <c r="D117">
        <v>118</v>
      </c>
      <c r="E117">
        <v>108</v>
      </c>
      <c r="F117">
        <v>107</v>
      </c>
      <c r="G117">
        <v>111</v>
      </c>
      <c r="H117">
        <v>118</v>
      </c>
      <c r="I117">
        <v>114</v>
      </c>
      <c r="J117">
        <v>109</v>
      </c>
      <c r="K117">
        <v>112</v>
      </c>
      <c r="L117">
        <v>110</v>
      </c>
      <c r="M117">
        <v>108</v>
      </c>
      <c r="N117">
        <v>109</v>
      </c>
      <c r="O117">
        <v>116</v>
      </c>
      <c r="P117" s="8"/>
      <c r="Q117" s="1397">
        <f t="shared" si="43"/>
        <v>111.66666666666667</v>
      </c>
      <c r="S117" s="985">
        <v>107</v>
      </c>
      <c r="T117" s="716">
        <v>105</v>
      </c>
      <c r="U117" s="716">
        <v>104</v>
      </c>
      <c r="V117" s="716">
        <v>107</v>
      </c>
      <c r="W117" s="985">
        <v>106</v>
      </c>
      <c r="X117" s="985">
        <v>104</v>
      </c>
      <c r="Y117" s="716">
        <v>104</v>
      </c>
      <c r="Z117" s="716">
        <v>103</v>
      </c>
      <c r="AA117" s="716">
        <v>107</v>
      </c>
      <c r="AB117" s="716">
        <v>115</v>
      </c>
      <c r="AC117" s="1503">
        <v>111</v>
      </c>
      <c r="AD117" s="993">
        <v>118</v>
      </c>
      <c r="AE117" s="8"/>
      <c r="AF117" s="288">
        <f t="shared" si="45"/>
        <v>107.58333333333333</v>
      </c>
      <c r="AG117" s="716">
        <f t="shared" si="54"/>
        <v>1291</v>
      </c>
      <c r="AH117" s="1503">
        <v>124</v>
      </c>
      <c r="AI117" s="716">
        <v>119</v>
      </c>
      <c r="AJ117" s="716">
        <v>120</v>
      </c>
      <c r="AK117" s="716">
        <v>123</v>
      </c>
      <c r="AL117" s="716">
        <v>117</v>
      </c>
      <c r="AM117" s="716">
        <v>118</v>
      </c>
      <c r="AN117" s="716">
        <v>118</v>
      </c>
      <c r="AO117" s="716">
        <v>116</v>
      </c>
      <c r="AP117" s="716">
        <v>116</v>
      </c>
      <c r="AQ117" s="716">
        <v>113</v>
      </c>
      <c r="AR117" s="1503">
        <v>111</v>
      </c>
      <c r="AS117" s="993">
        <v>109</v>
      </c>
      <c r="AT117" s="8"/>
      <c r="AU117" s="288">
        <f t="shared" si="46"/>
        <v>117</v>
      </c>
      <c r="AV117" s="716">
        <f t="shared" si="55"/>
        <v>1404</v>
      </c>
      <c r="AW117" s="2277">
        <v>108</v>
      </c>
      <c r="AX117" s="816">
        <f t="shared" si="47"/>
        <v>-1</v>
      </c>
      <c r="AY117" s="504">
        <f t="shared" si="48"/>
        <v>1.0092592592592593</v>
      </c>
      <c r="AZ117" s="817">
        <f>'※ 팀별 작성_인프라_인력'!BI20</f>
        <v>27</v>
      </c>
      <c r="BA117" s="818">
        <f t="shared" si="49"/>
        <v>4.0370370370370372</v>
      </c>
    </row>
    <row r="118" spans="1:53" ht="18" thickBot="1" x14ac:dyDescent="0.6">
      <c r="A118" s="7473"/>
      <c r="B118" s="90"/>
      <c r="C118" s="995" t="s">
        <v>236</v>
      </c>
      <c r="D118" s="117">
        <v>122</v>
      </c>
      <c r="E118" s="117">
        <v>119</v>
      </c>
      <c r="F118" s="117">
        <v>115</v>
      </c>
      <c r="G118" s="117">
        <v>115</v>
      </c>
      <c r="H118" s="117">
        <v>114</v>
      </c>
      <c r="I118" s="117">
        <v>114</v>
      </c>
      <c r="J118" s="117">
        <v>113</v>
      </c>
      <c r="K118" s="117">
        <v>114</v>
      </c>
      <c r="L118" s="117">
        <v>114</v>
      </c>
      <c r="M118" s="117">
        <v>113</v>
      </c>
      <c r="N118" s="117">
        <v>112</v>
      </c>
      <c r="O118" s="117">
        <v>124</v>
      </c>
      <c r="P118" s="26"/>
      <c r="Q118" s="1403">
        <f t="shared" si="43"/>
        <v>115.75</v>
      </c>
      <c r="S118" s="722">
        <v>107</v>
      </c>
      <c r="T118" s="722">
        <v>103</v>
      </c>
      <c r="U118" s="722">
        <v>105</v>
      </c>
      <c r="V118" s="722">
        <v>104</v>
      </c>
      <c r="W118" s="722">
        <v>105</v>
      </c>
      <c r="X118" s="985">
        <v>105</v>
      </c>
      <c r="Y118" s="716">
        <v>112</v>
      </c>
      <c r="Z118" s="716">
        <v>116</v>
      </c>
      <c r="AA118" s="716">
        <v>116</v>
      </c>
      <c r="AB118" s="716">
        <v>117</v>
      </c>
      <c r="AC118" s="1503">
        <v>115</v>
      </c>
      <c r="AD118" s="1549">
        <v>114</v>
      </c>
      <c r="AE118" s="26"/>
      <c r="AF118" s="1519">
        <f t="shared" si="45"/>
        <v>109.91666666666667</v>
      </c>
      <c r="AG118" s="716">
        <f t="shared" si="54"/>
        <v>1319</v>
      </c>
      <c r="AH118" s="1976">
        <v>110</v>
      </c>
      <c r="AI118" s="722">
        <v>109</v>
      </c>
      <c r="AJ118" s="722">
        <v>115</v>
      </c>
      <c r="AK118" s="722">
        <v>115</v>
      </c>
      <c r="AL118" s="722">
        <v>111</v>
      </c>
      <c r="AM118" s="716">
        <v>110</v>
      </c>
      <c r="AN118" s="716">
        <v>111</v>
      </c>
      <c r="AO118" s="716">
        <v>109</v>
      </c>
      <c r="AP118" s="716">
        <v>110</v>
      </c>
      <c r="AQ118" s="716">
        <v>111</v>
      </c>
      <c r="AR118" s="1503">
        <v>111</v>
      </c>
      <c r="AS118" s="1549">
        <v>113</v>
      </c>
      <c r="AT118" s="26"/>
      <c r="AU118" s="1519">
        <f t="shared" si="46"/>
        <v>111.25</v>
      </c>
      <c r="AV118" s="716">
        <f t="shared" si="55"/>
        <v>1335</v>
      </c>
      <c r="AW118" s="2278">
        <v>108</v>
      </c>
      <c r="AX118" s="816">
        <f t="shared" si="47"/>
        <v>-5</v>
      </c>
      <c r="AY118" s="504">
        <f t="shared" si="48"/>
        <v>1.0462962962962963</v>
      </c>
      <c r="AZ118" s="819">
        <f>'※ 팀별 작성_인프라_인력'!BI21</f>
        <v>27</v>
      </c>
      <c r="BA118" s="820">
        <f t="shared" si="49"/>
        <v>4.1851851851851851</v>
      </c>
    </row>
    <row r="119" spans="1:53" x14ac:dyDescent="0.55000000000000004">
      <c r="A119" s="7467" t="s">
        <v>241</v>
      </c>
      <c r="B119" s="74" t="s">
        <v>257</v>
      </c>
      <c r="C119" s="27"/>
      <c r="D119" s="27">
        <f t="shared" ref="D119:N119" si="56">SUM(D120:D124)</f>
        <v>420</v>
      </c>
      <c r="E119" s="27">
        <f t="shared" si="56"/>
        <v>423</v>
      </c>
      <c r="F119" s="27">
        <f t="shared" si="56"/>
        <v>420</v>
      </c>
      <c r="G119" s="27">
        <f t="shared" si="56"/>
        <v>414</v>
      </c>
      <c r="H119" s="27">
        <f t="shared" si="56"/>
        <v>410</v>
      </c>
      <c r="I119" s="27">
        <f t="shared" si="56"/>
        <v>409</v>
      </c>
      <c r="J119" s="27">
        <f t="shared" si="56"/>
        <v>415</v>
      </c>
      <c r="K119" s="27">
        <f t="shared" si="56"/>
        <v>404</v>
      </c>
      <c r="L119" s="27">
        <f t="shared" si="56"/>
        <v>401</v>
      </c>
      <c r="M119" s="27">
        <f t="shared" si="56"/>
        <v>401</v>
      </c>
      <c r="N119" s="27">
        <f t="shared" si="56"/>
        <v>402</v>
      </c>
      <c r="O119" s="27">
        <f>SUM(O120:O124)</f>
        <v>387</v>
      </c>
      <c r="P119" s="27"/>
      <c r="Q119" s="1400">
        <f t="shared" si="43"/>
        <v>408.83333333333331</v>
      </c>
      <c r="S119" s="719">
        <f t="shared" ref="S119:X119" si="57">SUM(S120:S124)</f>
        <v>337</v>
      </c>
      <c r="T119" s="719">
        <f t="shared" si="57"/>
        <v>341</v>
      </c>
      <c r="U119" s="719">
        <f t="shared" si="57"/>
        <v>338</v>
      </c>
      <c r="V119" s="719">
        <f t="shared" si="57"/>
        <v>345</v>
      </c>
      <c r="W119" s="719">
        <f t="shared" si="57"/>
        <v>340</v>
      </c>
      <c r="X119" s="989">
        <f t="shared" si="57"/>
        <v>336</v>
      </c>
      <c r="Y119" s="989">
        <v>325</v>
      </c>
      <c r="Z119" s="989">
        <v>325</v>
      </c>
      <c r="AA119" s="989">
        <v>325</v>
      </c>
      <c r="AB119" s="989">
        <v>333</v>
      </c>
      <c r="AC119" s="1507">
        <v>333</v>
      </c>
      <c r="AD119" s="719">
        <v>341</v>
      </c>
      <c r="AE119" s="27"/>
      <c r="AF119" s="1516">
        <f t="shared" si="45"/>
        <v>334.91666666666669</v>
      </c>
      <c r="AH119" s="1974">
        <v>344</v>
      </c>
      <c r="AI119" s="719">
        <v>341</v>
      </c>
      <c r="AJ119" s="719">
        <v>345</v>
      </c>
      <c r="AK119" s="719">
        <v>336</v>
      </c>
      <c r="AL119" s="719">
        <v>328</v>
      </c>
      <c r="AM119" s="989">
        <v>322</v>
      </c>
      <c r="AN119" s="989">
        <v>325</v>
      </c>
      <c r="AO119" s="989">
        <v>321</v>
      </c>
      <c r="AP119" s="989">
        <v>316</v>
      </c>
      <c r="AQ119" s="989">
        <v>315</v>
      </c>
      <c r="AR119" s="1507">
        <v>322</v>
      </c>
      <c r="AS119" s="719">
        <v>324</v>
      </c>
      <c r="AT119" s="27"/>
      <c r="AU119" s="1516">
        <f t="shared" si="46"/>
        <v>328.25</v>
      </c>
      <c r="AW119" s="1999">
        <v>331</v>
      </c>
      <c r="AX119" s="804">
        <f t="shared" si="47"/>
        <v>7</v>
      </c>
      <c r="AY119" s="505">
        <f t="shared" si="48"/>
        <v>0.97885196374622352</v>
      </c>
      <c r="AZ119" s="821">
        <f>SUM(AZ120:AZ124)</f>
        <v>50</v>
      </c>
      <c r="BA119" s="806">
        <f t="shared" si="49"/>
        <v>6.48</v>
      </c>
    </row>
    <row r="120" spans="1:53" x14ac:dyDescent="0.55000000000000004">
      <c r="A120" s="7468"/>
      <c r="B120" s="99" t="s">
        <v>222</v>
      </c>
      <c r="C120" s="100"/>
      <c r="D120" s="100">
        <f t="shared" ref="D120:N120" si="58">D125+D127</f>
        <v>83</v>
      </c>
      <c r="E120" s="100">
        <f t="shared" si="58"/>
        <v>86</v>
      </c>
      <c r="F120" s="100">
        <f t="shared" si="58"/>
        <v>85</v>
      </c>
      <c r="G120" s="100">
        <f t="shared" si="58"/>
        <v>85</v>
      </c>
      <c r="H120" s="100">
        <f t="shared" si="58"/>
        <v>85</v>
      </c>
      <c r="I120" s="100">
        <f t="shared" si="58"/>
        <v>84</v>
      </c>
      <c r="J120" s="100">
        <f t="shared" si="58"/>
        <v>84</v>
      </c>
      <c r="K120" s="100">
        <f t="shared" si="58"/>
        <v>84</v>
      </c>
      <c r="L120" s="100">
        <f t="shared" si="58"/>
        <v>86</v>
      </c>
      <c r="M120" s="100">
        <f t="shared" si="58"/>
        <v>83</v>
      </c>
      <c r="N120" s="100">
        <f t="shared" si="58"/>
        <v>85</v>
      </c>
      <c r="O120" s="100">
        <f>O125+O127</f>
        <v>82</v>
      </c>
      <c r="P120" s="100"/>
      <c r="Q120" s="1401">
        <f t="shared" si="43"/>
        <v>84.333333333333329</v>
      </c>
      <c r="S120" s="720">
        <v>69</v>
      </c>
      <c r="T120" s="720">
        <v>69</v>
      </c>
      <c r="U120" s="720">
        <v>68</v>
      </c>
      <c r="V120" s="720">
        <v>70</v>
      </c>
      <c r="W120" s="720">
        <v>70</v>
      </c>
      <c r="X120" s="984">
        <f>SUM(X125,X127)</f>
        <v>69</v>
      </c>
      <c r="Y120" s="718">
        <v>69</v>
      </c>
      <c r="Z120" s="718">
        <v>66</v>
      </c>
      <c r="AA120" s="718">
        <v>66</v>
      </c>
      <c r="AB120" s="718">
        <v>67</v>
      </c>
      <c r="AC120" s="1505">
        <v>67</v>
      </c>
      <c r="AD120" s="720">
        <v>71</v>
      </c>
      <c r="AE120" s="100"/>
      <c r="AF120" s="1517">
        <f t="shared" si="45"/>
        <v>68.416666666666671</v>
      </c>
      <c r="AH120" s="1975">
        <v>72</v>
      </c>
      <c r="AI120" s="720">
        <v>72</v>
      </c>
      <c r="AJ120" s="720">
        <v>73</v>
      </c>
      <c r="AK120" s="720">
        <v>71</v>
      </c>
      <c r="AL120" s="720">
        <v>70</v>
      </c>
      <c r="AM120" s="718">
        <v>68</v>
      </c>
      <c r="AN120" s="718">
        <v>70</v>
      </c>
      <c r="AO120" s="718">
        <v>68</v>
      </c>
      <c r="AP120" s="718">
        <v>65</v>
      </c>
      <c r="AQ120" s="718">
        <v>65</v>
      </c>
      <c r="AR120" s="1505">
        <v>65</v>
      </c>
      <c r="AS120" s="720">
        <v>62</v>
      </c>
      <c r="AT120" s="100"/>
      <c r="AU120" s="1517">
        <f t="shared" si="46"/>
        <v>68.416666666666671</v>
      </c>
      <c r="AW120" s="2000">
        <v>61</v>
      </c>
      <c r="AX120" s="807">
        <f t="shared" si="47"/>
        <v>-1</v>
      </c>
      <c r="AY120" s="506">
        <f t="shared" si="48"/>
        <v>1.0163934426229508</v>
      </c>
      <c r="AZ120" s="822">
        <v>10</v>
      </c>
      <c r="BA120" s="809">
        <f t="shared" si="49"/>
        <v>6.2</v>
      </c>
    </row>
    <row r="121" spans="1:53" x14ac:dyDescent="0.55000000000000004">
      <c r="A121" s="7468"/>
      <c r="B121" s="101" t="s">
        <v>223</v>
      </c>
      <c r="C121" s="14"/>
      <c r="D121" s="450">
        <f t="shared" ref="D121:M121" si="59">D129+D131</f>
        <v>109</v>
      </c>
      <c r="E121" s="450">
        <f t="shared" si="59"/>
        <v>110</v>
      </c>
      <c r="F121" s="450">
        <f t="shared" si="59"/>
        <v>107</v>
      </c>
      <c r="G121" s="450">
        <f t="shared" si="59"/>
        <v>105</v>
      </c>
      <c r="H121" s="450">
        <f t="shared" si="59"/>
        <v>104</v>
      </c>
      <c r="I121" s="450">
        <f t="shared" si="59"/>
        <v>102</v>
      </c>
      <c r="J121" s="450">
        <f t="shared" si="59"/>
        <v>109</v>
      </c>
      <c r="K121" s="450">
        <f t="shared" si="59"/>
        <v>105</v>
      </c>
      <c r="L121" s="450">
        <f t="shared" si="59"/>
        <v>101</v>
      </c>
      <c r="M121" s="450">
        <f t="shared" si="59"/>
        <v>102</v>
      </c>
      <c r="N121" s="450">
        <f>N129+N131</f>
        <v>105</v>
      </c>
      <c r="O121" s="450">
        <f>O129</f>
        <v>55</v>
      </c>
      <c r="P121" s="14"/>
      <c r="Q121" s="1399">
        <f t="shared" si="43"/>
        <v>101.16666666666667</v>
      </c>
      <c r="S121" s="984">
        <v>43</v>
      </c>
      <c r="T121" s="718">
        <v>45</v>
      </c>
      <c r="U121" s="718">
        <v>44</v>
      </c>
      <c r="V121" s="718">
        <v>49</v>
      </c>
      <c r="W121" s="984">
        <v>50</v>
      </c>
      <c r="X121" s="984">
        <f>X129</f>
        <v>47</v>
      </c>
      <c r="Y121" s="718">
        <v>47</v>
      </c>
      <c r="Z121" s="718">
        <v>47</v>
      </c>
      <c r="AA121" s="718">
        <v>46</v>
      </c>
      <c r="AB121" s="718">
        <v>49</v>
      </c>
      <c r="AC121" s="1505">
        <v>46</v>
      </c>
      <c r="AD121" s="984">
        <v>46</v>
      </c>
      <c r="AE121" s="14"/>
      <c r="AF121" s="290">
        <f t="shared" si="45"/>
        <v>46.583333333333336</v>
      </c>
      <c r="AH121" s="1505">
        <v>48</v>
      </c>
      <c r="AI121" s="718">
        <v>49</v>
      </c>
      <c r="AJ121" s="718">
        <v>50</v>
      </c>
      <c r="AK121" s="718">
        <v>47</v>
      </c>
      <c r="AL121" s="718">
        <v>45</v>
      </c>
      <c r="AM121" s="718">
        <v>45</v>
      </c>
      <c r="AN121" s="718">
        <v>46</v>
      </c>
      <c r="AO121" s="718">
        <v>48</v>
      </c>
      <c r="AP121" s="718">
        <v>43</v>
      </c>
      <c r="AQ121" s="718">
        <v>44</v>
      </c>
      <c r="AR121" s="1505">
        <v>45</v>
      </c>
      <c r="AS121" s="984">
        <v>45</v>
      </c>
      <c r="AT121" s="14"/>
      <c r="AU121" s="290">
        <f t="shared" si="46"/>
        <v>46.25</v>
      </c>
      <c r="AW121" s="2001">
        <v>48</v>
      </c>
      <c r="AX121" s="810">
        <f t="shared" si="47"/>
        <v>3</v>
      </c>
      <c r="AY121" s="503">
        <f t="shared" si="48"/>
        <v>0.9375</v>
      </c>
      <c r="AZ121" s="823">
        <v>7</v>
      </c>
      <c r="BA121" s="812">
        <f t="shared" si="49"/>
        <v>6.4285714285714288</v>
      </c>
    </row>
    <row r="122" spans="1:53" x14ac:dyDescent="0.55000000000000004">
      <c r="A122" s="7468"/>
      <c r="B122" s="101" t="s">
        <v>224</v>
      </c>
      <c r="C122" s="14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>
        <f>O131</f>
        <v>49</v>
      </c>
      <c r="P122" s="14"/>
      <c r="Q122" s="1399">
        <f t="shared" si="43"/>
        <v>49</v>
      </c>
      <c r="S122" s="984">
        <v>47</v>
      </c>
      <c r="T122" s="718">
        <v>46</v>
      </c>
      <c r="U122" s="718">
        <v>47</v>
      </c>
      <c r="V122" s="718">
        <v>46</v>
      </c>
      <c r="W122" s="984">
        <v>44</v>
      </c>
      <c r="X122" s="984">
        <f>X131</f>
        <v>44</v>
      </c>
      <c r="Y122" s="718">
        <v>41</v>
      </c>
      <c r="Z122" s="718">
        <v>41</v>
      </c>
      <c r="AA122" s="718">
        <v>43</v>
      </c>
      <c r="AB122" s="718">
        <v>42</v>
      </c>
      <c r="AC122" s="1505">
        <v>45</v>
      </c>
      <c r="AD122" s="984">
        <v>45</v>
      </c>
      <c r="AE122" s="14"/>
      <c r="AF122" s="290">
        <f t="shared" si="45"/>
        <v>44.25</v>
      </c>
      <c r="AH122" s="1505">
        <v>44</v>
      </c>
      <c r="AI122" s="718">
        <v>42</v>
      </c>
      <c r="AJ122" s="718">
        <v>44</v>
      </c>
      <c r="AK122" s="718">
        <v>44</v>
      </c>
      <c r="AL122" s="718">
        <v>42</v>
      </c>
      <c r="AM122" s="718">
        <v>40</v>
      </c>
      <c r="AN122" s="718">
        <v>43</v>
      </c>
      <c r="AO122" s="718">
        <v>43</v>
      </c>
      <c r="AP122" s="718">
        <v>45</v>
      </c>
      <c r="AQ122" s="718">
        <v>43</v>
      </c>
      <c r="AR122" s="1505">
        <v>41</v>
      </c>
      <c r="AS122" s="984">
        <v>42</v>
      </c>
      <c r="AT122" s="14"/>
      <c r="AU122" s="290">
        <f t="shared" si="46"/>
        <v>42.75</v>
      </c>
      <c r="AW122" s="2001">
        <v>46</v>
      </c>
      <c r="AX122" s="810">
        <f t="shared" si="47"/>
        <v>4</v>
      </c>
      <c r="AY122" s="503">
        <f t="shared" si="48"/>
        <v>0.91304347826086951</v>
      </c>
      <c r="AZ122" s="823">
        <v>7</v>
      </c>
      <c r="BA122" s="812">
        <f t="shared" si="49"/>
        <v>6</v>
      </c>
    </row>
    <row r="123" spans="1:53" x14ac:dyDescent="0.55000000000000004">
      <c r="A123" s="7468"/>
      <c r="B123" s="101" t="s">
        <v>225</v>
      </c>
      <c r="C123" s="14"/>
      <c r="D123" s="450">
        <f t="shared" ref="D123:N123" si="60">D133+D135</f>
        <v>124</v>
      </c>
      <c r="E123" s="450">
        <f t="shared" si="60"/>
        <v>124</v>
      </c>
      <c r="F123" s="450">
        <f t="shared" si="60"/>
        <v>122</v>
      </c>
      <c r="G123" s="450">
        <f t="shared" si="60"/>
        <v>120</v>
      </c>
      <c r="H123" s="450">
        <f t="shared" si="60"/>
        <v>120</v>
      </c>
      <c r="I123" s="450">
        <f t="shared" si="60"/>
        <v>120</v>
      </c>
      <c r="J123" s="450">
        <f t="shared" si="60"/>
        <v>122</v>
      </c>
      <c r="K123" s="450">
        <f t="shared" si="60"/>
        <v>118</v>
      </c>
      <c r="L123" s="450">
        <f t="shared" si="60"/>
        <v>116</v>
      </c>
      <c r="M123" s="450">
        <f t="shared" si="60"/>
        <v>117</v>
      </c>
      <c r="N123" s="450">
        <f t="shared" si="60"/>
        <v>113</v>
      </c>
      <c r="O123" s="450">
        <f>O133+O135</f>
        <v>109</v>
      </c>
      <c r="P123" s="14"/>
      <c r="Q123" s="1399">
        <f t="shared" si="43"/>
        <v>118.75</v>
      </c>
      <c r="S123" s="984">
        <v>96</v>
      </c>
      <c r="T123" s="718">
        <v>96</v>
      </c>
      <c r="U123" s="718">
        <v>97</v>
      </c>
      <c r="V123" s="718">
        <v>99</v>
      </c>
      <c r="W123" s="984">
        <v>96</v>
      </c>
      <c r="X123" s="984">
        <f>SUM(X133,X135)</f>
        <v>94</v>
      </c>
      <c r="Y123" s="718">
        <v>92</v>
      </c>
      <c r="Z123" s="718">
        <v>93</v>
      </c>
      <c r="AA123" s="718">
        <v>94</v>
      </c>
      <c r="AB123" s="718">
        <v>97</v>
      </c>
      <c r="AC123" s="1505">
        <v>98</v>
      </c>
      <c r="AD123" s="984">
        <v>100</v>
      </c>
      <c r="AE123" s="14"/>
      <c r="AF123" s="290">
        <f t="shared" si="45"/>
        <v>96</v>
      </c>
      <c r="AH123" s="1505">
        <v>102</v>
      </c>
      <c r="AI123" s="718">
        <v>103</v>
      </c>
      <c r="AJ123" s="718">
        <v>100</v>
      </c>
      <c r="AK123" s="718">
        <v>96</v>
      </c>
      <c r="AL123" s="718">
        <v>97</v>
      </c>
      <c r="AM123" s="718">
        <v>93</v>
      </c>
      <c r="AN123" s="718">
        <v>96</v>
      </c>
      <c r="AO123" s="718">
        <v>98</v>
      </c>
      <c r="AP123" s="718">
        <v>102</v>
      </c>
      <c r="AQ123" s="718">
        <v>98</v>
      </c>
      <c r="AR123" s="1505">
        <v>97</v>
      </c>
      <c r="AS123" s="984">
        <v>99</v>
      </c>
      <c r="AT123" s="14"/>
      <c r="AU123" s="290">
        <f t="shared" si="46"/>
        <v>98.416666666666671</v>
      </c>
      <c r="AW123" s="2001">
        <v>98</v>
      </c>
      <c r="AX123" s="810">
        <f t="shared" si="47"/>
        <v>-1</v>
      </c>
      <c r="AY123" s="503">
        <f t="shared" si="48"/>
        <v>1.010204081632653</v>
      </c>
      <c r="AZ123" s="823">
        <v>14</v>
      </c>
      <c r="BA123" s="812">
        <f t="shared" si="49"/>
        <v>7.0714285714285712</v>
      </c>
    </row>
    <row r="124" spans="1:53" x14ac:dyDescent="0.55000000000000004">
      <c r="A124" s="7468"/>
      <c r="B124" s="102" t="s">
        <v>226</v>
      </c>
      <c r="C124" s="103"/>
      <c r="D124" s="103">
        <f t="shared" ref="D124:N124" si="61">D137+D139</f>
        <v>104</v>
      </c>
      <c r="E124" s="103">
        <f t="shared" si="61"/>
        <v>103</v>
      </c>
      <c r="F124" s="103">
        <f t="shared" si="61"/>
        <v>106</v>
      </c>
      <c r="G124" s="103">
        <f t="shared" si="61"/>
        <v>104</v>
      </c>
      <c r="H124" s="103">
        <f t="shared" si="61"/>
        <v>101</v>
      </c>
      <c r="I124" s="103">
        <f t="shared" si="61"/>
        <v>103</v>
      </c>
      <c r="J124" s="103">
        <f t="shared" si="61"/>
        <v>100</v>
      </c>
      <c r="K124" s="103">
        <f t="shared" si="61"/>
        <v>97</v>
      </c>
      <c r="L124" s="103">
        <f t="shared" si="61"/>
        <v>98</v>
      </c>
      <c r="M124" s="103">
        <f t="shared" si="61"/>
        <v>99</v>
      </c>
      <c r="N124" s="103">
        <f t="shared" si="61"/>
        <v>99</v>
      </c>
      <c r="O124" s="103">
        <f>O137+O139</f>
        <v>92</v>
      </c>
      <c r="P124" s="103"/>
      <c r="Q124" s="1402">
        <f t="shared" si="43"/>
        <v>100.5</v>
      </c>
      <c r="S124" s="721">
        <v>82</v>
      </c>
      <c r="T124" s="721">
        <v>85</v>
      </c>
      <c r="U124" s="721">
        <v>82</v>
      </c>
      <c r="V124" s="721">
        <v>81</v>
      </c>
      <c r="W124" s="721">
        <v>80</v>
      </c>
      <c r="X124" s="721">
        <f>SUM(X137,X139)</f>
        <v>82</v>
      </c>
      <c r="Y124" s="721">
        <v>76</v>
      </c>
      <c r="Z124" s="721">
        <v>78</v>
      </c>
      <c r="AA124" s="721">
        <v>76</v>
      </c>
      <c r="AB124" s="721">
        <v>78</v>
      </c>
      <c r="AC124" s="1508">
        <v>77</v>
      </c>
      <c r="AD124" s="721">
        <v>79</v>
      </c>
      <c r="AE124" s="103"/>
      <c r="AF124" s="1518">
        <f t="shared" si="45"/>
        <v>79.666666666666671</v>
      </c>
      <c r="AH124" s="1508">
        <v>78</v>
      </c>
      <c r="AI124" s="721">
        <v>75</v>
      </c>
      <c r="AJ124" s="721">
        <v>78</v>
      </c>
      <c r="AK124" s="721">
        <v>78</v>
      </c>
      <c r="AL124" s="721">
        <v>74</v>
      </c>
      <c r="AM124" s="721">
        <v>76</v>
      </c>
      <c r="AN124" s="721">
        <v>70</v>
      </c>
      <c r="AO124" s="721">
        <v>64</v>
      </c>
      <c r="AP124" s="721">
        <v>61</v>
      </c>
      <c r="AQ124" s="721">
        <v>65</v>
      </c>
      <c r="AR124" s="1508">
        <v>74</v>
      </c>
      <c r="AS124" s="721">
        <v>76</v>
      </c>
      <c r="AT124" s="103"/>
      <c r="AU124" s="1518">
        <f t="shared" si="46"/>
        <v>72.416666666666671</v>
      </c>
      <c r="AW124" s="2002">
        <v>78</v>
      </c>
      <c r="AX124" s="813">
        <f t="shared" si="47"/>
        <v>2</v>
      </c>
      <c r="AY124" s="507">
        <f t="shared" si="48"/>
        <v>0.97435897435897434</v>
      </c>
      <c r="AZ124" s="824">
        <v>12</v>
      </c>
      <c r="BA124" s="815">
        <f t="shared" si="49"/>
        <v>6.333333333333333</v>
      </c>
    </row>
    <row r="125" spans="1:53" x14ac:dyDescent="0.55000000000000004">
      <c r="A125" s="7468"/>
      <c r="B125" s="88"/>
      <c r="C125" s="472" t="s">
        <v>242</v>
      </c>
      <c r="D125">
        <v>56</v>
      </c>
      <c r="E125">
        <v>57</v>
      </c>
      <c r="F125">
        <v>56</v>
      </c>
      <c r="G125">
        <v>56</v>
      </c>
      <c r="H125">
        <v>55</v>
      </c>
      <c r="I125">
        <v>55</v>
      </c>
      <c r="J125">
        <v>55</v>
      </c>
      <c r="K125">
        <v>55</v>
      </c>
      <c r="L125">
        <v>56</v>
      </c>
      <c r="M125">
        <v>56</v>
      </c>
      <c r="N125">
        <v>57</v>
      </c>
      <c r="O125">
        <v>53</v>
      </c>
      <c r="P125" s="8"/>
      <c r="Q125" s="1397">
        <f t="shared" si="43"/>
        <v>55.583333333333336</v>
      </c>
      <c r="S125" s="985">
        <v>47</v>
      </c>
      <c r="T125" s="716">
        <v>47</v>
      </c>
      <c r="U125" s="716">
        <v>46</v>
      </c>
      <c r="V125" s="716">
        <v>47</v>
      </c>
      <c r="W125" s="985">
        <v>42</v>
      </c>
      <c r="X125" s="985">
        <v>45</v>
      </c>
      <c r="Y125" s="716">
        <v>45</v>
      </c>
      <c r="Z125" s="716">
        <v>45</v>
      </c>
      <c r="AA125" s="716">
        <v>45</v>
      </c>
      <c r="AB125" s="1145">
        <v>46</v>
      </c>
      <c r="AC125" s="1509">
        <v>46</v>
      </c>
      <c r="AD125" s="993">
        <v>48</v>
      </c>
      <c r="AE125" s="8"/>
      <c r="AF125" s="288">
        <f t="shared" si="45"/>
        <v>45.75</v>
      </c>
      <c r="AH125" s="1503">
        <v>49</v>
      </c>
      <c r="AI125" s="716">
        <v>49</v>
      </c>
      <c r="AJ125" s="716">
        <v>49</v>
      </c>
      <c r="AK125" s="716">
        <v>48</v>
      </c>
      <c r="AL125" s="716">
        <v>49</v>
      </c>
      <c r="AM125" s="716">
        <v>47</v>
      </c>
      <c r="AN125" s="716">
        <v>70</v>
      </c>
      <c r="AO125" s="716">
        <v>68</v>
      </c>
      <c r="AP125" s="716">
        <v>65</v>
      </c>
      <c r="AQ125" s="1145">
        <v>65</v>
      </c>
      <c r="AR125" s="1509">
        <v>65</v>
      </c>
      <c r="AS125" s="993">
        <v>62</v>
      </c>
      <c r="AT125" s="8"/>
      <c r="AU125" s="288">
        <f t="shared" si="46"/>
        <v>57.166666666666664</v>
      </c>
      <c r="AW125" s="2003">
        <v>61</v>
      </c>
      <c r="AX125" s="816">
        <f t="shared" si="47"/>
        <v>-1</v>
      </c>
      <c r="AY125" s="504"/>
      <c r="AZ125" s="825">
        <v>10</v>
      </c>
      <c r="BA125" s="818">
        <f t="shared" si="49"/>
        <v>6.2</v>
      </c>
    </row>
    <row r="126" spans="1:53" x14ac:dyDescent="0.55000000000000004">
      <c r="A126" s="7468"/>
      <c r="B126" s="88"/>
      <c r="C126" s="999" t="s">
        <v>254</v>
      </c>
      <c r="D126" s="330">
        <v>21</v>
      </c>
      <c r="E126" s="330">
        <v>21</v>
      </c>
      <c r="F126" s="330">
        <v>21</v>
      </c>
      <c r="G126" s="330">
        <v>21</v>
      </c>
      <c r="H126" s="330">
        <v>21</v>
      </c>
      <c r="I126" s="330">
        <v>21</v>
      </c>
      <c r="J126" s="330">
        <v>21</v>
      </c>
      <c r="K126" s="330">
        <v>21</v>
      </c>
      <c r="L126" s="330">
        <v>21</v>
      </c>
      <c r="M126" s="330">
        <v>21</v>
      </c>
      <c r="N126" s="330">
        <v>21</v>
      </c>
      <c r="O126" s="330">
        <v>19</v>
      </c>
      <c r="P126" s="95"/>
      <c r="Q126" s="1404">
        <f t="shared" si="43"/>
        <v>20.833333333333332</v>
      </c>
      <c r="S126" s="985">
        <v>18</v>
      </c>
      <c r="T126" s="716">
        <v>18</v>
      </c>
      <c r="U126" s="716">
        <v>18</v>
      </c>
      <c r="V126" s="716">
        <v>18</v>
      </c>
      <c r="W126" s="985">
        <v>18</v>
      </c>
      <c r="X126" s="985">
        <v>18</v>
      </c>
      <c r="Y126" s="716">
        <v>18</v>
      </c>
      <c r="Z126" s="716">
        <v>18</v>
      </c>
      <c r="AA126" s="716">
        <v>17</v>
      </c>
      <c r="AB126" s="716">
        <v>17</v>
      </c>
      <c r="AC126" s="1503">
        <v>16</v>
      </c>
      <c r="AD126" s="1550">
        <v>18</v>
      </c>
      <c r="AE126" s="95"/>
      <c r="AF126" s="464">
        <f t="shared" si="45"/>
        <v>17.666666666666668</v>
      </c>
      <c r="AH126" s="1503">
        <v>18</v>
      </c>
      <c r="AI126" s="716">
        <v>18</v>
      </c>
      <c r="AJ126" s="716">
        <v>20</v>
      </c>
      <c r="AK126" s="716">
        <v>19</v>
      </c>
      <c r="AL126" s="716">
        <v>20</v>
      </c>
      <c r="AM126" s="716">
        <v>19</v>
      </c>
      <c r="AN126" s="716">
        <v>27</v>
      </c>
      <c r="AO126" s="716">
        <v>18</v>
      </c>
      <c r="AP126" s="716">
        <v>17</v>
      </c>
      <c r="AQ126" s="716">
        <v>20</v>
      </c>
      <c r="AR126" s="1503">
        <v>20</v>
      </c>
      <c r="AS126" s="1550">
        <v>20</v>
      </c>
      <c r="AT126" s="95"/>
      <c r="AU126" s="464">
        <f t="shared" si="46"/>
        <v>19.666666666666668</v>
      </c>
      <c r="AW126" s="2003">
        <v>16</v>
      </c>
      <c r="AX126" s="1091">
        <f t="shared" si="47"/>
        <v>-4</v>
      </c>
      <c r="AY126" s="1092"/>
      <c r="AZ126" s="1093"/>
      <c r="BA126" s="1553"/>
    </row>
    <row r="127" spans="1:53" x14ac:dyDescent="0.55000000000000004">
      <c r="A127" s="7468"/>
      <c r="B127" s="88"/>
      <c r="C127" s="474" t="s">
        <v>243</v>
      </c>
      <c r="D127" s="1022">
        <v>27</v>
      </c>
      <c r="E127" s="1022">
        <v>29</v>
      </c>
      <c r="F127" s="1022">
        <v>29</v>
      </c>
      <c r="G127" s="1022">
        <v>29</v>
      </c>
      <c r="H127" s="1022">
        <v>30</v>
      </c>
      <c r="I127" s="1022">
        <v>29</v>
      </c>
      <c r="J127" s="1022">
        <v>29</v>
      </c>
      <c r="K127" s="1022">
        <v>29</v>
      </c>
      <c r="L127" s="1022">
        <v>30</v>
      </c>
      <c r="M127" s="1022">
        <v>27</v>
      </c>
      <c r="N127" s="1022">
        <v>28</v>
      </c>
      <c r="O127" s="1022">
        <v>29</v>
      </c>
      <c r="P127" s="97"/>
      <c r="Q127" s="1405">
        <f t="shared" si="43"/>
        <v>28.75</v>
      </c>
      <c r="S127" s="986">
        <v>22</v>
      </c>
      <c r="T127" s="723">
        <v>22</v>
      </c>
      <c r="U127" s="723">
        <v>22</v>
      </c>
      <c r="V127" s="723">
        <v>23</v>
      </c>
      <c r="W127" s="986">
        <v>23</v>
      </c>
      <c r="X127" s="986">
        <v>24</v>
      </c>
      <c r="Y127" s="723">
        <v>24</v>
      </c>
      <c r="Z127" s="723">
        <v>21</v>
      </c>
      <c r="AA127" s="723">
        <v>21</v>
      </c>
      <c r="AB127" s="723">
        <v>21</v>
      </c>
      <c r="AC127" s="1510">
        <v>21</v>
      </c>
      <c r="AD127" s="1551">
        <v>23</v>
      </c>
      <c r="AE127" s="97"/>
      <c r="AF127" s="1520">
        <f t="shared" si="45"/>
        <v>22.25</v>
      </c>
      <c r="AH127" s="1510">
        <v>23</v>
      </c>
      <c r="AI127" s="723">
        <v>23</v>
      </c>
      <c r="AJ127" s="723">
        <v>24</v>
      </c>
      <c r="AK127" s="723">
        <v>23</v>
      </c>
      <c r="AL127" s="723">
        <v>21</v>
      </c>
      <c r="AM127" s="723">
        <v>21</v>
      </c>
      <c r="AN127" s="2346"/>
      <c r="AO127" s="2346"/>
      <c r="AP127" s="2346"/>
      <c r="AQ127" s="2346"/>
      <c r="AR127" s="2346"/>
      <c r="AS127" s="2346"/>
      <c r="AT127" s="2346"/>
      <c r="AU127" s="1520">
        <f t="shared" si="46"/>
        <v>22.5</v>
      </c>
      <c r="AW127" s="2372"/>
      <c r="AX127" s="2391"/>
      <c r="AY127" s="2392"/>
      <c r="AZ127" s="2393"/>
      <c r="BA127" s="2394"/>
    </row>
    <row r="128" spans="1:53" x14ac:dyDescent="0.55000000000000004">
      <c r="A128" s="7468"/>
      <c r="B128" s="88"/>
      <c r="C128" s="1001" t="s">
        <v>678</v>
      </c>
      <c r="D128" s="1022">
        <v>10</v>
      </c>
      <c r="E128" s="1022">
        <v>10</v>
      </c>
      <c r="F128" s="1022">
        <v>10</v>
      </c>
      <c r="G128" s="1022">
        <v>10</v>
      </c>
      <c r="H128" s="1022">
        <v>11</v>
      </c>
      <c r="I128" s="1022">
        <v>11</v>
      </c>
      <c r="J128" s="1022">
        <v>10</v>
      </c>
      <c r="K128" s="1022">
        <v>10</v>
      </c>
      <c r="L128" s="1022">
        <v>11</v>
      </c>
      <c r="M128" s="1022">
        <v>10</v>
      </c>
      <c r="N128" s="1022">
        <v>11</v>
      </c>
      <c r="O128" s="1022">
        <v>12</v>
      </c>
      <c r="P128" s="97"/>
      <c r="Q128" s="1405">
        <f t="shared" si="43"/>
        <v>10.5</v>
      </c>
      <c r="S128" s="986">
        <v>7</v>
      </c>
      <c r="T128" s="723">
        <v>7</v>
      </c>
      <c r="U128" s="723">
        <v>8</v>
      </c>
      <c r="V128" s="723">
        <v>9</v>
      </c>
      <c r="W128" s="986">
        <v>10</v>
      </c>
      <c r="X128" s="986">
        <v>10</v>
      </c>
      <c r="Y128" s="723">
        <v>11</v>
      </c>
      <c r="Z128" s="723">
        <v>9</v>
      </c>
      <c r="AA128" s="723">
        <v>8</v>
      </c>
      <c r="AB128" s="723">
        <v>8</v>
      </c>
      <c r="AC128" s="1510">
        <v>8</v>
      </c>
      <c r="AD128" s="1551">
        <v>9</v>
      </c>
      <c r="AE128" s="97"/>
      <c r="AF128" s="1520">
        <f t="shared" si="45"/>
        <v>8.6666666666666661</v>
      </c>
      <c r="AH128" s="1510">
        <v>9</v>
      </c>
      <c r="AI128" s="723">
        <v>9</v>
      </c>
      <c r="AJ128" s="723">
        <v>10</v>
      </c>
      <c r="AK128" s="723">
        <v>10</v>
      </c>
      <c r="AL128" s="723">
        <v>8</v>
      </c>
      <c r="AM128" s="723">
        <v>8</v>
      </c>
      <c r="AN128" s="2346"/>
      <c r="AO128" s="2346"/>
      <c r="AP128" s="2346"/>
      <c r="AQ128" s="2346"/>
      <c r="AR128" s="2346"/>
      <c r="AS128" s="2346"/>
      <c r="AT128" s="2346"/>
      <c r="AU128" s="1520">
        <f t="shared" si="46"/>
        <v>9</v>
      </c>
      <c r="AW128" s="2372"/>
      <c r="AX128" s="2391"/>
      <c r="AY128" s="2392"/>
      <c r="AZ128" s="2393"/>
      <c r="BA128" s="2395"/>
    </row>
    <row r="129" spans="1:53" x14ac:dyDescent="0.55000000000000004">
      <c r="A129" s="7468"/>
      <c r="B129" s="88"/>
      <c r="C129" s="473" t="s">
        <v>244</v>
      </c>
      <c r="D129" s="330">
        <v>51</v>
      </c>
      <c r="E129" s="330">
        <v>51</v>
      </c>
      <c r="F129" s="330">
        <v>50</v>
      </c>
      <c r="G129" s="330">
        <v>50</v>
      </c>
      <c r="H129" s="330">
        <v>49</v>
      </c>
      <c r="I129" s="330">
        <v>46</v>
      </c>
      <c r="J129" s="330">
        <v>49</v>
      </c>
      <c r="K129" s="330">
        <v>49</v>
      </c>
      <c r="L129" s="330">
        <v>44</v>
      </c>
      <c r="M129" s="330">
        <v>45</v>
      </c>
      <c r="N129" s="330">
        <v>47</v>
      </c>
      <c r="O129" s="330">
        <v>55</v>
      </c>
      <c r="P129" s="95"/>
      <c r="Q129" s="1404">
        <f t="shared" si="43"/>
        <v>48.833333333333336</v>
      </c>
      <c r="S129" s="985">
        <v>43</v>
      </c>
      <c r="T129" s="716">
        <v>45</v>
      </c>
      <c r="U129" s="716">
        <v>44</v>
      </c>
      <c r="V129" s="716">
        <v>49</v>
      </c>
      <c r="W129" s="985">
        <v>50</v>
      </c>
      <c r="X129" s="985">
        <v>47</v>
      </c>
      <c r="Y129" s="716">
        <v>47</v>
      </c>
      <c r="Z129" s="716">
        <v>47</v>
      </c>
      <c r="AA129" s="716">
        <v>46</v>
      </c>
      <c r="AB129" s="716">
        <v>49</v>
      </c>
      <c r="AC129" s="1503">
        <v>46</v>
      </c>
      <c r="AD129" s="1550">
        <v>46</v>
      </c>
      <c r="AE129" s="95"/>
      <c r="AF129" s="464">
        <f t="shared" si="45"/>
        <v>46.583333333333336</v>
      </c>
      <c r="AH129" s="1503">
        <v>48</v>
      </c>
      <c r="AI129" s="716">
        <v>49</v>
      </c>
      <c r="AJ129" s="716">
        <v>50</v>
      </c>
      <c r="AK129" s="716">
        <v>47</v>
      </c>
      <c r="AL129" s="716">
        <v>45</v>
      </c>
      <c r="AM129" s="716">
        <v>45</v>
      </c>
      <c r="AN129" s="716">
        <v>46</v>
      </c>
      <c r="AO129" s="716">
        <v>48</v>
      </c>
      <c r="AP129" s="716">
        <v>43</v>
      </c>
      <c r="AQ129" s="716">
        <v>44</v>
      </c>
      <c r="AR129" s="1503">
        <v>45</v>
      </c>
      <c r="AS129" s="1550">
        <v>45</v>
      </c>
      <c r="AT129" s="95"/>
      <c r="AU129" s="464">
        <f t="shared" si="46"/>
        <v>46.25</v>
      </c>
      <c r="AW129" s="2003">
        <v>48</v>
      </c>
      <c r="AX129" s="816">
        <f t="shared" ref="AX129:AX140" si="62">AW129-HLOOKUP($A$1,$AH$2:$AT$502,ROW()-1,0)</f>
        <v>3</v>
      </c>
      <c r="AY129" s="504"/>
      <c r="AZ129" s="825">
        <v>7</v>
      </c>
      <c r="BA129" s="818">
        <f>AS129/AZ129</f>
        <v>6.4285714285714288</v>
      </c>
    </row>
    <row r="130" spans="1:53" x14ac:dyDescent="0.55000000000000004">
      <c r="A130" s="7468"/>
      <c r="B130" s="88"/>
      <c r="C130" s="1000" t="s">
        <v>678</v>
      </c>
      <c r="D130" s="330">
        <v>17</v>
      </c>
      <c r="E130" s="330">
        <v>16</v>
      </c>
      <c r="F130" s="330">
        <v>16</v>
      </c>
      <c r="G130" s="330">
        <v>16</v>
      </c>
      <c r="H130" s="330">
        <v>16</v>
      </c>
      <c r="I130" s="330">
        <v>16</v>
      </c>
      <c r="J130" s="330">
        <v>16</v>
      </c>
      <c r="K130" s="330">
        <v>15</v>
      </c>
      <c r="L130" s="330">
        <v>13</v>
      </c>
      <c r="M130" s="330">
        <v>14</v>
      </c>
      <c r="N130" s="330">
        <v>14</v>
      </c>
      <c r="O130" s="330">
        <v>22</v>
      </c>
      <c r="P130" s="95"/>
      <c r="Q130" s="1404">
        <f t="shared" si="43"/>
        <v>15.916666666666666</v>
      </c>
      <c r="S130" s="985">
        <v>16</v>
      </c>
      <c r="T130" s="716">
        <v>16</v>
      </c>
      <c r="U130" s="716">
        <v>17</v>
      </c>
      <c r="V130" s="716">
        <v>21</v>
      </c>
      <c r="W130" s="985">
        <v>21</v>
      </c>
      <c r="X130" s="985">
        <v>21</v>
      </c>
      <c r="Y130" s="716">
        <v>22</v>
      </c>
      <c r="Z130" s="716">
        <v>23</v>
      </c>
      <c r="AA130" s="716">
        <v>22</v>
      </c>
      <c r="AB130" s="716">
        <v>20</v>
      </c>
      <c r="AC130" s="1503">
        <v>19</v>
      </c>
      <c r="AD130" s="1550">
        <v>19</v>
      </c>
      <c r="AE130" s="95"/>
      <c r="AF130" s="464">
        <f t="shared" si="45"/>
        <v>19.75</v>
      </c>
      <c r="AH130" s="1503">
        <v>19</v>
      </c>
      <c r="AI130" s="716">
        <v>19</v>
      </c>
      <c r="AJ130" s="716">
        <v>20</v>
      </c>
      <c r="AK130" s="716">
        <v>20</v>
      </c>
      <c r="AL130" s="716">
        <v>18</v>
      </c>
      <c r="AM130" s="716">
        <v>18</v>
      </c>
      <c r="AN130" s="716">
        <v>18</v>
      </c>
      <c r="AO130" s="716">
        <v>20</v>
      </c>
      <c r="AP130" s="716">
        <v>17</v>
      </c>
      <c r="AQ130" s="716">
        <v>19</v>
      </c>
      <c r="AR130" s="1503">
        <v>19</v>
      </c>
      <c r="AS130" s="1550">
        <v>20</v>
      </c>
      <c r="AT130" s="95"/>
      <c r="AU130" s="464">
        <f t="shared" si="46"/>
        <v>18.916666666666668</v>
      </c>
      <c r="AW130" s="2003">
        <v>17</v>
      </c>
      <c r="AX130" s="1091">
        <f t="shared" si="62"/>
        <v>-3</v>
      </c>
      <c r="AY130" s="1092"/>
      <c r="AZ130" s="1093"/>
      <c r="BA130" s="1553"/>
    </row>
    <row r="131" spans="1:53" x14ac:dyDescent="0.55000000000000004">
      <c r="A131" s="7468"/>
      <c r="B131" s="88"/>
      <c r="C131" s="474" t="s">
        <v>245</v>
      </c>
      <c r="D131" s="1022">
        <v>58</v>
      </c>
      <c r="E131" s="1022">
        <v>59</v>
      </c>
      <c r="F131" s="1022">
        <v>57</v>
      </c>
      <c r="G131" s="1022">
        <v>55</v>
      </c>
      <c r="H131" s="1022">
        <v>55</v>
      </c>
      <c r="I131" s="1022">
        <v>56</v>
      </c>
      <c r="J131" s="1022">
        <v>60</v>
      </c>
      <c r="K131" s="1022">
        <v>56</v>
      </c>
      <c r="L131" s="1022">
        <v>57</v>
      </c>
      <c r="M131" s="1022">
        <v>57</v>
      </c>
      <c r="N131" s="1022">
        <v>58</v>
      </c>
      <c r="O131" s="1022">
        <v>49</v>
      </c>
      <c r="P131" s="97"/>
      <c r="Q131" s="1405">
        <f t="shared" si="43"/>
        <v>56.416666666666664</v>
      </c>
      <c r="S131" s="986">
        <v>47</v>
      </c>
      <c r="T131" s="723">
        <v>46</v>
      </c>
      <c r="U131" s="723">
        <v>47</v>
      </c>
      <c r="V131" s="723">
        <v>46</v>
      </c>
      <c r="W131" s="986">
        <v>44</v>
      </c>
      <c r="X131" s="986">
        <v>44</v>
      </c>
      <c r="Y131" s="723">
        <v>41</v>
      </c>
      <c r="Z131" s="723">
        <v>41</v>
      </c>
      <c r="AA131" s="723">
        <v>43</v>
      </c>
      <c r="AB131" s="723">
        <v>42</v>
      </c>
      <c r="AC131" s="1510">
        <v>45</v>
      </c>
      <c r="AD131" s="1551">
        <v>45</v>
      </c>
      <c r="AE131" s="97"/>
      <c r="AF131" s="1520">
        <f t="shared" si="45"/>
        <v>44.25</v>
      </c>
      <c r="AH131" s="1510">
        <v>44</v>
      </c>
      <c r="AI131" s="723">
        <v>42</v>
      </c>
      <c r="AJ131" s="723">
        <v>44</v>
      </c>
      <c r="AK131" s="723">
        <v>44</v>
      </c>
      <c r="AL131" s="723">
        <v>42</v>
      </c>
      <c r="AM131" s="723">
        <v>40</v>
      </c>
      <c r="AN131" s="723">
        <v>43</v>
      </c>
      <c r="AO131" s="723">
        <v>43</v>
      </c>
      <c r="AP131" s="723">
        <v>45</v>
      </c>
      <c r="AQ131" s="723">
        <v>43</v>
      </c>
      <c r="AR131" s="1510">
        <v>41</v>
      </c>
      <c r="AS131" s="1551">
        <v>42</v>
      </c>
      <c r="AT131" s="97"/>
      <c r="AU131" s="1520">
        <f t="shared" si="46"/>
        <v>42.75</v>
      </c>
      <c r="AW131" s="2004">
        <v>46</v>
      </c>
      <c r="AX131" s="816">
        <f t="shared" si="62"/>
        <v>4</v>
      </c>
      <c r="AY131" s="504"/>
      <c r="AZ131" s="826">
        <v>7</v>
      </c>
      <c r="BA131" s="818">
        <f>AS131/AZ131</f>
        <v>6</v>
      </c>
    </row>
    <row r="132" spans="1:53" x14ac:dyDescent="0.55000000000000004">
      <c r="A132" s="7468"/>
      <c r="B132" s="88"/>
      <c r="C132" s="1001" t="s">
        <v>678</v>
      </c>
      <c r="D132" s="1022">
        <v>21</v>
      </c>
      <c r="E132" s="1022">
        <v>22</v>
      </c>
      <c r="F132" s="1022">
        <v>21</v>
      </c>
      <c r="G132" s="1022">
        <v>21</v>
      </c>
      <c r="H132" s="1022">
        <v>21</v>
      </c>
      <c r="I132" s="1022">
        <v>21</v>
      </c>
      <c r="J132" s="1022">
        <v>24</v>
      </c>
      <c r="K132" s="1022">
        <v>22</v>
      </c>
      <c r="L132" s="1022">
        <v>22</v>
      </c>
      <c r="M132" s="1022">
        <v>22</v>
      </c>
      <c r="N132" s="1022">
        <v>21</v>
      </c>
      <c r="O132" s="1022">
        <v>20</v>
      </c>
      <c r="P132" s="97"/>
      <c r="Q132" s="1405">
        <f t="shared" si="43"/>
        <v>21.5</v>
      </c>
      <c r="S132" s="986">
        <v>21</v>
      </c>
      <c r="T132" s="723">
        <v>20</v>
      </c>
      <c r="U132" s="723">
        <v>20</v>
      </c>
      <c r="V132" s="723">
        <v>20</v>
      </c>
      <c r="W132" s="986">
        <v>19</v>
      </c>
      <c r="X132" s="986">
        <v>20</v>
      </c>
      <c r="Y132" s="723">
        <v>19</v>
      </c>
      <c r="Z132" s="723">
        <v>19</v>
      </c>
      <c r="AA132" s="723">
        <v>17</v>
      </c>
      <c r="AB132" s="723">
        <v>16</v>
      </c>
      <c r="AC132" s="1510">
        <v>17</v>
      </c>
      <c r="AD132" s="1551">
        <v>16</v>
      </c>
      <c r="AE132" s="97"/>
      <c r="AF132" s="1520">
        <f t="shared" si="45"/>
        <v>18.666666666666668</v>
      </c>
      <c r="AH132" s="1510">
        <v>16</v>
      </c>
      <c r="AI132" s="723">
        <v>16</v>
      </c>
      <c r="AJ132" s="723">
        <v>17</v>
      </c>
      <c r="AK132" s="723">
        <v>17</v>
      </c>
      <c r="AL132" s="723">
        <v>17</v>
      </c>
      <c r="AM132" s="723">
        <v>17</v>
      </c>
      <c r="AN132" s="723">
        <v>17</v>
      </c>
      <c r="AO132" s="723">
        <v>17</v>
      </c>
      <c r="AP132" s="723">
        <v>19</v>
      </c>
      <c r="AQ132" s="723">
        <v>17</v>
      </c>
      <c r="AR132" s="1510">
        <v>15</v>
      </c>
      <c r="AS132" s="1551">
        <v>15</v>
      </c>
      <c r="AT132" s="97"/>
      <c r="AU132" s="1520">
        <f t="shared" si="46"/>
        <v>16.666666666666668</v>
      </c>
      <c r="AW132" s="2004">
        <v>15</v>
      </c>
      <c r="AX132" s="1091">
        <f t="shared" si="62"/>
        <v>0</v>
      </c>
      <c r="AY132" s="1092"/>
      <c r="AZ132" s="1093"/>
      <c r="BA132" s="1553"/>
    </row>
    <row r="133" spans="1:53" x14ac:dyDescent="0.55000000000000004">
      <c r="A133" s="7468"/>
      <c r="B133" s="88"/>
      <c r="C133" s="473" t="s">
        <v>246</v>
      </c>
      <c r="D133" s="330">
        <v>71</v>
      </c>
      <c r="E133" s="330">
        <v>71</v>
      </c>
      <c r="F133" s="330">
        <v>71</v>
      </c>
      <c r="G133" s="330">
        <v>68</v>
      </c>
      <c r="H133" s="330">
        <v>68</v>
      </c>
      <c r="I133" s="330">
        <v>69</v>
      </c>
      <c r="J133" s="330">
        <v>71</v>
      </c>
      <c r="K133" s="330">
        <v>68</v>
      </c>
      <c r="L133" s="330">
        <v>66</v>
      </c>
      <c r="M133" s="330">
        <v>65</v>
      </c>
      <c r="N133" s="330">
        <v>63</v>
      </c>
      <c r="O133" s="330">
        <v>61</v>
      </c>
      <c r="P133" s="95"/>
      <c r="Q133" s="1404">
        <f t="shared" si="43"/>
        <v>67.666666666666671</v>
      </c>
      <c r="S133" s="985">
        <v>53</v>
      </c>
      <c r="T133" s="716">
        <v>53</v>
      </c>
      <c r="U133" s="716">
        <v>52</v>
      </c>
      <c r="V133" s="716">
        <v>54</v>
      </c>
      <c r="W133" s="985">
        <v>54</v>
      </c>
      <c r="X133" s="985">
        <v>53</v>
      </c>
      <c r="Y133" s="716">
        <v>52</v>
      </c>
      <c r="Z133" s="716">
        <v>52</v>
      </c>
      <c r="AA133" s="716">
        <v>53</v>
      </c>
      <c r="AB133" s="716">
        <v>55</v>
      </c>
      <c r="AC133" s="1503">
        <v>57</v>
      </c>
      <c r="AD133" s="1550">
        <v>58</v>
      </c>
      <c r="AE133" s="95"/>
      <c r="AF133" s="464">
        <f t="shared" si="45"/>
        <v>53.833333333333336</v>
      </c>
      <c r="AH133" s="1503">
        <v>60</v>
      </c>
      <c r="AI133" s="716">
        <v>60</v>
      </c>
      <c r="AJ133" s="716">
        <v>58</v>
      </c>
      <c r="AK133" s="716">
        <v>55</v>
      </c>
      <c r="AL133" s="716">
        <v>56</v>
      </c>
      <c r="AM133" s="716">
        <v>54</v>
      </c>
      <c r="AN133" s="716">
        <v>57</v>
      </c>
      <c r="AO133" s="716">
        <v>58</v>
      </c>
      <c r="AP133" s="716">
        <v>59</v>
      </c>
      <c r="AQ133" s="716">
        <v>56</v>
      </c>
      <c r="AR133" s="1503">
        <v>56</v>
      </c>
      <c r="AS133" s="1550">
        <v>58</v>
      </c>
      <c r="AT133" s="95"/>
      <c r="AU133" s="464">
        <f t="shared" si="46"/>
        <v>57.25</v>
      </c>
      <c r="AW133" s="2003">
        <v>56</v>
      </c>
      <c r="AX133" s="816">
        <f t="shared" si="62"/>
        <v>-2</v>
      </c>
      <c r="AY133" s="504"/>
      <c r="AZ133" s="825">
        <v>8</v>
      </c>
      <c r="BA133" s="818">
        <f>AS133/AZ133</f>
        <v>7.25</v>
      </c>
    </row>
    <row r="134" spans="1:53" x14ac:dyDescent="0.55000000000000004">
      <c r="A134" s="7468"/>
      <c r="B134" s="88"/>
      <c r="C134" s="1000" t="s">
        <v>678</v>
      </c>
      <c r="D134" s="330">
        <v>30</v>
      </c>
      <c r="E134" s="330">
        <v>29</v>
      </c>
      <c r="F134" s="330">
        <v>29</v>
      </c>
      <c r="G134" s="330">
        <v>27</v>
      </c>
      <c r="H134" s="330">
        <v>27</v>
      </c>
      <c r="I134" s="330">
        <v>27</v>
      </c>
      <c r="J134" s="330">
        <v>27</v>
      </c>
      <c r="K134" s="330">
        <v>25</v>
      </c>
      <c r="L134" s="330">
        <v>25</v>
      </c>
      <c r="M134" s="330">
        <v>25</v>
      </c>
      <c r="N134" s="330">
        <v>24</v>
      </c>
      <c r="O134" s="330">
        <v>24</v>
      </c>
      <c r="P134" s="95"/>
      <c r="Q134" s="1404">
        <f t="shared" si="43"/>
        <v>26.583333333333332</v>
      </c>
      <c r="S134" s="985">
        <v>22</v>
      </c>
      <c r="T134" s="716">
        <v>22</v>
      </c>
      <c r="U134" s="716">
        <v>22</v>
      </c>
      <c r="V134" s="716">
        <v>23</v>
      </c>
      <c r="W134" s="985">
        <v>23</v>
      </c>
      <c r="X134" s="985">
        <v>23</v>
      </c>
      <c r="Y134" s="716">
        <v>23</v>
      </c>
      <c r="Z134" s="716">
        <v>24</v>
      </c>
      <c r="AA134" s="716">
        <v>24</v>
      </c>
      <c r="AB134" s="716">
        <v>25</v>
      </c>
      <c r="AC134" s="1503">
        <v>24</v>
      </c>
      <c r="AD134" s="1550">
        <v>25</v>
      </c>
      <c r="AE134" s="95"/>
      <c r="AF134" s="464">
        <f t="shared" si="45"/>
        <v>23.333333333333332</v>
      </c>
      <c r="AH134" s="1503">
        <v>26</v>
      </c>
      <c r="AI134" s="716">
        <v>26</v>
      </c>
      <c r="AJ134" s="716">
        <v>27</v>
      </c>
      <c r="AK134" s="716">
        <v>27</v>
      </c>
      <c r="AL134" s="716">
        <v>27</v>
      </c>
      <c r="AM134" s="716">
        <v>25</v>
      </c>
      <c r="AN134" s="716">
        <v>27</v>
      </c>
      <c r="AO134" s="716">
        <v>28</v>
      </c>
      <c r="AP134" s="716">
        <v>29</v>
      </c>
      <c r="AQ134" s="716">
        <v>28</v>
      </c>
      <c r="AR134" s="1503">
        <v>21</v>
      </c>
      <c r="AS134" s="1550">
        <v>24</v>
      </c>
      <c r="AT134" s="95"/>
      <c r="AU134" s="464">
        <f t="shared" si="46"/>
        <v>26.25</v>
      </c>
      <c r="AW134" s="2003">
        <v>21</v>
      </c>
      <c r="AX134" s="1091">
        <f t="shared" si="62"/>
        <v>-3</v>
      </c>
      <c r="AY134" s="1092"/>
      <c r="AZ134" s="1093"/>
      <c r="BA134" s="1553"/>
    </row>
    <row r="135" spans="1:53" x14ac:dyDescent="0.55000000000000004">
      <c r="A135" s="7468"/>
      <c r="B135" s="88"/>
      <c r="C135" s="474" t="s">
        <v>247</v>
      </c>
      <c r="D135" s="1022">
        <v>53</v>
      </c>
      <c r="E135" s="1022">
        <v>53</v>
      </c>
      <c r="F135" s="1022">
        <v>51</v>
      </c>
      <c r="G135" s="1022">
        <v>52</v>
      </c>
      <c r="H135" s="1022">
        <v>52</v>
      </c>
      <c r="I135" s="1022">
        <v>51</v>
      </c>
      <c r="J135" s="1022">
        <v>51</v>
      </c>
      <c r="K135" s="1022">
        <v>50</v>
      </c>
      <c r="L135" s="1022">
        <v>50</v>
      </c>
      <c r="M135" s="1022">
        <v>52</v>
      </c>
      <c r="N135" s="1022">
        <v>50</v>
      </c>
      <c r="O135" s="1022">
        <v>48</v>
      </c>
      <c r="P135" s="97"/>
      <c r="Q135" s="1405">
        <f t="shared" si="43"/>
        <v>51.083333333333336</v>
      </c>
      <c r="S135" s="986">
        <v>43</v>
      </c>
      <c r="T135" s="723">
        <v>43</v>
      </c>
      <c r="U135" s="723">
        <v>45</v>
      </c>
      <c r="V135" s="723">
        <v>45</v>
      </c>
      <c r="W135" s="986">
        <v>42</v>
      </c>
      <c r="X135" s="986">
        <v>41</v>
      </c>
      <c r="Y135" s="723">
        <v>40</v>
      </c>
      <c r="Z135" s="723">
        <v>41</v>
      </c>
      <c r="AA135" s="723">
        <v>41</v>
      </c>
      <c r="AB135" s="723">
        <v>42</v>
      </c>
      <c r="AC135" s="1510">
        <v>41</v>
      </c>
      <c r="AD135" s="1551">
        <v>42</v>
      </c>
      <c r="AE135" s="97"/>
      <c r="AF135" s="1520">
        <f t="shared" si="45"/>
        <v>42.166666666666664</v>
      </c>
      <c r="AH135" s="1510">
        <v>42</v>
      </c>
      <c r="AI135" s="723">
        <v>43</v>
      </c>
      <c r="AJ135" s="723">
        <v>42</v>
      </c>
      <c r="AK135" s="723">
        <v>41</v>
      </c>
      <c r="AL135" s="723">
        <v>41</v>
      </c>
      <c r="AM135" s="723">
        <v>39</v>
      </c>
      <c r="AN135" s="723">
        <v>39</v>
      </c>
      <c r="AO135" s="723">
        <v>40</v>
      </c>
      <c r="AP135" s="723">
        <v>43</v>
      </c>
      <c r="AQ135" s="723">
        <v>42</v>
      </c>
      <c r="AR135" s="1510">
        <v>41</v>
      </c>
      <c r="AS135" s="1551">
        <v>41</v>
      </c>
      <c r="AT135" s="97"/>
      <c r="AU135" s="1520">
        <f t="shared" si="46"/>
        <v>41.166666666666664</v>
      </c>
      <c r="AW135" s="2004">
        <v>42</v>
      </c>
      <c r="AX135" s="816">
        <f t="shared" si="62"/>
        <v>1</v>
      </c>
      <c r="AY135" s="504"/>
      <c r="AZ135" s="826">
        <v>6</v>
      </c>
      <c r="BA135" s="818">
        <f>AS135/AZ135</f>
        <v>6.833333333333333</v>
      </c>
    </row>
    <row r="136" spans="1:53" x14ac:dyDescent="0.55000000000000004">
      <c r="A136" s="7468"/>
      <c r="B136" s="88"/>
      <c r="C136" s="1001" t="s">
        <v>678</v>
      </c>
      <c r="D136" s="1022">
        <v>21</v>
      </c>
      <c r="E136" s="1022">
        <v>21</v>
      </c>
      <c r="F136" s="1022">
        <v>20</v>
      </c>
      <c r="G136" s="1022">
        <v>20</v>
      </c>
      <c r="H136" s="1022">
        <v>20</v>
      </c>
      <c r="I136" s="1022">
        <v>20</v>
      </c>
      <c r="J136" s="1022">
        <v>20</v>
      </c>
      <c r="K136" s="1022">
        <v>19</v>
      </c>
      <c r="L136" s="1022">
        <v>19</v>
      </c>
      <c r="M136" s="1022">
        <v>19</v>
      </c>
      <c r="N136" s="1022">
        <v>18</v>
      </c>
      <c r="O136" s="1022">
        <v>17</v>
      </c>
      <c r="P136" s="97"/>
      <c r="Q136" s="1405">
        <f t="shared" si="43"/>
        <v>19.5</v>
      </c>
      <c r="S136" s="986">
        <v>19</v>
      </c>
      <c r="T136" s="723">
        <v>19</v>
      </c>
      <c r="U136" s="723">
        <v>18</v>
      </c>
      <c r="V136" s="723">
        <v>19</v>
      </c>
      <c r="W136" s="986">
        <v>17</v>
      </c>
      <c r="X136" s="986">
        <v>17</v>
      </c>
      <c r="Y136" s="723">
        <v>17</v>
      </c>
      <c r="Z136" s="723">
        <v>18</v>
      </c>
      <c r="AA136" s="723">
        <v>18</v>
      </c>
      <c r="AB136" s="723">
        <v>18</v>
      </c>
      <c r="AC136" s="1510">
        <v>18</v>
      </c>
      <c r="AD136" s="1551">
        <v>18</v>
      </c>
      <c r="AE136" s="97"/>
      <c r="AF136" s="1520">
        <f t="shared" si="45"/>
        <v>18</v>
      </c>
      <c r="AH136" s="1510">
        <v>18</v>
      </c>
      <c r="AI136" s="723">
        <v>19</v>
      </c>
      <c r="AJ136" s="723">
        <v>19</v>
      </c>
      <c r="AK136" s="723">
        <v>18</v>
      </c>
      <c r="AL136" s="723">
        <v>19</v>
      </c>
      <c r="AM136" s="723">
        <v>17</v>
      </c>
      <c r="AN136" s="723">
        <v>17</v>
      </c>
      <c r="AO136" s="723">
        <v>17</v>
      </c>
      <c r="AP136" s="723">
        <v>22</v>
      </c>
      <c r="AQ136" s="723">
        <v>21</v>
      </c>
      <c r="AR136" s="1510">
        <v>16</v>
      </c>
      <c r="AS136" s="1551">
        <v>17</v>
      </c>
      <c r="AT136" s="97"/>
      <c r="AU136" s="1520">
        <f t="shared" si="46"/>
        <v>18.333333333333332</v>
      </c>
      <c r="AW136" s="2004">
        <v>16</v>
      </c>
      <c r="AX136" s="1091">
        <f t="shared" si="62"/>
        <v>-1</v>
      </c>
      <c r="AY136" s="1092"/>
      <c r="AZ136" s="1093"/>
      <c r="BA136" s="1553"/>
    </row>
    <row r="137" spans="1:53" x14ac:dyDescent="0.55000000000000004">
      <c r="A137" s="7468"/>
      <c r="B137" s="88"/>
      <c r="C137" s="473" t="s">
        <v>248</v>
      </c>
      <c r="D137" s="330">
        <v>56</v>
      </c>
      <c r="E137" s="330">
        <v>55</v>
      </c>
      <c r="F137" s="330">
        <v>56</v>
      </c>
      <c r="G137" s="330">
        <v>53</v>
      </c>
      <c r="H137" s="330">
        <v>50</v>
      </c>
      <c r="I137" s="330">
        <v>51</v>
      </c>
      <c r="J137" s="330">
        <v>51</v>
      </c>
      <c r="K137" s="330">
        <v>49</v>
      </c>
      <c r="L137" s="330">
        <v>51</v>
      </c>
      <c r="M137" s="330">
        <v>52</v>
      </c>
      <c r="N137" s="330">
        <v>52</v>
      </c>
      <c r="O137" s="330">
        <v>51</v>
      </c>
      <c r="P137" s="95"/>
      <c r="Q137" s="1404">
        <f t="shared" si="43"/>
        <v>52.25</v>
      </c>
      <c r="S137" s="985">
        <v>42</v>
      </c>
      <c r="T137" s="716">
        <v>45</v>
      </c>
      <c r="U137" s="716">
        <v>44</v>
      </c>
      <c r="V137" s="716">
        <v>44</v>
      </c>
      <c r="W137" s="985">
        <v>44</v>
      </c>
      <c r="X137" s="985">
        <v>46</v>
      </c>
      <c r="Y137" s="716">
        <v>43</v>
      </c>
      <c r="Z137" s="716">
        <v>44</v>
      </c>
      <c r="AA137" s="716">
        <v>41</v>
      </c>
      <c r="AB137" s="716">
        <v>43</v>
      </c>
      <c r="AC137" s="1503">
        <v>44</v>
      </c>
      <c r="AD137" s="1550">
        <v>45</v>
      </c>
      <c r="AE137" s="95"/>
      <c r="AF137" s="464">
        <f t="shared" si="45"/>
        <v>43.75</v>
      </c>
      <c r="AH137" s="1503">
        <v>45</v>
      </c>
      <c r="AI137" s="716">
        <v>42</v>
      </c>
      <c r="AJ137" s="716">
        <v>45</v>
      </c>
      <c r="AK137" s="716">
        <v>45</v>
      </c>
      <c r="AL137" s="716">
        <v>42</v>
      </c>
      <c r="AM137" s="716">
        <v>45</v>
      </c>
      <c r="AN137" s="716">
        <v>40</v>
      </c>
      <c r="AO137" s="716">
        <v>36</v>
      </c>
      <c r="AP137" s="716">
        <v>31</v>
      </c>
      <c r="AQ137" s="716">
        <v>32</v>
      </c>
      <c r="AR137" s="1503">
        <v>38</v>
      </c>
      <c r="AS137" s="1550">
        <v>42</v>
      </c>
      <c r="AT137" s="95"/>
      <c r="AU137" s="464">
        <f t="shared" si="46"/>
        <v>40.25</v>
      </c>
      <c r="AW137" s="2003">
        <v>39</v>
      </c>
      <c r="AX137" s="816">
        <f t="shared" si="62"/>
        <v>-3</v>
      </c>
      <c r="AY137" s="504"/>
      <c r="AZ137" s="825">
        <v>6</v>
      </c>
      <c r="BA137" s="818">
        <f>AS137/AZ137</f>
        <v>7</v>
      </c>
    </row>
    <row r="138" spans="1:53" x14ac:dyDescent="0.55000000000000004">
      <c r="A138" s="7468"/>
      <c r="B138" s="88"/>
      <c r="C138" s="1000" t="s">
        <v>678</v>
      </c>
      <c r="D138" s="330">
        <v>24</v>
      </c>
      <c r="E138" s="330">
        <v>24</v>
      </c>
      <c r="F138" s="330">
        <v>24</v>
      </c>
      <c r="G138" s="330">
        <v>23</v>
      </c>
      <c r="H138" s="330">
        <v>21</v>
      </c>
      <c r="I138" s="330">
        <v>21</v>
      </c>
      <c r="J138" s="330">
        <v>21</v>
      </c>
      <c r="K138" s="330">
        <v>18</v>
      </c>
      <c r="L138" s="330">
        <v>19</v>
      </c>
      <c r="M138" s="330">
        <v>21</v>
      </c>
      <c r="N138" s="330">
        <v>24</v>
      </c>
      <c r="O138" s="330">
        <v>19</v>
      </c>
      <c r="P138" s="95"/>
      <c r="Q138" s="1404">
        <f t="shared" si="43"/>
        <v>21.583333333333332</v>
      </c>
      <c r="S138" s="985">
        <v>22</v>
      </c>
      <c r="T138" s="716">
        <v>24</v>
      </c>
      <c r="U138" s="716">
        <v>21</v>
      </c>
      <c r="V138" s="716">
        <v>22</v>
      </c>
      <c r="W138" s="985">
        <v>21</v>
      </c>
      <c r="X138" s="985">
        <v>21</v>
      </c>
      <c r="Y138" s="716">
        <v>19</v>
      </c>
      <c r="Z138" s="716">
        <v>21</v>
      </c>
      <c r="AA138" s="716">
        <v>19</v>
      </c>
      <c r="AB138" s="716">
        <v>18</v>
      </c>
      <c r="AC138" s="1503">
        <v>20</v>
      </c>
      <c r="AD138" s="1550">
        <v>20</v>
      </c>
      <c r="AE138" s="95"/>
      <c r="AF138" s="464">
        <f t="shared" si="45"/>
        <v>20.666666666666668</v>
      </c>
      <c r="AH138" s="1503">
        <v>20</v>
      </c>
      <c r="AI138" s="716">
        <v>20</v>
      </c>
      <c r="AJ138" s="716">
        <v>22</v>
      </c>
      <c r="AK138" s="716">
        <v>23</v>
      </c>
      <c r="AL138" s="716">
        <v>20</v>
      </c>
      <c r="AM138" s="716">
        <v>22</v>
      </c>
      <c r="AN138" s="716">
        <v>18</v>
      </c>
      <c r="AO138" s="716">
        <v>16</v>
      </c>
      <c r="AP138" s="716">
        <v>11</v>
      </c>
      <c r="AQ138" s="716">
        <v>11</v>
      </c>
      <c r="AR138" s="1503">
        <v>13</v>
      </c>
      <c r="AS138" s="1550">
        <v>15</v>
      </c>
      <c r="AT138" s="95"/>
      <c r="AU138" s="464">
        <f t="shared" si="46"/>
        <v>17.583333333333332</v>
      </c>
      <c r="AW138" s="2003">
        <v>10</v>
      </c>
      <c r="AX138" s="1091">
        <f t="shared" si="62"/>
        <v>-5</v>
      </c>
      <c r="AY138" s="1092"/>
      <c r="AZ138" s="1093"/>
      <c r="BA138" s="1553"/>
    </row>
    <row r="139" spans="1:53" x14ac:dyDescent="0.55000000000000004">
      <c r="A139" s="7468"/>
      <c r="B139" s="88"/>
      <c r="C139" s="474" t="s">
        <v>249</v>
      </c>
      <c r="D139" s="1022">
        <v>48</v>
      </c>
      <c r="E139" s="1022">
        <v>48</v>
      </c>
      <c r="F139" s="1022">
        <v>50</v>
      </c>
      <c r="G139" s="1022">
        <v>51</v>
      </c>
      <c r="H139" s="1022">
        <v>51</v>
      </c>
      <c r="I139" s="1022">
        <v>52</v>
      </c>
      <c r="J139" s="1022">
        <v>49</v>
      </c>
      <c r="K139" s="1022">
        <v>48</v>
      </c>
      <c r="L139" s="1022">
        <v>47</v>
      </c>
      <c r="M139" s="1022">
        <v>47</v>
      </c>
      <c r="N139" s="1022">
        <v>47</v>
      </c>
      <c r="O139" s="1022">
        <v>41</v>
      </c>
      <c r="P139" s="97"/>
      <c r="Q139" s="1405">
        <f t="shared" si="43"/>
        <v>48.25</v>
      </c>
      <c r="S139" s="986">
        <v>40</v>
      </c>
      <c r="T139" s="723">
        <v>40</v>
      </c>
      <c r="U139" s="723">
        <v>38</v>
      </c>
      <c r="V139" s="723">
        <v>37</v>
      </c>
      <c r="W139" s="986">
        <v>36</v>
      </c>
      <c r="X139" s="986">
        <v>36</v>
      </c>
      <c r="Y139" s="723">
        <v>33</v>
      </c>
      <c r="Z139" s="723">
        <v>34</v>
      </c>
      <c r="AA139" s="723">
        <v>35</v>
      </c>
      <c r="AB139" s="723">
        <v>35</v>
      </c>
      <c r="AC139" s="1510">
        <v>33</v>
      </c>
      <c r="AD139" s="1551">
        <v>34</v>
      </c>
      <c r="AE139" s="97"/>
      <c r="AF139" s="1520">
        <f t="shared" si="45"/>
        <v>35.916666666666664</v>
      </c>
      <c r="AH139" s="1510">
        <v>33</v>
      </c>
      <c r="AI139" s="723">
        <v>33</v>
      </c>
      <c r="AJ139" s="723">
        <v>33</v>
      </c>
      <c r="AK139" s="723">
        <v>33</v>
      </c>
      <c r="AL139" s="723">
        <v>32</v>
      </c>
      <c r="AM139" s="723">
        <v>31</v>
      </c>
      <c r="AN139" s="723">
        <v>30</v>
      </c>
      <c r="AO139" s="723">
        <v>28</v>
      </c>
      <c r="AP139" s="723">
        <v>30</v>
      </c>
      <c r="AQ139" s="723">
        <v>33</v>
      </c>
      <c r="AR139" s="1510">
        <v>36</v>
      </c>
      <c r="AS139" s="1551">
        <v>34</v>
      </c>
      <c r="AT139" s="97"/>
      <c r="AU139" s="1520">
        <f t="shared" si="46"/>
        <v>32.166666666666664</v>
      </c>
      <c r="AW139" s="2004">
        <v>39</v>
      </c>
      <c r="AX139" s="816">
        <f t="shared" si="62"/>
        <v>5</v>
      </c>
      <c r="AY139" s="504"/>
      <c r="AZ139" s="827">
        <v>6</v>
      </c>
      <c r="BA139" s="818">
        <f>AS139/AZ139</f>
        <v>5.666666666666667</v>
      </c>
    </row>
    <row r="140" spans="1:53" ht="18" thickBot="1" x14ac:dyDescent="0.6">
      <c r="A140" s="839"/>
      <c r="B140" s="94"/>
      <c r="C140" s="1002" t="s">
        <v>678</v>
      </c>
      <c r="D140" s="98">
        <v>17</v>
      </c>
      <c r="E140" s="98">
        <v>17</v>
      </c>
      <c r="F140" s="98">
        <v>18</v>
      </c>
      <c r="G140" s="98">
        <v>19</v>
      </c>
      <c r="H140" s="98">
        <v>19</v>
      </c>
      <c r="I140" s="98">
        <v>21</v>
      </c>
      <c r="J140" s="98">
        <v>20</v>
      </c>
      <c r="K140" s="98">
        <v>18</v>
      </c>
      <c r="L140" s="98">
        <v>16</v>
      </c>
      <c r="M140" s="98">
        <v>17</v>
      </c>
      <c r="N140" s="98">
        <v>17</v>
      </c>
      <c r="O140" s="98">
        <v>13</v>
      </c>
      <c r="P140" s="98"/>
      <c r="Q140" s="1406">
        <f t="shared" si="43"/>
        <v>17.666666666666668</v>
      </c>
      <c r="S140" s="724">
        <v>19</v>
      </c>
      <c r="T140" s="724">
        <v>19</v>
      </c>
      <c r="U140" s="724">
        <v>17</v>
      </c>
      <c r="V140" s="724">
        <v>17</v>
      </c>
      <c r="W140" s="724">
        <v>17</v>
      </c>
      <c r="X140" s="724">
        <v>15</v>
      </c>
      <c r="Y140" s="724">
        <v>13</v>
      </c>
      <c r="Z140" s="724">
        <v>13</v>
      </c>
      <c r="AA140" s="724">
        <v>13</v>
      </c>
      <c r="AB140" s="724">
        <v>13</v>
      </c>
      <c r="AC140" s="1511">
        <v>12</v>
      </c>
      <c r="AD140" s="1552">
        <v>12</v>
      </c>
      <c r="AE140" s="98"/>
      <c r="AF140" s="1521">
        <f t="shared" si="45"/>
        <v>15</v>
      </c>
      <c r="AH140" s="1511">
        <v>11</v>
      </c>
      <c r="AI140" s="724">
        <v>11</v>
      </c>
      <c r="AJ140" s="724">
        <v>11</v>
      </c>
      <c r="AK140" s="724">
        <v>13</v>
      </c>
      <c r="AL140" s="724">
        <v>13</v>
      </c>
      <c r="AM140" s="724">
        <v>12</v>
      </c>
      <c r="AN140" s="724">
        <v>10</v>
      </c>
      <c r="AO140" s="724">
        <v>8</v>
      </c>
      <c r="AP140" s="724">
        <v>10</v>
      </c>
      <c r="AQ140" s="724">
        <v>9</v>
      </c>
      <c r="AR140" s="1511">
        <v>11</v>
      </c>
      <c r="AS140" s="1552">
        <v>11</v>
      </c>
      <c r="AT140" s="98"/>
      <c r="AU140" s="1521">
        <f t="shared" si="46"/>
        <v>10.833333333333334</v>
      </c>
      <c r="AW140" s="2005">
        <v>15</v>
      </c>
      <c r="AX140" s="1554">
        <f t="shared" si="62"/>
        <v>4</v>
      </c>
      <c r="AY140" s="1555"/>
      <c r="AZ140" s="1556"/>
      <c r="BA140" s="1557"/>
    </row>
    <row r="141" spans="1:53" x14ac:dyDescent="0.55000000000000004">
      <c r="AK141" s="716"/>
    </row>
  </sheetData>
  <mergeCells count="14">
    <mergeCell ref="A119:A139"/>
    <mergeCell ref="A4:C4"/>
    <mergeCell ref="A5:A21"/>
    <mergeCell ref="A22:A60"/>
    <mergeCell ref="A103:A118"/>
    <mergeCell ref="A62:A65"/>
    <mergeCell ref="A66:A73"/>
    <mergeCell ref="A74:A101"/>
    <mergeCell ref="B66:C66"/>
    <mergeCell ref="B74:C74"/>
    <mergeCell ref="B62:C62"/>
    <mergeCell ref="B63:C63"/>
    <mergeCell ref="B64:C64"/>
    <mergeCell ref="B65:C65"/>
  </mergeCells>
  <phoneticPr fontId="12" type="noConversion"/>
  <pageMargins left="0.25" right="0.25" top="0.75" bottom="0.75" header="0.3" footer="0.3"/>
  <pageSetup paperSize="9" scale="45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BH119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AG13" sqref="AG13"/>
    </sheetView>
  </sheetViews>
  <sheetFormatPr defaultRowHeight="15" outlineLevelCol="1" x14ac:dyDescent="0.55000000000000004"/>
  <cols>
    <col min="1" max="1" width="18.35546875" style="2441" customWidth="1"/>
    <col min="2" max="2" width="15" style="2441" customWidth="1"/>
    <col min="3" max="3" width="15.5703125" style="2441" customWidth="1"/>
    <col min="4" max="4" width="12" style="2441" customWidth="1"/>
    <col min="5" max="5" width="11.5" style="2441" customWidth="1"/>
    <col min="6" max="8" width="11.5" style="2441" customWidth="1" outlineLevel="1"/>
    <col min="9" max="16" width="11.92578125" style="2441" customWidth="1" outlineLevel="1"/>
    <col min="17" max="22" width="12.92578125" style="2441" customWidth="1"/>
    <col min="23" max="23" width="8.640625" style="2441" customWidth="1"/>
    <col min="24" max="26" width="19" style="2467" customWidth="1"/>
    <col min="27" max="32" width="8.640625" style="3311"/>
    <col min="33" max="16384" width="9.140625" style="2441"/>
  </cols>
  <sheetData>
    <row r="1" spans="1:60" x14ac:dyDescent="0.55000000000000004">
      <c r="C1" s="2987"/>
      <c r="D1" s="2987" t="s">
        <v>663</v>
      </c>
      <c r="E1" s="2987" t="s">
        <v>460</v>
      </c>
      <c r="F1" s="2987" t="s">
        <v>459</v>
      </c>
      <c r="G1" s="2987" t="s">
        <v>461</v>
      </c>
      <c r="H1" s="2987" t="s">
        <v>665</v>
      </c>
      <c r="I1" s="2987" t="s">
        <v>642</v>
      </c>
      <c r="J1" s="2987" t="s">
        <v>650</v>
      </c>
      <c r="K1" s="2987" t="s">
        <v>1151</v>
      </c>
      <c r="L1" s="2987" t="s">
        <v>1154</v>
      </c>
      <c r="M1" s="2987" t="s">
        <v>1165</v>
      </c>
      <c r="N1" s="2987" t="s">
        <v>737</v>
      </c>
      <c r="O1" s="2987" t="s">
        <v>929</v>
      </c>
      <c r="P1" s="2987" t="s">
        <v>1190</v>
      </c>
      <c r="Q1" s="2987" t="s">
        <v>468</v>
      </c>
      <c r="R1" s="2987" t="s">
        <v>738</v>
      </c>
      <c r="S1" s="2987" t="s">
        <v>462</v>
      </c>
      <c r="T1" s="2987" t="s">
        <v>467</v>
      </c>
      <c r="U1" s="2987" t="s">
        <v>469</v>
      </c>
      <c r="V1" s="2987" t="s">
        <v>466</v>
      </c>
      <c r="W1" s="2991" t="s">
        <v>474</v>
      </c>
    </row>
    <row r="2" spans="1:60" ht="15.45" thickBot="1" x14ac:dyDescent="0.6">
      <c r="C2" s="2987">
        <v>6</v>
      </c>
      <c r="D2" s="2987"/>
      <c r="E2" s="2987" t="s">
        <v>460</v>
      </c>
      <c r="F2" s="2987" t="s">
        <v>459</v>
      </c>
      <c r="G2" s="2987" t="s">
        <v>461</v>
      </c>
      <c r="H2" s="2987" t="s">
        <v>665</v>
      </c>
      <c r="I2" s="2987" t="s">
        <v>642</v>
      </c>
      <c r="J2" s="2987" t="s">
        <v>650</v>
      </c>
      <c r="K2" s="2987" t="s">
        <v>1151</v>
      </c>
      <c r="L2" s="2987" t="s">
        <v>1154</v>
      </c>
      <c r="M2" s="2987" t="s">
        <v>1165</v>
      </c>
      <c r="N2" s="2987" t="s">
        <v>737</v>
      </c>
      <c r="O2" s="2987" t="s">
        <v>929</v>
      </c>
      <c r="P2" s="2987" t="s">
        <v>1190</v>
      </c>
      <c r="Q2" s="2987" t="s">
        <v>468</v>
      </c>
    </row>
    <row r="3" spans="1:60" ht="60" customHeight="1" thickTop="1" thickBot="1" x14ac:dyDescent="0.6">
      <c r="A3" s="7078" t="s">
        <v>918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6946"/>
    </row>
    <row r="4" spans="1:60" s="2444" customFormat="1" ht="15.55" customHeight="1" thickTop="1" thickBot="1" x14ac:dyDescent="0.6">
      <c r="A4" s="2447"/>
      <c r="B4" s="2992"/>
      <c r="C4" s="2992"/>
      <c r="D4" s="2992"/>
      <c r="E4" s="3312"/>
      <c r="F4" s="3312"/>
      <c r="G4" s="3312"/>
      <c r="H4" s="3312"/>
      <c r="I4" s="3312"/>
      <c r="J4" s="3312"/>
      <c r="K4" s="3312"/>
      <c r="L4" s="3312"/>
      <c r="M4" s="3312"/>
      <c r="N4" s="3312"/>
      <c r="O4" s="3312"/>
      <c r="P4" s="3312"/>
      <c r="Q4" s="3312"/>
      <c r="R4" s="3312"/>
      <c r="S4" s="2447"/>
      <c r="T4" s="2447"/>
      <c r="U4" s="2447"/>
      <c r="V4" s="2447"/>
      <c r="W4" s="2447"/>
      <c r="X4" s="2447"/>
      <c r="Y4" s="2447"/>
      <c r="Z4" s="2447"/>
      <c r="AA4" s="2447"/>
      <c r="AE4" s="2445"/>
      <c r="AG4" s="2445"/>
      <c r="AH4" s="2445"/>
      <c r="AI4" s="2446"/>
      <c r="AK4" s="2445"/>
      <c r="AL4" s="2446"/>
      <c r="BD4" s="2449"/>
      <c r="BE4" s="2449"/>
      <c r="BF4" s="2449"/>
      <c r="BG4" s="2449"/>
      <c r="BH4" s="2449"/>
    </row>
    <row r="5" spans="1:60" ht="21.55" customHeight="1" thickBot="1" x14ac:dyDescent="0.6">
      <c r="B5" s="2450"/>
      <c r="C5" s="2450"/>
      <c r="D5" s="3313"/>
      <c r="E5" s="7079" t="s">
        <v>1152</v>
      </c>
      <c r="F5" s="7080"/>
      <c r="G5" s="7080"/>
      <c r="H5" s="7080"/>
      <c r="I5" s="7080"/>
      <c r="J5" s="7080"/>
      <c r="K5" s="7080"/>
      <c r="L5" s="7080"/>
      <c r="M5" s="7080"/>
      <c r="N5" s="7080"/>
      <c r="O5" s="7080"/>
      <c r="P5" s="7080"/>
      <c r="Q5" s="7080"/>
      <c r="R5" s="7504"/>
      <c r="S5" s="7086" t="str">
        <f>"연간누적실적(~"&amp;'※ 영업품질 세부데이터'!A1-0.001&amp;"월)"</f>
        <v>연간누적실적(~12월)</v>
      </c>
      <c r="T5" s="7087"/>
      <c r="U5" s="7087"/>
      <c r="V5" s="7088"/>
    </row>
    <row r="6" spans="1:60" ht="21.55" customHeight="1" thickBot="1" x14ac:dyDescent="0.6">
      <c r="A6" s="7503" t="s">
        <v>127</v>
      </c>
      <c r="B6" s="7294"/>
      <c r="C6" s="7294"/>
      <c r="D6" s="3314" t="s">
        <v>889</v>
      </c>
      <c r="E6" s="3315" t="str" cm="1">
        <f t="array" aca="1" ref="E6" ca="1">INDIRECT("'※ 영업품질 세부데이터'!"&amp;E$1&amp;$W6, TRUE)</f>
        <v>'25.1월</v>
      </c>
      <c r="F6" s="3316" t="str" cm="1">
        <f t="array" aca="1" ref="F6" ca="1">INDIRECT("'※ 영업품질 세부데이터'!"&amp;F$1&amp;$W6, TRUE)</f>
        <v>'25.2월</v>
      </c>
      <c r="G6" s="3316" t="str" cm="1">
        <f t="array" aca="1" ref="G6" ca="1">INDIRECT("'※ 영업품질 세부데이터'!"&amp;G$1&amp;$W6, TRUE)</f>
        <v>'25.3월</v>
      </c>
      <c r="H6" s="3316" t="str" cm="1">
        <f t="array" aca="1" ref="H6" ca="1">INDIRECT("'※ 영업품질 세부데이터'!"&amp;H$1&amp;$W6, TRUE)</f>
        <v>'25.4월</v>
      </c>
      <c r="I6" s="3316" t="str" cm="1">
        <f t="array" aca="1" ref="I6" ca="1">INDIRECT("'※ 영업품질 세부데이터'!"&amp;I$1&amp;$W6, TRUE)</f>
        <v>'25.5월</v>
      </c>
      <c r="J6" s="3316" t="str" cm="1">
        <f t="array" aca="1" ref="J6" ca="1">INDIRECT("'※ 영업품질 세부데이터'!"&amp;J$1&amp;$W6, TRUE)</f>
        <v>'25.6월</v>
      </c>
      <c r="K6" s="3316" t="str" cm="1">
        <f t="array" aca="1" ref="K6" ca="1">INDIRECT("'※ 영업품질 세부데이터'!"&amp;K$1&amp;$W6, TRUE)</f>
        <v>'25.7월</v>
      </c>
      <c r="L6" s="3316" t="str" cm="1">
        <f t="array" aca="1" ref="L6" ca="1">INDIRECT("'※ 영업품질 세부데이터'!"&amp;L$1&amp;$W6, TRUE)</f>
        <v>'25.8월</v>
      </c>
      <c r="M6" s="3316" t="str" cm="1">
        <f t="array" aca="1" ref="M6" ca="1">INDIRECT("'※ 영업품질 세부데이터'!"&amp;M$1&amp;$W6, TRUE)</f>
        <v>'25.9월</v>
      </c>
      <c r="N6" s="3316" t="str" cm="1">
        <f t="array" aca="1" ref="N6" ca="1">INDIRECT("'※ 영업품질 세부데이터'!"&amp;N$1&amp;$W6, TRUE)</f>
        <v>'25.10월</v>
      </c>
      <c r="O6" s="3316" t="str" cm="1">
        <f t="array" aca="1" ref="O6" ca="1">INDIRECT("'※ 영업품질 세부데이터'!"&amp;O$1&amp;$W6, TRUE)</f>
        <v>'25.11월</v>
      </c>
      <c r="P6" s="3316" t="str" cm="1">
        <f t="array" aca="1" ref="P6" ca="1">INDIRECT("'※ 영업품질 세부데이터'!"&amp;P$1&amp;$W6, TRUE)</f>
        <v>'25.12월</v>
      </c>
      <c r="Q6" s="3317" t="s">
        <v>133</v>
      </c>
      <c r="R6" s="2998" t="s">
        <v>463</v>
      </c>
      <c r="S6" s="2999" t="s">
        <v>45</v>
      </c>
      <c r="T6" s="3318" t="s">
        <v>609</v>
      </c>
      <c r="U6" s="3319" t="s">
        <v>46</v>
      </c>
      <c r="V6" s="3320" t="s">
        <v>11</v>
      </c>
      <c r="W6" s="3002">
        <f>ROW('※ 영업품질 세부데이터'!A3)</f>
        <v>3</v>
      </c>
    </row>
    <row r="7" spans="1:60" ht="16" customHeight="1" x14ac:dyDescent="0.55000000000000004">
      <c r="A7" s="7179" t="s">
        <v>135</v>
      </c>
      <c r="B7" s="3004" t="s">
        <v>545</v>
      </c>
      <c r="C7" s="3004" t="s">
        <v>546</v>
      </c>
      <c r="D7" s="3321" cm="1">
        <f t="array" aca="1" ref="D7" ca="1">INDIRECT("'※ 영업품질 세부데이터'!"&amp;D$1&amp;$W7, TRUE)</f>
        <v>5555</v>
      </c>
      <c r="E7" s="3322" cm="1">
        <f t="array" aca="1" ref="E7" ca="1">INDIRECT("'※ 영업품질 세부데이터'!"&amp;E$1&amp;$W7, TRUE)</f>
        <v>380</v>
      </c>
      <c r="F7" s="3323" cm="1">
        <f t="array" aca="1" ref="F7" ca="1">INDIRECT("'※ 영업품질 세부데이터'!"&amp;F$1&amp;$W7, TRUE)</f>
        <v>426</v>
      </c>
      <c r="G7" s="3323" cm="1">
        <f t="array" aca="1" ref="G7" ca="1">INDIRECT("'※ 영업품질 세부데이터'!"&amp;G$1&amp;$W7, TRUE)</f>
        <v>345</v>
      </c>
      <c r="H7" s="3323" cm="1">
        <f t="array" aca="1" ref="H7" ca="1">INDIRECT("'※ 영업품질 세부데이터'!"&amp;H$1&amp;$W7, TRUE)</f>
        <v>354</v>
      </c>
      <c r="I7" s="3323" cm="1">
        <f t="array" aca="1" ref="I7" ca="1">INDIRECT("'※ 영업품질 세부데이터'!"&amp;I$1&amp;$W7, TRUE)</f>
        <v>350</v>
      </c>
      <c r="J7" s="3323" cm="1">
        <f t="array" aca="1" ref="J7" ca="1">INDIRECT("'※ 영업품질 세부데이터'!"&amp;J$1&amp;$W7, TRUE)</f>
        <v>328</v>
      </c>
      <c r="K7" s="3323" cm="1">
        <f t="array" aca="1" ref="K7" ca="1">INDIRECT("'※ 영업품질 세부데이터'!"&amp;K$1&amp;$W7, TRUE)</f>
        <v>406</v>
      </c>
      <c r="L7" s="3323" cm="1">
        <f t="array" aca="1" ref="L7" ca="1">INDIRECT("'※ 영업품질 세부데이터'!"&amp;L$1&amp;$W7, TRUE)</f>
        <v>359</v>
      </c>
      <c r="M7" s="3323" cm="1">
        <f t="array" aca="1" ref="M7" ca="1">INDIRECT("'※ 영업품질 세부데이터'!"&amp;M$1&amp;$W7, TRUE)</f>
        <v>360</v>
      </c>
      <c r="N7" s="3323" cm="1">
        <f t="array" aca="1" ref="N7" ca="1">INDIRECT("'※ 영업품질 세부데이터'!"&amp;N$1&amp;$W7, TRUE)</f>
        <v>309</v>
      </c>
      <c r="O7" s="3323" cm="1">
        <f t="array" aca="1" ref="O7" ca="1">INDIRECT("'※ 영업품질 세부데이터'!"&amp;O$1&amp;$W7, TRUE)</f>
        <v>280</v>
      </c>
      <c r="P7" s="3323" cm="1">
        <f t="array" aca="1" ref="P7" ca="1">INDIRECT("'※ 영업품질 세부데이터'!"&amp;P$1&amp;$W7, TRUE)</f>
        <v>313</v>
      </c>
      <c r="Q7" s="3323" cm="1">
        <f t="array" aca="1" ref="Q7" ca="1">INDIRECT("'※ 영업품질 세부데이터'!"&amp;Q$1&amp;$W7, TRUE)</f>
        <v>33</v>
      </c>
      <c r="R7" s="3324" cm="1">
        <f t="array" aca="1" ref="R7" ca="1">INDIRECT("'※ 영업품질 세부데이터'!"&amp;R$1&amp;$W7, TRUE)</f>
        <v>-88</v>
      </c>
      <c r="S7" s="3325" cm="1">
        <f t="array" aca="1" ref="S7" ca="1">INDIRECT("'※ 영업품질 세부데이터'!"&amp;S$1&amp;$W7, TRUE)</f>
        <v>4210</v>
      </c>
      <c r="T7" s="3323" cm="1">
        <f t="array" aca="1" ref="T7" ca="1">INDIRECT("'※ 영업품질 세부데이터'!"&amp;T$1&amp;$W7, TRUE)</f>
        <v>-1345</v>
      </c>
      <c r="U7" s="3326" cm="1">
        <f t="array" aca="1" ref="U7" ca="1">INDIRECT("'※ 영업품질 세부데이터'!"&amp;U$1&amp;$W7, TRUE)</f>
        <v>350.83333333333331</v>
      </c>
      <c r="V7" s="3327" cm="1">
        <f t="array" aca="1" ref="V7" ca="1">INDIRECT("'※ 영업품질 세부데이터'!"&amp;V$1&amp;$W7, TRUE)</f>
        <v>-112.08333333333337</v>
      </c>
      <c r="W7" s="3002">
        <f>ROW('※ 영업품질 세부데이터'!A4)</f>
        <v>4</v>
      </c>
      <c r="X7" s="3328"/>
      <c r="Y7" s="3328"/>
      <c r="Z7" s="3328"/>
    </row>
    <row r="8" spans="1:60" ht="16" customHeight="1" x14ac:dyDescent="0.55000000000000004">
      <c r="A8" s="7487"/>
      <c r="B8" s="3329"/>
      <c r="C8" s="3329" t="s">
        <v>547</v>
      </c>
      <c r="D8" s="3330" cm="1">
        <f t="array" aca="1" ref="D8" ca="1">INDIRECT("'※ 영업품질 세부데이터'!"&amp;D$1&amp;$W8, TRUE)</f>
        <v>587414.58333333326</v>
      </c>
      <c r="E8" s="3331" cm="1">
        <f t="array" aca="1" ref="E8" ca="1">INDIRECT("'※ 영업품질 세부데이터'!"&amp;E$1&amp;$W8, TRUE)</f>
        <v>51825</v>
      </c>
      <c r="F8" s="3332" cm="1">
        <f t="array" aca="1" ref="F8" ca="1">INDIRECT("'※ 영업품질 세부데이터'!"&amp;F$1&amp;$W8, TRUE)</f>
        <v>48544</v>
      </c>
      <c r="G8" s="3332" cm="1">
        <f t="array" aca="1" ref="G8" ca="1">INDIRECT("'※ 영업품질 세부데이터'!"&amp;G$1&amp;$W8, TRUE)</f>
        <v>51938</v>
      </c>
      <c r="H8" s="3332" cm="1">
        <f t="array" aca="1" ref="H8" ca="1">INDIRECT("'※ 영업품질 세부데이터'!"&amp;H$1&amp;$W8, TRUE)</f>
        <v>51613</v>
      </c>
      <c r="I8" s="3332" cm="1">
        <f t="array" aca="1" ref="I8" ca="1">INDIRECT("'※ 영업품질 세부데이터'!"&amp;I$1&amp;$W8, TRUE)</f>
        <v>53679</v>
      </c>
      <c r="J8" s="3332" cm="1">
        <f t="array" aca="1" ref="J8" ca="1">INDIRECT("'※ 영업품질 세부데이터'!"&amp;J$1&amp;$W8, TRUE)</f>
        <v>60623</v>
      </c>
      <c r="K8" s="3332" cm="1">
        <f t="array" aca="1" ref="K8" ca="1">INDIRECT("'※ 영업품질 세부데이터'!"&amp;K$1&amp;$W8, TRUE)</f>
        <v>64378</v>
      </c>
      <c r="L8" s="3332" cm="1">
        <f t="array" aca="1" ref="L8" ca="1">INDIRECT("'※ 영업품질 세부데이터'!"&amp;L$1&amp;$W8, TRUE)</f>
        <v>71746</v>
      </c>
      <c r="M8" s="3332" cm="1">
        <f t="array" aca="1" ref="M8" ca="1">INDIRECT("'※ 영업품질 세부데이터'!"&amp;M$1&amp;$W8, TRUE)</f>
        <v>69911</v>
      </c>
      <c r="N8" s="3332" cm="1">
        <f t="array" aca="1" ref="N8" ca="1">INDIRECT("'※ 영업품질 세부데이터'!"&amp;N$1&amp;$W8, TRUE)</f>
        <v>72761</v>
      </c>
      <c r="O8" s="3332" cm="1">
        <f t="array" aca="1" ref="O8" ca="1">INDIRECT("'※ 영업품질 세부데이터'!"&amp;O$1&amp;$W8, TRUE)</f>
        <v>71586</v>
      </c>
      <c r="P8" s="3332" cm="1">
        <f t="array" aca="1" ref="P8" ca="1">INDIRECT("'※ 영업품질 세부데이터'!"&amp;P$1&amp;$W8, TRUE)</f>
        <v>64776</v>
      </c>
      <c r="Q8" s="3332" cm="1">
        <f t="array" aca="1" ref="Q8" ca="1">INDIRECT("'※ 영업품질 세부데이터'!"&amp;Q$1&amp;$W8, TRUE)</f>
        <v>-6810</v>
      </c>
      <c r="R8" s="3333" cm="1">
        <f t="array" aca="1" ref="R8" ca="1">INDIRECT("'※ 영업품질 세부데이터'!"&amp;R$1&amp;$W8, TRUE)</f>
        <v>12290</v>
      </c>
      <c r="S8" s="3334" cm="1">
        <f t="array" aca="1" ref="S8" ca="1">INDIRECT("'※ 영업품질 세부데이터'!"&amp;S$1&amp;$W8, TRUE)</f>
        <v>733380</v>
      </c>
      <c r="T8" s="3332" cm="1">
        <f t="array" aca="1" ref="T8" ca="1">INDIRECT("'※ 영업품질 세부데이터'!"&amp;T$1&amp;$W8, TRUE)</f>
        <v>145965.41666666674</v>
      </c>
      <c r="U8" s="3335" cm="1">
        <f t="array" aca="1" ref="U8" ca="1">INDIRECT("'※ 영업품질 세부데이터'!"&amp;U$1&amp;$W8, TRUE)</f>
        <v>61115</v>
      </c>
      <c r="V8" s="3336" cm="1">
        <f t="array" aca="1" ref="V8" ca="1">INDIRECT("'※ 영업품질 세부데이터'!"&amp;V$1&amp;$W8, TRUE)</f>
        <v>12163.784722222226</v>
      </c>
      <c r="W8" s="3002">
        <f>ROW('※ 영업품질 세부데이터'!A5)</f>
        <v>5</v>
      </c>
      <c r="X8" s="3328"/>
      <c r="Y8" s="3328"/>
      <c r="Z8" s="3328"/>
    </row>
    <row r="9" spans="1:60" ht="16" customHeight="1" x14ac:dyDescent="0.55000000000000004">
      <c r="A9" s="7487"/>
      <c r="B9" s="3329"/>
      <c r="C9" s="3337" t="s">
        <v>551</v>
      </c>
      <c r="D9" s="3338" cm="1">
        <f t="array" aca="1" ref="D9" ca="1">INDIRECT("'※ 영업품질 세부데이터'!"&amp;D$1&amp;$W9, TRUE)</f>
        <v>9.4566940583560039E-3</v>
      </c>
      <c r="E9" s="3339" cm="1">
        <f t="array" aca="1" ref="E9" ca="1">INDIRECT("'※ 영업품질 세부데이터'!"&amp;E$1&amp;$W9, TRUE)</f>
        <v>7.3323685479980702E-3</v>
      </c>
      <c r="F9" s="3340" cm="1">
        <f t="array" aca="1" ref="F9" ca="1">INDIRECT("'※ 영업품질 세부데이터'!"&amp;F$1&amp;$W9, TRUE)</f>
        <v>8.775543836519446E-3</v>
      </c>
      <c r="G9" s="3340" cm="1">
        <f t="array" aca="1" ref="G9" ca="1">INDIRECT("'※ 영업품질 세부데이터'!"&amp;G$1&amp;$W9, TRUE)</f>
        <v>6.6425353305864685E-3</v>
      </c>
      <c r="H9" s="3340" cm="1">
        <f t="array" aca="1" ref="H9" ca="1">INDIRECT("'※ 영업품질 세부데이터'!"&amp;H$1&amp;$W9, TRUE)</f>
        <v>6.8587371398678631E-3</v>
      </c>
      <c r="I9" s="3340" cm="1">
        <f t="array" aca="1" ref="I9" ca="1">INDIRECT("'※ 영업품질 세부데이터'!"&amp;I$1&amp;$W9, TRUE)</f>
        <v>6.5202406900277572E-3</v>
      </c>
      <c r="J9" s="3340" cm="1">
        <f t="array" aca="1" ref="J9" ca="1">INDIRECT("'※ 영업품질 세부데이터'!"&amp;J$1&amp;$W9, TRUE)</f>
        <v>5.4104877686686568E-3</v>
      </c>
      <c r="K9" s="3340" cm="1">
        <f t="array" aca="1" ref="K9" ca="1">INDIRECT("'※ 영업품질 세부데이터'!"&amp;K$1&amp;$W9, TRUE)</f>
        <v>6.3065022212557085E-3</v>
      </c>
      <c r="L9" s="3340" cm="1">
        <f t="array" aca="1" ref="L9" ca="1">INDIRECT("'※ 영업품질 세부데이터'!"&amp;L$1&amp;$W9, TRUE)</f>
        <v>5.0037632760014496E-3</v>
      </c>
      <c r="M9" s="3340" cm="1">
        <f t="array" aca="1" ref="M9" ca="1">INDIRECT("'※ 영업품질 세부데이터'!"&amp;M$1&amp;$W9, TRUE)</f>
        <v>5.14940424253694E-3</v>
      </c>
      <c r="N9" s="3340" cm="1">
        <f t="array" aca="1" ref="N9" ca="1">INDIRECT("'※ 영업품질 세부데이터'!"&amp;N$1&amp;$W9, TRUE)</f>
        <v>4.246780555517379E-3</v>
      </c>
      <c r="O9" s="3340" cm="1">
        <f t="array" aca="1" ref="O9" ca="1">INDIRECT("'※ 영업품질 세부데이터'!"&amp;O$1&amp;$W9, TRUE)</f>
        <v>3.911379319978767E-3</v>
      </c>
      <c r="P9" s="3340" cm="1">
        <f t="array" aca="1" ref="P9" ca="1">INDIRECT("'※ 영업품질 세부데이터'!"&amp;P$1&amp;$W9, TRUE)</f>
        <v>4.8320365567494136E-3</v>
      </c>
      <c r="Q9" s="3341" cm="1">
        <f t="array" aca="1" ref="Q9" ca="1">INDIRECT("'※ 영업품질 세부데이터'!"&amp;Q$1&amp;$W9, TRUE)</f>
        <v>9.2065723677064656E-4</v>
      </c>
      <c r="R9" s="3342" cm="1">
        <f t="array" aca="1" ref="R9" ca="1">INDIRECT("'※ 영업품질 세부데이터'!"&amp;R$1&amp;$W9, TRUE)</f>
        <v>-2.8080960500409683E-3</v>
      </c>
      <c r="S9" s="3343" cm="1">
        <f t="array" aca="1" ref="S9" ca="1">INDIRECT("'※ 영업품질 세부데이터'!"&amp;S$1&amp;$W9, TRUE)</f>
        <v>5.7405437835774085E-3</v>
      </c>
      <c r="T9" s="3344" cm="1">
        <f t="array" aca="1" ref="T9" ca="1">INDIRECT("'※ 영업품질 세부데이터'!"&amp;T$1&amp;$W9, TRUE)</f>
        <v>-0.10781162475256353</v>
      </c>
      <c r="U9" s="3345" cm="1">
        <f t="array" aca="1" ref="U9" ca="1">INDIRECT("'※ 영업품질 세부데이터'!"&amp;U$1&amp;$W9, TRUE)</f>
        <v>5.7405437835774085E-3</v>
      </c>
      <c r="V9" s="3346" cm="1">
        <f t="array" aca="1" ref="V9" ca="1">INDIRECT("'※ 영업품질 세부데이터'!"&amp;V$1&amp;$W9, TRUE)</f>
        <v>-3.7161502747785954E-3</v>
      </c>
      <c r="W9" s="3002">
        <f>ROW('※ 영업품질 세부데이터'!A6)</f>
        <v>6</v>
      </c>
      <c r="X9" s="3347"/>
      <c r="Y9" s="3347"/>
      <c r="Z9" s="3347"/>
    </row>
    <row r="10" spans="1:60" ht="16" customHeight="1" x14ac:dyDescent="0.55000000000000004">
      <c r="A10" s="7487"/>
      <c r="B10" s="3348" t="s">
        <v>129</v>
      </c>
      <c r="C10" s="3349"/>
      <c r="D10" s="3350" cm="1">
        <f t="array" aca="1" ref="D10" ca="1">INDIRECT("'※ 영업품질 세부데이터'!"&amp;D$1&amp;$W10, TRUE)</f>
        <v>1.0582911870616322E-2</v>
      </c>
      <c r="E10" s="3351" cm="1">
        <f t="array" aca="1" ref="E10" ca="1">INDIRECT("'※ 영업품질 세부데이터'!"&amp;E$1&amp;$W10, TRUE)</f>
        <v>7.3791954296596046E-3</v>
      </c>
      <c r="F10" s="3352" cm="1">
        <f t="array" aca="1" ref="F10" ca="1">INDIRECT("'※ 영업품질 세부데이터'!"&amp;F$1&amp;$W10, TRUE)</f>
        <v>9.4273743016759781E-3</v>
      </c>
      <c r="G10" s="3352" cm="1">
        <f t="array" aca="1" ref="G10" ca="1">INDIRECT("'※ 영업품질 세부데이터'!"&amp;G$1&amp;$W10, TRUE)</f>
        <v>6.7452944502786978E-3</v>
      </c>
      <c r="H10" s="3352" cm="1">
        <f t="array" aca="1" ref="H10" ca="1">INDIRECT("'※ 영업품질 세부데이터'!"&amp;H$1&amp;$W10, TRUE)</f>
        <v>7.7004133906136011E-3</v>
      </c>
      <c r="I10" s="3352" cm="1">
        <f t="array" aca="1" ref="I10" ca="1">INDIRECT("'※ 영업품질 세부데이터'!"&amp;I$1&amp;$W10, TRUE)</f>
        <v>7.6154758715701659E-3</v>
      </c>
      <c r="J10" s="3352" cm="1">
        <f t="array" aca="1" ref="J10" ca="1">INDIRECT("'※ 영업품질 세부데이터'!"&amp;J$1&amp;$W10, TRUE)</f>
        <v>4.8543689320388345E-3</v>
      </c>
      <c r="K10" s="3352" cm="1">
        <f t="array" aca="1" ref="K10" ca="1">INDIRECT("'※ 영업품질 세부데이터'!"&amp;K$1&amp;$W10, TRUE)</f>
        <v>5.6874779088075577E-3</v>
      </c>
      <c r="L10" s="3352" cm="1">
        <f t="array" aca="1" ref="L10" ca="1">INDIRECT("'※ 영업품질 세부데이터'!"&amp;L$1&amp;$W10, TRUE)</f>
        <v>4.8332391181458451E-3</v>
      </c>
      <c r="M10" s="3352" cm="1">
        <f t="array" aca="1" ref="M10" ca="1">INDIRECT("'※ 영업품질 세부데이터'!"&amp;M$1&amp;$W10, TRUE)</f>
        <v>5.4230893925550413E-3</v>
      </c>
      <c r="N10" s="3352" cm="1">
        <f t="array" aca="1" ref="N10" ca="1">INDIRECT("'※ 영업품질 세부데이터'!"&amp;N$1&amp;$W10, TRUE)</f>
        <v>4.3674274443505209E-3</v>
      </c>
      <c r="O10" s="3352" cm="1">
        <f t="array" aca="1" ref="O10" ca="1">INDIRECT("'※ 영업품질 세부데이터'!"&amp;O$1&amp;$W10, TRUE)</f>
        <v>4.6383278534523247E-3</v>
      </c>
      <c r="P10" s="3352" cm="1">
        <f t="array" aca="1" ref="P10" ca="1">INDIRECT("'※ 영업품질 세부데이터'!"&amp;P$1&amp;$W10, TRUE)</f>
        <v>5.0543175030358725E-3</v>
      </c>
      <c r="Q10" s="3353" cm="1">
        <f t="array" aca="1" ref="Q10" ca="1">INDIRECT("'※ 영업품질 세부데이터'!"&amp;Q$1&amp;$W10, TRUE)</f>
        <v>4.1598964958354783E-4</v>
      </c>
      <c r="R10" s="3354" cm="1">
        <f t="array" aca="1" ref="R10" ca="1">INDIRECT("'※ 영업품질 세부데이터'!"&amp;R$1&amp;$W10, TRUE)</f>
        <v>-2.9456824969641277E-3</v>
      </c>
      <c r="S10" s="3355" cm="1">
        <f t="array" aca="1" ref="S10" ca="1">INDIRECT("'※ 영업품질 세부데이터'!"&amp;S$1&amp;$W10, TRUE)</f>
        <v>6.1438334663486693E-3</v>
      </c>
      <c r="T10" s="3353" cm="1">
        <f t="array" aca="1" ref="T10" ca="1">INDIRECT("'※ 영업품질 세부데이터'!"&amp;T$1&amp;$W10, TRUE)</f>
        <v>-0.1208511089810472</v>
      </c>
      <c r="U10" s="3356" cm="1">
        <f t="array" aca="1" ref="U10" ca="1">INDIRECT("'※ 영업품질 세부데이터'!"&amp;U$1&amp;$W10, TRUE)</f>
        <v>6.1438334663486693E-3</v>
      </c>
      <c r="V10" s="3357" cm="1">
        <f t="array" aca="1" ref="V10" ca="1">INDIRECT("'※ 영업품질 세부데이터'!"&amp;V$1&amp;$W10, TRUE)</f>
        <v>-4.4390784042676532E-3</v>
      </c>
      <c r="W10" s="3002">
        <f>ROW('※ 영업품질 세부데이터'!A7)</f>
        <v>7</v>
      </c>
      <c r="X10" s="3347"/>
      <c r="Y10" s="3347"/>
      <c r="Z10" s="3347"/>
    </row>
    <row r="11" spans="1:60" ht="15" customHeight="1" x14ac:dyDescent="0.55000000000000004">
      <c r="A11" s="7487"/>
      <c r="B11" s="3358"/>
      <c r="C11" s="2493" t="s">
        <v>143</v>
      </c>
      <c r="D11" s="3359" cm="1">
        <f t="array" aca="1" ref="D11" ca="1">INDIRECT("'※ 영업품질 세부데이터'!"&amp;D$1&amp;$W11, TRUE)</f>
        <v>1.0943350667548224E-2</v>
      </c>
      <c r="E11" s="3360" cm="1">
        <f t="array" aca="1" ref="E11" ca="1">INDIRECT("'※ 영업품질 세부데이터'!"&amp;E$1&amp;$W11, TRUE)</f>
        <v>1.1822660098522168E-2</v>
      </c>
      <c r="F11" s="2502" cm="1">
        <f t="array" aca="1" ref="F11" ca="1">INDIRECT("'※ 영업품질 세부데이터'!"&amp;F$1&amp;$W11, TRUE)</f>
        <v>1.2472885032537961E-2</v>
      </c>
      <c r="G11" s="2502" cm="1">
        <f t="array" aca="1" ref="G11" ca="1">INDIRECT("'※ 영업품질 세부데이터'!"&amp;G$1&amp;$W11, TRUE)</f>
        <v>9.4810379241516973E-3</v>
      </c>
      <c r="H11" s="2502" cm="1">
        <f t="array" aca="1" ref="H11" ca="1">INDIRECT("'※ 영업품질 세부데이터'!"&amp;H$1&amp;$W11, TRUE)</f>
        <v>1.1247443762781187E-2</v>
      </c>
      <c r="I11" s="2502" cm="1">
        <f t="array" aca="1" ref="I11" ca="1">INDIRECT("'※ 영업품질 세부데이터'!"&amp;I$1&amp;$W11, TRUE)</f>
        <v>7.525870178739417E-3</v>
      </c>
      <c r="J11" s="2502" cm="1">
        <f t="array" aca="1" ref="J11" ca="1">INDIRECT("'※ 영업품질 세부데이터'!"&amp;J$1&amp;$W11, TRUE)</f>
        <v>6.0144346431435444E-3</v>
      </c>
      <c r="K11" s="2502" cm="1">
        <f t="array" aca="1" ref="K11" ca="1">INDIRECT("'※ 영업품질 세부데이터'!"&amp;K$1&amp;$W11, TRUE)</f>
        <v>7.6277650648360028E-3</v>
      </c>
      <c r="L11" s="2502" cm="1">
        <f t="array" aca="1" ref="L11" ca="1">INDIRECT("'※ 영업품질 세부데이터'!"&amp;L$1&amp;$W11, TRUE)</f>
        <v>5.6723390056723387E-3</v>
      </c>
      <c r="M11" s="2502" cm="1">
        <f t="array" aca="1" ref="M11" ca="1">INDIRECT("'※ 영업품질 세부데이터'!"&amp;M$1&amp;$W11, TRUE)</f>
        <v>8.7047353760445687E-3</v>
      </c>
      <c r="N11" s="2502" cm="1">
        <f t="array" aca="1" ref="N11" ca="1">INDIRECT("'※ 영업품질 세부데이터'!"&amp;N$1&amp;$W11, TRUE)</f>
        <v>4.3103448275862068E-3</v>
      </c>
      <c r="O11" s="2502" cm="1">
        <f t="array" aca="1" ref="O11" ca="1">INDIRECT("'※ 영업품질 세부데이터'!"&amp;O$1&amp;$W11, TRUE)</f>
        <v>4.9261083743842365E-3</v>
      </c>
      <c r="P11" s="2502" cm="1">
        <f t="array" aca="1" ref="P11" ca="1">INDIRECT("'※ 영업품질 세부데이터'!"&amp;P$1&amp;$W11, TRUE)</f>
        <v>5.2910052910052907E-3</v>
      </c>
      <c r="Q11" s="3361" cm="1">
        <f t="array" aca="1" ref="Q11" ca="1">INDIRECT("'※ 영업품질 세부데이터'!"&amp;Q$1&amp;$W11, TRUE)</f>
        <v>3.648969166210542E-4</v>
      </c>
      <c r="R11" s="3362" cm="1">
        <f t="array" aca="1" ref="R11" ca="1">INDIRECT("'※ 영업품질 세부데이터'!"&amp;R$1&amp;$W11, TRUE)</f>
        <v>-4.7089947089947095E-3</v>
      </c>
      <c r="S11" s="3363" cm="1">
        <f t="array" aca="1" ref="S11" ca="1">INDIRECT("'※ 영업품질 세부데이터'!"&amp;S$1&amp;$W11, TRUE)</f>
        <v>7.9247191316170508E-3</v>
      </c>
      <c r="T11" s="3364" cm="1">
        <f t="array" aca="1" ref="T11" ca="1">INDIRECT("'※ 영업품질 세부데이터'!"&amp;T$1&amp;$W11, TRUE)</f>
        <v>-0.12339548887896165</v>
      </c>
      <c r="U11" s="3365" cm="1">
        <f t="array" aca="1" ref="U11" ca="1">INDIRECT("'※ 영업품질 세부데이터'!"&amp;U$1&amp;$W11, TRUE)</f>
        <v>7.9247191316170508E-3</v>
      </c>
      <c r="V11" s="3366" cm="1">
        <f t="array" aca="1" ref="V11" ca="1">INDIRECT("'※ 영업품질 세부데이터'!"&amp;V$1&amp;$W11, TRUE)</f>
        <v>-3.0186315359311735E-3</v>
      </c>
      <c r="W11" s="3002">
        <f>ROW('※ 영업품질 세부데이터'!A8)</f>
        <v>8</v>
      </c>
      <c r="X11" s="3347"/>
      <c r="Y11" s="3347"/>
      <c r="Z11" s="3347"/>
    </row>
    <row r="12" spans="1:60" ht="15" customHeight="1" x14ac:dyDescent="0.55000000000000004">
      <c r="A12" s="7487"/>
      <c r="B12" s="3358"/>
      <c r="C12" s="2493" t="s">
        <v>144</v>
      </c>
      <c r="D12" s="3359" cm="1">
        <f t="array" aca="1" ref="D12" ca="1">INDIRECT("'※ 영업품질 세부데이터'!"&amp;D$1&amp;$W12, TRUE)</f>
        <v>9.4064304910241002E-3</v>
      </c>
      <c r="E12" s="3360" cm="1">
        <f t="array" aca="1" ref="E12" ca="1">INDIRECT("'※ 영업품질 세부데이터'!"&amp;E$1&amp;$W12, TRUE)</f>
        <v>4.8266783677051337E-3</v>
      </c>
      <c r="F12" s="2502" cm="1">
        <f t="array" aca="1" ref="F12" ca="1">INDIRECT("'※ 영업품질 세부데이터'!"&amp;F$1&amp;$W12, TRUE)</f>
        <v>5.7999033349444172E-3</v>
      </c>
      <c r="G12" s="2502" cm="1">
        <f t="array" aca="1" ref="G12" ca="1">INDIRECT("'※ 영업품질 세부데이터'!"&amp;G$1&amp;$W12, TRUE)</f>
        <v>6.7010309278350512E-3</v>
      </c>
      <c r="H12" s="2502" cm="1">
        <f t="array" aca="1" ref="H12" ca="1">INDIRECT("'※ 영업품질 세부데이터'!"&amp;H$1&amp;$W12, TRUE)</f>
        <v>6.0018467220683287E-3</v>
      </c>
      <c r="I12" s="2502" cm="1">
        <f t="array" aca="1" ref="I12" ca="1">INDIRECT("'※ 영업품질 세부데이터'!"&amp;I$1&amp;$W12, TRUE)</f>
        <v>8.7221979938944608E-3</v>
      </c>
      <c r="J12" s="2502" cm="1">
        <f t="array" aca="1" ref="J12" ca="1">INDIRECT("'※ 영업품질 세부데이터'!"&amp;J$1&amp;$W12, TRUE)</f>
        <v>5.3292729349067374E-3</v>
      </c>
      <c r="K12" s="2502" cm="1">
        <f t="array" aca="1" ref="K12" ca="1">INDIRECT("'※ 영업품질 세부데이터'!"&amp;K$1&amp;$W12, TRUE)</f>
        <v>5.3648068669527897E-3</v>
      </c>
      <c r="L12" s="2502" cm="1">
        <f t="array" aca="1" ref="L12" ca="1">INDIRECT("'※ 영업품질 세부데이터'!"&amp;L$1&amp;$W12, TRUE)</f>
        <v>4.0210330961954841E-3</v>
      </c>
      <c r="M12" s="2502" cm="1">
        <f t="array" aca="1" ref="M12" ca="1">INDIRECT("'※ 영업품질 세부데이터'!"&amp;M$1&amp;$W12, TRUE)</f>
        <v>2.2068095838587644E-3</v>
      </c>
      <c r="N12" s="2502" cm="1">
        <f t="array" aca="1" ref="N12" ca="1">INDIRECT("'※ 영업품질 세부데이터'!"&amp;N$1&amp;$W12, TRUE)</f>
        <v>2.6722090261282658E-3</v>
      </c>
      <c r="O12" s="2502" cm="1">
        <f t="array" aca="1" ref="O12" ca="1">INDIRECT("'※ 영업품질 세부데이터'!"&amp;O$1&amp;$W12, TRUE)</f>
        <v>4.2735042735042739E-3</v>
      </c>
      <c r="P12" s="2502" cm="1">
        <f t="array" aca="1" ref="P12" ca="1">INDIRECT("'※ 영업품질 세부데이터'!"&amp;P$1&amp;$W12, TRUE)</f>
        <v>3.3840947546531302E-3</v>
      </c>
      <c r="Q12" s="3361" cm="1">
        <f t="array" aca="1" ref="Q12" ca="1">INDIRECT("'※ 영업품질 세부데이터'!"&amp;Q$1&amp;$W12, TRUE)</f>
        <v>-8.8940951885114377E-4</v>
      </c>
      <c r="R12" s="3362" cm="1">
        <f t="array" aca="1" ref="R12" ca="1">INDIRECT("'※ 영업품질 세부데이터'!"&amp;R$1&amp;$W12, TRUE)</f>
        <v>-3.61590524534687E-3</v>
      </c>
      <c r="S12" s="3363" cm="1">
        <f t="array" aca="1" ref="S12" ca="1">INDIRECT("'※ 영업품질 세부데이터'!"&amp;S$1&amp;$W12, TRUE)</f>
        <v>4.9419489902205694E-3</v>
      </c>
      <c r="T12" s="3364" cm="1">
        <f t="array" aca="1" ref="T12" ca="1">INDIRECT("'※ 영업품질 세부데이터'!"&amp;T$1&amp;$W12, TRUE)</f>
        <v>-0.10793521690206863</v>
      </c>
      <c r="U12" s="3365" cm="1">
        <f t="array" aca="1" ref="U12" ca="1">INDIRECT("'※ 영업품질 세부데이터'!"&amp;U$1&amp;$W12, TRUE)</f>
        <v>4.9419489902205694E-3</v>
      </c>
      <c r="V12" s="3366" cm="1">
        <f t="array" aca="1" ref="V12" ca="1">INDIRECT("'※ 영업품질 세부데이터'!"&amp;V$1&amp;$W12, TRUE)</f>
        <v>-4.4644815008035308E-3</v>
      </c>
      <c r="W12" s="3002">
        <f>ROW('※ 영업품질 세부데이터'!A9)</f>
        <v>9</v>
      </c>
      <c r="X12" s="3347"/>
      <c r="Y12" s="3347"/>
      <c r="Z12" s="3347"/>
    </row>
    <row r="13" spans="1:60" ht="15" customHeight="1" x14ac:dyDescent="0.55000000000000004">
      <c r="A13" s="7487"/>
      <c r="B13" s="3358"/>
      <c r="C13" s="2493" t="s">
        <v>145</v>
      </c>
      <c r="D13" s="3359" cm="1">
        <f t="array" aca="1" ref="D13" ca="1">INDIRECT("'※ 영업품질 세부데이터'!"&amp;D$1&amp;$W13, TRUE)</f>
        <v>1.2219827869627617E-2</v>
      </c>
      <c r="E13" s="3360" cm="1">
        <f t="array" aca="1" ref="E13" ca="1">INDIRECT("'※ 영업품질 세부데이터'!"&amp;E$1&amp;$W13, TRUE)</f>
        <v>9.154550350026925E-3</v>
      </c>
      <c r="F13" s="2502" cm="1">
        <f t="array" aca="1" ref="F13" ca="1">INDIRECT("'※ 영업품질 세부데이터'!"&amp;F$1&amp;$W13, TRUE)</f>
        <v>1.2956419316843345E-2</v>
      </c>
      <c r="G13" s="2502" cm="1">
        <f t="array" aca="1" ref="G13" ca="1">INDIRECT("'※ 영업품질 세부데이터'!"&amp;G$1&amp;$W13, TRUE)</f>
        <v>1.037117903930131E-2</v>
      </c>
      <c r="H13" s="2502" cm="1">
        <f t="array" aca="1" ref="H13" ca="1">INDIRECT("'※ 영업품질 세부데이터'!"&amp;H$1&amp;$W13, TRUE)</f>
        <v>1.1705685618729096E-2</v>
      </c>
      <c r="I13" s="2502" cm="1">
        <f t="array" aca="1" ref="I13" ca="1">INDIRECT("'※ 영업품질 세부데이터'!"&amp;I$1&amp;$W13, TRUE)</f>
        <v>1.0730710270822688E-2</v>
      </c>
      <c r="J13" s="2502" cm="1">
        <f t="array" aca="1" ref="J13" ca="1">INDIRECT("'※ 영업품질 세부데이터'!"&amp;J$1&amp;$W13, TRUE)</f>
        <v>4.3516100957354219E-3</v>
      </c>
      <c r="K13" s="2502" cm="1">
        <f t="array" aca="1" ref="K13" ca="1">INDIRECT("'※ 영업품질 세부데이터'!"&amp;K$1&amp;$W13, TRUE)</f>
        <v>3.7313432835820895E-3</v>
      </c>
      <c r="L13" s="2502" cm="1">
        <f t="array" aca="1" ref="L13" ca="1">INDIRECT("'※ 영업품질 세부데이터'!"&amp;L$1&amp;$W13, TRUE)</f>
        <v>5.4486015256084274E-3</v>
      </c>
      <c r="M13" s="2502" cm="1">
        <f t="array" aca="1" ref="M13" ca="1">INDIRECT("'※ 영업품질 세부데이터'!"&amp;M$1&amp;$W13, TRUE)</f>
        <v>9.8181818181818179E-3</v>
      </c>
      <c r="N13" s="2502" cm="1">
        <f t="array" aca="1" ref="N13" ca="1">INDIRECT("'※ 영업품질 세부데이터'!"&amp;N$1&amp;$W13, TRUE)</f>
        <v>5.4775761725436491E-3</v>
      </c>
      <c r="O13" s="2502" cm="1">
        <f t="array" aca="1" ref="O13" ca="1">INDIRECT("'※ 영업품질 세부데이터'!"&amp;O$1&amp;$W13, TRUE)</f>
        <v>6.0390763765541741E-3</v>
      </c>
      <c r="P13" s="2502" cm="1">
        <f t="array" aca="1" ref="P13" ca="1">INDIRECT("'※ 영업품질 세부데이터'!"&amp;P$1&amp;$W13, TRUE)</f>
        <v>6.4829821717990272E-3</v>
      </c>
      <c r="Q13" s="3361" cm="1">
        <f t="array" aca="1" ref="Q13" ca="1">INDIRECT("'※ 영업품질 세부데이터'!"&amp;Q$1&amp;$W13, TRUE)</f>
        <v>4.4390579524485312E-4</v>
      </c>
      <c r="R13" s="3362" cm="1">
        <f t="array" aca="1" ref="R13" ca="1">INDIRECT("'※ 영업품질 세부데이터'!"&amp;R$1&amp;$W13, TRUE)</f>
        <v>-2.5170178282009721E-3</v>
      </c>
      <c r="S13" s="3363" cm="1">
        <f t="array" aca="1" ref="S13" ca="1">INDIRECT("'※ 영업품질 세부데이터'!"&amp;S$1&amp;$W13, TRUE)</f>
        <v>8.0223263366439972E-3</v>
      </c>
      <c r="T13" s="3364" cm="1">
        <f t="array" aca="1" ref="T13" ca="1">INDIRECT("'※ 영업품질 세부데이터'!"&amp;T$1&amp;$W13, TRUE)</f>
        <v>-0.13861560809888743</v>
      </c>
      <c r="U13" s="3365" cm="1">
        <f t="array" aca="1" ref="U13" ca="1">INDIRECT("'※ 영업품질 세부데이터'!"&amp;U$1&amp;$W13, TRUE)</f>
        <v>8.0223263366439972E-3</v>
      </c>
      <c r="V13" s="3366" cm="1">
        <f t="array" aca="1" ref="V13" ca="1">INDIRECT("'※ 영업품질 세부데이터'!"&amp;V$1&amp;$W13, TRUE)</f>
        <v>-4.1975015329836201E-3</v>
      </c>
      <c r="W13" s="3002">
        <f>ROW('※ 영업품질 세부데이터'!A10)</f>
        <v>10</v>
      </c>
      <c r="X13" s="3347"/>
      <c r="Y13" s="3347"/>
      <c r="Z13" s="3347"/>
    </row>
    <row r="14" spans="1:60" ht="15" customHeight="1" x14ac:dyDescent="0.55000000000000004">
      <c r="A14" s="7487"/>
      <c r="B14" s="3358"/>
      <c r="C14" s="3033" t="s">
        <v>146</v>
      </c>
      <c r="D14" s="3359" cm="1">
        <f t="array" aca="1" ref="D14" ca="1">INDIRECT("'※ 영업품질 세부데이터'!"&amp;D$1&amp;$W14, TRUE)</f>
        <v>8.6714906740522363E-3</v>
      </c>
      <c r="E14" s="3360" cm="1">
        <f t="array" aca="1" ref="E14" ca="1">INDIRECT("'※ 영업품질 세부데이터'!"&amp;E$1&amp;$W14, TRUE)</f>
        <v>5.3380782918149468E-3</v>
      </c>
      <c r="F14" s="2502" cm="1">
        <f t="array" aca="1" ref="F14" ca="1">INDIRECT("'※ 영업품질 세부데이터'!"&amp;F$1&amp;$W14, TRUE)</f>
        <v>9.1566265060240969E-3</v>
      </c>
      <c r="G14" s="2502" cm="1">
        <f t="array" aca="1" ref="G14" ca="1">INDIRECT("'※ 영업품질 세부데이터'!"&amp;G$1&amp;$W14, TRUE)</f>
        <v>3.5118525021949078E-3</v>
      </c>
      <c r="H14" s="2502" cm="1">
        <f t="array" aca="1" ref="H14" ca="1">INDIRECT("'※ 영업품질 세부데이터'!"&amp;H$1&amp;$W14, TRUE)</f>
        <v>6.7024128686327079E-3</v>
      </c>
      <c r="I14" s="2502" cm="1">
        <f t="array" aca="1" ref="I14" ca="1">INDIRECT("'※ 영업품질 세부데이터'!"&amp;I$1&amp;$W14, TRUE)</f>
        <v>5.9096665259603205E-3</v>
      </c>
      <c r="J14" s="2502" cm="1">
        <f t="array" aca="1" ref="J14" ca="1">INDIRECT("'※ 영업품질 세부데이터'!"&amp;J$1&amp;$W14, TRUE)</f>
        <v>6.2776957163958643E-3</v>
      </c>
      <c r="K14" s="2502" cm="1">
        <f t="array" aca="1" ref="K14" ca="1">INDIRECT("'※ 영업품질 세부데이터'!"&amp;K$1&amp;$W14, TRUE)</f>
        <v>4.9839800640797439E-3</v>
      </c>
      <c r="L14" s="2502" cm="1">
        <f t="array" aca="1" ref="L14" ca="1">INDIRECT("'※ 영업품질 세부데이터'!"&amp;L$1&amp;$W14, TRUE)</f>
        <v>5.7581573896353169E-3</v>
      </c>
      <c r="M14" s="2502" cm="1">
        <f t="array" aca="1" ref="M14" ca="1">INDIRECT("'※ 영업품질 세부데이터'!"&amp;M$1&amp;$W14, TRUE)</f>
        <v>3.0292830696735107E-3</v>
      </c>
      <c r="N14" s="2502" cm="1">
        <f t="array" aca="1" ref="N14" ca="1">INDIRECT("'※ 영업품질 세부데이터'!"&amp;N$1&amp;$W14, TRUE)</f>
        <v>3.8973692757388761E-3</v>
      </c>
      <c r="O14" s="2502" cm="1">
        <f t="array" aca="1" ref="O14" ca="1">INDIRECT("'※ 영업품질 세부데이터'!"&amp;O$1&amp;$W14, TRUE)</f>
        <v>4.4308111792774373E-3</v>
      </c>
      <c r="P14" s="2502" cm="1">
        <f t="array" aca="1" ref="P14" ca="1">INDIRECT("'※ 영업품질 세부데이터'!"&amp;P$1&amp;$W14, TRUE)</f>
        <v>5.1120723554856466E-3</v>
      </c>
      <c r="Q14" s="3361" cm="1">
        <f t="array" aca="1" ref="Q14" ca="1">INDIRECT("'※ 영업품질 세부데이터'!"&amp;Q$1&amp;$W14, TRUE)</f>
        <v>6.8126117620820933E-4</v>
      </c>
      <c r="R14" s="3362" cm="1">
        <f t="array" aca="1" ref="R14" ca="1">INDIRECT("'※ 영업품질 세부데이터'!"&amp;R$1&amp;$W14, TRUE)</f>
        <v>-2.8879276445143535E-3</v>
      </c>
      <c r="S14" s="3363" cm="1">
        <f t="array" aca="1" ref="S14" ca="1">INDIRECT("'※ 영업품질 세부데이터'!"&amp;S$1&amp;$W14, TRUE)</f>
        <v>5.342333812076115E-3</v>
      </c>
      <c r="T14" s="3364" cm="1">
        <f t="array" aca="1" ref="T14" ca="1">INDIRECT("'※ 영업품질 세부데이터'!"&amp;T$1&amp;$W14, TRUE)</f>
        <v>-9.8715554276550724E-2</v>
      </c>
      <c r="U14" s="3365" cm="1">
        <f t="array" aca="1" ref="U14" ca="1">INDIRECT("'※ 영업품질 세부데이터'!"&amp;U$1&amp;$W14, TRUE)</f>
        <v>5.342333812076115E-3</v>
      </c>
      <c r="V14" s="3366" cm="1">
        <f t="array" aca="1" ref="V14" ca="1">INDIRECT("'※ 영업품질 세부데이터'!"&amp;V$1&amp;$W14, TRUE)</f>
        <v>-3.3291568619761213E-3</v>
      </c>
      <c r="W14" s="3002">
        <f>ROW('※ 영업품질 세부데이터'!A11)</f>
        <v>11</v>
      </c>
      <c r="X14" s="3347"/>
      <c r="Y14" s="3347"/>
      <c r="Z14" s="3347"/>
    </row>
    <row r="15" spans="1:60" ht="15" customHeight="1" x14ac:dyDescent="0.55000000000000004">
      <c r="A15" s="7487"/>
      <c r="B15" s="3358"/>
      <c r="C15" s="3033" t="s">
        <v>147</v>
      </c>
      <c r="D15" s="3359" cm="1">
        <f t="array" aca="1" ref="D15" ca="1">INDIRECT("'※ 영업품질 세부데이터'!"&amp;D$1&amp;$W15, TRUE)</f>
        <v>1.130988101100786E-2</v>
      </c>
      <c r="E15" s="3360" cm="1">
        <f t="array" aca="1" ref="E15" ca="1">INDIRECT("'※ 영업품질 세부데이터'!"&amp;E$1&amp;$W15, TRUE)</f>
        <v>7.5734625870948194E-3</v>
      </c>
      <c r="F15" s="2502" cm="1">
        <f t="array" aca="1" ref="F15" ca="1">INDIRECT("'※ 영업품질 세부데이터'!"&amp;F$1&amp;$W15, TRUE)</f>
        <v>6.2295081967213119E-3</v>
      </c>
      <c r="G15" s="2502" cm="1">
        <f t="array" aca="1" ref="G15" ca="1">INDIRECT("'※ 영업품질 세부데이터'!"&amp;G$1&amp;$W15, TRUE)</f>
        <v>8.0693365212193661E-3</v>
      </c>
      <c r="H15" s="2502" cm="1">
        <f t="array" aca="1" ref="H15" ca="1">INDIRECT("'※ 영업품질 세부데이터'!"&amp;H$1&amp;$W15, TRUE)</f>
        <v>8.8875268158136681E-3</v>
      </c>
      <c r="I15" s="2502" cm="1">
        <f t="array" aca="1" ref="I15" ca="1">INDIRECT("'※ 영업품질 세부데이터'!"&amp;I$1&amp;$W15, TRUE)</f>
        <v>8.3061406110946298E-3</v>
      </c>
      <c r="J15" s="2502" cm="1">
        <f t="array" aca="1" ref="J15" ca="1">INDIRECT("'※ 영업품질 세부데이터'!"&amp;J$1&amp;$W15, TRUE)</f>
        <v>4.1786367197701752E-3</v>
      </c>
      <c r="K15" s="2502" cm="1">
        <f t="array" aca="1" ref="K15" ca="1">INDIRECT("'※ 영업품질 세부데이터'!"&amp;K$1&amp;$W15, TRUE)</f>
        <v>7.4497144276136082E-3</v>
      </c>
      <c r="L15" s="2502" cm="1">
        <f t="array" aca="1" ref="L15" ca="1">INDIRECT("'※ 영업품질 세부데이터'!"&amp;L$1&amp;$W15, TRUE)</f>
        <v>5.3440213760855048E-3</v>
      </c>
      <c r="M15" s="2502" cm="1">
        <f t="array" aca="1" ref="M15" ca="1">INDIRECT("'※ 영업품질 세부데이터'!"&amp;M$1&amp;$W15, TRUE)</f>
        <v>5.661712668082095E-3</v>
      </c>
      <c r="N15" s="2502" cm="1">
        <f t="array" aca="1" ref="N15" ca="1">INDIRECT("'※ 영업품질 세부데이터'!"&amp;N$1&amp;$W15, TRUE)</f>
        <v>5.4114994363021422E-3</v>
      </c>
      <c r="O15" s="2502" cm="1">
        <f t="array" aca="1" ref="O15" ca="1">INDIRECT("'※ 영업품질 세부데이터'!"&amp;O$1&amp;$W15, TRUE)</f>
        <v>5.6404230317273797E-3</v>
      </c>
      <c r="P15" s="2502" cm="1">
        <f t="array" aca="1" ref="P15" ca="1">INDIRECT("'※ 영업품질 세부데이터'!"&amp;P$1&amp;$W15, TRUE)</f>
        <v>5.9958289885297181E-3</v>
      </c>
      <c r="Q15" s="3361" cm="1">
        <f t="array" aca="1" ref="Q15" ca="1">INDIRECT("'※ 영업품질 세부데이터'!"&amp;Q$1&amp;$W15, TRUE)</f>
        <v>3.5540595680233836E-4</v>
      </c>
      <c r="R15" s="3362" cm="1">
        <f t="array" aca="1" ref="R15" ca="1">INDIRECT("'※ 영업품질 세부데이터'!"&amp;R$1&amp;$W15, TRUE)</f>
        <v>-3.0041710114702812E-3</v>
      </c>
      <c r="S15" s="3363" cm="1">
        <f t="array" aca="1" ref="S15" ca="1">INDIRECT("'※ 영업품질 세부데이터'!"&amp;S$1&amp;$W15, TRUE)</f>
        <v>6.5623176150045341E-3</v>
      </c>
      <c r="T15" s="3364" cm="1">
        <f t="array" aca="1" ref="T15" ca="1">INDIRECT("'※ 영업품질 세부데이터'!"&amp;T$1&amp;$W15, TRUE)</f>
        <v>-0.12915625451708979</v>
      </c>
      <c r="U15" s="3365" cm="1">
        <f t="array" aca="1" ref="U15" ca="1">INDIRECT("'※ 영업품질 세부데이터'!"&amp;U$1&amp;$W15, TRUE)</f>
        <v>6.5623176150045341E-3</v>
      </c>
      <c r="V15" s="3366" cm="1">
        <f t="array" aca="1" ref="V15" ca="1">INDIRECT("'※ 영업품질 세부데이터'!"&amp;V$1&amp;$W15, TRUE)</f>
        <v>-4.7475633960033263E-3</v>
      </c>
      <c r="W15" s="3002">
        <f>ROW('※ 영업품질 세부데이터'!A12)</f>
        <v>12</v>
      </c>
      <c r="X15" s="3347"/>
      <c r="Y15" s="3347"/>
      <c r="Z15" s="3347"/>
    </row>
    <row r="16" spans="1:60" ht="15" customHeight="1" x14ac:dyDescent="0.55000000000000004">
      <c r="A16" s="7487"/>
      <c r="B16" s="3358"/>
      <c r="C16" s="3033" t="s">
        <v>148</v>
      </c>
      <c r="D16" s="3359" cm="1">
        <f t="array" aca="1" ref="D16" ca="1">INDIRECT("'※ 영업품질 세부데이터'!"&amp;D$1&amp;$W16, TRUE)</f>
        <v>1.1271376710475194E-2</v>
      </c>
      <c r="E16" s="3360" cm="1">
        <f t="array" aca="1" ref="E16" ca="1">INDIRECT("'※ 영업품질 세부데이터'!"&amp;E$1&amp;$W16, TRUE)</f>
        <v>4.6707146193367584E-3</v>
      </c>
      <c r="F16" s="2502" cm="1">
        <f t="array" aca="1" ref="F16" ca="1">INDIRECT("'※ 영업품질 세부데이터'!"&amp;F$1&amp;$W16, TRUE)</f>
        <v>1.1167512690355329E-2</v>
      </c>
      <c r="G16" s="2502" cm="1">
        <f t="array" aca="1" ref="G16" ca="1">INDIRECT("'※ 영업품질 세부데이터'!"&amp;G$1&amp;$W16, TRUE)</f>
        <v>5.171603196991067E-3</v>
      </c>
      <c r="H16" s="2502" cm="1">
        <f t="array" aca="1" ref="H16" ca="1">INDIRECT("'※ 영업품질 세부데이터'!"&amp;H$1&amp;$W16, TRUE)</f>
        <v>8.591885441527447E-3</v>
      </c>
      <c r="I16" s="2502" cm="1">
        <f t="array" aca="1" ref="I16" ca="1">INDIRECT("'※ 영업품질 세부데이터'!"&amp;I$1&amp;$W16, TRUE)</f>
        <v>5.0973123262279887E-3</v>
      </c>
      <c r="J16" s="2502" cm="1">
        <f t="array" aca="1" ref="J16" ca="1">INDIRECT("'※ 영업품질 세부데이터'!"&amp;J$1&amp;$W16, TRUE)</f>
        <v>3.7128712871287127E-3</v>
      </c>
      <c r="K16" s="2502" cm="1">
        <f t="array" aca="1" ref="K16" ca="1">INDIRECT("'※ 영업품질 세부데이터'!"&amp;K$1&amp;$W16, TRUE)</f>
        <v>2.7418723070896985E-3</v>
      </c>
      <c r="L16" s="2502" cm="1">
        <f t="array" aca="1" ref="L16" ca="1">INDIRECT("'※ 영업품질 세부데이터'!"&amp;L$1&amp;$W16, TRUE)</f>
        <v>6.6086956521739133E-3</v>
      </c>
      <c r="M16" s="2502" cm="1">
        <f t="array" aca="1" ref="M16" ca="1">INDIRECT("'※ 영업품질 세부데이터'!"&amp;M$1&amp;$W16, TRUE)</f>
        <v>5.4844606946983544E-3</v>
      </c>
      <c r="N16" s="2502" cm="1">
        <f t="array" aca="1" ref="N16" ca="1">INDIRECT("'※ 영업품질 세부데이터'!"&amp;N$1&amp;$W16, TRUE)</f>
        <v>3.1768443346276033E-3</v>
      </c>
      <c r="O16" s="2502" cm="1">
        <f t="array" aca="1" ref="O16" ca="1">INDIRECT("'※ 영업품질 세부데이터'!"&amp;O$1&amp;$W16, TRUE)</f>
        <v>5.1565377532228358E-3</v>
      </c>
      <c r="P16" s="2502" cm="1">
        <f t="array" aca="1" ref="P16" ca="1">INDIRECT("'※ 영업품질 세부데이터'!"&amp;P$1&amp;$W16, TRUE)</f>
        <v>4.1135335252982311E-3</v>
      </c>
      <c r="Q16" s="3361" cm="1">
        <f t="array" aca="1" ref="Q16" ca="1">INDIRECT("'※ 영업품질 세부데이터'!"&amp;Q$1&amp;$W16, TRUE)</f>
        <v>-1.0430042279246047E-3</v>
      </c>
      <c r="R16" s="3362" cm="1">
        <f t="array" aca="1" ref="R16" ca="1">INDIRECT("'※ 영업품질 세부데이터'!"&amp;R$1&amp;$W16, TRUE)</f>
        <v>-2.8864664747017691E-3</v>
      </c>
      <c r="S16" s="3363" cm="1">
        <f t="array" aca="1" ref="S16" ca="1">INDIRECT("'※ 영업품질 세부데이터'!"&amp;S$1&amp;$W16, TRUE)</f>
        <v>5.4744869857231608E-3</v>
      </c>
      <c r="T16" s="3364" cm="1">
        <f t="array" aca="1" ref="T16" ca="1">INDIRECT("'※ 영업품질 세부데이터'!"&amp;T$1&amp;$W16, TRUE)</f>
        <v>-0.12978203353997916</v>
      </c>
      <c r="U16" s="3365" cm="1">
        <f t="array" aca="1" ref="U16" ca="1">INDIRECT("'※ 영업품질 세부데이터'!"&amp;U$1&amp;$W16, TRUE)</f>
        <v>5.4744869857231608E-3</v>
      </c>
      <c r="V16" s="3366" cm="1">
        <f t="array" aca="1" ref="V16" ca="1">INDIRECT("'※ 영업품질 세부데이터'!"&amp;V$1&amp;$W16, TRUE)</f>
        <v>-5.7968897247520331E-3</v>
      </c>
      <c r="W16" s="3002">
        <f>ROW('※ 영업품질 세부데이터'!A13)</f>
        <v>13</v>
      </c>
      <c r="X16" s="3347"/>
      <c r="Y16" s="3347"/>
      <c r="Z16" s="3347"/>
    </row>
    <row r="17" spans="1:26" ht="15" customHeight="1" x14ac:dyDescent="0.55000000000000004">
      <c r="A17" s="7487"/>
      <c r="B17" s="3358"/>
      <c r="C17" s="3033" t="s">
        <v>149</v>
      </c>
      <c r="D17" s="3359" cm="1">
        <f t="array" aca="1" ref="D17" ca="1">INDIRECT("'※ 영업품질 세부데이터'!"&amp;D$1&amp;$W17, TRUE)</f>
        <v>8.7420346084814103E-3</v>
      </c>
      <c r="E17" s="3360" cm="1">
        <f t="array" aca="1" ref="E17" ca="1">INDIRECT("'※ 영업품질 세부데이터'!"&amp;E$1&amp;$W17, TRUE)</f>
        <v>8.2857142857142851E-3</v>
      </c>
      <c r="F17" s="2502" cm="1">
        <f t="array" aca="1" ref="F17" ca="1">INDIRECT("'※ 영업품질 세부데이터'!"&amp;F$1&amp;$W17, TRUE)</f>
        <v>1.0433648516465601E-2</v>
      </c>
      <c r="G17" s="2502" cm="1">
        <f t="array" aca="1" ref="G17" ca="1">INDIRECT("'※ 영업품질 세부데이터'!"&amp;G$1&amp;$W17, TRUE)</f>
        <v>4.7832585949177881E-3</v>
      </c>
      <c r="H17" s="2502" cm="1">
        <f t="array" aca="1" ref="H17" ca="1">INDIRECT("'※ 영업품질 세부데이터'!"&amp;H$1&amp;$W17, TRUE)</f>
        <v>5.3571428571428572E-3</v>
      </c>
      <c r="I17" s="2502" cm="1">
        <f t="array" aca="1" ref="I17" ca="1">INDIRECT("'※ 영업품질 세부데이터'!"&amp;I$1&amp;$W17, TRUE)</f>
        <v>8.5299971566676139E-3</v>
      </c>
      <c r="J17" s="2502" cm="1">
        <f t="array" aca="1" ref="J17" ca="1">INDIRECT("'※ 영업품질 세부데이터'!"&amp;J$1&amp;$W17, TRUE)</f>
        <v>5.0697084917617234E-3</v>
      </c>
      <c r="K17" s="2502" cm="1">
        <f t="array" aca="1" ref="K17" ca="1">INDIRECT("'※ 영업품질 세부데이터'!"&amp;K$1&amp;$W17, TRUE)</f>
        <v>5.3724053724053724E-3</v>
      </c>
      <c r="L17" s="2502" cm="1">
        <f t="array" aca="1" ref="L17" ca="1">INDIRECT("'※ 영업품질 세부데이터'!"&amp;L$1&amp;$W17, TRUE)</f>
        <v>5.672268907563025E-3</v>
      </c>
      <c r="M17" s="2502" cm="1">
        <f t="array" aca="1" ref="M17" ca="1">INDIRECT("'※ 영업품질 세부데이터'!"&amp;M$1&amp;$W17, TRUE)</f>
        <v>5.5090348171000442E-3</v>
      </c>
      <c r="N17" s="2502" cm="1">
        <f t="array" aca="1" ref="N17" ca="1">INDIRECT("'※ 영업품질 세부데이터'!"&amp;N$1&amp;$W17, TRUE)</f>
        <v>6.2580923608113945E-3</v>
      </c>
      <c r="O17" s="2502" cm="1">
        <f t="array" aca="1" ref="O17" ca="1">INDIRECT("'※ 영업품질 세부데이터'!"&amp;O$1&amp;$W17, TRUE)</f>
        <v>5.1720260850011248E-3</v>
      </c>
      <c r="P17" s="2502" cm="1">
        <f t="array" aca="1" ref="P17" ca="1">INDIRECT("'※ 영업품질 세부데이터'!"&amp;P$1&amp;$W17, TRUE)</f>
        <v>4.287515762925599E-3</v>
      </c>
      <c r="Q17" s="3361" cm="1">
        <f t="array" aca="1" ref="Q17" ca="1">INDIRECT("'※ 영업품질 세부데이터'!"&amp;Q$1&amp;$W17, TRUE)</f>
        <v>-8.8451032207552578E-4</v>
      </c>
      <c r="R17" s="3362" cm="1">
        <f t="array" aca="1" ref="R17" ca="1">INDIRECT("'※ 영업품질 세부데이터'!"&amp;R$1&amp;$W17, TRUE)</f>
        <v>-5.7124842370744012E-3</v>
      </c>
      <c r="S17" s="3363" cm="1">
        <f t="array" aca="1" ref="S17" ca="1">INDIRECT("'※ 영업품질 세부데이터'!"&amp;S$1&amp;$W17, TRUE)</f>
        <v>6.2275677673730365E-3</v>
      </c>
      <c r="T17" s="3364" cm="1">
        <f t="array" aca="1" ref="T17" ca="1">INDIRECT("'※ 영업품질 세부데이터'!"&amp;T$1&amp;$W17, TRUE)</f>
        <v>-9.8676847534403894E-2</v>
      </c>
      <c r="U17" s="3365" cm="1">
        <f t="array" aca="1" ref="U17" ca="1">INDIRECT("'※ 영업품질 세부데이터'!"&amp;U$1&amp;$W17, TRUE)</f>
        <v>6.2275677673730365E-3</v>
      </c>
      <c r="V17" s="3366" cm="1">
        <f t="array" aca="1" ref="V17" ca="1">INDIRECT("'※ 영업품질 세부데이터'!"&amp;V$1&amp;$W17, TRUE)</f>
        <v>-2.5144668411083738E-3</v>
      </c>
      <c r="W17" s="3002">
        <f>ROW('※ 영업품질 세부데이터'!A14)</f>
        <v>14</v>
      </c>
      <c r="X17" s="3347"/>
      <c r="Y17" s="3347"/>
      <c r="Z17" s="3347"/>
    </row>
    <row r="18" spans="1:26" ht="15" customHeight="1" x14ac:dyDescent="0.55000000000000004">
      <c r="A18" s="7487"/>
      <c r="B18" s="3358"/>
      <c r="C18" s="3033" t="s">
        <v>150</v>
      </c>
      <c r="D18" s="3359" cm="1">
        <f t="array" aca="1" ref="D18" ca="1">INDIRECT("'※ 영업품질 세부데이터'!"&amp;D$1&amp;$W18, TRUE)</f>
        <v>9.8725508816897341E-3</v>
      </c>
      <c r="E18" s="3360" cm="1">
        <f t="array" aca="1" ref="E18" ca="1">INDIRECT("'※ 영업품질 세부데이터'!"&amp;E$1&amp;$W18, TRUE)</f>
        <v>8.44475721323012E-3</v>
      </c>
      <c r="F18" s="2502" cm="1">
        <f t="array" aca="1" ref="F18" ca="1">INDIRECT("'※ 영업품질 세부데이터'!"&amp;F$1&amp;$W18, TRUE)</f>
        <v>1.0518114530580444E-2</v>
      </c>
      <c r="G18" s="2502" cm="1">
        <f t="array" aca="1" ref="G18" ca="1">INDIRECT("'※ 영업품질 세부데이터'!"&amp;G$1&amp;$W18, TRUE)</f>
        <v>8.5409252669039152E-3</v>
      </c>
      <c r="H18" s="2502" cm="1">
        <f t="array" aca="1" ref="H18" ca="1">INDIRECT("'※ 영업품질 세부데이터'!"&amp;H$1&amp;$W18, TRUE)</f>
        <v>7.6059398768562117E-3</v>
      </c>
      <c r="I18" s="2502" cm="1">
        <f t="array" aca="1" ref="I18" ca="1">INDIRECT("'※ 영업품질 세부데이터'!"&amp;I$1&amp;$W18, TRUE)</f>
        <v>1.0030090270812437E-2</v>
      </c>
      <c r="J18" s="2502" cm="1">
        <f t="array" aca="1" ref="J18" ca="1">INDIRECT("'※ 영업품질 세부데이터'!"&amp;J$1&amp;$W18, TRUE)</f>
        <v>4.8396854204476713E-3</v>
      </c>
      <c r="K18" s="2502" cm="1">
        <f t="array" aca="1" ref="K18" ca="1">INDIRECT("'※ 영업품질 세부데이터'!"&amp;K$1&amp;$W18, TRUE)</f>
        <v>8.0459770114942528E-3</v>
      </c>
      <c r="L18" s="2502" cm="1">
        <f t="array" aca="1" ref="L18" ca="1">INDIRECT("'※ 영업품질 세부데이터'!"&amp;L$1&amp;$W18, TRUE)</f>
        <v>4.0120361083249749E-3</v>
      </c>
      <c r="M18" s="2502" cm="1">
        <f t="array" aca="1" ref="M18" ca="1">INDIRECT("'※ 영업품질 세부데이터'!"&amp;M$1&amp;$W18, TRUE)</f>
        <v>5.5176037834997376E-3</v>
      </c>
      <c r="N18" s="2502" cm="1">
        <f t="array" aca="1" ref="N18" ca="1">INDIRECT("'※ 영업품질 세부데이터'!"&amp;N$1&amp;$W18, TRUE)</f>
        <v>3.2986551636640447E-3</v>
      </c>
      <c r="O18" s="2502" cm="1">
        <f t="array" aca="1" ref="O18" ca="1">INDIRECT("'※ 영업품질 세부데이터'!"&amp;O$1&amp;$W18, TRUE)</f>
        <v>3.7725680409593102E-3</v>
      </c>
      <c r="P18" s="2502" cm="1">
        <f t="array" aca="1" ref="P18" ca="1">INDIRECT("'※ 영업품질 세부데이터'!"&amp;P$1&amp;$W18, TRUE)</f>
        <v>6.7906702096250373E-3</v>
      </c>
      <c r="Q18" s="3361" cm="1">
        <f t="array" aca="1" ref="Q18" ca="1">INDIRECT("'※ 영업품질 세부데이터'!"&amp;Q$1&amp;$W18, TRUE)</f>
        <v>3.0181021686657272E-3</v>
      </c>
      <c r="R18" s="3362" cm="1">
        <f t="array" aca="1" ref="R18" ca="1">INDIRECT("'※ 영업품질 세부데이터'!"&amp;R$1&amp;$W18, TRUE)</f>
        <v>2.7906702096250372E-3</v>
      </c>
      <c r="S18" s="3363" cm="1">
        <f t="array" aca="1" ref="S18" ca="1">INDIRECT("'※ 영업품질 세부데이터'!"&amp;S$1&amp;$W18, TRUE)</f>
        <v>6.7847519080331794E-3</v>
      </c>
      <c r="T18" s="3364" cm="1">
        <f t="array" aca="1" ref="T18" ca="1">INDIRECT("'※ 영업품질 세부데이터'!"&amp;T$1&amp;$W18, TRUE)</f>
        <v>-0.11168585867224362</v>
      </c>
      <c r="U18" s="3365" cm="1">
        <f t="array" aca="1" ref="U18" ca="1">INDIRECT("'※ 영업품질 세부데이터'!"&amp;U$1&amp;$W18, TRUE)</f>
        <v>6.7847519080331794E-3</v>
      </c>
      <c r="V18" s="3366" cm="1">
        <f t="array" aca="1" ref="V18" ca="1">INDIRECT("'※ 영업품질 세부데이터'!"&amp;V$1&amp;$W18, TRUE)</f>
        <v>-3.0877989736565548E-3</v>
      </c>
      <c r="W18" s="3002">
        <f>ROW('※ 영업품질 세부데이터'!A15)</f>
        <v>15</v>
      </c>
      <c r="X18" s="3347"/>
      <c r="Y18" s="3347"/>
      <c r="Z18" s="3347"/>
    </row>
    <row r="19" spans="1:26" ht="15" customHeight="1" x14ac:dyDescent="0.55000000000000004">
      <c r="A19" s="7487"/>
      <c r="B19" s="3358"/>
      <c r="C19" s="3033" t="s">
        <v>151</v>
      </c>
      <c r="D19" s="3359" cm="1">
        <f t="array" aca="1" ref="D19" ca="1">INDIRECT("'※ 영업품질 세부데이터'!"&amp;D$1&amp;$W19, TRUE)</f>
        <v>1.1733069604132418E-2</v>
      </c>
      <c r="E19" s="3360" cm="1">
        <f t="array" aca="1" ref="E19" ca="1">INDIRECT("'※ 영업품질 세부데이터'!"&amp;E$1&amp;$W19, TRUE)</f>
        <v>6.2292358803986711E-3</v>
      </c>
      <c r="F19" s="2502" cm="1">
        <f t="array" aca="1" ref="F19" ca="1">INDIRECT("'※ 영업품질 세부데이터'!"&amp;F$1&amp;$W19, TRUE)</f>
        <v>4.9751243781094526E-3</v>
      </c>
      <c r="G19" s="2502" cm="1">
        <f t="array" aca="1" ref="G19" ca="1">INDIRECT("'※ 영업품질 세부데이터'!"&amp;G$1&amp;$W19, TRUE)</f>
        <v>5.9571088165210487E-3</v>
      </c>
      <c r="H19" s="2502" cm="1">
        <f t="array" aca="1" ref="H19" ca="1">INDIRECT("'※ 영업품질 세부데이터'!"&amp;H$1&amp;$W19, TRUE)</f>
        <v>7.91765637371338E-3</v>
      </c>
      <c r="I19" s="2502" cm="1">
        <f t="array" aca="1" ref="I19" ca="1">INDIRECT("'※ 영업품질 세부데이터'!"&amp;I$1&amp;$W19, TRUE)</f>
        <v>5.8522311631309439E-3</v>
      </c>
      <c r="J19" s="2502" cm="1">
        <f t="array" aca="1" ref="J19" ca="1">INDIRECT("'※ 영업품질 세부데이터'!"&amp;J$1&amp;$W19, TRUE)</f>
        <v>3.5506778566817302E-3</v>
      </c>
      <c r="K19" s="2502" cm="1">
        <f t="array" aca="1" ref="K19" ca="1">INDIRECT("'※ 영업품질 세부데이터'!"&amp;K$1&amp;$W19, TRUE)</f>
        <v>4.3887147335423199E-3</v>
      </c>
      <c r="L19" s="2502" cm="1">
        <f t="array" aca="1" ref="L19" ca="1">INDIRECT("'※ 영업품질 세부데이터'!"&amp;L$1&amp;$W19, TRUE)</f>
        <v>1.6727069974909396E-3</v>
      </c>
      <c r="M19" s="2502" cm="1">
        <f t="array" aca="1" ref="M19" ca="1">INDIRECT("'※ 영업품질 세부데이터'!"&amp;M$1&amp;$W19, TRUE)</f>
        <v>4.4576523031203564E-3</v>
      </c>
      <c r="N19" s="2502" cm="1">
        <f t="array" aca="1" ref="N19" ca="1">INDIRECT("'※ 영업품질 세부데이터'!"&amp;N$1&amp;$W19, TRUE)</f>
        <v>3.8429865495470767E-3</v>
      </c>
      <c r="O19" s="2502" cm="1">
        <f t="array" aca="1" ref="O19" ca="1">INDIRECT("'※ 영업품질 세부데이터'!"&amp;O$1&amp;$W19, TRUE)</f>
        <v>3.150959610426812E-3</v>
      </c>
      <c r="P19" s="2502" cm="1">
        <f t="array" aca="1" ref="P19" ca="1">INDIRECT("'※ 영업품질 세부데이터'!"&amp;P$1&amp;$W19, TRUE)</f>
        <v>3.1505986137366098E-3</v>
      </c>
      <c r="Q19" s="3361" cm="1">
        <f t="array" aca="1" ref="Q19" ca="1">INDIRECT("'※ 영업품질 세부데이터'!"&amp;Q$1&amp;$W19, TRUE)</f>
        <v>-3.6099669020218939E-7</v>
      </c>
      <c r="R19" s="3362" cm="1">
        <f t="array" aca="1" ref="R19" ca="1">INDIRECT("'※ 영업품질 세부데이터'!"&amp;R$1&amp;$W19, TRUE)</f>
        <v>-4.8494013862633908E-3</v>
      </c>
      <c r="S19" s="3363" cm="1">
        <f t="array" aca="1" ref="S19" ca="1">INDIRECT("'※ 영업품질 세부데이터'!"&amp;S$1&amp;$W19, TRUE)</f>
        <v>4.5954711063682782E-3</v>
      </c>
      <c r="T19" s="3364" cm="1">
        <f t="array" aca="1" ref="T19" ca="1">INDIRECT("'※ 영업품질 세부데이터'!"&amp;T$1&amp;$W19, TRUE)</f>
        <v>-0.13620136414322076</v>
      </c>
      <c r="U19" s="3365" cm="1">
        <f t="array" aca="1" ref="U19" ca="1">INDIRECT("'※ 영업품질 세부데이터'!"&amp;U$1&amp;$W19, TRUE)</f>
        <v>4.5954711063682782E-3</v>
      </c>
      <c r="V19" s="3366" cm="1">
        <f t="array" aca="1" ref="V19" ca="1">INDIRECT("'※ 영업품질 세부데이터'!"&amp;V$1&amp;$W19, TRUE)</f>
        <v>-7.13759849776414E-3</v>
      </c>
      <c r="W19" s="3002">
        <f>ROW('※ 영업품질 세부데이터'!A16)</f>
        <v>16</v>
      </c>
      <c r="X19" s="3347"/>
      <c r="Y19" s="3347"/>
      <c r="Z19" s="3347"/>
    </row>
    <row r="20" spans="1:26" ht="15" customHeight="1" x14ac:dyDescent="0.55000000000000004">
      <c r="A20" s="7487"/>
      <c r="B20" s="3367"/>
      <c r="C20" s="3368" t="s">
        <v>152</v>
      </c>
      <c r="D20" s="3369" cm="1">
        <f t="array" aca="1" ref="D20" ca="1">INDIRECT("'※ 영업품질 세부데이터'!"&amp;D$1&amp;$W20, TRUE)</f>
        <v>1.2516390559493449E-2</v>
      </c>
      <c r="E20" s="3370" cm="1">
        <f t="array" aca="1" ref="E20" ca="1">INDIRECT("'※ 영업품질 세부데이터'!"&amp;E$1&amp;$W20, TRUE)</f>
        <v>7.3076923076923076E-3</v>
      </c>
      <c r="F20" s="3371" cm="1">
        <f t="array" aca="1" ref="F20" ca="1">INDIRECT("'※ 영업품질 세부데이터'!"&amp;F$1&amp;$W20, TRUE)</f>
        <v>1.228293096145701E-2</v>
      </c>
      <c r="G20" s="3371" cm="1">
        <f t="array" aca="1" ref="G20" ca="1">INDIRECT("'※ 영업품질 세부데이터'!"&amp;G$1&amp;$W20, TRUE)</f>
        <v>5.8639562157935888E-3</v>
      </c>
      <c r="H20" s="3371" cm="1">
        <f t="array" aca="1" ref="H20" ca="1">INDIRECT("'※ 영업품질 세부데이터'!"&amp;H$1&amp;$W20, TRUE)</f>
        <v>5.1689860834990059E-3</v>
      </c>
      <c r="I20" s="3371" cm="1">
        <f t="array" aca="1" ref="I20" ca="1">INDIRECT("'※ 영업품질 세부데이터'!"&amp;I$1&amp;$W20, TRUE)</f>
        <v>4.9713193116634798E-3</v>
      </c>
      <c r="J20" s="3371" cm="1">
        <f t="array" aca="1" ref="J20" ca="1">INDIRECT("'※ 영업품질 세부데이터'!"&amp;J$1&amp;$W20, TRUE)</f>
        <v>5.45144804088586E-3</v>
      </c>
      <c r="K20" s="3371" cm="1">
        <f t="array" aca="1" ref="K20" ca="1">INDIRECT("'※ 영업품질 세부데이터'!"&amp;K$1&amp;$W20, TRUE)</f>
        <v>5.7379662097545425E-3</v>
      </c>
      <c r="L20" s="3371" cm="1">
        <f t="array" aca="1" ref="L20" ca="1">INDIRECT("'※ 영업품질 세부데이터'!"&amp;L$1&amp;$W20, TRUE)</f>
        <v>4.4817927170868344E-3</v>
      </c>
      <c r="M20" s="3371" cm="1">
        <f t="array" aca="1" ref="M20" ca="1">INDIRECT("'※ 영업품질 세부데이터'!"&amp;M$1&amp;$W20, TRUE)</f>
        <v>4.596380350474002E-3</v>
      </c>
      <c r="N20" s="3371" cm="1">
        <f t="array" aca="1" ref="N20" ca="1">INDIRECT("'※ 영업품질 세부데이터'!"&amp;N$1&amp;$W20, TRUE)</f>
        <v>4.4198895027624313E-3</v>
      </c>
      <c r="O20" s="3371" cm="1">
        <f t="array" aca="1" ref="O20" ca="1">INDIRECT("'※ 영업품질 세부데이터'!"&amp;O$1&amp;$W20, TRUE)</f>
        <v>3.9128004471771938E-3</v>
      </c>
      <c r="P20" s="3371" cm="1">
        <f t="array" aca="1" ref="P20" ca="1">INDIRECT("'※ 영업품질 세부데이터'!"&amp;P$1&amp;$W20, TRUE)</f>
        <v>5.8407623731939751E-3</v>
      </c>
      <c r="Q20" s="3372" cm="1">
        <f t="array" aca="1" ref="Q20" ca="1">INDIRECT("'※ 영업품질 세부데이터'!"&amp;Q$1&amp;$W20, TRUE)</f>
        <v>1.9279619260167812E-3</v>
      </c>
      <c r="R20" s="3373" cm="1">
        <f t="array" aca="1" ref="R20" ca="1">INDIRECT("'※ 영업품질 세부데이터'!"&amp;R$1&amp;$W20, TRUE)</f>
        <v>-1.1592376268060251E-3</v>
      </c>
      <c r="S20" s="3374" cm="1">
        <f t="array" aca="1" ref="S20" ca="1">INDIRECT("'※ 영업품질 세부데이터'!"&amp;S$1&amp;$W20, TRUE)</f>
        <v>5.8363270434533534E-3</v>
      </c>
      <c r="T20" s="3375" cm="1">
        <f t="array" aca="1" ref="T20" ca="1">INDIRECT("'※ 영업품질 세부데이터'!"&amp;T$1&amp;$W20, TRUE)</f>
        <v>-0.14436035967046804</v>
      </c>
      <c r="U20" s="3376" cm="1">
        <f t="array" aca="1" ref="U20" ca="1">INDIRECT("'※ 영업품질 세부데이터'!"&amp;U$1&amp;$W20, TRUE)</f>
        <v>5.8363270434533534E-3</v>
      </c>
      <c r="V20" s="3377" cm="1">
        <f t="array" aca="1" ref="V20" ca="1">INDIRECT("'※ 영업품질 세부데이터'!"&amp;V$1&amp;$W20, TRUE)</f>
        <v>-6.6800635160400952E-3</v>
      </c>
      <c r="W20" s="3002">
        <f>ROW('※ 영업품질 세부데이터'!A17)</f>
        <v>17</v>
      </c>
      <c r="X20" s="3347"/>
      <c r="Y20" s="3347"/>
      <c r="Z20" s="3347"/>
    </row>
    <row r="21" spans="1:26" ht="16" customHeight="1" x14ac:dyDescent="0.55000000000000004">
      <c r="A21" s="7487"/>
      <c r="B21" s="3378" t="s">
        <v>132</v>
      </c>
      <c r="C21" s="2857"/>
      <c r="D21" s="3379" cm="1">
        <f t="array" aca="1" ref="D21" ca="1">INDIRECT("'※ 영업품질 세부데이터'!"&amp;D$1&amp;$W21, TRUE)</f>
        <v>8.2670780543371066E-3</v>
      </c>
      <c r="E21" s="3380" cm="1">
        <f t="array" aca="1" ref="E21" ca="1">INDIRECT("'※ 영업품질 세부데이터'!"&amp;E$1&amp;$W21, TRUE)</f>
        <v>7.2880273488861343E-3</v>
      </c>
      <c r="F21" s="3381" cm="1">
        <f t="array" aca="1" ref="F21" ca="1">INDIRECT("'※ 영업품질 세부데이터'!"&amp;F$1&amp;$W21, TRUE)</f>
        <v>8.1928838951310853E-3</v>
      </c>
      <c r="G21" s="3381" cm="1">
        <f t="array" aca="1" ref="G21" ca="1">INDIRECT("'※ 영업품질 세부데이터'!"&amp;G$1&amp;$W21, TRUE)</f>
        <v>6.5489330389992646E-3</v>
      </c>
      <c r="H21" s="3381" cm="1">
        <f t="array" aca="1" ref="H21" ca="1">INDIRECT("'※ 영업품질 세부데이터'!"&amp;H$1&amp;$W21, TRUE)</f>
        <v>6.0878280559783218E-3</v>
      </c>
      <c r="I21" s="3381" cm="1">
        <f t="array" aca="1" ref="I21" ca="1">INDIRECT("'※ 영업품질 세부데이터'!"&amp;I$1&amp;$W21, TRUE)</f>
        <v>5.4813416581966021E-3</v>
      </c>
      <c r="J21" s="3381" cm="1">
        <f t="array" aca="1" ref="J21" ca="1">INDIRECT("'※ 영업품질 세부데이터'!"&amp;J$1&amp;$W21, TRUE)</f>
        <v>5.9433444232694851E-3</v>
      </c>
      <c r="K21" s="3381" cm="1">
        <f t="array" aca="1" ref="K21" ca="1">INDIRECT("'※ 영업품질 세부데이터'!"&amp;K$1&amp;$W21, TRUE)</f>
        <v>6.8857684096581169E-3</v>
      </c>
      <c r="L21" s="3381" cm="1">
        <f t="array" aca="1" ref="L21" ca="1">INDIRECT("'※ 영업품질 세부데이터'!"&amp;L$1&amp;$W21, TRUE)</f>
        <v>5.1696639718418307E-3</v>
      </c>
      <c r="M21" s="3381" cm="1">
        <f t="array" aca="1" ref="M21" ca="1">INDIRECT("'※ 영업품질 세부데이터'!"&amp;M$1&amp;$W21, TRUE)</f>
        <v>4.8913345561669725E-3</v>
      </c>
      <c r="N21" s="3381" cm="1">
        <f t="array" aca="1" ref="N21" ca="1">INDIRECT("'※ 영업품질 세부데이터'!"&amp;N$1&amp;$W21, TRUE)</f>
        <v>4.1318987953100263E-3</v>
      </c>
      <c r="O21" s="3381" cm="1">
        <f t="array" aca="1" ref="O21" ca="1">INDIRECT("'※ 영업품질 세부데이터'!"&amp;O$1&amp;$W21, TRUE)</f>
        <v>3.2514258301796278E-3</v>
      </c>
      <c r="P21" s="3381" cm="1">
        <f t="array" aca="1" ref="P21" ca="1">INDIRECT("'※ 영업품질 세부데이터'!"&amp;P$1&amp;$W21, TRUE)</f>
        <v>4.6346226717579502E-3</v>
      </c>
      <c r="Q21" s="3382" cm="1">
        <f t="array" aca="1" ref="Q21" ca="1">INDIRECT("'※ 영업품질 세부데이터'!"&amp;Q$1&amp;$W21, TRUE)</f>
        <v>1.3831968415783224E-3</v>
      </c>
      <c r="R21" s="3383" cm="1">
        <f t="array" aca="1" ref="R21" ca="1">INDIRECT("'※ 영업품질 세부데이터'!"&amp;R$1&amp;$W21, TRUE)</f>
        <v>-2.36537732824205E-3</v>
      </c>
      <c r="S21" s="3384" cm="1">
        <f t="array" aca="1" ref="S21" ca="1">INDIRECT("'※ 영업품질 세부데이터'!"&amp;S$1&amp;$W21, TRUE)</f>
        <v>5.7089227212812855E-3</v>
      </c>
      <c r="T21" s="3385" cm="1">
        <f t="array" aca="1" ref="T21" ca="1">INDIRECT("'※ 영업품질 세부데이터'!"&amp;T$1&amp;$W21, TRUE)</f>
        <v>-9.3496013930763983E-2</v>
      </c>
      <c r="U21" s="3386" cm="1">
        <f t="array" aca="1" ref="U21" ca="1">INDIRECT("'※ 영업품질 세부데이터'!"&amp;U$1&amp;$W21, TRUE)</f>
        <v>5.7089227212812855E-3</v>
      </c>
      <c r="V21" s="3387" cm="1">
        <f t="array" aca="1" ref="V21" ca="1">INDIRECT("'※ 영업품질 세부데이터'!"&amp;V$1&amp;$W21, TRUE)</f>
        <v>-2.5581553330558211E-3</v>
      </c>
      <c r="W21" s="3002">
        <f>ROW('※ 영업품질 세부데이터'!A18)</f>
        <v>18</v>
      </c>
      <c r="X21" s="3347"/>
      <c r="Y21" s="3347"/>
      <c r="Z21" s="3347"/>
    </row>
    <row r="22" spans="1:26" ht="15" customHeight="1" x14ac:dyDescent="0.55000000000000004">
      <c r="A22" s="7487"/>
      <c r="B22" s="2493"/>
      <c r="C22" s="3033" t="s">
        <v>143</v>
      </c>
      <c r="D22" s="3359" cm="1">
        <f t="array" aca="1" ref="D22" ca="1">INDIRECT("'※ 영업품질 세부데이터'!"&amp;D$1&amp;$W22, TRUE)</f>
        <v>1.168505380685257E-2</v>
      </c>
      <c r="E22" s="3360" cm="1">
        <f t="array" aca="1" ref="E22" ca="1">INDIRECT("'※ 영업품질 세부데이터'!"&amp;E$1&amp;$W22, TRUE)</f>
        <v>7.4806305102858668E-3</v>
      </c>
      <c r="F22" s="2502" cm="1">
        <f t="array" aca="1" ref="F22" ca="1">INDIRECT("'※ 영업품질 세부데이터'!"&amp;F$1&amp;$W22, TRUE)</f>
        <v>1.117798796216681E-2</v>
      </c>
      <c r="G22" s="2502" cm="1">
        <f t="array" aca="1" ref="G22" ca="1">INDIRECT("'※ 영업품질 세부데이터'!"&amp;G$1&amp;$W22, TRUE)</f>
        <v>7.5715086932136846E-3</v>
      </c>
      <c r="H22" s="2502" cm="1">
        <f t="array" aca="1" ref="H22" ca="1">INDIRECT("'※ 영업품질 세부데이터'!"&amp;H$1&amp;$W22, TRUE)</f>
        <v>9.8607888631090483E-3</v>
      </c>
      <c r="I22" s="2502" cm="1">
        <f t="array" aca="1" ref="I22" ca="1">INDIRECT("'※ 영업품질 세부데이터'!"&amp;I$1&amp;$W22, TRUE)</f>
        <v>5.2023121387283237E-3</v>
      </c>
      <c r="J22" s="2502" cm="1">
        <f t="array" aca="1" ref="J22" ca="1">INDIRECT("'※ 영업품질 세부데이터'!"&amp;J$1&amp;$W22, TRUE)</f>
        <v>6.8113017154389508E-3</v>
      </c>
      <c r="K22" s="2502" cm="1">
        <f t="array" aca="1" ref="K22" ca="1">INDIRECT("'※ 영업품질 세부데이터'!"&amp;K$1&amp;$W22, TRUE)</f>
        <v>8.0013335555925991E-3</v>
      </c>
      <c r="L22" s="2502" cm="1">
        <f t="array" aca="1" ref="L22" ca="1">INDIRECT("'※ 영업품질 세부데이터'!"&amp;L$1&amp;$W22, TRUE)</f>
        <v>7.3092736409319323E-3</v>
      </c>
      <c r="M22" s="2502" cm="1">
        <f t="array" aca="1" ref="M22" ca="1">INDIRECT("'※ 영업품질 세부데이터'!"&amp;M$1&amp;$W22, TRUE)</f>
        <v>6.8195908245505272E-3</v>
      </c>
      <c r="N22" s="2502" cm="1">
        <f t="array" aca="1" ref="N22" ca="1">INDIRECT("'※ 영업품질 세부데이터'!"&amp;N$1&amp;$W22, TRUE)</f>
        <v>5.0974512743628183E-3</v>
      </c>
      <c r="O22" s="2502" cm="1">
        <f t="array" aca="1" ref="O22" ca="1">INDIRECT("'※ 영업품질 세부데이터'!"&amp;O$1&amp;$W22, TRUE)</f>
        <v>4.2245021122510563E-3</v>
      </c>
      <c r="P22" s="2502" cm="1">
        <f t="array" aca="1" ref="P22" ca="1">INDIRECT("'※ 영업품질 세부데이터'!"&amp;P$1&amp;$W22, TRUE)</f>
        <v>5.5856465809072447E-3</v>
      </c>
      <c r="Q22" s="3361" cm="1">
        <f t="array" aca="1" ref="Q22" ca="1">INDIRECT("'※ 영업품질 세부데이터'!"&amp;Q$1&amp;$W22, TRUE)</f>
        <v>1.3611444686561884E-3</v>
      </c>
      <c r="R22" s="3362" cm="1">
        <f t="array" aca="1" ref="R22" ca="1">INDIRECT("'※ 영업품질 세부데이터'!"&amp;R$1&amp;$W22, TRUE)</f>
        <v>-4.4143534190927555E-3</v>
      </c>
      <c r="S22" s="3363" cm="1">
        <f t="array" aca="1" ref="S22" ca="1">INDIRECT("'※ 영업품질 세부데이터'!"&amp;S$1&amp;$W22, TRUE)</f>
        <v>7.0951939892949052E-3</v>
      </c>
      <c r="T22" s="3364" cm="1">
        <f t="array" aca="1" ref="T22" ca="1">INDIRECT("'※ 영업품질 세부데이터'!"&amp;T$1&amp;$W22, TRUE)</f>
        <v>-0.13312545169293594</v>
      </c>
      <c r="U22" s="3365" cm="1">
        <f t="array" aca="1" ref="U22" ca="1">INDIRECT("'※ 영업품질 세부데이터'!"&amp;U$1&amp;$W22, TRUE)</f>
        <v>7.0951939892949052E-3</v>
      </c>
      <c r="V22" s="3366" cm="1">
        <f t="array" aca="1" ref="V22" ca="1">INDIRECT("'※ 영업품질 세부데이터'!"&amp;V$1&amp;$W22, TRUE)</f>
        <v>-4.5898598175576647E-3</v>
      </c>
      <c r="W22" s="3002">
        <f>ROW('※ 영업품질 세부데이터'!A19)</f>
        <v>19</v>
      </c>
      <c r="X22" s="3347"/>
      <c r="Y22" s="3347"/>
      <c r="Z22" s="3347"/>
    </row>
    <row r="23" spans="1:26" ht="15" customHeight="1" x14ac:dyDescent="0.55000000000000004">
      <c r="A23" s="7487"/>
      <c r="B23" s="2493"/>
      <c r="C23" s="3033" t="s">
        <v>153</v>
      </c>
      <c r="D23" s="3359" cm="1">
        <f t="array" aca="1" ref="D23" ca="1">INDIRECT("'※ 영업품질 세부데이터'!"&amp;D$1&amp;$W23, TRUE)</f>
        <v>6.9738872973973817E-3</v>
      </c>
      <c r="E23" s="3360" cm="1">
        <f t="array" aca="1" ref="E23" ca="1">INDIRECT("'※ 영업품질 세부데이터'!"&amp;E$1&amp;$W23, TRUE)</f>
        <v>8.9228808158062466E-3</v>
      </c>
      <c r="F23" s="2502" cm="1">
        <f t="array" aca="1" ref="F23" ca="1">INDIRECT("'※ 영업품질 세부데이터'!"&amp;F$1&amp;$W23, TRUE)</f>
        <v>1.2613875262789068E-2</v>
      </c>
      <c r="G23" s="2502" cm="1">
        <f t="array" aca="1" ref="G23" ca="1">INDIRECT("'※ 영업품질 세부데이터'!"&amp;G$1&amp;$W23, TRUE)</f>
        <v>6.8259385665529011E-3</v>
      </c>
      <c r="H23" s="2502" cm="1">
        <f t="array" aca="1" ref="H23" ca="1">INDIRECT("'※ 영업품질 세부데이터'!"&amp;H$1&amp;$W23, TRUE)</f>
        <v>7.6601671309192198E-3</v>
      </c>
      <c r="I23" s="2502" cm="1">
        <f t="array" aca="1" ref="I23" ca="1">INDIRECT("'※ 영업품질 세부데이터'!"&amp;I$1&amp;$W23, TRUE)</f>
        <v>5.5363321799307957E-3</v>
      </c>
      <c r="J23" s="2502" cm="1">
        <f t="array" aca="1" ref="J23" ca="1">INDIRECT("'※ 영업품질 세부데이터'!"&amp;J$1&amp;$W23, TRUE)</f>
        <v>5.4413542926239422E-3</v>
      </c>
      <c r="K23" s="3388"/>
      <c r="L23" s="3388"/>
      <c r="M23" s="3388"/>
      <c r="N23" s="3388"/>
      <c r="O23" s="3388"/>
      <c r="P23" s="3388"/>
      <c r="Q23" s="3389"/>
      <c r="R23" s="3390"/>
      <c r="S23" s="3391"/>
      <c r="T23" s="3392"/>
      <c r="U23" s="3393"/>
      <c r="V23" s="3394"/>
      <c r="W23" s="3002">
        <f>ROW('※ 영업품질 세부데이터'!A20)</f>
        <v>20</v>
      </c>
      <c r="X23" s="3347"/>
      <c r="Y23" s="3347"/>
      <c r="Z23" s="3347"/>
    </row>
    <row r="24" spans="1:26" ht="15" customHeight="1" x14ac:dyDescent="0.55000000000000004">
      <c r="A24" s="7487"/>
      <c r="B24" s="2493"/>
      <c r="C24" s="3033" t="s">
        <v>145</v>
      </c>
      <c r="D24" s="3359" cm="1">
        <f t="array" aca="1" ref="D24" ca="1">INDIRECT("'※ 영업품질 세부데이터'!"&amp;D$1&amp;$W24, TRUE)</f>
        <v>1.0099783470724629E-2</v>
      </c>
      <c r="E24" s="3360" cm="1">
        <f t="array" aca="1" ref="E24" ca="1">INDIRECT("'※ 영업품질 세부데이터'!"&amp;E$1&amp;$W24, TRUE)</f>
        <v>6.2176165803108805E-3</v>
      </c>
      <c r="F24" s="2502" cm="1">
        <f t="array" aca="1" ref="F24" ca="1">INDIRECT("'※ 영업품질 세부데이터'!"&amp;F$1&amp;$W24, TRUE)</f>
        <v>1.1332227750138198E-2</v>
      </c>
      <c r="G24" s="2502" cm="1">
        <f t="array" aca="1" ref="G24" ca="1">INDIRECT("'※ 영업품질 세부데이터'!"&amp;G$1&amp;$W24, TRUE)</f>
        <v>8.1146875845279961E-3</v>
      </c>
      <c r="H24" s="2502" cm="1">
        <f t="array" aca="1" ref="H24" ca="1">INDIRECT("'※ 영업품질 세부데이터'!"&amp;H$1&amp;$W24, TRUE)</f>
        <v>4.8364153627311526E-3</v>
      </c>
      <c r="I24" s="2502" cm="1">
        <f t="array" aca="1" ref="I24" ca="1">INDIRECT("'※ 영업품질 세부데이터'!"&amp;I$1&amp;$W24, TRUE)</f>
        <v>7.2971395213076475E-3</v>
      </c>
      <c r="J24" s="2502" cm="1">
        <f t="array" aca="1" ref="J24" ca="1">INDIRECT("'※ 영업품질 세부데이터'!"&amp;J$1&amp;$W24, TRUE)</f>
        <v>6.809848088004191E-3</v>
      </c>
      <c r="K24" s="2502" cm="1">
        <f t="array" aca="1" ref="K24" ca="1">INDIRECT("'※ 영업품질 세부데이터'!"&amp;K$1&amp;$W24, TRUE)</f>
        <v>8.5470085470085479E-3</v>
      </c>
      <c r="L24" s="2502" cm="1">
        <f t="array" aca="1" ref="L24" ca="1">INDIRECT("'※ 영업품질 세부데이터'!"&amp;L$1&amp;$W24, TRUE)</f>
        <v>4.9031053000233478E-3</v>
      </c>
      <c r="M24" s="2502" cm="1">
        <f t="array" aca="1" ref="M24" ca="1">INDIRECT("'※ 영업품질 세부데이터'!"&amp;M$1&amp;$W24, TRUE)</f>
        <v>6.6256507335541882E-3</v>
      </c>
      <c r="N24" s="2502" cm="1">
        <f t="array" aca="1" ref="N24" ca="1">INDIRECT("'※ 영업품질 세부데이터'!"&amp;N$1&amp;$W24, TRUE)</f>
        <v>6.762849413886384E-3</v>
      </c>
      <c r="O24" s="2502" cm="1">
        <f t="array" aca="1" ref="O24" ca="1">INDIRECT("'※ 영업품질 세부데이터'!"&amp;O$1&amp;$W24, TRUE)</f>
        <v>5.426524853483829E-3</v>
      </c>
      <c r="P24" s="2502" cm="1">
        <f t="array" aca="1" ref="P24" ca="1">INDIRECT("'※ 영업품질 세부데이터'!"&amp;P$1&amp;$W24, TRUE)</f>
        <v>5.8018101647714084E-3</v>
      </c>
      <c r="Q24" s="3361" cm="1">
        <f t="array" aca="1" ref="Q24" ca="1">INDIRECT("'※ 영업품질 세부데이터'!"&amp;Q$1&amp;$W24, TRUE)</f>
        <v>3.7528531128757942E-4</v>
      </c>
      <c r="R24" s="3362" cm="1">
        <f t="array" aca="1" ref="R24" ca="1">INDIRECT("'※ 영업품질 세부데이터'!"&amp;R$1&amp;$W24, TRUE)</f>
        <v>-2.1981898352285917E-3</v>
      </c>
      <c r="S24" s="3363" cm="1">
        <f t="array" aca="1" ref="S24" ca="1">INDIRECT("'※ 영업품질 세부데이터'!"&amp;S$1&amp;$W24, TRUE)</f>
        <v>6.8895736583123139E-3</v>
      </c>
      <c r="T24" s="3364" cm="1">
        <f t="array" aca="1" ref="T24" ca="1">INDIRECT("'※ 영업품질 세부데이터'!"&amp;T$1&amp;$W24, TRUE)</f>
        <v>-0.11430782799038323</v>
      </c>
      <c r="U24" s="3365" cm="1">
        <f t="array" aca="1" ref="U24" ca="1">INDIRECT("'※ 영업품질 세부데이터'!"&amp;U$1&amp;$W24, TRUE)</f>
        <v>6.8895736583123139E-3</v>
      </c>
      <c r="V24" s="3366" cm="1">
        <f t="array" aca="1" ref="V24" ca="1">INDIRECT("'※ 영업품질 세부데이터'!"&amp;V$1&amp;$W24, TRUE)</f>
        <v>-3.2102098124123148E-3</v>
      </c>
      <c r="W24" s="3002">
        <f>ROW('※ 영업품질 세부데이터'!A21)</f>
        <v>21</v>
      </c>
      <c r="X24" s="3347"/>
      <c r="Y24" s="3347"/>
      <c r="Z24" s="3347"/>
    </row>
    <row r="25" spans="1:26" ht="15" customHeight="1" x14ac:dyDescent="0.55000000000000004">
      <c r="A25" s="7487"/>
      <c r="B25" s="2493"/>
      <c r="C25" s="3033" t="s">
        <v>154</v>
      </c>
      <c r="D25" s="3359" cm="1">
        <f t="array" aca="1" ref="D25" ca="1">INDIRECT("'※ 영업품질 세부데이터'!"&amp;D$1&amp;$W25, TRUE)</f>
        <v>1.226788021954568E-2</v>
      </c>
      <c r="E25" s="3360" cm="1">
        <f t="array" aca="1" ref="E25" ca="1">INDIRECT("'※ 영업품질 세부데이터'!"&amp;E$1&amp;$W25, TRUE)</f>
        <v>5.5432372505543242E-3</v>
      </c>
      <c r="F25" s="2502" cm="1">
        <f t="array" aca="1" ref="F25" ca="1">INDIRECT("'※ 영업품질 세부데이터'!"&amp;F$1&amp;$W25, TRUE)</f>
        <v>1.016260162601626E-2</v>
      </c>
      <c r="G25" s="2502" cm="1">
        <f t="array" aca="1" ref="G25" ca="1">INDIRECT("'※ 영업품질 세부데이터'!"&amp;G$1&amp;$W25, TRUE)</f>
        <v>5.8906030855539974E-3</v>
      </c>
      <c r="H25" s="2502" cm="1">
        <f t="array" aca="1" ref="H25" ca="1">INDIRECT("'※ 영업품질 세부데이터'!"&amp;H$1&amp;$W25, TRUE)</f>
        <v>6.4084703259960994E-3</v>
      </c>
      <c r="I25" s="2502" cm="1">
        <f t="array" aca="1" ref="I25" ca="1">INDIRECT("'※ 영업품질 세부데이터'!"&amp;I$1&amp;$W25, TRUE)</f>
        <v>7.3591848287574303E-3</v>
      </c>
      <c r="J25" s="2502" cm="1">
        <f t="array" aca="1" ref="J25" ca="1">INDIRECT("'※ 영업품질 세부데이터'!"&amp;J$1&amp;$W25, TRUE)</f>
        <v>6.422924901185771E-3</v>
      </c>
      <c r="K25" s="2502" cm="1">
        <f t="array" aca="1" ref="K25" ca="1">INDIRECT("'※ 영업품질 세부데이터'!"&amp;K$1&amp;$W25, TRUE)</f>
        <v>7.86308973172988E-3</v>
      </c>
      <c r="L25" s="2502" cm="1">
        <f t="array" aca="1" ref="L25" ca="1">INDIRECT("'※ 영업품질 세부데이터'!"&amp;L$1&amp;$W25, TRUE)</f>
        <v>5.9334604789150246E-3</v>
      </c>
      <c r="M25" s="2502" cm="1">
        <f t="array" aca="1" ref="M25" ca="1">INDIRECT("'※ 영업품질 세부데이터'!"&amp;M$1&amp;$W25, TRUE)</f>
        <v>4.2946102641185317E-3</v>
      </c>
      <c r="N25" s="2502" cm="1">
        <f t="array" aca="1" ref="N25" ca="1">INDIRECT("'※ 영업품질 세부데이터'!"&amp;N$1&amp;$W25, TRUE)</f>
        <v>4.4006705783738477E-3</v>
      </c>
      <c r="O25" s="2502" cm="1">
        <f t="array" aca="1" ref="O25" ca="1">INDIRECT("'※ 영업품질 세부데이터'!"&amp;O$1&amp;$W25, TRUE)</f>
        <v>3.5008237232289951E-3</v>
      </c>
      <c r="P25" s="2502" cm="1">
        <f t="array" aca="1" ref="P25" ca="1">INDIRECT("'※ 영업품질 세부데이터'!"&amp;P$1&amp;$W25, TRUE)</f>
        <v>5.2130553037171351E-3</v>
      </c>
      <c r="Q25" s="3361" cm="1">
        <f t="array" aca="1" ref="Q25" ca="1">INDIRECT("'※ 영업품질 세부데이터'!"&amp;Q$1&amp;$W25, TRUE)</f>
        <v>1.71223158048814E-3</v>
      </c>
      <c r="R25" s="3362" cm="1">
        <f t="array" aca="1" ref="R25" ca="1">INDIRECT("'※ 영업품질 세부데이터'!"&amp;R$1&amp;$W25, TRUE)</f>
        <v>-1.7869446962828651E-3</v>
      </c>
      <c r="S25" s="3363" cm="1">
        <f t="array" aca="1" ref="S25" ca="1">INDIRECT("'※ 영업품질 세부데이터'!"&amp;S$1&amp;$W25, TRUE)</f>
        <v>6.0827276748456069E-3</v>
      </c>
      <c r="T25" s="3364" cm="1">
        <f t="array" aca="1" ref="T25" ca="1">INDIRECT("'※ 영업품질 세부데이터'!"&amp;T$1&amp;$W25, TRUE)</f>
        <v>-0.14113183495970255</v>
      </c>
      <c r="U25" s="3365" cm="1">
        <f t="array" aca="1" ref="U25" ca="1">INDIRECT("'※ 영업품질 세부데이터'!"&amp;U$1&amp;$W25, TRUE)</f>
        <v>6.0827276748456069E-3</v>
      </c>
      <c r="V25" s="3366" cm="1">
        <f t="array" aca="1" ref="V25" ca="1">INDIRECT("'※ 영업품질 세부데이터'!"&amp;V$1&amp;$W25, TRUE)</f>
        <v>-6.1851525447000734E-3</v>
      </c>
      <c r="W25" s="3002">
        <f>ROW('※ 영업품질 세부데이터'!A22)</f>
        <v>22</v>
      </c>
      <c r="X25" s="3347"/>
      <c r="Y25" s="3347"/>
      <c r="Z25" s="3347"/>
    </row>
    <row r="26" spans="1:26" ht="15" customHeight="1" x14ac:dyDescent="0.55000000000000004">
      <c r="A26" s="7487"/>
      <c r="B26" s="2493"/>
      <c r="C26" s="3033" t="s">
        <v>149</v>
      </c>
      <c r="D26" s="3359" cm="1">
        <f t="array" aca="1" ref="D26" ca="1">INDIRECT("'※ 영업품질 세부데이터'!"&amp;D$1&amp;$W26, TRUE)</f>
        <v>1.0156623169203445E-2</v>
      </c>
      <c r="E26" s="3360" cm="1">
        <f t="array" aca="1" ref="E26" ca="1">INDIRECT("'※ 영업품질 세부데이터'!"&amp;E$1&amp;$W26, TRUE)</f>
        <v>9.2246870195475516E-3</v>
      </c>
      <c r="F26" s="2502" cm="1">
        <f t="array" aca="1" ref="F26" ca="1">INDIRECT("'※ 영업품질 세부데이터'!"&amp;F$1&amp;$W26, TRUE)</f>
        <v>6.3222149553084804E-3</v>
      </c>
      <c r="G26" s="2502" cm="1">
        <f t="array" aca="1" ref="G26" ca="1">INDIRECT("'※ 영업품질 세부데이터'!"&amp;G$1&amp;$W26, TRUE)</f>
        <v>5.6996855345911946E-3</v>
      </c>
      <c r="H26" s="2502" cm="1">
        <f t="array" aca="1" ref="H26" ca="1">INDIRECT("'※ 영업품질 세부데이터'!"&amp;H$1&amp;$W26, TRUE)</f>
        <v>7.7534405892614846E-3</v>
      </c>
      <c r="I26" s="2502" cm="1">
        <f t="array" aca="1" ref="I26" ca="1">INDIRECT("'※ 영업품질 세부데이터'!"&amp;I$1&amp;$W26, TRUE)</f>
        <v>6.4923354373309285E-3</v>
      </c>
      <c r="J26" s="2502" cm="1">
        <f t="array" aca="1" ref="J26" ca="1">INDIRECT("'※ 영업품질 세부데이터'!"&amp;J$1&amp;$W26, TRUE)</f>
        <v>4.7296232066845337E-3</v>
      </c>
      <c r="K26" s="2502" cm="1">
        <f t="array" aca="1" ref="K26" ca="1">INDIRECT("'※ 영업품질 세부데이터'!"&amp;K$1&amp;$W26, TRUE)</f>
        <v>6.0640248201946131E-3</v>
      </c>
      <c r="L26" s="2502" cm="1">
        <f t="array" aca="1" ref="L26" ca="1">INDIRECT("'※ 영업품질 세부데이터'!"&amp;L$1&amp;$W26, TRUE)</f>
        <v>4.9130763416477706E-3</v>
      </c>
      <c r="M26" s="2502" cm="1">
        <f t="array" aca="1" ref="M26" ca="1">INDIRECT("'※ 영업품질 세부데이터'!"&amp;M$1&amp;$W26, TRUE)</f>
        <v>3.9915180241985784E-3</v>
      </c>
      <c r="N26" s="2502" cm="1">
        <f t="array" aca="1" ref="N26" ca="1">INDIRECT("'※ 영업품질 세부데이터'!"&amp;N$1&amp;$W26, TRUE)</f>
        <v>3.4809746729084143E-3</v>
      </c>
      <c r="O26" s="2502" cm="1">
        <f t="array" aca="1" ref="O26" ca="1">INDIRECT("'※ 영업품질 세부데이터'!"&amp;O$1&amp;$W26, TRUE)</f>
        <v>2.398369109005876E-3</v>
      </c>
      <c r="P26" s="2502" cm="1">
        <f t="array" aca="1" ref="P26" ca="1">INDIRECT("'※ 영업품질 세부데이터'!"&amp;P$1&amp;$W26, TRUE)</f>
        <v>2.9119788219722038E-3</v>
      </c>
      <c r="Q26" s="3361" cm="1">
        <f t="array" aca="1" ref="Q26" ca="1">INDIRECT("'※ 영업품질 세부데이터'!"&amp;Q$1&amp;$W26, TRUE)</f>
        <v>5.1360971296632784E-4</v>
      </c>
      <c r="R26" s="3362" cm="1">
        <f t="array" aca="1" ref="R26" ca="1">INDIRECT("'※ 영업품질 세부데이터'!"&amp;R$1&amp;$W26, TRUE)</f>
        <v>-5.0880211780277964E-3</v>
      </c>
      <c r="S26" s="3363" cm="1">
        <f t="array" aca="1" ref="S26" ca="1">INDIRECT("'※ 영업품질 세부데이터'!"&amp;S$1&amp;$W26, TRUE)</f>
        <v>5.331827377720969E-3</v>
      </c>
      <c r="T26" s="3364" cm="1">
        <f t="array" aca="1" ref="T26" ca="1">INDIRECT("'※ 영업품질 세부데이터'!"&amp;T$1&amp;$W26, TRUE)</f>
        <v>-0.11654765065272037</v>
      </c>
      <c r="U26" s="3365" cm="1">
        <f t="array" aca="1" ref="U26" ca="1">INDIRECT("'※ 영업품질 세부데이터'!"&amp;U$1&amp;$W26, TRUE)</f>
        <v>5.331827377720969E-3</v>
      </c>
      <c r="V26" s="3366" cm="1">
        <f t="array" aca="1" ref="V26" ca="1">INDIRECT("'※ 영업품질 세부데이터'!"&amp;V$1&amp;$W26, TRUE)</f>
        <v>-4.8247957914824757E-3</v>
      </c>
      <c r="W26" s="3002">
        <f>ROW('※ 영업품질 세부데이터'!A23)</f>
        <v>23</v>
      </c>
      <c r="X26" s="3347"/>
      <c r="Y26" s="3347"/>
      <c r="Z26" s="3347"/>
    </row>
    <row r="27" spans="1:26" ht="15" customHeight="1" x14ac:dyDescent="0.55000000000000004">
      <c r="A27" s="7487"/>
      <c r="B27" s="2493"/>
      <c r="C27" s="3033" t="s">
        <v>155</v>
      </c>
      <c r="D27" s="3359" cm="1">
        <f t="array" aca="1" ref="D27" ca="1">INDIRECT("'※ 영업품질 세부데이터'!"&amp;D$1&amp;$W27, TRUE)</f>
        <v>6.2621626214908466E-3</v>
      </c>
      <c r="E27" s="3360" cm="1">
        <f t="array" aca="1" ref="E27" ca="1">INDIRECT("'※ 영업품질 세부데이터'!"&amp;E$1&amp;$W27, TRUE)</f>
        <v>8.152173913043478E-3</v>
      </c>
      <c r="F27" s="2502" cm="1">
        <f t="array" aca="1" ref="F27" ca="1">INDIRECT("'※ 영업품질 세부데이터'!"&amp;F$1&amp;$W27, TRUE)</f>
        <v>4.7188360204482895E-3</v>
      </c>
      <c r="G27" s="2502" cm="1">
        <f t="array" aca="1" ref="G27" ca="1">INDIRECT("'※ 영업품질 세부데이터'!"&amp;G$1&amp;$W27, TRUE)</f>
        <v>3.246753246753247E-3</v>
      </c>
      <c r="H27" s="2502" cm="1">
        <f t="array" aca="1" ref="H27" ca="1">INDIRECT("'※ 영업품질 세부데이터'!"&amp;H$1&amp;$W27, TRUE)</f>
        <v>4.6594982078853051E-3</v>
      </c>
      <c r="I27" s="2502" cm="1">
        <f t="array" aca="1" ref="I27" ca="1">INDIRECT("'※ 영업품질 세부데이터'!"&amp;I$1&amp;$W27, TRUE)</f>
        <v>4.372687521022536E-3</v>
      </c>
      <c r="J27" s="2502" cm="1">
        <f t="array" aca="1" ref="J27" ca="1">INDIRECT("'※ 영업품질 세부데이터'!"&amp;J$1&amp;$W27, TRUE)</f>
        <v>7.6001169248757676E-3</v>
      </c>
      <c r="K27" s="2502" cm="1">
        <f t="array" aca="1" ref="K27" ca="1">INDIRECT("'※ 영업품질 세부데이터'!"&amp;K$1&amp;$W27, TRUE)</f>
        <v>5.5821371610845294E-3</v>
      </c>
      <c r="L27" s="2502" cm="1">
        <f t="array" aca="1" ref="L27" ca="1">INDIRECT("'※ 영업품질 세부데이터'!"&amp;L$1&amp;$W27, TRUE)</f>
        <v>4.3902439024390248E-3</v>
      </c>
      <c r="M27" s="2502" cm="1">
        <f t="array" aca="1" ref="M27" ca="1">INDIRECT("'※ 영업품질 세부데이터'!"&amp;M$1&amp;$W27, TRUE)</f>
        <v>2.1935169388252497E-3</v>
      </c>
      <c r="N27" s="2502" cm="1">
        <f t="array" aca="1" ref="N27" ca="1">INDIRECT("'※ 영업품질 세부데이터'!"&amp;N$1&amp;$W27, TRUE)</f>
        <v>3.0148423005565863E-3</v>
      </c>
      <c r="O27" s="2502" cm="1">
        <f t="array" aca="1" ref="O27" ca="1">INDIRECT("'※ 영업품질 세부데이터'!"&amp;O$1&amp;$W27, TRUE)</f>
        <v>1.794124243103835E-3</v>
      </c>
      <c r="P27" s="2502" cm="1">
        <f t="array" aca="1" ref="P27" ca="1">INDIRECT("'※ 영업품질 세부데이터'!"&amp;P$1&amp;$W27, TRUE)</f>
        <v>4.5487191764424229E-3</v>
      </c>
      <c r="Q27" s="3361" cm="1">
        <f t="array" aca="1" ref="Q27" ca="1">INDIRECT("'※ 영업품질 세부데이터'!"&amp;Q$1&amp;$W27, TRUE)</f>
        <v>2.7545949333385878E-3</v>
      </c>
      <c r="R27" s="3362" cm="1">
        <f t="array" aca="1" ref="R27" ca="1">INDIRECT("'※ 영업품질 세부데이터'!"&amp;R$1&amp;$W27, TRUE)</f>
        <v>-3.4512808235575773E-3</v>
      </c>
      <c r="S27" s="3363" cm="1">
        <f t="array" aca="1" ref="S27" ca="1">INDIRECT("'※ 영업품질 세부데이터'!"&amp;S$1&amp;$W27, TRUE)</f>
        <v>4.522804129706689E-3</v>
      </c>
      <c r="T27" s="3364" cm="1">
        <f t="array" aca="1" ref="T27" ca="1">INDIRECT("'※ 영업품질 세부데이터'!"&amp;T$1&amp;$W27, TRUE)</f>
        <v>-7.0623147328183464E-2</v>
      </c>
      <c r="U27" s="3365" cm="1">
        <f t="array" aca="1" ref="U27" ca="1">INDIRECT("'※ 영업품질 세부데이터'!"&amp;U$1&amp;$W27, TRUE)</f>
        <v>4.522804129706689E-3</v>
      </c>
      <c r="V27" s="3366" cm="1">
        <f t="array" aca="1" ref="V27" ca="1">INDIRECT("'※ 영업품질 세부데이터'!"&amp;V$1&amp;$W27, TRUE)</f>
        <v>-1.7393584917841575E-3</v>
      </c>
      <c r="W27" s="3002">
        <f>ROW('※ 영업품질 세부데이터'!A24)</f>
        <v>24</v>
      </c>
      <c r="X27" s="3347"/>
      <c r="Y27" s="3347"/>
      <c r="Z27" s="3347"/>
    </row>
    <row r="28" spans="1:26" ht="15" customHeight="1" x14ac:dyDescent="0.55000000000000004">
      <c r="A28" s="7487"/>
      <c r="B28" s="2493"/>
      <c r="C28" s="3033" t="s">
        <v>151</v>
      </c>
      <c r="D28" s="3359" cm="1">
        <f t="array" aca="1" ref="D28" ca="1">INDIRECT("'※ 영업품질 세부데이터'!"&amp;D$1&amp;$W28, TRUE)</f>
        <v>6.7007855684884966E-3</v>
      </c>
      <c r="E28" s="3360" cm="1">
        <f t="array" aca="1" ref="E28" ca="1">INDIRECT("'※ 영업품질 세부데이터'!"&amp;E$1&amp;$W28, TRUE)</f>
        <v>8.4978755311172199E-3</v>
      </c>
      <c r="F28" s="2502" cm="1">
        <f t="array" aca="1" ref="F28" ca="1">INDIRECT("'※ 영업품질 세부데이터'!"&amp;F$1&amp;$W28, TRUE)</f>
        <v>7.205352547606794E-3</v>
      </c>
      <c r="G28" s="2502" cm="1">
        <f t="array" aca="1" ref="G28" ca="1">INDIRECT("'※ 영업품질 세부데이터'!"&amp;G$1&amp;$W28, TRUE)</f>
        <v>7.8273244781783685E-3</v>
      </c>
      <c r="H28" s="2502" cm="1">
        <f t="array" aca="1" ref="H28" ca="1">INDIRECT("'※ 영업품질 세부데이터'!"&amp;H$1&amp;$W28, TRUE)</f>
        <v>4.048582995951417E-3</v>
      </c>
      <c r="I28" s="2502" cm="1">
        <f t="array" aca="1" ref="I28" ca="1">INDIRECT("'※ 영업품질 세부데이터'!"&amp;I$1&amp;$W28, TRUE)</f>
        <v>4.1879944160074451E-3</v>
      </c>
      <c r="J28" s="2502" cm="1">
        <f t="array" aca="1" ref="J28" ca="1">INDIRECT("'※ 영업품질 세부데이터'!"&amp;J$1&amp;$W28, TRUE)</f>
        <v>5.5248618784530384E-3</v>
      </c>
      <c r="K28" s="2502" cm="1">
        <f t="array" aca="1" ref="K28" ca="1">INDIRECT("'※ 영업품질 세부데이터'!"&amp;K$1&amp;$W28, TRUE)</f>
        <v>5.967774020290432E-3</v>
      </c>
      <c r="L28" s="2502" cm="1">
        <f t="array" aca="1" ref="L28" ca="1">INDIRECT("'※ 영업품질 세부데이터'!"&amp;L$1&amp;$W28, TRUE)</f>
        <v>4.210911753936287E-3</v>
      </c>
      <c r="M28" s="2502" cm="1">
        <f t="array" aca="1" ref="M28" ca="1">INDIRECT("'※ 영업품질 세부데이터'!"&amp;M$1&amp;$W28, TRUE)</f>
        <v>5.4388597149287324E-3</v>
      </c>
      <c r="N28" s="2502" cm="1">
        <f t="array" aca="1" ref="N28" ca="1">INDIRECT("'※ 영업품질 세부데이터'!"&amp;N$1&amp;$W28, TRUE)</f>
        <v>3.4894398530762169E-3</v>
      </c>
      <c r="O28" s="2502" cm="1">
        <f t="array" aca="1" ref="O28" ca="1">INDIRECT("'※ 영업품질 세부데이터'!"&amp;O$1&amp;$W28, TRUE)</f>
        <v>3.7195462153617261E-3</v>
      </c>
      <c r="P28" s="2502" cm="1">
        <f t="array" aca="1" ref="P28" ca="1">INDIRECT("'※ 영업품질 세부데이터'!"&amp;P$1&amp;$W28, TRUE)</f>
        <v>4.488879820444807E-3</v>
      </c>
      <c r="Q28" s="3361" cm="1">
        <f t="array" aca="1" ref="Q28" ca="1">INDIRECT("'※ 영업품질 세부데이터'!"&amp;Q$1&amp;$W28, TRUE)</f>
        <v>7.6933360508308095E-4</v>
      </c>
      <c r="R28" s="3362" cm="1">
        <f t="array" aca="1" ref="R28" ca="1">INDIRECT("'※ 영업품질 세부데이터'!"&amp;R$1&amp;$W28, TRUE)</f>
        <v>-5.1112017955519309E-4</v>
      </c>
      <c r="S28" s="3363" cm="1">
        <f t="array" aca="1" ref="S28" ca="1">INDIRECT("'※ 영업품질 세부데이터'!"&amp;S$1&amp;$W28, TRUE)</f>
        <v>5.3839502687793731E-3</v>
      </c>
      <c r="T28" s="3364" cm="1">
        <f t="array" aca="1" ref="T28" ca="1">INDIRECT("'※ 영업품질 세부데이터'!"&amp;T$1&amp;$W28, TRUE)</f>
        <v>-7.5025476553082587E-2</v>
      </c>
      <c r="U28" s="3365" cm="1">
        <f t="array" aca="1" ref="U28" ca="1">INDIRECT("'※ 영업품질 세부데이터'!"&amp;U$1&amp;$W28, TRUE)</f>
        <v>5.3839502687793731E-3</v>
      </c>
      <c r="V28" s="3366" cm="1">
        <f t="array" aca="1" ref="V28" ca="1">INDIRECT("'※ 영업품질 세부데이터'!"&amp;V$1&amp;$W28, TRUE)</f>
        <v>-1.3168352997091235E-3</v>
      </c>
      <c r="W28" s="3002">
        <f>ROW('※ 영업품질 세부데이터'!A25)</f>
        <v>25</v>
      </c>
      <c r="X28" s="3347"/>
      <c r="Y28" s="3347"/>
      <c r="Z28" s="3347"/>
    </row>
    <row r="29" spans="1:26" ht="15" customHeight="1" x14ac:dyDescent="0.55000000000000004">
      <c r="A29" s="7487"/>
      <c r="B29" s="2493"/>
      <c r="C29" s="3033" t="s">
        <v>152</v>
      </c>
      <c r="D29" s="3359" cm="1">
        <f t="array" aca="1" ref="D29" ca="1">INDIRECT("'※ 영업품질 세부데이터'!"&amp;D$1&amp;$W29, TRUE)</f>
        <v>6.2837050970128211E-3</v>
      </c>
      <c r="E29" s="3360" cm="1">
        <f t="array" aca="1" ref="E29" ca="1">INDIRECT("'※ 영업품질 세부데이터'!"&amp;E$1&amp;$W29, TRUE)</f>
        <v>4.0605389442598741E-3</v>
      </c>
      <c r="F29" s="2502" cm="1">
        <f t="array" aca="1" ref="F29" ca="1">INDIRECT("'※ 영업품질 세부데이터'!"&amp;F$1&amp;$W29, TRUE)</f>
        <v>3.0326004548900682E-3</v>
      </c>
      <c r="G29" s="2502" cm="1">
        <f t="array" aca="1" ref="G29" ca="1">INDIRECT("'※ 영업품질 세부데이터'!"&amp;G$1&amp;$W29, TRUE)</f>
        <v>6.7591604411241547E-3</v>
      </c>
      <c r="H29" s="2502" cm="1">
        <f t="array" aca="1" ref="H29" ca="1">INDIRECT("'※ 영업품질 세부데이터'!"&amp;H$1&amp;$W29, TRUE)</f>
        <v>3.2108455226542991E-3</v>
      </c>
      <c r="I29" s="2502" cm="1">
        <f t="array" aca="1" ref="I29" ca="1">INDIRECT("'※ 영업품질 세부데이터'!"&amp;I$1&amp;$W29, TRUE)</f>
        <v>2.4407252440725243E-3</v>
      </c>
      <c r="J29" s="2502" cm="1">
        <f t="array" aca="1" ref="J29" ca="1">INDIRECT("'※ 영업품질 세부데이터'!"&amp;J$1&amp;$W29, TRUE)</f>
        <v>4.6589018302828616E-3</v>
      </c>
      <c r="K29" s="2502" cm="1">
        <f t="array" aca="1" ref="K29" ca="1">INDIRECT("'※ 영업품질 세부데이터'!"&amp;K$1&amp;$W29, TRUE)</f>
        <v>6.1768530559167751E-3</v>
      </c>
      <c r="L29" s="2502" cm="1">
        <f t="array" aca="1" ref="L29" ca="1">INDIRECT("'※ 영업품질 세부데이터'!"&amp;L$1&amp;$W29, TRUE)</f>
        <v>3.3363663936912345E-3</v>
      </c>
      <c r="M29" s="2502" cm="1">
        <f t="array" aca="1" ref="M29" ca="1">INDIRECT("'※ 영업품질 세부데이터'!"&amp;M$1&amp;$W29, TRUE)</f>
        <v>4.3818466353677619E-3</v>
      </c>
      <c r="N29" s="2502" cm="1">
        <f t="array" aca="1" ref="N29" ca="1">INDIRECT("'※ 영업품질 세부데이터'!"&amp;N$1&amp;$W29, TRUE)</f>
        <v>2.420574886535552E-3</v>
      </c>
      <c r="O29" s="2502" cm="1">
        <f t="array" aca="1" ref="O29" ca="1">INDIRECT("'※ 영업품질 세부데이터'!"&amp;O$1&amp;$W29, TRUE)</f>
        <v>1.2285012285012285E-3</v>
      </c>
      <c r="P29" s="2502" cm="1">
        <f t="array" aca="1" ref="P29" ca="1">INDIRECT("'※ 영업품질 세부데이터'!"&amp;P$1&amp;$W29, TRUE)</f>
        <v>4.9261083743842365E-3</v>
      </c>
      <c r="Q29" s="3361" cm="1">
        <f t="array" aca="1" ref="Q29" ca="1">INDIRECT("'※ 영업품질 세부데이터'!"&amp;Q$1&amp;$W29, TRUE)</f>
        <v>3.6976071458830083E-3</v>
      </c>
      <c r="R29" s="3362" cm="1">
        <f t="array" aca="1" ref="R29" ca="1">INDIRECT("'※ 영업품질 세부데이터'!"&amp;R$1&amp;$W29, TRUE)</f>
        <v>-2.0738916256157636E-3</v>
      </c>
      <c r="S29" s="3363" cm="1">
        <f t="array" aca="1" ref="S29" ca="1">INDIRECT("'※ 영업품질 세부데이터'!"&amp;S$1&amp;$W29, TRUE)</f>
        <v>3.8860852509733815E-3</v>
      </c>
      <c r="T29" s="3364" cm="1">
        <f t="array" aca="1" ref="T29" ca="1">INDIRECT("'※ 영업품질 세부데이터'!"&amp;T$1&amp;$W29, TRUE)</f>
        <v>-7.1518375913180471E-2</v>
      </c>
      <c r="U29" s="3365" cm="1">
        <f t="array" aca="1" ref="U29" ca="1">INDIRECT("'※ 영업품질 세부데이터'!"&amp;U$1&amp;$W29, TRUE)</f>
        <v>3.8860852509733815E-3</v>
      </c>
      <c r="V29" s="3366" cm="1">
        <f t="array" aca="1" ref="V29" ca="1">INDIRECT("'※ 영업품질 세부데이터'!"&amp;V$1&amp;$W29, TRUE)</f>
        <v>-2.3976198460394396E-3</v>
      </c>
      <c r="W29" s="3002">
        <f>ROW('※ 영업품질 세부데이터'!A26)</f>
        <v>26</v>
      </c>
      <c r="X29" s="3347"/>
      <c r="Y29" s="3347"/>
      <c r="Z29" s="3347"/>
    </row>
    <row r="30" spans="1:26" ht="16" customHeight="1" x14ac:dyDescent="0.55000000000000004">
      <c r="A30" s="7487"/>
      <c r="B30" s="7499" t="s">
        <v>568</v>
      </c>
      <c r="C30" s="7500"/>
      <c r="D30" s="3395" cm="1">
        <f t="array" aca="1" ref="D30" ca="1">INDIRECT("'※ 영업품질 세부데이터'!"&amp;D$1&amp;$W30, TRUE)</f>
        <v>1.0779354473364438E-2</v>
      </c>
      <c r="E30" s="3396" cm="1">
        <f t="array" aca="1" ref="E30" ca="1">INDIRECT("'※ 영업품질 세부데이터'!"&amp;E$1&amp;$W30, TRUE)</f>
        <v>7.9640498312836833E-3</v>
      </c>
      <c r="F30" s="3397" cm="1">
        <f t="array" aca="1" ref="F30" ca="1">INDIRECT("'※ 영업품질 세부데이터'!"&amp;F$1&amp;$W30, TRUE)</f>
        <v>9.4940588158211776E-3</v>
      </c>
      <c r="G30" s="3397" cm="1">
        <f t="array" aca="1" ref="G30" ca="1">INDIRECT("'※ 영업품질 세부데이터'!"&amp;G$1&amp;$W30, TRUE)</f>
        <v>8.4626803059150019E-3</v>
      </c>
      <c r="H30" s="3397" cm="1">
        <f t="array" aca="1" ref="H30" ca="1">INDIRECT("'※ 영업품질 세부데이터'!"&amp;H$1&amp;$W30, TRUE)</f>
        <v>7.9761003458083523E-3</v>
      </c>
      <c r="I30" s="3397" cm="1">
        <f t="array" aca="1" ref="I30" ca="1">INDIRECT("'※ 영업품질 세부데이터'!"&amp;I$1&amp;$W30, TRUE)</f>
        <v>8.0181391335754568E-3</v>
      </c>
      <c r="J30" s="3397" cm="1">
        <f t="array" aca="1" ref="J30" ca="1">INDIRECT("'※ 영업품질 세부데이터'!"&amp;J$1&amp;$W30, TRUE)</f>
        <v>7.7413413006903751E-3</v>
      </c>
      <c r="K30" s="3397" cm="1">
        <f t="array" aca="1" ref="K30" ca="1">INDIRECT("'※ 영업품질 세부데이터'!"&amp;K$1&amp;$W30, TRUE)</f>
        <v>8.5358303129804448E-3</v>
      </c>
      <c r="L30" s="3397" cm="1">
        <f t="array" aca="1" ref="L30" ca="1">INDIRECT("'※ 영업품질 세부데이터'!"&amp;L$1&amp;$W30, TRUE)</f>
        <v>6.7723682284273976E-3</v>
      </c>
      <c r="M30" s="3397" cm="1">
        <f t="array" aca="1" ref="M30" ca="1">INDIRECT("'※ 영업품질 세부데이터'!"&amp;M$1&amp;$W30, TRUE)</f>
        <v>6.9566008138768273E-3</v>
      </c>
      <c r="N30" s="3397" cm="1">
        <f t="array" aca="1" ref="N30" ca="1">INDIRECT("'※ 영업품질 세부데이터'!"&amp;N$1&amp;$W30, TRUE)</f>
        <v>5.7779534375999846E-3</v>
      </c>
      <c r="O30" s="3397" cm="1">
        <f t="array" aca="1" ref="O30" ca="1">INDIRECT("'※ 영업품질 세부데이터'!"&amp;O$1&amp;$W30, TRUE)</f>
        <v>5.4643601237451857E-3</v>
      </c>
      <c r="P30" s="3397" cm="1">
        <f t="array" aca="1" ref="P30" ca="1">INDIRECT("'※ 영업품질 세부데이터'!"&amp;P$1&amp;$W30, TRUE)</f>
        <v>6.5692322554824108E-3</v>
      </c>
      <c r="Q30" s="3398" cm="1">
        <f t="array" aca="1" ref="Q30" ca="1">INDIRECT("'※ 영업품질 세부데이터'!"&amp;Q$1&amp;$W30, TRUE)</f>
        <v>1.1048721317372251E-3</v>
      </c>
      <c r="R30" s="3399" cm="1">
        <f t="array" aca="1" ref="R30" ca="1">INDIRECT("'※ 영업품질 세부데이터'!"&amp;R$1&amp;$W30, TRUE)</f>
        <v>-2.4307677445175885E-3</v>
      </c>
      <c r="S30" s="3400" cm="1">
        <f t="array" aca="1" ref="S30" ca="1">INDIRECT("'※ 영업품질 세부데이터'!"&amp;S$1&amp;$W30, TRUE)</f>
        <v>7.477726242100525E-3</v>
      </c>
      <c r="T30" s="3398" cm="1">
        <f t="array" aca="1" ref="T30" ca="1">INDIRECT("'※ 영업품질 세부데이터'!"&amp;T$1&amp;$W30, TRUE)</f>
        <v>-0.12187452743827273</v>
      </c>
      <c r="U30" s="3401" cm="1">
        <f t="array" aca="1" ref="U30" ca="1">INDIRECT("'※ 영업품질 세부데이터'!"&amp;U$1&amp;$W30, TRUE)</f>
        <v>7.477726242100525E-3</v>
      </c>
      <c r="V30" s="3402" cm="1">
        <f t="array" aca="1" ref="V30" ca="1">INDIRECT("'※ 영업품질 세부데이터'!"&amp;V$1&amp;$W30, TRUE)</f>
        <v>-3.3016282312639126E-3</v>
      </c>
      <c r="W30" s="3002">
        <f>ROW('※ 영업품질 세부데이터'!A31)</f>
        <v>31</v>
      </c>
      <c r="X30" s="3347"/>
      <c r="Y30" s="3347"/>
      <c r="Z30" s="3347"/>
    </row>
    <row r="31" spans="1:26" ht="16" customHeight="1" thickBot="1" x14ac:dyDescent="0.6">
      <c r="A31" s="7488"/>
      <c r="B31" s="7501" t="s">
        <v>567</v>
      </c>
      <c r="C31" s="7502"/>
      <c r="D31" s="3403" cm="1">
        <f t="array" aca="1" ref="D31" ca="1">INDIRECT("'※ 영업품질 세부데이터'!"&amp;D$1&amp;$W31, TRUE)</f>
        <v>-1.2474020203093268E-3</v>
      </c>
      <c r="E31" s="3404" cm="1">
        <f t="array" aca="1" ref="E31" ca="1">INDIRECT("'※ 영업품질 세부데이터'!"&amp;E$1&amp;$W31, TRUE)</f>
        <v>-6.3168128328561311E-4</v>
      </c>
      <c r="F31" s="3405" cm="1">
        <f t="array" aca="1" ref="F31" ca="1">INDIRECT("'※ 영업품질 세부데이터'!"&amp;F$1&amp;$W31, TRUE)</f>
        <v>-7.1851497930173168E-4</v>
      </c>
      <c r="G31" s="3405" cm="1">
        <f t="array" aca="1" ref="G31" ca="1">INDIRECT("'※ 영업품질 세부데이터'!"&amp;G$1&amp;$W31, TRUE)</f>
        <v>-1.8201449753285333E-3</v>
      </c>
      <c r="H31" s="3405" cm="1">
        <f t="array" aca="1" ref="H31" ca="1">INDIRECT("'※ 영업품질 세부데이터'!"&amp;H$1&amp;$W31, TRUE)</f>
        <v>-1.1173632059404892E-3</v>
      </c>
      <c r="I31" s="3405" cm="1">
        <f t="array" aca="1" ref="I31" ca="1">INDIRECT("'※ 영업품질 세부데이터'!"&amp;I$1&amp;$W31, TRUE)</f>
        <v>-1.4978984435476995E-3</v>
      </c>
      <c r="J31" s="3405" cm="1">
        <f t="array" aca="1" ref="J31" ca="1">INDIRECT("'※ 영업품질 세부데이터'!"&amp;J$1&amp;$W31, TRUE)</f>
        <v>-2.3308535320217183E-3</v>
      </c>
      <c r="K31" s="3405" cm="1">
        <f t="array" aca="1" ref="K31" ca="1">INDIRECT("'※ 영업품질 세부데이터'!"&amp;K$1&amp;$W31, TRUE)</f>
        <v>-2.2293280917247364E-3</v>
      </c>
      <c r="L31" s="3405" cm="1">
        <f t="array" aca="1" ref="L31" ca="1">INDIRECT("'※ 영업품질 세부데이터'!"&amp;L$1&amp;$W31, TRUE)</f>
        <v>-1.768604952425948E-3</v>
      </c>
      <c r="M31" s="3405" cm="1">
        <f t="array" aca="1" ref="M31" ca="1">INDIRECT("'※ 영업품질 세부데이터'!"&amp;M$1&amp;$W31, TRUE)</f>
        <v>-1.8071965713398874E-3</v>
      </c>
      <c r="N31" s="3405" cm="1">
        <f t="array" aca="1" ref="N31" ca="1">INDIRECT("'※ 영업품질 세부데이터'!"&amp;N$1&amp;$W31, TRUE)</f>
        <v>-1.9839896131970828E-3</v>
      </c>
      <c r="O31" s="3405" cm="1">
        <f t="array" aca="1" ref="O31" ca="1">INDIRECT("'※ 영업품질 세부데이터'!"&amp;O$1&amp;$W31, TRUE)</f>
        <v>-1.9839896131970828E-3</v>
      </c>
      <c r="P31" s="3405" cm="1">
        <f t="array" aca="1" ref="P31" ca="1">INDIRECT("'※ 영업품질 세부데이터'!"&amp;P$1&amp;$W31, TRUE)</f>
        <v>-1.7371956987329972E-3</v>
      </c>
      <c r="Q31" s="3406" cm="1">
        <f t="array" aca="1" ref="Q31" ca="1">INDIRECT("'※ 영업품질 세부데이터'!"&amp;Q$1&amp;$W31, TRUE)</f>
        <v>2.4679391446408554E-4</v>
      </c>
      <c r="R31" s="3407" cm="1">
        <f t="array" aca="1" ref="R31" ca="1">INDIRECT("'※ 영업품질 세부데이터'!"&amp;R$1&amp;$W31, TRUE)</f>
        <v>-1.2085892060437354E-3</v>
      </c>
      <c r="S31" s="3408" cm="1">
        <f t="array" aca="1" ref="S31" ca="1">INDIRECT("'※ 영업품질 세부데이터'!"&amp;S$1&amp;$W31, TRUE)</f>
        <v>-1.6355634133369597E-3</v>
      </c>
      <c r="T31" s="3406" cm="1">
        <f t="array" aca="1" ref="T31" ca="1">INDIRECT("'※ 영업품질 세부데이터'!"&amp;T$1&amp;$W31, TRUE)</f>
        <v>1.3333260830374963E-2</v>
      </c>
      <c r="U31" s="3409" cm="1">
        <f t="array" aca="1" ref="U31" ca="1">INDIRECT("'※ 영업품질 세부데이터'!"&amp;U$1&amp;$W31, TRUE)</f>
        <v>-1.6355634133369597E-3</v>
      </c>
      <c r="V31" s="3410" cm="1">
        <f t="array" aca="1" ref="V31" ca="1">INDIRECT("'※ 영업품질 세부데이터'!"&amp;V$1&amp;$W31, TRUE)</f>
        <v>-3.8816139302763294E-4</v>
      </c>
      <c r="W31" s="3002">
        <f>ROW('※ 영업품질 세부데이터'!A32)</f>
        <v>32</v>
      </c>
      <c r="X31" s="3411"/>
      <c r="Y31" s="3411"/>
      <c r="Z31" s="3411"/>
    </row>
    <row r="32" spans="1:26" ht="12" customHeight="1" thickBot="1" x14ac:dyDescent="0.6">
      <c r="B32" s="3412"/>
      <c r="C32" s="3412"/>
      <c r="D32" s="3412"/>
      <c r="E32" s="3412"/>
      <c r="F32" s="3412"/>
      <c r="G32" s="3412"/>
      <c r="H32" s="3412"/>
      <c r="I32" s="3412"/>
      <c r="J32" s="3412"/>
      <c r="K32" s="3412"/>
      <c r="L32" s="3412"/>
      <c r="M32" s="3412"/>
      <c r="N32" s="3412"/>
      <c r="O32" s="3412"/>
      <c r="P32" s="3412"/>
      <c r="Q32" s="3412"/>
      <c r="R32" s="3412"/>
      <c r="S32" s="3412"/>
      <c r="T32" s="3412"/>
      <c r="U32" s="3412"/>
      <c r="V32" s="3412"/>
      <c r="W32" s="3002">
        <f>ROW('※ 영업품질 세부데이터'!A33)</f>
        <v>33</v>
      </c>
    </row>
    <row r="33" spans="1:26" ht="16" customHeight="1" x14ac:dyDescent="0.55000000000000004">
      <c r="A33" s="7484" t="s">
        <v>136</v>
      </c>
      <c r="B33" s="3413"/>
      <c r="C33" s="3414" t="s">
        <v>548</v>
      </c>
      <c r="D33" s="3415" cm="1">
        <f t="array" aca="1" ref="D33" ca="1">INDIRECT("'※ 영업품질 세부데이터'!"&amp;D$1&amp;$W33, TRUE)</f>
        <v>237</v>
      </c>
      <c r="E33" s="3416" cm="1">
        <f t="array" aca="1" ref="E33" ca="1">INDIRECT("'※ 영업품질 세부데이터'!"&amp;E$1&amp;$W33, TRUE)</f>
        <v>20</v>
      </c>
      <c r="F33" s="3417" cm="1">
        <f t="array" aca="1" ref="F33" ca="1">INDIRECT("'※ 영업품질 세부데이터'!"&amp;F$1&amp;$W33, TRUE)</f>
        <v>13</v>
      </c>
      <c r="G33" s="3417" cm="1">
        <f t="array" aca="1" ref="G33" ca="1">INDIRECT("'※ 영업품질 세부데이터'!"&amp;G$1&amp;$W33, TRUE)</f>
        <v>18</v>
      </c>
      <c r="H33" s="3417" cm="1">
        <f t="array" aca="1" ref="H33" ca="1">INDIRECT("'※ 영업품질 세부데이터'!"&amp;H$1&amp;$W33, TRUE)</f>
        <v>15</v>
      </c>
      <c r="I33" s="3417" cm="1">
        <f t="array" aca="1" ref="I33" ca="1">INDIRECT("'※ 영업품질 세부데이터'!"&amp;I$1&amp;$W33, TRUE)</f>
        <v>17</v>
      </c>
      <c r="J33" s="3417" cm="1">
        <f t="array" aca="1" ref="J33" ca="1">INDIRECT("'※ 영업품질 세부데이터'!"&amp;J$1&amp;$W33, TRUE)</f>
        <v>19</v>
      </c>
      <c r="K33" s="3417" cm="1">
        <f t="array" aca="1" ref="K33" ca="1">INDIRECT("'※ 영업품질 세부데이터'!"&amp;K$1&amp;$W33, TRUE)</f>
        <v>19</v>
      </c>
      <c r="L33" s="3417" cm="1">
        <f t="array" aca="1" ref="L33" ca="1">INDIRECT("'※ 영업품질 세부데이터'!"&amp;L$1&amp;$W33, TRUE)</f>
        <v>15</v>
      </c>
      <c r="M33" s="3417" cm="1">
        <f t="array" aca="1" ref="M33" ca="1">INDIRECT("'※ 영업품질 세부데이터'!"&amp;M$1&amp;$W33, TRUE)</f>
        <v>17</v>
      </c>
      <c r="N33" s="3417" cm="1">
        <f t="array" aca="1" ref="N33" ca="1">INDIRECT("'※ 영업품질 세부데이터'!"&amp;N$1&amp;$W33, TRUE)</f>
        <v>7</v>
      </c>
      <c r="O33" s="3417" cm="1">
        <f t="array" aca="1" ref="O33" ca="1">INDIRECT("'※ 영업품질 세부데이터'!"&amp;O$1&amp;$W33, TRUE)</f>
        <v>19</v>
      </c>
      <c r="P33" s="3417" cm="1">
        <f t="array" aca="1" ref="P33" ca="1">INDIRECT("'※ 영업품질 세부데이터'!"&amp;P$1&amp;$W33, TRUE)</f>
        <v>13</v>
      </c>
      <c r="Q33" s="3417" cm="1">
        <f t="array" aca="1" ref="Q33" ca="1">INDIRECT("'※ 영업품질 세부데이터'!"&amp;Q$1&amp;$W33, TRUE)</f>
        <v>-6</v>
      </c>
      <c r="R33" s="3418" cm="1">
        <f t="array" aca="1" ref="R33" ca="1">INDIRECT("'※ 영업품질 세부데이터'!"&amp;R$1&amp;$W33, TRUE)</f>
        <v>11</v>
      </c>
      <c r="S33" s="3419" cm="1">
        <f t="array" aca="1" ref="S33" ca="1">INDIRECT("'※ 영업품질 세부데이터'!"&amp;S$1&amp;$W33, TRUE)</f>
        <v>192</v>
      </c>
      <c r="T33" s="3420" cm="1">
        <f t="array" aca="1" ref="T33" ca="1">INDIRECT("'※ 영업품질 세부데이터'!"&amp;T$1&amp;$W33, TRUE)</f>
        <v>-45</v>
      </c>
      <c r="U33" s="3421" cm="1">
        <f t="array" aca="1" ref="U33" ca="1">INDIRECT("'※ 영업품질 세부데이터'!"&amp;U$1&amp;$W33, TRUE)</f>
        <v>16</v>
      </c>
      <c r="V33" s="3422" cm="1">
        <f t="array" aca="1" ref="V33" ca="1">INDIRECT("'※ 영업품질 세부데이터'!"&amp;V$1&amp;$W33, TRUE)</f>
        <v>-3.75</v>
      </c>
      <c r="W33" s="3002">
        <f>ROW('※ 영업품질 세부데이터'!A34)</f>
        <v>34</v>
      </c>
      <c r="Z33" s="3423"/>
    </row>
    <row r="34" spans="1:26" ht="16" customHeight="1" x14ac:dyDescent="0.55000000000000004">
      <c r="A34" s="7485"/>
      <c r="B34" s="3424"/>
      <c r="C34" s="3425" t="s">
        <v>549</v>
      </c>
      <c r="D34" s="3426" cm="1">
        <f t="array" aca="1" ref="D34" ca="1">INDIRECT("'※ 영업품질 세부데이터'!"&amp;D$1&amp;$W34, TRUE)</f>
        <v>54</v>
      </c>
      <c r="E34" s="3427" cm="1">
        <f t="array" aca="1" ref="E34" ca="1">INDIRECT("'※ 영업품질 세부데이터'!"&amp;E$1&amp;$W34, TRUE)</f>
        <v>4</v>
      </c>
      <c r="F34" s="3428" cm="1">
        <f t="array" aca="1" ref="F34" ca="1">INDIRECT("'※ 영업품질 세부데이터'!"&amp;F$1&amp;$W34, TRUE)</f>
        <v>5</v>
      </c>
      <c r="G34" s="3428" cm="1">
        <f t="array" aca="1" ref="G34" ca="1">INDIRECT("'※ 영업품질 세부데이터'!"&amp;G$1&amp;$W34, TRUE)</f>
        <v>2</v>
      </c>
      <c r="H34" s="3428" cm="1">
        <f t="array" aca="1" ref="H34" ca="1">INDIRECT("'※ 영업품질 세부데이터'!"&amp;H$1&amp;$W34, TRUE)</f>
        <v>4</v>
      </c>
      <c r="I34" s="3428" cm="1">
        <f t="array" aca="1" ref="I34" ca="1">INDIRECT("'※ 영업품질 세부데이터'!"&amp;I$1&amp;$W34, TRUE)</f>
        <v>2</v>
      </c>
      <c r="J34" s="3428" cm="1">
        <f t="array" aca="1" ref="J34" ca="1">INDIRECT("'※ 영업품질 세부데이터'!"&amp;J$1&amp;$W34, TRUE)</f>
        <v>7</v>
      </c>
      <c r="K34" s="3428" cm="1">
        <f t="array" aca="1" ref="K34" ca="1">INDIRECT("'※ 영업품질 세부데이터'!"&amp;K$1&amp;$W34, TRUE)</f>
        <v>2</v>
      </c>
      <c r="L34" s="3428" cm="1">
        <f t="array" aca="1" ref="L34" ca="1">INDIRECT("'※ 영업품질 세부데이터'!"&amp;L$1&amp;$W34, TRUE)</f>
        <v>2</v>
      </c>
      <c r="M34" s="3428" cm="1">
        <f t="array" aca="1" ref="M34" ca="1">INDIRECT("'※ 영업품질 세부데이터'!"&amp;M$1&amp;$W34, TRUE)</f>
        <v>3</v>
      </c>
      <c r="N34" s="3429" cm="1">
        <f t="array" aca="1" ref="N34" ca="1">INDIRECT("'※ 영업품질 세부데이터'!"&amp;N$1&amp;$W34, TRUE)</f>
        <v>0</v>
      </c>
      <c r="O34" s="3429" cm="1">
        <f t="array" aca="1" ref="O34" ca="1">INDIRECT("'※ 영업품질 세부데이터'!"&amp;O$1&amp;$W34, TRUE)</f>
        <v>6</v>
      </c>
      <c r="P34" s="7505" t="s">
        <v>1196</v>
      </c>
      <c r="Q34" s="3428" cm="1">
        <f t="array" aca="1" ref="Q34" ca="1">INDIRECT("'※ 영업품질 세부데이터'!"&amp;Q$1&amp;$W34, TRUE)</f>
        <v>-6</v>
      </c>
      <c r="R34" s="3430" cm="1">
        <f t="array" aca="1" ref="R34" ca="1">INDIRECT("'※ 영업품질 세부데이터'!"&amp;R$1&amp;$W34, TRUE)</f>
        <v>0</v>
      </c>
      <c r="S34" s="3431" cm="1">
        <f t="array" aca="1" ref="S34" ca="1">INDIRECT("'※ 영업품질 세부데이터'!"&amp;S$1&amp;$W34, TRUE)</f>
        <v>37</v>
      </c>
      <c r="T34" s="3429" cm="1">
        <f t="array" aca="1" ref="T34" ca="1">INDIRECT("'※ 영업품질 세부데이터'!"&amp;T$1&amp;$W34, TRUE)</f>
        <v>-17</v>
      </c>
      <c r="U34" s="3432" cm="1">
        <f t="array" aca="1" ref="U34" ca="1">INDIRECT("'※ 영업품질 세부데이터'!"&amp;U$1&amp;$W34, TRUE)</f>
        <v>3.3636363636363638</v>
      </c>
      <c r="V34" s="3433" cm="1">
        <f t="array" aca="1" ref="V34" ca="1">INDIRECT("'※ 영업품질 세부데이터'!"&amp;V$1&amp;$W34, TRUE)</f>
        <v>-1.1363636363636362</v>
      </c>
      <c r="W34" s="3002">
        <f>ROW('※ 영업품질 세부데이터'!A35)</f>
        <v>35</v>
      </c>
      <c r="Z34" s="3423"/>
    </row>
    <row r="35" spans="1:26" ht="16" customHeight="1" x14ac:dyDescent="0.55000000000000004">
      <c r="A35" s="7485"/>
      <c r="B35" s="3434"/>
      <c r="C35" s="3435" t="s">
        <v>550</v>
      </c>
      <c r="D35" s="3436" cm="1">
        <f t="array" aca="1" ref="D35" ca="1">INDIRECT("'※ 영업품질 세부데이터'!"&amp;D$1&amp;$W35, TRUE)</f>
        <v>0.22784810126582278</v>
      </c>
      <c r="E35" s="3437" cm="1">
        <f t="array" aca="1" ref="E35" ca="1">INDIRECT("'※ 영업품질 세부데이터'!"&amp;E$1&amp;$W35, TRUE)</f>
        <v>0.2</v>
      </c>
      <c r="F35" s="2664" cm="1">
        <f t="array" aca="1" ref="F35" ca="1">INDIRECT("'※ 영업품질 세부데이터'!"&amp;F$1&amp;$W35, TRUE)</f>
        <v>0.38461538461538464</v>
      </c>
      <c r="G35" s="2664" cm="1">
        <f t="array" aca="1" ref="G35" ca="1">INDIRECT("'※ 영업품질 세부데이터'!"&amp;G$1&amp;$W35, TRUE)</f>
        <v>0.1111111111111111</v>
      </c>
      <c r="H35" s="2664" cm="1">
        <f t="array" aca="1" ref="H35" ca="1">INDIRECT("'※ 영업품질 세부데이터'!"&amp;H$1&amp;$W35, TRUE)</f>
        <v>0.26666666666666666</v>
      </c>
      <c r="I35" s="2664" cm="1">
        <f t="array" aca="1" ref="I35" ca="1">INDIRECT("'※ 영업품질 세부데이터'!"&amp;I$1&amp;$W35, TRUE)</f>
        <v>0.11764705882352941</v>
      </c>
      <c r="J35" s="2664" cm="1">
        <f t="array" aca="1" ref="J35" ca="1">INDIRECT("'※ 영업품질 세부데이터'!"&amp;J$1&amp;$W35, TRUE)</f>
        <v>0.36842105263157893</v>
      </c>
      <c r="K35" s="2664" cm="1">
        <f t="array" aca="1" ref="K35" ca="1">INDIRECT("'※ 영업품질 세부데이터'!"&amp;K$1&amp;$W35, TRUE)</f>
        <v>0.10526315789473684</v>
      </c>
      <c r="L35" s="2664" cm="1">
        <f t="array" aca="1" ref="L35" ca="1">INDIRECT("'※ 영업품질 세부데이터'!"&amp;L$1&amp;$W35, TRUE)</f>
        <v>0.13333333333333333</v>
      </c>
      <c r="M35" s="2664" cm="1">
        <f t="array" aca="1" ref="M35" ca="1">INDIRECT("'※ 영업품질 세부데이터'!"&amp;M$1&amp;$W35, TRUE)</f>
        <v>0.17647058823529413</v>
      </c>
      <c r="N35" s="2664" cm="1">
        <f t="array" aca="1" ref="N35" ca="1">INDIRECT("'※ 영업품질 세부데이터'!"&amp;N$1&amp;$W35, TRUE)</f>
        <v>0</v>
      </c>
      <c r="O35" s="2664" cm="1">
        <f t="array" aca="1" ref="O35" ca="1">INDIRECT("'※ 영업품질 세부데이터'!"&amp;O$1&amp;$W35, TRUE)</f>
        <v>0.31578947368421051</v>
      </c>
      <c r="P35" s="7506"/>
      <c r="Q35" s="2664" cm="1">
        <f t="array" aca="1" ref="Q35" ca="1">INDIRECT("'※ 영업품질 세부데이터'!"&amp;Q$1&amp;$W35, TRUE)</f>
        <v>-0.31578947368421051</v>
      </c>
      <c r="R35" s="3438" cm="1">
        <f t="array" aca="1" ref="R35" ca="1">INDIRECT("'※ 영업품질 세부데이터'!"&amp;R$1&amp;$W35, TRUE)</f>
        <v>0</v>
      </c>
      <c r="S35" s="3439" cm="1">
        <f t="array" aca="1" ref="S35" ca="1">INDIRECT("'※ 영업품질 세부데이터'!"&amp;S$1&amp;$W35, TRUE)</f>
        <v>0.19270833333333334</v>
      </c>
      <c r="T35" s="3440" cm="1">
        <f t="array" aca="1" ref="T35" ca="1">INDIRECT("'※ 영업품질 세부데이터'!"&amp;T$1&amp;$W35, TRUE)</f>
        <v>-2.497963256708966</v>
      </c>
      <c r="U35" s="3441" cm="1">
        <f t="array" aca="1" ref="U35" ca="1">INDIRECT("'※ 영업품질 세부데이터'!"&amp;U$1&amp;$W35, TRUE)</f>
        <v>0.21022727272727273</v>
      </c>
      <c r="V35" s="3442" cm="1">
        <f t="array" aca="1" ref="V35" ca="1">INDIRECT("'※ 영업품질 세부데이터'!"&amp;V$1&amp;$W35, TRUE)</f>
        <v>-1.7620828538550043E-2</v>
      </c>
      <c r="W35" s="3002">
        <f>ROW('※ 영업품질 세부데이터'!A36)</f>
        <v>36</v>
      </c>
      <c r="X35" s="3347"/>
      <c r="Y35" s="3347"/>
      <c r="Z35" s="3347"/>
    </row>
    <row r="36" spans="1:26" ht="16" customHeight="1" x14ac:dyDescent="0.55000000000000004">
      <c r="A36" s="7485"/>
      <c r="B36" s="3443" t="s">
        <v>129</v>
      </c>
      <c r="C36" s="3444"/>
      <c r="D36" s="3445" cm="1">
        <f t="array" aca="1" ref="D36" ca="1">INDIRECT("'※ 영업품질 세부데이터'!"&amp;D$1&amp;$W36, TRUE)</f>
        <v>115</v>
      </c>
      <c r="E36" s="3446" cm="1">
        <f t="array" aca="1" ref="E36" ca="1">INDIRECT("'※ 영업품질 세부데이터'!"&amp;E$1&amp;$W36, TRUE)</f>
        <v>7</v>
      </c>
      <c r="F36" s="3447" cm="1">
        <f t="array" aca="1" ref="F36" ca="1">INDIRECT("'※ 영업품질 세부데이터'!"&amp;F$1&amp;$W36, TRUE)</f>
        <v>4</v>
      </c>
      <c r="G36" s="3447" cm="1">
        <f t="array" aca="1" ref="G36" ca="1">INDIRECT("'※ 영업품질 세부데이터'!"&amp;G$1&amp;$W36, TRUE)</f>
        <v>6</v>
      </c>
      <c r="H36" s="3447" cm="1">
        <f t="array" aca="1" ref="H36" ca="1">INDIRECT("'※ 영업품질 세부데이터'!"&amp;H$1&amp;$W36, TRUE)</f>
        <v>5</v>
      </c>
      <c r="I36" s="3447" cm="1">
        <f t="array" aca="1" ref="I36" ca="1">INDIRECT("'※ 영업품질 세부데이터'!"&amp;I$1&amp;$W36, TRUE)</f>
        <v>6</v>
      </c>
      <c r="J36" s="3447" cm="1">
        <f t="array" aca="1" ref="J36" ca="1">INDIRECT("'※ 영업품질 세부데이터'!"&amp;J$1&amp;$W36, TRUE)</f>
        <v>4</v>
      </c>
      <c r="K36" s="3447" cm="1">
        <f t="array" aca="1" ref="K36" ca="1">INDIRECT("'※ 영업품질 세부데이터'!"&amp;K$1&amp;$W36, TRUE)</f>
        <v>7</v>
      </c>
      <c r="L36" s="3447" cm="1">
        <f t="array" aca="1" ref="L36" ca="1">INDIRECT("'※ 영업품질 세부데이터'!"&amp;L$1&amp;$W36, TRUE)</f>
        <v>5</v>
      </c>
      <c r="M36" s="3447" cm="1">
        <f t="array" aca="1" ref="M36" ca="1">INDIRECT("'※ 영업품질 세부데이터'!"&amp;M$1&amp;$W36, TRUE)</f>
        <v>5</v>
      </c>
      <c r="N36" s="3447" cm="1">
        <f t="array" aca="1" ref="N36" ca="1">INDIRECT("'※ 영업품질 세부데이터'!"&amp;N$1&amp;$W36, TRUE)</f>
        <v>5</v>
      </c>
      <c r="O36" s="3447" cm="1">
        <f t="array" aca="1" ref="O36" ca="1">INDIRECT("'※ 영업품질 세부데이터'!"&amp;O$1&amp;$W36, TRUE)</f>
        <v>3</v>
      </c>
      <c r="P36" s="3447" cm="1">
        <f t="array" aca="1" ref="P36" ca="1">INDIRECT("'※ 영업품질 세부데이터'!"&amp;P$1&amp;$W36, TRUE)</f>
        <v>8</v>
      </c>
      <c r="Q36" s="3447" cm="1">
        <f t="array" aca="1" ref="Q36" ca="1">INDIRECT("'※ 영업품질 세부데이터'!"&amp;Q$1&amp;$W36, TRUE)</f>
        <v>5</v>
      </c>
      <c r="R36" s="3448" cm="1">
        <f t="array" aca="1" ref="R36" ca="1">INDIRECT("'※ 영업품질 세부데이터'!"&amp;R$1&amp;$W36, TRUE)</f>
        <v>7</v>
      </c>
      <c r="S36" s="3449" cm="1">
        <f t="array" aca="1" ref="S36" ca="1">INDIRECT("'※ 영업품질 세부데이터'!"&amp;S$1&amp;$W36, TRUE)</f>
        <v>65</v>
      </c>
      <c r="T36" s="3447" cm="1">
        <f t="array" aca="1" ref="T36" ca="1">INDIRECT("'※ 영업품질 세부데이터'!"&amp;T$1&amp;$W36, TRUE)</f>
        <v>-50</v>
      </c>
      <c r="U36" s="3450" cm="1">
        <f t="array" aca="1" ref="U36" ca="1">INDIRECT("'※ 영업품질 세부데이터'!"&amp;U$1&amp;$W36, TRUE)</f>
        <v>5.416666666666667</v>
      </c>
      <c r="V36" s="3451" cm="1">
        <f t="array" aca="1" ref="V36" ca="1">INDIRECT("'※ 영업품질 세부데이터'!"&amp;V$1&amp;$W36, TRUE)</f>
        <v>-4.166666666666667</v>
      </c>
      <c r="W36" s="3002">
        <f>ROW('※ 영업품질 세부데이터'!A37)</f>
        <v>37</v>
      </c>
      <c r="Z36" s="3423"/>
    </row>
    <row r="37" spans="1:26" ht="15" customHeight="1" x14ac:dyDescent="0.55000000000000004">
      <c r="A37" s="7485"/>
      <c r="B37" s="3452"/>
      <c r="C37" s="2493" t="s">
        <v>143</v>
      </c>
      <c r="D37" s="3453" cm="1">
        <f t="array" aca="1" ref="D37" ca="1">INDIRECT("'※ 영업품질 세부데이터'!"&amp;D$1&amp;$W37, TRUE)</f>
        <v>7</v>
      </c>
      <c r="E37" s="3454" cm="1">
        <f t="array" aca="1" ref="E37" ca="1">INDIRECT("'※ 영업품질 세부데이터'!"&amp;E$1&amp;$W37, TRUE)</f>
        <v>0</v>
      </c>
      <c r="F37" s="3455" cm="1">
        <f t="array" aca="1" ref="F37" ca="1">INDIRECT("'※ 영업품질 세부데이터'!"&amp;F$1&amp;$W37, TRUE)</f>
        <v>1</v>
      </c>
      <c r="G37" s="3455" cm="1">
        <f t="array" aca="1" ref="G37" ca="1">INDIRECT("'※ 영업품질 세부데이터'!"&amp;G$1&amp;$W37, TRUE)</f>
        <v>0</v>
      </c>
      <c r="H37" s="3455" cm="1">
        <f t="array" aca="1" ref="H37" ca="1">INDIRECT("'※ 영업품질 세부데이터'!"&amp;H$1&amp;$W37, TRUE)</f>
        <v>1</v>
      </c>
      <c r="I37" s="3455" cm="1">
        <f t="array" aca="1" ref="I37" ca="1">INDIRECT("'※ 영업품질 세부데이터'!"&amp;I$1&amp;$W37, TRUE)</f>
        <v>0</v>
      </c>
      <c r="J37" s="3455" cm="1">
        <f t="array" aca="1" ref="J37" ca="1">INDIRECT("'※ 영업품질 세부데이터'!"&amp;J$1&amp;$W37, TRUE)</f>
        <v>0</v>
      </c>
      <c r="K37" s="3455" cm="1">
        <f t="array" aca="1" ref="K37" ca="1">INDIRECT("'※ 영업품질 세부데이터'!"&amp;K$1&amp;$W37, TRUE)</f>
        <v>0</v>
      </c>
      <c r="L37" s="3455" cm="1">
        <f t="array" aca="1" ref="L37" ca="1">INDIRECT("'※ 영업품질 세부데이터'!"&amp;L$1&amp;$W37, TRUE)</f>
        <v>0</v>
      </c>
      <c r="M37" s="3455" cm="1">
        <f t="array" aca="1" ref="M37" ca="1">INDIRECT("'※ 영업품질 세부데이터'!"&amp;M$1&amp;$W37, TRUE)</f>
        <v>2</v>
      </c>
      <c r="N37" s="3455" cm="1">
        <f t="array" aca="1" ref="N37" ca="1">INDIRECT("'※ 영업품질 세부데이터'!"&amp;N$1&amp;$W37, TRUE)</f>
        <v>0</v>
      </c>
      <c r="O37" s="3455" cm="1">
        <f t="array" aca="1" ref="O37" ca="1">INDIRECT("'※ 영업품질 세부데이터'!"&amp;O$1&amp;$W37, TRUE)</f>
        <v>0</v>
      </c>
      <c r="P37" s="3455" cm="1">
        <f t="array" aca="1" ref="P37" ca="1">INDIRECT("'※ 영업품질 세부데이터'!"&amp;P$1&amp;$W37, TRUE)</f>
        <v>0</v>
      </c>
      <c r="Q37" s="3455" cm="1">
        <f t="array" aca="1" ref="Q37" ca="1">INDIRECT("'※ 영업품질 세부데이터'!"&amp;Q$1&amp;$W37, TRUE)</f>
        <v>0</v>
      </c>
      <c r="R37" s="3456" cm="1">
        <f t="array" aca="1" ref="R37" ca="1">INDIRECT("'※ 영업품질 세부데이터'!"&amp;R$1&amp;$W37, TRUE)</f>
        <v>0</v>
      </c>
      <c r="S37" s="3457" cm="1">
        <f t="array" aca="1" ref="S37" ca="1">INDIRECT("'※ 영업품질 세부데이터'!"&amp;S$1&amp;$W37, TRUE)</f>
        <v>4</v>
      </c>
      <c r="T37" s="3455" cm="1">
        <f t="array" aca="1" ref="T37" ca="1">INDIRECT("'※ 영업품질 세부데이터'!"&amp;T$1&amp;$W37, TRUE)</f>
        <v>-3</v>
      </c>
      <c r="U37" s="3458" cm="1">
        <f t="array" aca="1" ref="U37" ca="1">INDIRECT("'※ 영업품질 세부데이터'!"&amp;U$1&amp;$W37, TRUE)</f>
        <v>0.33333333333333331</v>
      </c>
      <c r="V37" s="3459" cm="1">
        <f t="array" aca="1" ref="V37" ca="1">INDIRECT("'※ 영업품질 세부데이터'!"&amp;V$1&amp;$W37, TRUE)</f>
        <v>-0.25000000000000006</v>
      </c>
      <c r="W37" s="3002">
        <f>ROW('※ 영업품질 세부데이터'!A38)</f>
        <v>38</v>
      </c>
      <c r="Z37" s="3423"/>
    </row>
    <row r="38" spans="1:26" ht="15" customHeight="1" x14ac:dyDescent="0.55000000000000004">
      <c r="A38" s="7485"/>
      <c r="B38" s="3452"/>
      <c r="C38" s="2493" t="s">
        <v>144</v>
      </c>
      <c r="D38" s="3453" cm="1">
        <f t="array" aca="1" ref="D38" ca="1">INDIRECT("'※ 영업품질 세부데이터'!"&amp;D$1&amp;$W38, TRUE)</f>
        <v>7</v>
      </c>
      <c r="E38" s="3454" cm="1">
        <f t="array" aca="1" ref="E38" ca="1">INDIRECT("'※ 영업품질 세부데이터'!"&amp;E$1&amp;$W38, TRUE)</f>
        <v>0</v>
      </c>
      <c r="F38" s="3455" cm="1">
        <f t="array" aca="1" ref="F38" ca="1">INDIRECT("'※ 영업품질 세부데이터'!"&amp;F$1&amp;$W38, TRUE)</f>
        <v>0</v>
      </c>
      <c r="G38" s="3455" cm="1">
        <f t="array" aca="1" ref="G38" ca="1">INDIRECT("'※ 영업품질 세부데이터'!"&amp;G$1&amp;$W38, TRUE)</f>
        <v>1</v>
      </c>
      <c r="H38" s="3455" cm="1">
        <f t="array" aca="1" ref="H38" ca="1">INDIRECT("'※ 영업품질 세부데이터'!"&amp;H$1&amp;$W38, TRUE)</f>
        <v>1</v>
      </c>
      <c r="I38" s="3455" cm="1">
        <f t="array" aca="1" ref="I38" ca="1">INDIRECT("'※ 영업품질 세부데이터'!"&amp;I$1&amp;$W38, TRUE)</f>
        <v>1</v>
      </c>
      <c r="J38" s="3455" cm="1">
        <f t="array" aca="1" ref="J38" ca="1">INDIRECT("'※ 영업품질 세부데이터'!"&amp;J$1&amp;$W38, TRUE)</f>
        <v>0</v>
      </c>
      <c r="K38" s="3455" cm="1">
        <f t="array" aca="1" ref="K38" ca="1">INDIRECT("'※ 영업품질 세부데이터'!"&amp;K$1&amp;$W38, TRUE)</f>
        <v>0</v>
      </c>
      <c r="L38" s="3455" cm="1">
        <f t="array" aca="1" ref="L38" ca="1">INDIRECT("'※ 영업품질 세부데이터'!"&amp;L$1&amp;$W38, TRUE)</f>
        <v>0</v>
      </c>
      <c r="M38" s="3455" cm="1">
        <f t="array" aca="1" ref="M38" ca="1">INDIRECT("'※ 영업품질 세부데이터'!"&amp;M$1&amp;$W38, TRUE)</f>
        <v>0</v>
      </c>
      <c r="N38" s="3455" cm="1">
        <f t="array" aca="1" ref="N38" ca="1">INDIRECT("'※ 영업품질 세부데이터'!"&amp;N$1&amp;$W38, TRUE)</f>
        <v>0</v>
      </c>
      <c r="O38" s="3455" cm="1">
        <f t="array" aca="1" ref="O38" ca="1">INDIRECT("'※ 영업품질 세부데이터'!"&amp;O$1&amp;$W38, TRUE)</f>
        <v>0</v>
      </c>
      <c r="P38" s="3455" cm="1">
        <f t="array" aca="1" ref="P38" ca="1">INDIRECT("'※ 영업품질 세부데이터'!"&amp;P$1&amp;$W38, TRUE)</f>
        <v>1</v>
      </c>
      <c r="Q38" s="3455" cm="1">
        <f t="array" aca="1" ref="Q38" ca="1">INDIRECT("'※ 영업품질 세부데이터'!"&amp;Q$1&amp;$W38, TRUE)</f>
        <v>1</v>
      </c>
      <c r="R38" s="3456" cm="1">
        <f t="array" aca="1" ref="R38" ca="1">INDIRECT("'※ 영업품질 세부데이터'!"&amp;R$1&amp;$W38, TRUE)</f>
        <v>1</v>
      </c>
      <c r="S38" s="3457" cm="1">
        <f t="array" aca="1" ref="S38" ca="1">INDIRECT("'※ 영업품질 세부데이터'!"&amp;S$1&amp;$W38, TRUE)</f>
        <v>4</v>
      </c>
      <c r="T38" s="3455" cm="1">
        <f t="array" aca="1" ref="T38" ca="1">INDIRECT("'※ 영업품질 세부데이터'!"&amp;T$1&amp;$W38, TRUE)</f>
        <v>-3</v>
      </c>
      <c r="U38" s="3458" cm="1">
        <f t="array" aca="1" ref="U38" ca="1">INDIRECT("'※ 영업품질 세부데이터'!"&amp;U$1&amp;$W38, TRUE)</f>
        <v>0.33333333333333331</v>
      </c>
      <c r="V38" s="3459" cm="1">
        <f t="array" aca="1" ref="V38" ca="1">INDIRECT("'※ 영업품질 세부데이터'!"&amp;V$1&amp;$W38, TRUE)</f>
        <v>-0.25000000000000006</v>
      </c>
      <c r="W38" s="3002">
        <f>ROW('※ 영업품질 세부데이터'!A39)</f>
        <v>39</v>
      </c>
      <c r="Z38" s="3423"/>
    </row>
    <row r="39" spans="1:26" ht="15" customHeight="1" x14ac:dyDescent="0.55000000000000004">
      <c r="A39" s="7485"/>
      <c r="B39" s="3452"/>
      <c r="C39" s="2493" t="s">
        <v>145</v>
      </c>
      <c r="D39" s="3453" cm="1">
        <f t="array" aca="1" ref="D39" ca="1">INDIRECT("'※ 영업품질 세부데이터'!"&amp;D$1&amp;$W39, TRUE)</f>
        <v>10</v>
      </c>
      <c r="E39" s="3454" cm="1">
        <f t="array" aca="1" ref="E39" ca="1">INDIRECT("'※ 영업품질 세부데이터'!"&amp;E$1&amp;$W39, TRUE)</f>
        <v>0</v>
      </c>
      <c r="F39" s="3455" cm="1">
        <f t="array" aca="1" ref="F39" ca="1">INDIRECT("'※ 영업품질 세부데이터'!"&amp;F$1&amp;$W39, TRUE)</f>
        <v>1</v>
      </c>
      <c r="G39" s="3455" cm="1">
        <f t="array" aca="1" ref="G39" ca="1">INDIRECT("'※ 영업품질 세부데이터'!"&amp;G$1&amp;$W39, TRUE)</f>
        <v>0</v>
      </c>
      <c r="H39" s="3455" cm="1">
        <f t="array" aca="1" ref="H39" ca="1">INDIRECT("'※ 영업품질 세부데이터'!"&amp;H$1&amp;$W39, TRUE)</f>
        <v>0</v>
      </c>
      <c r="I39" s="3455" cm="1">
        <f t="array" aca="1" ref="I39" ca="1">INDIRECT("'※ 영업품질 세부데이터'!"&amp;I$1&amp;$W39, TRUE)</f>
        <v>2</v>
      </c>
      <c r="J39" s="3455" cm="1">
        <f t="array" aca="1" ref="J39" ca="1">INDIRECT("'※ 영업품질 세부데이터'!"&amp;J$1&amp;$W39, TRUE)</f>
        <v>0</v>
      </c>
      <c r="K39" s="3455" cm="1">
        <f t="array" aca="1" ref="K39" ca="1">INDIRECT("'※ 영업품질 세부데이터'!"&amp;K$1&amp;$W39, TRUE)</f>
        <v>0</v>
      </c>
      <c r="L39" s="3455" cm="1">
        <f t="array" aca="1" ref="L39" ca="1">INDIRECT("'※ 영업품질 세부데이터'!"&amp;L$1&amp;$W39, TRUE)</f>
        <v>0</v>
      </c>
      <c r="M39" s="3455" cm="1">
        <f t="array" aca="1" ref="M39" ca="1">INDIRECT("'※ 영업품질 세부데이터'!"&amp;M$1&amp;$W39, TRUE)</f>
        <v>0</v>
      </c>
      <c r="N39" s="3455" cm="1">
        <f t="array" aca="1" ref="N39" ca="1">INDIRECT("'※ 영업품질 세부데이터'!"&amp;N$1&amp;$W39, TRUE)</f>
        <v>0</v>
      </c>
      <c r="O39" s="3455" cm="1">
        <f t="array" aca="1" ref="O39" ca="1">INDIRECT("'※ 영업품질 세부데이터'!"&amp;O$1&amp;$W39, TRUE)</f>
        <v>1</v>
      </c>
      <c r="P39" s="3455" cm="1">
        <f t="array" aca="1" ref="P39" ca="1">INDIRECT("'※ 영업품질 세부데이터'!"&amp;P$1&amp;$W39, TRUE)</f>
        <v>0</v>
      </c>
      <c r="Q39" s="3455" cm="1">
        <f t="array" aca="1" ref="Q39" ca="1">INDIRECT("'※ 영업품질 세부데이터'!"&amp;Q$1&amp;$W39, TRUE)</f>
        <v>-1</v>
      </c>
      <c r="R39" s="3456" cm="1">
        <f t="array" aca="1" ref="R39" ca="1">INDIRECT("'※ 영업품질 세부데이터'!"&amp;R$1&amp;$W39, TRUE)</f>
        <v>0</v>
      </c>
      <c r="S39" s="3457" cm="1">
        <f t="array" aca="1" ref="S39" ca="1">INDIRECT("'※ 영업품질 세부데이터'!"&amp;S$1&amp;$W39, TRUE)</f>
        <v>4</v>
      </c>
      <c r="T39" s="3455" cm="1">
        <f t="array" aca="1" ref="T39" ca="1">INDIRECT("'※ 영업품질 세부데이터'!"&amp;T$1&amp;$W39, TRUE)</f>
        <v>-6</v>
      </c>
      <c r="U39" s="3458" cm="1">
        <f t="array" aca="1" ref="U39" ca="1">INDIRECT("'※ 영업품질 세부데이터'!"&amp;U$1&amp;$W39, TRUE)</f>
        <v>0.33333333333333331</v>
      </c>
      <c r="V39" s="3459" cm="1">
        <f t="array" aca="1" ref="V39" ca="1">INDIRECT("'※ 영업품질 세부데이터'!"&amp;V$1&amp;$W39, TRUE)</f>
        <v>-0.5</v>
      </c>
      <c r="W39" s="3002">
        <f>ROW('※ 영업품질 세부데이터'!A40)</f>
        <v>40</v>
      </c>
      <c r="Z39" s="3423"/>
    </row>
    <row r="40" spans="1:26" ht="15" customHeight="1" x14ac:dyDescent="0.55000000000000004">
      <c r="A40" s="7485"/>
      <c r="B40" s="3452"/>
      <c r="C40" s="3033" t="s">
        <v>146</v>
      </c>
      <c r="D40" s="3453" cm="1">
        <f t="array" aca="1" ref="D40" ca="1">INDIRECT("'※ 영업품질 세부데이터'!"&amp;D$1&amp;$W40, TRUE)</f>
        <v>3</v>
      </c>
      <c r="E40" s="3454" cm="1">
        <f t="array" aca="1" ref="E40" ca="1">INDIRECT("'※ 영업품질 세부데이터'!"&amp;E$1&amp;$W40, TRUE)</f>
        <v>0</v>
      </c>
      <c r="F40" s="3455" cm="1">
        <f t="array" aca="1" ref="F40" ca="1">INDIRECT("'※ 영업품질 세부데이터'!"&amp;F$1&amp;$W40, TRUE)</f>
        <v>0</v>
      </c>
      <c r="G40" s="3455" cm="1">
        <f t="array" aca="1" ref="G40" ca="1">INDIRECT("'※ 영업품질 세부데이터'!"&amp;G$1&amp;$W40, TRUE)</f>
        <v>0</v>
      </c>
      <c r="H40" s="3455" cm="1">
        <f t="array" aca="1" ref="H40" ca="1">INDIRECT("'※ 영업품질 세부데이터'!"&amp;H$1&amp;$W40, TRUE)</f>
        <v>1</v>
      </c>
      <c r="I40" s="3455" cm="1">
        <f t="array" aca="1" ref="I40" ca="1">INDIRECT("'※ 영업품질 세부데이터'!"&amp;I$1&amp;$W40, TRUE)</f>
        <v>0</v>
      </c>
      <c r="J40" s="3455" cm="1">
        <f t="array" aca="1" ref="J40" ca="1">INDIRECT("'※ 영업품질 세부데이터'!"&amp;J$1&amp;$W40, TRUE)</f>
        <v>0</v>
      </c>
      <c r="K40" s="3455" cm="1">
        <f t="array" aca="1" ref="K40" ca="1">INDIRECT("'※ 영업품질 세부데이터'!"&amp;K$1&amp;$W40, TRUE)</f>
        <v>1</v>
      </c>
      <c r="L40" s="3455" cm="1">
        <f t="array" aca="1" ref="L40" ca="1">INDIRECT("'※ 영업품질 세부데이터'!"&amp;L$1&amp;$W40, TRUE)</f>
        <v>0</v>
      </c>
      <c r="M40" s="3455" cm="1">
        <f t="array" aca="1" ref="M40" ca="1">INDIRECT("'※ 영업품질 세부데이터'!"&amp;M$1&amp;$W40, TRUE)</f>
        <v>0</v>
      </c>
      <c r="N40" s="3455" cm="1">
        <f t="array" aca="1" ref="N40" ca="1">INDIRECT("'※ 영업품질 세부데이터'!"&amp;N$1&amp;$W40, TRUE)</f>
        <v>0</v>
      </c>
      <c r="O40" s="3455" cm="1">
        <f t="array" aca="1" ref="O40" ca="1">INDIRECT("'※ 영업품질 세부데이터'!"&amp;O$1&amp;$W40, TRUE)</f>
        <v>0</v>
      </c>
      <c r="P40" s="3455" cm="1">
        <f t="array" aca="1" ref="P40" ca="1">INDIRECT("'※ 영업품질 세부데이터'!"&amp;P$1&amp;$W40, TRUE)</f>
        <v>0</v>
      </c>
      <c r="Q40" s="3455" cm="1">
        <f t="array" aca="1" ref="Q40" ca="1">INDIRECT("'※ 영업품질 세부데이터'!"&amp;Q$1&amp;$W40, TRUE)</f>
        <v>0</v>
      </c>
      <c r="R40" s="3456" cm="1">
        <f t="array" aca="1" ref="R40" ca="1">INDIRECT("'※ 영업품질 세부데이터'!"&amp;R$1&amp;$W40, TRUE)</f>
        <v>0</v>
      </c>
      <c r="S40" s="3457" cm="1">
        <f t="array" aca="1" ref="S40" ca="1">INDIRECT("'※ 영업품질 세부데이터'!"&amp;S$1&amp;$W40, TRUE)</f>
        <v>2</v>
      </c>
      <c r="T40" s="3455" cm="1">
        <f t="array" aca="1" ref="T40" ca="1">INDIRECT("'※ 영업품질 세부데이터'!"&amp;T$1&amp;$W40, TRUE)</f>
        <v>-1</v>
      </c>
      <c r="U40" s="3458" cm="1">
        <f t="array" aca="1" ref="U40" ca="1">INDIRECT("'※ 영업품질 세부데이터'!"&amp;U$1&amp;$W40, TRUE)</f>
        <v>0.16666666666666666</v>
      </c>
      <c r="V40" s="3459" cm="1">
        <f t="array" aca="1" ref="V40" ca="1">INDIRECT("'※ 영업품질 세부데이터'!"&amp;V$1&amp;$W40, TRUE)</f>
        <v>-8.3333333333333343E-2</v>
      </c>
      <c r="W40" s="3002">
        <f>ROW('※ 영업품질 세부데이터'!A41)</f>
        <v>41</v>
      </c>
      <c r="Z40" s="3423"/>
    </row>
    <row r="41" spans="1:26" ht="15" customHeight="1" x14ac:dyDescent="0.55000000000000004">
      <c r="A41" s="7485"/>
      <c r="B41" s="3452"/>
      <c r="C41" s="3033" t="s">
        <v>147</v>
      </c>
      <c r="D41" s="3453" cm="1">
        <f t="array" aca="1" ref="D41" ca="1">INDIRECT("'※ 영업품질 세부데이터'!"&amp;D$1&amp;$W41, TRUE)</f>
        <v>17</v>
      </c>
      <c r="E41" s="3454" cm="1">
        <f t="array" aca="1" ref="E41" ca="1">INDIRECT("'※ 영업품질 세부데이터'!"&amp;E$1&amp;$W41, TRUE)</f>
        <v>4</v>
      </c>
      <c r="F41" s="3455" cm="1">
        <f t="array" aca="1" ref="F41" ca="1">INDIRECT("'※ 영업품질 세부데이터'!"&amp;F$1&amp;$W41, TRUE)</f>
        <v>0</v>
      </c>
      <c r="G41" s="3455" cm="1">
        <f t="array" aca="1" ref="G41" ca="1">INDIRECT("'※ 영업품질 세부데이터'!"&amp;G$1&amp;$W41, TRUE)</f>
        <v>2</v>
      </c>
      <c r="H41" s="3455" cm="1">
        <f t="array" aca="1" ref="H41" ca="1">INDIRECT("'※ 영업품질 세부데이터'!"&amp;H$1&amp;$W41, TRUE)</f>
        <v>0</v>
      </c>
      <c r="I41" s="3455" cm="1">
        <f t="array" aca="1" ref="I41" ca="1">INDIRECT("'※ 영업품질 세부데이터'!"&amp;I$1&amp;$W41, TRUE)</f>
        <v>1</v>
      </c>
      <c r="J41" s="3455" cm="1">
        <f t="array" aca="1" ref="J41" ca="1">INDIRECT("'※ 영업품질 세부데이터'!"&amp;J$1&amp;$W41, TRUE)</f>
        <v>0</v>
      </c>
      <c r="K41" s="3455" cm="1">
        <f t="array" aca="1" ref="K41" ca="1">INDIRECT("'※ 영업품질 세부데이터'!"&amp;K$1&amp;$W41, TRUE)</f>
        <v>3</v>
      </c>
      <c r="L41" s="3455" cm="1">
        <f t="array" aca="1" ref="L41" ca="1">INDIRECT("'※ 영업품질 세부데이터'!"&amp;L$1&amp;$W41, TRUE)</f>
        <v>0</v>
      </c>
      <c r="M41" s="3455" cm="1">
        <f t="array" aca="1" ref="M41" ca="1">INDIRECT("'※ 영업품질 세부데이터'!"&amp;M$1&amp;$W41, TRUE)</f>
        <v>1</v>
      </c>
      <c r="N41" s="3455" cm="1">
        <f t="array" aca="1" ref="N41" ca="1">INDIRECT("'※ 영업품질 세부데이터'!"&amp;N$1&amp;$W41, TRUE)</f>
        <v>1</v>
      </c>
      <c r="O41" s="3455" cm="1">
        <f t="array" aca="1" ref="O41" ca="1">INDIRECT("'※ 영업품질 세부데이터'!"&amp;O$1&amp;$W41, TRUE)</f>
        <v>0</v>
      </c>
      <c r="P41" s="3455" cm="1">
        <f t="array" aca="1" ref="P41" ca="1">INDIRECT("'※ 영업품질 세부데이터'!"&amp;P$1&amp;$W41, TRUE)</f>
        <v>1</v>
      </c>
      <c r="Q41" s="3455" cm="1">
        <f t="array" aca="1" ref="Q41" ca="1">INDIRECT("'※ 영업품질 세부데이터'!"&amp;Q$1&amp;$W41, TRUE)</f>
        <v>1</v>
      </c>
      <c r="R41" s="3456" cm="1">
        <f t="array" aca="1" ref="R41" ca="1">INDIRECT("'※ 영업품질 세부데이터'!"&amp;R$1&amp;$W41, TRUE)</f>
        <v>1</v>
      </c>
      <c r="S41" s="3457" cm="1">
        <f t="array" aca="1" ref="S41" ca="1">INDIRECT("'※ 영업품질 세부데이터'!"&amp;S$1&amp;$W41, TRUE)</f>
        <v>13</v>
      </c>
      <c r="T41" s="3455" cm="1">
        <f t="array" aca="1" ref="T41" ca="1">INDIRECT("'※ 영업품질 세부데이터'!"&amp;T$1&amp;$W41, TRUE)</f>
        <v>-4</v>
      </c>
      <c r="U41" s="3458" cm="1">
        <f t="array" aca="1" ref="U41" ca="1">INDIRECT("'※ 영업품질 세부데이터'!"&amp;U$1&amp;$W41, TRUE)</f>
        <v>1.0833333333333333</v>
      </c>
      <c r="V41" s="3459" cm="1">
        <f t="array" aca="1" ref="V41" ca="1">INDIRECT("'※ 영업품질 세부데이터'!"&amp;V$1&amp;$W41, TRUE)</f>
        <v>-0.33333333333333348</v>
      </c>
      <c r="W41" s="3002">
        <f>ROW('※ 영업품질 세부데이터'!A42)</f>
        <v>42</v>
      </c>
      <c r="Z41" s="3423"/>
    </row>
    <row r="42" spans="1:26" ht="15" customHeight="1" x14ac:dyDescent="0.55000000000000004">
      <c r="A42" s="7485"/>
      <c r="B42" s="3452"/>
      <c r="C42" s="3033" t="s">
        <v>148</v>
      </c>
      <c r="D42" s="3453" cm="1">
        <f t="array" aca="1" ref="D42" ca="1">INDIRECT("'※ 영업품질 세부데이터'!"&amp;D$1&amp;$W42, TRUE)</f>
        <v>8</v>
      </c>
      <c r="E42" s="3454" cm="1">
        <f t="array" aca="1" ref="E42" ca="1">INDIRECT("'※ 영업품질 세부데이터'!"&amp;E$1&amp;$W42, TRUE)</f>
        <v>0</v>
      </c>
      <c r="F42" s="3455" cm="1">
        <f t="array" aca="1" ref="F42" ca="1">INDIRECT("'※ 영업품질 세부데이터'!"&amp;F$1&amp;$W42, TRUE)</f>
        <v>1</v>
      </c>
      <c r="G42" s="3455" cm="1">
        <f t="array" aca="1" ref="G42" ca="1">INDIRECT("'※ 영업품질 세부데이터'!"&amp;G$1&amp;$W42, TRUE)</f>
        <v>0</v>
      </c>
      <c r="H42" s="3455" cm="1">
        <f t="array" aca="1" ref="H42" ca="1">INDIRECT("'※ 영업품질 세부데이터'!"&amp;H$1&amp;$W42, TRUE)</f>
        <v>1</v>
      </c>
      <c r="I42" s="3455" cm="1">
        <f t="array" aca="1" ref="I42" ca="1">INDIRECT("'※ 영업품질 세부데이터'!"&amp;I$1&amp;$W42, TRUE)</f>
        <v>0</v>
      </c>
      <c r="J42" s="3455" cm="1">
        <f t="array" aca="1" ref="J42" ca="1">INDIRECT("'※ 영업품질 세부데이터'!"&amp;J$1&amp;$W42, TRUE)</f>
        <v>0</v>
      </c>
      <c r="K42" s="3455" cm="1">
        <f t="array" aca="1" ref="K42" ca="1">INDIRECT("'※ 영업품질 세부데이터'!"&amp;K$1&amp;$W42, TRUE)</f>
        <v>1</v>
      </c>
      <c r="L42" s="3455" cm="1">
        <f t="array" aca="1" ref="L42" ca="1">INDIRECT("'※ 영업품질 세부데이터'!"&amp;L$1&amp;$W42, TRUE)</f>
        <v>0</v>
      </c>
      <c r="M42" s="3455" cm="1">
        <f t="array" aca="1" ref="M42" ca="1">INDIRECT("'※ 영업품질 세부데이터'!"&amp;M$1&amp;$W42, TRUE)</f>
        <v>1</v>
      </c>
      <c r="N42" s="3455" cm="1">
        <f t="array" aca="1" ref="N42" ca="1">INDIRECT("'※ 영업품질 세부데이터'!"&amp;N$1&amp;$W42, TRUE)</f>
        <v>0</v>
      </c>
      <c r="O42" s="3455" cm="1">
        <f t="array" aca="1" ref="O42" ca="1">INDIRECT("'※ 영업품질 세부데이터'!"&amp;O$1&amp;$W42, TRUE)</f>
        <v>0</v>
      </c>
      <c r="P42" s="3455" cm="1">
        <f t="array" aca="1" ref="P42" ca="1">INDIRECT("'※ 영업품질 세부데이터'!"&amp;P$1&amp;$W42, TRUE)</f>
        <v>0</v>
      </c>
      <c r="Q42" s="3455" cm="1">
        <f t="array" aca="1" ref="Q42" ca="1">INDIRECT("'※ 영업품질 세부데이터'!"&amp;Q$1&amp;$W42, TRUE)</f>
        <v>0</v>
      </c>
      <c r="R42" s="3456" cm="1">
        <f t="array" aca="1" ref="R42" ca="1">INDIRECT("'※ 영업품질 세부데이터'!"&amp;R$1&amp;$W42, TRUE)</f>
        <v>0</v>
      </c>
      <c r="S42" s="3457" cm="1">
        <f t="array" aca="1" ref="S42" ca="1">INDIRECT("'※ 영업품질 세부데이터'!"&amp;S$1&amp;$W42, TRUE)</f>
        <v>4</v>
      </c>
      <c r="T42" s="3455" cm="1">
        <f t="array" aca="1" ref="T42" ca="1">INDIRECT("'※ 영업품질 세부데이터'!"&amp;T$1&amp;$W42, TRUE)</f>
        <v>-4</v>
      </c>
      <c r="U42" s="3458" cm="1">
        <f t="array" aca="1" ref="U42" ca="1">INDIRECT("'※ 영업품질 세부데이터'!"&amp;U$1&amp;$W42, TRUE)</f>
        <v>0.33333333333333331</v>
      </c>
      <c r="V42" s="3459" cm="1">
        <f t="array" aca="1" ref="V42" ca="1">INDIRECT("'※ 영업품질 세부데이터'!"&amp;V$1&amp;$W42, TRUE)</f>
        <v>-0.33333333333333331</v>
      </c>
      <c r="W42" s="3002">
        <f>ROW('※ 영업품질 세부데이터'!A43)</f>
        <v>43</v>
      </c>
      <c r="Z42" s="3423"/>
    </row>
    <row r="43" spans="1:26" ht="15" customHeight="1" x14ac:dyDescent="0.55000000000000004">
      <c r="A43" s="7485"/>
      <c r="B43" s="3452"/>
      <c r="C43" s="3033" t="s">
        <v>149</v>
      </c>
      <c r="D43" s="3453" cm="1">
        <f t="array" aca="1" ref="D43" ca="1">INDIRECT("'※ 영업품질 세부데이터'!"&amp;D$1&amp;$W43, TRUE)</f>
        <v>16</v>
      </c>
      <c r="E43" s="3454" cm="1">
        <f t="array" aca="1" ref="E43" ca="1">INDIRECT("'※ 영업품질 세부데이터'!"&amp;E$1&amp;$W43, TRUE)</f>
        <v>2</v>
      </c>
      <c r="F43" s="3455" cm="1">
        <f t="array" aca="1" ref="F43" ca="1">INDIRECT("'※ 영업품질 세부데이터'!"&amp;F$1&amp;$W43, TRUE)</f>
        <v>0</v>
      </c>
      <c r="G43" s="3455" cm="1">
        <f t="array" aca="1" ref="G43" ca="1">INDIRECT("'※ 영업품질 세부데이터'!"&amp;G$1&amp;$W43, TRUE)</f>
        <v>0</v>
      </c>
      <c r="H43" s="3455" cm="1">
        <f t="array" aca="1" ref="H43" ca="1">INDIRECT("'※ 영업품질 세부데이터'!"&amp;H$1&amp;$W43, TRUE)</f>
        <v>0</v>
      </c>
      <c r="I43" s="3455" cm="1">
        <f t="array" aca="1" ref="I43" ca="1">INDIRECT("'※ 영업품질 세부데이터'!"&amp;I$1&amp;$W43, TRUE)</f>
        <v>1</v>
      </c>
      <c r="J43" s="3455" cm="1">
        <f t="array" aca="1" ref="J43" ca="1">INDIRECT("'※ 영업품질 세부데이터'!"&amp;J$1&amp;$W43, TRUE)</f>
        <v>1</v>
      </c>
      <c r="K43" s="3455" cm="1">
        <f t="array" aca="1" ref="K43" ca="1">INDIRECT("'※ 영업품질 세부데이터'!"&amp;K$1&amp;$W43, TRUE)</f>
        <v>1</v>
      </c>
      <c r="L43" s="3455" cm="1">
        <f t="array" aca="1" ref="L43" ca="1">INDIRECT("'※ 영업품질 세부데이터'!"&amp;L$1&amp;$W43, TRUE)</f>
        <v>2</v>
      </c>
      <c r="M43" s="3455" cm="1">
        <f t="array" aca="1" ref="M43" ca="1">INDIRECT("'※ 영업품질 세부데이터'!"&amp;M$1&amp;$W43, TRUE)</f>
        <v>0</v>
      </c>
      <c r="N43" s="3455" cm="1">
        <f t="array" aca="1" ref="N43" ca="1">INDIRECT("'※ 영업품질 세부데이터'!"&amp;N$1&amp;$W43, TRUE)</f>
        <v>2</v>
      </c>
      <c r="O43" s="3455" cm="1">
        <f t="array" aca="1" ref="O43" ca="1">INDIRECT("'※ 영업품질 세부데이터'!"&amp;O$1&amp;$W43, TRUE)</f>
        <v>1</v>
      </c>
      <c r="P43" s="3455" cm="1">
        <f t="array" aca="1" ref="P43" ca="1">INDIRECT("'※ 영업품질 세부데이터'!"&amp;P$1&amp;$W43, TRUE)</f>
        <v>2</v>
      </c>
      <c r="Q43" s="3455" cm="1">
        <f t="array" aca="1" ref="Q43" ca="1">INDIRECT("'※ 영업품질 세부데이터'!"&amp;Q$1&amp;$W43, TRUE)</f>
        <v>1</v>
      </c>
      <c r="R43" s="3456" cm="1">
        <f t="array" aca="1" ref="R43" ca="1">INDIRECT("'※ 영업품질 세부데이터'!"&amp;R$1&amp;$W43, TRUE)</f>
        <v>1</v>
      </c>
      <c r="S43" s="3457" cm="1">
        <f t="array" aca="1" ref="S43" ca="1">INDIRECT("'※ 영업품질 세부데이터'!"&amp;S$1&amp;$W43, TRUE)</f>
        <v>12</v>
      </c>
      <c r="T43" s="3455" cm="1">
        <f t="array" aca="1" ref="T43" ca="1">INDIRECT("'※ 영업품질 세부데이터'!"&amp;T$1&amp;$W43, TRUE)</f>
        <v>-4</v>
      </c>
      <c r="U43" s="3458" cm="1">
        <f t="array" aca="1" ref="U43" ca="1">INDIRECT("'※ 영업품질 세부데이터'!"&amp;U$1&amp;$W43, TRUE)</f>
        <v>1</v>
      </c>
      <c r="V43" s="3459" cm="1">
        <f t="array" aca="1" ref="V43" ca="1">INDIRECT("'※ 영업품질 세부데이터'!"&amp;V$1&amp;$W43, TRUE)</f>
        <v>-0.33333333333333326</v>
      </c>
      <c r="W43" s="3002">
        <f>ROW('※ 영업품질 세부데이터'!A44)</f>
        <v>44</v>
      </c>
      <c r="Z43" s="3423"/>
    </row>
    <row r="44" spans="1:26" ht="15" customHeight="1" x14ac:dyDescent="0.55000000000000004">
      <c r="A44" s="7485"/>
      <c r="B44" s="3452"/>
      <c r="C44" s="3033" t="s">
        <v>150</v>
      </c>
      <c r="D44" s="3453" cm="1">
        <f t="array" aca="1" ref="D44" ca="1">INDIRECT("'※ 영업품질 세부데이터'!"&amp;D$1&amp;$W44, TRUE)</f>
        <v>9</v>
      </c>
      <c r="E44" s="3454" cm="1">
        <f t="array" aca="1" ref="E44" ca="1">INDIRECT("'※ 영업품질 세부데이터'!"&amp;E$1&amp;$W44, TRUE)</f>
        <v>0</v>
      </c>
      <c r="F44" s="3455" cm="1">
        <f t="array" aca="1" ref="F44" ca="1">INDIRECT("'※ 영업품질 세부데이터'!"&amp;F$1&amp;$W44, TRUE)</f>
        <v>0</v>
      </c>
      <c r="G44" s="3455" cm="1">
        <f t="array" aca="1" ref="G44" ca="1">INDIRECT("'※ 영업품질 세부데이터'!"&amp;G$1&amp;$W44, TRUE)</f>
        <v>1</v>
      </c>
      <c r="H44" s="3455" cm="1">
        <f t="array" aca="1" ref="H44" ca="1">INDIRECT("'※ 영업품질 세부데이터'!"&amp;H$1&amp;$W44, TRUE)</f>
        <v>0</v>
      </c>
      <c r="I44" s="3455" cm="1">
        <f t="array" aca="1" ref="I44" ca="1">INDIRECT("'※ 영업품질 세부데이터'!"&amp;I$1&amp;$W44, TRUE)</f>
        <v>0</v>
      </c>
      <c r="J44" s="3455" cm="1">
        <f t="array" aca="1" ref="J44" ca="1">INDIRECT("'※ 영업품질 세부데이터'!"&amp;J$1&amp;$W44, TRUE)</f>
        <v>1</v>
      </c>
      <c r="K44" s="3455" cm="1">
        <f t="array" aca="1" ref="K44" ca="1">INDIRECT("'※ 영업품질 세부데이터'!"&amp;K$1&amp;$W44, TRUE)</f>
        <v>1</v>
      </c>
      <c r="L44" s="3455" cm="1">
        <f t="array" aca="1" ref="L44" ca="1">INDIRECT("'※ 영업품질 세부데이터'!"&amp;L$1&amp;$W44, TRUE)</f>
        <v>2</v>
      </c>
      <c r="M44" s="3455" cm="1">
        <f t="array" aca="1" ref="M44" ca="1">INDIRECT("'※ 영업품질 세부데이터'!"&amp;M$1&amp;$W44, TRUE)</f>
        <v>1</v>
      </c>
      <c r="N44" s="3455" cm="1">
        <f t="array" aca="1" ref="N44" ca="1">INDIRECT("'※ 영업품질 세부데이터'!"&amp;N$1&amp;$W44, TRUE)</f>
        <v>1</v>
      </c>
      <c r="O44" s="3455" cm="1">
        <f t="array" aca="1" ref="O44" ca="1">INDIRECT("'※ 영업품질 세부데이터'!"&amp;O$1&amp;$W44, TRUE)</f>
        <v>0</v>
      </c>
      <c r="P44" s="3455" cm="1">
        <f t="array" aca="1" ref="P44" ca="1">INDIRECT("'※ 영업품질 세부데이터'!"&amp;P$1&amp;$W44, TRUE)</f>
        <v>0</v>
      </c>
      <c r="Q44" s="3455" cm="1">
        <f t="array" aca="1" ref="Q44" ca="1">INDIRECT("'※ 영업품질 세부데이터'!"&amp;Q$1&amp;$W44, TRUE)</f>
        <v>0</v>
      </c>
      <c r="R44" s="3456" cm="1">
        <f t="array" aca="1" ref="R44" ca="1">INDIRECT("'※ 영업품질 세부데이터'!"&amp;R$1&amp;$W44, TRUE)</f>
        <v>0</v>
      </c>
      <c r="S44" s="3457" cm="1">
        <f t="array" aca="1" ref="S44" ca="1">INDIRECT("'※ 영업품질 세부데이터'!"&amp;S$1&amp;$W44, TRUE)</f>
        <v>7</v>
      </c>
      <c r="T44" s="3455" cm="1">
        <f t="array" aca="1" ref="T44" ca="1">INDIRECT("'※ 영업품질 세부데이터'!"&amp;T$1&amp;$W44, TRUE)</f>
        <v>-2</v>
      </c>
      <c r="U44" s="3458" cm="1">
        <f t="array" aca="1" ref="U44" ca="1">INDIRECT("'※ 영업품질 세부데이터'!"&amp;U$1&amp;$W44, TRUE)</f>
        <v>0.58333333333333337</v>
      </c>
      <c r="V44" s="3459" cm="1">
        <f t="array" aca="1" ref="V44" ca="1">INDIRECT("'※ 영업품질 세부데이터'!"&amp;V$1&amp;$W44, TRUE)</f>
        <v>-0.16666666666666663</v>
      </c>
      <c r="W44" s="3002">
        <f>ROW('※ 영업품질 세부데이터'!A45)</f>
        <v>45</v>
      </c>
      <c r="Z44" s="3423"/>
    </row>
    <row r="45" spans="1:26" ht="15" customHeight="1" x14ac:dyDescent="0.55000000000000004">
      <c r="A45" s="7485"/>
      <c r="B45" s="3460"/>
      <c r="C45" s="2639" t="s">
        <v>151</v>
      </c>
      <c r="D45" s="3461" cm="1">
        <f t="array" aca="1" ref="D45" ca="1">INDIRECT("'※ 영업품질 세부데이터'!"&amp;D$1&amp;$W45, TRUE)</f>
        <v>10</v>
      </c>
      <c r="E45" s="3462" cm="1">
        <f t="array" aca="1" ref="E45" ca="1">INDIRECT("'※ 영업품질 세부데이터'!"&amp;E$1&amp;$W45, TRUE)</f>
        <v>1</v>
      </c>
      <c r="F45" s="3463" cm="1">
        <f t="array" aca="1" ref="F45" ca="1">INDIRECT("'※ 영업품질 세부데이터'!"&amp;F$1&amp;$W45, TRUE)</f>
        <v>0</v>
      </c>
      <c r="G45" s="3463" cm="1">
        <f t="array" aca="1" ref="G45" ca="1">INDIRECT("'※ 영업품질 세부데이터'!"&amp;G$1&amp;$W45, TRUE)</f>
        <v>1</v>
      </c>
      <c r="H45" s="3463" cm="1">
        <f t="array" aca="1" ref="H45" ca="1">INDIRECT("'※ 영업품질 세부데이터'!"&amp;H$1&amp;$W45, TRUE)</f>
        <v>0</v>
      </c>
      <c r="I45" s="3463" cm="1">
        <f t="array" aca="1" ref="I45" ca="1">INDIRECT("'※ 영업품질 세부데이터'!"&amp;I$1&amp;$W45, TRUE)</f>
        <v>1</v>
      </c>
      <c r="J45" s="3463" cm="1">
        <f t="array" aca="1" ref="J45" ca="1">INDIRECT("'※ 영업품질 세부데이터'!"&amp;J$1&amp;$W45, TRUE)</f>
        <v>1</v>
      </c>
      <c r="K45" s="3463" cm="1">
        <f t="array" aca="1" ref="K45" ca="1">INDIRECT("'※ 영업품질 세부데이터'!"&amp;K$1&amp;$W45, TRUE)</f>
        <v>0</v>
      </c>
      <c r="L45" s="3463" cm="1">
        <f t="array" aca="1" ref="L45" ca="1">INDIRECT("'※ 영업품질 세부데이터'!"&amp;L$1&amp;$W45, TRUE)</f>
        <v>0</v>
      </c>
      <c r="M45" s="3463" cm="1">
        <f t="array" aca="1" ref="M45" ca="1">INDIRECT("'※ 영업품질 세부데이터'!"&amp;M$1&amp;$W45, TRUE)</f>
        <v>0</v>
      </c>
      <c r="N45" s="3463" cm="1">
        <f t="array" aca="1" ref="N45" ca="1">INDIRECT("'※ 영업품질 세부데이터'!"&amp;N$1&amp;$W45, TRUE)</f>
        <v>0</v>
      </c>
      <c r="O45" s="3463" cm="1">
        <f t="array" aca="1" ref="O45" ca="1">INDIRECT("'※ 영업품질 세부데이터'!"&amp;O$1&amp;$W45, TRUE)</f>
        <v>0</v>
      </c>
      <c r="P45" s="3463" cm="1">
        <f t="array" aca="1" ref="P45" ca="1">INDIRECT("'※ 영업품질 세부데이터'!"&amp;P$1&amp;$W45, TRUE)</f>
        <v>2</v>
      </c>
      <c r="Q45" s="3463" cm="1">
        <f t="array" aca="1" ref="Q45" ca="1">INDIRECT("'※ 영업품질 세부데이터'!"&amp;Q$1&amp;$W45, TRUE)</f>
        <v>2</v>
      </c>
      <c r="R45" s="3464" cm="1">
        <f t="array" aca="1" ref="R45" ca="1">INDIRECT("'※ 영업품질 세부데이터'!"&amp;R$1&amp;$W45, TRUE)</f>
        <v>2</v>
      </c>
      <c r="S45" s="3465" cm="1">
        <f t="array" aca="1" ref="S45" ca="1">INDIRECT("'※ 영업품질 세부데이터'!"&amp;S$1&amp;$W45, TRUE)</f>
        <v>6</v>
      </c>
      <c r="T45" s="3463" cm="1">
        <f t="array" aca="1" ref="T45" ca="1">INDIRECT("'※ 영업품질 세부데이터'!"&amp;T$1&amp;$W45, TRUE)</f>
        <v>-4</v>
      </c>
      <c r="U45" s="3466" cm="1">
        <f t="array" aca="1" ref="U45" ca="1">INDIRECT("'※ 영업품질 세부데이터'!"&amp;U$1&amp;$W45, TRUE)</f>
        <v>0.5</v>
      </c>
      <c r="V45" s="3467" cm="1">
        <f t="array" aca="1" ref="V45" ca="1">INDIRECT("'※ 영업품질 세부데이터'!"&amp;V$1&amp;$W45, TRUE)</f>
        <v>-0.33333333333333337</v>
      </c>
      <c r="W45" s="3134">
        <f>ROW('※ 영업품질 세부데이터'!A46)</f>
        <v>46</v>
      </c>
      <c r="X45" s="3468"/>
      <c r="Y45" s="3468"/>
      <c r="Z45" s="3423"/>
    </row>
    <row r="46" spans="1:26" ht="15" customHeight="1" x14ac:dyDescent="0.55000000000000004">
      <c r="A46" s="7485"/>
      <c r="B46" s="3469"/>
      <c r="C46" s="3470" t="s">
        <v>152</v>
      </c>
      <c r="D46" s="3471" cm="1">
        <f t="array" aca="1" ref="D46" ca="1">INDIRECT("'※ 영업품질 세부데이터'!"&amp;D$1&amp;$W46, TRUE)</f>
        <v>8</v>
      </c>
      <c r="E46" s="3472" cm="1">
        <f t="array" aca="1" ref="E46" ca="1">INDIRECT("'※ 영업품질 세부데이터'!"&amp;E$1&amp;$W46, TRUE)</f>
        <v>0</v>
      </c>
      <c r="F46" s="3473" cm="1">
        <f t="array" aca="1" ref="F46" ca="1">INDIRECT("'※ 영업품질 세부데이터'!"&amp;F$1&amp;$W46, TRUE)</f>
        <v>1</v>
      </c>
      <c r="G46" s="3473" cm="1">
        <f t="array" aca="1" ref="G46" ca="1">INDIRECT("'※ 영업품질 세부데이터'!"&amp;G$1&amp;$W46, TRUE)</f>
        <v>1</v>
      </c>
      <c r="H46" s="3473" cm="1">
        <f t="array" aca="1" ref="H46" ca="1">INDIRECT("'※ 영업품질 세부데이터'!"&amp;H$1&amp;$W46, TRUE)</f>
        <v>1</v>
      </c>
      <c r="I46" s="3473" cm="1">
        <f t="array" aca="1" ref="I46" ca="1">INDIRECT("'※ 영업품질 세부데이터'!"&amp;I$1&amp;$W46, TRUE)</f>
        <v>0</v>
      </c>
      <c r="J46" s="3473" cm="1">
        <f t="array" aca="1" ref="J46" ca="1">INDIRECT("'※ 영업품질 세부데이터'!"&amp;J$1&amp;$W46, TRUE)</f>
        <v>1</v>
      </c>
      <c r="K46" s="3473" cm="1">
        <f t="array" aca="1" ref="K46" ca="1">INDIRECT("'※ 영업품질 세부데이터'!"&amp;K$1&amp;$W46, TRUE)</f>
        <v>0</v>
      </c>
      <c r="L46" s="3473" cm="1">
        <f t="array" aca="1" ref="L46" ca="1">INDIRECT("'※ 영업품질 세부데이터'!"&amp;L$1&amp;$W46, TRUE)</f>
        <v>1</v>
      </c>
      <c r="M46" s="3473" cm="1">
        <f t="array" aca="1" ref="M46" ca="1">INDIRECT("'※ 영업품질 세부데이터'!"&amp;M$1&amp;$W46, TRUE)</f>
        <v>0</v>
      </c>
      <c r="N46" s="3473" cm="1">
        <f t="array" aca="1" ref="N46" ca="1">INDIRECT("'※ 영업품질 세부데이터'!"&amp;N$1&amp;$W46, TRUE)</f>
        <v>1</v>
      </c>
      <c r="O46" s="3473" cm="1">
        <f t="array" aca="1" ref="O46" ca="1">INDIRECT("'※ 영업품질 세부데이터'!"&amp;O$1&amp;$W46, TRUE)</f>
        <v>1</v>
      </c>
      <c r="P46" s="3473" cm="1">
        <f t="array" aca="1" ref="P46" ca="1">INDIRECT("'※ 영업품질 세부데이터'!"&amp;P$1&amp;$W46, TRUE)</f>
        <v>2</v>
      </c>
      <c r="Q46" s="3473" cm="1">
        <f t="array" aca="1" ref="Q46" ca="1">INDIRECT("'※ 영업품질 세부데이터'!"&amp;Q$1&amp;$W46, TRUE)</f>
        <v>1</v>
      </c>
      <c r="R46" s="3474" cm="1">
        <f t="array" aca="1" ref="R46" ca="1">INDIRECT("'※ 영업품질 세부데이터'!"&amp;R$1&amp;$W46, TRUE)</f>
        <v>2</v>
      </c>
      <c r="S46" s="3475" cm="1">
        <f t="array" aca="1" ref="S46" ca="1">INDIRECT("'※ 영업품질 세부데이터'!"&amp;S$1&amp;$W46, TRUE)</f>
        <v>9</v>
      </c>
      <c r="T46" s="3473" cm="1">
        <f t="array" aca="1" ref="T46" ca="1">INDIRECT("'※ 영업품질 세부데이터'!"&amp;T$1&amp;$W46, TRUE)</f>
        <v>1</v>
      </c>
      <c r="U46" s="3476" cm="1">
        <f t="array" aca="1" ref="U46" ca="1">INDIRECT("'※ 영업품질 세부데이터'!"&amp;U$1&amp;$W46, TRUE)</f>
        <v>0.75</v>
      </c>
      <c r="V46" s="3477" cm="1">
        <f t="array" aca="1" ref="V46" ca="1">INDIRECT("'※ 영업품질 세부데이터'!"&amp;V$1&amp;$W46, TRUE)</f>
        <v>8.333333333333337E-2</v>
      </c>
      <c r="W46" s="3134">
        <f>ROW('※ 영업품질 세부데이터'!A47)</f>
        <v>47</v>
      </c>
      <c r="X46" s="3468"/>
      <c r="Y46" s="3468"/>
      <c r="Z46" s="3423"/>
    </row>
    <row r="47" spans="1:26" ht="16" customHeight="1" x14ac:dyDescent="0.55000000000000004">
      <c r="A47" s="7485"/>
      <c r="B47" s="3478" t="s">
        <v>137</v>
      </c>
      <c r="C47" s="3145"/>
      <c r="D47" s="3479" cm="1">
        <f t="array" aca="1" ref="D47" ca="1">INDIRECT("'※ 영업품질 세부데이터'!"&amp;D$1&amp;$W47, TRUE)</f>
        <v>64</v>
      </c>
      <c r="E47" s="3480" cm="1">
        <f t="array" aca="1" ref="E47" ca="1">INDIRECT("'※ 영업품질 세부데이터'!"&amp;E$1&amp;$W47, TRUE)</f>
        <v>8</v>
      </c>
      <c r="F47" s="3481" cm="1">
        <f t="array" aca="1" ref="F47" ca="1">INDIRECT("'※ 영업품질 세부데이터'!"&amp;F$1&amp;$W47, TRUE)</f>
        <v>8</v>
      </c>
      <c r="G47" s="3481" cm="1">
        <f t="array" aca="1" ref="G47" ca="1">INDIRECT("'※ 영업품질 세부데이터'!"&amp;G$1&amp;$W47, TRUE)</f>
        <v>10</v>
      </c>
      <c r="H47" s="3481" cm="1">
        <f t="array" aca="1" ref="H47" ca="1">INDIRECT("'※ 영업품질 세부데이터'!"&amp;H$1&amp;$W47, TRUE)</f>
        <v>7</v>
      </c>
      <c r="I47" s="3481" cm="1">
        <f t="array" aca="1" ref="I47" ca="1">INDIRECT("'※ 영업품질 세부데이터'!"&amp;I$1&amp;$W47, TRUE)</f>
        <v>9</v>
      </c>
      <c r="J47" s="3481" cm="1">
        <f t="array" aca="1" ref="J47" ca="1">INDIRECT("'※ 영업품질 세부데이터'!"&amp;J$1&amp;$W47, TRUE)</f>
        <v>13</v>
      </c>
      <c r="K47" s="3481" cm="1">
        <f t="array" aca="1" ref="K47" ca="1">INDIRECT("'※ 영업품질 세부데이터'!"&amp;K$1&amp;$W47, TRUE)</f>
        <v>10</v>
      </c>
      <c r="L47" s="3481" cm="1">
        <f t="array" aca="1" ref="L47" ca="1">INDIRECT("'※ 영업품질 세부데이터'!"&amp;L$1&amp;$W47, TRUE)</f>
        <v>6</v>
      </c>
      <c r="M47" s="3481" cm="1">
        <f t="array" aca="1" ref="M47" ca="1">INDIRECT("'※ 영업품질 세부데이터'!"&amp;M$1&amp;$W47, TRUE)</f>
        <v>7</v>
      </c>
      <c r="N47" s="3481" cm="1">
        <f t="array" aca="1" ref="N47" ca="1">INDIRECT("'※ 영업품질 세부데이터'!"&amp;N$1&amp;$W47, TRUE)</f>
        <v>2</v>
      </c>
      <c r="O47" s="3481" cm="1">
        <f t="array" aca="1" ref="O47" ca="1">INDIRECT("'※ 영업품질 세부데이터'!"&amp;O$1&amp;$W47, TRUE)</f>
        <v>13</v>
      </c>
      <c r="P47" s="3481" cm="1">
        <f t="array" aca="1" ref="P47" ca="1">INDIRECT("'※ 영업품질 세부데이터'!"&amp;P$1&amp;$W47, TRUE)</f>
        <v>5</v>
      </c>
      <c r="Q47" s="3481" cm="1">
        <f t="array" aca="1" ref="Q47" ca="1">INDIRECT("'※ 영업품질 세부데이터'!"&amp;Q$1&amp;$W47, TRUE)</f>
        <v>-8</v>
      </c>
      <c r="R47" s="3482" cm="1">
        <f t="array" aca="1" ref="R47" ca="1">INDIRECT("'※ 영업품질 세부데이터'!"&amp;R$1&amp;$W47, TRUE)</f>
        <v>4</v>
      </c>
      <c r="S47" s="3483" cm="1">
        <f t="array" aca="1" ref="S47" ca="1">INDIRECT("'※ 영업품질 세부데이터'!"&amp;S$1&amp;$W47, TRUE)</f>
        <v>98</v>
      </c>
      <c r="T47" s="3481" cm="1">
        <f t="array" aca="1" ref="T47" ca="1">INDIRECT("'※ 영업품질 세부데이터'!"&amp;T$1&amp;$W47, TRUE)</f>
        <v>34</v>
      </c>
      <c r="U47" s="3484" cm="1">
        <f t="array" aca="1" ref="U47" ca="1">INDIRECT("'※ 영업품질 세부데이터'!"&amp;U$1&amp;$W47, TRUE)</f>
        <v>8.1666666666666661</v>
      </c>
      <c r="V47" s="3485" cm="1">
        <f t="array" aca="1" ref="V47" ca="1">INDIRECT("'※ 영업품질 세부데이터'!"&amp;V$1&amp;$W47, TRUE)</f>
        <v>2.833333333333333</v>
      </c>
      <c r="W47" s="3134">
        <f>ROW('※ 영업품질 세부데이터'!A48)</f>
        <v>48</v>
      </c>
      <c r="X47" s="3468"/>
      <c r="Y47" s="3468"/>
      <c r="Z47" s="3423"/>
    </row>
    <row r="48" spans="1:26" ht="15" customHeight="1" x14ac:dyDescent="0.55000000000000004">
      <c r="A48" s="7485"/>
      <c r="B48" s="3486"/>
      <c r="C48" s="2639" t="s">
        <v>143</v>
      </c>
      <c r="D48" s="3461" cm="1">
        <f t="array" aca="1" ref="D48" ca="1">INDIRECT("'※ 영업품질 세부데이터'!"&amp;D$1&amp;$W48, TRUE)</f>
        <v>7</v>
      </c>
      <c r="E48" s="3462" cm="1">
        <f t="array" aca="1" ref="E48" ca="1">INDIRECT("'※ 영업품질 세부데이터'!"&amp;E$1&amp;$W48, TRUE)</f>
        <v>4</v>
      </c>
      <c r="F48" s="3463" cm="1">
        <f t="array" aca="1" ref="F48" ca="1">INDIRECT("'※ 영업품질 세부데이터'!"&amp;F$1&amp;$W48, TRUE)</f>
        <v>4</v>
      </c>
      <c r="G48" s="3463" cm="1">
        <f t="array" aca="1" ref="G48" ca="1">INDIRECT("'※ 영업품질 세부데이터'!"&amp;G$1&amp;$W48, TRUE)</f>
        <v>3</v>
      </c>
      <c r="H48" s="3463" cm="1">
        <f t="array" aca="1" ref="H48" ca="1">INDIRECT("'※ 영업품질 세부데이터'!"&amp;H$1&amp;$W48, TRUE)</f>
        <v>3</v>
      </c>
      <c r="I48" s="3463" cm="1">
        <f t="array" aca="1" ref="I48" ca="1">INDIRECT("'※ 영업품질 세부데이터'!"&amp;I$1&amp;$W48, TRUE)</f>
        <v>2</v>
      </c>
      <c r="J48" s="3463" cm="1">
        <f t="array" aca="1" ref="J48" ca="1">INDIRECT("'※ 영업품질 세부데이터'!"&amp;J$1&amp;$W48, TRUE)</f>
        <v>3</v>
      </c>
      <c r="K48" s="3463" cm="1">
        <f t="array" aca="1" ref="K48" ca="1">INDIRECT("'※ 영업품질 세부데이터'!"&amp;K$1&amp;$W48, TRUE)</f>
        <v>2</v>
      </c>
      <c r="L48" s="3463" cm="1">
        <f t="array" aca="1" ref="L48" ca="1">INDIRECT("'※ 영업품질 세부데이터'!"&amp;L$1&amp;$W48, TRUE)</f>
        <v>0</v>
      </c>
      <c r="M48" s="3463" cm="1">
        <f t="array" aca="1" ref="M48" ca="1">INDIRECT("'※ 영업품질 세부데이터'!"&amp;M$1&amp;$W48, TRUE)</f>
        <v>1</v>
      </c>
      <c r="N48" s="3463" cm="1">
        <f t="array" aca="1" ref="N48" ca="1">INDIRECT("'※ 영업품질 세부데이터'!"&amp;N$1&amp;$W48, TRUE)</f>
        <v>0</v>
      </c>
      <c r="O48" s="3463" cm="1">
        <f t="array" aca="1" ref="O48" ca="1">INDIRECT("'※ 영업품질 세부데이터'!"&amp;O$1&amp;$W48, TRUE)</f>
        <v>3</v>
      </c>
      <c r="P48" s="3463" cm="1">
        <f t="array" aca="1" ref="P48" ca="1">INDIRECT("'※ 영업품질 세부데이터'!"&amp;P$1&amp;$W48, TRUE)</f>
        <v>1</v>
      </c>
      <c r="Q48" s="3463" cm="1">
        <f t="array" aca="1" ref="Q48" ca="1">INDIRECT("'※ 영업품질 세부데이터'!"&amp;Q$1&amp;$W48, TRUE)</f>
        <v>-2</v>
      </c>
      <c r="R48" s="3464" cm="1">
        <f t="array" aca="1" ref="R48" ca="1">INDIRECT("'※ 영업품질 세부데이터'!"&amp;R$1&amp;$W48, TRUE)</f>
        <v>1</v>
      </c>
      <c r="S48" s="3465" cm="1">
        <f t="array" aca="1" ref="S48" ca="1">INDIRECT("'※ 영업품질 세부데이터'!"&amp;S$1&amp;$W48, TRUE)</f>
        <v>26</v>
      </c>
      <c r="T48" s="3463" cm="1">
        <f t="array" aca="1" ref="T48" ca="1">INDIRECT("'※ 영업품질 세부데이터'!"&amp;T$1&amp;$W48, TRUE)</f>
        <v>19</v>
      </c>
      <c r="U48" s="3466" cm="1">
        <f t="array" aca="1" ref="U48" ca="1">INDIRECT("'※ 영업품질 세부데이터'!"&amp;U$1&amp;$W48, TRUE)</f>
        <v>2.1666666666666665</v>
      </c>
      <c r="V48" s="3467" cm="1">
        <f t="array" aca="1" ref="V48" ca="1">INDIRECT("'※ 영업품질 세부데이터'!"&amp;V$1&amp;$W48, TRUE)</f>
        <v>1.583333333333333</v>
      </c>
      <c r="W48" s="3134">
        <f>ROW('※ 영업품질 세부데이터'!A49)</f>
        <v>49</v>
      </c>
      <c r="X48" s="3468"/>
      <c r="Y48" s="3468"/>
      <c r="Z48" s="3423"/>
    </row>
    <row r="49" spans="1:26" ht="15" customHeight="1" x14ac:dyDescent="0.55000000000000004">
      <c r="A49" s="7485"/>
      <c r="B49" s="3486"/>
      <c r="C49" s="2639" t="s">
        <v>153</v>
      </c>
      <c r="D49" s="3461" cm="1">
        <f t="array" aca="1" ref="D49" ca="1">INDIRECT("'※ 영업품질 세부데이터'!"&amp;D$1&amp;$W49, TRUE)</f>
        <v>3</v>
      </c>
      <c r="E49" s="3462" cm="1">
        <f t="array" aca="1" ref="E49" ca="1">INDIRECT("'※ 영업품질 세부데이터'!"&amp;E$1&amp;$W49, TRUE)</f>
        <v>0</v>
      </c>
      <c r="F49" s="3463" cm="1">
        <f t="array" aca="1" ref="F49" ca="1">INDIRECT("'※ 영업품질 세부데이터'!"&amp;F$1&amp;$W49, TRUE)</f>
        <v>0</v>
      </c>
      <c r="G49" s="3463" cm="1">
        <f t="array" aca="1" ref="G49" ca="1">INDIRECT("'※ 영업품질 세부데이터'!"&amp;G$1&amp;$W49, TRUE)</f>
        <v>1</v>
      </c>
      <c r="H49" s="3463" cm="1">
        <f t="array" aca="1" ref="H49" ca="1">INDIRECT("'※ 영업품질 세부데이터'!"&amp;H$1&amp;$W49, TRUE)</f>
        <v>2</v>
      </c>
      <c r="I49" s="3463" cm="1">
        <f t="array" aca="1" ref="I49" ca="1">INDIRECT("'※ 영업품질 세부데이터'!"&amp;I$1&amp;$W49, TRUE)</f>
        <v>0</v>
      </c>
      <c r="J49" s="3463" cm="1">
        <f t="array" aca="1" ref="J49" ca="1">INDIRECT("'※ 영업품질 세부데이터'!"&amp;J$1&amp;$W49, TRUE)</f>
        <v>3</v>
      </c>
      <c r="K49" s="3487"/>
      <c r="L49" s="3487"/>
      <c r="M49" s="3487"/>
      <c r="N49" s="3487"/>
      <c r="O49" s="3487"/>
      <c r="P49" s="3487"/>
      <c r="Q49" s="3487"/>
      <c r="R49" s="3488"/>
      <c r="S49" s="3489"/>
      <c r="T49" s="3487"/>
      <c r="U49" s="3490"/>
      <c r="V49" s="3491"/>
      <c r="W49" s="3134">
        <f>ROW('※ 영업품질 세부데이터'!A50)</f>
        <v>50</v>
      </c>
      <c r="X49" s="3468"/>
      <c r="Y49" s="3468"/>
      <c r="Z49" s="3423"/>
    </row>
    <row r="50" spans="1:26" ht="15" customHeight="1" x14ac:dyDescent="0.55000000000000004">
      <c r="A50" s="7485"/>
      <c r="B50" s="3486"/>
      <c r="C50" s="2639" t="s">
        <v>145</v>
      </c>
      <c r="D50" s="3461" cm="1">
        <f t="array" aca="1" ref="D50" ca="1">INDIRECT("'※ 영업품질 세부데이터'!"&amp;D$1&amp;$W50, TRUE)</f>
        <v>7</v>
      </c>
      <c r="E50" s="3462" cm="1">
        <f t="array" aca="1" ref="E50" ca="1">INDIRECT("'※ 영업품질 세부데이터'!"&amp;E$1&amp;$W50, TRUE)</f>
        <v>0</v>
      </c>
      <c r="F50" s="3463" cm="1">
        <f t="array" aca="1" ref="F50" ca="1">INDIRECT("'※ 영업품질 세부데이터'!"&amp;F$1&amp;$W50, TRUE)</f>
        <v>2</v>
      </c>
      <c r="G50" s="3463" cm="1">
        <f t="array" aca="1" ref="G50" ca="1">INDIRECT("'※ 영업품질 세부데이터'!"&amp;G$1&amp;$W50, TRUE)</f>
        <v>2</v>
      </c>
      <c r="H50" s="3463" cm="1">
        <f t="array" aca="1" ref="H50" ca="1">INDIRECT("'※ 영업품질 세부데이터'!"&amp;H$1&amp;$W50, TRUE)</f>
        <v>0</v>
      </c>
      <c r="I50" s="3463" cm="1">
        <f t="array" aca="1" ref="I50" ca="1">INDIRECT("'※ 영업품질 세부데이터'!"&amp;I$1&amp;$W50, TRUE)</f>
        <v>0</v>
      </c>
      <c r="J50" s="3463" cm="1">
        <f t="array" aca="1" ref="J50" ca="1">INDIRECT("'※ 영업품질 세부데이터'!"&amp;J$1&amp;$W50, TRUE)</f>
        <v>1</v>
      </c>
      <c r="K50" s="3463" cm="1">
        <f t="array" aca="1" ref="K50" ca="1">INDIRECT("'※ 영업품질 세부데이터'!"&amp;K$1&amp;$W50, TRUE)</f>
        <v>3</v>
      </c>
      <c r="L50" s="3463" cm="1">
        <f t="array" aca="1" ref="L50" ca="1">INDIRECT("'※ 영업품질 세부데이터'!"&amp;L$1&amp;$W50, TRUE)</f>
        <v>1</v>
      </c>
      <c r="M50" s="3463" cm="1">
        <f t="array" aca="1" ref="M50" ca="1">INDIRECT("'※ 영업품질 세부데이터'!"&amp;M$1&amp;$W50, TRUE)</f>
        <v>1</v>
      </c>
      <c r="N50" s="3463" cm="1">
        <f t="array" aca="1" ref="N50" ca="1">INDIRECT("'※ 영업품질 세부데이터'!"&amp;N$1&amp;$W50, TRUE)</f>
        <v>0</v>
      </c>
      <c r="O50" s="3463" cm="1">
        <f t="array" aca="1" ref="O50" ca="1">INDIRECT("'※ 영업품질 세부데이터'!"&amp;O$1&amp;$W50, TRUE)</f>
        <v>1</v>
      </c>
      <c r="P50" s="3463" cm="1">
        <f t="array" aca="1" ref="P50" ca="1">INDIRECT("'※ 영업품질 세부데이터'!"&amp;P$1&amp;$W50, TRUE)</f>
        <v>2</v>
      </c>
      <c r="Q50" s="3463" cm="1">
        <f t="array" aca="1" ref="Q50" ca="1">INDIRECT("'※ 영업품질 세부데이터'!"&amp;Q$1&amp;$W50, TRUE)</f>
        <v>1</v>
      </c>
      <c r="R50" s="3464" cm="1">
        <f t="array" aca="1" ref="R50" ca="1">INDIRECT("'※ 영업품질 세부데이터'!"&amp;R$1&amp;$W50, TRUE)</f>
        <v>2</v>
      </c>
      <c r="S50" s="3465" cm="1">
        <f t="array" aca="1" ref="S50" ca="1">INDIRECT("'※ 영업품질 세부데이터'!"&amp;S$1&amp;$W50, TRUE)</f>
        <v>13</v>
      </c>
      <c r="T50" s="3463" cm="1">
        <f t="array" aca="1" ref="T50" ca="1">INDIRECT("'※ 영업품질 세부데이터'!"&amp;T$1&amp;$W50, TRUE)</f>
        <v>6</v>
      </c>
      <c r="U50" s="3466" cm="1">
        <f t="array" aca="1" ref="U50" ca="1">INDIRECT("'※ 영업품질 세부데이터'!"&amp;U$1&amp;$W50, TRUE)</f>
        <v>1.0833333333333333</v>
      </c>
      <c r="V50" s="3467" cm="1">
        <f t="array" aca="1" ref="V50" ca="1">INDIRECT("'※ 영업품질 세부데이터'!"&amp;V$1&amp;$W50, TRUE)</f>
        <v>0.49999999999999989</v>
      </c>
      <c r="W50" s="3134">
        <f>ROW('※ 영업품질 세부데이터'!A51)</f>
        <v>51</v>
      </c>
      <c r="X50" s="3468"/>
      <c r="Y50" s="3468"/>
      <c r="Z50" s="3423"/>
    </row>
    <row r="51" spans="1:26" ht="15" customHeight="1" x14ac:dyDescent="0.55000000000000004">
      <c r="A51" s="7485"/>
      <c r="B51" s="3486"/>
      <c r="C51" s="2639" t="s">
        <v>154</v>
      </c>
      <c r="D51" s="3461" cm="1">
        <f t="array" aca="1" ref="D51" ca="1">INDIRECT("'※ 영업품질 세부데이터'!"&amp;D$1&amp;$W51, TRUE)</f>
        <v>12</v>
      </c>
      <c r="E51" s="3462" cm="1">
        <f t="array" aca="1" ref="E51" ca="1">INDIRECT("'※ 영업품질 세부데이터'!"&amp;E$1&amp;$W51, TRUE)</f>
        <v>1</v>
      </c>
      <c r="F51" s="3463" cm="1">
        <f t="array" aca="1" ref="F51" ca="1">INDIRECT("'※ 영업품질 세부데이터'!"&amp;F$1&amp;$W51, TRUE)</f>
        <v>1</v>
      </c>
      <c r="G51" s="3463" cm="1">
        <f t="array" aca="1" ref="G51" ca="1">INDIRECT("'※ 영업품질 세부데이터'!"&amp;G$1&amp;$W51, TRUE)</f>
        <v>1</v>
      </c>
      <c r="H51" s="3463" cm="1">
        <f t="array" aca="1" ref="H51" ca="1">INDIRECT("'※ 영업품질 세부데이터'!"&amp;H$1&amp;$W51, TRUE)</f>
        <v>2</v>
      </c>
      <c r="I51" s="3463" cm="1">
        <f t="array" aca="1" ref="I51" ca="1">INDIRECT("'※ 영업품질 세부데이터'!"&amp;I$1&amp;$W51, TRUE)</f>
        <v>4</v>
      </c>
      <c r="J51" s="3463" cm="1">
        <f t="array" aca="1" ref="J51" ca="1">INDIRECT("'※ 영업품질 세부데이터'!"&amp;J$1&amp;$W51, TRUE)</f>
        <v>4</v>
      </c>
      <c r="K51" s="3463" cm="1">
        <f t="array" aca="1" ref="K51" ca="1">INDIRECT("'※ 영업품질 세부데이터'!"&amp;K$1&amp;$W51, TRUE)</f>
        <v>2</v>
      </c>
      <c r="L51" s="3463" cm="1">
        <f t="array" aca="1" ref="L51" ca="1">INDIRECT("'※ 영업품질 세부데이터'!"&amp;L$1&amp;$W51, TRUE)</f>
        <v>1</v>
      </c>
      <c r="M51" s="3463" cm="1">
        <f t="array" aca="1" ref="M51" ca="1">INDIRECT("'※ 영업품질 세부데이터'!"&amp;M$1&amp;$W51, TRUE)</f>
        <v>1</v>
      </c>
      <c r="N51" s="3463" cm="1">
        <f t="array" aca="1" ref="N51" ca="1">INDIRECT("'※ 영업품질 세부데이터'!"&amp;N$1&amp;$W51, TRUE)</f>
        <v>2</v>
      </c>
      <c r="O51" s="3463" cm="1">
        <f t="array" aca="1" ref="O51" ca="1">INDIRECT("'※ 영업품질 세부데이터'!"&amp;O$1&amp;$W51, TRUE)</f>
        <v>1</v>
      </c>
      <c r="P51" s="3463" cm="1">
        <f t="array" aca="1" ref="P51" ca="1">INDIRECT("'※ 영업품질 세부데이터'!"&amp;P$1&amp;$W51, TRUE)</f>
        <v>0</v>
      </c>
      <c r="Q51" s="3463" cm="1">
        <f t="array" aca="1" ref="Q51" ca="1">INDIRECT("'※ 영업품질 세부데이터'!"&amp;Q$1&amp;$W51, TRUE)</f>
        <v>-1</v>
      </c>
      <c r="R51" s="3464" cm="1">
        <f t="array" aca="1" ref="R51" ca="1">INDIRECT("'※ 영업품질 세부데이터'!"&amp;R$1&amp;$W51, TRUE)</f>
        <v>-1</v>
      </c>
      <c r="S51" s="3465" cm="1">
        <f t="array" aca="1" ref="S51" ca="1">INDIRECT("'※ 영업품질 세부데이터'!"&amp;S$1&amp;$W51, TRUE)</f>
        <v>20</v>
      </c>
      <c r="T51" s="3463" cm="1">
        <f t="array" aca="1" ref="T51" ca="1">INDIRECT("'※ 영업품질 세부데이터'!"&amp;T$1&amp;$W51, TRUE)</f>
        <v>8</v>
      </c>
      <c r="U51" s="3466" cm="1">
        <f t="array" aca="1" ref="U51" ca="1">INDIRECT("'※ 영업품질 세부데이터'!"&amp;U$1&amp;$W51, TRUE)</f>
        <v>1.6666666666666667</v>
      </c>
      <c r="V51" s="3467" cm="1">
        <f t="array" aca="1" ref="V51" ca="1">INDIRECT("'※ 영업품질 세부데이터'!"&amp;V$1&amp;$W51, TRUE)</f>
        <v>0.66666666666666674</v>
      </c>
      <c r="W51" s="3134">
        <f>ROW('※ 영업품질 세부데이터'!A52)</f>
        <v>52</v>
      </c>
      <c r="X51" s="3468"/>
      <c r="Y51" s="3468"/>
      <c r="Z51" s="3423"/>
    </row>
    <row r="52" spans="1:26" ht="15" customHeight="1" x14ac:dyDescent="0.55000000000000004">
      <c r="A52" s="7485"/>
      <c r="B52" s="3486"/>
      <c r="C52" s="2639" t="s">
        <v>149</v>
      </c>
      <c r="D52" s="3461" cm="1">
        <f t="array" aca="1" ref="D52" ca="1">INDIRECT("'※ 영업품질 세부데이터'!"&amp;D$1&amp;$W52, TRUE)</f>
        <v>15</v>
      </c>
      <c r="E52" s="3462" cm="1">
        <f t="array" aca="1" ref="E52" ca="1">INDIRECT("'※ 영업품질 세부데이터'!"&amp;E$1&amp;$W52, TRUE)</f>
        <v>1</v>
      </c>
      <c r="F52" s="3463" cm="1">
        <f t="array" aca="1" ref="F52" ca="1">INDIRECT("'※ 영업품질 세부데이터'!"&amp;F$1&amp;$W52, TRUE)</f>
        <v>1</v>
      </c>
      <c r="G52" s="3463" cm="1">
        <f t="array" aca="1" ref="G52" ca="1">INDIRECT("'※ 영업품질 세부데이터'!"&amp;G$1&amp;$W52, TRUE)</f>
        <v>1</v>
      </c>
      <c r="H52" s="3463" cm="1">
        <f t="array" aca="1" ref="H52" ca="1">INDIRECT("'※ 영업품질 세부데이터'!"&amp;H$1&amp;$W52, TRUE)</f>
        <v>0</v>
      </c>
      <c r="I52" s="3463" cm="1">
        <f t="array" aca="1" ref="I52" ca="1">INDIRECT("'※ 영업품질 세부데이터'!"&amp;I$1&amp;$W52, TRUE)</f>
        <v>3</v>
      </c>
      <c r="J52" s="3463" cm="1">
        <f t="array" aca="1" ref="J52" ca="1">INDIRECT("'※ 영업품질 세부데이터'!"&amp;J$1&amp;$W52, TRUE)</f>
        <v>1</v>
      </c>
      <c r="K52" s="3463" cm="1">
        <f t="array" aca="1" ref="K52" ca="1">INDIRECT("'※ 영업품질 세부데이터'!"&amp;K$1&amp;$W52, TRUE)</f>
        <v>2</v>
      </c>
      <c r="L52" s="3463" cm="1">
        <f t="array" aca="1" ref="L52" ca="1">INDIRECT("'※ 영업품질 세부데이터'!"&amp;L$1&amp;$W52, TRUE)</f>
        <v>1</v>
      </c>
      <c r="M52" s="3463" cm="1">
        <f t="array" aca="1" ref="M52" ca="1">INDIRECT("'※ 영업품질 세부데이터'!"&amp;M$1&amp;$W52, TRUE)</f>
        <v>3</v>
      </c>
      <c r="N52" s="3463" cm="1">
        <f t="array" aca="1" ref="N52" ca="1">INDIRECT("'※ 영업품질 세부데이터'!"&amp;N$1&amp;$W52, TRUE)</f>
        <v>0</v>
      </c>
      <c r="O52" s="3463" cm="1">
        <f t="array" aca="1" ref="O52" ca="1">INDIRECT("'※ 영업품질 세부데이터'!"&amp;O$1&amp;$W52, TRUE)</f>
        <v>3</v>
      </c>
      <c r="P52" s="3463" cm="1">
        <f t="array" aca="1" ref="P52" ca="1">INDIRECT("'※ 영업품질 세부데이터'!"&amp;P$1&amp;$W52, TRUE)</f>
        <v>0</v>
      </c>
      <c r="Q52" s="3463" cm="1">
        <f t="array" aca="1" ref="Q52" ca="1">INDIRECT("'※ 영업품질 세부데이터'!"&amp;Q$1&amp;$W52, TRUE)</f>
        <v>-3</v>
      </c>
      <c r="R52" s="3464" cm="1">
        <f t="array" aca="1" ref="R52" ca="1">INDIRECT("'※ 영업품질 세부데이터'!"&amp;R$1&amp;$W52, TRUE)</f>
        <v>0</v>
      </c>
      <c r="S52" s="3465" cm="1">
        <f t="array" aca="1" ref="S52" ca="1">INDIRECT("'※ 영업품질 세부데이터'!"&amp;S$1&amp;$W52, TRUE)</f>
        <v>16</v>
      </c>
      <c r="T52" s="3463" cm="1">
        <f t="array" aca="1" ref="T52" ca="1">INDIRECT("'※ 영업품질 세부데이터'!"&amp;T$1&amp;$W52, TRUE)</f>
        <v>1</v>
      </c>
      <c r="U52" s="3466" cm="1">
        <f t="array" aca="1" ref="U52" ca="1">INDIRECT("'※ 영업품질 세부데이터'!"&amp;U$1&amp;$W52, TRUE)</f>
        <v>1.3333333333333333</v>
      </c>
      <c r="V52" s="3467" cm="1">
        <f t="array" aca="1" ref="V52" ca="1">INDIRECT("'※ 영업품질 세부데이터'!"&amp;V$1&amp;$W52, TRUE)</f>
        <v>8.3333333333333259E-2</v>
      </c>
      <c r="W52" s="3134">
        <f>ROW('※ 영업품질 세부데이터'!A53)</f>
        <v>53</v>
      </c>
      <c r="X52" s="3468"/>
      <c r="Y52" s="3468"/>
      <c r="Z52" s="3423"/>
    </row>
    <row r="53" spans="1:26" ht="15" customHeight="1" x14ac:dyDescent="0.55000000000000004">
      <c r="A53" s="7485"/>
      <c r="B53" s="3486"/>
      <c r="C53" s="2639" t="s">
        <v>155</v>
      </c>
      <c r="D53" s="3461" cm="1">
        <f t="array" aca="1" ref="D53" ca="1">INDIRECT("'※ 영업품질 세부데이터'!"&amp;D$1&amp;$W53, TRUE)</f>
        <v>3</v>
      </c>
      <c r="E53" s="3462" cm="1">
        <f t="array" aca="1" ref="E53" ca="1">INDIRECT("'※ 영업품질 세부데이터'!"&amp;E$1&amp;$W53, TRUE)</f>
        <v>1</v>
      </c>
      <c r="F53" s="3463" cm="1">
        <f t="array" aca="1" ref="F53" ca="1">INDIRECT("'※ 영업품질 세부데이터'!"&amp;F$1&amp;$W53, TRUE)</f>
        <v>0</v>
      </c>
      <c r="G53" s="3463" cm="1">
        <f t="array" aca="1" ref="G53" ca="1">INDIRECT("'※ 영업품질 세부데이터'!"&amp;G$1&amp;$W53, TRUE)</f>
        <v>1</v>
      </c>
      <c r="H53" s="3463" cm="1">
        <f t="array" aca="1" ref="H53" ca="1">INDIRECT("'※ 영업품질 세부데이터'!"&amp;H$1&amp;$W53, TRUE)</f>
        <v>0</v>
      </c>
      <c r="I53" s="3463" cm="1">
        <f t="array" aca="1" ref="I53" ca="1">INDIRECT("'※ 영업품질 세부데이터'!"&amp;I$1&amp;$W53, TRUE)</f>
        <v>0</v>
      </c>
      <c r="J53" s="3463" cm="1">
        <f t="array" aca="1" ref="J53" ca="1">INDIRECT("'※ 영업품질 세부데이터'!"&amp;J$1&amp;$W53, TRUE)</f>
        <v>1</v>
      </c>
      <c r="K53" s="3463" cm="1">
        <f t="array" aca="1" ref="K53" ca="1">INDIRECT("'※ 영업품질 세부데이터'!"&amp;K$1&amp;$W53, TRUE)</f>
        <v>0</v>
      </c>
      <c r="L53" s="3463" cm="1">
        <f t="array" aca="1" ref="L53" ca="1">INDIRECT("'※ 영업품질 세부데이터'!"&amp;L$1&amp;$W53, TRUE)</f>
        <v>0</v>
      </c>
      <c r="M53" s="3463" cm="1">
        <f t="array" aca="1" ref="M53" ca="1">INDIRECT("'※ 영업품질 세부데이터'!"&amp;M$1&amp;$W53, TRUE)</f>
        <v>1</v>
      </c>
      <c r="N53" s="3463" cm="1">
        <f t="array" aca="1" ref="N53" ca="1">INDIRECT("'※ 영업품질 세부데이터'!"&amp;N$1&amp;$W53, TRUE)</f>
        <v>0</v>
      </c>
      <c r="O53" s="3463" cm="1">
        <f t="array" aca="1" ref="O53" ca="1">INDIRECT("'※ 영업품질 세부데이터'!"&amp;O$1&amp;$W53, TRUE)</f>
        <v>1</v>
      </c>
      <c r="P53" s="3463" cm="1">
        <f t="array" aca="1" ref="P53" ca="1">INDIRECT("'※ 영업품질 세부데이터'!"&amp;P$1&amp;$W53, TRUE)</f>
        <v>0</v>
      </c>
      <c r="Q53" s="3463" cm="1">
        <f t="array" aca="1" ref="Q53" ca="1">INDIRECT("'※ 영업품질 세부데이터'!"&amp;Q$1&amp;$W53, TRUE)</f>
        <v>-1</v>
      </c>
      <c r="R53" s="3464" cm="1">
        <f t="array" aca="1" ref="R53" ca="1">INDIRECT("'※ 영업품질 세부데이터'!"&amp;R$1&amp;$W53, TRUE)</f>
        <v>0</v>
      </c>
      <c r="S53" s="3465" cm="1">
        <f t="array" aca="1" ref="S53" ca="1">INDIRECT("'※ 영업품질 세부데이터'!"&amp;S$1&amp;$W53, TRUE)</f>
        <v>5</v>
      </c>
      <c r="T53" s="3463" cm="1">
        <f t="array" aca="1" ref="T53" ca="1">INDIRECT("'※ 영업품질 세부데이터'!"&amp;T$1&amp;$W53, TRUE)</f>
        <v>2</v>
      </c>
      <c r="U53" s="3466" cm="1">
        <f t="array" aca="1" ref="U53" ca="1">INDIRECT("'※ 영업품질 세부데이터'!"&amp;U$1&amp;$W53, TRUE)</f>
        <v>0.41666666666666669</v>
      </c>
      <c r="V53" s="3467" cm="1">
        <f t="array" aca="1" ref="V53" ca="1">INDIRECT("'※ 영업품질 세부데이터'!"&amp;V$1&amp;$W53, TRUE)</f>
        <v>0.16666666666666669</v>
      </c>
      <c r="W53" s="3134">
        <f>ROW('※ 영업품질 세부데이터'!A54)</f>
        <v>54</v>
      </c>
      <c r="X53" s="3468"/>
      <c r="Y53" s="3468"/>
      <c r="Z53" s="3423"/>
    </row>
    <row r="54" spans="1:26" ht="15" customHeight="1" x14ac:dyDescent="0.55000000000000004">
      <c r="A54" s="7485"/>
      <c r="B54" s="3486"/>
      <c r="C54" s="2639" t="s">
        <v>151</v>
      </c>
      <c r="D54" s="3461" cm="1">
        <f t="array" aca="1" ref="D54" ca="1">INDIRECT("'※ 영업품질 세부데이터'!"&amp;D$1&amp;$W54, TRUE)</f>
        <v>6</v>
      </c>
      <c r="E54" s="3462" cm="1">
        <f t="array" aca="1" ref="E54" ca="1">INDIRECT("'※ 영업품질 세부데이터'!"&amp;E$1&amp;$W54, TRUE)</f>
        <v>1</v>
      </c>
      <c r="F54" s="3463" cm="1">
        <f t="array" aca="1" ref="F54" ca="1">INDIRECT("'※ 영업품질 세부데이터'!"&amp;F$1&amp;$W54, TRUE)</f>
        <v>0</v>
      </c>
      <c r="G54" s="3463" cm="1">
        <f t="array" aca="1" ref="G54" ca="1">INDIRECT("'※ 영업품질 세부데이터'!"&amp;G$1&amp;$W54, TRUE)</f>
        <v>1</v>
      </c>
      <c r="H54" s="3463" cm="1">
        <f t="array" aca="1" ref="H54" ca="1">INDIRECT("'※ 영업품질 세부데이터'!"&amp;H$1&amp;$W54, TRUE)</f>
        <v>0</v>
      </c>
      <c r="I54" s="3463" cm="1">
        <f t="array" aca="1" ref="I54" ca="1">INDIRECT("'※ 영업품질 세부데이터'!"&amp;I$1&amp;$W54, TRUE)</f>
        <v>0</v>
      </c>
      <c r="J54" s="3463" cm="1">
        <f t="array" aca="1" ref="J54" ca="1">INDIRECT("'※ 영업품질 세부데이터'!"&amp;J$1&amp;$W54, TRUE)</f>
        <v>0</v>
      </c>
      <c r="K54" s="3463" cm="1">
        <f t="array" aca="1" ref="K54" ca="1">INDIRECT("'※ 영업품질 세부데이터'!"&amp;K$1&amp;$W54, TRUE)</f>
        <v>1</v>
      </c>
      <c r="L54" s="3463" cm="1">
        <f t="array" aca="1" ref="L54" ca="1">INDIRECT("'※ 영업품질 세부데이터'!"&amp;L$1&amp;$W54, TRUE)</f>
        <v>2</v>
      </c>
      <c r="M54" s="3463" cm="1">
        <f t="array" aca="1" ref="M54" ca="1">INDIRECT("'※ 영업품질 세부데이터'!"&amp;M$1&amp;$W54, TRUE)</f>
        <v>0</v>
      </c>
      <c r="N54" s="3463" cm="1">
        <f t="array" aca="1" ref="N54" ca="1">INDIRECT("'※ 영업품질 세부데이터'!"&amp;N$1&amp;$W54, TRUE)</f>
        <v>0</v>
      </c>
      <c r="O54" s="3463" cm="1">
        <f t="array" aca="1" ref="O54" ca="1">INDIRECT("'※ 영업품질 세부데이터'!"&amp;O$1&amp;$W54, TRUE)</f>
        <v>4</v>
      </c>
      <c r="P54" s="3463" cm="1">
        <f t="array" aca="1" ref="P54" ca="1">INDIRECT("'※ 영업품질 세부데이터'!"&amp;P$1&amp;$W54, TRUE)</f>
        <v>2</v>
      </c>
      <c r="Q54" s="3463" cm="1">
        <f t="array" aca="1" ref="Q54" ca="1">INDIRECT("'※ 영업품질 세부데이터'!"&amp;Q$1&amp;$W54, TRUE)</f>
        <v>-2</v>
      </c>
      <c r="R54" s="3464" cm="1">
        <f t="array" aca="1" ref="R54" ca="1">INDIRECT("'※ 영업품질 세부데이터'!"&amp;R$1&amp;$W54, TRUE)</f>
        <v>2</v>
      </c>
      <c r="S54" s="3465" cm="1">
        <f t="array" aca="1" ref="S54" ca="1">INDIRECT("'※ 영업품질 세부데이터'!"&amp;S$1&amp;$W54, TRUE)</f>
        <v>11</v>
      </c>
      <c r="T54" s="3463" cm="1">
        <f t="array" aca="1" ref="T54" ca="1">INDIRECT("'※ 영업품질 세부데이터'!"&amp;T$1&amp;$W54, TRUE)</f>
        <v>5</v>
      </c>
      <c r="U54" s="3466" cm="1">
        <f t="array" aca="1" ref="U54" ca="1">INDIRECT("'※ 영업품질 세부데이터'!"&amp;U$1&amp;$W54, TRUE)</f>
        <v>0.91666666666666663</v>
      </c>
      <c r="V54" s="3467" cm="1">
        <f t="array" aca="1" ref="V54" ca="1">INDIRECT("'※ 영업품질 세부데이터'!"&amp;V$1&amp;$W54, TRUE)</f>
        <v>0.41666666666666663</v>
      </c>
      <c r="W54" s="3134">
        <f>ROW('※ 영업품질 세부데이터'!A55)</f>
        <v>55</v>
      </c>
      <c r="X54" s="3468"/>
      <c r="Y54" s="3468"/>
      <c r="Z54" s="3423"/>
    </row>
    <row r="55" spans="1:26" ht="15" customHeight="1" x14ac:dyDescent="0.55000000000000004">
      <c r="A55" s="7485"/>
      <c r="B55" s="3492"/>
      <c r="C55" s="3470" t="s">
        <v>152</v>
      </c>
      <c r="D55" s="3471" cm="1">
        <f t="array" aca="1" ref="D55" ca="1">INDIRECT("'※ 영업품질 세부데이터'!"&amp;D$1&amp;$W55, TRUE)</f>
        <v>7</v>
      </c>
      <c r="E55" s="3472" cm="1">
        <f t="array" aca="1" ref="E55" ca="1">INDIRECT("'※ 영업품질 세부데이터'!"&amp;E$1&amp;$W55, TRUE)</f>
        <v>0</v>
      </c>
      <c r="F55" s="3473" cm="1">
        <f t="array" aca="1" ref="F55" ca="1">INDIRECT("'※ 영업품질 세부데이터'!"&amp;F$1&amp;$W55, TRUE)</f>
        <v>0</v>
      </c>
      <c r="G55" s="3473" cm="1">
        <f t="array" aca="1" ref="G55" ca="1">INDIRECT("'※ 영업품질 세부데이터'!"&amp;G$1&amp;$W55, TRUE)</f>
        <v>0</v>
      </c>
      <c r="H55" s="3473" cm="1">
        <f t="array" aca="1" ref="H55" ca="1">INDIRECT("'※ 영업품질 세부데이터'!"&amp;H$1&amp;$W55, TRUE)</f>
        <v>0</v>
      </c>
      <c r="I55" s="3473" cm="1">
        <f t="array" aca="1" ref="I55" ca="1">INDIRECT("'※ 영업품질 세부데이터'!"&amp;I$1&amp;$W55, TRUE)</f>
        <v>0</v>
      </c>
      <c r="J55" s="3473" cm="1">
        <f t="array" aca="1" ref="J55" ca="1">INDIRECT("'※ 영업품질 세부데이터'!"&amp;J$1&amp;$W55, TRUE)</f>
        <v>2</v>
      </c>
      <c r="K55" s="3473" cm="1">
        <f t="array" aca="1" ref="K55" ca="1">INDIRECT("'※ 영업품질 세부데이터'!"&amp;K$1&amp;$W55, TRUE)</f>
        <v>2</v>
      </c>
      <c r="L55" s="3473" cm="1">
        <f t="array" aca="1" ref="L55" ca="1">INDIRECT("'※ 영업품질 세부데이터'!"&amp;L$1&amp;$W55, TRUE)</f>
        <v>1</v>
      </c>
      <c r="M55" s="3473" cm="1">
        <f t="array" aca="1" ref="M55" ca="1">INDIRECT("'※ 영업품질 세부데이터'!"&amp;M$1&amp;$W55, TRUE)</f>
        <v>0</v>
      </c>
      <c r="N55" s="3473" cm="1">
        <f t="array" aca="1" ref="N55" ca="1">INDIRECT("'※ 영업품질 세부데이터'!"&amp;N$1&amp;$W55, TRUE)</f>
        <v>0</v>
      </c>
      <c r="O55" s="3473" cm="1">
        <f t="array" aca="1" ref="O55" ca="1">INDIRECT("'※ 영업품질 세부데이터'!"&amp;O$1&amp;$W55, TRUE)</f>
        <v>0</v>
      </c>
      <c r="P55" s="3473" cm="1">
        <f t="array" aca="1" ref="P55" ca="1">INDIRECT("'※ 영업품질 세부데이터'!"&amp;P$1&amp;$W55, TRUE)</f>
        <v>0</v>
      </c>
      <c r="Q55" s="3473" cm="1">
        <f t="array" aca="1" ref="Q55" ca="1">INDIRECT("'※ 영업품질 세부데이터'!"&amp;Q$1&amp;$W55, TRUE)</f>
        <v>0</v>
      </c>
      <c r="R55" s="3474" cm="1">
        <f t="array" aca="1" ref="R55" ca="1">INDIRECT("'※ 영업품질 세부데이터'!"&amp;R$1&amp;$W55, TRUE)</f>
        <v>0</v>
      </c>
      <c r="S55" s="3475" cm="1">
        <f t="array" aca="1" ref="S55" ca="1">INDIRECT("'※ 영업품질 세부데이터'!"&amp;S$1&amp;$W55, TRUE)</f>
        <v>5</v>
      </c>
      <c r="T55" s="3473" cm="1">
        <f t="array" aca="1" ref="T55" ca="1">INDIRECT("'※ 영업품질 세부데이터'!"&amp;T$1&amp;$W55, TRUE)</f>
        <v>-2</v>
      </c>
      <c r="U55" s="3476" cm="1">
        <f t="array" aca="1" ref="U55" ca="1">INDIRECT("'※ 영업품질 세부데이터'!"&amp;U$1&amp;$W55, TRUE)</f>
        <v>0.41666666666666669</v>
      </c>
      <c r="V55" s="3477" cm="1">
        <f t="array" aca="1" ref="V55" ca="1">INDIRECT("'※ 영업품질 세부데이터'!"&amp;V$1&amp;$W55, TRUE)</f>
        <v>-0.16666666666666669</v>
      </c>
      <c r="W55" s="3134">
        <f>ROW('※ 영업품질 세부데이터'!A56)</f>
        <v>56</v>
      </c>
      <c r="X55" s="3468"/>
      <c r="Y55" s="3468"/>
      <c r="Z55" s="3423"/>
    </row>
    <row r="56" spans="1:26" ht="16" customHeight="1" x14ac:dyDescent="0.55000000000000004">
      <c r="A56" s="7485"/>
      <c r="B56" s="7492" t="s">
        <v>560</v>
      </c>
      <c r="C56" s="3493"/>
      <c r="D56" s="3479" cm="1">
        <f t="array" aca="1" ref="D56" ca="1">INDIRECT("'※ 영업품질 세부데이터'!"&amp;D$1&amp;$W56, TRUE)</f>
        <v>58</v>
      </c>
      <c r="E56" s="3480" cm="1">
        <f t="array" aca="1" ref="E56" ca="1">INDIRECT("'※ 영업품질 세부데이터'!"&amp;E$1&amp;$W56, TRUE)</f>
        <v>5</v>
      </c>
      <c r="F56" s="3481" cm="1">
        <f t="array" aca="1" ref="F56" ca="1">INDIRECT("'※ 영업품질 세부데이터'!"&amp;F$1&amp;$W56, TRUE)</f>
        <v>1</v>
      </c>
      <c r="G56" s="3481" cm="1">
        <f t="array" aca="1" ref="G56" ca="1">INDIRECT("'※ 영업품질 세부데이터'!"&amp;G$1&amp;$W56, TRUE)</f>
        <v>2</v>
      </c>
      <c r="H56" s="3481" cm="1">
        <f t="array" aca="1" ref="H56" ca="1">INDIRECT("'※ 영업품질 세부데이터'!"&amp;H$1&amp;$W56, TRUE)</f>
        <v>3</v>
      </c>
      <c r="I56" s="3481" cm="1">
        <f t="array" aca="1" ref="I56" ca="1">INDIRECT("'※ 영업품질 세부데이터'!"&amp;I$1&amp;$W56, TRUE)</f>
        <v>2</v>
      </c>
      <c r="J56" s="3481" cm="1">
        <f t="array" aca="1" ref="J56" ca="1">INDIRECT("'※ 영업품질 세부데이터'!"&amp;J$1&amp;$W56, TRUE)</f>
        <v>1</v>
      </c>
      <c r="K56" s="3481" cm="1">
        <f t="array" aca="1" ref="K56" ca="1">INDIRECT("'※ 영업품질 세부데이터'!"&amp;K$1&amp;$W56, TRUE)</f>
        <v>2</v>
      </c>
      <c r="L56" s="3481" cm="1">
        <f t="array" aca="1" ref="L56" ca="1">INDIRECT("'※ 영업품질 세부데이터'!"&amp;L$1&amp;$W56, TRUE)</f>
        <v>4</v>
      </c>
      <c r="M56" s="3481" cm="1">
        <f t="array" aca="1" ref="M56" ca="1">INDIRECT("'※ 영업품질 세부데이터'!"&amp;M$1&amp;$W56, TRUE)</f>
        <v>4</v>
      </c>
      <c r="N56" s="3481" cm="1">
        <f t="array" aca="1" ref="N56" ca="1">INDIRECT("'※ 영업품질 세부데이터'!"&amp;N$1&amp;$W56, TRUE)</f>
        <v>0</v>
      </c>
      <c r="O56" s="3481" cm="1">
        <f t="array" aca="1" ref="O56" ca="1">INDIRECT("'※ 영업품질 세부데이터'!"&amp;O$1&amp;$W56, TRUE)</f>
        <v>3</v>
      </c>
      <c r="P56" s="3481" cm="1">
        <f t="array" aca="1" ref="P56" ca="1">INDIRECT("'※ 영업품질 세부데이터'!"&amp;P$1&amp;$W56, TRUE)</f>
        <v>0</v>
      </c>
      <c r="Q56" s="3481" cm="1">
        <f t="array" aca="1" ref="Q56" ca="1">INDIRECT("'※ 영업품질 세부데이터'!"&amp;Q$1&amp;$W56, TRUE)</f>
        <v>-3</v>
      </c>
      <c r="R56" s="3482" cm="1">
        <f t="array" aca="1" ref="R56" ca="1">INDIRECT("'※ 영업품질 세부데이터'!"&amp;R$1&amp;$W56, TRUE)</f>
        <v>0</v>
      </c>
      <c r="S56" s="3483" cm="1">
        <f t="array" aca="1" ref="S56" ca="1">INDIRECT("'※ 영업품질 세부데이터'!"&amp;S$1&amp;$W56, TRUE)</f>
        <v>27</v>
      </c>
      <c r="T56" s="3481" cm="1">
        <f t="array" aca="1" ref="T56" ca="1">INDIRECT("'※ 영업품질 세부데이터'!"&amp;T$1&amp;$W56, TRUE)</f>
        <v>-31</v>
      </c>
      <c r="U56" s="3484" cm="1">
        <f t="array" aca="1" ref="U56" ca="1">INDIRECT("'※ 영업품질 세부데이터'!"&amp;U$1&amp;$W56, TRUE)</f>
        <v>2.25</v>
      </c>
      <c r="V56" s="3485" cm="1">
        <f t="array" aca="1" ref="V56" ca="1">INDIRECT("'※ 영업품질 세부데이터'!"&amp;V$1&amp;$W56, TRUE)</f>
        <v>-2.583333333333333</v>
      </c>
      <c r="W56" s="3134">
        <f>ROW('※ 영업품질 세부데이터'!A57)</f>
        <v>57</v>
      </c>
      <c r="X56" s="3468"/>
      <c r="Y56" s="3468"/>
      <c r="Z56" s="3423"/>
    </row>
    <row r="57" spans="1:26" ht="16" customHeight="1" x14ac:dyDescent="0.55000000000000004">
      <c r="A57" s="7485"/>
      <c r="B57" s="7493"/>
      <c r="C57" s="3494" t="s">
        <v>948</v>
      </c>
      <c r="D57" s="3461" cm="1">
        <f t="array" aca="1" ref="D57" ca="1">INDIRECT("'※ 영업품질 세부데이터'!"&amp;D$1&amp;$W57, TRUE)</f>
        <v>33</v>
      </c>
      <c r="E57" s="3462" cm="1">
        <f t="array" aca="1" ref="E57" ca="1">INDIRECT("'※ 영업품질 세부데이터'!"&amp;E$1&amp;$W57, TRUE)</f>
        <v>5</v>
      </c>
      <c r="F57" s="3463" cm="1">
        <f t="array" aca="1" ref="F57" ca="1">INDIRECT("'※ 영업품질 세부데이터'!"&amp;F$1&amp;$W57, TRUE)</f>
        <v>1</v>
      </c>
      <c r="G57" s="3463" cm="1">
        <f t="array" aca="1" ref="G57" ca="1">INDIRECT("'※ 영업품질 세부데이터'!"&amp;G$1&amp;$W57, TRUE)</f>
        <v>1</v>
      </c>
      <c r="H57" s="3463" cm="1">
        <f t="array" aca="1" ref="H57" ca="1">INDIRECT("'※ 영업품질 세부데이터'!"&amp;H$1&amp;$W57, TRUE)</f>
        <v>3</v>
      </c>
      <c r="I57" s="3463" cm="1">
        <f t="array" aca="1" ref="I57" ca="1">INDIRECT("'※ 영업품질 세부데이터'!"&amp;I$1&amp;$W57, TRUE)</f>
        <v>2</v>
      </c>
      <c r="J57" s="3463" cm="1">
        <f t="array" aca="1" ref="J57" ca="1">INDIRECT("'※ 영업품질 세부데이터'!"&amp;J$1&amp;$W57, TRUE)</f>
        <v>1</v>
      </c>
      <c r="K57" s="3463" cm="1">
        <f t="array" aca="1" ref="K57" ca="1">INDIRECT("'※ 영업품질 세부데이터'!"&amp;K$1&amp;$W57, TRUE)</f>
        <v>2</v>
      </c>
      <c r="L57" s="3463" cm="1">
        <f t="array" aca="1" ref="L57" ca="1">INDIRECT("'※ 영업품질 세부데이터'!"&amp;L$1&amp;$W57, TRUE)</f>
        <v>4</v>
      </c>
      <c r="M57" s="3463" cm="1">
        <f t="array" aca="1" ref="M57" ca="1">INDIRECT("'※ 영업품질 세부데이터'!"&amp;M$1&amp;$W57, TRUE)</f>
        <v>3</v>
      </c>
      <c r="N57" s="3463" cm="1">
        <f t="array" aca="1" ref="N57" ca="1">INDIRECT("'※ 영업품질 세부데이터'!"&amp;N$1&amp;$W57, TRUE)</f>
        <v>0</v>
      </c>
      <c r="O57" s="3463" cm="1">
        <f t="array" aca="1" ref="O57" ca="1">INDIRECT("'※ 영업품질 세부데이터'!"&amp;O$1&amp;$W57, TRUE)</f>
        <v>3</v>
      </c>
      <c r="P57" s="3463" cm="1">
        <f t="array" aca="1" ref="P57" ca="1">INDIRECT("'※ 영업품질 세부데이터'!"&amp;P$1&amp;$W57, TRUE)</f>
        <v>0</v>
      </c>
      <c r="Q57" s="3463" cm="1">
        <f t="array" aca="1" ref="Q57" ca="1">INDIRECT("'※ 영업품질 세부데이터'!"&amp;Q$1&amp;$W57, TRUE)</f>
        <v>-3</v>
      </c>
      <c r="R57" s="3464" cm="1">
        <f t="array" aca="1" ref="R57" ca="1">INDIRECT("'※ 영업품질 세부데이터'!"&amp;R$1&amp;$W57, TRUE)</f>
        <v>0</v>
      </c>
      <c r="S57" s="3465" cm="1">
        <f t="array" aca="1" ref="S57" ca="1">INDIRECT("'※ 영업품질 세부데이터'!"&amp;S$1&amp;$W57, TRUE)</f>
        <v>25</v>
      </c>
      <c r="T57" s="3463" cm="1">
        <f t="array" aca="1" ref="T57" ca="1">INDIRECT("'※ 영업품질 세부데이터'!"&amp;T$1&amp;$W57, TRUE)</f>
        <v>-8</v>
      </c>
      <c r="U57" s="3466" cm="1">
        <f t="array" aca="1" ref="U57" ca="1">INDIRECT("'※ 영업품질 세부데이터'!"&amp;U$1&amp;$W57, TRUE)</f>
        <v>2.0833333333333335</v>
      </c>
      <c r="V57" s="3467" cm="1">
        <f t="array" aca="1" ref="V57" ca="1">INDIRECT("'※ 영업품질 세부데이터'!"&amp;V$1&amp;$W57, TRUE)</f>
        <v>-0.66666666666666652</v>
      </c>
      <c r="W57" s="3134">
        <f>ROW('※ 영업품질 세부데이터'!A58)</f>
        <v>58</v>
      </c>
      <c r="X57" s="3468"/>
      <c r="Y57" s="3468"/>
      <c r="Z57" s="3423"/>
    </row>
    <row r="58" spans="1:26" ht="16" customHeight="1" thickBot="1" x14ac:dyDescent="0.6">
      <c r="A58" s="7486"/>
      <c r="B58" s="7494"/>
      <c r="C58" s="3495" t="s">
        <v>22</v>
      </c>
      <c r="D58" s="3496" cm="1">
        <f t="array" aca="1" ref="D58" ca="1">INDIRECT("'※ 영업품질 세부데이터'!"&amp;D$1&amp;$W58, TRUE)</f>
        <v>19</v>
      </c>
      <c r="E58" s="3497" cm="1">
        <f t="array" aca="1" ref="E58" ca="1">INDIRECT("'※ 영업품질 세부데이터'!"&amp;E$1&amp;$W58, TRUE)</f>
        <v>0</v>
      </c>
      <c r="F58" s="3498" cm="1">
        <f t="array" aca="1" ref="F58" ca="1">INDIRECT("'※ 영업품질 세부데이터'!"&amp;F$1&amp;$W58, TRUE)</f>
        <v>0</v>
      </c>
      <c r="G58" s="3498" cm="1">
        <f t="array" aca="1" ref="G58" ca="1">INDIRECT("'※ 영업품질 세부데이터'!"&amp;G$1&amp;$W58, TRUE)</f>
        <v>1</v>
      </c>
      <c r="H58" s="3498" cm="1">
        <f t="array" aca="1" ref="H58" ca="1">INDIRECT("'※ 영업품질 세부데이터'!"&amp;H$1&amp;$W58, TRUE)</f>
        <v>0</v>
      </c>
      <c r="I58" s="3498" cm="1">
        <f t="array" aca="1" ref="I58" ca="1">INDIRECT("'※ 영업품질 세부데이터'!"&amp;I$1&amp;$W58, TRUE)</f>
        <v>0</v>
      </c>
      <c r="J58" s="3498" cm="1">
        <f t="array" aca="1" ref="J58" ca="1">INDIRECT("'※ 영업품질 세부데이터'!"&amp;J$1&amp;$W58, TRUE)</f>
        <v>0</v>
      </c>
      <c r="K58" s="3498" cm="1">
        <f t="array" aca="1" ref="K58" ca="1">INDIRECT("'※ 영업품질 세부데이터'!"&amp;K$1&amp;$W58, TRUE)</f>
        <v>0</v>
      </c>
      <c r="L58" s="3498" cm="1">
        <f t="array" aca="1" ref="L58" ca="1">INDIRECT("'※ 영업품질 세부데이터'!"&amp;L$1&amp;$W58, TRUE)</f>
        <v>0</v>
      </c>
      <c r="M58" s="3498" cm="1">
        <f t="array" aca="1" ref="M58" ca="1">INDIRECT("'※ 영업품질 세부데이터'!"&amp;M$1&amp;$W58, TRUE)</f>
        <v>1</v>
      </c>
      <c r="N58" s="3498" cm="1">
        <f t="array" aca="1" ref="N58" ca="1">INDIRECT("'※ 영업품질 세부데이터'!"&amp;N$1&amp;$W58, TRUE)</f>
        <v>0</v>
      </c>
      <c r="O58" s="3498" cm="1">
        <f t="array" aca="1" ref="O58" ca="1">INDIRECT("'※ 영업품질 세부데이터'!"&amp;O$1&amp;$W58, TRUE)</f>
        <v>0</v>
      </c>
      <c r="P58" s="3498" cm="1">
        <f t="array" aca="1" ref="P58" ca="1">INDIRECT("'※ 영업품질 세부데이터'!"&amp;P$1&amp;$W58, TRUE)</f>
        <v>0</v>
      </c>
      <c r="Q58" s="3498" cm="1">
        <f t="array" aca="1" ref="Q58" ca="1">INDIRECT("'※ 영업품질 세부데이터'!"&amp;Q$1&amp;$W58, TRUE)</f>
        <v>0</v>
      </c>
      <c r="R58" s="3499" cm="1">
        <f t="array" aca="1" ref="R58" ca="1">INDIRECT("'※ 영업품질 세부데이터'!"&amp;R$1&amp;$W58, TRUE)</f>
        <v>0</v>
      </c>
      <c r="S58" s="3500" cm="1">
        <f t="array" aca="1" ref="S58" ca="1">INDIRECT("'※ 영업품질 세부데이터'!"&amp;S$1&amp;$W58, TRUE)</f>
        <v>2</v>
      </c>
      <c r="T58" s="3498" cm="1">
        <f t="array" aca="1" ref="T58" ca="1">INDIRECT("'※ 영업품질 세부데이터'!"&amp;T$1&amp;$W58, TRUE)</f>
        <v>-17</v>
      </c>
      <c r="U58" s="3501" cm="1">
        <f t="array" aca="1" ref="U58" ca="1">INDIRECT("'※ 영업품질 세부데이터'!"&amp;U$1&amp;$W58, TRUE)</f>
        <v>0.16666666666666666</v>
      </c>
      <c r="V58" s="3502" cm="1">
        <f t="array" aca="1" ref="V58" ca="1">INDIRECT("'※ 영업품질 세부데이터'!"&amp;V$1&amp;$W58, TRUE)</f>
        <v>-1.4166666666666665</v>
      </c>
      <c r="W58" s="3134">
        <f>ROW('※ 영업품질 세부데이터'!A59)</f>
        <v>59</v>
      </c>
      <c r="X58" s="3468"/>
      <c r="Y58" s="3468"/>
      <c r="Z58" s="3423"/>
    </row>
    <row r="59" spans="1:26" ht="5.4" customHeight="1" thickBot="1" x14ac:dyDescent="0.6">
      <c r="B59" s="2682"/>
      <c r="C59" s="2682"/>
      <c r="D59" s="3468"/>
      <c r="E59" s="3128"/>
      <c r="F59" s="3128"/>
      <c r="G59" s="3128"/>
      <c r="H59" s="3128"/>
      <c r="I59" s="3128"/>
      <c r="J59" s="3128"/>
      <c r="K59" s="3128"/>
      <c r="L59" s="3128"/>
      <c r="M59" s="3128"/>
      <c r="N59" s="3128"/>
      <c r="O59" s="3128"/>
      <c r="P59" s="3128"/>
      <c r="Q59" s="3468"/>
      <c r="R59" s="3468"/>
      <c r="S59" s="3468"/>
      <c r="T59" s="3468"/>
      <c r="U59" s="3468"/>
      <c r="V59" s="3468"/>
      <c r="W59" s="3134">
        <f>ROW('※ 영업품질 세부데이터'!A60)</f>
        <v>60</v>
      </c>
      <c r="X59" s="3468"/>
      <c r="Y59" s="3468"/>
    </row>
    <row r="60" spans="1:26" ht="14.8" customHeight="1" x14ac:dyDescent="0.55000000000000004">
      <c r="A60" s="7489" t="s">
        <v>138</v>
      </c>
      <c r="B60" s="3503" t="s">
        <v>545</v>
      </c>
      <c r="C60" s="3504" t="s">
        <v>552</v>
      </c>
      <c r="D60" s="3505" cm="1">
        <f t="array" aca="1" ref="D60" ca="1">INDIRECT("'※ 영업품질 세부데이터'!"&amp;D$1&amp;$W60, TRUE)</f>
        <v>9333</v>
      </c>
      <c r="E60" s="3506" cm="1">
        <f t="array" aca="1" ref="E60" ca="1">INDIRECT("'※ 영업품질 세부데이터'!"&amp;E$1&amp;$W60, TRUE)</f>
        <v>918</v>
      </c>
      <c r="F60" s="3506" cm="1">
        <f t="array" aca="1" ref="F60" ca="1">INDIRECT("'※ 영업품질 세부데이터'!"&amp;F$1&amp;$W60, TRUE)</f>
        <v>1169</v>
      </c>
      <c r="G60" s="3506" cm="1">
        <f t="array" aca="1" ref="G60" ca="1">INDIRECT("'※ 영업품질 세부데이터'!"&amp;G$1&amp;$W60, TRUE)</f>
        <v>1065</v>
      </c>
      <c r="H60" s="3506" cm="1">
        <f t="array" aca="1" ref="H60" ca="1">INDIRECT("'※ 영업품질 세부데이터'!"&amp;H$1&amp;$W60, TRUE)</f>
        <v>1220</v>
      </c>
      <c r="I60" s="3506" cm="1">
        <f t="array" aca="1" ref="I60" ca="1">INDIRECT("'※ 영업품질 세부데이터'!"&amp;I$1&amp;$W60, TRUE)</f>
        <v>1429</v>
      </c>
      <c r="J60" s="3506" cm="1">
        <f t="array" aca="1" ref="J60" ca="1">INDIRECT("'※ 영업품질 세부데이터'!"&amp;J$1&amp;$W60, TRUE)</f>
        <v>1211</v>
      </c>
      <c r="K60" s="3506" cm="1">
        <f t="array" aca="1" ref="K60" ca="1">INDIRECT("'※ 영업품질 세부데이터'!"&amp;K$1&amp;$W60, TRUE)</f>
        <v>1365</v>
      </c>
      <c r="L60" s="3506" cm="1">
        <f t="array" aca="1" ref="L60" ca="1">INDIRECT("'※ 영업품질 세부데이터'!"&amp;L$1&amp;$W60, TRUE)</f>
        <v>974</v>
      </c>
      <c r="M60" s="3506" cm="1">
        <f t="array" aca="1" ref="M60" ca="1">INDIRECT("'※ 영업품질 세부데이터'!"&amp;M$1&amp;$W60, TRUE)</f>
        <v>1134</v>
      </c>
      <c r="N60" s="3506" cm="1">
        <f t="array" aca="1" ref="N60" ca="1">INDIRECT("'※ 영업품질 세부데이터'!"&amp;N$1&amp;$W60, TRUE)</f>
        <v>947</v>
      </c>
      <c r="O60" s="3506" cm="1">
        <f t="array" aca="1" ref="O60" ca="1">INDIRECT("'※ 영업품질 세부데이터'!"&amp;O$1&amp;$W60, TRUE)</f>
        <v>953</v>
      </c>
      <c r="P60" s="3506"/>
      <c r="Q60" s="3506">
        <f t="shared" ref="Q60:Q67" ca="1" si="0">G60-F60</f>
        <v>-104</v>
      </c>
      <c r="R60" s="3507" cm="1">
        <f t="array" aca="1" ref="R60" ca="1">INDIRECT("'※ 영업품질 세부데이터'!"&amp;R$1&amp;$W60, TRUE)</f>
        <v>-1039</v>
      </c>
      <c r="S60" s="3508" cm="1">
        <f t="array" aca="1" ref="S60" ca="1">INDIRECT("'※ 영업품질 세부데이터'!"&amp;S$1&amp;$W60, TRUE)</f>
        <v>12385</v>
      </c>
      <c r="T60" s="3506" cm="1">
        <f t="array" aca="1" ref="T60" ca="1">INDIRECT("'※ 영업품질 세부데이터'!"&amp;T$1&amp;$W60, TRUE)</f>
        <v>5315</v>
      </c>
      <c r="U60" s="3509" cm="1">
        <f t="array" aca="1" ref="U60" ca="1">INDIRECT("'※ 영업품질 세부데이터'!"&amp;U$1&amp;$W60, TRUE)</f>
        <v>1125.909090909091</v>
      </c>
      <c r="V60" s="3510" cm="1">
        <f t="array" aca="1" ref="V60" ca="1">INDIRECT("'※ 영업품질 세부데이터'!"&amp;V$1&amp;$W60, TRUE)</f>
        <v>348.15909090909099</v>
      </c>
      <c r="W60" s="3134">
        <f>ROW('※ 영업품질 세부데이터'!A61)</f>
        <v>61</v>
      </c>
      <c r="X60" s="3468"/>
      <c r="Y60" s="3468"/>
    </row>
    <row r="61" spans="1:26" ht="14.8" customHeight="1" x14ac:dyDescent="0.55000000000000004">
      <c r="A61" s="7490"/>
      <c r="B61" s="3511"/>
      <c r="C61" s="3512" t="s">
        <v>553</v>
      </c>
      <c r="D61" s="3513" cm="1">
        <f t="array" aca="1" ref="D61" ca="1">INDIRECT("'※ 영업품질 세부데이터'!"&amp;D$1&amp;$W61, TRUE)</f>
        <v>356482</v>
      </c>
      <c r="E61" s="3514" cm="1">
        <f t="array" aca="1" ref="E61" ca="1">INDIRECT("'※ 영업품질 세부데이터'!"&amp;E$1&amp;$W61, TRUE)</f>
        <v>29169</v>
      </c>
      <c r="F61" s="3514" cm="1">
        <f t="array" aca="1" ref="F61" ca="1">INDIRECT("'※ 영업품질 세부데이터'!"&amp;F$1&amp;$W61, TRUE)</f>
        <v>50490</v>
      </c>
      <c r="G61" s="3514" cm="1">
        <f t="array" aca="1" ref="G61" ca="1">INDIRECT("'※ 영업품질 세부데이터'!"&amp;G$1&amp;$W61, TRUE)</f>
        <v>36930</v>
      </c>
      <c r="H61" s="3514" cm="1">
        <f t="array" aca="1" ref="H61" ca="1">INDIRECT("'※ 영업품질 세부데이터'!"&amp;H$1&amp;$W61, TRUE)</f>
        <v>47164</v>
      </c>
      <c r="I61" s="3514" cm="1">
        <f t="array" aca="1" ref="I61" ca="1">INDIRECT("'※ 영업품질 세부데이터'!"&amp;I$1&amp;$W61, TRUE)</f>
        <v>65652</v>
      </c>
      <c r="J61" s="3514" cm="1">
        <f t="array" aca="1" ref="J61" ca="1">INDIRECT("'※ 영업품질 세부데이터'!"&amp;J$1&amp;$W61, TRUE)</f>
        <v>46406</v>
      </c>
      <c r="K61" s="3514" cm="1">
        <f t="array" aca="1" ref="K61" ca="1">INDIRECT("'※ 영업품질 세부데이터'!"&amp;K$1&amp;$W61, TRUE)</f>
        <v>61987</v>
      </c>
      <c r="L61" s="3514" cm="1">
        <f t="array" aca="1" ref="L61" ca="1">INDIRECT("'※ 영업품질 세부데이터'!"&amp;L$1&amp;$W61, TRUE)</f>
        <v>42366</v>
      </c>
      <c r="M61" s="3514" cm="1">
        <f t="array" aca="1" ref="M61" ca="1">INDIRECT("'※ 영업품질 세부데이터'!"&amp;M$1&amp;$W61, TRUE)</f>
        <v>50287</v>
      </c>
      <c r="N61" s="3514" cm="1">
        <f t="array" aca="1" ref="N61" ca="1">INDIRECT("'※ 영업품질 세부데이터'!"&amp;N$1&amp;$W61, TRUE)</f>
        <v>42205</v>
      </c>
      <c r="O61" s="3514" cm="1">
        <f t="array" aca="1" ref="O61" ca="1">INDIRECT("'※ 영업품질 세부데이터'!"&amp;O$1&amp;$W61, TRUE)</f>
        <v>36266</v>
      </c>
      <c r="P61" s="3514"/>
      <c r="Q61" s="3514">
        <f t="shared" ca="1" si="0"/>
        <v>-13560</v>
      </c>
      <c r="R61" s="3515" cm="1">
        <f t="array" aca="1" ref="R61" ca="1">INDIRECT("'※ 영업품질 세부데이터'!"&amp;R$1&amp;$W61, TRUE)</f>
        <v>-31481</v>
      </c>
      <c r="S61" s="3516" cm="1">
        <f t="array" aca="1" ref="S61" ca="1">INDIRECT("'※ 영업품질 세부데이터'!"&amp;S$1&amp;$W61, TRUE)</f>
        <v>508922</v>
      </c>
      <c r="T61" s="3514" cm="1">
        <f t="array" aca="1" ref="T61" ca="1">INDIRECT("'※ 영업품질 세부데이터'!"&amp;T$1&amp;$W61, TRUE)</f>
        <v>220253</v>
      </c>
      <c r="U61" s="3517" cm="1">
        <f t="array" aca="1" ref="U61" ca="1">INDIRECT("'※ 영업품질 세부데이터'!"&amp;U$1&amp;$W61, TRUE)</f>
        <v>46265.63636363636</v>
      </c>
      <c r="V61" s="3518" cm="1">
        <f t="array" aca="1" ref="V61" ca="1">INDIRECT("'※ 영업품질 세부데이터'!"&amp;V$1&amp;$W61, TRUE)</f>
        <v>16558.803030303028</v>
      </c>
      <c r="W61" s="3002">
        <f>ROW('※ 영업품질 세부데이터'!A62)</f>
        <v>62</v>
      </c>
    </row>
    <row r="62" spans="1:26" ht="14.8" customHeight="1" x14ac:dyDescent="0.55000000000000004">
      <c r="A62" s="7490"/>
      <c r="B62" s="3519"/>
      <c r="C62" s="3520" t="s">
        <v>554</v>
      </c>
      <c r="D62" s="3521" cm="1">
        <f t="array" aca="1" ref="D62" ca="1">INDIRECT("'※ 영업품질 세부데이터'!"&amp;D$1&amp;$W62, TRUE)</f>
        <v>2.6180845035653974E-2</v>
      </c>
      <c r="E62" s="3522" cm="1">
        <f t="array" aca="1" ref="E62" ca="1">INDIRECT("'※ 영업품질 세부데이터'!"&amp;E$1&amp;$W62, TRUE)</f>
        <v>3.1471767972847883E-2</v>
      </c>
      <c r="F62" s="3522" cm="1">
        <f t="array" aca="1" ref="F62" ca="1">INDIRECT("'※ 영업품질 세부데이터'!"&amp;F$1&amp;$W62, TRUE)</f>
        <v>2.3153099623687858E-2</v>
      </c>
      <c r="G62" s="3522" cm="1">
        <f t="array" aca="1" ref="G62" ca="1">INDIRECT("'※ 영업품질 세부데이터'!"&amp;G$1&amp;$W62, TRUE)</f>
        <v>2.8838342810722988E-2</v>
      </c>
      <c r="H62" s="3522" cm="1">
        <f t="array" aca="1" ref="H62" ca="1">INDIRECT("'※ 영업품질 세부데이터'!"&amp;H$1&amp;$W62, TRUE)</f>
        <v>2.5867186837418371E-2</v>
      </c>
      <c r="I62" s="3522" cm="1">
        <f t="array" aca="1" ref="I62" ca="1">INDIRECT("'※ 영업품질 세부데이터'!"&amp;I$1&amp;$W62, TRUE)</f>
        <v>2.1766282824590266E-2</v>
      </c>
      <c r="J62" s="3522" cm="1">
        <f t="array" aca="1" ref="J62" ca="1">INDIRECT("'※ 영업품질 세부데이터'!"&amp;J$1&amp;$W62, TRUE)</f>
        <v>2.6095763478860494E-2</v>
      </c>
      <c r="K62" s="3522" cm="1">
        <f t="array" aca="1" ref="K62" ca="1">INDIRECT("'※ 영업품질 세부데이터'!"&amp;K$1&amp;$W62, TRUE)</f>
        <v>2.202074628551148E-2</v>
      </c>
      <c r="L62" s="3522" cm="1">
        <f t="array" aca="1" ref="L62" ca="1">INDIRECT("'※ 영업품질 세부데이터'!"&amp;L$1&amp;$W62, TRUE)</f>
        <v>2.2990133597696267E-2</v>
      </c>
      <c r="M62" s="3522" cm="1">
        <f t="array" aca="1" ref="M62" ca="1">INDIRECT("'※ 영업품질 세부데이터'!"&amp;M$1&amp;$W62, TRUE)</f>
        <v>2.2550559786823632E-2</v>
      </c>
      <c r="N62" s="3522" cm="1">
        <f t="array" aca="1" ref="N62" ca="1">INDIRECT("'※ 영업품질 세부데이터'!"&amp;N$1&amp;$W62, TRUE)</f>
        <v>2.2438099751214313E-2</v>
      </c>
      <c r="O62" s="3522" cm="1">
        <f t="array" aca="1" ref="O62" ca="1">INDIRECT("'※ 영업품질 세부데이터'!"&amp;O$1&amp;$W62, TRUE)</f>
        <v>2.6278056581922463E-2</v>
      </c>
      <c r="P62" s="3522"/>
      <c r="Q62" s="3523">
        <f t="shared" ca="1" si="0"/>
        <v>5.68524318703513E-3</v>
      </c>
      <c r="R62" s="3524" cm="1">
        <f t="array" aca="1" ref="R62" ca="1">INDIRECT("'※ 영업품질 세부데이터'!"&amp;R$1&amp;$W62, TRUE)</f>
        <v>-3.3004034179346275E-2</v>
      </c>
      <c r="S62" s="3525" cm="1">
        <f t="array" aca="1" ref="S62" ca="1">INDIRECT("'※ 영업품질 세부데이터'!"&amp;S$1&amp;$W62, TRUE)</f>
        <v>2.4335752826562813E-2</v>
      </c>
      <c r="T62" s="3523" cm="1">
        <f t="array" aca="1" ref="T62" ca="1">INDIRECT("'※ 영업품질 세부데이터'!"&amp;T$1&amp;$W62, TRUE)</f>
        <v>-0.21844868793713601</v>
      </c>
      <c r="U62" s="3526" cm="1">
        <f t="array" aca="1" ref="U62" ca="1">INDIRECT("'※ 영업품질 세부데이터'!"&amp;U$1&amp;$W62, TRUE)</f>
        <v>2.4335752826562813E-2</v>
      </c>
      <c r="V62" s="3527" cm="1">
        <f t="array" aca="1" ref="V62" ca="1">INDIRECT("'※ 영업품질 세부데이터'!"&amp;V$1&amp;$W62, TRUE)</f>
        <v>-1.8450922090911606E-3</v>
      </c>
      <c r="W62" s="3134">
        <f>ROW('※ 영업품질 세부데이터'!A63)</f>
        <v>63</v>
      </c>
      <c r="X62" s="3468"/>
      <c r="Y62" s="3468"/>
    </row>
    <row r="63" spans="1:26" ht="14.8" customHeight="1" x14ac:dyDescent="0.55000000000000004">
      <c r="A63" s="7490"/>
      <c r="B63" s="3519"/>
      <c r="C63" s="3528" t="s">
        <v>556</v>
      </c>
      <c r="D63" s="3529" cm="1">
        <f t="array" aca="1" ref="D63" ca="1">INDIRECT("'※ 영업품질 세부데이터'!"&amp;D$1&amp;$W63, TRUE)</f>
        <v>5104</v>
      </c>
      <c r="E63" s="3530" cm="1">
        <f t="array" aca="1" ref="E63" ca="1">INDIRECT("'※ 영업품질 세부데이터'!"&amp;E$1&amp;$W63, TRUE)</f>
        <v>535</v>
      </c>
      <c r="F63" s="3530" cm="1">
        <f t="array" aca="1" ref="F63" ca="1">INDIRECT("'※ 영업품질 세부데이터'!"&amp;F$1&amp;$W63, TRUE)</f>
        <v>621</v>
      </c>
      <c r="G63" s="3530" cm="1">
        <f t="array" aca="1" ref="G63" ca="1">INDIRECT("'※ 영업품질 세부데이터'!"&amp;G$1&amp;$W63, TRUE)</f>
        <v>597</v>
      </c>
      <c r="H63" s="3530" cm="1">
        <f t="array" aca="1" ref="H63" ca="1">INDIRECT("'※ 영업품질 세부데이터'!"&amp;H$1&amp;$W63, TRUE)</f>
        <v>736</v>
      </c>
      <c r="I63" s="3530" cm="1">
        <f t="array" aca="1" ref="I63" ca="1">INDIRECT("'※ 영업품질 세부데이터'!"&amp;I$1&amp;$W63, TRUE)</f>
        <v>890</v>
      </c>
      <c r="J63" s="3530" cm="1">
        <f t="array" aca="1" ref="J63" ca="1">INDIRECT("'※ 영업품질 세부데이터'!"&amp;J$1&amp;$W63, TRUE)</f>
        <v>740</v>
      </c>
      <c r="K63" s="3530" cm="1">
        <f t="array" aca="1" ref="K63" ca="1">INDIRECT("'※ 영업품질 세부데이터'!"&amp;K$1&amp;$W63, TRUE)</f>
        <v>751</v>
      </c>
      <c r="L63" s="3530" cm="1">
        <f t="array" aca="1" ref="L63" ca="1">INDIRECT("'※ 영업품질 세부데이터'!"&amp;L$1&amp;$W63, TRUE)</f>
        <v>522</v>
      </c>
      <c r="M63" s="3530" cm="1">
        <f t="array" aca="1" ref="M63" ca="1">INDIRECT("'※ 영업품질 세부데이터'!"&amp;M$1&amp;$W63, TRUE)</f>
        <v>554</v>
      </c>
      <c r="N63" s="3530" cm="1">
        <f t="array" aca="1" ref="N63" ca="1">INDIRECT("'※ 영업품질 세부데이터'!"&amp;N$1&amp;$W63, TRUE)</f>
        <v>491</v>
      </c>
      <c r="O63" s="3530" cm="1">
        <f t="array" aca="1" ref="O63" ca="1">INDIRECT("'※ 영업품질 세부데이터'!"&amp;O$1&amp;$W63, TRUE)</f>
        <v>511</v>
      </c>
      <c r="P63" s="3530"/>
      <c r="Q63" s="3530">
        <f t="shared" ca="1" si="0"/>
        <v>-24</v>
      </c>
      <c r="R63" s="3531" cm="1">
        <f t="array" aca="1" ref="R63" ca="1">INDIRECT("'※ 영업품질 세부데이터'!"&amp;R$1&amp;$W63, TRUE)</f>
        <v>-633</v>
      </c>
      <c r="S63" s="3532" cm="1">
        <f t="array" aca="1" ref="S63" ca="1">INDIRECT("'※ 영업품질 세부데이터'!"&amp;S$1&amp;$W63, TRUE)</f>
        <v>6948</v>
      </c>
      <c r="T63" s="3530" cm="1">
        <f t="array" aca="1" ref="T63" ca="1">INDIRECT("'※ 영업품질 세부데이터'!"&amp;T$1&amp;$W63, TRUE)</f>
        <v>3234</v>
      </c>
      <c r="U63" s="3533" cm="1">
        <f t="array" aca="1" ref="U63" ca="1">INDIRECT("'※ 영업품질 세부데이터'!"&amp;U$1&amp;$W63, TRUE)</f>
        <v>631.63636363636363</v>
      </c>
      <c r="V63" s="3534" cm="1">
        <f t="array" aca="1" ref="V63" ca="1">INDIRECT("'※ 영업품질 세부데이터'!"&amp;V$1&amp;$W63, TRUE)</f>
        <v>206.30303030303031</v>
      </c>
      <c r="W63" s="3134">
        <f>ROW('※ 영업품질 세부데이터'!A64)</f>
        <v>64</v>
      </c>
      <c r="X63" s="3468"/>
      <c r="Y63" s="3468"/>
    </row>
    <row r="64" spans="1:26" ht="14.8" customHeight="1" x14ac:dyDescent="0.55000000000000004">
      <c r="A64" s="7490"/>
      <c r="B64" s="3519"/>
      <c r="C64" s="3528" t="s">
        <v>555</v>
      </c>
      <c r="D64" s="3529" cm="1">
        <f t="array" aca="1" ref="D64" ca="1">INDIRECT("'※ 영업품질 세부데이터'!"&amp;D$1&amp;$W64, TRUE)</f>
        <v>2763</v>
      </c>
      <c r="E64" s="3530" cm="1">
        <f t="array" aca="1" ref="E64" ca="1">INDIRECT("'※ 영업품질 세부데이터'!"&amp;E$1&amp;$W64, TRUE)</f>
        <v>273</v>
      </c>
      <c r="F64" s="3530" cm="1">
        <f t="array" aca="1" ref="F64" ca="1">INDIRECT("'※ 영업품질 세부데이터'!"&amp;F$1&amp;$W64, TRUE)</f>
        <v>420</v>
      </c>
      <c r="G64" s="3530" cm="1">
        <f t="array" aca="1" ref="G64" ca="1">INDIRECT("'※ 영업품질 세부데이터'!"&amp;G$1&amp;$W64, TRUE)</f>
        <v>310</v>
      </c>
      <c r="H64" s="3530" cm="1">
        <f t="array" aca="1" ref="H64" ca="1">INDIRECT("'※ 영업품질 세부데이터'!"&amp;H$1&amp;$W64, TRUE)</f>
        <v>318</v>
      </c>
      <c r="I64" s="3530" cm="1">
        <f t="array" aca="1" ref="I64" ca="1">INDIRECT("'※ 영업품질 세부데이터'!"&amp;I$1&amp;$W64, TRUE)</f>
        <v>321</v>
      </c>
      <c r="J64" s="3530" cm="1">
        <f t="array" aca="1" ref="J64" ca="1">INDIRECT("'※ 영업품질 세부데이터'!"&amp;J$1&amp;$W64, TRUE)</f>
        <v>309</v>
      </c>
      <c r="K64" s="3530" cm="1">
        <f t="array" aca="1" ref="K64" ca="1">INDIRECT("'※ 영업품질 세부데이터'!"&amp;K$1&amp;$W64, TRUE)</f>
        <v>392</v>
      </c>
      <c r="L64" s="3530" cm="1">
        <f t="array" aca="1" ref="L64" ca="1">INDIRECT("'※ 영업품질 세부데이터'!"&amp;L$1&amp;$W64, TRUE)</f>
        <v>303</v>
      </c>
      <c r="M64" s="3530" cm="1">
        <f t="array" aca="1" ref="M64" ca="1">INDIRECT("'※ 영업품질 세부데이터'!"&amp;M$1&amp;$W64, TRUE)</f>
        <v>428</v>
      </c>
      <c r="N64" s="3530" cm="1">
        <f t="array" aca="1" ref="N64" ca="1">INDIRECT("'※ 영업품질 세부데이터'!"&amp;N$1&amp;$W64, TRUE)</f>
        <v>339</v>
      </c>
      <c r="O64" s="3530" cm="1">
        <f t="array" aca="1" ref="O64" ca="1">INDIRECT("'※ 영업품질 세부데이터'!"&amp;O$1&amp;$W64, TRUE)</f>
        <v>359</v>
      </c>
      <c r="P64" s="3530"/>
      <c r="Q64" s="3530">
        <f t="shared" ca="1" si="0"/>
        <v>-110</v>
      </c>
      <c r="R64" s="3531" cm="1">
        <f t="array" aca="1" ref="R64" ca="1">INDIRECT("'※ 영업품질 세부데이터'!"&amp;R$1&amp;$W64, TRUE)</f>
        <v>-285</v>
      </c>
      <c r="S64" s="3532" cm="1">
        <f t="array" aca="1" ref="S64" ca="1">INDIRECT("'※ 영업품질 세부데이터'!"&amp;S$1&amp;$W64, TRUE)</f>
        <v>3772</v>
      </c>
      <c r="T64" s="3530" cm="1">
        <f t="array" aca="1" ref="T64" ca="1">INDIRECT("'※ 영업품질 세부데이터'!"&amp;T$1&amp;$W64, TRUE)</f>
        <v>1595</v>
      </c>
      <c r="U64" s="3533" cm="1">
        <f t="array" aca="1" ref="U64" ca="1">INDIRECT("'※ 영업품질 세부데이터'!"&amp;U$1&amp;$W64, TRUE)</f>
        <v>342.90909090909093</v>
      </c>
      <c r="V64" s="3534" cm="1">
        <f t="array" aca="1" ref="V64" ca="1">INDIRECT("'※ 영업품질 세부데이터'!"&amp;V$1&amp;$W64, TRUE)</f>
        <v>112.65909090909093</v>
      </c>
      <c r="W64" s="3134">
        <f>ROW('※ 영업품질 세부데이터'!A65)</f>
        <v>65</v>
      </c>
      <c r="X64" s="3468"/>
      <c r="Y64" s="3468"/>
    </row>
    <row r="65" spans="1:25" ht="14.8" customHeight="1" x14ac:dyDescent="0.55000000000000004">
      <c r="A65" s="7490"/>
      <c r="B65" s="3519"/>
      <c r="C65" s="3528" t="s">
        <v>557</v>
      </c>
      <c r="D65" s="3529" cm="1">
        <f t="array" aca="1" ref="D65" ca="1">INDIRECT("'※ 영업품질 세부데이터'!"&amp;D$1&amp;$W65, TRUE)</f>
        <v>1476</v>
      </c>
      <c r="E65" s="3530" cm="1">
        <f t="array" aca="1" ref="E65" ca="1">INDIRECT("'※ 영업품질 세부데이터'!"&amp;E$1&amp;$W65, TRUE)</f>
        <v>110</v>
      </c>
      <c r="F65" s="3530" cm="1">
        <f t="array" aca="1" ref="F65" ca="1">INDIRECT("'※ 영업품질 세부데이터'!"&amp;F$1&amp;$W65, TRUE)</f>
        <v>128</v>
      </c>
      <c r="G65" s="3530" cm="1">
        <f t="array" aca="1" ref="G65" ca="1">INDIRECT("'※ 영업품질 세부데이터'!"&amp;G$1&amp;$W65, TRUE)</f>
        <v>158</v>
      </c>
      <c r="H65" s="3530" cm="1">
        <f t="array" aca="1" ref="H65" ca="1">INDIRECT("'※ 영업품질 세부데이터'!"&amp;H$1&amp;$W65, TRUE)</f>
        <v>166</v>
      </c>
      <c r="I65" s="3530" cm="1">
        <f t="array" aca="1" ref="I65" ca="1">INDIRECT("'※ 영업품질 세부데이터'!"&amp;I$1&amp;$W65, TRUE)</f>
        <v>218</v>
      </c>
      <c r="J65" s="3530" cm="1">
        <f t="array" aca="1" ref="J65" ca="1">INDIRECT("'※ 영업품질 세부데이터'!"&amp;J$1&amp;$W65, TRUE)</f>
        <v>162</v>
      </c>
      <c r="K65" s="3530" cm="1">
        <f t="array" aca="1" ref="K65" ca="1">INDIRECT("'※ 영업품질 세부데이터'!"&amp;K$1&amp;$W65, TRUE)</f>
        <v>222</v>
      </c>
      <c r="L65" s="3530" cm="1">
        <f t="array" aca="1" ref="L65" ca="1">INDIRECT("'※ 영업품질 세부데이터'!"&amp;L$1&amp;$W65, TRUE)</f>
        <v>149</v>
      </c>
      <c r="M65" s="3530" cm="1">
        <f t="array" aca="1" ref="M65" ca="1">INDIRECT("'※ 영업품질 세부데이터'!"&amp;M$1&amp;$W65, TRUE)</f>
        <v>152</v>
      </c>
      <c r="N65" s="3530" cm="1">
        <f t="array" aca="1" ref="N65" ca="1">INDIRECT("'※ 영업품질 세부데이터'!"&amp;N$1&amp;$W65, TRUE)</f>
        <v>117</v>
      </c>
      <c r="O65" s="3530" cm="1">
        <f t="array" aca="1" ref="O65" ca="1">INDIRECT("'※ 영업품질 세부데이터'!"&amp;O$1&amp;$W65, TRUE)</f>
        <v>83</v>
      </c>
      <c r="P65" s="3530"/>
      <c r="Q65" s="3530">
        <f t="shared" ca="1" si="0"/>
        <v>30</v>
      </c>
      <c r="R65" s="3531" cm="1">
        <f t="array" aca="1" ref="R65" ca="1">INDIRECT("'※ 영업품질 세부데이터'!"&amp;R$1&amp;$W65, TRUE)</f>
        <v>-130</v>
      </c>
      <c r="S65" s="3532" cm="1">
        <f t="array" aca="1" ref="S65" ca="1">INDIRECT("'※ 영업품질 세부데이터'!"&amp;S$1&amp;$W65, TRUE)</f>
        <v>1665</v>
      </c>
      <c r="T65" s="3530" cm="1">
        <f t="array" aca="1" ref="T65" ca="1">INDIRECT("'※ 영업품질 세부데이터'!"&amp;T$1&amp;$W65, TRUE)</f>
        <v>485</v>
      </c>
      <c r="U65" s="3533" cm="1">
        <f t="array" aca="1" ref="U65" ca="1">INDIRECT("'※ 영업품질 세부데이터'!"&amp;U$1&amp;$W65, TRUE)</f>
        <v>151.36363636363637</v>
      </c>
      <c r="V65" s="3534" cm="1">
        <f t="array" aca="1" ref="V65" ca="1">INDIRECT("'※ 영업품질 세부데이터'!"&amp;V$1&amp;$W65, TRUE)</f>
        <v>28.363636363636374</v>
      </c>
      <c r="W65" s="3134">
        <f>ROW('※ 영업품질 세부데이터'!A66)</f>
        <v>66</v>
      </c>
      <c r="X65" s="3468"/>
      <c r="Y65" s="3468"/>
    </row>
    <row r="66" spans="1:25" ht="14.8" customHeight="1" x14ac:dyDescent="0.55000000000000004">
      <c r="A66" s="7490"/>
      <c r="B66" s="3535" t="s">
        <v>141</v>
      </c>
      <c r="C66" s="3536" t="s">
        <v>558</v>
      </c>
      <c r="D66" s="3537" cm="1">
        <f t="array" aca="1" ref="D66" ca="1">INDIRECT("'※ 영업품질 세부데이터'!"&amp;D$1&amp;$W66, TRUE)</f>
        <v>4430</v>
      </c>
      <c r="E66" s="3538" cm="1">
        <f t="array" aca="1" ref="E66" ca="1">INDIRECT("'※ 영업품질 세부데이터'!"&amp;E$1&amp;$W66, TRUE)</f>
        <v>284</v>
      </c>
      <c r="F66" s="3538" cm="1">
        <f t="array" aca="1" ref="F66" ca="1">INDIRECT("'※ 영업품질 세부데이터'!"&amp;F$1&amp;$W66, TRUE)</f>
        <v>433</v>
      </c>
      <c r="G66" s="3538" cm="1">
        <f t="array" aca="1" ref="G66" ca="1">INDIRECT("'※ 영업품질 세부데이터'!"&amp;G$1&amp;$W66, TRUE)</f>
        <v>423</v>
      </c>
      <c r="H66" s="3538" cm="1">
        <f t="array" aca="1" ref="H66" ca="1">INDIRECT("'※ 영업품질 세부데이터'!"&amp;H$1&amp;$W66, TRUE)</f>
        <v>532</v>
      </c>
      <c r="I66" s="3538" cm="1">
        <f t="array" aca="1" ref="I66" ca="1">INDIRECT("'※ 영업품질 세부데이터'!"&amp;I$1&amp;$W66, TRUE)</f>
        <v>588</v>
      </c>
      <c r="J66" s="3538" cm="1">
        <f t="array" aca="1" ref="J66" ca="1">INDIRECT("'※ 영업품질 세부데이터'!"&amp;J$1&amp;$W66, TRUE)</f>
        <v>446</v>
      </c>
      <c r="K66" s="3538" cm="1">
        <f t="array" aca="1" ref="K66" ca="1">INDIRECT("'※ 영업품질 세부데이터'!"&amp;K$1&amp;$W66, TRUE)</f>
        <v>554</v>
      </c>
      <c r="L66" s="3538" cm="1">
        <f t="array" aca="1" ref="L66" ca="1">INDIRECT("'※ 영업품질 세부데이터'!"&amp;L$1&amp;$W66, TRUE)</f>
        <v>438</v>
      </c>
      <c r="M66" s="3538" cm="1">
        <f t="array" aca="1" ref="M66" ca="1">INDIRECT("'※ 영업품질 세부데이터'!"&amp;M$1&amp;$W66, TRUE)</f>
        <v>437</v>
      </c>
      <c r="N66" s="3538" cm="1">
        <f t="array" aca="1" ref="N66" ca="1">INDIRECT("'※ 영업품질 세부데이터'!"&amp;N$1&amp;$W66, TRUE)</f>
        <v>381</v>
      </c>
      <c r="O66" s="3538" cm="1">
        <f t="array" aca="1" ref="O66" ca="1">INDIRECT("'※ 영업품질 세부데이터'!"&amp;O$1&amp;$W66, TRUE)</f>
        <v>406</v>
      </c>
      <c r="P66" s="3538"/>
      <c r="Q66" s="3538">
        <f t="shared" ca="1" si="0"/>
        <v>-10</v>
      </c>
      <c r="R66" s="3539" cm="1">
        <f t="array" aca="1" ref="R66" ca="1">INDIRECT("'※ 영업품질 세부데이터'!"&amp;R$1&amp;$W66, TRUE)</f>
        <v>-319</v>
      </c>
      <c r="S66" s="3540" cm="1">
        <f t="array" aca="1" ref="S66" ca="1">INDIRECT("'※ 영업품질 세부데이터'!"&amp;S$1&amp;$W66, TRUE)</f>
        <v>4922</v>
      </c>
      <c r="T66" s="3538" cm="1">
        <f t="array" aca="1" ref="T66" ca="1">INDIRECT("'※ 영업품질 세부데이터'!"&amp;T$1&amp;$W66, TRUE)</f>
        <v>1190</v>
      </c>
      <c r="U66" s="3541" cm="1">
        <f t="array" aca="1" ref="U66" ca="1">INDIRECT("'※ 영업품질 세부데이터'!"&amp;U$1&amp;$W66, TRUE)</f>
        <v>447.45454545454544</v>
      </c>
      <c r="V66" s="3542" cm="1">
        <f t="array" aca="1" ref="V66" ca="1">INDIRECT("'※ 영업품질 세부데이터'!"&amp;V$1&amp;$W66, TRUE)</f>
        <v>78.287878787878753</v>
      </c>
      <c r="W66" s="3134">
        <f>ROW('※ 영업품질 세부데이터'!A67)</f>
        <v>67</v>
      </c>
      <c r="X66" s="3468"/>
      <c r="Y66" s="3468"/>
    </row>
    <row r="67" spans="1:25" ht="14.8" customHeight="1" x14ac:dyDescent="0.55000000000000004">
      <c r="A67" s="7490"/>
      <c r="B67" s="3543"/>
      <c r="C67" s="3544" t="s">
        <v>140</v>
      </c>
      <c r="D67" s="3545" cm="1">
        <f t="array" aca="1" ref="D67" ca="1">INDIRECT("'※ 영업품질 세부데이터'!"&amp;D$1&amp;$W67, TRUE)</f>
        <v>2.2074031518469771E-2</v>
      </c>
      <c r="E67" s="3546" cm="1">
        <f t="array" aca="1" ref="E67" ca="1">INDIRECT("'※ 영업품질 세부데이터'!"&amp;E$1&amp;$W67, TRUE)</f>
        <v>2.3805532271584242E-2</v>
      </c>
      <c r="F67" s="3546" cm="1">
        <f t="array" aca="1" ref="F67" ca="1">INDIRECT("'※ 영업품질 세부데이터'!"&amp;F$1&amp;$W67, TRUE)</f>
        <v>1.7623117623117624E-2</v>
      </c>
      <c r="G67" s="3546" cm="1">
        <f t="array" aca="1" ref="G67" ca="1">INDIRECT("'※ 영업품질 세부데이터'!"&amp;G$1&amp;$W67, TRUE)</f>
        <v>2.4671916010498687E-2</v>
      </c>
      <c r="H67" s="3546" cm="1">
        <f t="array" aca="1" ref="H67" ca="1">INDIRECT("'※ 영업품질 세부데이터'!"&amp;H$1&amp;$W67, TRUE)</f>
        <v>2.3295529185094366E-2</v>
      </c>
      <c r="I67" s="3546" cm="1">
        <f t="array" aca="1" ref="I67" ca="1">INDIRECT("'※ 영업품질 세부데이터'!"&amp;I$1&amp;$W67, TRUE)</f>
        <v>2.0140435005994176E-2</v>
      </c>
      <c r="J67" s="3546" cm="1">
        <f t="array" aca="1" ref="J67" ca="1">INDIRECT("'※ 영업품질 세부데이터'!"&amp;J$1&amp;$W67, TRUE)</f>
        <v>2.4709141274238226E-2</v>
      </c>
      <c r="K67" s="3546" cm="1">
        <f t="array" aca="1" ref="K67" ca="1">INDIRECT("'※ 영업품질 세부데이터'!"&amp;K$1&amp;$W67, TRUE)</f>
        <v>1.9001886468873262E-2</v>
      </c>
      <c r="L67" s="3546" cm="1">
        <f t="array" aca="1" ref="L67" ca="1">INDIRECT("'※ 영업품질 세부데이터'!"&amp;L$1&amp;$W67, TRUE)</f>
        <v>2.4910424842177103E-2</v>
      </c>
      <c r="M67" s="3546" cm="1">
        <f t="array" aca="1" ref="M67" ca="1">INDIRECT("'※ 영업품질 세부데이터'!"&amp;M$1&amp;$W67, TRUE)</f>
        <v>1.8894029140905357E-2</v>
      </c>
      <c r="N67" s="3546" cm="1">
        <f t="array" aca="1" ref="N67" ca="1">INDIRECT("'※ 영업품질 세부데이터'!"&amp;N$1&amp;$W67, TRUE)</f>
        <v>2.4819230017588432E-2</v>
      </c>
      <c r="O67" s="3546" cm="1">
        <f t="array" aca="1" ref="O67" ca="1">INDIRECT("'※ 영업품질 세부데이터'!"&amp;O$1&amp;$W67, TRUE)</f>
        <v>2.9691385110428549E-2</v>
      </c>
      <c r="P67" s="3546"/>
      <c r="Q67" s="3547">
        <f t="shared" ca="1" si="0"/>
        <v>7.0487983873810632E-3</v>
      </c>
      <c r="R67" s="3548" cm="1">
        <f t="array" aca="1" ref="R67" ca="1">INDIRECT("'※ 영업품질 세부데이터'!"&amp;R$1&amp;$W67, TRUE)</f>
        <v>-2.3298276365761029E-2</v>
      </c>
      <c r="S67" s="3549" cm="1">
        <f t="array" aca="1" ref="S67" ca="1">INDIRECT("'※ 영업품질 세부데이터'!"&amp;S$1&amp;$W67, TRUE)</f>
        <v>2.2869329722772728E-2</v>
      </c>
      <c r="T67" s="3547" cm="1">
        <f t="array" aca="1" ref="T67" ca="1">INDIRECT("'※ 영업품질 세부데이터'!"&amp;T$1&amp;$W67, TRUE)</f>
        <v>-0.19389761258371918</v>
      </c>
      <c r="U67" s="3550" cm="1">
        <f t="array" aca="1" ref="U67" ca="1">INDIRECT("'※ 영업품질 세부데이터'!"&amp;U$1&amp;$W67, TRUE)</f>
        <v>2.2869329722772728E-2</v>
      </c>
      <c r="V67" s="3551" cm="1">
        <f t="array" aca="1" ref="V67" ca="1">INDIRECT("'※ 영업품질 세부데이터'!"&amp;V$1&amp;$W67, TRUE)</f>
        <v>7.9529820430295634E-4</v>
      </c>
      <c r="W67" s="3134">
        <f>ROW('※ 영업품질 세부데이터'!A68)</f>
        <v>68</v>
      </c>
      <c r="X67" s="3468"/>
      <c r="Y67" s="3468"/>
    </row>
    <row r="68" spans="1:25" ht="14.8" customHeight="1" x14ac:dyDescent="0.55000000000000004">
      <c r="A68" s="7490"/>
      <c r="B68" s="3552"/>
      <c r="C68" s="2648" t="s">
        <v>143</v>
      </c>
      <c r="D68" s="3553" cm="1">
        <f t="array" aca="1" ref="D68" ca="1">INDIRECT("'※ 영업품질 세부데이터'!"&amp;D$1&amp;$W68, TRUE)</f>
        <v>2.3628684035909162E-2</v>
      </c>
      <c r="E68" s="3554" cm="1">
        <f t="array" aca="1" ref="E68" ca="1">INDIRECT("'※ 영업품질 세부데이터'!"&amp;E$1&amp;$W68, TRUE)</f>
        <v>2.9182879377431907E-2</v>
      </c>
      <c r="F68" s="3554" cm="1">
        <f t="array" aca="1" ref="F68" ca="1">INDIRECT("'※ 영업품질 세부데이터'!"&amp;F$1&amp;$W68, TRUE)</f>
        <v>1.962809917355372E-2</v>
      </c>
      <c r="G68" s="3554" cm="1">
        <f t="array" aca="1" ref="G68" ca="1">INDIRECT("'※ 영업품질 세부데이터'!"&amp;G$1&amp;$W68, TRUE)</f>
        <v>3.0102790014684289E-2</v>
      </c>
      <c r="H68" s="3554" cm="1">
        <f t="array" aca="1" ref="H68" ca="1">INDIRECT("'※ 영업품질 세부데이터'!"&amp;H$1&amp;$W68, TRUE)</f>
        <v>2.1729079981507166E-2</v>
      </c>
      <c r="I68" s="3554" cm="1">
        <f t="array" aca="1" ref="I68" ca="1">INDIRECT("'※ 영업품질 세부데이터'!"&amp;I$1&amp;$W68, TRUE)</f>
        <v>1.2486228424531766E-2</v>
      </c>
      <c r="J68" s="3554" cm="1">
        <f t="array" aca="1" ref="J68" ca="1">INDIRECT("'※ 영업품질 세부데이터'!"&amp;J$1&amp;$W68, TRUE)</f>
        <v>2.6060606060606062E-2</v>
      </c>
      <c r="K68" s="3554" cm="1">
        <f t="array" aca="1" ref="K68" ca="1">INDIRECT("'※ 영업품질 세부데이터'!"&amp;K$1&amp;$W68, TRUE)</f>
        <v>1.994415636218588E-2</v>
      </c>
      <c r="L68" s="3554" cm="1">
        <f t="array" aca="1" ref="L68" ca="1">INDIRECT("'※ 영업품질 세부데이터'!"&amp;L$1&amp;$W68, TRUE)</f>
        <v>1.3783597518952447E-2</v>
      </c>
      <c r="M68" s="3554" cm="1">
        <f t="array" aca="1" ref="M68" ca="1">INDIRECT("'※ 영업품질 세부데이터'!"&amp;M$1&amp;$W68, TRUE)</f>
        <v>1.1020603737422138E-2</v>
      </c>
      <c r="N68" s="3554" cm="1">
        <f t="array" aca="1" ref="N68" ca="1">INDIRECT("'※ 영업품질 세부데이터'!"&amp;N$1&amp;$W68, TRUE)</f>
        <v>2.3640661938534278E-2</v>
      </c>
      <c r="O68" s="3554" cm="1">
        <f t="array" aca="1" ref="O68" ca="1">INDIRECT("'※ 영업품질 세부데이터'!"&amp;O$1&amp;$W68, TRUE)</f>
        <v>1.5845070422535211E-2</v>
      </c>
      <c r="P68" s="3554"/>
      <c r="Q68" s="3555">
        <f t="shared" ref="Q68:Q90" ca="1" si="1">G68-F68</f>
        <v>1.047469084113057E-2</v>
      </c>
      <c r="R68" s="3556" cm="1">
        <f t="array" aca="1" ref="R68" ca="1">INDIRECT("'※ 영업품질 세부데이터'!"&amp;R$1&amp;$W68, TRUE)</f>
        <v>-1.7751479289940829E-2</v>
      </c>
      <c r="S68" s="3557" cm="1">
        <f t="array" aca="1" ref="S68" ca="1">INDIRECT("'※ 영업품질 세부데이터'!"&amp;S$1&amp;$W68, TRUE)</f>
        <v>2.031125209199499E-2</v>
      </c>
      <c r="T68" s="3555" cm="1">
        <f t="array" aca="1" ref="T68" ca="1">INDIRECT("'※ 영업품질 세부데이터'!"&amp;T$1&amp;$W68, TRUE)</f>
        <v>-0.22537320172028116</v>
      </c>
      <c r="U68" s="3558" cm="1">
        <f t="array" aca="1" ref="U68" ca="1">INDIRECT("'※ 영업품질 세부데이터'!"&amp;U$1&amp;$W68, TRUE)</f>
        <v>2.031125209199499E-2</v>
      </c>
      <c r="V68" s="3559" cm="1">
        <f t="array" aca="1" ref="V68" ca="1">INDIRECT("'※ 영업품질 세부데이터'!"&amp;V$1&amp;$W68, TRUE)</f>
        <v>-3.3174319439141717E-3</v>
      </c>
      <c r="W68" s="3134">
        <f>ROW('※ 영업품질 세부데이터'!A69)</f>
        <v>69</v>
      </c>
      <c r="X68" s="3468"/>
      <c r="Y68" s="3468"/>
    </row>
    <row r="69" spans="1:25" ht="14.8" customHeight="1" x14ac:dyDescent="0.55000000000000004">
      <c r="A69" s="7490"/>
      <c r="B69" s="3552"/>
      <c r="C69" s="2648" t="s">
        <v>144</v>
      </c>
      <c r="D69" s="3553" cm="1">
        <f t="array" aca="1" ref="D69" ca="1">INDIRECT("'※ 영업품질 세부데이터'!"&amp;D$1&amp;$W69, TRUE)</f>
        <v>2.1674078683424493E-2</v>
      </c>
      <c r="E69" s="3554" cm="1">
        <f t="array" aca="1" ref="E69" ca="1">INDIRECT("'※ 영업품질 세부데이터'!"&amp;E$1&amp;$W69, TRUE)</f>
        <v>2.4505183788878417E-2</v>
      </c>
      <c r="F69" s="3554" cm="1">
        <f t="array" aca="1" ref="F69" ca="1">INDIRECT("'※ 영업품질 세부데이터'!"&amp;F$1&amp;$W69, TRUE)</f>
        <v>1.5632183908045976E-2</v>
      </c>
      <c r="G69" s="3554" cm="1">
        <f t="array" aca="1" ref="G69" ca="1">INDIRECT("'※ 영업품질 세부데이터'!"&amp;G$1&amp;$W69, TRUE)</f>
        <v>1.7325017325017324E-2</v>
      </c>
      <c r="H69" s="3554" cm="1">
        <f t="array" aca="1" ref="H69" ca="1">INDIRECT("'※ 영업품질 세부데이터'!"&amp;H$1&amp;$W69, TRUE)</f>
        <v>2.3601847101077475E-2</v>
      </c>
      <c r="I69" s="3554" cm="1">
        <f t="array" aca="1" ref="I69" ca="1">INDIRECT("'※ 영업품질 세부데이터'!"&amp;I$1&amp;$W69, TRUE)</f>
        <v>1.5473887814313346E-2</v>
      </c>
      <c r="J69" s="3554" cm="1">
        <f t="array" aca="1" ref="J69" ca="1">INDIRECT("'※ 영업품질 세부데이터'!"&amp;J$1&amp;$W69, TRUE)</f>
        <v>2.1625163826998691E-2</v>
      </c>
      <c r="K69" s="3554" cm="1">
        <f t="array" aca="1" ref="K69" ca="1">INDIRECT("'※ 영업품질 세부데이터'!"&amp;K$1&amp;$W69, TRUE)</f>
        <v>1.7254901960784313E-2</v>
      </c>
      <c r="L69" s="3554" cm="1">
        <f t="array" aca="1" ref="L69" ca="1">INDIRECT("'※ 영업품질 세부데이터'!"&amp;L$1&amp;$W69, TRUE)</f>
        <v>1.471529110684581E-2</v>
      </c>
      <c r="M69" s="3554" cm="1">
        <f t="array" aca="1" ref="M69" ca="1">INDIRECT("'※ 영업품질 세부데이터'!"&amp;M$1&amp;$W69, TRUE)</f>
        <v>1.8734177215189874E-2</v>
      </c>
      <c r="N69" s="3554" cm="1">
        <f t="array" aca="1" ref="N69" ca="1">INDIRECT("'※ 영업품질 세부데이터'!"&amp;N$1&amp;$W69, TRUE)</f>
        <v>1.7790956263899184E-2</v>
      </c>
      <c r="O69" s="3554" cm="1">
        <f t="array" aca="1" ref="O69" ca="1">INDIRECT("'※ 영업품질 세부데이터'!"&amp;O$1&amp;$W69, TRUE)</f>
        <v>1.380991064175467E-2</v>
      </c>
      <c r="P69" s="3554"/>
      <c r="Q69" s="3555">
        <f t="shared" ca="1" si="1"/>
        <v>1.6928334169713476E-3</v>
      </c>
      <c r="R69" s="3556" cm="1">
        <f t="array" aca="1" ref="R69" ca="1">INDIRECT("'※ 영업품질 세부데이터'!"&amp;R$1&amp;$W69, TRUE)</f>
        <v>-1.5347334410339256E-2</v>
      </c>
      <c r="S69" s="3557" cm="1">
        <f t="array" aca="1" ref="S69" ca="1">INDIRECT("'※ 영업품질 세부데이터'!"&amp;S$1&amp;$W69, TRUE)</f>
        <v>1.8224410995709553E-2</v>
      </c>
      <c r="T69" s="3555" cm="1">
        <f t="array" aca="1" ref="T69" ca="1">INDIRECT("'※ 영업품질 세부데이터'!"&amp;T$1&amp;$W69, TRUE)</f>
        <v>-0.20355423583208215</v>
      </c>
      <c r="U69" s="3558" cm="1">
        <f t="array" aca="1" ref="U69" ca="1">INDIRECT("'※ 영업품질 세부데이터'!"&amp;U$1&amp;$W69, TRUE)</f>
        <v>1.8224410995709553E-2</v>
      </c>
      <c r="V69" s="3559" cm="1">
        <f t="array" aca="1" ref="V69" ca="1">INDIRECT("'※ 영업품질 세부데이터'!"&amp;V$1&amp;$W69, TRUE)</f>
        <v>-3.4496676877149406E-3</v>
      </c>
      <c r="W69" s="3134">
        <f>ROW('※ 영업품질 세부데이터'!A70)</f>
        <v>70</v>
      </c>
      <c r="X69" s="3468"/>
      <c r="Y69" s="3468"/>
    </row>
    <row r="70" spans="1:25" ht="14.8" customHeight="1" x14ac:dyDescent="0.55000000000000004">
      <c r="A70" s="7490"/>
      <c r="B70" s="3552"/>
      <c r="C70" s="2648" t="s">
        <v>145</v>
      </c>
      <c r="D70" s="3553" cm="1">
        <f t="array" aca="1" ref="D70" ca="1">INDIRECT("'※ 영업품질 세부데이터'!"&amp;D$1&amp;$W70, TRUE)</f>
        <v>2.7495773118788883E-2</v>
      </c>
      <c r="E70" s="3554" cm="1">
        <f t="array" aca="1" ref="E70" ca="1">INDIRECT("'※ 영업품질 세부데이터'!"&amp;E$1&amp;$W70, TRUE)</f>
        <v>2.391304347826087E-2</v>
      </c>
      <c r="F70" s="3554" cm="1">
        <f t="array" aca="1" ref="F70" ca="1">INDIRECT("'※ 영업품질 세부데이터'!"&amp;F$1&amp;$W70, TRUE)</f>
        <v>2.5928108426635239E-2</v>
      </c>
      <c r="G70" s="3554" cm="1">
        <f t="array" aca="1" ref="G70" ca="1">INDIRECT("'※ 영업품질 세부데이터'!"&amp;G$1&amp;$W70, TRUE)</f>
        <v>2.6984126984126985E-2</v>
      </c>
      <c r="H70" s="3554" cm="1">
        <f t="array" aca="1" ref="H70" ca="1">INDIRECT("'※ 영업품질 세부데이터'!"&amp;H$1&amp;$W70, TRUE)</f>
        <v>2.4929444967074318E-2</v>
      </c>
      <c r="I70" s="3554" cm="1">
        <f t="array" aca="1" ref="I70" ca="1">INDIRECT("'※ 영업품질 세부데이터'!"&amp;I$1&amp;$W70, TRUE)</f>
        <v>1.7843866171003718E-2</v>
      </c>
      <c r="J70" s="3554" cm="1">
        <f t="array" aca="1" ref="J70" ca="1">INDIRECT("'※ 영업품질 세부데이터'!"&amp;J$1&amp;$W70, TRUE)</f>
        <v>2.3874488403819918E-2</v>
      </c>
      <c r="K70" s="3554" cm="1">
        <f t="array" aca="1" ref="K70" ca="1">INDIRECT("'※ 영업품질 세부데이터'!"&amp;K$1&amp;$W70, TRUE)</f>
        <v>3.1195840554592721E-2</v>
      </c>
      <c r="L70" s="3554" cm="1">
        <f t="array" aca="1" ref="L70" ca="1">INDIRECT("'※ 영업품질 세부데이터'!"&amp;L$1&amp;$W70, TRUE)</f>
        <v>3.5687732342007436E-2</v>
      </c>
      <c r="M70" s="3554" cm="1">
        <f t="array" aca="1" ref="M70" ca="1">INDIRECT("'※ 영업품질 세부데이터'!"&amp;M$1&amp;$W70, TRUE)</f>
        <v>2.3454157782515993E-2</v>
      </c>
      <c r="N70" s="3554" cm="1">
        <f t="array" aca="1" ref="N70" ca="1">INDIRECT("'※ 영업품질 세부데이터'!"&amp;N$1&amp;$W70, TRUE)</f>
        <v>2.9055690072639227E-2</v>
      </c>
      <c r="O70" s="3554" cm="1">
        <f t="array" aca="1" ref="O70" ca="1">INDIRECT("'※ 영업품질 세부데이터'!"&amp;O$1&amp;$W70, TRUE)</f>
        <v>3.5999999999999997E-2</v>
      </c>
      <c r="P70" s="3554"/>
      <c r="Q70" s="3555">
        <f t="shared" ca="1" si="1"/>
        <v>1.0560185574917461E-3</v>
      </c>
      <c r="R70" s="3556" cm="1">
        <f t="array" aca="1" ref="R70" ca="1">INDIRECT("'※ 영업품질 세부데이터'!"&amp;R$1&amp;$W70, TRUE)</f>
        <v>-2.8873917228103944E-2</v>
      </c>
      <c r="S70" s="3557" cm="1">
        <f t="array" aca="1" ref="S70" ca="1">INDIRECT("'※ 영업품질 세부데이터'!"&amp;S$1&amp;$W70, TRUE)</f>
        <v>2.7169681743879678E-2</v>
      </c>
      <c r="T70" s="3555" cm="1">
        <f t="array" aca="1" ref="T70" ca="1">INDIRECT("'※ 영업품질 세부데이터'!"&amp;T$1&amp;$W70, TRUE)</f>
        <v>-0.24542996656068566</v>
      </c>
      <c r="U70" s="3558" cm="1">
        <f t="array" aca="1" ref="U70" ca="1">INDIRECT("'※ 영업품질 세부데이터'!"&amp;U$1&amp;$W70, TRUE)</f>
        <v>2.7169681743879678E-2</v>
      </c>
      <c r="V70" s="3559" cm="1">
        <f t="array" aca="1" ref="V70" ca="1">INDIRECT("'※ 영업품질 세부데이터'!"&amp;V$1&amp;$W70, TRUE)</f>
        <v>-3.2609137490920495E-4</v>
      </c>
      <c r="W70" s="3134">
        <f>ROW('※ 영업품질 세부데이터'!A71)</f>
        <v>71</v>
      </c>
      <c r="X70" s="3468"/>
      <c r="Y70" s="3468"/>
    </row>
    <row r="71" spans="1:25" ht="14.8" customHeight="1" x14ac:dyDescent="0.55000000000000004">
      <c r="A71" s="7490"/>
      <c r="B71" s="3552"/>
      <c r="C71" s="2639" t="s">
        <v>146</v>
      </c>
      <c r="D71" s="3553" cm="1">
        <f t="array" aca="1" ref="D71" ca="1">INDIRECT("'※ 영업품질 세부데이터'!"&amp;D$1&amp;$W71, TRUE)</f>
        <v>2.1552207700221305E-2</v>
      </c>
      <c r="E71" s="3554" cm="1">
        <f t="array" aca="1" ref="E71" ca="1">INDIRECT("'※ 영업품질 세부데이터'!"&amp;E$1&amp;$W71, TRUE)</f>
        <v>2.1097046413502109E-2</v>
      </c>
      <c r="F71" s="3554" cm="1">
        <f t="array" aca="1" ref="F71" ca="1">INDIRECT("'※ 영업품질 세부데이터'!"&amp;F$1&amp;$W71, TRUE)</f>
        <v>1.2925463162429988E-2</v>
      </c>
      <c r="G71" s="3554" cm="1">
        <f t="array" aca="1" ref="G71" ca="1">INDIRECT("'※ 영업품질 세부데이터'!"&amp;G$1&amp;$W71, TRUE)</f>
        <v>2.6747720364741642E-2</v>
      </c>
      <c r="H71" s="3554" cm="1">
        <f t="array" aca="1" ref="H71" ca="1">INDIRECT("'※ 영업품질 세부데이터'!"&amp;H$1&amp;$W71, TRUE)</f>
        <v>2.7629233511586453E-2</v>
      </c>
      <c r="I71" s="3554" cm="1">
        <f t="array" aca="1" ref="I71" ca="1">INDIRECT("'※ 영업품질 세부데이터'!"&amp;I$1&amp;$W71, TRUE)</f>
        <v>1.4174822814714817E-2</v>
      </c>
      <c r="J71" s="3554" cm="1">
        <f t="array" aca="1" ref="J71" ca="1">INDIRECT("'※ 영업품질 세부데이터'!"&amp;J$1&amp;$W71, TRUE)</f>
        <v>2.3809523809523808E-2</v>
      </c>
      <c r="K71" s="3554" cm="1">
        <f t="array" aca="1" ref="K71" ca="1">INDIRECT("'※ 영업품질 세부데이터'!"&amp;K$1&amp;$W71, TRUE)</f>
        <v>2.0096762188314105E-2</v>
      </c>
      <c r="L71" s="3554" cm="1">
        <f t="array" aca="1" ref="L71" ca="1">INDIRECT("'※ 영업품질 세부데이터'!"&amp;L$1&amp;$W71, TRUE)</f>
        <v>3.5005834305717617E-2</v>
      </c>
      <c r="M71" s="3554" cm="1">
        <f t="array" aca="1" ref="M71" ca="1">INDIRECT("'※ 영업품질 세부데이터'!"&amp;M$1&amp;$W71, TRUE)</f>
        <v>1.5996343692870202E-2</v>
      </c>
      <c r="N71" s="3554" cm="1">
        <f t="array" aca="1" ref="N71" ca="1">INDIRECT("'※ 영업품질 세부데이터'!"&amp;N$1&amp;$W71, TRUE)</f>
        <v>2.615278733654508E-2</v>
      </c>
      <c r="O71" s="3554" cm="1">
        <f t="array" aca="1" ref="O71" ca="1">INDIRECT("'※ 영업품질 세부데이터'!"&amp;O$1&amp;$W71, TRUE)</f>
        <v>2.3455824863174355E-2</v>
      </c>
      <c r="P71" s="3554"/>
      <c r="Q71" s="3555">
        <f t="shared" ca="1" si="1"/>
        <v>1.3822257202311655E-2</v>
      </c>
      <c r="R71" s="3556" cm="1">
        <f t="array" aca="1" ref="R71" ca="1">INDIRECT("'※ 영업품질 세부데이터'!"&amp;R$1&amp;$W71, TRUE)</f>
        <v>-2.4590163934426229E-2</v>
      </c>
      <c r="S71" s="3557" cm="1">
        <f t="array" aca="1" ref="S71" ca="1">INDIRECT("'※ 영업품질 세부데이터'!"&amp;S$1&amp;$W71, TRUE)</f>
        <v>2.2462851133010928E-2</v>
      </c>
      <c r="T71" s="3555" cm="1">
        <f t="array" aca="1" ref="T71" ca="1">INDIRECT("'※ 영업품질 세부데이터'!"&amp;T$1&amp;$W71, TRUE)</f>
        <v>-0.19193908329324155</v>
      </c>
      <c r="U71" s="3558" cm="1">
        <f t="array" aca="1" ref="U71" ca="1">INDIRECT("'※ 영업품질 세부데이터'!"&amp;U$1&amp;$W71, TRUE)</f>
        <v>2.2462851133010928E-2</v>
      </c>
      <c r="V71" s="3559" cm="1">
        <f t="array" aca="1" ref="V71" ca="1">INDIRECT("'※ 영업품질 세부데이터'!"&amp;V$1&amp;$W71, TRUE)</f>
        <v>9.1064343278962276E-4</v>
      </c>
      <c r="W71" s="3134">
        <f>ROW('※ 영업품질 세부데이터'!A72)</f>
        <v>72</v>
      </c>
      <c r="X71" s="3468"/>
      <c r="Y71" s="3468"/>
    </row>
    <row r="72" spans="1:25" ht="14.8" customHeight="1" x14ac:dyDescent="0.55000000000000004">
      <c r="A72" s="7490"/>
      <c r="B72" s="3552"/>
      <c r="C72" s="2639" t="s">
        <v>147</v>
      </c>
      <c r="D72" s="3553" cm="1">
        <f t="array" aca="1" ref="D72" ca="1">INDIRECT("'※ 영업품질 세부데이터'!"&amp;D$1&amp;$W72, TRUE)</f>
        <v>3.0631675831164495E-2</v>
      </c>
      <c r="E72" s="3554" cm="1">
        <f t="array" aca="1" ref="E72" ca="1">INDIRECT("'※ 영업품질 세부데이터'!"&amp;E$1&amp;$W72, TRUE)</f>
        <v>3.2886723507917173E-2</v>
      </c>
      <c r="F72" s="3554" cm="1">
        <f t="array" aca="1" ref="F72" ca="1">INDIRECT("'※ 영업품질 세부데이터'!"&amp;F$1&amp;$W72, TRUE)</f>
        <v>3.0816640986132512E-2</v>
      </c>
      <c r="G72" s="3554" cm="1">
        <f t="array" aca="1" ref="G72" ca="1">INDIRECT("'※ 영업품질 세부데이터'!"&amp;G$1&amp;$W72, TRUE)</f>
        <v>3.214285714285714E-2</v>
      </c>
      <c r="H72" s="3554" cm="1">
        <f t="array" aca="1" ref="H72" ca="1">INDIRECT("'※ 영업품질 세부데이터'!"&amp;H$1&amp;$W72, TRUE)</f>
        <v>3.572643756379721E-2</v>
      </c>
      <c r="I72" s="3554" cm="1">
        <f t="array" aca="1" ref="I72" ca="1">INDIRECT("'※ 영업품질 세부데이터'!"&amp;I$1&amp;$W72, TRUE)</f>
        <v>3.0333928116237575E-2</v>
      </c>
      <c r="J72" s="3554" cm="1">
        <f t="array" aca="1" ref="J72" ca="1">INDIRECT("'※ 영업품질 세부데이터'!"&amp;J$1&amp;$W72, TRUE)</f>
        <v>3.6794766966475878E-2</v>
      </c>
      <c r="K72" s="3554" cm="1">
        <f t="array" aca="1" ref="K72" ca="1">INDIRECT("'※ 영업품질 세부데이터'!"&amp;K$1&amp;$W72, TRUE)</f>
        <v>2.3107569721115537E-2</v>
      </c>
      <c r="L72" s="3554" cm="1">
        <f t="array" aca="1" ref="L72" ca="1">INDIRECT("'※ 영업품질 세부데이터'!"&amp;L$1&amp;$W72, TRUE)</f>
        <v>4.1684210526315789E-2</v>
      </c>
      <c r="M72" s="3554" cm="1">
        <f t="array" aca="1" ref="M72" ca="1">INDIRECT("'※ 영업품질 세부데이터'!"&amp;M$1&amp;$W72, TRUE)</f>
        <v>2.9789902790843526E-2</v>
      </c>
      <c r="N72" s="3554" cm="1">
        <f t="array" aca="1" ref="N72" ca="1">INDIRECT("'※ 영업품질 세부데이터'!"&amp;N$1&amp;$W72, TRUE)</f>
        <v>4.1191066997518608E-2</v>
      </c>
      <c r="O72" s="3554" cm="1">
        <f t="array" aca="1" ref="O72" ca="1">INDIRECT("'※ 영업품질 세부데이터'!"&amp;O$1&amp;$W72, TRUE)</f>
        <v>4.5404208194905871E-2</v>
      </c>
      <c r="P72" s="3554"/>
      <c r="Q72" s="3555">
        <f t="shared" ca="1" si="1"/>
        <v>1.3262161567246279E-3</v>
      </c>
      <c r="R72" s="3556" cm="1">
        <f t="array" aca="1" ref="R72" ca="1">INDIRECT("'※ 영업품질 세부데이터'!"&amp;R$1&amp;$W72, TRUE)</f>
        <v>-3.1019978969505785E-2</v>
      </c>
      <c r="S72" s="3557" cm="1">
        <f t="array" aca="1" ref="S72" ca="1">INDIRECT("'※ 영업품질 세부데이터'!"&amp;S$1&amp;$W72, TRUE)</f>
        <v>3.4534392046737895E-2</v>
      </c>
      <c r="T72" s="3555" cm="1">
        <f t="array" aca="1" ref="T72" ca="1">INDIRECT("'※ 영업품질 세부데이터'!"&amp;T$1&amp;$W72, TRUE)</f>
        <v>-0.26265168544940115</v>
      </c>
      <c r="U72" s="3558" cm="1">
        <f t="array" aca="1" ref="U72" ca="1">INDIRECT("'※ 영업품질 세부데이터'!"&amp;U$1&amp;$W72, TRUE)</f>
        <v>3.4534392046737895E-2</v>
      </c>
      <c r="V72" s="3559" cm="1">
        <f t="array" aca="1" ref="V72" ca="1">INDIRECT("'※ 영업품질 세부데이터'!"&amp;V$1&amp;$W72, TRUE)</f>
        <v>3.9027162155733999E-3</v>
      </c>
      <c r="W72" s="3134">
        <f>ROW('※ 영업품질 세부데이터'!A73)</f>
        <v>73</v>
      </c>
      <c r="X72" s="3468"/>
      <c r="Y72" s="3468"/>
    </row>
    <row r="73" spans="1:25" ht="14.8" customHeight="1" x14ac:dyDescent="0.55000000000000004">
      <c r="A73" s="7490"/>
      <c r="B73" s="3552"/>
      <c r="C73" s="2639" t="s">
        <v>148</v>
      </c>
      <c r="D73" s="3553" cm="1">
        <f t="array" aca="1" ref="D73" ca="1">INDIRECT("'※ 영업품질 세부데이터'!"&amp;D$1&amp;$W73, TRUE)</f>
        <v>2.2519883453566609E-2</v>
      </c>
      <c r="E73" s="3554" cm="1">
        <f t="array" aca="1" ref="E73" ca="1">INDIRECT("'※ 영업품질 세부데이터'!"&amp;E$1&amp;$W73, TRUE)</f>
        <v>2.2914757103574702E-2</v>
      </c>
      <c r="F73" s="3554" cm="1">
        <f t="array" aca="1" ref="F73" ca="1">INDIRECT("'※ 영업품질 세부데이터'!"&amp;F$1&amp;$W73, TRUE)</f>
        <v>1.405152224824356E-2</v>
      </c>
      <c r="G73" s="3554" cm="1">
        <f t="array" aca="1" ref="G73" ca="1">INDIRECT("'※ 영업품질 세부데이터'!"&amp;G$1&amp;$W73, TRUE)</f>
        <v>3.2235939643347047E-2</v>
      </c>
      <c r="H73" s="3554" cm="1">
        <f t="array" aca="1" ref="H73" ca="1">INDIRECT("'※ 영업품질 세부데이터'!"&amp;H$1&amp;$W73, TRUE)</f>
        <v>2.692713833157339E-2</v>
      </c>
      <c r="I73" s="3554" cm="1">
        <f t="array" aca="1" ref="I73" ca="1">INDIRECT("'※ 영업품질 세부데이터'!"&amp;I$1&amp;$W73, TRUE)</f>
        <v>2.5758205234732032E-2</v>
      </c>
      <c r="J73" s="3554" cm="1">
        <f t="array" aca="1" ref="J73" ca="1">INDIRECT("'※ 영업품질 세부데이터'!"&amp;J$1&amp;$W73, TRUE)</f>
        <v>2.4346793349168647E-2</v>
      </c>
      <c r="K73" s="3554" cm="1">
        <f t="array" aca="1" ref="K73" ca="1">INDIRECT("'※ 영업품질 세부데이터'!"&amp;K$1&amp;$W73, TRUE)</f>
        <v>2.2123893805309734E-2</v>
      </c>
      <c r="L73" s="3554" cm="1">
        <f t="array" aca="1" ref="L73" ca="1">INDIRECT("'※ 영업품질 세부데이터'!"&amp;L$1&amp;$W73, TRUE)</f>
        <v>3.206806282722513E-2</v>
      </c>
      <c r="M73" s="3554" cm="1">
        <f t="array" aca="1" ref="M73" ca="1">INDIRECT("'※ 영업품질 세부데이터'!"&amp;M$1&amp;$W73, TRUE)</f>
        <v>2.0788912579957356E-2</v>
      </c>
      <c r="N73" s="3554" cm="1">
        <f t="array" aca="1" ref="N73" ca="1">INDIRECT("'※ 영업품질 세부데이터'!"&amp;N$1&amp;$W73, TRUE)</f>
        <v>2.9295328582739508E-2</v>
      </c>
      <c r="O73" s="3554" cm="1">
        <f t="array" aca="1" ref="O73" ca="1">INDIRECT("'※ 영업품질 세부데이터'!"&amp;O$1&amp;$W73, TRUE)</f>
        <v>3.8493723849372385E-2</v>
      </c>
      <c r="P73" s="3554"/>
      <c r="Q73" s="3555">
        <f t="shared" ca="1" si="1"/>
        <v>1.8184417395103486E-2</v>
      </c>
      <c r="R73" s="3556" cm="1">
        <f t="array" aca="1" ref="R73" ca="1">INDIRECT("'※ 영업품질 세부데이터'!"&amp;R$1&amp;$W73, TRUE)</f>
        <v>-2.5664527956003668E-2</v>
      </c>
      <c r="S73" s="3557" cm="1">
        <f t="array" aca="1" ref="S73" ca="1">INDIRECT("'※ 영업품질 세부데이터'!"&amp;S$1&amp;$W73, TRUE)</f>
        <v>2.6273116141385774E-2</v>
      </c>
      <c r="T73" s="3555" cm="1">
        <f t="array" aca="1" ref="T73" ca="1">INDIRECT("'※ 영업품질 세부데이터'!"&amp;T$1&amp;$W73, TRUE)</f>
        <v>-0.18291634196079448</v>
      </c>
      <c r="U73" s="3558" cm="1">
        <f t="array" aca="1" ref="U73" ca="1">INDIRECT("'※ 영업품질 세부데이터'!"&amp;U$1&amp;$W73, TRUE)</f>
        <v>2.6273116141385774E-2</v>
      </c>
      <c r="V73" s="3559" cm="1">
        <f t="array" aca="1" ref="V73" ca="1">INDIRECT("'※ 영업품질 세부데이터'!"&amp;V$1&amp;$W73, TRUE)</f>
        <v>3.7532326878191649E-3</v>
      </c>
      <c r="W73" s="3134">
        <f>ROW('※ 영업품질 세부데이터'!A74)</f>
        <v>74</v>
      </c>
      <c r="X73" s="3468"/>
      <c r="Y73" s="3468"/>
    </row>
    <row r="74" spans="1:25" ht="14.8" customHeight="1" x14ac:dyDescent="0.55000000000000004">
      <c r="A74" s="7490"/>
      <c r="B74" s="3552"/>
      <c r="C74" s="2639" t="s">
        <v>149</v>
      </c>
      <c r="D74" s="3553" cm="1">
        <f t="array" aca="1" ref="D74" ca="1">INDIRECT("'※ 영업품질 세부데이터'!"&amp;D$1&amp;$W74, TRUE)</f>
        <v>1.3295976127702301E-2</v>
      </c>
      <c r="E74" s="3554" cm="1">
        <f t="array" aca="1" ref="E74" ca="1">INDIRECT("'※ 영업품질 세부데이터'!"&amp;E$1&amp;$W74, TRUE)</f>
        <v>1.9425019425019424E-2</v>
      </c>
      <c r="F74" s="3554" cm="1">
        <f t="array" aca="1" ref="F74" ca="1">INDIRECT("'※ 영업품질 세부데이터'!"&amp;F$1&amp;$W74, TRUE)</f>
        <v>1.1141222523336344E-2</v>
      </c>
      <c r="G74" s="3554" cm="1">
        <f t="array" aca="1" ref="G74" ca="1">INDIRECT("'※ 영업품질 세부데이터'!"&amp;G$1&amp;$W74, TRUE)</f>
        <v>1.4222222222222223E-2</v>
      </c>
      <c r="H74" s="3554" cm="1">
        <f t="array" aca="1" ref="H74" ca="1">INDIRECT("'※ 영업품질 세부데이터'!"&amp;H$1&amp;$W74, TRUE)</f>
        <v>1.1785714285714287E-2</v>
      </c>
      <c r="I74" s="3554" cm="1">
        <f t="array" aca="1" ref="I74" ca="1">INDIRECT("'※ 영업품질 세부데이터'!"&amp;I$1&amp;$W74, TRUE)</f>
        <v>1.3888888888888888E-2</v>
      </c>
      <c r="J74" s="3554" cm="1">
        <f t="array" aca="1" ref="J74" ca="1">INDIRECT("'※ 영업품질 세부데이터'!"&amp;J$1&amp;$W74, TRUE)</f>
        <v>1.6799292661361626E-2</v>
      </c>
      <c r="K74" s="3554" cm="1">
        <f t="array" aca="1" ref="K74" ca="1">INDIRECT("'※ 영업품질 세부데이터'!"&amp;K$1&amp;$W74, TRUE)</f>
        <v>1.0844892812105928E-2</v>
      </c>
      <c r="L74" s="3554" cm="1">
        <f t="array" aca="1" ref="L74" ca="1">INDIRECT("'※ 영업품질 세부데이터'!"&amp;L$1&amp;$W74, TRUE)</f>
        <v>1.1286681715575621E-2</v>
      </c>
      <c r="M74" s="3554" cm="1">
        <f t="array" aca="1" ref="M74" ca="1">INDIRECT("'※ 영업품질 세부데이터'!"&amp;M$1&amp;$W74, TRUE)</f>
        <v>1.4503006720905553E-2</v>
      </c>
      <c r="N74" s="3554" cm="1">
        <f t="array" aca="1" ref="N74" ca="1">INDIRECT("'※ 영업품질 세부데이터'!"&amp;N$1&amp;$W74, TRUE)</f>
        <v>1.1437095972153158E-2</v>
      </c>
      <c r="O74" s="3554" cm="1">
        <f t="array" aca="1" ref="O74" ca="1">INDIRECT("'※ 영업품질 세부데이터'!"&amp;O$1&amp;$W74, TRUE)</f>
        <v>2.3923444976076555E-2</v>
      </c>
      <c r="P74" s="3554"/>
      <c r="Q74" s="3555">
        <f t="shared" ca="1" si="1"/>
        <v>3.0809996988858789E-3</v>
      </c>
      <c r="R74" s="3556" cm="1">
        <f t="array" aca="1" ref="R74" ca="1">INDIRECT("'※ 영업품질 세부데이터'!"&amp;R$1&amp;$W74, TRUE)</f>
        <v>-1.5789473684210527E-2</v>
      </c>
      <c r="S74" s="3557" cm="1">
        <f t="array" aca="1" ref="S74" ca="1">INDIRECT("'※ 영업품질 세부데이터'!"&amp;S$1&amp;$W74, TRUE)</f>
        <v>1.4477952927578147E-2</v>
      </c>
      <c r="T74" s="3555" cm="1">
        <f t="array" aca="1" ref="T74" ca="1">INDIRECT("'※ 영업품질 세부데이터'!"&amp;T$1&amp;$W74, TRUE)</f>
        <v>-0.11651832947383045</v>
      </c>
      <c r="U74" s="3558" cm="1">
        <f t="array" aca="1" ref="U74" ca="1">INDIRECT("'※ 영업품질 세부데이터'!"&amp;U$1&amp;$W74, TRUE)</f>
        <v>1.4477952927578147E-2</v>
      </c>
      <c r="V74" s="3559" cm="1">
        <f t="array" aca="1" ref="V74" ca="1">INDIRECT("'※ 영업품질 세부데이터'!"&amp;V$1&amp;$W74, TRUE)</f>
        <v>1.1819767998758456E-3</v>
      </c>
      <c r="W74" s="3134">
        <f>ROW('※ 영업품질 세부데이터'!A75)</f>
        <v>75</v>
      </c>
      <c r="X74" s="3468"/>
      <c r="Y74" s="3468"/>
    </row>
    <row r="75" spans="1:25" ht="14.8" customHeight="1" x14ac:dyDescent="0.55000000000000004">
      <c r="A75" s="7490"/>
      <c r="B75" s="3552"/>
      <c r="C75" s="2639" t="s">
        <v>150</v>
      </c>
      <c r="D75" s="3553" cm="1">
        <f t="array" aca="1" ref="D75" ca="1">INDIRECT("'※ 영업품질 세부데이터'!"&amp;D$1&amp;$W75, TRUE)</f>
        <v>2.2717617926813597E-2</v>
      </c>
      <c r="E75" s="3554" cm="1">
        <f t="array" aca="1" ref="E75" ca="1">INDIRECT("'※ 영업품질 세부데이터'!"&amp;E$1&amp;$W75, TRUE)</f>
        <v>3.3948339483394832E-2</v>
      </c>
      <c r="F75" s="3554" cm="1">
        <f t="array" aca="1" ref="F75" ca="1">INDIRECT("'※ 영업품질 세부데이터'!"&amp;F$1&amp;$W75, TRUE)</f>
        <v>2.0161290322580645E-2</v>
      </c>
      <c r="G75" s="3554" cm="1">
        <f t="array" aca="1" ref="G75" ca="1">INDIRECT("'※ 영업품질 세부데이터'!"&amp;G$1&amp;$W75, TRUE)</f>
        <v>3.4778465936160075E-2</v>
      </c>
      <c r="H75" s="3554" cm="1">
        <f t="array" aca="1" ref="H75" ca="1">INDIRECT("'※ 영업품질 세부데이터'!"&amp;H$1&amp;$W75, TRUE)</f>
        <v>2.9045643153526972E-2</v>
      </c>
      <c r="I75" s="3554" cm="1">
        <f t="array" aca="1" ref="I75" ca="1">INDIRECT("'※ 영업품질 세부데이터'!"&amp;I$1&amp;$W75, TRUE)</f>
        <v>3.456E-2</v>
      </c>
      <c r="J75" s="3554" cm="1">
        <f t="array" aca="1" ref="J75" ca="1">INDIRECT("'※ 영업품질 세부데이터'!"&amp;J$1&amp;$W75, TRUE)</f>
        <v>3.5474592521572389E-2</v>
      </c>
      <c r="K75" s="3554" cm="1">
        <f t="array" aca="1" ref="K75" ca="1">INDIRECT("'※ 영업품질 세부데이터'!"&amp;K$1&amp;$W75, TRUE)</f>
        <v>2.052349791790601E-2</v>
      </c>
      <c r="L75" s="3554" cm="1">
        <f t="array" aca="1" ref="L75" ca="1">INDIRECT("'※ 영업품질 세부데이터'!"&amp;L$1&amp;$W75, TRUE)</f>
        <v>3.3560311284046691E-2</v>
      </c>
      <c r="M75" s="3554" cm="1">
        <f t="array" aca="1" ref="M75" ca="1">INDIRECT("'※ 영업품질 세부데이터'!"&amp;M$1&amp;$W75, TRUE)</f>
        <v>1.9556224144415192E-2</v>
      </c>
      <c r="N75" s="3554" cm="1">
        <f t="array" aca="1" ref="N75" ca="1">INDIRECT("'※ 영업품질 세부데이터'!"&amp;N$1&amp;$W75, TRUE)</f>
        <v>2.7896995708154508E-2</v>
      </c>
      <c r="O75" s="3554" cm="1">
        <f t="array" aca="1" ref="O75" ca="1">INDIRECT("'※ 영업품질 세부데이터'!"&amp;O$1&amp;$W75, TRUE)</f>
        <v>4.2553191489361701E-2</v>
      </c>
      <c r="P75" s="3554"/>
      <c r="Q75" s="3555">
        <f t="shared" ca="1" si="1"/>
        <v>1.461717561357943E-2</v>
      </c>
      <c r="R75" s="3556" cm="1">
        <f t="array" aca="1" ref="R75" ca="1">INDIRECT("'※ 영업품질 세부데이터'!"&amp;R$1&amp;$W75, TRUE)</f>
        <v>-2.8747433264887063E-2</v>
      </c>
      <c r="S75" s="3557" cm="1">
        <f t="array" aca="1" ref="S75" ca="1">INDIRECT("'※ 영업품질 세부데이터'!"&amp;S$1&amp;$W75, TRUE)</f>
        <v>3.0187141087374459E-2</v>
      </c>
      <c r="T75" s="3555" cm="1">
        <f t="array" aca="1" ref="T75" ca="1">INDIRECT("'※ 영업품질 세부데이터'!"&amp;T$1&amp;$W75, TRUE)</f>
        <v>-0.18740518062416908</v>
      </c>
      <c r="U75" s="3558" cm="1">
        <f t="array" aca="1" ref="U75" ca="1">INDIRECT("'※ 영업품질 세부데이터'!"&amp;U$1&amp;$W75, TRUE)</f>
        <v>3.0187141087374459E-2</v>
      </c>
      <c r="V75" s="3559" cm="1">
        <f t="array" aca="1" ref="V75" ca="1">INDIRECT("'※ 영업품질 세부데이터'!"&amp;V$1&amp;$W75, TRUE)</f>
        <v>7.469523160560862E-3</v>
      </c>
      <c r="W75" s="3134">
        <f>ROW('※ 영업품질 세부데이터'!A76)</f>
        <v>76</v>
      </c>
      <c r="X75" s="3468"/>
      <c r="Y75" s="3468"/>
    </row>
    <row r="76" spans="1:25" ht="14.8" customHeight="1" x14ac:dyDescent="0.55000000000000004">
      <c r="A76" s="7490"/>
      <c r="B76" s="3552"/>
      <c r="C76" s="2639" t="s">
        <v>151</v>
      </c>
      <c r="D76" s="3553" cm="1">
        <f t="array" aca="1" ref="D76" ca="1">INDIRECT("'※ 영업품질 세부데이터'!"&amp;D$1&amp;$W76, TRUE)</f>
        <v>2.1262084708920586E-2</v>
      </c>
      <c r="E76" s="3554" cm="1">
        <f t="array" aca="1" ref="E76" ca="1">INDIRECT("'※ 영업품질 세부데이터'!"&amp;E$1&amp;$W76, TRUE)</f>
        <v>1.3157894736842105E-2</v>
      </c>
      <c r="F76" s="3554" cm="1">
        <f t="array" aca="1" ref="F76" ca="1">INDIRECT("'※ 영업품질 세부데이터'!"&amp;F$1&amp;$W76, TRUE)</f>
        <v>1.4036580178647383E-2</v>
      </c>
      <c r="G76" s="3554" cm="1">
        <f t="array" aca="1" ref="G76" ca="1">INDIRECT("'※ 영업품질 세부데이터'!"&amp;G$1&amp;$W76, TRUE)</f>
        <v>1.8474374255065554E-2</v>
      </c>
      <c r="H76" s="3554" cm="1">
        <f t="array" aca="1" ref="H76" ca="1">INDIRECT("'※ 영업품질 세부데이터'!"&amp;H$1&amp;$W76, TRUE)</f>
        <v>1.2844036697247707E-2</v>
      </c>
      <c r="I76" s="3554" cm="1">
        <f t="array" aca="1" ref="I76" ca="1">INDIRECT("'※ 영업품질 세부데이터'!"&amp;I$1&amp;$W76, TRUE)</f>
        <v>1.5286171347316033E-2</v>
      </c>
      <c r="J76" s="3554" cm="1">
        <f t="array" aca="1" ref="J76" ca="1">INDIRECT("'※ 영업품질 세부데이터'!"&amp;J$1&amp;$W76, TRUE)</f>
        <v>1.5644555694618274E-2</v>
      </c>
      <c r="K76" s="3554" cm="1">
        <f t="array" aca="1" ref="K76" ca="1">INDIRECT("'※ 영업품질 세부데이터'!"&amp;K$1&amp;$W76, TRUE)</f>
        <v>1.3036020583190394E-2</v>
      </c>
      <c r="L76" s="3554" cm="1">
        <f t="array" aca="1" ref="L76" ca="1">INDIRECT("'※ 영업품질 세부데이터'!"&amp;L$1&amp;$W76, TRUE)</f>
        <v>1.3805522208883553E-2</v>
      </c>
      <c r="M76" s="3554" cm="1">
        <f t="array" aca="1" ref="M76" ca="1">INDIRECT("'※ 영업품질 세부데이터'!"&amp;M$1&amp;$W76, TRUE)</f>
        <v>1.6358157554885924E-2</v>
      </c>
      <c r="N76" s="3554" cm="1">
        <f t="array" aca="1" ref="N76" ca="1">INDIRECT("'※ 영업품질 세부데이터'!"&amp;N$1&amp;$W76, TRUE)</f>
        <v>2.0408163265306121E-2</v>
      </c>
      <c r="O76" s="3554" cm="1">
        <f t="array" aca="1" ref="O76" ca="1">INDIRECT("'※ 영업품질 세부데이터'!"&amp;O$1&amp;$W76, TRUE)</f>
        <v>2.0061728395061727E-2</v>
      </c>
      <c r="P76" s="3554"/>
      <c r="Q76" s="3555">
        <f t="shared" ca="1" si="1"/>
        <v>4.4377940764181705E-3</v>
      </c>
      <c r="R76" s="3556" cm="1">
        <f t="array" aca="1" ref="R76" ca="1">INDIRECT("'※ 영업품질 세부데이터'!"&amp;R$1&amp;$W76, TRUE)</f>
        <v>-1.9299499642601858E-2</v>
      </c>
      <c r="S76" s="3557" cm="1">
        <f t="array" aca="1" ref="S76" ca="1">INDIRECT("'※ 영업품질 세부데이터'!"&amp;S$1&amp;$W76, TRUE)</f>
        <v>1.5737564083369526E-2</v>
      </c>
      <c r="T76" s="3555" cm="1">
        <f t="array" aca="1" ref="T76" ca="1">INDIRECT("'※ 영업품질 세부데이터'!"&amp;T$1&amp;$W76, TRUE)</f>
        <v>-0.19797515600039153</v>
      </c>
      <c r="U76" s="3558" cm="1">
        <f t="array" aca="1" ref="U76" ca="1">INDIRECT("'※ 영업품질 세부데이터'!"&amp;U$1&amp;$W76, TRUE)</f>
        <v>1.5737564083369526E-2</v>
      </c>
      <c r="V76" s="3559" cm="1">
        <f t="array" aca="1" ref="V76" ca="1">INDIRECT("'※ 영업품질 세부데이터'!"&amp;V$1&amp;$W76, TRUE)</f>
        <v>-5.5245206255510604E-3</v>
      </c>
      <c r="W76" s="3134">
        <f>ROW('※ 영업품질 세부데이터'!A77)</f>
        <v>77</v>
      </c>
      <c r="X76" s="3468"/>
      <c r="Y76" s="3468"/>
    </row>
    <row r="77" spans="1:25" ht="14.8" customHeight="1" x14ac:dyDescent="0.55000000000000004">
      <c r="A77" s="7490"/>
      <c r="B77" s="3560"/>
      <c r="C77" s="3561" t="s">
        <v>152</v>
      </c>
      <c r="D77" s="3562" cm="1">
        <f t="array" aca="1" ref="D77" ca="1">INDIRECT("'※ 영업품질 세부데이터'!"&amp;D$1&amp;$W77, TRUE)</f>
        <v>1.7626591690740812E-2</v>
      </c>
      <c r="E77" s="3563" cm="1">
        <f t="array" aca="1" ref="E77" ca="1">INDIRECT("'※ 영업품질 세부데이터'!"&amp;E$1&amp;$W77, TRUE)</f>
        <v>1.3100436681222707E-2</v>
      </c>
      <c r="F77" s="3563" cm="1">
        <f t="array" aca="1" ref="F77" ca="1">INDIRECT("'※ 영업품질 세부데이터'!"&amp;F$1&amp;$W77, TRUE)</f>
        <v>1.1189390799834231E-2</v>
      </c>
      <c r="G77" s="3563" cm="1">
        <f t="array" aca="1" ref="G77" ca="1">INDIRECT("'※ 영업품질 세부데이터'!"&amp;G$1&amp;$W77, TRUE)</f>
        <v>1.4035087719298246E-2</v>
      </c>
      <c r="H77" s="3563" cm="1">
        <f t="array" aca="1" ref="H77" ca="1">INDIRECT("'※ 영업품질 세부데이터'!"&amp;H$1&amp;$W77, TRUE)</f>
        <v>1.5864621893178214E-2</v>
      </c>
      <c r="I77" s="3563" cm="1">
        <f t="array" aca="1" ref="I77" ca="1">INDIRECT("'※ 영업품질 세부데이터'!"&amp;I$1&amp;$W77, TRUE)</f>
        <v>1.752988047808765E-2</v>
      </c>
      <c r="J77" s="3563" cm="1">
        <f t="array" aca="1" ref="J77" ca="1">INDIRECT("'※ 영업품질 세부데이터'!"&amp;J$1&amp;$W77, TRUE)</f>
        <v>1.5943877551020409E-2</v>
      </c>
      <c r="K77" s="3563" cm="1">
        <f t="array" aca="1" ref="K77" ca="1">INDIRECT("'※ 영업품질 세부데이터'!"&amp;K$1&amp;$W77, TRUE)</f>
        <v>1.6091954022988506E-2</v>
      </c>
      <c r="L77" s="3563" cm="1">
        <f t="array" aca="1" ref="L77" ca="1">INDIRECT("'※ 영업품질 세부데이터'!"&amp;L$1&amp;$W77, TRUE)</f>
        <v>1.3173652694610778E-2</v>
      </c>
      <c r="M77" s="3563" cm="1">
        <f t="array" aca="1" ref="M77" ca="1">INDIRECT("'※ 영업품질 세부데이터'!"&amp;M$1&amp;$W77, TRUE)</f>
        <v>1.5500234852043212E-2</v>
      </c>
      <c r="N77" s="3563" cm="1">
        <f t="array" aca="1" ref="N77" ca="1">INDIRECT("'※ 영업품질 세부데이터'!"&amp;N$1&amp;$W77, TRUE)</f>
        <v>1.9768234492160874E-2</v>
      </c>
      <c r="O77" s="3563" cm="1">
        <f t="array" aca="1" ref="O77" ca="1">INDIRECT("'※ 영업품질 세부데이터'!"&amp;O$1&amp;$W77, TRUE)</f>
        <v>2.8529626920263351E-2</v>
      </c>
      <c r="P77" s="3563"/>
      <c r="Q77" s="3564">
        <f t="shared" ca="1" si="1"/>
        <v>2.8456969194640153E-3</v>
      </c>
      <c r="R77" s="3565" cm="1">
        <f t="array" aca="1" ref="R77" ca="1">INDIRECT("'※ 영업품질 세부데이터'!"&amp;R$1&amp;$W77, TRUE)</f>
        <v>-2.4868123587038434E-2</v>
      </c>
      <c r="S77" s="3566" cm="1">
        <f t="array" aca="1" ref="S77" ca="1">INDIRECT("'※ 영업품질 세부데이터'!"&amp;S$1&amp;$W77, TRUE)</f>
        <v>1.6429727100428015E-2</v>
      </c>
      <c r="T77" s="3564" cm="1">
        <f t="array" aca="1" ref="T77" ca="1">INDIRECT("'※ 영업품질 세부데이터'!"&amp;T$1&amp;$W77, TRUE)</f>
        <v>-0.14973215508721313</v>
      </c>
      <c r="U77" s="3567" cm="1">
        <f t="array" aca="1" ref="U77" ca="1">INDIRECT("'※ 영업품질 세부데이터'!"&amp;U$1&amp;$W77, TRUE)</f>
        <v>1.6429727100428015E-2</v>
      </c>
      <c r="V77" s="3568" cm="1">
        <f t="array" aca="1" ref="V77" ca="1">INDIRECT("'※ 영업품질 세부데이터'!"&amp;V$1&amp;$W77, TRUE)</f>
        <v>-1.1968645903127975E-3</v>
      </c>
      <c r="W77" s="3134">
        <f>ROW('※ 영업품질 세부데이터'!A78)</f>
        <v>78</v>
      </c>
      <c r="X77" s="3468"/>
      <c r="Y77" s="3468"/>
    </row>
    <row r="78" spans="1:25" ht="14.8" customHeight="1" x14ac:dyDescent="0.55000000000000004">
      <c r="A78" s="7490"/>
      <c r="B78" s="3535" t="s">
        <v>142</v>
      </c>
      <c r="C78" s="3569" t="s">
        <v>552</v>
      </c>
      <c r="D78" s="3537" cm="1">
        <f t="array" aca="1" ref="D78" ca="1">INDIRECT("'※ 영업품질 세부데이터'!"&amp;D$1&amp;$W78, TRUE)</f>
        <v>4903</v>
      </c>
      <c r="E78" s="3538" cm="1">
        <f t="array" aca="1" ref="E78" ca="1">INDIRECT("'※ 영업품질 세부데이터'!"&amp;E$1&amp;$W78, TRUE)</f>
        <v>634</v>
      </c>
      <c r="F78" s="3538" cm="1">
        <f t="array" aca="1" ref="F78" ca="1">INDIRECT("'※ 영업품질 세부데이터'!"&amp;F$1&amp;$W78, TRUE)</f>
        <v>736</v>
      </c>
      <c r="G78" s="3538" cm="1">
        <f t="array" aca="1" ref="G78" ca="1">INDIRECT("'※ 영업품질 세부데이터'!"&amp;G$1&amp;$W78, TRUE)</f>
        <v>642</v>
      </c>
      <c r="H78" s="3538" cm="1">
        <f t="array" aca="1" ref="H78" ca="1">INDIRECT("'※ 영업품질 세부데이터'!"&amp;H$1&amp;$W78, TRUE)</f>
        <v>688</v>
      </c>
      <c r="I78" s="3538" cm="1">
        <f t="array" aca="1" ref="I78" ca="1">INDIRECT("'※ 영업품질 세부데이터'!"&amp;I$1&amp;$W78, TRUE)</f>
        <v>841</v>
      </c>
      <c r="J78" s="3538" cm="1">
        <f t="array" aca="1" ref="J78" ca="1">INDIRECT("'※ 영업품질 세부데이터'!"&amp;J$1&amp;$W78, TRUE)</f>
        <v>765</v>
      </c>
      <c r="K78" s="3538" cm="1">
        <f t="array" aca="1" ref="K78" ca="1">INDIRECT("'※ 영업품질 세부데이터'!"&amp;K$1&amp;$W78, TRUE)</f>
        <v>811</v>
      </c>
      <c r="L78" s="3538" cm="1">
        <f t="array" aca="1" ref="L78" ca="1">INDIRECT("'※ 영업품질 세부데이터'!"&amp;L$1&amp;$W78, TRUE)</f>
        <v>536</v>
      </c>
      <c r="M78" s="3538" cm="1">
        <f t="array" aca="1" ref="M78" ca="1">INDIRECT("'※ 영업품질 세부데이터'!"&amp;M$1&amp;$W78, TRUE)</f>
        <v>697</v>
      </c>
      <c r="N78" s="3538" cm="1">
        <f t="array" aca="1" ref="N78" ca="1">INDIRECT("'※ 영업품질 세부데이터'!"&amp;N$1&amp;$W78, TRUE)</f>
        <v>566</v>
      </c>
      <c r="O78" s="3538" cm="1">
        <f t="array" aca="1" ref="O78" ca="1">INDIRECT("'※ 영업품질 세부데이터'!"&amp;O$1&amp;$W78, TRUE)</f>
        <v>547</v>
      </c>
      <c r="P78" s="3538"/>
      <c r="Q78" s="3538">
        <f t="shared" ca="1" si="1"/>
        <v>-94</v>
      </c>
      <c r="R78" s="3539" cm="1">
        <f t="array" aca="1" ref="R78" ca="1">INDIRECT("'※ 영업품질 세부데이터'!"&amp;R$1&amp;$W78, TRUE)</f>
        <v>-720</v>
      </c>
      <c r="S78" s="3540" cm="1">
        <f t="array" aca="1" ref="S78" ca="1">INDIRECT("'※ 영업품질 세부데이터'!"&amp;S$1&amp;$W78, TRUE)</f>
        <v>7463</v>
      </c>
      <c r="T78" s="3538" cm="1">
        <f t="array" aca="1" ref="T78" ca="1">INDIRECT("'※ 영업품질 세부데이터'!"&amp;T$1&amp;$W78, TRUE)</f>
        <v>4125</v>
      </c>
      <c r="U78" s="3541" cm="1">
        <f t="array" aca="1" ref="U78" ca="1">INDIRECT("'※ 영업품질 세부데이터'!"&amp;U$1&amp;$W78, TRUE)</f>
        <v>678.4545454545455</v>
      </c>
      <c r="V78" s="3542" cm="1">
        <f t="array" aca="1" ref="V78" ca="1">INDIRECT("'※ 영업품질 세부데이터'!"&amp;V$1&amp;$W78, TRUE)</f>
        <v>269.87121212121218</v>
      </c>
      <c r="W78" s="3134">
        <f>ROW('※ 영업품질 세부데이터'!A79)</f>
        <v>79</v>
      </c>
      <c r="X78" s="3468"/>
      <c r="Y78" s="3468"/>
    </row>
    <row r="79" spans="1:25" ht="14.8" customHeight="1" x14ac:dyDescent="0.55000000000000004">
      <c r="A79" s="7490"/>
      <c r="B79" s="3543"/>
      <c r="C79" s="3570" t="s">
        <v>559</v>
      </c>
      <c r="D79" s="3571" cm="1">
        <f t="array" aca="1" ref="D79" ca="1">INDIRECT("'※ 영업품질 세부데이터'!"&amp;D$1&amp;$W79, TRUE)</f>
        <v>2.9795269249836488E-2</v>
      </c>
      <c r="E79" s="3572" cm="1">
        <f t="array" aca="1" ref="E79" ca="1">INDIRECT("'※ 영업품질 세부데이터'!"&amp;E$1&amp;$W79, TRUE)</f>
        <v>3.6777075236382621E-2</v>
      </c>
      <c r="F79" s="3572" cm="1">
        <f t="array" aca="1" ref="F79" ca="1">INDIRECT("'※ 영업품질 세부데이터'!"&amp;F$1&amp;$W79, TRUE)</f>
        <v>2.8395061728395062E-2</v>
      </c>
      <c r="G79" s="3572" cm="1">
        <f t="array" aca="1" ref="G79" ca="1">INDIRECT("'※ 영업품질 세부데이터'!"&amp;G$1&amp;$W79, TRUE)</f>
        <v>3.2448824867323728E-2</v>
      </c>
      <c r="H79" s="3572" cm="1">
        <f t="array" aca="1" ref="H79" ca="1">INDIRECT("'※ 영업품질 세부데이터'!"&amp;H$1&amp;$W79, TRUE)</f>
        <v>2.828133349775969E-2</v>
      </c>
      <c r="I79" s="3572" cm="1">
        <f t="array" aca="1" ref="I79" ca="1">INDIRECT("'※ 영업품질 세부데이터'!"&amp;I$1&amp;$W79, TRUE)</f>
        <v>2.3068272211098004E-2</v>
      </c>
      <c r="J79" s="3572" cm="1">
        <f t="array" aca="1" ref="J79" ca="1">INDIRECT("'※ 영업품질 세부데이터'!"&amp;J$1&amp;$W79, TRUE)</f>
        <v>2.6978417266187049E-2</v>
      </c>
      <c r="K79" s="3572" cm="1">
        <f t="array" aca="1" ref="K79" ca="1">INDIRECT("'※ 영업품질 세부데이터'!"&amp;K$1&amp;$W79, TRUE)</f>
        <v>2.4701510721247565E-2</v>
      </c>
      <c r="L79" s="3572" cm="1">
        <f t="array" aca="1" ref="L79" ca="1">INDIRECT("'※ 영업품질 세부데이터'!"&amp;L$1&amp;$W79, TRUE)</f>
        <v>2.1627728684985675E-2</v>
      </c>
      <c r="M79" s="3572" cm="1">
        <f t="array" aca="1" ref="M79" ca="1">INDIRECT("'※ 영업품질 세부데이터'!"&amp;M$1&amp;$W79, TRUE)</f>
        <v>2.5664629206863538E-2</v>
      </c>
      <c r="N79" s="3572" cm="1">
        <f t="array" aca="1" ref="N79" ca="1">INDIRECT("'※ 영업품질 세부데이터'!"&amp;N$1&amp;$W79, TRUE)</f>
        <v>2.1076934534892382E-2</v>
      </c>
      <c r="O79" s="3572" cm="1">
        <f t="array" aca="1" ref="O79" ca="1">INDIRECT("'※ 영업품질 세부데이터'!"&amp;O$1&amp;$W79, TRUE)</f>
        <v>2.4212110481586401E-2</v>
      </c>
      <c r="P79" s="3572"/>
      <c r="Q79" s="3573">
        <f t="shared" ca="1" si="1"/>
        <v>4.0537631389286656E-3</v>
      </c>
      <c r="R79" s="3574" cm="1">
        <f t="array" aca="1" ref="R79" ca="1">INDIRECT("'※ 영업품질 세부데이터'!"&amp;R$1&amp;$W79, TRUE)</f>
        <v>-4.0474450503119909E-2</v>
      </c>
      <c r="S79" s="3575" cm="1">
        <f t="array" aca="1" ref="S79" ca="1">INDIRECT("'※ 영업품질 세부데이터'!"&amp;S$1&amp;$W79, TRUE)</f>
        <v>2.6657445312429248E-2</v>
      </c>
      <c r="T79" s="3573" cm="1">
        <f t="array" aca="1" ref="T79" ca="1">INDIRECT("'※ 영업품질 세부데이터'!"&amp;T$1&amp;$W79, TRUE)</f>
        <v>-0.25029549773471049</v>
      </c>
      <c r="U79" s="3576" cm="1">
        <f t="array" aca="1" ref="U79" ca="1">INDIRECT("'※ 영업품질 세부데이터'!"&amp;U$1&amp;$W79, TRUE)</f>
        <v>2.6657445312429248E-2</v>
      </c>
      <c r="V79" s="3577" cm="1">
        <f t="array" aca="1" ref="V79" ca="1">INDIRECT("'※ 영업품질 세부데이터'!"&amp;V$1&amp;$W79, TRUE)</f>
        <v>-3.13782393740724E-3</v>
      </c>
      <c r="W79" s="3134">
        <f>ROW('※ 영업품질 세부데이터'!A80)</f>
        <v>80</v>
      </c>
      <c r="X79" s="3468"/>
      <c r="Y79" s="3468"/>
    </row>
    <row r="80" spans="1:25" ht="14.8" customHeight="1" x14ac:dyDescent="0.55000000000000004">
      <c r="A80" s="7490"/>
      <c r="B80" s="3552"/>
      <c r="C80" s="2639" t="s">
        <v>143</v>
      </c>
      <c r="D80" s="3578" cm="1">
        <f t="array" aca="1" ref="D80" ca="1">INDIRECT("'※ 영업품질 세부데이터'!"&amp;D$1&amp;$W80, TRUE)</f>
        <v>3.048534743600435E-2</v>
      </c>
      <c r="E80" s="3579" cm="1">
        <f t="array" aca="1" ref="E80" ca="1">INDIRECT("'※ 영업품질 세부데이터'!"&amp;E$1&amp;$W80, TRUE)</f>
        <v>3.0014292520247739E-2</v>
      </c>
      <c r="F80" s="3579" cm="1">
        <f t="array" aca="1" ref="F80" ca="1">INDIRECT("'※ 영업품질 세부데이터'!"&amp;F$1&amp;$W80, TRUE)</f>
        <v>2.3116181326928852E-2</v>
      </c>
      <c r="G80" s="3579" cm="1">
        <f t="array" aca="1" ref="G80" ca="1">INDIRECT("'※ 영업품질 세부데이터'!"&amp;G$1&amp;$W80, TRUE)</f>
        <v>3.0723905723905723E-2</v>
      </c>
      <c r="H80" s="3579" cm="1">
        <f t="array" aca="1" ref="H80" ca="1">INDIRECT("'※ 영업품질 세부데이터'!"&amp;H$1&amp;$W80, TRUE)</f>
        <v>3.3648790746582544E-2</v>
      </c>
      <c r="I80" s="3579" cm="1">
        <f t="array" aca="1" ref="I80" ca="1">INDIRECT("'※ 영업품질 세부데이터'!"&amp;I$1&amp;$W80, TRUE)</f>
        <v>2.2659256092347157E-2</v>
      </c>
      <c r="J80" s="3579" cm="1">
        <f t="array" aca="1" ref="J80" ca="1">INDIRECT("'※ 영업품질 세부데이터'!"&amp;J$1&amp;$W80, TRUE)</f>
        <v>2.5856496444731737E-2</v>
      </c>
      <c r="K80" s="3579" cm="1">
        <f t="array" aca="1" ref="K80" ca="1">INDIRECT("'※ 영업품질 세부데이터'!"&amp;K$1&amp;$W80, TRUE)</f>
        <v>2.8964252978918425E-2</v>
      </c>
      <c r="L80" s="3579" cm="1">
        <f t="array" aca="1" ref="L80" ca="1">INDIRECT("'※ 영업품질 세부데이터'!"&amp;L$1&amp;$W80, TRUE)</f>
        <v>2.3227383863080684E-2</v>
      </c>
      <c r="M80" s="3579" cm="1">
        <f t="array" aca="1" ref="M80" ca="1">INDIRECT("'※ 영업품질 세부데이터'!"&amp;M$1&amp;$W80, TRUE)</f>
        <v>2.4749306592703222E-2</v>
      </c>
      <c r="N80" s="3579" cm="1">
        <f t="array" aca="1" ref="N80" ca="1">INDIRECT("'※ 영업품질 세부데이터'!"&amp;N$1&amp;$W80, TRUE)</f>
        <v>2.1850302185030219E-2</v>
      </c>
      <c r="O80" s="3579" cm="1">
        <f t="array" aca="1" ref="O80" ca="1">INDIRECT("'※ 영업품질 세부데이터'!"&amp;O$1&amp;$W80, TRUE)</f>
        <v>2.3727137913989126E-2</v>
      </c>
      <c r="P80" s="3579"/>
      <c r="Q80" s="3580">
        <f t="shared" ca="1" si="1"/>
        <v>7.6077243969768713E-3</v>
      </c>
      <c r="R80" s="3581" cm="1">
        <f t="array" aca="1" ref="R80" ca="1">INDIRECT("'※ 영업품질 세부데이터'!"&amp;R$1&amp;$W80, TRUE)</f>
        <v>-3.3240997229916899E-2</v>
      </c>
      <c r="S80" s="3582" cm="1">
        <f t="array" aca="1" ref="S80" ca="1">INDIRECT("'※ 영업품질 세부데이터'!"&amp;S$1&amp;$W80, TRUE)</f>
        <v>2.6230664217133215E-2</v>
      </c>
      <c r="T80" s="3580" cm="1">
        <f t="array" aca="1" ref="T80" ca="1">INDIRECT("'※ 영업품질 세부데이터'!"&amp;T$1&amp;$W80, TRUE)</f>
        <v>-5.7317156987426357E-2</v>
      </c>
      <c r="U80" s="3583" cm="1">
        <f t="array" aca="1" ref="U80" ca="1">INDIRECT("'※ 영업품질 세부데이터'!"&amp;U$1&amp;$W80, TRUE)</f>
        <v>2.6230664217133215E-2</v>
      </c>
      <c r="V80" s="3584" cm="1">
        <f t="array" aca="1" ref="V80" ca="1">INDIRECT("'※ 영업품질 세부데이터'!"&amp;V$1&amp;$W80, TRUE)</f>
        <v>-4.2546832188711352E-3</v>
      </c>
      <c r="W80" s="3134">
        <f>ROW('※ 영업품질 세부데이터'!A81)</f>
        <v>81</v>
      </c>
      <c r="X80" s="3468"/>
      <c r="Y80" s="3468"/>
    </row>
    <row r="81" spans="1:25" ht="14.8" customHeight="1" x14ac:dyDescent="0.55000000000000004">
      <c r="A81" s="7490"/>
      <c r="B81" s="3552"/>
      <c r="C81" s="2639" t="s">
        <v>153</v>
      </c>
      <c r="D81" s="3578" cm="1">
        <f t="array" aca="1" ref="D81" ca="1">INDIRECT("'※ 영업품질 세부데이터'!"&amp;D$1&amp;$W81, TRUE)</f>
        <v>2.6126198355015274E-2</v>
      </c>
      <c r="E81" s="3579" cm="1">
        <f t="array" aca="1" ref="E81" ca="1">INDIRECT("'※ 영업품질 세부데이터'!"&amp;E$1&amp;$W81, TRUE)</f>
        <v>3.1784841075794622E-2</v>
      </c>
      <c r="F81" s="3579" cm="1">
        <f t="array" aca="1" ref="F81" ca="1">INDIRECT("'※ 영업품질 세부데이터'!"&amp;F$1&amp;$W81, TRUE)</f>
        <v>2.5316455696202531E-2</v>
      </c>
      <c r="G81" s="3579" cm="1">
        <f t="array" aca="1" ref="G81" ca="1">INDIRECT("'※ 영업품질 세부데이터'!"&amp;G$1&amp;$W81, TRUE)</f>
        <v>2.7347310847766638E-2</v>
      </c>
      <c r="H81" s="3579" cm="1">
        <f t="array" aca="1" ref="H81" ca="1">INDIRECT("'※ 영업품질 세부데이터'!"&amp;H$1&amp;$W81, TRUE)</f>
        <v>3.0844155844155844E-2</v>
      </c>
      <c r="I81" s="3579" cm="1">
        <f t="array" aca="1" ref="I81" ca="1">INDIRECT("'※ 영업품질 세부데이터'!"&amp;I$1&amp;$W81, TRUE)</f>
        <v>2.7634660421545668E-2</v>
      </c>
      <c r="J81" s="3579" cm="1">
        <f t="array" aca="1" ref="J81" ca="1">INDIRECT("'※ 영업품질 세부데이터'!"&amp;J$1&amp;$W81, TRUE)</f>
        <v>4.0559440559440559E-2</v>
      </c>
      <c r="K81" s="3579" cm="1">
        <f t="array" aca="1" ref="K81" ca="1">INDIRECT("'※ 영업품질 세부데이터'!"&amp;K$1&amp;$W81, TRUE)</f>
        <v>0</v>
      </c>
      <c r="L81" s="3579" cm="1">
        <f t="array" aca="1" ref="L81" ca="1">INDIRECT("'※ 영업품질 세부데이터'!"&amp;L$1&amp;$W81, TRUE)</f>
        <v>0</v>
      </c>
      <c r="M81" s="3579" cm="1">
        <f t="array" aca="1" ref="M81" ca="1">INDIRECT("'※ 영업품질 세부데이터'!"&amp;M$1&amp;$W81, TRUE)</f>
        <v>0</v>
      </c>
      <c r="N81" s="3579" cm="1">
        <f t="array" aca="1" ref="N81" ca="1">INDIRECT("'※ 영업품질 세부데이터'!"&amp;N$1&amp;$W81, TRUE)</f>
        <v>0</v>
      </c>
      <c r="O81" s="3579" cm="1">
        <f t="array" aca="1" ref="O81" ca="1">INDIRECT("'※ 영업품질 세부데이터'!"&amp;O$1&amp;$W81, TRUE)</f>
        <v>0</v>
      </c>
      <c r="P81" s="3579"/>
      <c r="Q81" s="3580">
        <f t="shared" ca="1" si="1"/>
        <v>2.0308551515641066E-3</v>
      </c>
      <c r="R81" s="3581" cm="1">
        <f t="array" aca="1" ref="R81" ca="1">INDIRECT("'※ 영업품질 세부데이터'!"&amp;R$1&amp;$W81, TRUE)</f>
        <v>-2.1413276231263382E-2</v>
      </c>
      <c r="S81" s="3582" cm="1">
        <f t="array" aca="1" ref="S81" ca="1">INDIRECT("'※ 영업품질 세부데이터'!"&amp;S$1&amp;$W81, TRUE)</f>
        <v>3.0581144074150978E-2</v>
      </c>
      <c r="T81" s="3580" cm="1">
        <f t="array" aca="1" ref="T81" ca="1">INDIRECT("'※ 영업품질 세부데이터'!"&amp;T$1&amp;$W81, TRUE)</f>
        <v>-4.9932867765958303E-2</v>
      </c>
      <c r="U81" s="3583" cm="1">
        <f t="array" aca="1" ref="U81" ca="1">INDIRECT("'※ 영업품질 세부데이터'!"&amp;U$1&amp;$W81, TRUE)</f>
        <v>3.0581144074150978E-2</v>
      </c>
      <c r="V81" s="3584" cm="1">
        <f t="array" aca="1" ref="V81" ca="1">INDIRECT("'※ 영업품질 세부데이터'!"&amp;V$1&amp;$W81, TRUE)</f>
        <v>4.4549457191357042E-3</v>
      </c>
      <c r="W81" s="3134">
        <f>ROW('※ 영업품질 세부데이터'!A82)</f>
        <v>82</v>
      </c>
      <c r="X81" s="3468"/>
      <c r="Y81" s="3468"/>
    </row>
    <row r="82" spans="1:25" ht="14.8" customHeight="1" x14ac:dyDescent="0.55000000000000004">
      <c r="A82" s="7490"/>
      <c r="B82" s="3552"/>
      <c r="C82" s="2639" t="s">
        <v>145</v>
      </c>
      <c r="D82" s="3578" cm="1">
        <f t="array" aca="1" ref="D82" ca="1">INDIRECT("'※ 영업품질 세부데이터'!"&amp;D$1&amp;$W82, TRUE)</f>
        <v>3.870547208074189E-2</v>
      </c>
      <c r="E82" s="3579" cm="1">
        <f t="array" aca="1" ref="E82" ca="1">INDIRECT("'※ 영업품질 세부데이터'!"&amp;E$1&amp;$W82, TRUE)</f>
        <v>3.8928210313447925E-2</v>
      </c>
      <c r="F82" s="3579" cm="1">
        <f t="array" aca="1" ref="F82" ca="1">INDIRECT("'※ 영업품질 세부데이터'!"&amp;F$1&amp;$W82, TRUE)</f>
        <v>3.2334618807475526E-2</v>
      </c>
      <c r="G82" s="3579" cm="1">
        <f t="array" aca="1" ref="G82" ca="1">INDIRECT("'※ 영업품질 세부데이터'!"&amp;G$1&amp;$W82, TRUE)</f>
        <v>4.1559554413024849E-2</v>
      </c>
      <c r="H82" s="3579" cm="1">
        <f t="array" aca="1" ref="H82" ca="1">INDIRECT("'※ 영업품질 세부데이터'!"&amp;H$1&amp;$W82, TRUE)</f>
        <v>3.7485800833017793E-2</v>
      </c>
      <c r="I82" s="3579" cm="1">
        <f t="array" aca="1" ref="I82" ca="1">INDIRECT("'※ 영업품질 세부데이터'!"&amp;I$1&amp;$W82, TRUE)</f>
        <v>2.8464254192409531E-2</v>
      </c>
      <c r="J82" s="3579" cm="1">
        <f t="array" aca="1" ref="J82" ca="1">INDIRECT("'※ 영업품질 세부데이터'!"&amp;J$1&amp;$W82, TRUE)</f>
        <v>2.9808597427047379E-2</v>
      </c>
      <c r="K82" s="3579" cm="1">
        <f t="array" aca="1" ref="K82" ca="1">INDIRECT("'※ 영업품질 세부데이터'!"&amp;K$1&amp;$W82, TRUE)</f>
        <v>2.4622271964185788E-2</v>
      </c>
      <c r="L82" s="3579" cm="1">
        <f t="array" aca="1" ref="L82" ca="1">INDIRECT("'※ 영업품질 세부데이터'!"&amp;L$1&amp;$W82, TRUE)</f>
        <v>2.0563112938943372E-2</v>
      </c>
      <c r="M82" s="3579" cm="1">
        <f t="array" aca="1" ref="M82" ca="1">INDIRECT("'※ 영업품질 세부데이터'!"&amp;M$1&amp;$W82, TRUE)</f>
        <v>3.1277150304083408E-2</v>
      </c>
      <c r="N82" s="3579" cm="1">
        <f t="array" aca="1" ref="N82" ca="1">INDIRECT("'※ 영업품질 세부데이터'!"&amp;N$1&amp;$W82, TRUE)</f>
        <v>2.2253521126760562E-2</v>
      </c>
      <c r="O82" s="3579" cm="1">
        <f t="array" aca="1" ref="O82" ca="1">INDIRECT("'※ 영업품질 세부데이터'!"&amp;O$1&amp;$W82, TRUE)</f>
        <v>2.7304756312389902E-2</v>
      </c>
      <c r="P82" s="3579"/>
      <c r="Q82" s="3580">
        <f t="shared" ca="1" si="1"/>
        <v>9.2249356055493226E-3</v>
      </c>
      <c r="R82" s="3581" cm="1">
        <f t="array" aca="1" ref="R82" ca="1">INDIRECT("'※ 영업품질 세부데이터'!"&amp;R$1&amp;$W82, TRUE)</f>
        <v>-4.4666088464874243E-2</v>
      </c>
      <c r="S82" s="3582" cm="1">
        <f t="array" aca="1" ref="S82" ca="1">INDIRECT("'※ 영업품질 세부데이터'!"&amp;S$1&amp;$W82, TRUE)</f>
        <v>3.0418349875707816E-2</v>
      </c>
      <c r="T82" s="3580" cm="1">
        <f t="array" aca="1" ref="T82" ca="1">INDIRECT("'※ 영업품질 세부데이터'!"&amp;T$1&amp;$W82, TRUE)</f>
        <v>-7.7922475966473087E-2</v>
      </c>
      <c r="U82" s="3583" cm="1">
        <f t="array" aca="1" ref="U82" ca="1">INDIRECT("'※ 영업품질 세부데이터'!"&amp;U$1&amp;$W82, TRUE)</f>
        <v>3.0418349875707816E-2</v>
      </c>
      <c r="V82" s="3584" cm="1">
        <f t="array" aca="1" ref="V82" ca="1">INDIRECT("'※ 영업품질 세부데이터'!"&amp;V$1&amp;$W82, TRUE)</f>
        <v>-8.287122205034074E-3</v>
      </c>
      <c r="W82" s="3134">
        <f>ROW('※ 영업품질 세부데이터'!A83)</f>
        <v>83</v>
      </c>
      <c r="X82" s="3468"/>
      <c r="Y82" s="3468"/>
    </row>
    <row r="83" spans="1:25" ht="14.8" customHeight="1" x14ac:dyDescent="0.55000000000000004">
      <c r="A83" s="7490"/>
      <c r="B83" s="3552"/>
      <c r="C83" s="2639" t="s">
        <v>154</v>
      </c>
      <c r="D83" s="3578" cm="1">
        <f t="array" aca="1" ref="D83" ca="1">INDIRECT("'※ 영업품질 세부데이터'!"&amp;D$1&amp;$W83, TRUE)</f>
        <v>6.5802169395492605E-2</v>
      </c>
      <c r="E83" s="3579" cm="1">
        <f t="array" aca="1" ref="E83" ca="1">INDIRECT("'※ 영업품질 세부데이터'!"&amp;E$1&amp;$W83, TRUE)</f>
        <v>6.1329588014981271E-2</v>
      </c>
      <c r="F83" s="3579" cm="1">
        <f t="array" aca="1" ref="F83" ca="1">INDIRECT("'※ 영업품질 세부데이터'!"&amp;F$1&amp;$W83, TRUE)</f>
        <v>4.3623144501666163E-2</v>
      </c>
      <c r="G83" s="3579" cm="1">
        <f t="array" aca="1" ref="G83" ca="1">INDIRECT("'※ 영업품질 세부데이터'!"&amp;G$1&amp;$W83, TRUE)</f>
        <v>4.4468160796869438E-2</v>
      </c>
      <c r="H83" s="3579" cm="1">
        <f t="array" aca="1" ref="H83" ca="1">INDIRECT("'※ 영업품질 세부데이터'!"&amp;H$1&amp;$W83, TRUE)</f>
        <v>3.3203125E-2</v>
      </c>
      <c r="I83" s="3579" cm="1">
        <f t="array" aca="1" ref="I83" ca="1">INDIRECT("'※ 영업품질 세부데이터'!"&amp;I$1&amp;$W83, TRUE)</f>
        <v>2.4329896907216497E-2</v>
      </c>
      <c r="J83" s="3579" cm="1">
        <f t="array" aca="1" ref="J83" ca="1">INDIRECT("'※ 영업품질 세부데이터'!"&amp;J$1&amp;$W83, TRUE)</f>
        <v>3.2499280989358642E-2</v>
      </c>
      <c r="K83" s="3579" cm="1">
        <f t="array" aca="1" ref="K83" ca="1">INDIRECT("'※ 영업품질 세부데이터'!"&amp;K$1&amp;$W83, TRUE)</f>
        <v>3.3038065597318651E-2</v>
      </c>
      <c r="L83" s="3579" cm="1">
        <f t="array" aca="1" ref="L83" ca="1">INDIRECT("'※ 영업품질 세부데이터'!"&amp;L$1&amp;$W83, TRUE)</f>
        <v>2.8968014484007241E-2</v>
      </c>
      <c r="M83" s="3579" cm="1">
        <f t="array" aca="1" ref="M83" ca="1">INDIRECT("'※ 영업품질 세부데이터'!"&amp;M$1&amp;$W83, TRUE)</f>
        <v>3.4015486725663714E-2</v>
      </c>
      <c r="N83" s="3579" cm="1">
        <f t="array" aca="1" ref="N83" ca="1">INDIRECT("'※ 영업품질 세부데이터'!"&amp;N$1&amp;$W83, TRUE)</f>
        <v>2.6788106080900081E-2</v>
      </c>
      <c r="O83" s="3579" cm="1">
        <f t="array" aca="1" ref="O83" ca="1">INDIRECT("'※ 영업품질 세부데이터'!"&amp;O$1&amp;$W83, TRUE)</f>
        <v>3.1871144619602471E-2</v>
      </c>
      <c r="P83" s="3579"/>
      <c r="Q83" s="3580">
        <f t="shared" ca="1" si="1"/>
        <v>8.4501629520327554E-4</v>
      </c>
      <c r="R83" s="3581" cm="1">
        <f t="array" aca="1" ref="R83" ca="1">INDIRECT("'※ 영업품질 세부데이터'!"&amp;R$1&amp;$W83, TRUE)</f>
        <v>-8.3410565338276177E-2</v>
      </c>
      <c r="S83" s="3582" cm="1">
        <f t="array" aca="1" ref="S83" ca="1">INDIRECT("'※ 영업품질 세부데이터'!"&amp;S$1&amp;$W83, TRUE)</f>
        <v>3.5830364883416753E-2</v>
      </c>
      <c r="T83" s="3580" cm="1">
        <f t="array" aca="1" ref="T83" ca="1">INDIRECT("'※ 영업품질 세부데이터'!"&amp;T$1&amp;$W83, TRUE)</f>
        <v>-8.5256348199011789E-2</v>
      </c>
      <c r="U83" s="3583" cm="1">
        <f t="array" aca="1" ref="U83" ca="1">INDIRECT("'※ 영업품질 세부데이터'!"&amp;U$1&amp;$W83, TRUE)</f>
        <v>3.5830364883416753E-2</v>
      </c>
      <c r="V83" s="3584" cm="1">
        <f t="array" aca="1" ref="V83" ca="1">INDIRECT("'※ 영업품질 세부데이터'!"&amp;V$1&amp;$W83, TRUE)</f>
        <v>-2.9971804512075852E-2</v>
      </c>
      <c r="W83" s="3134">
        <f>ROW('※ 영업품질 세부데이터'!A84)</f>
        <v>84</v>
      </c>
      <c r="X83" s="3468"/>
      <c r="Y83" s="3468"/>
    </row>
    <row r="84" spans="1:25" ht="14.8" customHeight="1" x14ac:dyDescent="0.55000000000000004">
      <c r="A84" s="7490"/>
      <c r="B84" s="3552"/>
      <c r="C84" s="2639" t="s">
        <v>149</v>
      </c>
      <c r="D84" s="3578" cm="1">
        <f t="array" aca="1" ref="D84" ca="1">INDIRECT("'※ 영업품질 세부데이터'!"&amp;D$1&amp;$W84, TRUE)</f>
        <v>2.4431153286385777E-2</v>
      </c>
      <c r="E84" s="3579" cm="1">
        <f t="array" aca="1" ref="E84" ca="1">INDIRECT("'※ 영업품질 세부데이터'!"&amp;E$1&amp;$W84, TRUE)</f>
        <v>2.5544267053701015E-2</v>
      </c>
      <c r="F84" s="3579" cm="1">
        <f t="array" aca="1" ref="F84" ca="1">INDIRECT("'※ 영업품질 세부데이터'!"&amp;F$1&amp;$W84, TRUE)</f>
        <v>1.8514870986803229E-2</v>
      </c>
      <c r="G84" s="3579" cm="1">
        <f t="array" aca="1" ref="G84" ca="1">INDIRECT("'※ 영업품질 세부데이터'!"&amp;G$1&amp;$W84, TRUE)</f>
        <v>2.1897810218978103E-2</v>
      </c>
      <c r="H84" s="3579" cm="1">
        <f t="array" aca="1" ref="H84" ca="1">INDIRECT("'※ 영업품질 세부데이터'!"&amp;H$1&amp;$W84, TRUE)</f>
        <v>1.8802482657904344E-2</v>
      </c>
      <c r="I84" s="3579" cm="1">
        <f t="array" aca="1" ref="I84" ca="1">INDIRECT("'※ 영업품질 세부데이터'!"&amp;I$1&amp;$W84, TRUE)</f>
        <v>1.7592227911251149E-2</v>
      </c>
      <c r="J84" s="3579" cm="1">
        <f t="array" aca="1" ref="J84" ca="1">INDIRECT("'※ 영업품질 세부데이터'!"&amp;J$1&amp;$W84, TRUE)</f>
        <v>1.9702984855168356E-2</v>
      </c>
      <c r="K84" s="3579" cm="1">
        <f t="array" aca="1" ref="K84" ca="1">INDIRECT("'※ 영업품질 세부데이터'!"&amp;K$1&amp;$W84, TRUE)</f>
        <v>1.9286657859973581E-2</v>
      </c>
      <c r="L84" s="3579" cm="1">
        <f t="array" aca="1" ref="L84" ca="1">INDIRECT("'※ 영업품질 세부데이터'!"&amp;L$1&amp;$W84, TRUE)</f>
        <v>1.2883324260569769E-2</v>
      </c>
      <c r="M84" s="3579" cm="1">
        <f t="array" aca="1" ref="M84" ca="1">INDIRECT("'※ 영업품질 세부데이터'!"&amp;M$1&amp;$W84, TRUE)</f>
        <v>1.6266040122898971E-2</v>
      </c>
      <c r="N84" s="3579" cm="1">
        <f t="array" aca="1" ref="N84" ca="1">INDIRECT("'※ 영업품질 세부데이터'!"&amp;N$1&amp;$W84, TRUE)</f>
        <v>1.4964788732394365E-2</v>
      </c>
      <c r="O84" s="3579" cm="1">
        <f t="array" aca="1" ref="O84" ca="1">INDIRECT("'※ 영업품질 세부데이터'!"&amp;O$1&amp;$W84, TRUE)</f>
        <v>1.4853857211308098E-2</v>
      </c>
      <c r="P84" s="3579"/>
      <c r="Q84" s="3580">
        <f t="shared" ca="1" si="1"/>
        <v>3.3829392321748745E-3</v>
      </c>
      <c r="R84" s="3581" cm="1">
        <f t="array" aca="1" ref="R84" ca="1">INDIRECT("'※ 영업품질 세부데이터'!"&amp;R$1&amp;$W84, TRUE)</f>
        <v>-2.4691358024691357E-2</v>
      </c>
      <c r="S84" s="3582" cm="1">
        <f t="array" aca="1" ref="S84" ca="1">INDIRECT("'※ 영업품질 세부데이터'!"&amp;S$1&amp;$W84, TRUE)</f>
        <v>1.8209937442813726E-2</v>
      </c>
      <c r="T84" s="3580" cm="1">
        <f t="array" aca="1" ref="T84" ca="1">INDIRECT("'※ 영업품질 세부데이터'!"&amp;T$1&amp;$W84, TRUE)</f>
        <v>-0.2224947661913465</v>
      </c>
      <c r="U84" s="3583" cm="1">
        <f t="array" aca="1" ref="U84" ca="1">INDIRECT("'※ 영업품질 세부데이터'!"&amp;U$1&amp;$W84, TRUE)</f>
        <v>1.8209937442813726E-2</v>
      </c>
      <c r="V84" s="3584" cm="1">
        <f t="array" aca="1" ref="V84" ca="1">INDIRECT("'※ 영업품질 세부데이터'!"&amp;V$1&amp;$W84, TRUE)</f>
        <v>-6.2212158435720512E-3</v>
      </c>
      <c r="W84" s="3134">
        <f>ROW('※ 영업품질 세부데이터'!A85)</f>
        <v>85</v>
      </c>
      <c r="X84" s="3468"/>
      <c r="Y84" s="3468"/>
    </row>
    <row r="85" spans="1:25" ht="14.8" customHeight="1" x14ac:dyDescent="0.55000000000000004">
      <c r="A85" s="7490"/>
      <c r="B85" s="3552"/>
      <c r="C85" s="2639" t="s">
        <v>155</v>
      </c>
      <c r="D85" s="3578" cm="1">
        <f t="array" aca="1" ref="D85" ca="1">INDIRECT("'※ 영업품질 세부데이터'!"&amp;D$1&amp;$W85, TRUE)</f>
        <v>2.3384160422588562E-2</v>
      </c>
      <c r="E85" s="3579" cm="1">
        <f t="array" aca="1" ref="E85" ca="1">INDIRECT("'※ 영업품질 세부데이터'!"&amp;E$1&amp;$W85, TRUE)</f>
        <v>2.2410358565737053E-2</v>
      </c>
      <c r="F85" s="3579" cm="1">
        <f t="array" aca="1" ref="F85" ca="1">INDIRECT("'※ 영업품질 세부데이터'!"&amp;F$1&amp;$W85, TRUE)</f>
        <v>2.2156084656084655E-2</v>
      </c>
      <c r="G85" s="3579" cm="1">
        <f t="array" aca="1" ref="G85" ca="1">INDIRECT("'※ 영업품질 세부데이터'!"&amp;G$1&amp;$W85, TRUE)</f>
        <v>2.8492647058823529E-2</v>
      </c>
      <c r="H85" s="3579" cm="1">
        <f t="array" aca="1" ref="H85" ca="1">INDIRECT("'※ 영업품질 세부데이터'!"&amp;H$1&amp;$W85, TRUE)</f>
        <v>2.3304347826086955E-2</v>
      </c>
      <c r="I85" s="3579" cm="1">
        <f t="array" aca="1" ref="I85" ca="1">INDIRECT("'※ 영업품질 세부데이터'!"&amp;I$1&amp;$W85, TRUE)</f>
        <v>1.8155757286192068E-2</v>
      </c>
      <c r="J85" s="3579" cm="1">
        <f t="array" aca="1" ref="J85" ca="1">INDIRECT("'※ 영업품질 세부데이터'!"&amp;J$1&amp;$W85, TRUE)</f>
        <v>2.2887821418479795E-2</v>
      </c>
      <c r="K85" s="3579" cm="1">
        <f t="array" aca="1" ref="K85" ca="1">INDIRECT("'※ 영업품질 세부데이터'!"&amp;K$1&amp;$W85, TRUE)</f>
        <v>2.0295202952029519E-2</v>
      </c>
      <c r="L85" s="3579" cm="1">
        <f t="array" aca="1" ref="L85" ca="1">INDIRECT("'※ 영업품질 세부데이터'!"&amp;L$1&amp;$W85, TRUE)</f>
        <v>2.0274689339437543E-2</v>
      </c>
      <c r="M85" s="3579" cm="1">
        <f t="array" aca="1" ref="M85" ca="1">INDIRECT("'※ 영업품질 세부데이터'!"&amp;M$1&amp;$W85, TRUE)</f>
        <v>2.0646319569120289E-2</v>
      </c>
      <c r="N85" s="3579" cm="1">
        <f t="array" aca="1" ref="N85" ca="1">INDIRECT("'※ 영업품질 세부데이터'!"&amp;N$1&amp;$W85, TRUE)</f>
        <v>1.452003226673837E-2</v>
      </c>
      <c r="O85" s="3579" cm="1">
        <f t="array" aca="1" ref="O85" ca="1">INDIRECT("'※ 영업품질 세부데이터'!"&amp;O$1&amp;$W85, TRUE)</f>
        <v>1.8275862068965518E-2</v>
      </c>
      <c r="P85" s="3579"/>
      <c r="Q85" s="3580">
        <f t="shared" ca="1" si="1"/>
        <v>6.3365624027388739E-3</v>
      </c>
      <c r="R85" s="3581" cm="1">
        <f t="array" aca="1" ref="R85" ca="1">INDIRECT("'※ 영업품질 세부데이터'!"&amp;R$1&amp;$W85, TRUE)</f>
        <v>-2.9681597409606044E-2</v>
      </c>
      <c r="S85" s="3582" cm="1">
        <f t="array" aca="1" ref="S85" ca="1">INDIRECT("'※ 영업품질 세부데이터'!"&amp;S$1&amp;$W85, TRUE)</f>
        <v>2.1038102091608665E-2</v>
      </c>
      <c r="T85" s="3580" cm="1">
        <f t="array" aca="1" ref="T85" ca="1">INDIRECT("'※ 영업품질 세부데이터'!"&amp;T$1&amp;$W85, TRUE)</f>
        <v>-0.20238531397849244</v>
      </c>
      <c r="U85" s="3583" cm="1">
        <f t="array" aca="1" ref="U85" ca="1">INDIRECT("'※ 영업품질 세부데이터'!"&amp;U$1&amp;$W85, TRUE)</f>
        <v>2.1038102091608665E-2</v>
      </c>
      <c r="V85" s="3584" cm="1">
        <f t="array" aca="1" ref="V85" ca="1">INDIRECT("'※ 영업품질 세부데이터'!"&amp;V$1&amp;$W85, TRUE)</f>
        <v>-2.3460583309798978E-3</v>
      </c>
      <c r="W85" s="3134">
        <f>ROW('※ 영업품질 세부데이터'!A86)</f>
        <v>86</v>
      </c>
      <c r="X85" s="3468"/>
      <c r="Y85" s="3468"/>
    </row>
    <row r="86" spans="1:25" ht="14.8" customHeight="1" x14ac:dyDescent="0.55000000000000004">
      <c r="A86" s="7490"/>
      <c r="B86" s="3552"/>
      <c r="C86" s="2639" t="s">
        <v>151</v>
      </c>
      <c r="D86" s="3578" cm="1">
        <f t="array" aca="1" ref="D86" ca="1">INDIRECT("'※ 영업품질 세부데이터'!"&amp;D$1&amp;$W86, TRUE)</f>
        <v>2.9386676387225922E-2</v>
      </c>
      <c r="E86" s="3579" cm="1">
        <f t="array" aca="1" ref="E86" ca="1">INDIRECT("'※ 영업품질 세부데이터'!"&amp;E$1&amp;$W86, TRUE)</f>
        <v>3.6720142602495544E-2</v>
      </c>
      <c r="F86" s="3579" cm="1">
        <f t="array" aca="1" ref="F86" ca="1">INDIRECT("'※ 영업품질 세부데이터'!"&amp;F$1&amp;$W86, TRUE)</f>
        <v>2.9754204398447608E-2</v>
      </c>
      <c r="G86" s="3579" cm="1">
        <f t="array" aca="1" ref="G86" ca="1">INDIRECT("'※ 영업품질 세부데이터'!"&amp;G$1&amp;$W86, TRUE)</f>
        <v>3.0094043887147336E-2</v>
      </c>
      <c r="H86" s="3579" cm="1">
        <f t="array" aca="1" ref="H86" ca="1">INDIRECT("'※ 영업품질 세부데이터'!"&amp;H$1&amp;$W86, TRUE)</f>
        <v>2.6175213675213676E-2</v>
      </c>
      <c r="I86" s="3579" cm="1">
        <f t="array" aca="1" ref="I86" ca="1">INDIRECT("'※ 영업품질 세부데이터'!"&amp;I$1&amp;$W86, TRUE)</f>
        <v>2.2610294117647058E-2</v>
      </c>
      <c r="J86" s="3579" cm="1">
        <f t="array" aca="1" ref="J86" ca="1">INDIRECT("'※ 영업품질 세부데이터'!"&amp;J$1&amp;$W86, TRUE)</f>
        <v>2.825361512791991E-2</v>
      </c>
      <c r="K86" s="3579" cm="1">
        <f t="array" aca="1" ref="K86" ca="1">INDIRECT("'※ 영업품질 세부데이터'!"&amp;K$1&amp;$W86, TRUE)</f>
        <v>2.2753567296567682E-2</v>
      </c>
      <c r="L86" s="3579" cm="1">
        <f t="array" aca="1" ref="L86" ca="1">INDIRECT("'※ 영업품질 세부데이터'!"&amp;L$1&amp;$W86, TRUE)</f>
        <v>3.0356100408639813E-2</v>
      </c>
      <c r="M86" s="3579" cm="1">
        <f t="array" aca="1" ref="M86" ca="1">INDIRECT("'※ 영업품질 세부데이터'!"&amp;M$1&amp;$W86, TRUE)</f>
        <v>2.4222335543090261E-2</v>
      </c>
      <c r="N86" s="3579" cm="1">
        <f t="array" aca="1" ref="N86" ca="1">INDIRECT("'※ 영업품질 세부데이터'!"&amp;N$1&amp;$W86, TRUE)</f>
        <v>2.5167785234899327E-2</v>
      </c>
      <c r="O86" s="3579" cm="1">
        <f t="array" aca="1" ref="O86" ca="1">INDIRECT("'※ 영업품질 세부데이터'!"&amp;O$1&amp;$W86, TRUE)</f>
        <v>3.1488549618320608E-2</v>
      </c>
      <c r="P86" s="3579"/>
      <c r="Q86" s="3580">
        <f t="shared" ca="1" si="1"/>
        <v>3.3983948869972802E-4</v>
      </c>
      <c r="R86" s="3581" cm="1">
        <f t="array" aca="1" ref="R86" ca="1">INDIRECT("'※ 영업품질 세부데이터'!"&amp;R$1&amp;$W86, TRUE)</f>
        <v>-3.6585365853658534E-2</v>
      </c>
      <c r="S86" s="3582" cm="1">
        <f t="array" aca="1" ref="S86" ca="1">INDIRECT("'※ 영업품질 세부데이터'!"&amp;S$1&amp;$W86, TRUE)</f>
        <v>2.7963259264580799E-2</v>
      </c>
      <c r="T86" s="3580" cm="1">
        <f t="array" aca="1" ref="T86" ca="1">INDIRECT("'※ 영업품질 세부데이터'!"&amp;T$1&amp;$W86, TRUE)</f>
        <v>-0.22539096359244395</v>
      </c>
      <c r="U86" s="3583" cm="1">
        <f t="array" aca="1" ref="U86" ca="1">INDIRECT("'※ 영업품질 세부데이터'!"&amp;U$1&amp;$W86, TRUE)</f>
        <v>2.7963259264580799E-2</v>
      </c>
      <c r="V86" s="3584" cm="1">
        <f t="array" aca="1" ref="V86" ca="1">INDIRECT("'※ 영업품질 세부데이터'!"&amp;V$1&amp;$W86, TRUE)</f>
        <v>-1.423417122645123E-3</v>
      </c>
      <c r="W86" s="3134">
        <f>ROW('※ 영업품질 세부데이터'!A87)</f>
        <v>87</v>
      </c>
      <c r="X86" s="3468"/>
      <c r="Y86" s="3468"/>
    </row>
    <row r="87" spans="1:25" ht="14.8" customHeight="1" x14ac:dyDescent="0.55000000000000004">
      <c r="A87" s="7490"/>
      <c r="B87" s="3585"/>
      <c r="C87" s="3586" t="s">
        <v>152</v>
      </c>
      <c r="D87" s="3587" cm="1">
        <f t="array" aca="1" ref="D87" ca="1">INDIRECT("'※ 영업품질 세부데이터'!"&amp;D$1&amp;$W87, TRUE)</f>
        <v>3.9002259050187206E-2</v>
      </c>
      <c r="E87" s="3588" cm="1">
        <f t="array" aca="1" ref="E87" ca="1">INDIRECT("'※ 영업품질 세부데이터'!"&amp;E$1&amp;$W87, TRUE)</f>
        <v>5.1794871794871793E-2</v>
      </c>
      <c r="F87" s="3588" cm="1">
        <f t="array" aca="1" ref="F87" ca="1">INDIRECT("'※ 영업품질 세부데이터'!"&amp;F$1&amp;$W87, TRUE)</f>
        <v>3.6809815950920248E-2</v>
      </c>
      <c r="G87" s="3588" cm="1">
        <f t="array" aca="1" ref="G87" ca="1">INDIRECT("'※ 영업품질 세부데이터'!"&amp;G$1&amp;$W87, TRUE)</f>
        <v>3.8167938931297711E-2</v>
      </c>
      <c r="H87" s="3588" cm="1">
        <f t="array" aca="1" ref="H87" ca="1">INDIRECT("'※ 영업품질 세부데이터'!"&amp;H$1&amp;$W87, TRUE)</f>
        <v>3.4950657894736843E-2</v>
      </c>
      <c r="I87" s="3588" cm="1">
        <f t="array" aca="1" ref="I87" ca="1">INDIRECT("'※ 영업품질 세부데이터'!"&amp;I$1&amp;$W87, TRUE)</f>
        <v>3.1798608810864527E-2</v>
      </c>
      <c r="J87" s="3588" cm="1">
        <f t="array" aca="1" ref="J87" ca="1">INDIRECT("'※ 영업품질 세부데이터'!"&amp;J$1&amp;$W87, TRUE)</f>
        <v>3.3004714959279896E-2</v>
      </c>
      <c r="K87" s="3588" cm="1">
        <f t="array" aca="1" ref="K87" ca="1">INDIRECT("'※ 영업품질 세부데이터'!"&amp;K$1&amp;$W87, TRUE)</f>
        <v>2.7958387516254877E-2</v>
      </c>
      <c r="L87" s="3588" cm="1">
        <f t="array" aca="1" ref="L87" ca="1">INDIRECT("'※ 영업품질 세부데이터'!"&amp;L$1&amp;$W87, TRUE)</f>
        <v>1.9343229869545658E-2</v>
      </c>
      <c r="M87" s="3588" cm="1">
        <f t="array" aca="1" ref="M87" ca="1">INDIRECT("'※ 영업품질 세부데이터'!"&amp;M$1&amp;$W87, TRUE)</f>
        <v>3.6852207293666027E-2</v>
      </c>
      <c r="N87" s="3588" cm="1">
        <f t="array" aca="1" ref="N87" ca="1">INDIRECT("'※ 영업품질 세부데이터'!"&amp;N$1&amp;$W87, TRUE)</f>
        <v>2.7898866608544029E-2</v>
      </c>
      <c r="O87" s="3588" cm="1">
        <f t="array" aca="1" ref="O87" ca="1">INDIRECT("'※ 영업품질 세부데이터'!"&amp;O$1&amp;$W87, TRUE)</f>
        <v>2.5449101796407185E-2</v>
      </c>
      <c r="P87" s="3588"/>
      <c r="Q87" s="3589">
        <f t="shared" ca="1" si="1"/>
        <v>1.358122980377463E-3</v>
      </c>
      <c r="R87" s="3590" cm="1">
        <f t="array" aca="1" ref="R87" ca="1">INDIRECT("'※ 영업품질 세부데이터'!"&amp;R$1&amp;$W87, TRUE)</f>
        <v>-5.0051599587203302E-2</v>
      </c>
      <c r="S87" s="3591" cm="1">
        <f t="array" aca="1" ref="S87" ca="1">INDIRECT("'※ 영업품질 세부데이터'!"&amp;S$1&amp;$W87, TRUE)</f>
        <v>3.3093491038762614E-2</v>
      </c>
      <c r="T87" s="3589" cm="1">
        <f t="array" aca="1" ref="T87" ca="1">INDIRECT("'※ 영업품질 세부데이터'!"&amp;T$1&amp;$W87, TRUE)</f>
        <v>-0.27405419244469104</v>
      </c>
      <c r="U87" s="3592" cm="1">
        <f t="array" aca="1" ref="U87" ca="1">INDIRECT("'※ 영업품질 세부데이터'!"&amp;U$1&amp;$W87, TRUE)</f>
        <v>3.3093491038762614E-2</v>
      </c>
      <c r="V87" s="3593" cm="1">
        <f t="array" aca="1" ref="V87" ca="1">INDIRECT("'※ 영업품질 세부데이터'!"&amp;V$1&amp;$W87, TRUE)</f>
        <v>-5.9087680114245922E-3</v>
      </c>
      <c r="W87" s="3134">
        <f>ROW('※ 영업품질 세부데이터'!A88)</f>
        <v>88</v>
      </c>
      <c r="X87" s="3468"/>
      <c r="Y87" s="3468"/>
    </row>
    <row r="88" spans="1:25" ht="14.8" customHeight="1" x14ac:dyDescent="0.55000000000000004">
      <c r="A88" s="7490"/>
      <c r="B88" s="7492" t="s">
        <v>560</v>
      </c>
      <c r="C88" s="3493"/>
      <c r="D88" s="3594" cm="1">
        <f t="array" aca="1" ref="D88" ca="1">INDIRECT("'※ 영업품질 세부데이터'!"&amp;D$1&amp;$W88, TRUE)</f>
        <v>6.3154969787152715E-3</v>
      </c>
      <c r="E88" s="3595" cm="1">
        <f t="array" aca="1" ref="E88" ca="1">INDIRECT("'※ 영업품질 세부데이터'!"&amp;E$1&amp;$W88, TRUE)</f>
        <v>3.549035845262037E-4</v>
      </c>
      <c r="F88" s="3595" cm="1">
        <f t="array" aca="1" ref="F88" ca="1">INDIRECT("'※ 영업품질 세부데이터'!"&amp;F$1&amp;$W88, TRUE)</f>
        <v>1.7094747638787982E-3</v>
      </c>
      <c r="G88" s="3595" cm="1">
        <f t="array" aca="1" ref="G88" ca="1">INDIRECT("'※ 영업품질 세부데이터'!"&amp;G$1&amp;$W88, TRUE)</f>
        <v>1.4429022949017452E-3</v>
      </c>
      <c r="H88" s="3595" cm="1">
        <f t="array" aca="1" ref="H88" ca="1">INDIRECT("'※ 영업품질 세부데이터'!"&amp;H$1&amp;$W88, TRUE)</f>
        <v>9.2715999304630002E-4</v>
      </c>
      <c r="I88" s="3595" cm="1">
        <f t="array" aca="1" ref="I88" ca="1">INDIRECT("'※ 영업품질 세부데이터'!"&amp;I$1&amp;$W88, TRUE)</f>
        <v>5.6862393008918414E-4</v>
      </c>
      <c r="J88" s="3595" cm="1">
        <f t="array" aca="1" ref="J88" ca="1">INDIRECT("'※ 영업품질 세부데이터'!"&amp;J$1&amp;$W88, TRUE)</f>
        <v>5.6862393008918414E-4</v>
      </c>
      <c r="K88" s="3595" cm="1">
        <f t="array" aca="1" ref="K88" ca="1">INDIRECT("'※ 영업품질 세부데이터'!"&amp;K$1&amp;$W88, TRUE)</f>
        <v>1.5289832261546072E-3</v>
      </c>
      <c r="L88" s="3595" cm="1">
        <f t="array" aca="1" ref="L88" ca="1">INDIRECT("'※ 영업품질 세부데이터'!"&amp;L$1&amp;$W88, TRUE)</f>
        <v>9.8535111344675826E-4</v>
      </c>
      <c r="M88" s="3595" cm="1">
        <f t="array" aca="1" ref="M88" ca="1">INDIRECT("'※ 영업품질 세부데이터'!"&amp;M$1&amp;$W88, TRUE)</f>
        <v>7.7497246808337075E-4</v>
      </c>
      <c r="N88" s="3595" cm="1">
        <f t="array" aca="1" ref="N88" ca="1">INDIRECT("'※ 영업품질 세부데이터'!"&amp;N$1&amp;$W88, TRUE)</f>
        <v>8.0424642110342611E-4</v>
      </c>
      <c r="O88" s="3595" cm="1">
        <f t="array" aca="1" ref="O88" ca="1">INDIRECT("'※ 영업품질 세부데이터'!"&amp;O$1&amp;$W88, TRUE)</f>
        <v>7.0425999999999996E-4</v>
      </c>
      <c r="P88" s="3595"/>
      <c r="Q88" s="3596">
        <f t="shared" ca="1" si="1"/>
        <v>-2.6657246897705301E-4</v>
      </c>
      <c r="R88" s="3597" cm="1">
        <f t="array" aca="1" ref="R88" ca="1">INDIRECT("'※ 영업품질 세부데이터'!"&amp;R$1&amp;$W88, TRUE)</f>
        <v>-9.9469496021220159E-4</v>
      </c>
      <c r="S88" s="3598" cm="1">
        <f t="array" aca="1" ref="S88" ca="1">INDIRECT("'※ 영업품질 세부데이터'!"&amp;S$1&amp;$W88, TRUE)</f>
        <v>9.4268197502905262E-4</v>
      </c>
      <c r="T88" s="3596" cm="1">
        <f t="array" aca="1" ref="T88" ca="1">INDIRECT("'※ 영업품질 세부데이터'!"&amp;T$1&amp;$W88, TRUE)</f>
        <v>-6.0558569089318372E-2</v>
      </c>
      <c r="U88" s="3599" cm="1">
        <f t="array" aca="1" ref="U88" ca="1">INDIRECT("'※ 영업품질 세부데이터'!"&amp;U$1&amp;$W88, TRUE)</f>
        <v>9.4268197502905262E-4</v>
      </c>
      <c r="V88" s="3600" cm="1">
        <f t="array" aca="1" ref="V88" ca="1">INDIRECT("'※ 영업품질 세부데이터'!"&amp;V$1&amp;$W88, TRUE)</f>
        <v>-5.3728150036862193E-3</v>
      </c>
      <c r="W88" s="3134">
        <f>ROW('※ 영업품질 세부데이터'!A89)</f>
        <v>89</v>
      </c>
      <c r="X88" s="3468"/>
      <c r="Y88" s="3468"/>
    </row>
    <row r="89" spans="1:25" ht="14.8" customHeight="1" x14ac:dyDescent="0.55000000000000004">
      <c r="A89" s="7490"/>
      <c r="B89" s="7493"/>
      <c r="C89" s="3494" t="s">
        <v>954</v>
      </c>
      <c r="D89" s="3601" cm="1">
        <f t="array" aca="1" ref="D89" ca="1">INDIRECT("'※ 영업품질 세부데이터'!"&amp;D$1&amp;$W89, TRUE)</f>
        <v>5.2976475074672088E-3</v>
      </c>
      <c r="E89" s="3602" cm="1">
        <f t="array" aca="1" ref="E89" ca="1">INDIRECT("'※ 영업품질 세부데이터'!"&amp;E$1&amp;$W89, TRUE)</f>
        <v>0</v>
      </c>
      <c r="F89" s="3602" cm="1">
        <f t="array" aca="1" ref="F89" ca="1">INDIRECT("'※ 영업품질 세부데이터'!"&amp;F$1&amp;$W89, TRUE)</f>
        <v>0</v>
      </c>
      <c r="G89" s="3602" cm="1">
        <f t="array" aca="1" ref="G89" ca="1">INDIRECT("'※ 영업품질 세부데이터'!"&amp;G$1&amp;$W89, TRUE)</f>
        <v>0</v>
      </c>
      <c r="H89" s="3602" cm="1">
        <f t="array" aca="1" ref="H89" ca="1">INDIRECT("'※ 영업품질 세부데이터'!"&amp;H$1&amp;$W89, TRUE)</f>
        <v>0</v>
      </c>
      <c r="I89" s="3602" cm="1">
        <f t="array" aca="1" ref="I89" ca="1">INDIRECT("'※ 영업품질 세부데이터'!"&amp;I$1&amp;$W89, TRUE)</f>
        <v>0</v>
      </c>
      <c r="J89" s="3602" cm="1">
        <f t="array" aca="1" ref="J89" ca="1">INDIRECT("'※ 영업품질 세부데이터'!"&amp;J$1&amp;$W89, TRUE)</f>
        <v>0</v>
      </c>
      <c r="K89" s="3602" cm="1">
        <f t="array" aca="1" ref="K89" ca="1">INDIRECT("'※ 영업품질 세부데이터'!"&amp;K$1&amp;$W89, TRUE)</f>
        <v>0</v>
      </c>
      <c r="L89" s="3602" cm="1">
        <f t="array" aca="1" ref="L89" ca="1">INDIRECT("'※ 영업품질 세부데이터'!"&amp;L$1&amp;$W89, TRUE)</f>
        <v>0</v>
      </c>
      <c r="M89" s="3602" cm="1">
        <f t="array" aca="1" ref="M89" ca="1">INDIRECT("'※ 영업품질 세부데이터'!"&amp;M$1&amp;$W89, TRUE)</f>
        <v>0</v>
      </c>
      <c r="N89" s="3602" cm="1">
        <f t="array" aca="1" ref="N89" ca="1">INDIRECT("'※ 영업품질 세부데이터'!"&amp;N$1&amp;$W89, TRUE)</f>
        <v>0</v>
      </c>
      <c r="O89" s="3602" cm="1">
        <f t="array" aca="1" ref="O89" ca="1">INDIRECT("'※ 영업품질 세부데이터'!"&amp;O$1&amp;$W89, TRUE)</f>
        <v>0</v>
      </c>
      <c r="P89" s="3602"/>
      <c r="Q89" s="3603">
        <f t="shared" ca="1" si="1"/>
        <v>0</v>
      </c>
      <c r="R89" s="3604" cm="1">
        <f t="array" aca="1" ref="R89" ca="1">INDIRECT("'※ 영업품질 세부데이터'!"&amp;R$1&amp;$W89, TRUE)</f>
        <v>0</v>
      </c>
      <c r="S89" s="3605" cm="1">
        <f t="array" aca="1" ref="S89" ca="1">INDIRECT("'※ 영업품질 세부데이터'!"&amp;S$1&amp;$W89, TRUE)</f>
        <v>0</v>
      </c>
      <c r="T89" s="3603" cm="1">
        <f t="array" aca="1" ref="T89" ca="1">INDIRECT("'※ 영업품질 세부데이터'!"&amp;T$1&amp;$W89, TRUE)</f>
        <v>-6.3571770089606502E-2</v>
      </c>
      <c r="U89" s="3606" cm="1">
        <f t="array" aca="1" ref="U89" ca="1">INDIRECT("'※ 영업품질 세부데이터'!"&amp;U$1&amp;$W89, TRUE)</f>
        <v>0</v>
      </c>
      <c r="V89" s="3607" cm="1">
        <f t="array" aca="1" ref="V89" ca="1">INDIRECT("'※ 영업품질 세부데이터'!"&amp;V$1&amp;$W89, TRUE)</f>
        <v>-5.2976475074672088E-3</v>
      </c>
      <c r="W89" s="3134">
        <f>ROW('※ 영업품질 세부데이터'!A90)</f>
        <v>90</v>
      </c>
      <c r="X89" s="3468"/>
      <c r="Y89" s="3468"/>
    </row>
    <row r="90" spans="1:25" ht="14.8" customHeight="1" thickBot="1" x14ac:dyDescent="0.6">
      <c r="A90" s="7490"/>
      <c r="B90" s="7494"/>
      <c r="C90" s="3495" t="s">
        <v>22</v>
      </c>
      <c r="D90" s="3608" cm="1">
        <f t="array" aca="1" ref="D90" ca="1">INDIRECT("'※ 영업품질 세부데이터'!"&amp;D$1&amp;$W90, TRUE)</f>
        <v>1.3090372557206555E-2</v>
      </c>
      <c r="E90" s="3609" cm="1">
        <f t="array" aca="1" ref="E90" ca="1">INDIRECT("'※ 영업품질 세부데이터'!"&amp;E$1&amp;$W90, TRUE)</f>
        <v>2.0732550103662751E-3</v>
      </c>
      <c r="F90" s="3609" cm="1">
        <f t="array" aca="1" ref="F90" ca="1">INDIRECT("'※ 영업품질 세부데이터'!"&amp;F$1&amp;$W90, TRUE)</f>
        <v>7.3787124146836381E-3</v>
      </c>
      <c r="G90" s="3609" cm="1">
        <f t="array" aca="1" ref="G90" ca="1">INDIRECT("'※ 영업품질 세부데이터'!"&amp;G$1&amp;$W90, TRUE)</f>
        <v>5.6833558863328823E-3</v>
      </c>
      <c r="H90" s="3609" cm="1">
        <f t="array" aca="1" ref="H90" ca="1">INDIRECT("'※ 영업품질 세부데이터'!"&amp;H$1&amp;$W90, TRUE)</f>
        <v>5.3547523427041497E-3</v>
      </c>
      <c r="I90" s="3609" cm="1">
        <f t="array" aca="1" ref="I90" ca="1">INDIRECT("'※ 영업품질 세부데이터'!"&amp;I$1&amp;$W90, TRUE)</f>
        <v>5.1130247578040902E-3</v>
      </c>
      <c r="J90" s="3609" cm="1">
        <f t="array" aca="1" ref="J90" ca="1">INDIRECT("'※ 영업품질 세부데이터'!"&amp;J$1&amp;$W90, TRUE)</f>
        <v>5.6121388484722508E-3</v>
      </c>
      <c r="K90" s="3609" cm="1">
        <f t="array" aca="1" ref="K90" ca="1">INDIRECT("'※ 영업품질 세부데이터'!"&amp;K$1&amp;$W90, TRUE)</f>
        <v>8.5923679555218596E-3</v>
      </c>
      <c r="L90" s="3609" cm="1">
        <f t="array" aca="1" ref="L90" ca="1">INDIRECT("'※ 영업품질 세부데이터'!"&amp;L$1&amp;$W90, TRUE)</f>
        <v>6.9188191881918819E-3</v>
      </c>
      <c r="M90" s="3609" cm="1">
        <f t="array" aca="1" ref="M90" ca="1">INDIRECT("'※ 영업품질 세부데이터'!"&amp;M$1&amp;$W90, TRUE)</f>
        <v>7.4803149606299212E-3</v>
      </c>
      <c r="N90" s="3609" cm="1">
        <f t="array" aca="1" ref="N90" ca="1">INDIRECT("'※ 영업품질 세부데이터'!"&amp;N$1&amp;$W90, TRUE)</f>
        <v>5.6796667928814843E-3</v>
      </c>
      <c r="O90" s="3609" cm="1">
        <f t="array" aca="1" ref="O90" ca="1">INDIRECT("'※ 영업품질 세부데이터'!"&amp;O$1&amp;$W90, TRUE)</f>
        <v>7.1942446043165471E-3</v>
      </c>
      <c r="P90" s="3609"/>
      <c r="Q90" s="3610">
        <f t="shared" ca="1" si="1"/>
        <v>-1.6953565283507558E-3</v>
      </c>
      <c r="R90" s="3611" cm="1">
        <f t="array" aca="1" ref="R90" ca="1">INDIRECT("'※ 영업품질 세부데이터'!"&amp;R$1&amp;$W90, TRUE)</f>
        <v>-1.2145748987854251E-2</v>
      </c>
      <c r="S90" s="3612" cm="1">
        <f t="array" aca="1" ref="S90" ca="1">INDIRECT("'※ 영업품질 세부데이터'!"&amp;S$1&amp;$W90, TRUE)</f>
        <v>6.098241160173181E-3</v>
      </c>
      <c r="T90" s="3610" cm="1">
        <f t="array" aca="1" ref="T90" ca="1">INDIRECT("'※ 영업품질 세부데이터'!"&amp;T$1&amp;$W90, TRUE)</f>
        <v>-0.12555046281842758</v>
      </c>
      <c r="U90" s="3613" cm="1">
        <f t="array" aca="1" ref="U90" ca="1">INDIRECT("'※ 영업품질 세부데이터'!"&amp;U$1&amp;$W90, TRUE)</f>
        <v>6.098241160173181E-3</v>
      </c>
      <c r="V90" s="3614" cm="1">
        <f t="array" aca="1" ref="V90" ca="1">INDIRECT("'※ 영업품질 세부데이터'!"&amp;V$1&amp;$W90, TRUE)</f>
        <v>-6.9921313970333736E-3</v>
      </c>
      <c r="W90" s="3134">
        <f>ROW('※ 영업품질 세부데이터'!A91)</f>
        <v>91</v>
      </c>
      <c r="X90" s="3468"/>
      <c r="Y90" s="3468"/>
    </row>
    <row r="91" spans="1:25" ht="14.8" customHeight="1" x14ac:dyDescent="0.55000000000000004">
      <c r="A91" s="7490"/>
      <c r="B91" s="3615" t="s">
        <v>565</v>
      </c>
      <c r="C91" s="3616" t="s">
        <v>561</v>
      </c>
      <c r="D91" s="3617" cm="1">
        <f t="array" aca="1" ref="D91" ca="1">INDIRECT("'※ 영업품질 세부데이터'!"&amp;D$1&amp;$W91, TRUE)</f>
        <v>817</v>
      </c>
      <c r="E91" s="3618" cm="1">
        <f t="array" aca="1" ref="E91" ca="1">INDIRECT("'※ 영업품질 세부데이터'!"&amp;E$1&amp;$W91, TRUE)</f>
        <v>37</v>
      </c>
      <c r="F91" s="3618" cm="1">
        <f t="array" aca="1" ref="F91" ca="1">INDIRECT("'※ 영업품질 세부데이터'!"&amp;F$1&amp;$W91, TRUE)</f>
        <v>59</v>
      </c>
      <c r="G91" s="3618" cm="1">
        <f t="array" aca="1" ref="G91" ca="1">INDIRECT("'※ 영업품질 세부데이터'!"&amp;G$1&amp;$W91, TRUE)</f>
        <v>37</v>
      </c>
      <c r="H91" s="3618" cm="1">
        <f t="array" aca="1" ref="H91" ca="1">INDIRECT("'※ 영업품질 세부데이터'!"&amp;H$1&amp;$W91, TRUE)</f>
        <v>22</v>
      </c>
      <c r="I91" s="3618" cm="1">
        <f t="array" aca="1" ref="I91" ca="1">INDIRECT("'※ 영업품질 세부데이터'!"&amp;I$1&amp;$W91, TRUE)</f>
        <v>55</v>
      </c>
      <c r="J91" s="3618" cm="1">
        <f t="array" aca="1" ref="J91" ca="1">INDIRECT("'※ 영업품질 세부데이터'!"&amp;J$1&amp;$W91, TRUE)</f>
        <v>69</v>
      </c>
      <c r="K91" s="3618" cm="1">
        <f t="array" aca="1" ref="K91" ca="1">INDIRECT("'※ 영업품질 세부데이터'!"&amp;K$1&amp;$W91, TRUE)</f>
        <v>46</v>
      </c>
      <c r="L91" s="3618" cm="1">
        <f t="array" aca="1" ref="L91" ca="1">INDIRECT("'※ 영업품질 세부데이터'!"&amp;L$1&amp;$W91, TRUE)</f>
        <v>55</v>
      </c>
      <c r="M91" s="3618" cm="1">
        <f t="array" aca="1" ref="M91" ca="1">INDIRECT("'※ 영업품질 세부데이터'!"&amp;M$1&amp;$W91, TRUE)</f>
        <v>62</v>
      </c>
      <c r="N91" s="3618" cm="1">
        <f t="array" aca="1" ref="N91" ca="1">INDIRECT("'※ 영업품질 세부데이터'!"&amp;N$1&amp;$W91, TRUE)</f>
        <v>34</v>
      </c>
      <c r="O91" s="3618"/>
      <c r="P91" s="3618"/>
      <c r="Q91" s="3619">
        <f t="shared" ref="Q91:Q97" ca="1" si="2">F91-E91</f>
        <v>22</v>
      </c>
      <c r="R91" s="3620" cm="1">
        <f t="array" aca="1" ref="R91" ca="1">INDIRECT("'※ 영업품질 세부데이터'!"&amp;R$1&amp;$W91, TRUE)</f>
        <v>-50</v>
      </c>
      <c r="S91" s="3621" cm="1">
        <f t="array" aca="1" ref="S91" ca="1">INDIRECT("'※ 영업품질 세부데이터'!"&amp;S$1&amp;$W91, TRUE)</f>
        <v>476</v>
      </c>
      <c r="T91" s="3622" cm="1">
        <f t="array" aca="1" ref="T91" ca="1">INDIRECT("'※ 영업품질 세부데이터'!"&amp;T$1&amp;$W91, TRUE)</f>
        <v>-150</v>
      </c>
      <c r="U91" s="3623" cm="1">
        <f t="array" aca="1" ref="U91" ca="1">INDIRECT("'※ 영업품질 세부데이터'!"&amp;U$1&amp;$W91, TRUE)</f>
        <v>47.6</v>
      </c>
      <c r="V91" s="3624" cm="1">
        <f t="array" aca="1" ref="V91" ca="1">INDIRECT("'※ 영업품질 세부데이터'!"&amp;V$1&amp;$W91, TRUE)</f>
        <v>-20.483333333333327</v>
      </c>
      <c r="W91" s="3134">
        <f>ROW('※ 영업품질 세부데이터'!A92)</f>
        <v>92</v>
      </c>
      <c r="X91" s="3468"/>
      <c r="Y91" s="3468"/>
    </row>
    <row r="92" spans="1:25" ht="14.8" customHeight="1" x14ac:dyDescent="0.55000000000000004">
      <c r="A92" s="7490"/>
      <c r="B92" s="3625" t="s">
        <v>1121</v>
      </c>
      <c r="C92" s="3626" t="s">
        <v>562</v>
      </c>
      <c r="D92" s="3627" cm="1">
        <f t="array" aca="1" ref="D92" ca="1">INDIRECT("'※ 영업품질 세부데이터'!"&amp;D$1&amp;$W92, TRUE)</f>
        <v>95188</v>
      </c>
      <c r="E92" s="3628" cm="1">
        <f t="array" aca="1" ref="E92" ca="1">INDIRECT("'※ 영업품질 세부데이터'!"&amp;E$1&amp;$W92, TRUE)</f>
        <v>6785</v>
      </c>
      <c r="F92" s="3628" cm="1">
        <f t="array" aca="1" ref="F92" ca="1">INDIRECT("'※ 영업품질 세부데이터'!"&amp;F$1&amp;$W92, TRUE)</f>
        <v>10150</v>
      </c>
      <c r="G92" s="3628" cm="1">
        <f t="array" aca="1" ref="G92" ca="1">INDIRECT("'※ 영업품질 세부데이터'!"&amp;G$1&amp;$W92, TRUE)</f>
        <v>8741</v>
      </c>
      <c r="H92" s="3628" cm="1">
        <f t="array" aca="1" ref="H92" ca="1">INDIRECT("'※ 영업품질 세부데이터'!"&amp;H$1&amp;$W92, TRUE)</f>
        <v>9631</v>
      </c>
      <c r="I92" s="3628" cm="1">
        <f t="array" aca="1" ref="I92" ca="1">INDIRECT("'※ 영업품질 세부데이터'!"&amp;I$1&amp;$W92, TRUE)</f>
        <v>16790</v>
      </c>
      <c r="J92" s="3628" cm="1">
        <f t="array" aca="1" ref="J92" ca="1">INDIRECT("'※ 영업품질 세부데이터'!"&amp;J$1&amp;$W92, TRUE)</f>
        <v>11328</v>
      </c>
      <c r="K92" s="3628" cm="1">
        <f t="array" aca="1" ref="K92" ca="1">INDIRECT("'※ 영업품질 세부데이터'!"&amp;K$1&amp;$W92, TRUE)</f>
        <v>13507</v>
      </c>
      <c r="L92" s="3628" cm="1">
        <f t="array" aca="1" ref="L92" ca="1">INDIRECT("'※ 영업품질 세부데이터'!"&amp;L$1&amp;$W92, TRUE)</f>
        <v>10090</v>
      </c>
      <c r="M92" s="3628" cm="1">
        <f t="array" aca="1" ref="M92" ca="1">INDIRECT("'※ 영업품질 세부데이터'!"&amp;M$1&amp;$W92, TRUE)</f>
        <v>9466</v>
      </c>
      <c r="N92" s="3628" cm="1">
        <f t="array" aca="1" ref="N92" ca="1">INDIRECT("'※ 영업품질 세부데이터'!"&amp;N$1&amp;$W92, TRUE)</f>
        <v>7342</v>
      </c>
      <c r="O92" s="3628"/>
      <c r="P92" s="3628"/>
      <c r="Q92" s="3530">
        <f ca="1">F92-E92</f>
        <v>3365</v>
      </c>
      <c r="R92" s="3531" cm="1">
        <f t="array" aca="1" ref="R92" ca="1">INDIRECT("'※ 영업품질 세부데이터'!"&amp;R$1&amp;$W92, TRUE)</f>
        <v>-7402</v>
      </c>
      <c r="S92" s="3629" cm="1">
        <f t="array" aca="1" ref="S92" ca="1">INDIRECT("'※ 영업품질 세부데이터'!"&amp;S$1&amp;$W92, TRUE)</f>
        <v>103830</v>
      </c>
      <c r="T92" s="3630" cm="1">
        <f t="array" aca="1" ref="T92" ca="1">INDIRECT("'※ 영업품질 세부데이터'!"&amp;T$1&amp;$W92, TRUE)</f>
        <v>40686</v>
      </c>
      <c r="U92" s="3631" cm="1">
        <f t="array" aca="1" ref="U92" ca="1">INDIRECT("'※ 영업품질 세부데이터'!"&amp;U$1&amp;$W92, TRUE)</f>
        <v>10383</v>
      </c>
      <c r="V92" s="3632" cm="1">
        <f t="array" aca="1" ref="V92" ca="1">INDIRECT("'※ 영업품질 세부데이터'!"&amp;V$1&amp;$W92, TRUE)</f>
        <v>2450.666666666667</v>
      </c>
      <c r="W92" s="3134">
        <f>ROW('※ 영업품질 세부데이터'!A93)</f>
        <v>93</v>
      </c>
      <c r="X92" s="3468"/>
      <c r="Y92" s="3468"/>
    </row>
    <row r="93" spans="1:25" ht="14.8" customHeight="1" x14ac:dyDescent="0.55000000000000004">
      <c r="A93" s="7490"/>
      <c r="B93" s="3519"/>
      <c r="C93" s="3633" t="s">
        <v>563</v>
      </c>
      <c r="D93" s="3521" cm="1">
        <f t="array" aca="1" ref="D93" ca="1">INDIRECT("'※ 영업품질 세부데이터'!"&amp;D$1&amp;$W93, TRUE)</f>
        <v>8.6603988686291596E-3</v>
      </c>
      <c r="E93" s="3522" cm="1">
        <f t="array" aca="1" ref="E93" ca="1">INDIRECT("'※ 영업품질 세부데이터'!"&amp;E$1&amp;$W93, TRUE)</f>
        <v>6.1901252763448787E-3</v>
      </c>
      <c r="F93" s="3522" cm="1">
        <f t="array" aca="1" ref="F93" ca="1">INDIRECT("'※ 영업품질 세부데이터'!"&amp;F$1&amp;$W93, TRUE)</f>
        <v>6.0098522167487687E-3</v>
      </c>
      <c r="G93" s="3522" cm="1">
        <f t="array" aca="1" ref="G93" ca="1">INDIRECT("'※ 영업품질 세부데이터'!"&amp;G$1&amp;$W93, TRUE)</f>
        <v>4.23292529458872E-3</v>
      </c>
      <c r="H93" s="3522" cm="1">
        <f t="array" aca="1" ref="H93" ca="1">INDIRECT("'※ 영업품질 세부데이터'!"&amp;H$1&amp;$W93, TRUE)</f>
        <v>2.2842903125324474E-3</v>
      </c>
      <c r="I93" s="3522" cm="1">
        <f t="array" aca="1" ref="I93" ca="1">INDIRECT("'※ 영업품질 세부데이터'!"&amp;I$1&amp;$W93, TRUE)</f>
        <v>3.2757593805836809E-3</v>
      </c>
      <c r="J93" s="3522" cm="1">
        <f t="array" aca="1" ref="J93" ca="1">INDIRECT("'※ 영업품질 세부데이터'!"&amp;J$1&amp;$W93, TRUE)</f>
        <v>6.0911016949152545E-3</v>
      </c>
      <c r="K93" s="3522" cm="1">
        <f t="array" aca="1" ref="K93" ca="1">INDIRECT("'※ 영업품질 세부데이터'!"&amp;K$1&amp;$W93, TRUE)</f>
        <v>3.4056415192122605E-3</v>
      </c>
      <c r="L93" s="3522" cm="1">
        <f t="array" aca="1" ref="L93" ca="1">INDIRECT("'※ 영업품질 세부데이터'!"&amp;L$1&amp;$W93, TRUE)</f>
        <v>5.4509415262636272E-3</v>
      </c>
      <c r="M93" s="3522" cm="1">
        <f t="array" aca="1" ref="M93" ca="1">INDIRECT("'※ 영업품질 세부데이터'!"&amp;M$1&amp;$W93, TRUE)</f>
        <v>7.1836044791886754E-3</v>
      </c>
      <c r="N93" s="3522" cm="1">
        <f t="array" aca="1" ref="N93" ca="1">INDIRECT("'※ 영업품질 세부데이터'!"&amp;N$1&amp;$W93, TRUE)</f>
        <v>4.630890765459003E-3</v>
      </c>
      <c r="O93" s="3522"/>
      <c r="P93" s="3522"/>
      <c r="Q93" s="3523">
        <f t="shared" ca="1" si="2"/>
        <v>-1.8027305959611006E-4</v>
      </c>
      <c r="R93" s="3524" cm="1">
        <f t="array" aca="1" ref="R93" ca="1">INDIRECT("'※ 영업품질 세부데이터'!"&amp;R$1&amp;$W93, TRUE)</f>
        <v>-6.754931099702783E-3</v>
      </c>
      <c r="S93" s="3525" cm="1">
        <f t="array" aca="1" ref="S93" ca="1">INDIRECT("'※ 영업품질 세부데이터'!"&amp;S$1&amp;$W93, TRUE)</f>
        <v>4.8755132465837315E-3</v>
      </c>
      <c r="T93" s="3523" cm="1">
        <f t="array" aca="1" ref="T93" ca="1">INDIRECT("'※ 영업품질 세부데이터'!"&amp;T$1&amp;$W93, TRUE)</f>
        <v>-7.5165796845560795E-2</v>
      </c>
      <c r="U93" s="3634" cm="1">
        <f t="array" aca="1" ref="U93" ca="1">INDIRECT("'※ 영업품질 세부데이터'!"&amp;U$1&amp;$W93, TRUE)</f>
        <v>4.8755132465837315E-3</v>
      </c>
      <c r="V93" s="3527" cm="1">
        <f t="array" aca="1" ref="V93" ca="1">INDIRECT("'※ 영업품질 세부데이터'!"&amp;V$1&amp;$W93, TRUE)</f>
        <v>-3.7848856220454282E-3</v>
      </c>
      <c r="W93" s="3134">
        <f>ROW('※ 영업품질 세부데이터'!A94)</f>
        <v>94</v>
      </c>
      <c r="X93" s="3468"/>
      <c r="Y93" s="3468"/>
    </row>
    <row r="94" spans="1:25" ht="14.8" customHeight="1" x14ac:dyDescent="0.55000000000000004">
      <c r="A94" s="7490"/>
      <c r="B94" s="3635"/>
      <c r="C94" s="3633" t="s">
        <v>564</v>
      </c>
      <c r="D94" s="3521" cm="1">
        <f t="array" aca="1" ref="D94" ca="1">INDIRECT("'※ 영업품질 세부데이터'!"&amp;D$1&amp;$W94, TRUE)</f>
        <v>0.14741983890055904</v>
      </c>
      <c r="E94" s="3522" cm="1">
        <f t="array" aca="1" ref="E94" ca="1">INDIRECT("'※ 영업품질 세부데이터'!"&amp;E$1&amp;$W94, TRUE)</f>
        <v>7.0116861435726208E-2</v>
      </c>
      <c r="F94" s="3522" cm="1">
        <f t="array" aca="1" ref="F94" ca="1">INDIRECT("'※ 영업품질 세부데이터'!"&amp;F$1&amp;$W94, TRUE)</f>
        <v>9.8865478119935166E-2</v>
      </c>
      <c r="G94" s="3522" cm="1">
        <f t="array" aca="1" ref="G94" ca="1">INDIRECT("'※ 영업품질 세부데이터'!"&amp;G$1&amp;$W94, TRUE)</f>
        <v>9.711286089238845E-2</v>
      </c>
      <c r="H94" s="3522" cm="1">
        <f t="array" aca="1" ref="H94" ca="1">INDIRECT("'※ 영업품질 세부데이터'!"&amp;H$1&amp;$W94, TRUE)</f>
        <v>0.14193548387096774</v>
      </c>
      <c r="I94" s="3522" cm="1">
        <f t="array" aca="1" ref="I94" ca="1">INDIRECT("'※ 영업품질 세부데이터'!"&amp;I$1&amp;$W94, TRUE)</f>
        <v>0.13924050632911392</v>
      </c>
      <c r="J94" s="3522" cm="1">
        <f t="array" aca="1" ref="J94" ca="1">INDIRECT("'※ 영업품질 세부데이터'!"&amp;J$1&amp;$W94, TRUE)</f>
        <v>0.11004784688995216</v>
      </c>
      <c r="K94" s="3522" cm="1">
        <f t="array" aca="1" ref="K94" ca="1">INDIRECT("'※ 영업품질 세부데이터'!"&amp;K$1&amp;$W94, TRUE)</f>
        <v>0.10383747178329571</v>
      </c>
      <c r="L94" s="3522" cm="1">
        <f t="array" aca="1" ref="L94" ca="1">INDIRECT("'※ 영업품질 세부데이터'!"&amp;L$1&amp;$W94, TRUE)</f>
        <v>0.19366197183098591</v>
      </c>
      <c r="M94" s="3522" cm="1">
        <f t="array" aca="1" ref="M94" ca="1">INDIRECT("'※ 영업품질 세부데이터'!"&amp;M$1&amp;$W94, TRUE)</f>
        <v>0.14977973568281938</v>
      </c>
      <c r="N94" s="3522" cm="1">
        <f t="array" aca="1" ref="N94" ca="1">INDIRECT("'※ 영업품질 세부데이터'!"&amp;N$1&amp;$W94, TRUE)</f>
        <v>8.2725060827250604E-2</v>
      </c>
      <c r="O94" s="3522"/>
      <c r="P94" s="3522"/>
      <c r="Q94" s="3523">
        <f t="shared" ca="1" si="2"/>
        <v>2.8748616684208958E-2</v>
      </c>
      <c r="R94" s="3524" cm="1">
        <f t="array" aca="1" ref="R94" ca="1">INDIRECT("'※ 영업품질 세부데이터'!"&amp;R$1&amp;$W94, TRUE)</f>
        <v>-0.13966480446927373</v>
      </c>
      <c r="S94" s="3525" cm="1">
        <f t="array" aca="1" ref="S94" ca="1">INDIRECT("'※ 영업품질 세부데이터'!"&amp;S$1&amp;$W94, TRUE)</f>
        <v>0.11873232776624351</v>
      </c>
      <c r="T94" s="3523" cm="1">
        <f t="array" aca="1" ref="T94" ca="1">INDIRECT("'※ 영업품질 세부데이터'!"&amp;T$1&amp;$W94, TRUE)</f>
        <v>-1.1766139100935231</v>
      </c>
      <c r="U94" s="3634" cm="1">
        <f t="array" aca="1" ref="U94" ca="1">INDIRECT("'※ 영업품질 세부데이터'!"&amp;U$1&amp;$W94, TRUE)</f>
        <v>0.11873232776624351</v>
      </c>
      <c r="V94" s="3527" cm="1">
        <f t="array" aca="1" ref="V94" ca="1">INDIRECT("'※ 영업품질 세부데이터'!"&amp;V$1&amp;$W94, TRUE)</f>
        <v>-2.868751113431553E-2</v>
      </c>
      <c r="W94" s="3134">
        <f>ROW('※ 영업품질 세부데이터'!A95)</f>
        <v>95</v>
      </c>
      <c r="X94" s="3468"/>
      <c r="Y94" s="3468"/>
    </row>
    <row r="95" spans="1:25" ht="14.8" customHeight="1" x14ac:dyDescent="0.55000000000000004">
      <c r="A95" s="7490"/>
      <c r="B95" s="3636" t="s">
        <v>141</v>
      </c>
      <c r="C95" s="3637" t="s">
        <v>139</v>
      </c>
      <c r="D95" s="3638" cm="1">
        <f t="array" aca="1" ref="D95" ca="1">INDIRECT("'※ 영업품질 세부데이터'!"&amp;D$1&amp;$W95, TRUE)</f>
        <v>497</v>
      </c>
      <c r="E95" s="3639" cm="1">
        <f t="array" aca="1" ref="E95" ca="1">INDIRECT("'※ 영업품질 세부데이터'!"&amp;E$1&amp;$W95, TRUE)</f>
        <v>37</v>
      </c>
      <c r="F95" s="3639" cm="1">
        <f t="array" aca="1" ref="F95" ca="1">INDIRECT("'※ 영업품질 세부데이터'!"&amp;F$1&amp;$W95, TRUE)</f>
        <v>59</v>
      </c>
      <c r="G95" s="3639" cm="1">
        <f t="array" aca="1" ref="G95" ca="1">INDIRECT("'※ 영업품질 세부데이터'!"&amp;G$1&amp;$W95, TRUE)</f>
        <v>35</v>
      </c>
      <c r="H95" s="3639" cm="1">
        <f t="array" aca="1" ref="H95" ca="1">INDIRECT("'※ 영업품질 세부데이터'!"&amp;H$1&amp;$W95, TRUE)</f>
        <v>22</v>
      </c>
      <c r="I95" s="3639" cm="1">
        <f t="array" aca="1" ref="I95" ca="1">INDIRECT("'※ 영업품질 세부데이터'!"&amp;I$1&amp;$W95, TRUE)</f>
        <v>39</v>
      </c>
      <c r="J95" s="3639" cm="1">
        <f t="array" aca="1" ref="J95" ca="1">INDIRECT("'※ 영업품질 세부데이터'!"&amp;J$1&amp;$W95, TRUE)</f>
        <v>54</v>
      </c>
      <c r="K95" s="3639" cm="1">
        <f t="array" aca="1" ref="K95" ca="1">INDIRECT("'※ 영업품질 세부데이터'!"&amp;K$1&amp;$W95, TRUE)</f>
        <v>27</v>
      </c>
      <c r="L95" s="3639" cm="1">
        <f t="array" aca="1" ref="L95" ca="1">INDIRECT("'※ 영업품질 세부데이터'!"&amp;L$1&amp;$W95, TRUE)</f>
        <v>36</v>
      </c>
      <c r="M95" s="3639" cm="1">
        <f t="array" aca="1" ref="M95" ca="1">INDIRECT("'※ 영업품질 세부데이터'!"&amp;M$1&amp;$W95, TRUE)</f>
        <v>50</v>
      </c>
      <c r="N95" s="3639" cm="1">
        <f t="array" aca="1" ref="N95" ca="1">INDIRECT("'※ 영업품질 세부데이터'!"&amp;N$1&amp;$W95, TRUE)</f>
        <v>32</v>
      </c>
      <c r="O95" s="3639"/>
      <c r="P95" s="3639"/>
      <c r="Q95" s="3640">
        <f t="shared" ca="1" si="2"/>
        <v>22</v>
      </c>
      <c r="R95" s="3641" cm="1">
        <f t="array" aca="1" ref="R95" ca="1">INDIRECT("'※ 영업품질 세부데이터'!"&amp;R$1&amp;$W95, TRUE)</f>
        <v>-43</v>
      </c>
      <c r="S95" s="3642" cm="1">
        <f t="array" aca="1" ref="S95" ca="1">INDIRECT("'※ 영업품질 세부데이터'!"&amp;S$1&amp;$W95, TRUE)</f>
        <v>391</v>
      </c>
      <c r="T95" s="3643" cm="1">
        <f t="array" aca="1" ref="T95" ca="1">INDIRECT("'※ 영업품질 세부데이터'!"&amp;T$1&amp;$W95, TRUE)</f>
        <v>28</v>
      </c>
      <c r="U95" s="3644" cm="1">
        <f t="array" aca="1" ref="U95" ca="1">INDIRECT("'※ 영업품질 세부데이터'!"&amp;U$1&amp;$W95, TRUE)</f>
        <v>39.1</v>
      </c>
      <c r="V95" s="3645" cm="1">
        <f t="array" aca="1" ref="V95" ca="1">INDIRECT("'※ 영업품질 세부데이터'!"&amp;V$1&amp;$W95, TRUE)</f>
        <v>-2.3166666666666629</v>
      </c>
      <c r="W95" s="3134">
        <f>ROW('※ 영업품질 세부데이터'!A96)</f>
        <v>96</v>
      </c>
      <c r="X95" s="3468"/>
      <c r="Y95" s="3468"/>
    </row>
    <row r="96" spans="1:25" ht="14.8" customHeight="1" x14ac:dyDescent="0.55000000000000004">
      <c r="A96" s="7490"/>
      <c r="B96" s="3543"/>
      <c r="C96" s="3570" t="s">
        <v>559</v>
      </c>
      <c r="D96" s="3571" cm="1">
        <f t="array" aca="1" ref="D96" ca="1">INDIRECT("'※ 영업품질 세부데이터'!"&amp;D$1&amp;$W96, TRUE)</f>
        <v>1.0959523727604212E-2</v>
      </c>
      <c r="E96" s="3572" cm="1">
        <f t="array" aca="1" ref="E96" ca="1">INDIRECT("'※ 영업품질 세부데이터'!"&amp;E$1&amp;$W96, TRUE)</f>
        <v>0</v>
      </c>
      <c r="F96" s="3572" cm="1">
        <f t="array" aca="1" ref="F96" ca="1">INDIRECT("'※ 영업품질 세부데이터'!"&amp;F$1&amp;$W96, TRUE)</f>
        <v>0</v>
      </c>
      <c r="G96" s="3572" cm="1">
        <f t="array" aca="1" ref="G96" ca="1">INDIRECT("'※ 영업품질 세부데이터'!"&amp;G$1&amp;$W96, TRUE)</f>
        <v>1.9754955590237629E-3</v>
      </c>
      <c r="H96" s="3572" cm="1">
        <f t="array" aca="1" ref="H96" ca="1">INDIRECT("'※ 영업품질 세부데이터'!"&amp;H$1&amp;$W96, TRUE)</f>
        <v>8.0596518230412445E-4</v>
      </c>
      <c r="I96" s="3572" cm="1">
        <f t="array" aca="1" ref="I96" ca="1">INDIRECT("'※ 영업품질 세부데이터'!"&amp;I$1&amp;$W96, TRUE)</f>
        <v>5.1566838556128518E-3</v>
      </c>
      <c r="J96" s="3572" cm="1">
        <f t="array" aca="1" ref="J96" ca="1">INDIRECT("'※ 영업품질 세부데이터'!"&amp;J$1&amp;$W96, TRUE)</f>
        <v>1.3206162876008804E-2</v>
      </c>
      <c r="K96" s="3572" cm="1">
        <f t="array" aca="1" ref="K96" ca="1">INDIRECT("'※ 영업품질 세부데이터'!"&amp;K$1&amp;$W96, TRUE)</f>
        <v>4.7186298497029011E-3</v>
      </c>
      <c r="L96" s="3572" cm="1">
        <f t="array" aca="1" ref="L96" ca="1">INDIRECT("'※ 영업품질 세부데이터'!"&amp;L$1&amp;$W96, TRUE)</f>
        <v>9.3506493506493506E-3</v>
      </c>
      <c r="M96" s="3572" cm="1">
        <f t="array" aca="1" ref="M96" ca="1">INDIRECT("'※ 영업품질 세부데이터'!"&amp;M$1&amp;$W96, TRUE)</f>
        <v>1.2431626056688214E-2</v>
      </c>
      <c r="N96" s="3572" cm="1">
        <f t="array" aca="1" ref="N96" ca="1">INDIRECT("'※ 영업품질 세부데이터'!"&amp;N$1&amp;$W96, TRUE)</f>
        <v>1.1573236889692586E-2</v>
      </c>
      <c r="O96" s="3572"/>
      <c r="P96" s="3572"/>
      <c r="Q96" s="3573">
        <f t="shared" ca="1" si="2"/>
        <v>0</v>
      </c>
      <c r="R96" s="3574" cm="1">
        <f t="array" aca="1" ref="R96" ca="1">INDIRECT("'※ 영업품질 세부데이터'!"&amp;R$1&amp;$W96, TRUE)</f>
        <v>-1.4726027397260274E-2</v>
      </c>
      <c r="S96" s="3575" cm="1">
        <f t="array" aca="1" ref="S96" ca="1">INDIRECT("'※ 영업품질 세부데이터'!"&amp;S$1&amp;$W96, TRUE)</f>
        <v>7.4023062024603237E-3</v>
      </c>
      <c r="T96" s="3573" cm="1">
        <f t="array" aca="1" ref="T96" ca="1">INDIRECT("'※ 영업품질 세부데이터'!"&amp;T$1&amp;$W96, TRUE)</f>
        <v>-8.1513456064935125E-2</v>
      </c>
      <c r="U96" s="3576" cm="1">
        <f t="array" aca="1" ref="U96" ca="1">INDIRECT("'※ 영업품질 세부데이터'!"&amp;U$1&amp;$W96, TRUE)</f>
        <v>7.4023062024603237E-3</v>
      </c>
      <c r="V96" s="3577" cm="1">
        <f t="array" aca="1" ref="V96" ca="1">INDIRECT("'※ 영업품질 세부데이터'!"&amp;V$1&amp;$W96, TRUE)</f>
        <v>-3.5572175251438881E-3</v>
      </c>
      <c r="W96" s="3134">
        <f>ROW('※ 영업품질 세부데이터'!A97)</f>
        <v>97</v>
      </c>
      <c r="X96" s="3468"/>
      <c r="Y96" s="3468"/>
    </row>
    <row r="97" spans="1:25" ht="14.8" customHeight="1" x14ac:dyDescent="0.55000000000000004">
      <c r="A97" s="7490"/>
      <c r="B97" s="3552"/>
      <c r="C97" s="2648" t="s">
        <v>143</v>
      </c>
      <c r="D97" s="3646" cm="1">
        <f t="array" aca="1" ref="D97" ca="1">INDIRECT("'※ 영업품질 세부데이터'!"&amp;D$1&amp;$W97, TRUE)</f>
        <v>6</v>
      </c>
      <c r="E97" s="3647" cm="1">
        <f t="array" aca="1" ref="E97" ca="1">INDIRECT("'※ 영업품질 세부데이터'!"&amp;E$1&amp;$W97, TRUE)</f>
        <v>6</v>
      </c>
      <c r="F97" s="3647" cm="1">
        <f t="array" aca="1" ref="F97" ca="1">INDIRECT("'※ 영업품질 세부데이터'!"&amp;F$1&amp;$W97, TRUE)</f>
        <v>0</v>
      </c>
      <c r="G97" s="3647" cm="1">
        <f t="array" aca="1" ref="G97" ca="1">INDIRECT("'※ 영업품질 세부데이터'!"&amp;G$1&amp;$W97, TRUE)</f>
        <v>0</v>
      </c>
      <c r="H97" s="3647" cm="1">
        <f t="array" aca="1" ref="H97" ca="1">INDIRECT("'※ 영업품질 세부데이터'!"&amp;H$1&amp;$W97, TRUE)</f>
        <v>0</v>
      </c>
      <c r="I97" s="3647" cm="1">
        <f t="array" aca="1" ref="I97" ca="1">INDIRECT("'※ 영업품질 세부데이터'!"&amp;I$1&amp;$W97, TRUE)</f>
        <v>2</v>
      </c>
      <c r="J97" s="3647" cm="1">
        <f t="array" aca="1" ref="J97" ca="1">INDIRECT("'※ 영업품질 세부데이터'!"&amp;J$1&amp;$W97, TRUE)</f>
        <v>2</v>
      </c>
      <c r="K97" s="3647" cm="1">
        <f t="array" aca="1" ref="K97" ca="1">INDIRECT("'※ 영업품질 세부데이터'!"&amp;K$1&amp;$W97, TRUE)</f>
        <v>1</v>
      </c>
      <c r="L97" s="3647" cm="1">
        <f t="array" aca="1" ref="L97" ca="1">INDIRECT("'※ 영업품질 세부데이터'!"&amp;L$1&amp;$W97, TRUE)</f>
        <v>0</v>
      </c>
      <c r="M97" s="3647" cm="1">
        <f t="array" aca="1" ref="M97" ca="1">INDIRECT("'※ 영업품질 세부데이터'!"&amp;M$1&amp;$W97, TRUE)</f>
        <v>0</v>
      </c>
      <c r="N97" s="3647" cm="1">
        <f t="array" aca="1" ref="N97" ca="1">INDIRECT("'※ 영업품질 세부데이터'!"&amp;N$1&amp;$W97, TRUE)</f>
        <v>4</v>
      </c>
      <c r="O97" s="3647"/>
      <c r="P97" s="3647"/>
      <c r="Q97" s="3647">
        <f t="shared" ca="1" si="2"/>
        <v>-6</v>
      </c>
      <c r="R97" s="3648" cm="1">
        <f t="array" aca="1" ref="R97" ca="1">INDIRECT("'※ 영업품질 세부데이터'!"&amp;R$1&amp;$W97, TRUE)</f>
        <v>0</v>
      </c>
      <c r="S97" s="3649" cm="1">
        <f t="array" aca="1" ref="S97" ca="1">INDIRECT("'※ 영업품질 세부데이터'!"&amp;S$1&amp;$W97, TRUE)</f>
        <v>15</v>
      </c>
      <c r="T97" s="3647" cm="1">
        <f t="array" aca="1" ref="T97" ca="1">INDIRECT("'※ 영업품질 세부데이터'!"&amp;T$1&amp;$W97, TRUE)</f>
        <v>9</v>
      </c>
      <c r="U97" s="3650" cm="1">
        <f t="array" aca="1" ref="U97" ca="1">INDIRECT("'※ 영업품질 세부데이터'!"&amp;U$1&amp;$W97, TRUE)</f>
        <v>2.5</v>
      </c>
      <c r="V97" s="3651" cm="1">
        <f t="array" aca="1" ref="V97" ca="1">INDIRECT("'※ 영업품질 세부데이터'!"&amp;V$1&amp;$W97, TRUE)</f>
        <v>2</v>
      </c>
      <c r="W97" s="3134">
        <f>ROW('※ 영업품질 세부데이터'!A98)</f>
        <v>98</v>
      </c>
      <c r="X97" s="3468"/>
      <c r="Y97" s="3468"/>
    </row>
    <row r="98" spans="1:25" ht="14.8" customHeight="1" x14ac:dyDescent="0.55000000000000004">
      <c r="A98" s="7490"/>
      <c r="B98" s="3552"/>
      <c r="C98" s="2648" t="s">
        <v>144</v>
      </c>
      <c r="D98" s="3646" cm="1">
        <f t="array" aca="1" ref="D98" ca="1">INDIRECT("'※ 영업품질 세부데이터'!"&amp;D$1&amp;$W98, TRUE)</f>
        <v>39</v>
      </c>
      <c r="E98" s="3647" cm="1">
        <f t="array" aca="1" ref="E98" ca="1">INDIRECT("'※ 영업품질 세부데이터'!"&amp;E$1&amp;$W98, TRUE)</f>
        <v>2</v>
      </c>
      <c r="F98" s="3647" cm="1">
        <f t="array" aca="1" ref="F98" ca="1">INDIRECT("'※ 영업품질 세부데이터'!"&amp;F$1&amp;$W98, TRUE)</f>
        <v>2</v>
      </c>
      <c r="G98" s="3647" cm="1">
        <f t="array" aca="1" ref="G98" ca="1">INDIRECT("'※ 영업품질 세부데이터'!"&amp;G$1&amp;$W98, TRUE)</f>
        <v>0</v>
      </c>
      <c r="H98" s="3647" cm="1">
        <f t="array" aca="1" ref="H98" ca="1">INDIRECT("'※ 영업품질 세부데이터'!"&amp;H$1&amp;$W98, TRUE)</f>
        <v>8</v>
      </c>
      <c r="I98" s="3647" cm="1">
        <f t="array" aca="1" ref="I98" ca="1">INDIRECT("'※ 영업품질 세부데이터'!"&amp;I$1&amp;$W98, TRUE)</f>
        <v>4</v>
      </c>
      <c r="J98" s="3647" cm="1">
        <f t="array" aca="1" ref="J98" ca="1">INDIRECT("'※ 영업품질 세부데이터'!"&amp;J$1&amp;$W98, TRUE)</f>
        <v>2</v>
      </c>
      <c r="K98" s="3647" cm="1">
        <f t="array" aca="1" ref="K98" ca="1">INDIRECT("'※ 영업품질 세부데이터'!"&amp;K$1&amp;$W98, TRUE)</f>
        <v>2</v>
      </c>
      <c r="L98" s="3647" cm="1">
        <f t="array" aca="1" ref="L98" ca="1">INDIRECT("'※ 영업품질 세부데이터'!"&amp;L$1&amp;$W98, TRUE)</f>
        <v>0</v>
      </c>
      <c r="M98" s="3647" cm="1">
        <f t="array" aca="1" ref="M98" ca="1">INDIRECT("'※ 영업품질 세부데이터'!"&amp;M$1&amp;$W98, TRUE)</f>
        <v>2</v>
      </c>
      <c r="N98" s="3647" cm="1">
        <f t="array" aca="1" ref="N98" ca="1">INDIRECT("'※ 영업품질 세부데이터'!"&amp;N$1&amp;$W98, TRUE)</f>
        <v>0</v>
      </c>
      <c r="O98" s="3647"/>
      <c r="P98" s="3647"/>
      <c r="Q98" s="3647">
        <f t="shared" ref="Q98:Q107" ca="1" si="3">F98-E98</f>
        <v>0</v>
      </c>
      <c r="R98" s="3648" cm="1">
        <f t="array" aca="1" ref="R98" ca="1">INDIRECT("'※ 영업품질 세부데이터'!"&amp;R$1&amp;$W98, TRUE)</f>
        <v>-2</v>
      </c>
      <c r="S98" s="3649" cm="1">
        <f t="array" aca="1" ref="S98" ca="1">INDIRECT("'※ 영업품질 세부데이터'!"&amp;S$1&amp;$W98, TRUE)</f>
        <v>22</v>
      </c>
      <c r="T98" s="3647" cm="1">
        <f t="array" aca="1" ref="T98" ca="1">INDIRECT("'※ 영업품질 세부데이터'!"&amp;T$1&amp;$W98, TRUE)</f>
        <v>-6</v>
      </c>
      <c r="U98" s="3650" cm="1">
        <f t="array" aca="1" ref="U98" ca="1">INDIRECT("'※ 영업품질 세부데이터'!"&amp;U$1&amp;$W98, TRUE)</f>
        <v>3.1428571428571428</v>
      </c>
      <c r="V98" s="3651" cm="1">
        <f t="array" aca="1" ref="V98" ca="1">INDIRECT("'※ 영업품질 세부데이터'!"&amp;V$1&amp;$W98, TRUE)</f>
        <v>-0.40259740259740262</v>
      </c>
      <c r="W98" s="3134">
        <f>ROW('※ 영업품질 세부데이터'!A99)</f>
        <v>99</v>
      </c>
      <c r="X98" s="3468"/>
      <c r="Y98" s="3468"/>
    </row>
    <row r="99" spans="1:25" ht="14.8" customHeight="1" x14ac:dyDescent="0.55000000000000004">
      <c r="A99" s="7490"/>
      <c r="B99" s="3552"/>
      <c r="C99" s="2648" t="s">
        <v>145</v>
      </c>
      <c r="D99" s="3646" cm="1">
        <f t="array" aca="1" ref="D99" ca="1">INDIRECT("'※ 영업품질 세부데이터'!"&amp;D$1&amp;$W99, TRUE)</f>
        <v>34</v>
      </c>
      <c r="E99" s="3647" cm="1">
        <f t="array" aca="1" ref="E99" ca="1">INDIRECT("'※ 영업품질 세부데이터'!"&amp;E$1&amp;$W99, TRUE)</f>
        <v>0</v>
      </c>
      <c r="F99" s="3647" cm="1">
        <f t="array" aca="1" ref="F99" ca="1">INDIRECT("'※ 영업품질 세부데이터'!"&amp;F$1&amp;$W99, TRUE)</f>
        <v>2</v>
      </c>
      <c r="G99" s="3647" cm="1">
        <f t="array" aca="1" ref="G99" ca="1">INDIRECT("'※ 영업품질 세부데이터'!"&amp;G$1&amp;$W99, TRUE)</f>
        <v>6</v>
      </c>
      <c r="H99" s="3647" cm="1">
        <f t="array" aca="1" ref="H99" ca="1">INDIRECT("'※ 영업품질 세부데이터'!"&amp;H$1&amp;$W99, TRUE)</f>
        <v>0</v>
      </c>
      <c r="I99" s="3647" cm="1">
        <f t="array" aca="1" ref="I99" ca="1">INDIRECT("'※ 영업품질 세부데이터'!"&amp;I$1&amp;$W99, TRUE)</f>
        <v>4</v>
      </c>
      <c r="J99" s="3647" cm="1">
        <f t="array" aca="1" ref="J99" ca="1">INDIRECT("'※ 영업품질 세부데이터'!"&amp;J$1&amp;$W99, TRUE)</f>
        <v>8</v>
      </c>
      <c r="K99" s="3647" cm="1">
        <f t="array" aca="1" ref="K99" ca="1">INDIRECT("'※ 영업품질 세부데이터'!"&amp;K$1&amp;$W99, TRUE)</f>
        <v>2</v>
      </c>
      <c r="L99" s="3647" cm="1">
        <f t="array" aca="1" ref="L99" ca="1">INDIRECT("'※ 영업품질 세부데이터'!"&amp;L$1&amp;$W99, TRUE)</f>
        <v>4</v>
      </c>
      <c r="M99" s="3647" cm="1">
        <f t="array" aca="1" ref="M99" ca="1">INDIRECT("'※ 영업품질 세부데이터'!"&amp;M$1&amp;$W99, TRUE)</f>
        <v>4</v>
      </c>
      <c r="N99" s="3647" cm="1">
        <f t="array" aca="1" ref="N99" ca="1">INDIRECT("'※ 영업품질 세부데이터'!"&amp;N$1&amp;$W99, TRUE)</f>
        <v>2</v>
      </c>
      <c r="O99" s="3647"/>
      <c r="P99" s="3647"/>
      <c r="Q99" s="3647">
        <f t="shared" ca="1" si="3"/>
        <v>2</v>
      </c>
      <c r="R99" s="3648" cm="1">
        <f t="array" aca="1" ref="R99" ca="1">INDIRECT("'※ 영업품질 세부데이터'!"&amp;R$1&amp;$W99, TRUE)</f>
        <v>-6</v>
      </c>
      <c r="S99" s="3649" cm="1">
        <f t="array" aca="1" ref="S99" ca="1">INDIRECT("'※ 영업품질 세부데이터'!"&amp;S$1&amp;$W99, TRUE)</f>
        <v>32</v>
      </c>
      <c r="T99" s="3647" cm="1">
        <f t="array" aca="1" ref="T99" ca="1">INDIRECT("'※ 영업품질 세부데이터'!"&amp;T$1&amp;$W99, TRUE)</f>
        <v>6</v>
      </c>
      <c r="U99" s="3650" cm="1">
        <f t="array" aca="1" ref="U99" ca="1">INDIRECT("'※ 영업품질 세부데이터'!"&amp;U$1&amp;$W99, TRUE)</f>
        <v>3.5555555555555554</v>
      </c>
      <c r="V99" s="3651" cm="1">
        <f t="array" aca="1" ref="V99" ca="1">INDIRECT("'※ 영업품질 세부데이터'!"&amp;V$1&amp;$W99, TRUE)</f>
        <v>0.72222222222222188</v>
      </c>
      <c r="W99" s="3134">
        <f>ROW('※ 영업품질 세부데이터'!A100)</f>
        <v>100</v>
      </c>
      <c r="X99" s="3468"/>
      <c r="Y99" s="3468"/>
    </row>
    <row r="100" spans="1:25" ht="14.8" customHeight="1" x14ac:dyDescent="0.55000000000000004">
      <c r="A100" s="7490"/>
      <c r="B100" s="3552"/>
      <c r="C100" s="2639" t="s">
        <v>146</v>
      </c>
      <c r="D100" s="3646" cm="1">
        <f t="array" aca="1" ref="D100" ca="1">INDIRECT("'※ 영업품질 세부데이터'!"&amp;D$1&amp;$W100, TRUE)</f>
        <v>39</v>
      </c>
      <c r="E100" s="3647" cm="1">
        <f t="array" aca="1" ref="E100" ca="1">INDIRECT("'※ 영업품질 세부데이터'!"&amp;E$1&amp;$W100, TRUE)</f>
        <v>4</v>
      </c>
      <c r="F100" s="3647" cm="1">
        <f t="array" aca="1" ref="F100" ca="1">INDIRECT("'※ 영업품질 세부데이터'!"&amp;F$1&amp;$W100, TRUE)</f>
        <v>14</v>
      </c>
      <c r="G100" s="3647" cm="1">
        <f t="array" aca="1" ref="G100" ca="1">INDIRECT("'※ 영업품질 세부데이터'!"&amp;G$1&amp;$W100, TRUE)</f>
        <v>0</v>
      </c>
      <c r="H100" s="3647" cm="1">
        <f t="array" aca="1" ref="H100" ca="1">INDIRECT("'※ 영업품질 세부데이터'!"&amp;H$1&amp;$W100, TRUE)</f>
        <v>2</v>
      </c>
      <c r="I100" s="3647" cm="1">
        <f t="array" aca="1" ref="I100" ca="1">INDIRECT("'※ 영업품질 세부데이터'!"&amp;I$1&amp;$W100, TRUE)</f>
        <v>6</v>
      </c>
      <c r="J100" s="3647" cm="1">
        <f t="array" aca="1" ref="J100" ca="1">INDIRECT("'※ 영업품질 세부데이터'!"&amp;J$1&amp;$W100, TRUE)</f>
        <v>6</v>
      </c>
      <c r="K100" s="3647" cm="1">
        <f t="array" aca="1" ref="K100" ca="1">INDIRECT("'※ 영업품질 세부데이터'!"&amp;K$1&amp;$W100, TRUE)</f>
        <v>2</v>
      </c>
      <c r="L100" s="3647" cm="1">
        <f t="array" aca="1" ref="L100" ca="1">INDIRECT("'※ 영업품질 세부데이터'!"&amp;L$1&amp;$W100, TRUE)</f>
        <v>5</v>
      </c>
      <c r="M100" s="3647" cm="1">
        <f t="array" aca="1" ref="M100" ca="1">INDIRECT("'※ 영업품질 세부데이터'!"&amp;M$1&amp;$W100, TRUE)</f>
        <v>6</v>
      </c>
      <c r="N100" s="3647" cm="1">
        <f t="array" aca="1" ref="N100" ca="1">INDIRECT("'※ 영업품질 세부데이터'!"&amp;N$1&amp;$W100, TRUE)</f>
        <v>2</v>
      </c>
      <c r="O100" s="3647"/>
      <c r="P100" s="3647"/>
      <c r="Q100" s="3647">
        <f t="shared" ca="1" si="3"/>
        <v>10</v>
      </c>
      <c r="R100" s="3648" cm="1">
        <f t="array" aca="1" ref="R100" ca="1">INDIRECT("'※ 영업품질 세부데이터'!"&amp;R$1&amp;$W100, TRUE)</f>
        <v>-4</v>
      </c>
      <c r="S100" s="3649" cm="1">
        <f t="array" aca="1" ref="S100" ca="1">INDIRECT("'※ 영업품질 세부데이터'!"&amp;S$1&amp;$W100, TRUE)</f>
        <v>47</v>
      </c>
      <c r="T100" s="3647" cm="1">
        <f t="array" aca="1" ref="T100" ca="1">INDIRECT("'※ 영업품질 세부데이터'!"&amp;T$1&amp;$W100, TRUE)</f>
        <v>18</v>
      </c>
      <c r="U100" s="3650" cm="1">
        <f t="array" aca="1" ref="U100" ca="1">INDIRECT("'※ 영업품질 세부데이터'!"&amp;U$1&amp;$W100, TRUE)</f>
        <v>5.2222222222222223</v>
      </c>
      <c r="V100" s="3651" cm="1">
        <f t="array" aca="1" ref="V100" ca="1">INDIRECT("'※ 영업품질 세부데이터'!"&amp;V$1&amp;$W100, TRUE)</f>
        <v>1.9722222222222223</v>
      </c>
      <c r="W100" s="3134">
        <f>ROW('※ 영업품질 세부데이터'!A101)</f>
        <v>101</v>
      </c>
      <c r="X100" s="3468"/>
      <c r="Y100" s="3468"/>
    </row>
    <row r="101" spans="1:25" ht="14.8" customHeight="1" x14ac:dyDescent="0.55000000000000004">
      <c r="A101" s="7490"/>
      <c r="B101" s="3552"/>
      <c r="C101" s="2639" t="s">
        <v>147</v>
      </c>
      <c r="D101" s="3646" cm="1">
        <f t="array" aca="1" ref="D101" ca="1">INDIRECT("'※ 영업품질 세부데이터'!"&amp;D$1&amp;$W101, TRUE)</f>
        <v>83</v>
      </c>
      <c r="E101" s="3647" cm="1">
        <f t="array" aca="1" ref="E101" ca="1">INDIRECT("'※ 영업품질 세부데이터'!"&amp;E$1&amp;$W101, TRUE)</f>
        <v>8</v>
      </c>
      <c r="F101" s="3647" cm="1">
        <f t="array" aca="1" ref="F101" ca="1">INDIRECT("'※ 영업품질 세부데이터'!"&amp;F$1&amp;$W101, TRUE)</f>
        <v>11</v>
      </c>
      <c r="G101" s="3647" cm="1">
        <f t="array" aca="1" ref="G101" ca="1">INDIRECT("'※ 영업품질 세부데이터'!"&amp;G$1&amp;$W101, TRUE)</f>
        <v>5</v>
      </c>
      <c r="H101" s="3647" cm="1">
        <f t="array" aca="1" ref="H101" ca="1">INDIRECT("'※ 영업품질 세부데이터'!"&amp;H$1&amp;$W101, TRUE)</f>
        <v>0</v>
      </c>
      <c r="I101" s="3647" cm="1">
        <f t="array" aca="1" ref="I101" ca="1">INDIRECT("'※ 영업품질 세부데이터'!"&amp;I$1&amp;$W101, TRUE)</f>
        <v>6</v>
      </c>
      <c r="J101" s="3647" cm="1">
        <f t="array" aca="1" ref="J101" ca="1">INDIRECT("'※ 영업품질 세부데이터'!"&amp;J$1&amp;$W101, TRUE)</f>
        <v>4</v>
      </c>
      <c r="K101" s="3647" cm="1">
        <f t="array" aca="1" ref="K101" ca="1">INDIRECT("'※ 영업품질 세부데이터'!"&amp;K$1&amp;$W101, TRUE)</f>
        <v>8</v>
      </c>
      <c r="L101" s="3647" cm="1">
        <f t="array" aca="1" ref="L101" ca="1">INDIRECT("'※ 영업품질 세부데이터'!"&amp;L$1&amp;$W101, TRUE)</f>
        <v>8</v>
      </c>
      <c r="M101" s="3647" cm="1">
        <f t="array" aca="1" ref="M101" ca="1">INDIRECT("'※ 영업품질 세부데이터'!"&amp;M$1&amp;$W101, TRUE)</f>
        <v>8</v>
      </c>
      <c r="N101" s="3647" cm="1">
        <f t="array" aca="1" ref="N101" ca="1">INDIRECT("'※ 영업품질 세부데이터'!"&amp;N$1&amp;$W101, TRUE)</f>
        <v>6</v>
      </c>
      <c r="O101" s="3647"/>
      <c r="P101" s="3647"/>
      <c r="Q101" s="3647">
        <f t="shared" ca="1" si="3"/>
        <v>3</v>
      </c>
      <c r="R101" s="3648" cm="1">
        <f t="array" aca="1" ref="R101" ca="1">INDIRECT("'※ 영업품질 세부데이터'!"&amp;R$1&amp;$W101, TRUE)</f>
        <v>-8</v>
      </c>
      <c r="S101" s="3649" cm="1">
        <f t="array" aca="1" ref="S101" ca="1">INDIRECT("'※ 영업품질 세부데이터'!"&amp;S$1&amp;$W101, TRUE)</f>
        <v>64</v>
      </c>
      <c r="T101" s="3647" cm="1">
        <f t="array" aca="1" ref="T101" ca="1">INDIRECT("'※ 영업품질 세부데이터'!"&amp;T$1&amp;$W101, TRUE)</f>
        <v>0</v>
      </c>
      <c r="U101" s="3650" cm="1">
        <f t="array" aca="1" ref="U101" ca="1">INDIRECT("'※ 영업품질 세부데이터'!"&amp;U$1&amp;$W101, TRUE)</f>
        <v>7.1111111111111107</v>
      </c>
      <c r="V101" s="3651" cm="1">
        <f t="array" aca="1" ref="V101" ca="1">INDIRECT("'※ 영업품질 세부데이터'!"&amp;V$1&amp;$W101, TRUE)</f>
        <v>0.19444444444444375</v>
      </c>
      <c r="W101" s="3134">
        <f>ROW('※ 영업품질 세부데이터'!A102)</f>
        <v>102</v>
      </c>
      <c r="X101" s="3468"/>
      <c r="Y101" s="3468"/>
    </row>
    <row r="102" spans="1:25" ht="14.8" customHeight="1" x14ac:dyDescent="0.55000000000000004">
      <c r="A102" s="7490"/>
      <c r="B102" s="3552"/>
      <c r="C102" s="2639" t="s">
        <v>148</v>
      </c>
      <c r="D102" s="3646" cm="1">
        <f t="array" aca="1" ref="D102" ca="1">INDIRECT("'※ 영업품질 세부데이터'!"&amp;D$1&amp;$W102, TRUE)</f>
        <v>45</v>
      </c>
      <c r="E102" s="3647" cm="1">
        <f t="array" aca="1" ref="E102" ca="1">INDIRECT("'※ 영업품질 세부데이터'!"&amp;E$1&amp;$W102, TRUE)</f>
        <v>8</v>
      </c>
      <c r="F102" s="3647" cm="1">
        <f t="array" aca="1" ref="F102" ca="1">INDIRECT("'※ 영업품질 세부데이터'!"&amp;F$1&amp;$W102, TRUE)</f>
        <v>14</v>
      </c>
      <c r="G102" s="3647" cm="1">
        <f t="array" aca="1" ref="G102" ca="1">INDIRECT("'※ 영업품질 세부데이터'!"&amp;G$1&amp;$W102, TRUE)</f>
        <v>4</v>
      </c>
      <c r="H102" s="3647" cm="1">
        <f t="array" aca="1" ref="H102" ca="1">INDIRECT("'※ 영업품질 세부데이터'!"&amp;H$1&amp;$W102, TRUE)</f>
        <v>4</v>
      </c>
      <c r="I102" s="3647" cm="1">
        <f t="array" aca="1" ref="I102" ca="1">INDIRECT("'※ 영업품질 세부데이터'!"&amp;I$1&amp;$W102, TRUE)</f>
        <v>4</v>
      </c>
      <c r="J102" s="3647" cm="1">
        <f t="array" aca="1" ref="J102" ca="1">INDIRECT("'※ 영업품질 세부데이터'!"&amp;J$1&amp;$W102, TRUE)</f>
        <v>2</v>
      </c>
      <c r="K102" s="3647" cm="1">
        <f t="array" aca="1" ref="K102" ca="1">INDIRECT("'※ 영업품질 세부데이터'!"&amp;K$1&amp;$W102, TRUE)</f>
        <v>0</v>
      </c>
      <c r="L102" s="3647" cm="1">
        <f t="array" aca="1" ref="L102" ca="1">INDIRECT("'※ 영업품질 세부데이터'!"&amp;L$1&amp;$W102, TRUE)</f>
        <v>0</v>
      </c>
      <c r="M102" s="3647" cm="1">
        <f t="array" aca="1" ref="M102" ca="1">INDIRECT("'※ 영업품질 세부데이터'!"&amp;M$1&amp;$W102, TRUE)</f>
        <v>12</v>
      </c>
      <c r="N102" s="3647" cm="1">
        <f t="array" aca="1" ref="N102" ca="1">INDIRECT("'※ 영업품질 세부데이터'!"&amp;N$1&amp;$W102, TRUE)</f>
        <v>4</v>
      </c>
      <c r="O102" s="3647"/>
      <c r="P102" s="3647"/>
      <c r="Q102" s="3647">
        <f t="shared" ca="1" si="3"/>
        <v>6</v>
      </c>
      <c r="R102" s="3648" cm="1">
        <f t="array" aca="1" ref="R102" ca="1">INDIRECT("'※ 영업품질 세부데이터'!"&amp;R$1&amp;$W102, TRUE)</f>
        <v>-7</v>
      </c>
      <c r="S102" s="3649" cm="1">
        <f t="array" aca="1" ref="S102" ca="1">INDIRECT("'※ 영업품질 세부데이터'!"&amp;S$1&amp;$W102, TRUE)</f>
        <v>52</v>
      </c>
      <c r="T102" s="3647" cm="1">
        <f t="array" aca="1" ref="T102" ca="1">INDIRECT("'※ 영업품질 세부데이터'!"&amp;T$1&amp;$W102, TRUE)</f>
        <v>36</v>
      </c>
      <c r="U102" s="3650" cm="1">
        <f t="array" aca="1" ref="U102" ca="1">INDIRECT("'※ 영업품질 세부데이터'!"&amp;U$1&amp;$W102, TRUE)</f>
        <v>6.5</v>
      </c>
      <c r="V102" s="3651" cm="1">
        <f t="array" aca="1" ref="V102" ca="1">INDIRECT("'※ 영업품질 세부데이터'!"&amp;V$1&amp;$W102, TRUE)</f>
        <v>2.75</v>
      </c>
      <c r="W102" s="3134">
        <f>ROW('※ 영업품질 세부데이터'!A103)</f>
        <v>103</v>
      </c>
      <c r="X102" s="3468"/>
      <c r="Y102" s="3468"/>
    </row>
    <row r="103" spans="1:25" ht="14.8" customHeight="1" x14ac:dyDescent="0.55000000000000004">
      <c r="A103" s="7490"/>
      <c r="B103" s="3552"/>
      <c r="C103" s="2639" t="s">
        <v>149</v>
      </c>
      <c r="D103" s="3646" cm="1">
        <f t="array" aca="1" ref="D103" ca="1">INDIRECT("'※ 영업품질 세부데이터'!"&amp;D$1&amp;$W103, TRUE)</f>
        <v>52</v>
      </c>
      <c r="E103" s="3647" cm="1">
        <f t="array" aca="1" ref="E103" ca="1">INDIRECT("'※ 영업품질 세부데이터'!"&amp;E$1&amp;$W103, TRUE)</f>
        <v>4</v>
      </c>
      <c r="F103" s="3647" cm="1">
        <f t="array" aca="1" ref="F103" ca="1">INDIRECT("'※ 영업품질 세부데이터'!"&amp;F$1&amp;$W103, TRUE)</f>
        <v>4</v>
      </c>
      <c r="G103" s="3647" cm="1">
        <f t="array" aca="1" ref="G103" ca="1">INDIRECT("'※ 영업품질 세부데이터'!"&amp;G$1&amp;$W103, TRUE)</f>
        <v>2</v>
      </c>
      <c r="H103" s="3647" cm="1">
        <f t="array" aca="1" ref="H103" ca="1">INDIRECT("'※ 영업품질 세부데이터'!"&amp;H$1&amp;$W103, TRUE)</f>
        <v>2</v>
      </c>
      <c r="I103" s="3647" cm="1">
        <f t="array" aca="1" ref="I103" ca="1">INDIRECT("'※ 영업품질 세부데이터'!"&amp;I$1&amp;$W103, TRUE)</f>
        <v>5</v>
      </c>
      <c r="J103" s="3647" cm="1">
        <f t="array" aca="1" ref="J103" ca="1">INDIRECT("'※ 영업품질 세부데이터'!"&amp;J$1&amp;$W103, TRUE)</f>
        <v>12</v>
      </c>
      <c r="K103" s="3647" cm="1">
        <f t="array" aca="1" ref="K103" ca="1">INDIRECT("'※ 영업품질 세부데이터'!"&amp;K$1&amp;$W103, TRUE)</f>
        <v>8</v>
      </c>
      <c r="L103" s="3647" cm="1">
        <f t="array" aca="1" ref="L103" ca="1">INDIRECT("'※ 영업품질 세부데이터'!"&amp;L$1&amp;$W103, TRUE)</f>
        <v>5</v>
      </c>
      <c r="M103" s="3647" cm="1">
        <f t="array" aca="1" ref="M103" ca="1">INDIRECT("'※ 영업품질 세부데이터'!"&amp;M$1&amp;$W103, TRUE)</f>
        <v>4</v>
      </c>
      <c r="N103" s="3647" cm="1">
        <f t="array" aca="1" ref="N103" ca="1">INDIRECT("'※ 영업품질 세부데이터'!"&amp;N$1&amp;$W103, TRUE)</f>
        <v>4</v>
      </c>
      <c r="O103" s="3647"/>
      <c r="P103" s="3647"/>
      <c r="Q103" s="3647">
        <f t="shared" ca="1" si="3"/>
        <v>0</v>
      </c>
      <c r="R103" s="3648" cm="1">
        <f t="array" aca="1" ref="R103" ca="1">INDIRECT("'※ 영업품질 세부데이터'!"&amp;R$1&amp;$W103, TRUE)</f>
        <v>-4</v>
      </c>
      <c r="S103" s="3649" cm="1">
        <f t="array" aca="1" ref="S103" ca="1">INDIRECT("'※ 영업품질 세부데이터'!"&amp;S$1&amp;$W103, TRUE)</f>
        <v>50</v>
      </c>
      <c r="T103" s="3647" cm="1">
        <f t="array" aca="1" ref="T103" ca="1">INDIRECT("'※ 영업품질 세부데이터'!"&amp;T$1&amp;$W103, TRUE)</f>
        <v>27</v>
      </c>
      <c r="U103" s="3650" cm="1">
        <f t="array" aca="1" ref="U103" ca="1">INDIRECT("'※ 영업품질 세부데이터'!"&amp;U$1&amp;$W103, TRUE)</f>
        <v>5</v>
      </c>
      <c r="V103" s="3651" cm="1">
        <f t="array" aca="1" ref="V103" ca="1">INDIRECT("'※ 영업품질 세부데이터'!"&amp;V$1&amp;$W103, TRUE)</f>
        <v>0.66666666666666696</v>
      </c>
      <c r="W103" s="3134">
        <f>ROW('※ 영업품질 세부데이터'!A104)</f>
        <v>104</v>
      </c>
      <c r="X103" s="3468"/>
      <c r="Y103" s="3468"/>
    </row>
    <row r="104" spans="1:25" ht="14.8" customHeight="1" x14ac:dyDescent="0.55000000000000004">
      <c r="A104" s="7490"/>
      <c r="B104" s="3552"/>
      <c r="C104" s="2639" t="s">
        <v>150</v>
      </c>
      <c r="D104" s="3646" cm="1">
        <f t="array" aca="1" ref="D104" ca="1">INDIRECT("'※ 영업품질 세부데이터'!"&amp;D$1&amp;$W104, TRUE)</f>
        <v>84</v>
      </c>
      <c r="E104" s="3647" cm="1">
        <f t="array" aca="1" ref="E104" ca="1">INDIRECT("'※ 영업품질 세부데이터'!"&amp;E$1&amp;$W104, TRUE)</f>
        <v>4</v>
      </c>
      <c r="F104" s="3647" cm="1">
        <f t="array" aca="1" ref="F104" ca="1">INDIRECT("'※ 영업품질 세부데이터'!"&amp;F$1&amp;$W104, TRUE)</f>
        <v>8</v>
      </c>
      <c r="G104" s="3647" cm="1">
        <f t="array" aca="1" ref="G104" ca="1">INDIRECT("'※ 영업품질 세부데이터'!"&amp;G$1&amp;$W104, TRUE)</f>
        <v>6</v>
      </c>
      <c r="H104" s="3647" cm="1">
        <f t="array" aca="1" ref="H104" ca="1">INDIRECT("'※ 영업품질 세부데이터'!"&amp;H$1&amp;$W104, TRUE)</f>
        <v>0</v>
      </c>
      <c r="I104" s="3647" cm="1">
        <f t="array" aca="1" ref="I104" ca="1">INDIRECT("'※ 영업품질 세부데이터'!"&amp;I$1&amp;$W104, TRUE)</f>
        <v>6</v>
      </c>
      <c r="J104" s="3647" cm="1">
        <f t="array" aca="1" ref="J104" ca="1">INDIRECT("'※ 영업품질 세부데이터'!"&amp;J$1&amp;$W104, TRUE)</f>
        <v>6</v>
      </c>
      <c r="K104" s="3647" cm="1">
        <f t="array" aca="1" ref="K104" ca="1">INDIRECT("'※ 영업품질 세부데이터'!"&amp;K$1&amp;$W104, TRUE)</f>
        <v>2</v>
      </c>
      <c r="L104" s="3647" cm="1">
        <f t="array" aca="1" ref="L104" ca="1">INDIRECT("'※ 영업품질 세부데이터'!"&amp;L$1&amp;$W104, TRUE)</f>
        <v>8</v>
      </c>
      <c r="M104" s="3647" cm="1">
        <f t="array" aca="1" ref="M104" ca="1">INDIRECT("'※ 영업품질 세부데이터'!"&amp;M$1&amp;$W104, TRUE)</f>
        <v>10</v>
      </c>
      <c r="N104" s="3647" cm="1">
        <f t="array" aca="1" ref="N104" ca="1">INDIRECT("'※ 영업품질 세부데이터'!"&amp;N$1&amp;$W104, TRUE)</f>
        <v>8</v>
      </c>
      <c r="O104" s="3647"/>
      <c r="P104" s="3647"/>
      <c r="Q104" s="3647">
        <f t="shared" ca="1" si="3"/>
        <v>4</v>
      </c>
      <c r="R104" s="3648" cm="1">
        <f t="array" aca="1" ref="R104" ca="1">INDIRECT("'※ 영업품질 세부데이터'!"&amp;R$1&amp;$W104, TRUE)</f>
        <v>-8</v>
      </c>
      <c r="S104" s="3649" cm="1">
        <f t="array" aca="1" ref="S104" ca="1">INDIRECT("'※ 영업품질 세부데이터'!"&amp;S$1&amp;$W104, TRUE)</f>
        <v>58</v>
      </c>
      <c r="T104" s="3647" cm="1">
        <f t="array" aca="1" ref="T104" ca="1">INDIRECT("'※ 영업품질 세부데이터'!"&amp;T$1&amp;$W104, TRUE)</f>
        <v>-7</v>
      </c>
      <c r="U104" s="3650" cm="1">
        <f t="array" aca="1" ref="U104" ca="1">INDIRECT("'※ 영업품질 세부데이터'!"&amp;U$1&amp;$W104, TRUE)</f>
        <v>6.4444444444444446</v>
      </c>
      <c r="V104" s="3651" cm="1">
        <f t="array" aca="1" ref="V104" ca="1">INDIRECT("'※ 영업품질 세부데이터'!"&amp;V$1&amp;$W104, TRUE)</f>
        <v>-0.55555555555555536</v>
      </c>
      <c r="W104" s="3134">
        <f>ROW('※ 영업품질 세부데이터'!A105)</f>
        <v>105</v>
      </c>
      <c r="X104" s="3468"/>
      <c r="Y104" s="3468"/>
    </row>
    <row r="105" spans="1:25" ht="14.8" customHeight="1" x14ac:dyDescent="0.55000000000000004">
      <c r="A105" s="7490"/>
      <c r="B105" s="3552"/>
      <c r="C105" s="2639" t="s">
        <v>151</v>
      </c>
      <c r="D105" s="3646" cm="1">
        <f t="array" aca="1" ref="D105" ca="1">INDIRECT("'※ 영업품질 세부데이터'!"&amp;D$1&amp;$W105, TRUE)</f>
        <v>26</v>
      </c>
      <c r="E105" s="3647" cm="1">
        <f t="array" aca="1" ref="E105" ca="1">INDIRECT("'※ 영업품질 세부데이터'!"&amp;E$1&amp;$W105, TRUE)</f>
        <v>1</v>
      </c>
      <c r="F105" s="3647" cm="1">
        <f t="array" aca="1" ref="F105" ca="1">INDIRECT("'※ 영업품질 세부데이터'!"&amp;F$1&amp;$W105, TRUE)</f>
        <v>2</v>
      </c>
      <c r="G105" s="3647" cm="1">
        <f t="array" aca="1" ref="G105" ca="1">INDIRECT("'※ 영업품질 세부데이터'!"&amp;G$1&amp;$W105, TRUE)</f>
        <v>6</v>
      </c>
      <c r="H105" s="3647" cm="1">
        <f t="array" aca="1" ref="H105" ca="1">INDIRECT("'※ 영업품질 세부데이터'!"&amp;H$1&amp;$W105, TRUE)</f>
        <v>4</v>
      </c>
      <c r="I105" s="3647" cm="1">
        <f t="array" aca="1" ref="I105" ca="1">INDIRECT("'※ 영업품질 세부데이터'!"&amp;I$1&amp;$W105, TRUE)</f>
        <v>0</v>
      </c>
      <c r="J105" s="3647" cm="1">
        <f t="array" aca="1" ref="J105" ca="1">INDIRECT("'※ 영업품질 세부데이터'!"&amp;J$1&amp;$W105, TRUE)</f>
        <v>4</v>
      </c>
      <c r="K105" s="3647" cm="1">
        <f t="array" aca="1" ref="K105" ca="1">INDIRECT("'※ 영업품질 세부데이터'!"&amp;K$1&amp;$W105, TRUE)</f>
        <v>2</v>
      </c>
      <c r="L105" s="3647" cm="1">
        <f t="array" aca="1" ref="L105" ca="1">INDIRECT("'※ 영업품질 세부데이터'!"&amp;L$1&amp;$W105, TRUE)</f>
        <v>2</v>
      </c>
      <c r="M105" s="3647" cm="1">
        <f t="array" aca="1" ref="M105" ca="1">INDIRECT("'※ 영업품질 세부데이터'!"&amp;M$1&amp;$W105, TRUE)</f>
        <v>2</v>
      </c>
      <c r="N105" s="3647" cm="1">
        <f t="array" aca="1" ref="N105" ca="1">INDIRECT("'※ 영업품질 세부데이터'!"&amp;N$1&amp;$W105, TRUE)</f>
        <v>0</v>
      </c>
      <c r="O105" s="3647"/>
      <c r="P105" s="3647"/>
      <c r="Q105" s="3647">
        <f t="shared" ca="1" si="3"/>
        <v>1</v>
      </c>
      <c r="R105" s="3648" cm="1">
        <f t="array" aca="1" ref="R105" ca="1">INDIRECT("'※ 영업품질 세부데이터'!"&amp;R$1&amp;$W105, TRUE)</f>
        <v>-2</v>
      </c>
      <c r="S105" s="3649" cm="1">
        <f t="array" aca="1" ref="S105" ca="1">INDIRECT("'※ 영업품질 세부데이터'!"&amp;S$1&amp;$W105, TRUE)</f>
        <v>23</v>
      </c>
      <c r="T105" s="3647" cm="1">
        <f t="array" aca="1" ref="T105" ca="1">INDIRECT("'※ 영업품질 세부데이터'!"&amp;T$1&amp;$W105, TRUE)</f>
        <v>1</v>
      </c>
      <c r="U105" s="3650" cm="1">
        <f t="array" aca="1" ref="U105" ca="1">INDIRECT("'※ 영업품질 세부데이터'!"&amp;U$1&amp;$W105, TRUE)</f>
        <v>2.5555555555555554</v>
      </c>
      <c r="V105" s="3651" cm="1">
        <f t="array" aca="1" ref="V105" ca="1">INDIRECT("'※ 영업품질 세부데이터'!"&amp;V$1&amp;$W105, TRUE)</f>
        <v>0.38888888888888884</v>
      </c>
      <c r="W105" s="3134">
        <f>ROW('※ 영업품질 세부데이터'!A106)</f>
        <v>106</v>
      </c>
      <c r="X105" s="3468"/>
      <c r="Y105" s="3468"/>
    </row>
    <row r="106" spans="1:25" ht="14.8" customHeight="1" x14ac:dyDescent="0.55000000000000004">
      <c r="A106" s="7490"/>
      <c r="B106" s="3560"/>
      <c r="C106" s="3561" t="s">
        <v>152</v>
      </c>
      <c r="D106" s="3652" cm="1">
        <f t="array" aca="1" ref="D106" ca="1">INDIRECT("'※ 영업품질 세부데이터'!"&amp;D$1&amp;$W106, TRUE)</f>
        <v>31</v>
      </c>
      <c r="E106" s="3653" cm="1">
        <f t="array" aca="1" ref="E106" ca="1">INDIRECT("'※ 영업품질 세부데이터'!"&amp;E$1&amp;$W106, TRUE)</f>
        <v>0</v>
      </c>
      <c r="F106" s="3653" cm="1">
        <f t="array" aca="1" ref="F106" ca="1">INDIRECT("'※ 영업품질 세부데이터'!"&amp;F$1&amp;$W106, TRUE)</f>
        <v>2</v>
      </c>
      <c r="G106" s="3653" cm="1">
        <f t="array" aca="1" ref="G106" ca="1">INDIRECT("'※ 영업품질 세부데이터'!"&amp;G$1&amp;$W106, TRUE)</f>
        <v>6</v>
      </c>
      <c r="H106" s="3653" cm="1">
        <f t="array" aca="1" ref="H106" ca="1">INDIRECT("'※ 영업품질 세부데이터'!"&amp;H$1&amp;$W106, TRUE)</f>
        <v>2</v>
      </c>
      <c r="I106" s="3653" cm="1">
        <f t="array" aca="1" ref="I106" ca="1">INDIRECT("'※ 영업품질 세부데이터'!"&amp;I$1&amp;$W106, TRUE)</f>
        <v>2</v>
      </c>
      <c r="J106" s="3653" cm="1">
        <f t="array" aca="1" ref="J106" ca="1">INDIRECT("'※ 영업품질 세부데이터'!"&amp;J$1&amp;$W106, TRUE)</f>
        <v>8</v>
      </c>
      <c r="K106" s="3653" cm="1">
        <f t="array" aca="1" ref="K106" ca="1">INDIRECT("'※ 영업품질 세부데이터'!"&amp;K$1&amp;$W106, TRUE)</f>
        <v>0</v>
      </c>
      <c r="L106" s="3653" cm="1">
        <f t="array" aca="1" ref="L106" ca="1">INDIRECT("'※ 영업품질 세부데이터'!"&amp;L$1&amp;$W106, TRUE)</f>
        <v>4</v>
      </c>
      <c r="M106" s="3653" cm="1">
        <f t="array" aca="1" ref="M106" ca="1">INDIRECT("'※ 영업품질 세부데이터'!"&amp;M$1&amp;$W106, TRUE)</f>
        <v>2</v>
      </c>
      <c r="N106" s="3653" cm="1">
        <f t="array" aca="1" ref="N106" ca="1">INDIRECT("'※ 영업품질 세부데이터'!"&amp;N$1&amp;$W106, TRUE)</f>
        <v>2</v>
      </c>
      <c r="O106" s="3653"/>
      <c r="P106" s="3653"/>
      <c r="Q106" s="3653">
        <f t="shared" ca="1" si="3"/>
        <v>2</v>
      </c>
      <c r="R106" s="3654" cm="1">
        <f t="array" aca="1" ref="R106" ca="1">INDIRECT("'※ 영업품질 세부데이터'!"&amp;R$1&amp;$W106, TRUE)</f>
        <v>-2</v>
      </c>
      <c r="S106" s="3655" cm="1">
        <f t="array" aca="1" ref="S106" ca="1">INDIRECT("'※ 영업품질 세부데이터'!"&amp;S$1&amp;$W106, TRUE)</f>
        <v>28</v>
      </c>
      <c r="T106" s="3653" cm="1">
        <f t="array" aca="1" ref="T106" ca="1">INDIRECT("'※ 영업품질 세부데이터'!"&amp;T$1&amp;$W106, TRUE)</f>
        <v>2</v>
      </c>
      <c r="U106" s="3656" cm="1">
        <f t="array" aca="1" ref="U106" ca="1">INDIRECT("'※ 영업품질 세부데이터'!"&amp;U$1&amp;$W106, TRUE)</f>
        <v>3.1111111111111112</v>
      </c>
      <c r="V106" s="3657" cm="1">
        <f t="array" aca="1" ref="V106" ca="1">INDIRECT("'※ 영업품질 세부데이터'!"&amp;V$1&amp;$W106, TRUE)</f>
        <v>0.52777777777777768</v>
      </c>
      <c r="W106" s="3134">
        <f>ROW('※ 영업품질 세부데이터'!A107)</f>
        <v>107</v>
      </c>
      <c r="X106" s="3468"/>
      <c r="Y106" s="3468"/>
    </row>
    <row r="107" spans="1:25" ht="14.8" customHeight="1" x14ac:dyDescent="0.55000000000000004">
      <c r="A107" s="7490"/>
      <c r="B107" s="3535" t="s">
        <v>142</v>
      </c>
      <c r="C107" s="3637" t="s">
        <v>139</v>
      </c>
      <c r="D107" s="3658" cm="1">
        <f t="array" aca="1" ref="D107" ca="1">INDIRECT("'※ 영업품질 세부데이터'!"&amp;D$1&amp;$W107, TRUE)</f>
        <v>338</v>
      </c>
      <c r="E107" s="3659" cm="1">
        <f t="array" aca="1" ref="E107" ca="1">INDIRECT("'※ 영업품질 세부데이터'!"&amp;E$1&amp;$W107, TRUE)</f>
        <v>0</v>
      </c>
      <c r="F107" s="3659" cm="1">
        <f t="array" aca="1" ref="F107" ca="1">INDIRECT("'※ 영업품질 세부데이터'!"&amp;F$1&amp;$W107, TRUE)</f>
        <v>0</v>
      </c>
      <c r="G107" s="3659" cm="1">
        <f t="array" aca="1" ref="G107" ca="1">INDIRECT("'※ 영업품질 세부데이터'!"&amp;G$1&amp;$W107, TRUE)</f>
        <v>0</v>
      </c>
      <c r="H107" s="3659" cm="1">
        <f t="array" aca="1" ref="H107" ca="1">INDIRECT("'※ 영업품질 세부데이터'!"&amp;H$1&amp;$W107, TRUE)</f>
        <v>0</v>
      </c>
      <c r="I107" s="3659" cm="1">
        <f t="array" aca="1" ref="I107" ca="1">INDIRECT("'※ 영업품질 세부데이터'!"&amp;I$1&amp;$W107, TRUE)</f>
        <v>16</v>
      </c>
      <c r="J107" s="3659" cm="1">
        <f t="array" aca="1" ref="J107" ca="1">INDIRECT("'※ 영업품질 세부데이터'!"&amp;J$1&amp;$W107, TRUE)</f>
        <v>12</v>
      </c>
      <c r="K107" s="3659" cm="1">
        <f t="array" aca="1" ref="K107" ca="1">INDIRECT("'※ 영업품질 세부데이터'!"&amp;K$1&amp;$W107, TRUE)</f>
        <v>19</v>
      </c>
      <c r="L107" s="3659" cm="1">
        <f t="array" aca="1" ref="L107" ca="1">INDIRECT("'※ 영업품질 세부데이터'!"&amp;L$1&amp;$W107, TRUE)</f>
        <v>12</v>
      </c>
      <c r="M107" s="3659" cm="1">
        <f t="array" aca="1" ref="M107" ca="1">INDIRECT("'※ 영업품질 세부데이터'!"&amp;M$1&amp;$W107, TRUE)</f>
        <v>12</v>
      </c>
      <c r="N107" s="3659" cm="1">
        <f t="array" aca="1" ref="N107" ca="1">INDIRECT("'※ 영업품질 세부데이터'!"&amp;N$1&amp;$W107, TRUE)</f>
        <v>2</v>
      </c>
      <c r="O107" s="3659"/>
      <c r="P107" s="3659"/>
      <c r="Q107" s="3660">
        <f t="shared" ca="1" si="3"/>
        <v>0</v>
      </c>
      <c r="R107" s="3661" cm="1">
        <f t="array" aca="1" ref="R107" ca="1">INDIRECT("'※ 영업품질 세부데이터'!"&amp;R$1&amp;$W107, TRUE)</f>
        <v>-6</v>
      </c>
      <c r="S107" s="3662" cm="1">
        <f t="array" aca="1" ref="S107" ca="1">INDIRECT("'※ 영업품질 세부데이터'!"&amp;S$1&amp;$W107, TRUE)</f>
        <v>73</v>
      </c>
      <c r="T107" s="3659" cm="1">
        <f t="array" aca="1" ref="T107" ca="1">INDIRECT("'※ 영업품질 세부데이터'!"&amp;T$1&amp;$W107, TRUE)</f>
        <v>-215</v>
      </c>
      <c r="U107" s="3663" cm="1">
        <f t="array" aca="1" ref="U107" ca="1">INDIRECT("'※ 영업품질 세부데이터'!"&amp;U$1&amp;$W107, TRUE)</f>
        <v>7.3</v>
      </c>
      <c r="V107" s="3664" cm="1">
        <f t="array" aca="1" ref="V107" ca="1">INDIRECT("'※ 영업품질 세부데이터'!"&amp;V$1&amp;$W107, TRUE)</f>
        <v>-20.866666666666667</v>
      </c>
      <c r="W107" s="3134">
        <f>ROW('※ 영업품질 세부데이터'!A108)</f>
        <v>108</v>
      </c>
      <c r="X107" s="3468"/>
      <c r="Y107" s="3468"/>
    </row>
    <row r="108" spans="1:25" ht="14.8" customHeight="1" x14ac:dyDescent="0.55000000000000004">
      <c r="A108" s="7490"/>
      <c r="B108" s="3543"/>
      <c r="C108" s="3570" t="s">
        <v>559</v>
      </c>
      <c r="D108" s="3571" cm="1">
        <f t="array" aca="1" ref="D108" ca="1">INDIRECT("'※ 영업품질 세부데이터'!"&amp;D$1&amp;$W108, TRUE)</f>
        <v>8.8183337824494275E-3</v>
      </c>
      <c r="E108" s="3572" cm="1">
        <f t="array" aca="1" ref="E108" ca="1">INDIRECT("'※ 영업품질 세부데이터'!"&amp;E$1&amp;$W108, TRUE)</f>
        <v>0</v>
      </c>
      <c r="F108" s="3572" cm="1">
        <f t="array" aca="1" ref="F108" ca="1">INDIRECT("'※ 영업품질 세부데이터'!"&amp;F$1&amp;$W108, TRUE)</f>
        <v>0</v>
      </c>
      <c r="G108" s="3572" cm="1">
        <f t="array" aca="1" ref="G108" ca="1">INDIRECT("'※ 영업품질 세부데이터'!"&amp;G$1&amp;$W108, TRUE)</f>
        <v>0</v>
      </c>
      <c r="H108" s="3572" cm="1">
        <f t="array" aca="1" ref="H108" ca="1">INDIRECT("'※ 영업품질 세부데이터'!"&amp;H$1&amp;$W108, TRUE)</f>
        <v>0</v>
      </c>
      <c r="I108" s="3572" cm="1">
        <f t="array" aca="1" ref="I108" ca="1">INDIRECT("'※ 영업품질 세부데이터'!"&amp;I$1&amp;$W108, TRUE)</f>
        <v>2.0639834881320948E-3</v>
      </c>
      <c r="J108" s="3572" cm="1">
        <f t="array" aca="1" ref="J108" ca="1">INDIRECT("'※ 영업품질 세부데이터'!"&amp;J$1&amp;$W108, TRUE)</f>
        <v>1.9749835418038184E-3</v>
      </c>
      <c r="K108" s="3572" cm="1">
        <f t="array" aca="1" ref="K108" ca="1">INDIRECT("'※ 영업품질 세부데이터'!"&amp;K$1&amp;$W108, TRUE)</f>
        <v>3.5107169253510719E-3</v>
      </c>
      <c r="L108" s="3572" cm="1">
        <f t="array" aca="1" ref="L108" ca="1">INDIRECT("'※ 영업품질 세부데이터'!"&amp;L$1&amp;$W108, TRUE)</f>
        <v>3.0249558860599951E-3</v>
      </c>
      <c r="M108" s="3572" cm="1">
        <f t="array" aca="1" ref="M108" ca="1">INDIRECT("'※ 영업품질 세부데이터'!"&amp;M$1&amp;$W108, TRUE)</f>
        <v>2.9090909090909089E-3</v>
      </c>
      <c r="N108" s="3572" cm="1">
        <f t="array" aca="1" ref="N108" ca="1">INDIRECT("'※ 영업품질 세부데이터'!"&amp;N$1&amp;$W108, TRUE)</f>
        <v>5.2521008403361342E-4</v>
      </c>
      <c r="O108" s="3572"/>
      <c r="P108" s="3572"/>
      <c r="Q108" s="3573">
        <f ca="1">F108-E108</f>
        <v>0</v>
      </c>
      <c r="R108" s="3574" cm="1">
        <f t="array" aca="1" ref="R108" ca="1">INDIRECT("'※ 영업품질 세부데이터'!"&amp;R$1&amp;$W108, TRUE)</f>
        <v>-1.6375545851528383E-3</v>
      </c>
      <c r="S108" s="3575" cm="1">
        <f t="array" aca="1" ref="S108" ca="1">INDIRECT("'※ 영업품질 세부데이터'!"&amp;S$1&amp;$W108, TRUE)</f>
        <v>1.4008940834471502E-3</v>
      </c>
      <c r="T108" s="3573" cm="1">
        <f t="array" aca="1" ref="T108" ca="1">INDIRECT("'※ 영업품질 세부데이터'!"&amp;T$1&amp;$W108, TRUE)</f>
        <v>-9.0835195644568767E-2</v>
      </c>
      <c r="U108" s="3576" cm="1">
        <f t="array" aca="1" ref="U108" ca="1">INDIRECT("'※ 영업품질 세부데이터'!"&amp;U$1&amp;$W108, TRUE)</f>
        <v>1.4008940834471502E-3</v>
      </c>
      <c r="V108" s="3577" cm="1">
        <f t="array" aca="1" ref="V108" ca="1">INDIRECT("'※ 영업품질 세부데이터'!"&amp;V$1&amp;$W108, TRUE)</f>
        <v>-7.4174396990022776E-3</v>
      </c>
      <c r="W108" s="3134">
        <f>ROW('※ 영업품질 세부데이터'!A109)</f>
        <v>109</v>
      </c>
      <c r="X108" s="3468"/>
      <c r="Y108" s="3468"/>
    </row>
    <row r="109" spans="1:25" ht="14.8" customHeight="1" x14ac:dyDescent="0.55000000000000004">
      <c r="A109" s="7490"/>
      <c r="B109" s="3552"/>
      <c r="C109" s="2639" t="s">
        <v>143</v>
      </c>
      <c r="D109" s="3646" cm="1">
        <f t="array" aca="1" ref="D109" ca="1">INDIRECT("'※ 영업품질 세부데이터'!"&amp;D$1&amp;$W109, TRUE)</f>
        <v>54</v>
      </c>
      <c r="E109" s="3647" cm="1">
        <f t="array" aca="1" ref="E109" ca="1">INDIRECT("'※ 영업품질 세부데이터'!"&amp;E$1&amp;$W109, TRUE)</f>
        <v>0</v>
      </c>
      <c r="F109" s="3647" cm="1">
        <f t="array" aca="1" ref="F109" ca="1">INDIRECT("'※ 영업품질 세부데이터'!"&amp;F$1&amp;$W109, TRUE)</f>
        <v>0</v>
      </c>
      <c r="G109" s="3647" cm="1">
        <f t="array" aca="1" ref="G109" ca="1">INDIRECT("'※ 영업품질 세부데이터'!"&amp;G$1&amp;$W109, TRUE)</f>
        <v>0</v>
      </c>
      <c r="H109" s="3647" cm="1">
        <f t="array" aca="1" ref="H109" ca="1">INDIRECT("'※ 영업품질 세부데이터'!"&amp;H$1&amp;$W109, TRUE)</f>
        <v>0</v>
      </c>
      <c r="I109" s="3647" cm="1">
        <f t="array" aca="1" ref="I109" ca="1">INDIRECT("'※ 영업품질 세부데이터'!"&amp;I$1&amp;$W109, TRUE)</f>
        <v>8</v>
      </c>
      <c r="J109" s="3647" cm="1">
        <f t="array" aca="1" ref="J109" ca="1">INDIRECT("'※ 영업품질 세부데이터'!"&amp;J$1&amp;$W109, TRUE)</f>
        <v>2</v>
      </c>
      <c r="K109" s="3647" cm="1">
        <f t="array" aca="1" ref="K109" ca="1">INDIRECT("'※ 영업품질 세부데이터'!"&amp;K$1&amp;$W109, TRUE)</f>
        <v>2</v>
      </c>
      <c r="L109" s="3647" cm="1">
        <f t="array" aca="1" ref="L109" ca="1">INDIRECT("'※ 영업품질 세부데이터'!"&amp;L$1&amp;$W109, TRUE)</f>
        <v>4</v>
      </c>
      <c r="M109" s="3647" cm="1">
        <f t="array" aca="1" ref="M109" ca="1">INDIRECT("'※ 영업품질 세부데이터'!"&amp;M$1&amp;$W109, TRUE)</f>
        <v>4</v>
      </c>
      <c r="N109" s="3647" cm="1">
        <f t="array" aca="1" ref="N109" ca="1">INDIRECT("'※ 영업품질 세부데이터'!"&amp;N$1&amp;$W109, TRUE)</f>
        <v>0</v>
      </c>
      <c r="O109" s="3647"/>
      <c r="P109" s="3647"/>
      <c r="Q109" s="3647">
        <f ca="1">F109-E109</f>
        <v>0</v>
      </c>
      <c r="R109" s="3648" cm="1">
        <f t="array" aca="1" ref="R109" ca="1">INDIRECT("'※ 영업품질 세부데이터'!"&amp;R$1&amp;$W109, TRUE)</f>
        <v>0</v>
      </c>
      <c r="S109" s="3649" cm="1">
        <f t="array" aca="1" ref="S109" ca="1">INDIRECT("'※ 영업품질 세부데이터'!"&amp;S$1&amp;$W109, TRUE)</f>
        <v>20</v>
      </c>
      <c r="T109" s="3647" cm="1">
        <f t="array" aca="1" ref="T109" ca="1">INDIRECT("'※ 영업품질 세부데이터'!"&amp;T$1&amp;$W109, TRUE)</f>
        <v>-28</v>
      </c>
      <c r="U109" s="3650" cm="1">
        <f t="array" aca="1" ref="U109" ca="1">INDIRECT("'※ 영업품질 세부데이터'!"&amp;U$1&amp;$W109, TRUE)</f>
        <v>2.2222222222222223</v>
      </c>
      <c r="V109" s="3651" cm="1">
        <f t="array" aca="1" ref="V109" ca="1">INDIRECT("'※ 영업품질 세부데이터'!"&amp;V$1&amp;$W109, TRUE)</f>
        <v>-2.2777777777777777</v>
      </c>
      <c r="W109" s="3134">
        <f>ROW('※ 영업품질 세부데이터'!A110)</f>
        <v>110</v>
      </c>
      <c r="X109" s="3468"/>
      <c r="Y109" s="3468"/>
    </row>
    <row r="110" spans="1:25" ht="14.8" customHeight="1" x14ac:dyDescent="0.55000000000000004">
      <c r="A110" s="7490"/>
      <c r="B110" s="3552"/>
      <c r="C110" s="2639" t="s">
        <v>153</v>
      </c>
      <c r="D110" s="3646" cm="1">
        <f t="array" aca="1" ref="D110" ca="1">INDIRECT("'※ 영업품질 세부데이터'!"&amp;D$1&amp;$W110, TRUE)</f>
        <v>14</v>
      </c>
      <c r="E110" s="3647" cm="1">
        <f t="array" aca="1" ref="E110" ca="1">INDIRECT("'※ 영업품질 세부데이터'!"&amp;E$1&amp;$W110, TRUE)</f>
        <v>0</v>
      </c>
      <c r="F110" s="3647" cm="1">
        <f t="array" aca="1" ref="F110" ca="1">INDIRECT("'※ 영업품질 세부데이터'!"&amp;F$1&amp;$W110, TRUE)</f>
        <v>0</v>
      </c>
      <c r="G110" s="3647" cm="1">
        <f t="array" aca="1" ref="G110" ca="1">INDIRECT("'※ 영업품질 세부데이터'!"&amp;G$1&amp;$W110, TRUE)</f>
        <v>0</v>
      </c>
      <c r="H110" s="3647" cm="1">
        <f t="array" aca="1" ref="H110" ca="1">INDIRECT("'※ 영업품질 세부데이터'!"&amp;H$1&amp;$W110, TRUE)</f>
        <v>0</v>
      </c>
      <c r="I110" s="3647" cm="1">
        <f t="array" aca="1" ref="I110" ca="1">INDIRECT("'※ 영업품질 세부데이터'!"&amp;I$1&amp;$W110, TRUE)</f>
        <v>0</v>
      </c>
      <c r="J110" s="3647" cm="1">
        <f t="array" aca="1" ref="J110" ca="1">INDIRECT("'※ 영업품질 세부데이터'!"&amp;J$1&amp;$W110, TRUE)</f>
        <v>0</v>
      </c>
      <c r="K110" s="3647" cm="1">
        <f t="array" aca="1" ref="K110" ca="1">INDIRECT("'※ 영업품질 세부데이터'!"&amp;K$1&amp;$W110, TRUE)</f>
        <v>0</v>
      </c>
      <c r="L110" s="3647" cm="1">
        <f t="array" aca="1" ref="L110" ca="1">INDIRECT("'※ 영업품질 세부데이터'!"&amp;L$1&amp;$W110, TRUE)</f>
        <v>0</v>
      </c>
      <c r="M110" s="3647" cm="1">
        <f t="array" aca="1" ref="M110" ca="1">INDIRECT("'※ 영업품질 세부데이터'!"&amp;M$1&amp;$W110, TRUE)</f>
        <v>0</v>
      </c>
      <c r="N110" s="3647" cm="1">
        <f t="array" aca="1" ref="N110" ca="1">INDIRECT("'※ 영업품질 세부데이터'!"&amp;N$1&amp;$W110, TRUE)</f>
        <v>0</v>
      </c>
      <c r="O110" s="3647"/>
      <c r="P110" s="3647"/>
      <c r="Q110" s="3647">
        <f t="shared" ref="Q110:Q116" ca="1" si="4">F110-E110</f>
        <v>0</v>
      </c>
      <c r="R110" s="3648" cm="1">
        <f t="array" aca="1" ref="R110" ca="1">INDIRECT("'※ 영업품질 세부데이터'!"&amp;R$1&amp;$W110, TRUE)</f>
        <v>0</v>
      </c>
      <c r="S110" s="3649" cm="1">
        <f t="array" aca="1" ref="S110" ca="1">INDIRECT("'※ 영업품질 세부데이터'!"&amp;S$1&amp;$W110, TRUE)</f>
        <v>0</v>
      </c>
      <c r="T110" s="3647" cm="1">
        <f t="array" aca="1" ref="T110" ca="1">INDIRECT("'※ 영업품질 세부데이터'!"&amp;T$1&amp;$W110, TRUE)</f>
        <v>-14</v>
      </c>
      <c r="U110" s="3650" cm="1">
        <f t="array" aca="1" ref="U110" ca="1">INDIRECT("'※ 영업품질 세부데이터'!"&amp;U$1&amp;$W110, TRUE)</f>
        <v>0</v>
      </c>
      <c r="V110" s="3651" cm="1">
        <f t="array" aca="1" ref="V110" ca="1">INDIRECT("'※ 영업품질 세부데이터'!"&amp;V$1&amp;$W110, TRUE)</f>
        <v>-1.2727272727272727</v>
      </c>
      <c r="W110" s="3134">
        <f>ROW('※ 영업품질 세부데이터'!A111)</f>
        <v>111</v>
      </c>
      <c r="X110" s="3468"/>
      <c r="Y110" s="3468"/>
    </row>
    <row r="111" spans="1:25" ht="14.8" customHeight="1" x14ac:dyDescent="0.55000000000000004">
      <c r="A111" s="7490"/>
      <c r="B111" s="3552"/>
      <c r="C111" s="2639" t="s">
        <v>145</v>
      </c>
      <c r="D111" s="3646" cm="1">
        <f t="array" aca="1" ref="D111" ca="1">INDIRECT("'※ 영업품질 세부데이터'!"&amp;D$1&amp;$W111, TRUE)</f>
        <v>138</v>
      </c>
      <c r="E111" s="3647" cm="1">
        <f t="array" aca="1" ref="E111" ca="1">INDIRECT("'※ 영업품질 세부데이터'!"&amp;E$1&amp;$W111, TRUE)</f>
        <v>0</v>
      </c>
      <c r="F111" s="3647" cm="1">
        <f t="array" aca="1" ref="F111" ca="1">INDIRECT("'※ 영업품질 세부데이터'!"&amp;F$1&amp;$W111, TRUE)</f>
        <v>0</v>
      </c>
      <c r="G111" s="3647" cm="1">
        <f t="array" aca="1" ref="G111" ca="1">INDIRECT("'※ 영업품질 세부데이터'!"&amp;G$1&amp;$W111, TRUE)</f>
        <v>0</v>
      </c>
      <c r="H111" s="3647" cm="1">
        <f t="array" aca="1" ref="H111" ca="1">INDIRECT("'※ 영업품질 세부데이터'!"&amp;H$1&amp;$W111, TRUE)</f>
        <v>0</v>
      </c>
      <c r="I111" s="3647" cm="1">
        <f t="array" aca="1" ref="I111" ca="1">INDIRECT("'※ 영업품질 세부데이터'!"&amp;I$1&amp;$W111, TRUE)</f>
        <v>0</v>
      </c>
      <c r="J111" s="3647" cm="1">
        <f t="array" aca="1" ref="J111" ca="1">INDIRECT("'※ 영업품질 세부데이터'!"&amp;J$1&amp;$W111, TRUE)</f>
        <v>0</v>
      </c>
      <c r="K111" s="3647" cm="1">
        <f t="array" aca="1" ref="K111" ca="1">INDIRECT("'※ 영업품질 세부데이터'!"&amp;K$1&amp;$W111, TRUE)</f>
        <v>0</v>
      </c>
      <c r="L111" s="3647" cm="1">
        <f t="array" aca="1" ref="L111" ca="1">INDIRECT("'※ 영업품질 세부데이터'!"&amp;L$1&amp;$W111, TRUE)</f>
        <v>0</v>
      </c>
      <c r="M111" s="3647" cm="1">
        <f t="array" aca="1" ref="M111" ca="1">INDIRECT("'※ 영업품질 세부데이터'!"&amp;M$1&amp;$W111, TRUE)</f>
        <v>0</v>
      </c>
      <c r="N111" s="3647" cm="1">
        <f t="array" aca="1" ref="N111" ca="1">INDIRECT("'※ 영업품질 세부데이터'!"&amp;N$1&amp;$W111, TRUE)</f>
        <v>0</v>
      </c>
      <c r="O111" s="3647"/>
      <c r="P111" s="3647"/>
      <c r="Q111" s="3647">
        <f t="shared" ca="1" si="4"/>
        <v>0</v>
      </c>
      <c r="R111" s="3648" cm="1">
        <f t="array" aca="1" ref="R111" ca="1">INDIRECT("'※ 영업품질 세부데이터'!"&amp;R$1&amp;$W111, TRUE)</f>
        <v>-4</v>
      </c>
      <c r="S111" s="3649" cm="1">
        <f t="array" aca="1" ref="S111" ca="1">INDIRECT("'※ 영업품질 세부데이터'!"&amp;S$1&amp;$W111, TRUE)</f>
        <v>0</v>
      </c>
      <c r="T111" s="3647" cm="1">
        <f t="array" aca="1" ref="T111" ca="1">INDIRECT("'※ 영업품질 세부데이터'!"&amp;T$1&amp;$W111, TRUE)</f>
        <v>-119</v>
      </c>
      <c r="U111" s="3650" cm="1">
        <f t="array" aca="1" ref="U111" ca="1">INDIRECT("'※ 영업품질 세부데이터'!"&amp;U$1&amp;$W111, TRUE)</f>
        <v>0</v>
      </c>
      <c r="V111" s="3651" cm="1">
        <f t="array" aca="1" ref="V111" ca="1">INDIRECT("'※ 영업품질 세부데이터'!"&amp;V$1&amp;$W111, TRUE)</f>
        <v>-11.5</v>
      </c>
      <c r="W111" s="3134">
        <f>ROW('※ 영업품질 세부데이터'!A112)</f>
        <v>112</v>
      </c>
      <c r="X111" s="3468"/>
      <c r="Y111" s="3468"/>
    </row>
    <row r="112" spans="1:25" ht="14.8" customHeight="1" x14ac:dyDescent="0.55000000000000004">
      <c r="A112" s="7490"/>
      <c r="B112" s="3552"/>
      <c r="C112" s="2639" t="s">
        <v>154</v>
      </c>
      <c r="D112" s="3646" cm="1">
        <f t="array" aca="1" ref="D112" ca="1">INDIRECT("'※ 영업품질 세부데이터'!"&amp;D$1&amp;$W112, TRUE)</f>
        <v>11</v>
      </c>
      <c r="E112" s="3647" cm="1">
        <f t="array" aca="1" ref="E112" ca="1">INDIRECT("'※ 영업품질 세부데이터'!"&amp;E$1&amp;$W112, TRUE)</f>
        <v>0</v>
      </c>
      <c r="F112" s="3647" cm="1">
        <f t="array" aca="1" ref="F112" ca="1">INDIRECT("'※ 영업품질 세부데이터'!"&amp;F$1&amp;$W112, TRUE)</f>
        <v>0</v>
      </c>
      <c r="G112" s="3647" cm="1">
        <f t="array" aca="1" ref="G112" ca="1">INDIRECT("'※ 영업품질 세부데이터'!"&amp;G$1&amp;$W112, TRUE)</f>
        <v>0</v>
      </c>
      <c r="H112" s="3647" cm="1">
        <f t="array" aca="1" ref="H112" ca="1">INDIRECT("'※ 영업품질 세부데이터'!"&amp;H$1&amp;$W112, TRUE)</f>
        <v>0</v>
      </c>
      <c r="I112" s="3647" cm="1">
        <f t="array" aca="1" ref="I112" ca="1">INDIRECT("'※ 영업품질 세부데이터'!"&amp;I$1&amp;$W112, TRUE)</f>
        <v>2</v>
      </c>
      <c r="J112" s="3647" cm="1">
        <f t="array" aca="1" ref="J112" ca="1">INDIRECT("'※ 영업품질 세부데이터'!"&amp;J$1&amp;$W112, TRUE)</f>
        <v>6</v>
      </c>
      <c r="K112" s="3647" cm="1">
        <f t="array" aca="1" ref="K112" ca="1">INDIRECT("'※ 영업품질 세부데이터'!"&amp;K$1&amp;$W112, TRUE)</f>
        <v>4</v>
      </c>
      <c r="L112" s="3647" cm="1">
        <f t="array" aca="1" ref="L112" ca="1">INDIRECT("'※ 영업품질 세부데이터'!"&amp;L$1&amp;$W112, TRUE)</f>
        <v>4</v>
      </c>
      <c r="M112" s="3647" cm="1">
        <f t="array" aca="1" ref="M112" ca="1">INDIRECT("'※ 영업품질 세부데이터'!"&amp;M$1&amp;$W112, TRUE)</f>
        <v>8</v>
      </c>
      <c r="N112" s="3647" cm="1">
        <f t="array" aca="1" ref="N112" ca="1">INDIRECT("'※ 영업품질 세부데이터'!"&amp;N$1&amp;$W112, TRUE)</f>
        <v>0</v>
      </c>
      <c r="O112" s="3647"/>
      <c r="P112" s="3647"/>
      <c r="Q112" s="3647">
        <f t="shared" ca="1" si="4"/>
        <v>0</v>
      </c>
      <c r="R112" s="3648" cm="1">
        <f t="array" aca="1" ref="R112" ca="1">INDIRECT("'※ 영업품질 세부데이터'!"&amp;R$1&amp;$W112, TRUE)</f>
        <v>0</v>
      </c>
      <c r="S112" s="3649" cm="1">
        <f t="array" aca="1" ref="S112" ca="1">INDIRECT("'※ 영업품질 세부데이터'!"&amp;S$1&amp;$W112, TRUE)</f>
        <v>24</v>
      </c>
      <c r="T112" s="3647" cm="1">
        <f t="array" aca="1" ref="T112" ca="1">INDIRECT("'※ 영업품질 세부데이터'!"&amp;T$1&amp;$W112, TRUE)</f>
        <v>18</v>
      </c>
      <c r="U112" s="3650" cm="1">
        <f t="array" aca="1" ref="U112" ca="1">INDIRECT("'※ 영업품질 세부데이터'!"&amp;U$1&amp;$W112, TRUE)</f>
        <v>2.6666666666666665</v>
      </c>
      <c r="V112" s="3651" cm="1">
        <f t="array" aca="1" ref="V112" ca="1">INDIRECT("'※ 영업품질 세부데이터'!"&amp;V$1&amp;$W112, TRUE)</f>
        <v>1.75</v>
      </c>
      <c r="W112" s="3134">
        <f>ROW('※ 영업품질 세부데이터'!A113)</f>
        <v>113</v>
      </c>
      <c r="X112" s="3468"/>
      <c r="Y112" s="3468"/>
    </row>
    <row r="113" spans="1:25" ht="14.8" customHeight="1" x14ac:dyDescent="0.55000000000000004">
      <c r="A113" s="7490"/>
      <c r="B113" s="3552"/>
      <c r="C113" s="2639" t="s">
        <v>149</v>
      </c>
      <c r="D113" s="3646" cm="1">
        <f t="array" aca="1" ref="D113" ca="1">INDIRECT("'※ 영업품질 세부데이터'!"&amp;D$1&amp;$W113, TRUE)</f>
        <v>8</v>
      </c>
      <c r="E113" s="3647" cm="1">
        <f t="array" aca="1" ref="E113" ca="1">INDIRECT("'※ 영업품질 세부데이터'!"&amp;E$1&amp;$W113, TRUE)</f>
        <v>0</v>
      </c>
      <c r="F113" s="3647" cm="1">
        <f t="array" aca="1" ref="F113" ca="1">INDIRECT("'※ 영업품질 세부데이터'!"&amp;F$1&amp;$W113, TRUE)</f>
        <v>0</v>
      </c>
      <c r="G113" s="3647" cm="1">
        <f t="array" aca="1" ref="G113" ca="1">INDIRECT("'※ 영업품질 세부데이터'!"&amp;G$1&amp;$W113, TRUE)</f>
        <v>0</v>
      </c>
      <c r="H113" s="3647" cm="1">
        <f t="array" aca="1" ref="H113" ca="1">INDIRECT("'※ 영업품질 세부데이터'!"&amp;H$1&amp;$W113, TRUE)</f>
        <v>0</v>
      </c>
      <c r="I113" s="3647" cm="1">
        <f t="array" aca="1" ref="I113" ca="1">INDIRECT("'※ 영업품질 세부데이터'!"&amp;I$1&amp;$W113, TRUE)</f>
        <v>0</v>
      </c>
      <c r="J113" s="3647" cm="1">
        <f t="array" aca="1" ref="J113" ca="1">INDIRECT("'※ 영업품질 세부데이터'!"&amp;J$1&amp;$W113, TRUE)</f>
        <v>0</v>
      </c>
      <c r="K113" s="3647" cm="1">
        <f t="array" aca="1" ref="K113" ca="1">INDIRECT("'※ 영업품질 세부데이터'!"&amp;K$1&amp;$W113, TRUE)</f>
        <v>0</v>
      </c>
      <c r="L113" s="3647" cm="1">
        <f t="array" aca="1" ref="L113" ca="1">INDIRECT("'※ 영업품질 세부데이터'!"&amp;L$1&amp;$W113, TRUE)</f>
        <v>0</v>
      </c>
      <c r="M113" s="3647" cm="1">
        <f t="array" aca="1" ref="M113" ca="1">INDIRECT("'※ 영업품질 세부데이터'!"&amp;M$1&amp;$W113, TRUE)</f>
        <v>0</v>
      </c>
      <c r="N113" s="3647" cm="1">
        <f t="array" aca="1" ref="N113" ca="1">INDIRECT("'※ 영업품질 세부데이터'!"&amp;N$1&amp;$W113, TRUE)</f>
        <v>0</v>
      </c>
      <c r="O113" s="3647"/>
      <c r="P113" s="3647"/>
      <c r="Q113" s="3647">
        <f t="shared" ca="1" si="4"/>
        <v>0</v>
      </c>
      <c r="R113" s="3648" cm="1">
        <f t="array" aca="1" ref="R113" ca="1">INDIRECT("'※ 영업품질 세부데이터'!"&amp;R$1&amp;$W113, TRUE)</f>
        <v>0</v>
      </c>
      <c r="S113" s="3649" cm="1">
        <f t="array" aca="1" ref="S113" ca="1">INDIRECT("'※ 영업품질 세부데이터'!"&amp;S$1&amp;$W113, TRUE)</f>
        <v>0</v>
      </c>
      <c r="T113" s="3647" cm="1">
        <f t="array" aca="1" ref="T113" ca="1">INDIRECT("'※ 영업품질 세부데이터'!"&amp;T$1&amp;$W113, TRUE)</f>
        <v>-8</v>
      </c>
      <c r="U113" s="3650" cm="1">
        <f t="array" aca="1" ref="U113" ca="1">INDIRECT("'※ 영업품질 세부데이터'!"&amp;U$1&amp;$W113, TRUE)</f>
        <v>0</v>
      </c>
      <c r="V113" s="3651" cm="1">
        <f t="array" aca="1" ref="V113" ca="1">INDIRECT("'※ 영업품질 세부데이터'!"&amp;V$1&amp;$W113, TRUE)</f>
        <v>-0.66666666666666663</v>
      </c>
      <c r="W113" s="3134">
        <f>ROW('※ 영업품질 세부데이터'!A114)</f>
        <v>114</v>
      </c>
      <c r="X113" s="3468"/>
      <c r="Y113" s="3468"/>
    </row>
    <row r="114" spans="1:25" ht="14.8" customHeight="1" x14ac:dyDescent="0.55000000000000004">
      <c r="A114" s="7490"/>
      <c r="B114" s="3552"/>
      <c r="C114" s="2639" t="s">
        <v>155</v>
      </c>
      <c r="D114" s="3646" cm="1">
        <f t="array" aca="1" ref="D114" ca="1">INDIRECT("'※ 영업품질 세부데이터'!"&amp;D$1&amp;$W114, TRUE)</f>
        <v>18</v>
      </c>
      <c r="E114" s="3647" cm="1">
        <f t="array" aca="1" ref="E114" ca="1">INDIRECT("'※ 영업품질 세부데이터'!"&amp;E$1&amp;$W114, TRUE)</f>
        <v>0</v>
      </c>
      <c r="F114" s="3647" cm="1">
        <f t="array" aca="1" ref="F114" ca="1">INDIRECT("'※ 영업품질 세부데이터'!"&amp;F$1&amp;$W114, TRUE)</f>
        <v>0</v>
      </c>
      <c r="G114" s="3647" cm="1">
        <f t="array" aca="1" ref="G114" ca="1">INDIRECT("'※ 영업품질 세부데이터'!"&amp;G$1&amp;$W114, TRUE)</f>
        <v>0</v>
      </c>
      <c r="H114" s="3647" cm="1">
        <f t="array" aca="1" ref="H114" ca="1">INDIRECT("'※ 영업품질 세부데이터'!"&amp;H$1&amp;$W114, TRUE)</f>
        <v>0</v>
      </c>
      <c r="I114" s="3647" cm="1">
        <f t="array" aca="1" ref="I114" ca="1">INDIRECT("'※ 영업품질 세부데이터'!"&amp;I$1&amp;$W114, TRUE)</f>
        <v>0</v>
      </c>
      <c r="J114" s="3647" cm="1">
        <f t="array" aca="1" ref="J114" ca="1">INDIRECT("'※ 영업품질 세부데이터'!"&amp;J$1&amp;$W114, TRUE)</f>
        <v>0</v>
      </c>
      <c r="K114" s="3647" cm="1">
        <f t="array" aca="1" ref="K114" ca="1">INDIRECT("'※ 영업품질 세부데이터'!"&amp;K$1&amp;$W114, TRUE)</f>
        <v>0</v>
      </c>
      <c r="L114" s="3647" cm="1">
        <f t="array" aca="1" ref="L114" ca="1">INDIRECT("'※ 영업품질 세부데이터'!"&amp;L$1&amp;$W114, TRUE)</f>
        <v>0</v>
      </c>
      <c r="M114" s="3647" cm="1">
        <f t="array" aca="1" ref="M114" ca="1">INDIRECT("'※ 영업품질 세부데이터'!"&amp;M$1&amp;$W114, TRUE)</f>
        <v>0</v>
      </c>
      <c r="N114" s="3647" cm="1">
        <f t="array" aca="1" ref="N114" ca="1">INDIRECT("'※ 영업품질 세부데이터'!"&amp;N$1&amp;$W114, TRUE)</f>
        <v>0</v>
      </c>
      <c r="O114" s="3647"/>
      <c r="P114" s="3647"/>
      <c r="Q114" s="3647">
        <f t="shared" ca="1" si="4"/>
        <v>0</v>
      </c>
      <c r="R114" s="3648" cm="1">
        <f t="array" aca="1" ref="R114" ca="1">INDIRECT("'※ 영업품질 세부데이터'!"&amp;R$1&amp;$W114, TRUE)</f>
        <v>0</v>
      </c>
      <c r="S114" s="3649" cm="1">
        <f t="array" aca="1" ref="S114" ca="1">INDIRECT("'※ 영업품질 세부데이터'!"&amp;S$1&amp;$W114, TRUE)</f>
        <v>0</v>
      </c>
      <c r="T114" s="3647" cm="1">
        <f t="array" aca="1" ref="T114" ca="1">INDIRECT("'※ 영업품질 세부데이터'!"&amp;T$1&amp;$W114, TRUE)</f>
        <v>-16</v>
      </c>
      <c r="U114" s="3650" cm="1">
        <f t="array" aca="1" ref="U114" ca="1">INDIRECT("'※ 영업품질 세부데이터'!"&amp;U$1&amp;$W114, TRUE)</f>
        <v>0</v>
      </c>
      <c r="V114" s="3651" cm="1">
        <f t="array" aca="1" ref="V114" ca="1">INDIRECT("'※ 영업품질 세부데이터'!"&amp;V$1&amp;$W114, TRUE)</f>
        <v>-1.5</v>
      </c>
      <c r="W114" s="3134">
        <f>ROW('※ 영업품질 세부데이터'!A115)</f>
        <v>115</v>
      </c>
      <c r="X114" s="3468"/>
      <c r="Y114" s="3468"/>
    </row>
    <row r="115" spans="1:25" ht="14.8" customHeight="1" x14ac:dyDescent="0.55000000000000004">
      <c r="A115" s="7490"/>
      <c r="B115" s="3552"/>
      <c r="C115" s="2639" t="s">
        <v>151</v>
      </c>
      <c r="D115" s="3646" cm="1">
        <f t="array" aca="1" ref="D115" ca="1">INDIRECT("'※ 영업품질 세부데이터'!"&amp;D$1&amp;$W115, TRUE)</f>
        <v>60</v>
      </c>
      <c r="E115" s="3647" cm="1">
        <f t="array" aca="1" ref="E115" ca="1">INDIRECT("'※ 영업품질 세부데이터'!"&amp;E$1&amp;$W115, TRUE)</f>
        <v>0</v>
      </c>
      <c r="F115" s="3647" cm="1">
        <f t="array" aca="1" ref="F115" ca="1">INDIRECT("'※ 영업품질 세부데이터'!"&amp;F$1&amp;$W115, TRUE)</f>
        <v>0</v>
      </c>
      <c r="G115" s="3647" cm="1">
        <f t="array" aca="1" ref="G115" ca="1">INDIRECT("'※ 영업품질 세부데이터'!"&amp;G$1&amp;$W115, TRUE)</f>
        <v>0</v>
      </c>
      <c r="H115" s="3647" cm="1">
        <f t="array" aca="1" ref="H115" ca="1">INDIRECT("'※ 영업품질 세부데이터'!"&amp;H$1&amp;$W115, TRUE)</f>
        <v>0</v>
      </c>
      <c r="I115" s="3647" cm="1">
        <f t="array" aca="1" ref="I115" ca="1">INDIRECT("'※ 영업품질 세부데이터'!"&amp;I$1&amp;$W115, TRUE)</f>
        <v>2</v>
      </c>
      <c r="J115" s="3647" cm="1">
        <f t="array" aca="1" ref="J115" ca="1">INDIRECT("'※ 영업품질 세부데이터'!"&amp;J$1&amp;$W115, TRUE)</f>
        <v>0</v>
      </c>
      <c r="K115" s="3647" cm="1">
        <f t="array" aca="1" ref="K115" ca="1">INDIRECT("'※ 영업품질 세부데이터'!"&amp;K$1&amp;$W115, TRUE)</f>
        <v>4</v>
      </c>
      <c r="L115" s="3647" cm="1">
        <f t="array" aca="1" ref="L115" ca="1">INDIRECT("'※ 영업품질 세부데이터'!"&amp;L$1&amp;$W115, TRUE)</f>
        <v>4</v>
      </c>
      <c r="M115" s="3647" cm="1">
        <f t="array" aca="1" ref="M115" ca="1">INDIRECT("'※ 영업품질 세부데이터'!"&amp;M$1&amp;$W115, TRUE)</f>
        <v>0</v>
      </c>
      <c r="N115" s="3647" cm="1">
        <f t="array" aca="1" ref="N115" ca="1">INDIRECT("'※ 영업품질 세부데이터'!"&amp;N$1&amp;$W115, TRUE)</f>
        <v>0</v>
      </c>
      <c r="O115" s="3647"/>
      <c r="P115" s="3647"/>
      <c r="Q115" s="3647">
        <f t="shared" ca="1" si="4"/>
        <v>0</v>
      </c>
      <c r="R115" s="3648" cm="1">
        <f t="array" aca="1" ref="R115" ca="1">INDIRECT("'※ 영업품질 세부데이터'!"&amp;R$1&amp;$W115, TRUE)</f>
        <v>0</v>
      </c>
      <c r="S115" s="3649" cm="1">
        <f t="array" aca="1" ref="S115" ca="1">INDIRECT("'※ 영업품질 세부데이터'!"&amp;S$1&amp;$W115, TRUE)</f>
        <v>10</v>
      </c>
      <c r="T115" s="3647" cm="1">
        <f t="array" aca="1" ref="T115" ca="1">INDIRECT("'※ 영업품질 세부데이터'!"&amp;T$1&amp;$W115, TRUE)</f>
        <v>-48</v>
      </c>
      <c r="U115" s="3650" cm="1">
        <f t="array" aca="1" ref="U115" ca="1">INDIRECT("'※ 영업품질 세부데이터'!"&amp;U$1&amp;$W115, TRUE)</f>
        <v>1.25</v>
      </c>
      <c r="V115" s="3651" cm="1">
        <f t="array" aca="1" ref="V115" ca="1">INDIRECT("'※ 영업품질 세부데이터'!"&amp;V$1&amp;$W115, TRUE)</f>
        <v>-3.75</v>
      </c>
      <c r="W115" s="3134">
        <f>ROW('※ 영업품질 세부데이터'!A116)</f>
        <v>116</v>
      </c>
      <c r="X115" s="3468"/>
      <c r="Y115" s="3468"/>
    </row>
    <row r="116" spans="1:25" ht="14.8" customHeight="1" x14ac:dyDescent="0.55000000000000004">
      <c r="A116" s="7490"/>
      <c r="B116" s="3560"/>
      <c r="C116" s="3561" t="s">
        <v>152</v>
      </c>
      <c r="D116" s="3652" cm="1">
        <f t="array" aca="1" ref="D116" ca="1">INDIRECT("'※ 영업품질 세부데이터'!"&amp;D$1&amp;$W116, TRUE)</f>
        <v>35</v>
      </c>
      <c r="E116" s="3653" cm="1">
        <f t="array" aca="1" ref="E116" ca="1">INDIRECT("'※ 영업품질 세부데이터'!"&amp;E$1&amp;$W116, TRUE)</f>
        <v>0</v>
      </c>
      <c r="F116" s="3653" cm="1">
        <f t="array" aca="1" ref="F116" ca="1">INDIRECT("'※ 영업품질 세부데이터'!"&amp;F$1&amp;$W116, TRUE)</f>
        <v>0</v>
      </c>
      <c r="G116" s="3653" cm="1">
        <f t="array" aca="1" ref="G116" ca="1">INDIRECT("'※ 영업품질 세부데이터'!"&amp;G$1&amp;$W116, TRUE)</f>
        <v>0</v>
      </c>
      <c r="H116" s="3653" cm="1">
        <f t="array" aca="1" ref="H116" ca="1">INDIRECT("'※ 영업품질 세부데이터'!"&amp;H$1&amp;$W116, TRUE)</f>
        <v>0</v>
      </c>
      <c r="I116" s="3653" cm="1">
        <f t="array" aca="1" ref="I116" ca="1">INDIRECT("'※ 영업품질 세부데이터'!"&amp;I$1&amp;$W116, TRUE)</f>
        <v>4</v>
      </c>
      <c r="J116" s="3653" cm="1">
        <f t="array" aca="1" ref="J116" ca="1">INDIRECT("'※ 영업품질 세부데이터'!"&amp;J$1&amp;$W116, TRUE)</f>
        <v>4</v>
      </c>
      <c r="K116" s="3653" cm="1">
        <f t="array" aca="1" ref="K116" ca="1">INDIRECT("'※ 영업품질 세부데이터'!"&amp;K$1&amp;$W116, TRUE)</f>
        <v>9</v>
      </c>
      <c r="L116" s="3653" cm="1">
        <f t="array" aca="1" ref="L116" ca="1">INDIRECT("'※ 영업품질 세부데이터'!"&amp;L$1&amp;$W116, TRUE)</f>
        <v>0</v>
      </c>
      <c r="M116" s="3653" cm="1">
        <f t="array" aca="1" ref="M116" ca="1">INDIRECT("'※ 영업품질 세부데이터'!"&amp;M$1&amp;$W116, TRUE)</f>
        <v>0</v>
      </c>
      <c r="N116" s="3653" cm="1">
        <f t="array" aca="1" ref="N116" ca="1">INDIRECT("'※ 영업품질 세부데이터'!"&amp;N$1&amp;$W116, TRUE)</f>
        <v>2</v>
      </c>
      <c r="O116" s="3653"/>
      <c r="P116" s="3653"/>
      <c r="Q116" s="3653">
        <f t="shared" ca="1" si="4"/>
        <v>0</v>
      </c>
      <c r="R116" s="3654" cm="1">
        <f t="array" aca="1" ref="R116" ca="1">INDIRECT("'※ 영업품질 세부데이터'!"&amp;R$1&amp;$W116, TRUE)</f>
        <v>-2</v>
      </c>
      <c r="S116" s="3655" cm="1">
        <f t="array" aca="1" ref="S116" ca="1">INDIRECT("'※ 영업품질 세부데이터'!"&amp;S$1&amp;$W116, TRUE)</f>
        <v>19</v>
      </c>
      <c r="T116" s="3653" cm="1">
        <f t="array" aca="1" ref="T116" ca="1">INDIRECT("'※ 영업품질 세부데이터'!"&amp;T$1&amp;$W116, TRUE)</f>
        <v>0</v>
      </c>
      <c r="U116" s="3656" cm="1">
        <f t="array" aca="1" ref="U116" ca="1">INDIRECT("'※ 영업품질 세부데이터'!"&amp;U$1&amp;$W116, TRUE)</f>
        <v>2.375</v>
      </c>
      <c r="V116" s="3657" cm="1">
        <f t="array" aca="1" ref="V116" ca="1">INDIRECT("'※ 영업품질 세부데이터'!"&amp;V$1&amp;$W116, TRUE)</f>
        <v>-0.54166666666666652</v>
      </c>
      <c r="W116" s="3134">
        <f>ROW('※ 영업품질 세부데이터'!A117)</f>
        <v>117</v>
      </c>
      <c r="X116" s="3468"/>
      <c r="Y116" s="3468"/>
    </row>
    <row r="117" spans="1:25" ht="14.8" customHeight="1" x14ac:dyDescent="0.55000000000000004">
      <c r="A117" s="7490"/>
      <c r="B117" s="7495" t="s">
        <v>566</v>
      </c>
      <c r="C117" s="7496"/>
      <c r="D117" s="3665" cm="1">
        <f t="array" aca="1" ref="D117" ca="1">INDIRECT("'※ 영업품질 세부데이터'!"&amp;D$1&amp;$W117, TRUE)</f>
        <v>2.4198244751742286E-3</v>
      </c>
      <c r="E117" s="3666" cm="1">
        <f t="array" aca="1" ref="E117" ca="1">INDIRECT("'※ 영업품질 세부데이터'!"&amp;E$1&amp;$W117, TRUE)</f>
        <v>3.7476367012723127E-3</v>
      </c>
      <c r="F117" s="3666" cm="1">
        <f t="array" aca="1" ref="F117" ca="1">INDIRECT("'※ 영업품질 세부데이터'!"&amp;F$1&amp;$W117, TRUE)</f>
        <v>3.154466747608619E-3</v>
      </c>
      <c r="G117" s="3666" cm="1">
        <f t="array" aca="1" ref="G117" ca="1">INDIRECT("'※ 영업품질 세부데이터'!"&amp;G$1&amp;$W117, TRUE)</f>
        <v>1.8683264357328294E-3</v>
      </c>
      <c r="H117" s="3666" cm="1">
        <f t="array" aca="1" ref="H117" ca="1">INDIRECT("'※ 영업품질 세부데이터'!"&amp;H$1&amp;$W117, TRUE)</f>
        <v>7.2802912116484665E-4</v>
      </c>
      <c r="I117" s="3666" cm="1">
        <f t="array" aca="1" ref="I117" ca="1">INDIRECT("'※ 영업품질 세부데이터'!"&amp;I$1&amp;$W117, TRUE)</f>
        <v>1.5300153001530014E-3</v>
      </c>
      <c r="J117" s="3666" cm="1">
        <f t="array" aca="1" ref="J117" ca="1">INDIRECT("'※ 영업품질 세부데이터'!"&amp;J$1&amp;$W117, TRUE)</f>
        <v>3.0010326133723432E-3</v>
      </c>
      <c r="K117" s="3666" cm="1">
        <f t="array" aca="1" ref="K117" ca="1">INDIRECT("'※ 영업품질 세부데이터'!"&amp;K$1&amp;$W117, TRUE)</f>
        <v>1.9212714267739094E-3</v>
      </c>
      <c r="L117" s="3666" cm="1">
        <f t="array" aca="1" ref="L117" ca="1">INDIRECT("'※ 영업품질 세부데이터'!"&amp;L$1&amp;$W117, TRUE)</f>
        <v>1.367678589559058E-3</v>
      </c>
      <c r="M117" s="3666" cm="1">
        <f t="array" aca="1" ref="M117" ca="1">INDIRECT("'※ 영업품질 세부데이터'!"&amp;M$1&amp;$W117, TRUE)</f>
        <v>2.2647000152544563E-3</v>
      </c>
      <c r="N117" s="3666" cm="1">
        <f t="array" aca="1" ref="N117" ca="1">INDIRECT("'※ 영업품질 세부데이터'!"&amp;N$1&amp;$W117, TRUE)</f>
        <v>2.5790474626824831E-3</v>
      </c>
      <c r="O117" s="3666"/>
      <c r="P117" s="3666"/>
      <c r="Q117" s="3667">
        <f ca="1">F117-E117</f>
        <v>-5.9316995366369375E-4</v>
      </c>
      <c r="R117" s="3668" cm="1">
        <f t="array" aca="1" ref="R117" ca="1">INDIRECT("'※ 영업품질 세부데이터'!"&amp;R$1&amp;$W117, TRUE)</f>
        <v>-1.9248195481673593E-3</v>
      </c>
      <c r="S117" s="3669" cm="1">
        <f t="array" aca="1" ref="S117" ca="1">INDIRECT("'※ 영업품질 세부데이터'!"&amp;S$1&amp;$W117, TRUE)</f>
        <v>2.2162204413573861E-3</v>
      </c>
      <c r="T117" s="3667" cm="1">
        <f t="array" aca="1" ref="T117" ca="1">INDIRECT("'※ 영업품질 세부데이터'!"&amp;T$1&amp;$W117, TRUE)</f>
        <v>-1.78624182265248E-2</v>
      </c>
      <c r="U117" s="3670" cm="1">
        <f t="array" aca="1" ref="U117" ca="1">INDIRECT("'※ 영업품질 세부데이터'!"&amp;U$1&amp;$W117, TRUE)</f>
        <v>2.2162204413573861E-3</v>
      </c>
      <c r="V117" s="3671" cm="1">
        <f t="array" aca="1" ref="V117" ca="1">INDIRECT("'※ 영업품질 세부데이터'!"&amp;V$1&amp;$W117, TRUE)</f>
        <v>-2.0360403381684258E-4</v>
      </c>
      <c r="W117" s="3002">
        <f>ROW('※ 영업품질 세부데이터'!A118)</f>
        <v>118</v>
      </c>
    </row>
    <row r="118" spans="1:25" ht="14.8" customHeight="1" thickBot="1" x14ac:dyDescent="0.6">
      <c r="A118" s="7491"/>
      <c r="B118" s="7497" t="s">
        <v>567</v>
      </c>
      <c r="C118" s="7498"/>
      <c r="D118" s="3672" cm="1">
        <f t="array" aca="1" ref="D118" ca="1">INDIRECT("'※ 영업품질 세부데이터'!"&amp;D$1&amp;$W118, TRUE)</f>
        <v>6.2387666633286149E-3</v>
      </c>
      <c r="E118" s="3673" cm="1">
        <f t="array" aca="1" ref="E118" ca="1">INDIRECT("'※ 영업품질 세부데이터'!"&amp;E$1&amp;$W118, TRUE)</f>
        <v>2.442488575072566E-3</v>
      </c>
      <c r="F118" s="3673" cm="1">
        <f t="array" aca="1" ref="F118" ca="1">INDIRECT("'※ 영업품질 세부데이터'!"&amp;F$1&amp;$W118, TRUE)</f>
        <v>2.8553854691401497E-3</v>
      </c>
      <c r="G118" s="3673" cm="1">
        <f t="array" aca="1" ref="G118" ca="1">INDIRECT("'※ 영업품질 세부데이터'!"&amp;G$1&amp;$W118, TRUE)</f>
        <v>2.3645988588558908E-3</v>
      </c>
      <c r="H118" s="3673" cm="1">
        <f t="array" aca="1" ref="H118" ca="1">INDIRECT("'※ 영업품질 세부데이터'!"&amp;H$1&amp;$W118, TRUE)</f>
        <v>1.5562611913676008E-3</v>
      </c>
      <c r="I118" s="3673" cm="1">
        <f t="array" aca="1" ref="I118" ca="1">INDIRECT("'※ 영업품질 세부데이터'!"&amp;I$1&amp;$W118, TRUE)</f>
        <v>1.5562611913676008E-3</v>
      </c>
      <c r="J118" s="3673" cm="1">
        <f t="array" aca="1" ref="J118" ca="1">INDIRECT("'※ 영업품질 세부데이터'!"&amp;J$1&amp;$W118, TRUE)</f>
        <v>3.0900690815429113E-3</v>
      </c>
      <c r="K118" s="3673" cm="1">
        <f t="array" aca="1" ref="K118" ca="1">INDIRECT("'※ 영업품질 세부데이터'!"&amp;K$1&amp;$W118, TRUE)</f>
        <v>1.4843700924383511E-3</v>
      </c>
      <c r="L118" s="3673" cm="1">
        <f t="array" aca="1" ref="L118" ca="1">INDIRECT("'※ 영업품질 세부데이터'!"&amp;L$1&amp;$W118, TRUE)</f>
        <v>1.4843700924383511E-3</v>
      </c>
      <c r="M118" s="3673" cm="1">
        <f t="array" aca="1" ref="M118" ca="1">INDIRECT("'※ 영업품질 세부데이터'!"&amp;M$1&amp;$W118, TRUE)</f>
        <v>4.9189044639342192E-3</v>
      </c>
      <c r="N118" s="3673" cm="1">
        <f t="array" aca="1" ref="N118" ca="1">INDIRECT("'※ 영업품질 세부데이터'!"&amp;N$1&amp;$W118, TRUE)</f>
        <v>2.0518433027765198E-3</v>
      </c>
      <c r="O118" s="3673"/>
      <c r="P118" s="3673"/>
      <c r="Q118" s="3673">
        <f ca="1">F118-E118</f>
        <v>4.1289689406758369E-4</v>
      </c>
      <c r="R118" s="3674" cm="1">
        <f t="array" aca="1" ref="R118" ca="1">INDIRECT("'※ 영업품질 세부데이터'!"&amp;R$1&amp;$W118, TRUE)</f>
        <v>-4.8301115515354239E-3</v>
      </c>
      <c r="S118" s="3675" cm="1">
        <f t="array" aca="1" ref="S118" ca="1">INDIRECT("'※ 영업품질 세부데이터'!"&amp;S$1&amp;$W118, TRUE)</f>
        <v>2.380455231893416E-3</v>
      </c>
      <c r="T118" s="3673" cm="1">
        <f t="array" aca="1" ref="T118" ca="1">INDIRECT("'※ 영업품질 세부데이터'!"&amp;T$1&amp;$W118, TRUE)</f>
        <v>-5.7560523430853154E-2</v>
      </c>
      <c r="U118" s="3676" cm="1">
        <f t="array" aca="1" ref="U118" ca="1">INDIRECT("'※ 영업품질 세부데이터'!"&amp;U$1&amp;$W118, TRUE)</f>
        <v>2.380455231893416E-3</v>
      </c>
      <c r="V118" s="3677" cm="1">
        <f t="array" aca="1" ref="V118" ca="1">INDIRECT("'※ 영업품질 세부데이터'!"&amp;V$1&amp;$W118, TRUE)</f>
        <v>-3.8583114314351989E-3</v>
      </c>
      <c r="W118" s="3002">
        <f>ROW('※ 영업품질 세부데이터'!A119)</f>
        <v>119</v>
      </c>
    </row>
    <row r="119" spans="1:25" ht="14.8" customHeight="1" x14ac:dyDescent="0.55000000000000004">
      <c r="A119" s="2441" t="s">
        <v>647</v>
      </c>
    </row>
  </sheetData>
  <mergeCells count="14">
    <mergeCell ref="A3:V3"/>
    <mergeCell ref="A33:A58"/>
    <mergeCell ref="A7:A31"/>
    <mergeCell ref="A60:A118"/>
    <mergeCell ref="S5:V5"/>
    <mergeCell ref="B88:B90"/>
    <mergeCell ref="B117:C117"/>
    <mergeCell ref="B118:C118"/>
    <mergeCell ref="B30:C30"/>
    <mergeCell ref="B31:C31"/>
    <mergeCell ref="B56:B58"/>
    <mergeCell ref="A6:C6"/>
    <mergeCell ref="E5:R5"/>
    <mergeCell ref="P34:P3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7" fitToHeight="0" orientation="landscape" r:id="rId1"/>
  <headerFooter scaleWithDoc="0">
    <oddFooter>&amp;R&amp;"-,기울임꼴"&amp;8&amp;P &amp; 페이지</oddFooter>
  </headerFooter>
  <rowBreaks count="1" manualBreakCount="1">
    <brk id="59" max="16383" man="1"/>
  </rowBreaks>
  <ignoredErrors>
    <ignoredError sqref="Q60:Q61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7B1B-9AE5-4155-BA39-ADF140011524}">
  <sheetPr codeName="Sheet26">
    <tabColor theme="9" tint="0.79998168889431442"/>
    <pageSetUpPr fitToPage="1"/>
  </sheetPr>
  <dimension ref="A1:AZ57"/>
  <sheetViews>
    <sheetView showGridLines="0" zoomScale="40" zoomScaleNormal="40" workbookViewId="0">
      <pane xSplit="3" topLeftCell="L1" activePane="topRight" state="frozen"/>
      <selection activeCell="AD11" sqref="AD11"/>
      <selection pane="topRight" activeCell="AK31" sqref="AK31"/>
    </sheetView>
  </sheetViews>
  <sheetFormatPr defaultRowHeight="17.600000000000001" outlineLevelCol="1" x14ac:dyDescent="0.55000000000000004"/>
  <cols>
    <col min="1" max="1" width="14.42578125" customWidth="1"/>
    <col min="2" max="2" width="16.2109375" customWidth="1"/>
    <col min="3" max="3" width="17.0703125" customWidth="1"/>
    <col min="4" max="15" width="9.5703125" customWidth="1" outlineLevel="1"/>
    <col min="16" max="16" width="10.5" customWidth="1"/>
    <col min="17" max="17" width="9.5703125" customWidth="1"/>
    <col min="18" max="18" width="5.7109375" style="892" customWidth="1"/>
    <col min="19" max="19" width="9.5" customWidth="1" outlineLevel="1"/>
    <col min="20" max="26" width="9.35546875" customWidth="1" outlineLevel="1"/>
    <col min="27" max="29" width="10.0703125" customWidth="1" outlineLevel="1"/>
    <col min="30" max="30" width="10.7109375" customWidth="1" outlineLevel="1"/>
    <col min="31" max="31" width="11.2109375" customWidth="1"/>
    <col min="32" max="32" width="11.92578125" customWidth="1"/>
    <col min="33" max="33" width="8.42578125" style="892" customWidth="1"/>
    <col min="34" max="34" width="9.5" customWidth="1" outlineLevel="1"/>
    <col min="35" max="41" width="9.35546875" customWidth="1" outlineLevel="1"/>
    <col min="42" max="42" width="10.0703125" customWidth="1" outlineLevel="1"/>
    <col min="43" max="43" width="10.140625" customWidth="1" outlineLevel="1"/>
    <col min="44" max="44" width="10.0703125" customWidth="1" outlineLevel="1"/>
    <col min="45" max="45" width="10.7109375" customWidth="1" outlineLevel="1"/>
    <col min="46" max="47" width="11.2109375" customWidth="1"/>
    <col min="48" max="48" width="8.42578125" style="892" customWidth="1"/>
    <col min="49" max="49" width="13" customWidth="1"/>
    <col min="50" max="50" width="15.7109375" customWidth="1"/>
    <col min="51" max="51" width="22.7109375" customWidth="1"/>
    <col min="52" max="52" width="8.640625" customWidth="1"/>
  </cols>
  <sheetData>
    <row r="1" spans="1:52" x14ac:dyDescent="0.55000000000000004">
      <c r="A1" s="196">
        <f>'2-(1) 수수료 기준_가입자(무선)'!A1</f>
        <v>12.000999999999999</v>
      </c>
      <c r="B1" s="2366">
        <f>'※ 영업품질 세부데이터'!B1</f>
        <v>11.000999999999999</v>
      </c>
      <c r="AY1" s="318" t="s">
        <v>473</v>
      </c>
    </row>
    <row r="2" spans="1:52" ht="18" thickBot="1" x14ac:dyDescent="0.6">
      <c r="D2" s="1436">
        <v>1.0009999999999999</v>
      </c>
      <c r="E2" s="1436">
        <v>2.0009999999999999</v>
      </c>
      <c r="F2" s="1436">
        <v>3.0009999999999999</v>
      </c>
      <c r="G2" s="1436">
        <v>4.0010000000000003</v>
      </c>
      <c r="H2" s="1436">
        <v>5.0010000000000003</v>
      </c>
      <c r="I2" s="1436">
        <v>6.0010000000000003</v>
      </c>
      <c r="J2" s="1436">
        <v>7.0010000000000003</v>
      </c>
      <c r="K2" s="1436">
        <v>8.0009999999999994</v>
      </c>
      <c r="L2" s="1436">
        <v>9.0009999999999994</v>
      </c>
      <c r="M2" s="1436">
        <v>10.000999999999999</v>
      </c>
      <c r="N2" s="1436">
        <v>11.000999999999999</v>
      </c>
      <c r="O2" s="1436">
        <v>12.000999999999999</v>
      </c>
      <c r="S2" s="1436">
        <v>1.0009999999999999</v>
      </c>
      <c r="T2" s="1436">
        <v>2.0009999999999999</v>
      </c>
      <c r="U2" s="1436">
        <v>3.0009999999999999</v>
      </c>
      <c r="V2" s="1436">
        <v>4.0010000000000003</v>
      </c>
      <c r="W2" s="1436">
        <v>5.0010000000000003</v>
      </c>
      <c r="X2" s="1436">
        <v>6.0010000000000003</v>
      </c>
      <c r="Y2" s="1436">
        <v>7.0010000000000003</v>
      </c>
      <c r="Z2" s="1436">
        <v>8.0009999999999994</v>
      </c>
      <c r="AA2" s="1436">
        <v>9.0009999999999994</v>
      </c>
      <c r="AB2" s="1436">
        <v>10.000999999999999</v>
      </c>
      <c r="AC2" s="1436">
        <v>11.000999999999999</v>
      </c>
      <c r="AD2" s="1436">
        <v>12.000999999999999</v>
      </c>
      <c r="AH2" s="782">
        <v>1.0009999999999999</v>
      </c>
      <c r="AI2" s="782">
        <v>2.0009999999999999</v>
      </c>
      <c r="AJ2" s="782">
        <v>3.0009999999999999</v>
      </c>
      <c r="AK2" s="782">
        <v>4.0010000000000003</v>
      </c>
      <c r="AL2" s="782">
        <v>5.0010000000000003</v>
      </c>
      <c r="AM2" s="782">
        <v>6.0010000000000003</v>
      </c>
      <c r="AN2" s="782">
        <v>7.0010000000000003</v>
      </c>
      <c r="AO2" s="782">
        <v>8.0009999999999994</v>
      </c>
      <c r="AP2" s="782">
        <v>9.0009999999999994</v>
      </c>
      <c r="AQ2" s="782">
        <v>10.000999999999999</v>
      </c>
      <c r="AR2" s="782">
        <v>11.000999999999999</v>
      </c>
      <c r="AS2" s="782">
        <v>12.000999999999999</v>
      </c>
      <c r="AY2" s="1029" t="s">
        <v>1193</v>
      </c>
    </row>
    <row r="3" spans="1:52" ht="18" thickBot="1" x14ac:dyDescent="0.6">
      <c r="D3" s="1282" t="s">
        <v>666</v>
      </c>
      <c r="E3" s="1282" t="s">
        <v>667</v>
      </c>
      <c r="F3" s="1282" t="s">
        <v>668</v>
      </c>
      <c r="G3" s="1282" t="s">
        <v>669</v>
      </c>
      <c r="H3" s="1282" t="s">
        <v>670</v>
      </c>
      <c r="I3" s="1282" t="s">
        <v>671</v>
      </c>
      <c r="J3" s="1282" t="s">
        <v>672</v>
      </c>
      <c r="K3" s="1282" t="s">
        <v>673</v>
      </c>
      <c r="L3" s="1282" t="s">
        <v>674</v>
      </c>
      <c r="M3" s="1282" t="s">
        <v>675</v>
      </c>
      <c r="N3" s="1282" t="s">
        <v>676</v>
      </c>
      <c r="O3" s="1282" t="s">
        <v>677</v>
      </c>
      <c r="P3" s="1282" t="s">
        <v>412</v>
      </c>
      <c r="Q3" s="1282" t="s">
        <v>655</v>
      </c>
      <c r="R3" s="892" t="s">
        <v>1083</v>
      </c>
      <c r="S3" s="1283" t="s">
        <v>2</v>
      </c>
      <c r="T3" s="1283" t="s">
        <v>653</v>
      </c>
      <c r="U3" s="1283" t="s">
        <v>525</v>
      </c>
      <c r="V3" s="1283" t="s">
        <v>358</v>
      </c>
      <c r="W3" s="1283" t="s">
        <v>359</v>
      </c>
      <c r="X3" s="1283" t="s">
        <v>360</v>
      </c>
      <c r="Y3" s="1283" t="s">
        <v>361</v>
      </c>
      <c r="Z3" s="1283" t="s">
        <v>362</v>
      </c>
      <c r="AA3" s="1283" t="s">
        <v>363</v>
      </c>
      <c r="AB3" s="1283" t="s">
        <v>364</v>
      </c>
      <c r="AC3" s="1283" t="s">
        <v>365</v>
      </c>
      <c r="AD3" s="1283" t="s">
        <v>366</v>
      </c>
      <c r="AE3" s="1282" t="s">
        <v>654</v>
      </c>
      <c r="AF3" s="1282" t="s">
        <v>655</v>
      </c>
      <c r="AH3" s="1660" t="s">
        <v>1021</v>
      </c>
      <c r="AI3" s="987" t="s">
        <v>1022</v>
      </c>
      <c r="AJ3" s="987" t="s">
        <v>1024</v>
      </c>
      <c r="AK3" s="987" t="s">
        <v>1025</v>
      </c>
      <c r="AL3" s="987" t="s">
        <v>1026</v>
      </c>
      <c r="AM3" s="987" t="s">
        <v>1027</v>
      </c>
      <c r="AN3" s="987" t="s">
        <v>1028</v>
      </c>
      <c r="AO3" s="987" t="s">
        <v>1029</v>
      </c>
      <c r="AP3" s="987" t="s">
        <v>1030</v>
      </c>
      <c r="AQ3" s="987" t="s">
        <v>1031</v>
      </c>
      <c r="AR3" s="987" t="s">
        <v>1032</v>
      </c>
      <c r="AS3" s="987" t="s">
        <v>1033</v>
      </c>
      <c r="AT3" s="1661" t="s">
        <v>1036</v>
      </c>
      <c r="AU3" s="1662" t="s">
        <v>655</v>
      </c>
      <c r="AW3" s="1132" t="s">
        <v>464</v>
      </c>
      <c r="AX3" s="1132" t="s">
        <v>465</v>
      </c>
      <c r="AY3" s="1133" t="s">
        <v>471</v>
      </c>
      <c r="AZ3" t="s">
        <v>133</v>
      </c>
    </row>
    <row r="4" spans="1:52" x14ac:dyDescent="0.55000000000000004">
      <c r="A4" s="7467" t="s">
        <v>949</v>
      </c>
      <c r="B4" s="167" t="s">
        <v>950</v>
      </c>
      <c r="C4" s="1295" t="s">
        <v>281</v>
      </c>
      <c r="D4" s="1573">
        <v>58890</v>
      </c>
      <c r="E4" s="1573">
        <v>60833</v>
      </c>
      <c r="F4" s="1573">
        <v>80715</v>
      </c>
      <c r="G4" s="1573">
        <v>71492</v>
      </c>
      <c r="H4" s="1573">
        <v>72494</v>
      </c>
      <c r="I4" s="1286">
        <v>74033</v>
      </c>
      <c r="J4" s="1286">
        <v>57433</v>
      </c>
      <c r="K4" s="1286">
        <v>75686</v>
      </c>
      <c r="L4" s="1286">
        <v>75723</v>
      </c>
      <c r="M4" s="1286">
        <v>60038</v>
      </c>
      <c r="N4" s="1286">
        <v>69426</v>
      </c>
      <c r="O4" s="1286">
        <v>63431</v>
      </c>
      <c r="P4" s="1287">
        <f t="shared" ref="P4:P11" si="0">SUM(D4:O4)</f>
        <v>820194</v>
      </c>
      <c r="Q4" s="1287">
        <f t="shared" ref="Q4:Q11" si="1">AVERAGE(D4:O4)</f>
        <v>68349.5</v>
      </c>
      <c r="R4" s="892" t="b">
        <v>1</v>
      </c>
      <c r="S4" s="315">
        <v>65946</v>
      </c>
      <c r="T4" s="315">
        <v>86100</v>
      </c>
      <c r="U4" s="315">
        <v>67184</v>
      </c>
      <c r="V4" s="315">
        <v>64001</v>
      </c>
      <c r="W4" s="315">
        <v>67096</v>
      </c>
      <c r="X4" s="315">
        <v>71434</v>
      </c>
      <c r="Y4" s="315">
        <v>69084</v>
      </c>
      <c r="Z4" s="315">
        <v>78251</v>
      </c>
      <c r="AA4" s="315">
        <v>62894</v>
      </c>
      <c r="AB4" s="760">
        <v>66187</v>
      </c>
      <c r="AC4" s="1443">
        <v>84842</v>
      </c>
      <c r="AD4" s="1443">
        <v>66662</v>
      </c>
      <c r="AE4" s="1287">
        <f t="shared" ref="AE4:AE11" si="2">SUM(S4:AD4)</f>
        <v>849681</v>
      </c>
      <c r="AF4" s="1287">
        <f>AVERAGE(S4:AD4)</f>
        <v>70806.75</v>
      </c>
      <c r="AH4" s="315">
        <v>64963</v>
      </c>
      <c r="AI4" s="315">
        <f>AH7</f>
        <v>98658</v>
      </c>
      <c r="AJ4" s="315">
        <f>AI7</f>
        <v>64234</v>
      </c>
      <c r="AK4" s="315">
        <v>52069</v>
      </c>
      <c r="AL4" s="315">
        <v>47488</v>
      </c>
      <c r="AM4" s="315">
        <v>45328</v>
      </c>
      <c r="AN4" s="315">
        <v>51970</v>
      </c>
      <c r="AO4" s="315">
        <v>78074</v>
      </c>
      <c r="AP4" s="315">
        <v>64797</v>
      </c>
      <c r="AQ4" s="760">
        <v>66755</v>
      </c>
      <c r="AR4" s="1443">
        <v>60321</v>
      </c>
      <c r="AS4" s="1443">
        <v>58348</v>
      </c>
      <c r="AT4" s="1287">
        <f t="shared" ref="AT4:AT11" si="3">SUM(AH4:AS4)</f>
        <v>753005</v>
      </c>
      <c r="AU4" s="1287">
        <f>AVERAGE(AH4:AS4)</f>
        <v>62750.416666666664</v>
      </c>
      <c r="AW4" s="782">
        <f>HLOOKUP($A$1,$AH$2:$AS$38,ROW()-1,0)-HLOOKUP($A$1,$S$2:$AD$38,ROW()-1,0)</f>
        <v>-8314</v>
      </c>
      <c r="AX4" s="782">
        <f>AU4-AF4</f>
        <v>-8056.3333333333358</v>
      </c>
      <c r="AY4" s="1120">
        <f t="shared" ref="AY4:AY11" si="4">AT4-AVERAGE(S4:AD4)</f>
        <v>682198.25</v>
      </c>
      <c r="AZ4" s="317">
        <f>HLOOKUP($A$1,$AH$2:$AS$38,ROW()-1,0)-HLOOKUP($B$1,$AH$2:$AS$38,ROW()-1,0)</f>
        <v>-1973</v>
      </c>
    </row>
    <row r="5" spans="1:52" x14ac:dyDescent="0.55000000000000004">
      <c r="A5" s="7468"/>
      <c r="B5" s="1574"/>
      <c r="C5" t="s">
        <v>951</v>
      </c>
      <c r="D5" s="594">
        <v>45940</v>
      </c>
      <c r="E5" s="594">
        <v>83905</v>
      </c>
      <c r="F5" s="594">
        <v>39179</v>
      </c>
      <c r="G5" s="594">
        <v>45016</v>
      </c>
      <c r="H5" s="594">
        <v>49213</v>
      </c>
      <c r="I5" s="594">
        <v>28941</v>
      </c>
      <c r="J5" s="594">
        <v>61880</v>
      </c>
      <c r="K5" s="594">
        <v>74931</v>
      </c>
      <c r="L5" s="594">
        <v>21873</v>
      </c>
      <c r="M5" s="594">
        <v>80671</v>
      </c>
      <c r="N5" s="594">
        <v>36561</v>
      </c>
      <c r="O5" s="594">
        <v>36066</v>
      </c>
      <c r="P5" s="1284">
        <f t="shared" si="0"/>
        <v>604176</v>
      </c>
      <c r="Q5" s="594">
        <f t="shared" si="1"/>
        <v>50348</v>
      </c>
      <c r="R5" s="892" t="b">
        <v>1</v>
      </c>
      <c r="S5" s="288">
        <v>87528</v>
      </c>
      <c r="T5" s="288">
        <v>23639</v>
      </c>
      <c r="U5" s="288">
        <v>32634</v>
      </c>
      <c r="V5" s="288">
        <v>41801</v>
      </c>
      <c r="W5" s="288">
        <v>41545</v>
      </c>
      <c r="X5" s="288">
        <v>31069</v>
      </c>
      <c r="Y5" s="288">
        <v>66989</v>
      </c>
      <c r="Z5" s="288">
        <v>21339</v>
      </c>
      <c r="AA5" s="288">
        <v>55987</v>
      </c>
      <c r="AB5" s="288">
        <v>56568</v>
      </c>
      <c r="AC5" s="288">
        <v>9942</v>
      </c>
      <c r="AD5" s="288">
        <v>21982</v>
      </c>
      <c r="AE5" s="1284">
        <f t="shared" si="2"/>
        <v>491023</v>
      </c>
      <c r="AF5" s="1284">
        <f t="shared" ref="AF5:AF11" si="5">AVERAGE(S5:AD5)</f>
        <v>40918.583333333336</v>
      </c>
      <c r="AH5" s="288">
        <v>59797</v>
      </c>
      <c r="AI5" s="288">
        <f>AI7-AI4+AI6</f>
        <v>18164</v>
      </c>
      <c r="AJ5" s="288">
        <f>AJ7-AJ4+AJ6</f>
        <v>18551</v>
      </c>
      <c r="AK5" s="288">
        <v>26411</v>
      </c>
      <c r="AL5" s="288">
        <v>34238</v>
      </c>
      <c r="AM5" s="288">
        <v>35621</v>
      </c>
      <c r="AN5" s="288">
        <v>95145</v>
      </c>
      <c r="AO5" s="288">
        <v>20105</v>
      </c>
      <c r="AP5" s="288">
        <v>52782</v>
      </c>
      <c r="AQ5" s="288">
        <v>25978</v>
      </c>
      <c r="AR5" s="288">
        <v>12343</v>
      </c>
      <c r="AS5" s="288">
        <v>28510</v>
      </c>
      <c r="AT5" s="1284">
        <f t="shared" si="3"/>
        <v>427645</v>
      </c>
      <c r="AU5" s="1284">
        <f t="shared" ref="AU5:AU11" si="6">AVERAGE(AH5:AS5)</f>
        <v>35637.083333333336</v>
      </c>
      <c r="AW5" s="782">
        <f t="shared" ref="AW5:AW37" si="7">HLOOKUP($A$1,$AH$2:$AS$38,ROW()-1,0)-HLOOKUP($A$1,$S$2:$AD$38,ROW()-1,0)</f>
        <v>6528</v>
      </c>
      <c r="AX5" s="782">
        <f t="shared" ref="AX5:AX38" si="8">AU5-AF5</f>
        <v>-5281.5</v>
      </c>
      <c r="AY5" s="1120">
        <f t="shared" si="4"/>
        <v>386726.41666666669</v>
      </c>
      <c r="AZ5" s="317">
        <f t="shared" ref="AZ5:AZ38" si="9">HLOOKUP($A$1,$AH$2:$AS$38,ROW()-1,0)-HLOOKUP($B$1,$AH$2:$AS$38,ROW()-1,0)</f>
        <v>16167</v>
      </c>
    </row>
    <row r="6" spans="1:52" x14ac:dyDescent="0.55000000000000004">
      <c r="A6" s="7468"/>
      <c r="B6" s="1574"/>
      <c r="C6" t="s">
        <v>952</v>
      </c>
      <c r="D6" s="288">
        <v>43997</v>
      </c>
      <c r="E6" s="288">
        <v>64023</v>
      </c>
      <c r="F6" s="288">
        <v>48402</v>
      </c>
      <c r="G6" s="288">
        <v>44014</v>
      </c>
      <c r="H6" s="288">
        <v>47674</v>
      </c>
      <c r="I6" s="288">
        <v>45541</v>
      </c>
      <c r="J6" s="288">
        <v>43627</v>
      </c>
      <c r="K6" s="288">
        <v>74894</v>
      </c>
      <c r="L6" s="288">
        <v>37558</v>
      </c>
      <c r="M6" s="288">
        <v>71283</v>
      </c>
      <c r="N6" s="288">
        <v>42556</v>
      </c>
      <c r="O6" s="288">
        <v>33551</v>
      </c>
      <c r="P6" s="1284">
        <f t="shared" si="0"/>
        <v>597120</v>
      </c>
      <c r="Q6" s="594">
        <f t="shared" si="1"/>
        <v>49760</v>
      </c>
      <c r="R6" s="892" t="b">
        <v>1</v>
      </c>
      <c r="S6" s="288">
        <v>67374</v>
      </c>
      <c r="T6" s="288">
        <v>42555</v>
      </c>
      <c r="U6" s="288">
        <v>35817</v>
      </c>
      <c r="V6" s="288">
        <v>38706</v>
      </c>
      <c r="W6" s="288">
        <v>37207</v>
      </c>
      <c r="X6" s="288">
        <v>33419</v>
      </c>
      <c r="Y6" s="288">
        <v>57822</v>
      </c>
      <c r="Z6" s="288">
        <v>36696</v>
      </c>
      <c r="AA6" s="288">
        <v>52694</v>
      </c>
      <c r="AB6" s="288">
        <v>37913</v>
      </c>
      <c r="AC6" s="288">
        <v>28122</v>
      </c>
      <c r="AD6" s="288">
        <v>23681</v>
      </c>
      <c r="AE6" s="1284">
        <f t="shared" si="2"/>
        <v>492006</v>
      </c>
      <c r="AF6" s="1284">
        <f t="shared" si="5"/>
        <v>41000.5</v>
      </c>
      <c r="AH6" s="288">
        <v>26102</v>
      </c>
      <c r="AI6" s="288">
        <v>52588</v>
      </c>
      <c r="AJ6" s="288">
        <v>30716</v>
      </c>
      <c r="AK6" s="288">
        <v>30992</v>
      </c>
      <c r="AL6" s="288">
        <v>36398</v>
      </c>
      <c r="AM6" s="288">
        <v>28979</v>
      </c>
      <c r="AN6" s="288">
        <v>70776</v>
      </c>
      <c r="AO6" s="288">
        <v>33382</v>
      </c>
      <c r="AP6" s="288">
        <v>50824</v>
      </c>
      <c r="AQ6" s="288">
        <v>32412</v>
      </c>
      <c r="AR6" s="288">
        <v>14316</v>
      </c>
      <c r="AS6" s="288">
        <v>27075</v>
      </c>
      <c r="AT6" s="1284">
        <f t="shared" si="3"/>
        <v>434560</v>
      </c>
      <c r="AU6" s="1284">
        <f t="shared" si="6"/>
        <v>36213.333333333336</v>
      </c>
      <c r="AW6" s="782">
        <f t="shared" si="7"/>
        <v>3394</v>
      </c>
      <c r="AX6" s="782">
        <f t="shared" si="8"/>
        <v>-4787.1666666666642</v>
      </c>
      <c r="AY6" s="1120">
        <f t="shared" si="4"/>
        <v>393559.5</v>
      </c>
      <c r="AZ6" s="317">
        <f t="shared" si="9"/>
        <v>12759</v>
      </c>
    </row>
    <row r="7" spans="1:52" x14ac:dyDescent="0.55000000000000004">
      <c r="A7" s="7468"/>
      <c r="B7" s="1574"/>
      <c r="C7" s="595" t="s">
        <v>286</v>
      </c>
      <c r="D7" s="315">
        <v>60833</v>
      </c>
      <c r="E7" s="315">
        <v>80715</v>
      </c>
      <c r="F7" s="315">
        <v>71492</v>
      </c>
      <c r="G7" s="315">
        <v>72494</v>
      </c>
      <c r="H7" s="315">
        <v>74033</v>
      </c>
      <c r="I7" s="315">
        <v>57433</v>
      </c>
      <c r="J7" s="315">
        <v>75686</v>
      </c>
      <c r="K7" s="315">
        <v>75723</v>
      </c>
      <c r="L7" s="315">
        <v>60038</v>
      </c>
      <c r="M7" s="315">
        <v>69426</v>
      </c>
      <c r="N7" s="315">
        <v>63431</v>
      </c>
      <c r="O7" s="315">
        <v>65946</v>
      </c>
      <c r="P7" s="1287">
        <f t="shared" si="0"/>
        <v>827250</v>
      </c>
      <c r="Q7" s="1286">
        <f t="shared" si="1"/>
        <v>68937.5</v>
      </c>
      <c r="R7" s="892" t="b">
        <v>1</v>
      </c>
      <c r="S7" s="315">
        <v>86100</v>
      </c>
      <c r="T7" s="315">
        <v>67184</v>
      </c>
      <c r="U7" s="315">
        <v>64001</v>
      </c>
      <c r="V7" s="315">
        <v>67096</v>
      </c>
      <c r="W7" s="315">
        <v>71434</v>
      </c>
      <c r="X7" s="315">
        <v>69084</v>
      </c>
      <c r="Y7" s="315">
        <v>78251</v>
      </c>
      <c r="Z7" s="315">
        <v>62894</v>
      </c>
      <c r="AA7" s="315">
        <v>66187</v>
      </c>
      <c r="AB7" s="315">
        <v>84842</v>
      </c>
      <c r="AC7" s="315">
        <v>66662</v>
      </c>
      <c r="AD7" s="315">
        <v>64963</v>
      </c>
      <c r="AE7" s="1287">
        <f t="shared" si="2"/>
        <v>848698</v>
      </c>
      <c r="AF7" s="1287">
        <f t="shared" si="5"/>
        <v>70724.833333333328</v>
      </c>
      <c r="AH7" s="315">
        <v>98658</v>
      </c>
      <c r="AI7" s="315">
        <v>64234</v>
      </c>
      <c r="AJ7" s="315">
        <v>52069</v>
      </c>
      <c r="AK7" s="315">
        <v>47488</v>
      </c>
      <c r="AL7" s="315">
        <v>45328</v>
      </c>
      <c r="AM7" s="315">
        <v>51970</v>
      </c>
      <c r="AN7" s="315">
        <v>76339</v>
      </c>
      <c r="AO7" s="315">
        <v>64797</v>
      </c>
      <c r="AP7" s="315">
        <v>66755</v>
      </c>
      <c r="AQ7" s="315">
        <v>60321</v>
      </c>
      <c r="AR7" s="315">
        <v>58348</v>
      </c>
      <c r="AS7" s="315">
        <v>59783</v>
      </c>
      <c r="AT7" s="1287">
        <f t="shared" si="3"/>
        <v>746090</v>
      </c>
      <c r="AU7" s="1287">
        <f t="shared" si="6"/>
        <v>62174.166666666664</v>
      </c>
      <c r="AW7" s="782">
        <f t="shared" si="7"/>
        <v>-5180</v>
      </c>
      <c r="AX7" s="782">
        <f t="shared" si="8"/>
        <v>-8550.6666666666642</v>
      </c>
      <c r="AY7" s="1120">
        <f t="shared" si="4"/>
        <v>675365.16666666663</v>
      </c>
      <c r="AZ7" s="317">
        <f t="shared" si="9"/>
        <v>1435</v>
      </c>
    </row>
    <row r="8" spans="1:52" x14ac:dyDescent="0.55000000000000004">
      <c r="A8" s="7468"/>
      <c r="B8" s="89"/>
      <c r="C8" t="s">
        <v>287</v>
      </c>
      <c r="D8" s="1575">
        <v>42.86253608200559</v>
      </c>
      <c r="E8" s="1575">
        <v>35.300126517032943</v>
      </c>
      <c r="F8" s="1575">
        <v>45.788438494277095</v>
      </c>
      <c r="G8" s="1575">
        <v>49.41200527105012</v>
      </c>
      <c r="H8" s="1575">
        <v>48.139929521332384</v>
      </c>
      <c r="I8" s="1575">
        <v>37.833820074218835</v>
      </c>
      <c r="J8" s="1575">
        <v>53.780136154216429</v>
      </c>
      <c r="K8" s="1575">
        <v>31.343138302133685</v>
      </c>
      <c r="L8" s="1575">
        <v>47.956227701155548</v>
      </c>
      <c r="M8" s="1575">
        <v>30.192416144101678</v>
      </c>
      <c r="N8" s="1575">
        <v>43.2</v>
      </c>
      <c r="O8" s="1575">
        <v>60.9</v>
      </c>
      <c r="P8" s="1575">
        <f t="shared" si="0"/>
        <v>526.70877426152435</v>
      </c>
      <c r="Q8" s="1575">
        <f t="shared" si="1"/>
        <v>43.89239785512703</v>
      </c>
      <c r="R8" s="892" t="b">
        <v>1</v>
      </c>
      <c r="S8" s="1575">
        <v>39.616172410722235</v>
      </c>
      <c r="T8" s="1575">
        <v>44.205193279285631</v>
      </c>
      <c r="U8" s="1575">
        <v>55.393556132562743</v>
      </c>
      <c r="V8" s="1575">
        <v>52.066346302898772</v>
      </c>
      <c r="W8" s="1575">
        <v>59.51713387265837</v>
      </c>
      <c r="X8" s="1575">
        <v>59.9</v>
      </c>
      <c r="Y8" s="1575">
        <v>41.952561308844388</v>
      </c>
      <c r="Z8" s="1575">
        <v>53.131512971441026</v>
      </c>
      <c r="AA8" s="1575">
        <v>37.681899267468786</v>
      </c>
      <c r="AB8" s="1575">
        <v>69.372035977105483</v>
      </c>
      <c r="AC8" s="1575">
        <v>71.113718796671648</v>
      </c>
      <c r="AD8" s="1575">
        <v>85.040876652168407</v>
      </c>
      <c r="AE8" s="1575">
        <f t="shared" si="2"/>
        <v>668.99100697182746</v>
      </c>
      <c r="AF8" s="1575">
        <f t="shared" si="5"/>
        <v>55.749250580985624</v>
      </c>
      <c r="AH8" s="1575">
        <v>117.17102137767222</v>
      </c>
      <c r="AI8" s="1575">
        <v>34.248193504221497</v>
      </c>
      <c r="AJ8" s="1575">
        <v>51.7</v>
      </c>
      <c r="AK8" s="1575">
        <v>41</v>
      </c>
      <c r="AL8" s="1575">
        <v>38.5</v>
      </c>
      <c r="AM8" s="1575">
        <v>54</v>
      </c>
      <c r="AN8" s="1575">
        <v>44.9</v>
      </c>
      <c r="AO8" s="1575">
        <v>58</v>
      </c>
      <c r="AP8" s="1575">
        <v>39.299999999999997</v>
      </c>
      <c r="AQ8" s="1575">
        <v>57.5</v>
      </c>
      <c r="AR8" s="1575">
        <v>58.3</v>
      </c>
      <c r="AS8" s="1575">
        <v>61.9</v>
      </c>
      <c r="AT8" s="1575">
        <f t="shared" si="3"/>
        <v>656.51921488189362</v>
      </c>
      <c r="AU8" s="1575">
        <f t="shared" si="6"/>
        <v>54.709934573491132</v>
      </c>
      <c r="AW8" s="782">
        <f t="shared" si="7"/>
        <v>-23.140876652168409</v>
      </c>
      <c r="AX8" s="782">
        <f t="shared" si="8"/>
        <v>-1.0393160074944916</v>
      </c>
      <c r="AY8" s="1120">
        <f t="shared" si="4"/>
        <v>600.76996430090799</v>
      </c>
      <c r="AZ8" s="317">
        <f t="shared" si="9"/>
        <v>3.6000000000000014</v>
      </c>
    </row>
    <row r="9" spans="1:52" x14ac:dyDescent="0.55000000000000004">
      <c r="A9" s="7468"/>
      <c r="B9" s="1576"/>
      <c r="C9" s="1293" t="s">
        <v>293</v>
      </c>
      <c r="D9" s="1294">
        <v>818.45056848000002</v>
      </c>
      <c r="E9" s="1294">
        <v>1015.3829696499999</v>
      </c>
      <c r="F9" s="1294">
        <v>764.9</v>
      </c>
      <c r="G9" s="1294">
        <v>720</v>
      </c>
      <c r="H9" s="1294">
        <v>722.4</v>
      </c>
      <c r="I9" s="1294">
        <v>566.29999999999995</v>
      </c>
      <c r="J9" s="1294">
        <v>761.7</v>
      </c>
      <c r="K9" s="1294">
        <v>754.1</v>
      </c>
      <c r="L9" s="1294">
        <v>585.1</v>
      </c>
      <c r="M9" s="1294">
        <v>840.7</v>
      </c>
      <c r="N9" s="1294">
        <v>756.2</v>
      </c>
      <c r="O9" s="1294">
        <v>719.4</v>
      </c>
      <c r="P9" s="1294">
        <f>SUM(D9:O9)</f>
        <v>9024.6335381299996</v>
      </c>
      <c r="Q9" s="1294">
        <f t="shared" si="1"/>
        <v>752.05279484416667</v>
      </c>
      <c r="R9" s="892" t="b">
        <v>1</v>
      </c>
      <c r="S9" s="1294">
        <v>955.6</v>
      </c>
      <c r="T9" s="1294">
        <v>732</v>
      </c>
      <c r="U9" s="1294">
        <v>654.1</v>
      </c>
      <c r="V9" s="1294">
        <v>654.1</v>
      </c>
      <c r="W9" s="1294">
        <v>682.6</v>
      </c>
      <c r="X9" s="1294">
        <v>613.1</v>
      </c>
      <c r="Y9" s="1294">
        <v>819.25973749399998</v>
      </c>
      <c r="Z9" s="1294">
        <v>692.34452049400011</v>
      </c>
      <c r="AA9" s="1294">
        <v>636.36857849399996</v>
      </c>
      <c r="AB9" s="1294">
        <v>1053.1714264940001</v>
      </c>
      <c r="AC9" s="1294">
        <v>830.70716462799999</v>
      </c>
      <c r="AD9" s="1294">
        <v>756.06632149400014</v>
      </c>
      <c r="AE9" s="1294">
        <f t="shared" si="2"/>
        <v>9079.4177490979982</v>
      </c>
      <c r="AF9" s="1294">
        <f t="shared" si="5"/>
        <v>756.61814575816652</v>
      </c>
      <c r="AH9" s="1294">
        <v>1234.7164789850001</v>
      </c>
      <c r="AI9" s="1294">
        <f>75888436597.6/100000000</f>
        <v>758.88436597600003</v>
      </c>
      <c r="AJ9" s="1294">
        <v>590.29999999999995</v>
      </c>
      <c r="AK9" s="1294">
        <v>495.2</v>
      </c>
      <c r="AL9" s="1294">
        <v>462.6</v>
      </c>
      <c r="AM9" s="1294">
        <v>449.5</v>
      </c>
      <c r="AN9" s="1294">
        <v>596.37002298499999</v>
      </c>
      <c r="AO9" s="1294">
        <v>643.74686898499999</v>
      </c>
      <c r="AP9" s="1294">
        <v>760.98179998499995</v>
      </c>
      <c r="AQ9" s="1294">
        <v>711.5</v>
      </c>
      <c r="AR9" s="1294">
        <v>633.96036698499995</v>
      </c>
      <c r="AS9" s="1294">
        <v>616.09745598500001</v>
      </c>
      <c r="AT9" s="1294">
        <f t="shared" si="3"/>
        <v>7953.8573598860003</v>
      </c>
      <c r="AU9" s="1294">
        <f t="shared" si="6"/>
        <v>662.82144665716669</v>
      </c>
      <c r="AW9" s="782">
        <f t="shared" si="7"/>
        <v>-139.96886550900012</v>
      </c>
      <c r="AX9" s="782">
        <f t="shared" si="8"/>
        <v>-93.796699100999831</v>
      </c>
      <c r="AY9" s="1120">
        <f t="shared" si="4"/>
        <v>7197.2392141278342</v>
      </c>
      <c r="AZ9" s="317">
        <f t="shared" si="9"/>
        <v>-17.86291099999994</v>
      </c>
    </row>
    <row r="10" spans="1:52" x14ac:dyDescent="0.55000000000000004">
      <c r="A10" s="7468"/>
      <c r="B10" s="1577" t="s">
        <v>841</v>
      </c>
      <c r="C10" s="1291" t="s">
        <v>859</v>
      </c>
      <c r="D10" s="1288">
        <v>130205</v>
      </c>
      <c r="E10" s="1288">
        <v>95556</v>
      </c>
      <c r="F10" s="1288">
        <v>172946</v>
      </c>
      <c r="G10" s="1288">
        <v>143984</v>
      </c>
      <c r="H10" s="1288">
        <v>116894</v>
      </c>
      <c r="I10" s="1288">
        <v>83756</v>
      </c>
      <c r="J10" s="1288">
        <v>131472</v>
      </c>
      <c r="K10" s="1288">
        <v>92306</v>
      </c>
      <c r="L10" s="1288">
        <v>63431</v>
      </c>
      <c r="M10" s="1288">
        <v>123865</v>
      </c>
      <c r="N10" s="1288">
        <v>93471</v>
      </c>
      <c r="O10" s="1288">
        <v>170749</v>
      </c>
      <c r="P10" s="1578">
        <f t="shared" si="0"/>
        <v>1418635</v>
      </c>
      <c r="Q10" s="1288">
        <f t="shared" si="1"/>
        <v>118219.58333333333</v>
      </c>
      <c r="R10" s="892" t="b">
        <v>1</v>
      </c>
      <c r="S10" s="1288">
        <v>135430</v>
      </c>
      <c r="T10" s="1288">
        <v>102796</v>
      </c>
      <c r="U10" s="1288">
        <v>68581</v>
      </c>
      <c r="V10" s="1288">
        <v>139870</v>
      </c>
      <c r="W10" s="1288">
        <v>109279</v>
      </c>
      <c r="X10" s="1288">
        <v>182954</v>
      </c>
      <c r="Y10" s="1288">
        <v>354435</v>
      </c>
      <c r="Z10" s="1288">
        <v>312750</v>
      </c>
      <c r="AA10" s="1288">
        <v>279030</v>
      </c>
      <c r="AB10" s="1288">
        <v>236591</v>
      </c>
      <c r="AC10" s="1288">
        <v>201645</v>
      </c>
      <c r="AD10" s="1288">
        <v>385166</v>
      </c>
      <c r="AE10" s="1288">
        <f t="shared" si="2"/>
        <v>2508527</v>
      </c>
      <c r="AF10" s="1288">
        <f>AVERAGE(S10:AD10)</f>
        <v>209043.91666666666</v>
      </c>
      <c r="AH10" s="1288">
        <v>349281</v>
      </c>
      <c r="AI10" s="1288">
        <v>293011</v>
      </c>
      <c r="AJ10" s="1288">
        <v>242534</v>
      </c>
      <c r="AK10" s="1288">
        <v>369716</v>
      </c>
      <c r="AL10" s="1288">
        <v>252570</v>
      </c>
      <c r="AM10" s="1288">
        <v>395000</v>
      </c>
      <c r="AN10" s="1288">
        <v>590428</v>
      </c>
      <c r="AO10" s="1288">
        <v>528874</v>
      </c>
      <c r="AP10" s="1288">
        <v>484601</v>
      </c>
      <c r="AQ10" s="1288">
        <v>640083</v>
      </c>
      <c r="AR10" s="1288">
        <v>835185</v>
      </c>
      <c r="AS10" s="1288">
        <v>859282</v>
      </c>
      <c r="AT10" s="1288">
        <f t="shared" si="3"/>
        <v>5840565</v>
      </c>
      <c r="AU10" s="1288">
        <f t="shared" si="6"/>
        <v>486713.75</v>
      </c>
      <c r="AW10" s="782">
        <f t="shared" si="7"/>
        <v>474116</v>
      </c>
      <c r="AX10" s="782">
        <f t="shared" si="8"/>
        <v>277669.83333333337</v>
      </c>
      <c r="AY10" s="1120">
        <f t="shared" si="4"/>
        <v>5631521.083333333</v>
      </c>
      <c r="AZ10" s="317">
        <f t="shared" si="9"/>
        <v>24097</v>
      </c>
    </row>
    <row r="11" spans="1:52" ht="18" thickBot="1" x14ac:dyDescent="0.6">
      <c r="A11" s="7473"/>
      <c r="B11" s="117"/>
      <c r="C11" s="142" t="s">
        <v>842</v>
      </c>
      <c r="D11" s="694">
        <v>10.016116</v>
      </c>
      <c r="E11" s="694">
        <v>7.3481430000000003</v>
      </c>
      <c r="F11" s="694">
        <v>13.307173000000001</v>
      </c>
      <c r="G11" s="694">
        <v>11.077099</v>
      </c>
      <c r="H11" s="694">
        <v>8.9911689999999993</v>
      </c>
      <c r="I11" s="694">
        <v>6.4396089999999999</v>
      </c>
      <c r="J11" s="694">
        <v>10.113708000000001</v>
      </c>
      <c r="K11" s="694">
        <v>7.0979260000000002</v>
      </c>
      <c r="L11" s="694">
        <v>4.8745180000000001</v>
      </c>
      <c r="M11" s="694">
        <v>9.5279360000000004</v>
      </c>
      <c r="N11" s="694">
        <v>7.1875980000000004</v>
      </c>
      <c r="O11" s="694">
        <v>13.138004</v>
      </c>
      <c r="P11" s="694">
        <f t="shared" si="0"/>
        <v>109.11899899999997</v>
      </c>
      <c r="Q11" s="694">
        <f t="shared" si="1"/>
        <v>9.0932499166666645</v>
      </c>
      <c r="R11" s="892" t="b">
        <v>1</v>
      </c>
      <c r="S11" s="694">
        <v>10.418474</v>
      </c>
      <c r="T11" s="694">
        <v>7.9056559999999996</v>
      </c>
      <c r="U11" s="694">
        <v>5.2711009999999998</v>
      </c>
      <c r="V11" s="694">
        <v>10.760320999999999</v>
      </c>
      <c r="W11" s="694">
        <v>8.4048470000000002</v>
      </c>
      <c r="X11" s="694">
        <v>14.077821999999999</v>
      </c>
      <c r="Y11" s="694">
        <v>27.281859000000001</v>
      </c>
      <c r="Z11" s="694">
        <v>24.072113999999999</v>
      </c>
      <c r="AA11" s="694">
        <v>21.475674000000001</v>
      </c>
      <c r="AB11" s="694">
        <v>18.207871000000001</v>
      </c>
      <c r="AC11" s="694">
        <v>15.517029000000001</v>
      </c>
      <c r="AD11" s="694">
        <v>29.648146000000001</v>
      </c>
      <c r="AE11" s="694">
        <f t="shared" si="2"/>
        <v>193.04091400000001</v>
      </c>
      <c r="AF11" s="694">
        <f t="shared" si="5"/>
        <v>16.086742833333336</v>
      </c>
      <c r="AH11" s="694">
        <v>26.885000999999999</v>
      </c>
      <c r="AI11" s="694">
        <v>22.552211</v>
      </c>
      <c r="AJ11" s="694">
        <v>18.7</v>
      </c>
      <c r="AK11" s="694">
        <v>28.5</v>
      </c>
      <c r="AL11" s="694">
        <v>19.399999999999999</v>
      </c>
      <c r="AM11" s="694">
        <v>30.4</v>
      </c>
      <c r="AN11" s="694">
        <v>45.5</v>
      </c>
      <c r="AO11" s="694">
        <v>40.713661999999999</v>
      </c>
      <c r="AP11" s="694">
        <v>37.304640999999997</v>
      </c>
      <c r="AQ11" s="694">
        <v>49.3</v>
      </c>
      <c r="AR11" s="694">
        <v>64.299576000000002</v>
      </c>
      <c r="AS11" s="694">
        <v>66.155045000000001</v>
      </c>
      <c r="AT11" s="694">
        <f t="shared" si="3"/>
        <v>449.71013600000003</v>
      </c>
      <c r="AU11" s="694">
        <f t="shared" si="6"/>
        <v>37.475844666666667</v>
      </c>
      <c r="AW11" s="782">
        <f t="shared" si="7"/>
        <v>36.506899000000004</v>
      </c>
      <c r="AX11" s="782">
        <f t="shared" si="8"/>
        <v>21.389101833333331</v>
      </c>
      <c r="AY11" s="1120">
        <f t="shared" si="4"/>
        <v>433.62339316666669</v>
      </c>
      <c r="AZ11" s="317">
        <f t="shared" si="9"/>
        <v>1.8554689999999994</v>
      </c>
    </row>
    <row r="12" spans="1:52" ht="10.5" customHeight="1" thickBot="1" x14ac:dyDescent="0.6">
      <c r="R12" s="892" t="b">
        <v>1</v>
      </c>
      <c r="AW12" s="782"/>
      <c r="AX12" s="782"/>
      <c r="AZ12" s="317">
        <f t="shared" si="9"/>
        <v>0</v>
      </c>
    </row>
    <row r="13" spans="1:52" x14ac:dyDescent="0.55000000000000004">
      <c r="A13" s="7507" t="s">
        <v>843</v>
      </c>
      <c r="B13" s="167" t="s">
        <v>844</v>
      </c>
      <c r="C13" s="1289" t="s">
        <v>845</v>
      </c>
      <c r="D13" s="1289">
        <f>D17+D21</f>
        <v>149.44704798000001</v>
      </c>
      <c r="E13" s="1289">
        <f t="shared" ref="E13:O14" si="10">E17+E21</f>
        <v>259.08545780000003</v>
      </c>
      <c r="F13" s="1289">
        <f t="shared" si="10"/>
        <v>86.516954120000008</v>
      </c>
      <c r="G13" s="1289">
        <f t="shared" si="10"/>
        <v>76.395011510000003</v>
      </c>
      <c r="H13" s="1289">
        <f t="shared" si="10"/>
        <v>107.23543775</v>
      </c>
      <c r="I13" s="1289">
        <f t="shared" si="10"/>
        <v>74.009378220000002</v>
      </c>
      <c r="J13" s="1289">
        <f t="shared" si="10"/>
        <v>146.35480394999999</v>
      </c>
      <c r="K13" s="1289">
        <f t="shared" si="10"/>
        <v>243.48173001000001</v>
      </c>
      <c r="L13" s="1289">
        <f t="shared" si="10"/>
        <v>55.47</v>
      </c>
      <c r="M13" s="1289">
        <f t="shared" si="10"/>
        <v>153.01099573000002</v>
      </c>
      <c r="N13" s="1289">
        <f t="shared" si="10"/>
        <v>201.95208104</v>
      </c>
      <c r="O13" s="1289">
        <f t="shared" si="10"/>
        <v>71.050694010000001</v>
      </c>
      <c r="P13" s="1289">
        <f t="shared" ref="P13:P22" si="11">SUM(D13:O13)</f>
        <v>1624.0095921200002</v>
      </c>
      <c r="Q13" s="1289">
        <f t="shared" ref="Q13:Q22" si="12">AVERAGE(D13:O13)</f>
        <v>135.33413267666668</v>
      </c>
      <c r="R13" s="892" t="b">
        <v>1</v>
      </c>
      <c r="S13" s="1289">
        <f t="shared" ref="S13:AB14" si="13">S17+S21</f>
        <v>287.34282989000002</v>
      </c>
      <c r="T13" s="1289">
        <f t="shared" si="13"/>
        <v>105.748955452</v>
      </c>
      <c r="U13" s="1289">
        <f t="shared" si="13"/>
        <v>96.525488690000003</v>
      </c>
      <c r="V13" s="1289">
        <f t="shared" si="13"/>
        <v>101.91098020999999</v>
      </c>
      <c r="W13" s="1289">
        <f t="shared" si="13"/>
        <v>113.5</v>
      </c>
      <c r="X13" s="1289">
        <f t="shared" si="13"/>
        <v>47.699999999999996</v>
      </c>
      <c r="Y13" s="1289">
        <f t="shared" si="13"/>
        <v>346.9</v>
      </c>
      <c r="Z13" s="1289">
        <f t="shared" si="13"/>
        <v>110.5</v>
      </c>
      <c r="AA13" s="1289">
        <f t="shared" si="13"/>
        <v>198.7</v>
      </c>
      <c r="AB13" s="1289">
        <f t="shared" si="13"/>
        <v>277.39999999999998</v>
      </c>
      <c r="AC13" s="1289">
        <f>AC17+AC21</f>
        <v>86</v>
      </c>
      <c r="AD13" s="1289">
        <f>AD17+AD21</f>
        <v>103</v>
      </c>
      <c r="AE13" s="1289">
        <f t="shared" ref="AE13:AE22" si="14">SUM(S13:AD13)</f>
        <v>1875.2282542419998</v>
      </c>
      <c r="AF13" s="1289">
        <f t="shared" ref="AF13:AF22" si="15">AVERAGE(S13:AD13)</f>
        <v>156.26902118683333</v>
      </c>
      <c r="AH13" s="1289">
        <v>313.3</v>
      </c>
      <c r="AI13" s="1289">
        <f>AI17+AI21</f>
        <v>94.699999999999989</v>
      </c>
      <c r="AJ13" s="1289">
        <f>AJ17+AJ21</f>
        <v>27.69</v>
      </c>
      <c r="AK13" s="1289">
        <v>60.4</v>
      </c>
      <c r="AL13" s="1289">
        <f t="shared" ref="AL13:AO14" si="16">AL17+AL21</f>
        <v>42</v>
      </c>
      <c r="AM13" s="1289">
        <f t="shared" si="16"/>
        <v>106.4</v>
      </c>
      <c r="AN13" s="1289">
        <f t="shared" si="16"/>
        <v>261.40000000000003</v>
      </c>
      <c r="AO13" s="1289">
        <f t="shared" si="16"/>
        <v>120.35</v>
      </c>
      <c r="AP13" s="1289">
        <v>269.18</v>
      </c>
      <c r="AQ13" s="1289">
        <v>159.82999999999998</v>
      </c>
      <c r="AR13" s="1289">
        <v>76.06</v>
      </c>
      <c r="AS13" s="1289">
        <v>105.1</v>
      </c>
      <c r="AT13" s="1289">
        <f t="shared" ref="AT13:AT22" si="17">SUM(AH13:AS13)</f>
        <v>1636.4099999999996</v>
      </c>
      <c r="AU13" s="1289">
        <f t="shared" ref="AU13:AU22" si="18">AVERAGE(AH13:AS13)</f>
        <v>136.36749999999998</v>
      </c>
      <c r="AW13" s="782">
        <f t="shared" si="7"/>
        <v>2.0999999999999943</v>
      </c>
      <c r="AX13" s="782">
        <f t="shared" si="8"/>
        <v>-19.901521186833349</v>
      </c>
      <c r="AY13" s="1120">
        <f t="shared" ref="AY13:AY22" si="19">AT13-AVERAGE(S13:AD13)</f>
        <v>1480.1409788131664</v>
      </c>
      <c r="AZ13" s="317">
        <f t="shared" si="9"/>
        <v>29.039999999999992</v>
      </c>
    </row>
    <row r="14" spans="1:52" x14ac:dyDescent="0.55000000000000004">
      <c r="A14" s="7508"/>
      <c r="B14" s="52"/>
      <c r="C14" s="595" t="s">
        <v>846</v>
      </c>
      <c r="D14" s="693">
        <f>D18+D22</f>
        <v>6.56933202</v>
      </c>
      <c r="E14" s="693">
        <f t="shared" si="10"/>
        <v>6.7807421999999899</v>
      </c>
      <c r="F14" s="693">
        <f t="shared" si="10"/>
        <v>2.0568258799999999</v>
      </c>
      <c r="G14" s="693">
        <f t="shared" si="10"/>
        <v>2.4629884899999999</v>
      </c>
      <c r="H14" s="693">
        <f t="shared" si="10"/>
        <v>3.4574422499999997</v>
      </c>
      <c r="I14" s="693">
        <f t="shared" si="10"/>
        <v>1.8708617799999985</v>
      </c>
      <c r="J14" s="693">
        <f t="shared" si="10"/>
        <v>3.6522360499999973</v>
      </c>
      <c r="K14" s="693">
        <f t="shared" si="10"/>
        <v>5.7572299899999999</v>
      </c>
      <c r="L14" s="693">
        <f t="shared" si="10"/>
        <v>1.2986999999999997</v>
      </c>
      <c r="M14" s="693">
        <f t="shared" si="10"/>
        <v>7.6272242700000001</v>
      </c>
      <c r="N14" s="693">
        <f t="shared" si="10"/>
        <v>7.8071589599999998</v>
      </c>
      <c r="O14" s="693">
        <f t="shared" si="10"/>
        <v>1.99546599</v>
      </c>
      <c r="P14" s="693">
        <f t="shared" si="11"/>
        <v>51.336207879999982</v>
      </c>
      <c r="Q14" s="693">
        <f t="shared" si="12"/>
        <v>4.2780173233333318</v>
      </c>
      <c r="R14" s="892" t="b">
        <v>1</v>
      </c>
      <c r="S14" s="693">
        <f t="shared" si="13"/>
        <v>8.1312701099999991</v>
      </c>
      <c r="T14" s="693">
        <f t="shared" si="13"/>
        <v>2.6240245479999995</v>
      </c>
      <c r="U14" s="693">
        <f t="shared" si="13"/>
        <v>2.7850913099999999</v>
      </c>
      <c r="V14" s="693">
        <f t="shared" si="13"/>
        <v>3.2351797900000001</v>
      </c>
      <c r="W14" s="693">
        <f t="shared" si="13"/>
        <v>3.1249399999999996</v>
      </c>
      <c r="X14" s="693">
        <f t="shared" si="13"/>
        <v>1.2506599999999999</v>
      </c>
      <c r="Y14" s="693">
        <f t="shared" si="13"/>
        <v>7.658059999999999</v>
      </c>
      <c r="Z14" s="693">
        <f t="shared" si="13"/>
        <v>1.7536199999999997</v>
      </c>
      <c r="AA14" s="693">
        <f t="shared" si="13"/>
        <v>8.5061999999999998</v>
      </c>
      <c r="AB14" s="693">
        <f t="shared" si="13"/>
        <v>13.564</v>
      </c>
      <c r="AC14" s="693">
        <f>AC18+AC22</f>
        <v>4.1097999999999999</v>
      </c>
      <c r="AD14" s="693">
        <f>AD18+AD22</f>
        <v>7.6677999999999997</v>
      </c>
      <c r="AE14" s="693">
        <f t="shared" si="14"/>
        <v>64.410645757999987</v>
      </c>
      <c r="AF14" s="693">
        <f t="shared" si="15"/>
        <v>5.3675538131666656</v>
      </c>
      <c r="AH14" s="693">
        <v>7.9125799999999993</v>
      </c>
      <c r="AI14" s="693">
        <f>AI18+AI22</f>
        <v>3.5977399999999995</v>
      </c>
      <c r="AJ14" s="693">
        <f>AJ18+AJ22</f>
        <v>0.91479999999999995</v>
      </c>
      <c r="AK14" s="693">
        <v>1.4083999999999999</v>
      </c>
      <c r="AL14" s="693">
        <f t="shared" si="16"/>
        <v>1.1219599999999998</v>
      </c>
      <c r="AM14" s="693">
        <f t="shared" si="16"/>
        <v>2.7713199999999998</v>
      </c>
      <c r="AN14" s="693">
        <f t="shared" si="16"/>
        <v>6.3900000000000006</v>
      </c>
      <c r="AO14" s="693">
        <f t="shared" si="16"/>
        <v>2.93</v>
      </c>
      <c r="AP14" s="693">
        <v>12.916971</v>
      </c>
      <c r="AQ14" s="693">
        <v>7.0308000000000002</v>
      </c>
      <c r="AR14" s="693">
        <v>2.2000000000000002</v>
      </c>
      <c r="AS14" s="693">
        <v>3.4400000000000004</v>
      </c>
      <c r="AT14" s="693">
        <f t="shared" si="17"/>
        <v>52.634570999999994</v>
      </c>
      <c r="AU14" s="693">
        <f t="shared" si="18"/>
        <v>4.3862142499999992</v>
      </c>
      <c r="AW14" s="782">
        <f t="shared" si="7"/>
        <v>-4.2277999999999993</v>
      </c>
      <c r="AX14" s="782">
        <f t="shared" si="8"/>
        <v>-0.98133956316666637</v>
      </c>
      <c r="AY14" s="1120">
        <f t="shared" si="19"/>
        <v>47.267017186833328</v>
      </c>
      <c r="AZ14" s="317">
        <f t="shared" si="9"/>
        <v>1.2400000000000002</v>
      </c>
    </row>
    <row r="15" spans="1:52" x14ac:dyDescent="0.55000000000000004">
      <c r="A15" s="7508"/>
      <c r="B15" s="1290" t="s">
        <v>274</v>
      </c>
      <c r="C15" s="1291" t="s">
        <v>847</v>
      </c>
      <c r="D15" s="1288">
        <v>8026</v>
      </c>
      <c r="E15" s="1288">
        <v>45096</v>
      </c>
      <c r="F15" s="1288">
        <v>10567</v>
      </c>
      <c r="G15" s="1288">
        <v>9164</v>
      </c>
      <c r="H15" s="1288">
        <v>10856</v>
      </c>
      <c r="I15" s="1288">
        <v>13962</v>
      </c>
      <c r="J15" s="1288">
        <v>27011</v>
      </c>
      <c r="K15" s="1288">
        <v>23546</v>
      </c>
      <c r="L15" s="1288">
        <v>7261</v>
      </c>
      <c r="M15" s="1288">
        <v>3972</v>
      </c>
      <c r="N15" s="1288">
        <v>48232</v>
      </c>
      <c r="O15" s="1288">
        <v>31419</v>
      </c>
      <c r="P15" s="1288">
        <f t="shared" si="11"/>
        <v>239112</v>
      </c>
      <c r="Q15" s="1288">
        <f t="shared" si="12"/>
        <v>19926</v>
      </c>
      <c r="R15" s="892" t="b">
        <v>1</v>
      </c>
      <c r="S15" s="1288">
        <v>42839</v>
      </c>
      <c r="T15" s="1288">
        <v>17999</v>
      </c>
      <c r="U15" s="1288">
        <v>12547</v>
      </c>
      <c r="V15" s="1288">
        <v>17094</v>
      </c>
      <c r="W15" s="1288">
        <v>19137</v>
      </c>
      <c r="X15" s="1288">
        <v>27191</v>
      </c>
      <c r="Y15" s="1288">
        <v>30031</v>
      </c>
      <c r="Z15" s="1288">
        <v>5720</v>
      </c>
      <c r="AA15" s="1288">
        <v>7388</v>
      </c>
      <c r="AB15" s="1288">
        <v>8823</v>
      </c>
      <c r="AC15" s="1288">
        <v>3267</v>
      </c>
      <c r="AD15" s="1288">
        <v>2721</v>
      </c>
      <c r="AE15" s="1288">
        <f t="shared" si="14"/>
        <v>194757</v>
      </c>
      <c r="AF15" s="1288">
        <f t="shared" si="15"/>
        <v>16229.75</v>
      </c>
      <c r="AH15" s="1288">
        <v>28284</v>
      </c>
      <c r="AI15" s="1288">
        <v>10167</v>
      </c>
      <c r="AJ15" s="1288">
        <v>6161</v>
      </c>
      <c r="AK15" s="1288">
        <v>7981</v>
      </c>
      <c r="AL15" s="1288">
        <v>7816</v>
      </c>
      <c r="AM15" s="1288">
        <v>18188</v>
      </c>
      <c r="AN15" s="1288">
        <v>48182</v>
      </c>
      <c r="AO15" s="1288">
        <v>14015</v>
      </c>
      <c r="AP15" s="1288">
        <v>9174</v>
      </c>
      <c r="AQ15" s="1288">
        <v>7138</v>
      </c>
      <c r="AR15" s="1288">
        <v>7263</v>
      </c>
      <c r="AS15" s="1288">
        <v>113362</v>
      </c>
      <c r="AT15" s="1288">
        <f t="shared" si="17"/>
        <v>277731</v>
      </c>
      <c r="AU15" s="1288">
        <f t="shared" si="18"/>
        <v>23144.25</v>
      </c>
      <c r="AW15" s="782">
        <f t="shared" si="7"/>
        <v>110641</v>
      </c>
      <c r="AX15" s="782">
        <f t="shared" si="8"/>
        <v>6914.5</v>
      </c>
      <c r="AY15" s="1120">
        <f t="shared" si="19"/>
        <v>261501.25</v>
      </c>
      <c r="AZ15" s="317">
        <f t="shared" si="9"/>
        <v>106099</v>
      </c>
    </row>
    <row r="16" spans="1:52" x14ac:dyDescent="0.55000000000000004">
      <c r="A16" s="7508"/>
      <c r="B16" s="52"/>
      <c r="C16" t="s">
        <v>848</v>
      </c>
      <c r="D16" s="594">
        <v>8035</v>
      </c>
      <c r="E16" s="594">
        <v>19212</v>
      </c>
      <c r="F16" s="594">
        <v>6902</v>
      </c>
      <c r="G16" s="594">
        <v>9056</v>
      </c>
      <c r="H16" s="594">
        <v>13656</v>
      </c>
      <c r="I16" s="594">
        <v>16020</v>
      </c>
      <c r="J16" s="594">
        <v>19844</v>
      </c>
      <c r="K16" s="594">
        <v>20979</v>
      </c>
      <c r="L16" s="594">
        <v>2637</v>
      </c>
      <c r="M16" s="594">
        <v>7630</v>
      </c>
      <c r="N16" s="594">
        <v>4173</v>
      </c>
      <c r="O16" s="594">
        <v>71362</v>
      </c>
      <c r="P16" s="594">
        <f t="shared" si="11"/>
        <v>199506</v>
      </c>
      <c r="Q16" s="594">
        <f t="shared" si="12"/>
        <v>16625.5</v>
      </c>
      <c r="R16" s="892" t="b">
        <v>1</v>
      </c>
      <c r="S16" s="594">
        <v>15322</v>
      </c>
      <c r="T16" s="594">
        <v>40827</v>
      </c>
      <c r="U16" s="594">
        <v>11346</v>
      </c>
      <c r="V16" s="594">
        <v>13486</v>
      </c>
      <c r="W16" s="594">
        <v>15855</v>
      </c>
      <c r="X16" s="594">
        <v>26199</v>
      </c>
      <c r="Y16" s="594">
        <v>34633</v>
      </c>
      <c r="Z16" s="594">
        <v>4000</v>
      </c>
      <c r="AA16" s="594">
        <v>7253</v>
      </c>
      <c r="AB16" s="594">
        <v>6874</v>
      </c>
      <c r="AC16" s="594">
        <v>5459</v>
      </c>
      <c r="AD16" s="594">
        <v>2348</v>
      </c>
      <c r="AE16" s="594">
        <f t="shared" si="14"/>
        <v>183602</v>
      </c>
      <c r="AF16" s="594">
        <f t="shared" si="15"/>
        <v>15300.166666666666</v>
      </c>
      <c r="AH16" s="594">
        <v>28558</v>
      </c>
      <c r="AI16" s="594">
        <v>9237</v>
      </c>
      <c r="AJ16" s="594">
        <v>5229</v>
      </c>
      <c r="AK16" s="594">
        <v>7352</v>
      </c>
      <c r="AL16" s="594">
        <v>6441</v>
      </c>
      <c r="AM16" s="594">
        <v>18201</v>
      </c>
      <c r="AN16" s="594">
        <v>48309</v>
      </c>
      <c r="AO16" s="594">
        <v>13639</v>
      </c>
      <c r="AP16" s="594">
        <v>6099</v>
      </c>
      <c r="AQ16" s="594">
        <v>6049</v>
      </c>
      <c r="AR16" s="594">
        <v>8039</v>
      </c>
      <c r="AS16" s="594">
        <v>11744</v>
      </c>
      <c r="AT16" s="594">
        <f t="shared" si="17"/>
        <v>168897</v>
      </c>
      <c r="AU16" s="594">
        <f t="shared" si="18"/>
        <v>14074.75</v>
      </c>
      <c r="AW16" s="782">
        <f t="shared" si="7"/>
        <v>9396</v>
      </c>
      <c r="AX16" s="782">
        <f t="shared" si="8"/>
        <v>-1225.4166666666661</v>
      </c>
      <c r="AY16" s="1120">
        <f t="shared" si="19"/>
        <v>153596.83333333334</v>
      </c>
      <c r="AZ16" s="317">
        <f t="shared" si="9"/>
        <v>3705</v>
      </c>
    </row>
    <row r="17" spans="1:52" x14ac:dyDescent="0.55000000000000004">
      <c r="A17" s="7508"/>
      <c r="B17" s="52"/>
      <c r="C17" t="s">
        <v>845</v>
      </c>
      <c r="D17" s="692">
        <v>49.7</v>
      </c>
      <c r="E17" s="692">
        <v>205</v>
      </c>
      <c r="F17" s="692">
        <v>84.2</v>
      </c>
      <c r="G17" s="692">
        <v>52.5</v>
      </c>
      <c r="H17" s="692">
        <v>65.7</v>
      </c>
      <c r="I17" s="692">
        <v>66.099999999999994</v>
      </c>
      <c r="J17" s="692">
        <v>126.6</v>
      </c>
      <c r="K17" s="692">
        <v>238.9</v>
      </c>
      <c r="L17" s="692">
        <v>55.5</v>
      </c>
      <c r="M17" s="692">
        <v>15.8</v>
      </c>
      <c r="N17" s="692">
        <v>72.099999999999994</v>
      </c>
      <c r="O17" s="692">
        <v>59.4</v>
      </c>
      <c r="P17" s="692">
        <f t="shared" si="11"/>
        <v>1091.5</v>
      </c>
      <c r="Q17" s="692">
        <f t="shared" si="12"/>
        <v>90.958333333333329</v>
      </c>
      <c r="R17" s="892" t="b">
        <v>1</v>
      </c>
      <c r="S17" s="692">
        <v>240.4</v>
      </c>
      <c r="T17" s="692">
        <v>98.7</v>
      </c>
      <c r="U17" s="692">
        <v>69.7</v>
      </c>
      <c r="V17" s="692">
        <v>74.3</v>
      </c>
      <c r="W17" s="692">
        <v>89.1</v>
      </c>
      <c r="X17" s="692">
        <v>44.9</v>
      </c>
      <c r="Y17" s="692">
        <v>305.89999999999998</v>
      </c>
      <c r="Z17" s="692">
        <v>49.3</v>
      </c>
      <c r="AA17" s="692">
        <v>43</v>
      </c>
      <c r="AB17" s="692">
        <v>48</v>
      </c>
      <c r="AC17" s="692">
        <v>21.1</v>
      </c>
      <c r="AD17" s="692">
        <v>32.1</v>
      </c>
      <c r="AE17" s="692">
        <f t="shared" si="14"/>
        <v>1116.4999999999998</v>
      </c>
      <c r="AF17" s="692">
        <f t="shared" si="15"/>
        <v>93.041666666666643</v>
      </c>
      <c r="AH17" s="692">
        <v>293.7</v>
      </c>
      <c r="AI17" s="692">
        <v>81.099999999999994</v>
      </c>
      <c r="AJ17" s="692">
        <v>22</v>
      </c>
      <c r="AK17" s="692">
        <v>26</v>
      </c>
      <c r="AL17" s="692">
        <v>39.4</v>
      </c>
      <c r="AM17" s="692">
        <v>89.8</v>
      </c>
      <c r="AN17" s="692">
        <v>257.10000000000002</v>
      </c>
      <c r="AO17" s="692">
        <v>116.85</v>
      </c>
      <c r="AP17" s="692">
        <v>62.78</v>
      </c>
      <c r="AQ17" s="692">
        <v>38.950000000000003</v>
      </c>
      <c r="AR17" s="692">
        <v>53.6</v>
      </c>
      <c r="AS17" s="692">
        <v>55.4</v>
      </c>
      <c r="AT17" s="692">
        <f t="shared" si="17"/>
        <v>1136.6799999999998</v>
      </c>
      <c r="AU17" s="692">
        <f t="shared" si="18"/>
        <v>94.723333333333315</v>
      </c>
      <c r="AW17" s="782">
        <f t="shared" si="7"/>
        <v>23.299999999999997</v>
      </c>
      <c r="AX17" s="782">
        <f t="shared" si="8"/>
        <v>1.681666666666672</v>
      </c>
      <c r="AY17" s="1120">
        <f t="shared" si="19"/>
        <v>1043.6383333333331</v>
      </c>
      <c r="AZ17" s="317">
        <f t="shared" si="9"/>
        <v>1.7999999999999972</v>
      </c>
    </row>
    <row r="18" spans="1:52" x14ac:dyDescent="0.55000000000000004">
      <c r="A18" s="7508"/>
      <c r="B18" s="1292"/>
      <c r="C18" s="1293" t="s">
        <v>846</v>
      </c>
      <c r="D18" s="1294">
        <v>1.1629799999999999</v>
      </c>
      <c r="E18" s="1294">
        <v>4.7969999999999997</v>
      </c>
      <c r="F18" s="1294">
        <v>1.9702799999999998</v>
      </c>
      <c r="G18" s="1294">
        <v>1.2284999999999999</v>
      </c>
      <c r="H18" s="1294">
        <v>1.53738</v>
      </c>
      <c r="I18" s="1294">
        <v>1.5467399999999998</v>
      </c>
      <c r="J18" s="1294">
        <v>2.9624399999999995</v>
      </c>
      <c r="K18" s="1294">
        <v>5.5902599999999998</v>
      </c>
      <c r="L18" s="1294">
        <v>1.2986999999999997</v>
      </c>
      <c r="M18" s="1294">
        <v>0.36971999999999999</v>
      </c>
      <c r="N18" s="1294">
        <v>1.6871399999999996</v>
      </c>
      <c r="O18" s="1294">
        <v>1.3899599999999999</v>
      </c>
      <c r="P18" s="1294">
        <f t="shared" si="11"/>
        <v>25.541099999999997</v>
      </c>
      <c r="Q18" s="1294">
        <f t="shared" si="12"/>
        <v>2.1284249999999996</v>
      </c>
      <c r="R18" s="892" t="b">
        <v>1</v>
      </c>
      <c r="S18" s="1294">
        <v>5.6253599999999997</v>
      </c>
      <c r="T18" s="1294">
        <v>2.30958</v>
      </c>
      <c r="U18" s="1294">
        <v>1.6309799999999999</v>
      </c>
      <c r="V18" s="1294">
        <v>1.7386199999999998</v>
      </c>
      <c r="W18" s="1294">
        <v>2.0849399999999996</v>
      </c>
      <c r="X18" s="1294">
        <v>1.0506599999999999</v>
      </c>
      <c r="Y18" s="1294">
        <v>7.158059999999999</v>
      </c>
      <c r="Z18" s="1294">
        <v>1.1536199999999999</v>
      </c>
      <c r="AA18" s="1294">
        <v>1.0062</v>
      </c>
      <c r="AB18" s="1294">
        <v>0.8640000000000001</v>
      </c>
      <c r="AC18" s="1294">
        <v>0.37980000000000008</v>
      </c>
      <c r="AD18" s="1294">
        <v>0.57780000000000009</v>
      </c>
      <c r="AE18" s="1294">
        <f t="shared" si="14"/>
        <v>25.579619999999998</v>
      </c>
      <c r="AF18" s="1294">
        <f t="shared" si="15"/>
        <v>2.1316349999999997</v>
      </c>
      <c r="AH18" s="1294">
        <v>6.8725799999999992</v>
      </c>
      <c r="AI18" s="1294">
        <f>AI17*2.34%</f>
        <v>1.8977399999999995</v>
      </c>
      <c r="AJ18" s="1294">
        <f>AJ17*2.34%</f>
        <v>0.51479999999999992</v>
      </c>
      <c r="AK18" s="1294">
        <v>0.60839999999999994</v>
      </c>
      <c r="AL18" s="1294">
        <f>AL17*2.34%</f>
        <v>0.92195999999999989</v>
      </c>
      <c r="AM18" s="1294">
        <f>AM17*2.34%</f>
        <v>2.1013199999999999</v>
      </c>
      <c r="AN18" s="1294">
        <v>5.99</v>
      </c>
      <c r="AO18" s="1294">
        <v>2.73</v>
      </c>
      <c r="AP18" s="1294">
        <v>1.4690519999999998</v>
      </c>
      <c r="AQ18" s="1294">
        <v>0.91142999999999996</v>
      </c>
      <c r="AR18" s="1294">
        <v>1.2006400000000002</v>
      </c>
      <c r="AS18" s="1294">
        <v>1.24</v>
      </c>
      <c r="AT18" s="1294">
        <f t="shared" si="17"/>
        <v>26.457921999999996</v>
      </c>
      <c r="AU18" s="1294">
        <f t="shared" si="18"/>
        <v>2.2048268333333332</v>
      </c>
      <c r="AW18" s="782">
        <f t="shared" si="7"/>
        <v>0.6621999999999999</v>
      </c>
      <c r="AX18" s="782">
        <f t="shared" si="8"/>
        <v>7.3191833333333456E-2</v>
      </c>
      <c r="AY18" s="1120">
        <f t="shared" si="19"/>
        <v>24.326286999999997</v>
      </c>
      <c r="AZ18" s="317">
        <f t="shared" si="9"/>
        <v>3.935999999999984E-2</v>
      </c>
    </row>
    <row r="19" spans="1:52" x14ac:dyDescent="0.55000000000000004">
      <c r="A19" s="7508"/>
      <c r="B19" s="52" t="s">
        <v>275</v>
      </c>
      <c r="C19" t="s">
        <v>849</v>
      </c>
      <c r="D19" s="594">
        <v>0</v>
      </c>
      <c r="E19" s="594">
        <v>0</v>
      </c>
      <c r="F19" s="594">
        <v>1370</v>
      </c>
      <c r="G19" s="594">
        <v>2700</v>
      </c>
      <c r="H19" s="594">
        <v>0</v>
      </c>
      <c r="I19" s="594">
        <v>10978</v>
      </c>
      <c r="J19" s="594">
        <v>0</v>
      </c>
      <c r="K19" s="594">
        <v>0</v>
      </c>
      <c r="L19" s="594">
        <v>22530</v>
      </c>
      <c r="M19" s="594">
        <v>3400</v>
      </c>
      <c r="N19" s="594">
        <v>7000</v>
      </c>
      <c r="O19" s="594">
        <v>3902</v>
      </c>
      <c r="P19" s="594">
        <f t="shared" si="11"/>
        <v>51880</v>
      </c>
      <c r="Q19" s="594">
        <f t="shared" si="12"/>
        <v>4323.333333333333</v>
      </c>
      <c r="R19" s="892" t="b">
        <v>1</v>
      </c>
      <c r="S19" s="594">
        <v>0</v>
      </c>
      <c r="T19" s="594">
        <v>2010</v>
      </c>
      <c r="U19" s="594">
        <v>0</v>
      </c>
      <c r="V19" s="594">
        <v>0</v>
      </c>
      <c r="W19" s="594">
        <v>1000</v>
      </c>
      <c r="X19" s="594">
        <v>10000</v>
      </c>
      <c r="Y19" s="594">
        <v>0</v>
      </c>
      <c r="Z19" s="594">
        <v>0</v>
      </c>
      <c r="AA19" s="594">
        <v>35000</v>
      </c>
      <c r="AB19" s="594">
        <v>10030</v>
      </c>
      <c r="AC19" s="594">
        <v>0</v>
      </c>
      <c r="AD19" s="594">
        <v>0</v>
      </c>
      <c r="AE19" s="594">
        <f t="shared" si="14"/>
        <v>58040</v>
      </c>
      <c r="AF19" s="594">
        <f t="shared" si="15"/>
        <v>4836.666666666667</v>
      </c>
      <c r="AH19" s="594">
        <v>0</v>
      </c>
      <c r="AI19" s="594">
        <v>0</v>
      </c>
      <c r="AJ19" s="594">
        <v>0</v>
      </c>
      <c r="AK19" s="594">
        <v>0</v>
      </c>
      <c r="AL19" s="594">
        <v>500</v>
      </c>
      <c r="AM19" s="594">
        <v>0</v>
      </c>
      <c r="AN19" s="594">
        <v>0</v>
      </c>
      <c r="AO19" s="594">
        <v>0</v>
      </c>
      <c r="AP19" s="594">
        <v>25080</v>
      </c>
      <c r="AQ19" s="594">
        <v>7020</v>
      </c>
      <c r="AR19" s="594">
        <v>0</v>
      </c>
      <c r="AS19" s="594">
        <v>0</v>
      </c>
      <c r="AT19" s="594">
        <f t="shared" si="17"/>
        <v>32600</v>
      </c>
      <c r="AU19" s="594">
        <f t="shared" si="18"/>
        <v>2716.6666666666665</v>
      </c>
      <c r="AW19" s="782">
        <f t="shared" si="7"/>
        <v>0</v>
      </c>
      <c r="AX19" s="782">
        <f t="shared" si="8"/>
        <v>-2120.0000000000005</v>
      </c>
      <c r="AY19" s="1120">
        <f t="shared" si="19"/>
        <v>27763.333333333332</v>
      </c>
      <c r="AZ19" s="317">
        <f t="shared" si="9"/>
        <v>0</v>
      </c>
    </row>
    <row r="20" spans="1:52" x14ac:dyDescent="0.55000000000000004">
      <c r="A20" s="7508"/>
      <c r="B20" s="52"/>
      <c r="C20" t="s">
        <v>848</v>
      </c>
      <c r="D20" s="594">
        <v>6540</v>
      </c>
      <c r="E20" s="594">
        <v>4160</v>
      </c>
      <c r="F20" s="594">
        <v>160</v>
      </c>
      <c r="G20" s="594">
        <v>1580</v>
      </c>
      <c r="H20" s="594">
        <v>2870</v>
      </c>
      <c r="I20" s="594">
        <v>640</v>
      </c>
      <c r="J20" s="594">
        <v>6760</v>
      </c>
      <c r="K20" s="594">
        <v>350</v>
      </c>
      <c r="L20" s="594">
        <v>9010</v>
      </c>
      <c r="M20" s="594">
        <v>9080</v>
      </c>
      <c r="N20" s="594">
        <v>7730</v>
      </c>
      <c r="O20" s="594">
        <v>7730</v>
      </c>
      <c r="P20" s="594">
        <f t="shared" si="11"/>
        <v>56610</v>
      </c>
      <c r="Q20" s="594">
        <f t="shared" si="12"/>
        <v>4717.5</v>
      </c>
      <c r="R20" s="892" t="b">
        <v>1</v>
      </c>
      <c r="S20" s="594">
        <v>4361</v>
      </c>
      <c r="T20" s="594">
        <v>520</v>
      </c>
      <c r="U20" s="594">
        <v>1970</v>
      </c>
      <c r="V20" s="594">
        <v>1732</v>
      </c>
      <c r="W20" s="594">
        <v>1550</v>
      </c>
      <c r="X20" s="594">
        <v>200</v>
      </c>
      <c r="Y20" s="594">
        <v>4410</v>
      </c>
      <c r="Z20" s="594">
        <v>6480</v>
      </c>
      <c r="AA20" s="594">
        <v>11071</v>
      </c>
      <c r="AB20" s="594">
        <v>16070</v>
      </c>
      <c r="AC20" s="594">
        <v>3830</v>
      </c>
      <c r="AD20" s="594">
        <v>7920</v>
      </c>
      <c r="AE20" s="594">
        <f t="shared" si="14"/>
        <v>60114</v>
      </c>
      <c r="AF20" s="594">
        <f t="shared" si="15"/>
        <v>5009.5</v>
      </c>
      <c r="AH20" s="594">
        <v>1260</v>
      </c>
      <c r="AI20" s="594">
        <v>1350</v>
      </c>
      <c r="AJ20" s="594">
        <v>358</v>
      </c>
      <c r="AK20" s="594">
        <v>3371</v>
      </c>
      <c r="AL20" s="594">
        <v>160</v>
      </c>
      <c r="AM20" s="594">
        <v>3160</v>
      </c>
      <c r="AN20" s="594">
        <v>460</v>
      </c>
      <c r="AO20" s="594">
        <v>210</v>
      </c>
      <c r="AP20" s="594">
        <v>13500</v>
      </c>
      <c r="AQ20" s="594">
        <v>8640</v>
      </c>
      <c r="AR20" s="594">
        <v>2042</v>
      </c>
      <c r="AS20" s="594">
        <v>3740</v>
      </c>
      <c r="AT20" s="594">
        <f t="shared" si="17"/>
        <v>38251</v>
      </c>
      <c r="AU20" s="594">
        <f t="shared" si="18"/>
        <v>3187.5833333333335</v>
      </c>
      <c r="AW20" s="782">
        <f t="shared" si="7"/>
        <v>-4180</v>
      </c>
      <c r="AX20" s="782">
        <f>AU20-AF20</f>
        <v>-1821.9166666666665</v>
      </c>
      <c r="AY20" s="1120">
        <f t="shared" si="19"/>
        <v>33241.5</v>
      </c>
      <c r="AZ20" s="317">
        <f t="shared" si="9"/>
        <v>1698</v>
      </c>
    </row>
    <row r="21" spans="1:52" x14ac:dyDescent="0.55000000000000004">
      <c r="A21" s="7509"/>
      <c r="C21" t="s">
        <v>845</v>
      </c>
      <c r="D21" s="692">
        <v>99.747047980000005</v>
      </c>
      <c r="E21" s="692">
        <v>54.085457800000007</v>
      </c>
      <c r="F21" s="692">
        <v>2.3169541200000001</v>
      </c>
      <c r="G21" s="692">
        <v>23.89501151</v>
      </c>
      <c r="H21" s="692">
        <v>41.53543775</v>
      </c>
      <c r="I21" s="692">
        <v>7.9093782200000016</v>
      </c>
      <c r="J21" s="692">
        <v>19.754803950000003</v>
      </c>
      <c r="K21" s="692">
        <v>4.5817300100000002</v>
      </c>
      <c r="L21" s="692">
        <v>-0.03</v>
      </c>
      <c r="M21" s="692">
        <v>137.21099573000001</v>
      </c>
      <c r="N21" s="692">
        <v>129.85208104</v>
      </c>
      <c r="O21" s="692">
        <v>11.65069401</v>
      </c>
      <c r="P21" s="692">
        <f t="shared" si="11"/>
        <v>532.50959212000009</v>
      </c>
      <c r="Q21" s="692">
        <f t="shared" si="12"/>
        <v>44.375799343333341</v>
      </c>
      <c r="R21" s="892" t="b">
        <v>1</v>
      </c>
      <c r="S21" s="692">
        <v>46.942829889999999</v>
      </c>
      <c r="T21" s="692">
        <v>7.0489554520000004</v>
      </c>
      <c r="U21" s="692">
        <v>26.82548869</v>
      </c>
      <c r="V21" s="692">
        <v>27.610980210000001</v>
      </c>
      <c r="W21" s="692">
        <v>24.4</v>
      </c>
      <c r="X21" s="692">
        <v>2.8</v>
      </c>
      <c r="Y21" s="692">
        <v>41</v>
      </c>
      <c r="Z21" s="692">
        <v>61.2</v>
      </c>
      <c r="AA21" s="692">
        <v>155.69999999999999</v>
      </c>
      <c r="AB21" s="692">
        <v>229.4</v>
      </c>
      <c r="AC21" s="692">
        <v>64.900000000000006</v>
      </c>
      <c r="AD21" s="692">
        <v>70.900000000000006</v>
      </c>
      <c r="AE21" s="692">
        <f t="shared" si="14"/>
        <v>758.72825424199993</v>
      </c>
      <c r="AF21" s="692">
        <f t="shared" si="15"/>
        <v>63.227354520166664</v>
      </c>
      <c r="AH21" s="692">
        <v>19.600000000000001</v>
      </c>
      <c r="AI21" s="692">
        <v>13.6</v>
      </c>
      <c r="AJ21" s="692">
        <v>5.69</v>
      </c>
      <c r="AK21" s="692">
        <v>34.4</v>
      </c>
      <c r="AL21" s="692">
        <v>2.6</v>
      </c>
      <c r="AM21" s="692">
        <v>16.600000000000001</v>
      </c>
      <c r="AN21" s="692">
        <v>4.3</v>
      </c>
      <c r="AO21" s="692">
        <v>3.5</v>
      </c>
      <c r="AP21" s="692">
        <v>206.4</v>
      </c>
      <c r="AQ21" s="692">
        <v>120.88</v>
      </c>
      <c r="AR21" s="692">
        <v>22.46</v>
      </c>
      <c r="AS21" s="692">
        <v>49.7</v>
      </c>
      <c r="AT21" s="692">
        <f t="shared" si="17"/>
        <v>499.72999999999996</v>
      </c>
      <c r="AU21" s="692">
        <f t="shared" si="18"/>
        <v>41.644166666666663</v>
      </c>
      <c r="AW21" s="782">
        <f t="shared" si="7"/>
        <v>-21.200000000000003</v>
      </c>
      <c r="AX21" s="782">
        <f t="shared" si="8"/>
        <v>-21.5831878535</v>
      </c>
      <c r="AY21" s="1120">
        <f t="shared" si="19"/>
        <v>436.50264547983329</v>
      </c>
      <c r="AZ21" s="317">
        <f t="shared" si="9"/>
        <v>27.240000000000002</v>
      </c>
    </row>
    <row r="22" spans="1:52" ht="18" thickBot="1" x14ac:dyDescent="0.6">
      <c r="A22" s="7510"/>
      <c r="B22" s="117"/>
      <c r="C22" s="142" t="s">
        <v>846</v>
      </c>
      <c r="D22" s="694">
        <v>5.4063520199999999</v>
      </c>
      <c r="E22" s="694">
        <v>1.9837421999999905</v>
      </c>
      <c r="F22" s="694">
        <v>8.6545880000000006E-2</v>
      </c>
      <c r="G22" s="694">
        <v>1.2344884899999999</v>
      </c>
      <c r="H22" s="694">
        <v>1.92006225</v>
      </c>
      <c r="I22" s="694">
        <v>0.3241217799999988</v>
      </c>
      <c r="J22" s="694">
        <v>0.68979604999999766</v>
      </c>
      <c r="K22" s="694">
        <v>0.16696999000000001</v>
      </c>
      <c r="L22" s="694">
        <v>0</v>
      </c>
      <c r="M22" s="694">
        <v>7.2575042700000001</v>
      </c>
      <c r="N22" s="694">
        <v>6.1200189600000003</v>
      </c>
      <c r="O22" s="694">
        <v>0.60550599000000005</v>
      </c>
      <c r="P22" s="694">
        <f t="shared" si="11"/>
        <v>25.795107879999989</v>
      </c>
      <c r="Q22" s="694">
        <f t="shared" si="12"/>
        <v>2.1495923233333323</v>
      </c>
      <c r="R22" s="892" t="b">
        <v>1</v>
      </c>
      <c r="S22" s="694">
        <v>2.5059101099999999</v>
      </c>
      <c r="T22" s="694">
        <v>0.31444454799999955</v>
      </c>
      <c r="U22" s="694">
        <v>1.15411131</v>
      </c>
      <c r="V22" s="694">
        <v>1.4965597900000001</v>
      </c>
      <c r="W22" s="694">
        <v>1.04</v>
      </c>
      <c r="X22" s="694">
        <v>0.2</v>
      </c>
      <c r="Y22" s="694">
        <v>0.5</v>
      </c>
      <c r="Z22" s="694">
        <v>0.6</v>
      </c>
      <c r="AA22" s="694">
        <v>7.5</v>
      </c>
      <c r="AB22" s="694">
        <v>12.7</v>
      </c>
      <c r="AC22" s="694">
        <v>3.73</v>
      </c>
      <c r="AD22" s="694">
        <v>7.09</v>
      </c>
      <c r="AE22" s="694">
        <f t="shared" si="14"/>
        <v>38.831025757999996</v>
      </c>
      <c r="AF22" s="694">
        <f t="shared" si="15"/>
        <v>3.2359188131666663</v>
      </c>
      <c r="AH22" s="694">
        <v>1.04</v>
      </c>
      <c r="AI22" s="694">
        <v>1.7</v>
      </c>
      <c r="AJ22" s="694">
        <v>0.4</v>
      </c>
      <c r="AK22" s="694">
        <v>0.8</v>
      </c>
      <c r="AL22" s="694">
        <v>0.2</v>
      </c>
      <c r="AM22" s="694">
        <v>0.67</v>
      </c>
      <c r="AN22" s="694">
        <v>0.4</v>
      </c>
      <c r="AO22" s="694">
        <v>0.2</v>
      </c>
      <c r="AP22" s="694">
        <v>11.447919000000001</v>
      </c>
      <c r="AQ22" s="694">
        <v>6.11937</v>
      </c>
      <c r="AR22" s="694">
        <v>0.98</v>
      </c>
      <c r="AS22" s="694">
        <v>2.2000000000000002</v>
      </c>
      <c r="AT22" s="694">
        <f t="shared" si="17"/>
        <v>26.157289000000002</v>
      </c>
      <c r="AU22" s="694">
        <f t="shared" si="18"/>
        <v>2.1797740833333337</v>
      </c>
      <c r="AW22" s="782">
        <f t="shared" si="7"/>
        <v>-4.8899999999999997</v>
      </c>
      <c r="AX22" s="782">
        <f t="shared" si="8"/>
        <v>-1.0561447298333326</v>
      </c>
      <c r="AY22" s="1120">
        <f t="shared" si="19"/>
        <v>22.921370186833336</v>
      </c>
      <c r="AZ22" s="317">
        <f t="shared" si="9"/>
        <v>1.2200000000000002</v>
      </c>
    </row>
    <row r="23" spans="1:52" ht="10.5" customHeight="1" thickBot="1" x14ac:dyDescent="0.6">
      <c r="R23" s="892" t="b">
        <v>1</v>
      </c>
      <c r="AB23" t="s">
        <v>772</v>
      </c>
      <c r="AW23" s="782"/>
      <c r="AX23" s="782"/>
      <c r="AZ23" s="317">
        <f t="shared" si="9"/>
        <v>0</v>
      </c>
    </row>
    <row r="24" spans="1:52" x14ac:dyDescent="0.55000000000000004">
      <c r="A24" s="7507" t="s">
        <v>850</v>
      </c>
      <c r="B24" s="167" t="s">
        <v>851</v>
      </c>
      <c r="C24" s="1295" t="s">
        <v>852</v>
      </c>
      <c r="D24" s="1296">
        <f>SUM(D25:D27)</f>
        <v>39472</v>
      </c>
      <c r="E24" s="1296">
        <f t="shared" ref="E24:O24" si="20">SUM(E25:E27)</f>
        <v>52312</v>
      </c>
      <c r="F24" s="1296">
        <f t="shared" si="20"/>
        <v>40877</v>
      </c>
      <c r="G24" s="1296">
        <f t="shared" si="20"/>
        <v>38704</v>
      </c>
      <c r="H24" s="1296">
        <f t="shared" si="20"/>
        <v>43205</v>
      </c>
      <c r="I24" s="1296">
        <f t="shared" si="20"/>
        <v>40045</v>
      </c>
      <c r="J24" s="1296">
        <f t="shared" si="20"/>
        <v>39620</v>
      </c>
      <c r="K24" s="1296">
        <f t="shared" si="20"/>
        <v>57674</v>
      </c>
      <c r="L24" s="1296">
        <f t="shared" si="20"/>
        <v>35933</v>
      </c>
      <c r="M24" s="1296">
        <f t="shared" si="20"/>
        <v>66601</v>
      </c>
      <c r="N24" s="1296">
        <f t="shared" si="20"/>
        <v>37572</v>
      </c>
      <c r="O24" s="1296">
        <f t="shared" si="20"/>
        <v>30999</v>
      </c>
      <c r="P24" s="1296">
        <f>SUM(D24:O24)</f>
        <v>523014</v>
      </c>
      <c r="Q24" s="1296">
        <f>AVERAGE(D24:O24)</f>
        <v>43584.5</v>
      </c>
      <c r="R24" s="892" t="b">
        <v>1</v>
      </c>
      <c r="S24" s="1296">
        <f t="shared" ref="S24:AD24" si="21">SUM(S25:S27)</f>
        <v>54380</v>
      </c>
      <c r="T24" s="1296">
        <f t="shared" si="21"/>
        <v>38344</v>
      </c>
      <c r="U24" s="1296">
        <f t="shared" si="21"/>
        <v>39337</v>
      </c>
      <c r="V24" s="1296">
        <f t="shared" si="21"/>
        <v>42410</v>
      </c>
      <c r="W24" s="1296">
        <f t="shared" si="21"/>
        <v>43143</v>
      </c>
      <c r="X24" s="1296">
        <f t="shared" si="21"/>
        <v>38323</v>
      </c>
      <c r="Y24" s="1296">
        <f t="shared" si="21"/>
        <v>55181</v>
      </c>
      <c r="Z24" s="1296">
        <f t="shared" si="21"/>
        <v>41157</v>
      </c>
      <c r="AA24" s="1296">
        <f t="shared" si="21"/>
        <v>62578</v>
      </c>
      <c r="AB24" s="1296">
        <f t="shared" si="21"/>
        <v>55555</v>
      </c>
      <c r="AC24" s="1296">
        <f t="shared" si="21"/>
        <v>43193</v>
      </c>
      <c r="AD24" s="1296">
        <f t="shared" si="21"/>
        <v>35792</v>
      </c>
      <c r="AE24" s="1296">
        <f>SUM(S24:AD24)</f>
        <v>549393</v>
      </c>
      <c r="AF24" s="1296">
        <f>AVERAGE(S24:AD24)</f>
        <v>45782.75</v>
      </c>
      <c r="AH24" s="1296">
        <v>33725</v>
      </c>
      <c r="AI24" s="1296">
        <v>67573</v>
      </c>
      <c r="AJ24" s="1296">
        <v>43042</v>
      </c>
      <c r="AK24" s="1296">
        <v>46783</v>
      </c>
      <c r="AL24" s="1296">
        <v>63245</v>
      </c>
      <c r="AM24" s="1296">
        <v>51217</v>
      </c>
      <c r="AN24" s="1296">
        <v>68808</v>
      </c>
      <c r="AO24" s="1296">
        <v>49766</v>
      </c>
      <c r="AP24" s="1296">
        <v>69431</v>
      </c>
      <c r="AQ24" s="1296">
        <v>56294</v>
      </c>
      <c r="AR24" s="1296">
        <v>46695</v>
      </c>
      <c r="AS24" s="1296">
        <v>46355</v>
      </c>
      <c r="AT24" s="1296">
        <f>SUM(AH24:AS24)</f>
        <v>642934</v>
      </c>
      <c r="AU24" s="1296">
        <f>AVERAGE(AH24:AS24)</f>
        <v>53577.833333333336</v>
      </c>
      <c r="AW24" s="782">
        <f t="shared" si="7"/>
        <v>10563</v>
      </c>
      <c r="AX24" s="782">
        <f t="shared" si="8"/>
        <v>7795.0833333333358</v>
      </c>
      <c r="AY24" s="1120">
        <f t="shared" ref="AY24:AY35" si="22">AT24-AVERAGE(S24:AD24)</f>
        <v>597151.25</v>
      </c>
      <c r="AZ24" s="317">
        <f t="shared" si="9"/>
        <v>-340</v>
      </c>
    </row>
    <row r="25" spans="1:52" x14ac:dyDescent="0.55000000000000004">
      <c r="A25" s="7508"/>
      <c r="B25" s="52"/>
      <c r="C25" s="692" t="s">
        <v>853</v>
      </c>
      <c r="D25" s="288">
        <v>26017</v>
      </c>
      <c r="E25" s="288">
        <v>41851</v>
      </c>
      <c r="F25" s="288">
        <v>29175</v>
      </c>
      <c r="G25" s="288">
        <v>28269</v>
      </c>
      <c r="H25" s="288">
        <v>30676</v>
      </c>
      <c r="I25" s="288">
        <v>29468</v>
      </c>
      <c r="J25" s="288">
        <v>29499</v>
      </c>
      <c r="K25" s="288">
        <v>50571</v>
      </c>
      <c r="L25" s="288">
        <v>24743</v>
      </c>
      <c r="M25" s="288">
        <v>21978</v>
      </c>
      <c r="N25" s="288">
        <v>22212</v>
      </c>
      <c r="O25" s="288">
        <v>19738</v>
      </c>
      <c r="P25" s="288">
        <f>SUM(D25:O25)</f>
        <v>354197</v>
      </c>
      <c r="Q25" s="288">
        <f>AVERAGE(D25:O25)</f>
        <v>29516.416666666668</v>
      </c>
      <c r="R25" s="892" t="b">
        <v>1</v>
      </c>
      <c r="S25" s="288">
        <v>41685</v>
      </c>
      <c r="T25" s="288">
        <v>25766</v>
      </c>
      <c r="U25" s="288">
        <v>26516</v>
      </c>
      <c r="V25" s="288">
        <v>29859</v>
      </c>
      <c r="W25" s="288">
        <v>31023</v>
      </c>
      <c r="X25" s="288">
        <v>29314</v>
      </c>
      <c r="Y25" s="288">
        <v>44416</v>
      </c>
      <c r="Z25" s="288">
        <v>30861</v>
      </c>
      <c r="AA25" s="288">
        <v>25236</v>
      </c>
      <c r="AB25" s="288">
        <v>26157</v>
      </c>
      <c r="AC25" s="288">
        <v>27448</v>
      </c>
      <c r="AD25" s="288">
        <v>22190</v>
      </c>
      <c r="AE25" s="288">
        <f t="shared" ref="AE25:AE30" si="23">SUM(S25:AD25)</f>
        <v>360471</v>
      </c>
      <c r="AF25" s="288">
        <f t="shared" ref="AF25:AF30" si="24">AVERAGE(S25:AD25)</f>
        <v>30039.25</v>
      </c>
      <c r="AH25" s="288">
        <v>18825</v>
      </c>
      <c r="AI25" s="288">
        <v>52112</v>
      </c>
      <c r="AJ25" s="288">
        <v>29071</v>
      </c>
      <c r="AK25" s="288">
        <v>33608</v>
      </c>
      <c r="AL25" s="288">
        <v>46831</v>
      </c>
      <c r="AM25" s="288">
        <v>38015</v>
      </c>
      <c r="AN25" s="288">
        <v>58238</v>
      </c>
      <c r="AO25" s="288">
        <v>39445</v>
      </c>
      <c r="AP25" s="288">
        <v>33724</v>
      </c>
      <c r="AQ25" s="288">
        <v>31427</v>
      </c>
      <c r="AR25" s="288">
        <v>27926</v>
      </c>
      <c r="AS25" s="288">
        <v>30886</v>
      </c>
      <c r="AT25" s="288">
        <f t="shared" ref="AT25:AT30" si="25">SUM(AH25:AS25)</f>
        <v>440108</v>
      </c>
      <c r="AU25" s="288">
        <f t="shared" ref="AU25:AU30" si="26">AVERAGE(AH25:AS25)</f>
        <v>36675.666666666664</v>
      </c>
      <c r="AW25" s="782">
        <f t="shared" si="7"/>
        <v>8696</v>
      </c>
      <c r="AX25" s="782">
        <f t="shared" si="8"/>
        <v>6636.4166666666642</v>
      </c>
      <c r="AY25" s="1120">
        <f t="shared" si="22"/>
        <v>410068.75</v>
      </c>
      <c r="AZ25" s="317">
        <f t="shared" si="9"/>
        <v>2960</v>
      </c>
    </row>
    <row r="26" spans="1:52" x14ac:dyDescent="0.55000000000000004">
      <c r="A26" s="7508"/>
      <c r="B26" s="52"/>
      <c r="C26" t="s">
        <v>854</v>
      </c>
      <c r="D26" s="288">
        <v>11794</v>
      </c>
      <c r="E26" s="288">
        <v>7973</v>
      </c>
      <c r="F26" s="288">
        <v>9093</v>
      </c>
      <c r="G26" s="288">
        <v>8727</v>
      </c>
      <c r="H26" s="288">
        <v>9879</v>
      </c>
      <c r="I26" s="288">
        <v>8278</v>
      </c>
      <c r="J26" s="288">
        <v>7272</v>
      </c>
      <c r="K26" s="288">
        <v>5194</v>
      </c>
      <c r="L26" s="288">
        <v>4711</v>
      </c>
      <c r="M26" s="288">
        <v>38616</v>
      </c>
      <c r="N26" s="288">
        <v>13424</v>
      </c>
      <c r="O26" s="288">
        <v>9516</v>
      </c>
      <c r="P26" s="288">
        <f t="shared" ref="P26:P34" si="27">SUM(D26:O26)</f>
        <v>134477</v>
      </c>
      <c r="Q26" s="288">
        <f t="shared" ref="Q26:Q31" si="28">AVERAGE(D26:O26)</f>
        <v>11206.416666666666</v>
      </c>
      <c r="R26" s="892" t="b">
        <v>1</v>
      </c>
      <c r="S26" s="288">
        <v>10251</v>
      </c>
      <c r="T26" s="288">
        <v>8533</v>
      </c>
      <c r="U26" s="288">
        <v>8590</v>
      </c>
      <c r="V26" s="288">
        <v>9927</v>
      </c>
      <c r="W26" s="288">
        <v>9243</v>
      </c>
      <c r="X26" s="288">
        <v>7179</v>
      </c>
      <c r="Y26" s="288">
        <v>8404</v>
      </c>
      <c r="Z26" s="288">
        <v>8074</v>
      </c>
      <c r="AA26" s="288">
        <v>35409</v>
      </c>
      <c r="AB26" s="288">
        <v>23444</v>
      </c>
      <c r="AC26" s="288">
        <v>12978</v>
      </c>
      <c r="AD26" s="288">
        <v>11286</v>
      </c>
      <c r="AE26" s="288">
        <f t="shared" si="23"/>
        <v>153318</v>
      </c>
      <c r="AF26" s="288">
        <f t="shared" si="24"/>
        <v>12776.5</v>
      </c>
      <c r="AH26" s="288">
        <v>11359</v>
      </c>
      <c r="AI26" s="288">
        <v>11001</v>
      </c>
      <c r="AJ26" s="288">
        <v>10507</v>
      </c>
      <c r="AK26" s="288">
        <v>10969</v>
      </c>
      <c r="AL26" s="288">
        <v>13331</v>
      </c>
      <c r="AM26" s="288">
        <v>11529</v>
      </c>
      <c r="AN26" s="288">
        <v>9277</v>
      </c>
      <c r="AO26" s="288">
        <v>8471</v>
      </c>
      <c r="AP26" s="288">
        <v>33999</v>
      </c>
      <c r="AQ26" s="288">
        <v>20789</v>
      </c>
      <c r="AR26" s="288">
        <v>14921</v>
      </c>
      <c r="AS26" s="288">
        <v>13688</v>
      </c>
      <c r="AT26" s="288">
        <f t="shared" si="25"/>
        <v>169841</v>
      </c>
      <c r="AU26" s="288">
        <f t="shared" si="26"/>
        <v>14153.416666666666</v>
      </c>
      <c r="AW26" s="782">
        <f t="shared" si="7"/>
        <v>2402</v>
      </c>
      <c r="AX26" s="782">
        <f t="shared" si="8"/>
        <v>1376.9166666666661</v>
      </c>
      <c r="AY26" s="1120">
        <f t="shared" si="22"/>
        <v>157064.5</v>
      </c>
      <c r="AZ26" s="317">
        <f t="shared" si="9"/>
        <v>-1233</v>
      </c>
    </row>
    <row r="27" spans="1:52" x14ac:dyDescent="0.55000000000000004">
      <c r="A27" s="7508"/>
      <c r="B27" s="52"/>
      <c r="C27" t="s">
        <v>428</v>
      </c>
      <c r="D27" s="288">
        <v>1661</v>
      </c>
      <c r="E27" s="288">
        <v>2488</v>
      </c>
      <c r="F27" s="288">
        <v>2609</v>
      </c>
      <c r="G27" s="288">
        <v>1708</v>
      </c>
      <c r="H27" s="288">
        <v>2650</v>
      </c>
      <c r="I27" s="288">
        <v>2299</v>
      </c>
      <c r="J27" s="288">
        <v>2849</v>
      </c>
      <c r="K27" s="288">
        <v>1909</v>
      </c>
      <c r="L27" s="288">
        <v>6479</v>
      </c>
      <c r="M27" s="288">
        <v>6007</v>
      </c>
      <c r="N27" s="288">
        <v>1936</v>
      </c>
      <c r="O27" s="288">
        <v>1745</v>
      </c>
      <c r="P27" s="288">
        <f t="shared" si="27"/>
        <v>34340</v>
      </c>
      <c r="Q27" s="288">
        <f t="shared" si="28"/>
        <v>2861.6666666666665</v>
      </c>
      <c r="R27" s="892" t="b">
        <v>1</v>
      </c>
      <c r="S27" s="288">
        <v>2444</v>
      </c>
      <c r="T27" s="288">
        <v>4045</v>
      </c>
      <c r="U27" s="288">
        <v>4231</v>
      </c>
      <c r="V27" s="288">
        <v>2624</v>
      </c>
      <c r="W27" s="288">
        <v>2877</v>
      </c>
      <c r="X27" s="288">
        <v>1830</v>
      </c>
      <c r="Y27" s="288">
        <v>2361</v>
      </c>
      <c r="Z27" s="288">
        <v>2222</v>
      </c>
      <c r="AA27" s="288">
        <v>1933</v>
      </c>
      <c r="AB27" s="288">
        <v>5954</v>
      </c>
      <c r="AC27" s="288">
        <v>2767</v>
      </c>
      <c r="AD27" s="288">
        <v>2316</v>
      </c>
      <c r="AE27" s="288">
        <f t="shared" si="23"/>
        <v>35604</v>
      </c>
      <c r="AF27" s="288">
        <f t="shared" si="24"/>
        <v>2967</v>
      </c>
      <c r="AH27" s="288">
        <v>3541</v>
      </c>
      <c r="AI27" s="288">
        <v>4460</v>
      </c>
      <c r="AJ27" s="288">
        <v>3464</v>
      </c>
      <c r="AK27" s="288">
        <v>2206</v>
      </c>
      <c r="AL27" s="288">
        <v>3083</v>
      </c>
      <c r="AM27" s="288">
        <v>1673</v>
      </c>
      <c r="AN27" s="288">
        <v>1293</v>
      </c>
      <c r="AO27" s="288">
        <v>1850</v>
      </c>
      <c r="AP27" s="288">
        <v>1708</v>
      </c>
      <c r="AQ27" s="288">
        <v>4078</v>
      </c>
      <c r="AR27" s="288">
        <v>3848</v>
      </c>
      <c r="AS27" s="288">
        <v>1781</v>
      </c>
      <c r="AT27" s="288">
        <f t="shared" si="25"/>
        <v>32985</v>
      </c>
      <c r="AU27" s="288">
        <f t="shared" si="26"/>
        <v>2748.75</v>
      </c>
      <c r="AW27" s="782">
        <f t="shared" si="7"/>
        <v>-535</v>
      </c>
      <c r="AX27" s="782">
        <f t="shared" si="8"/>
        <v>-218.25</v>
      </c>
      <c r="AY27" s="1120">
        <f t="shared" si="22"/>
        <v>30018</v>
      </c>
      <c r="AZ27" s="317">
        <f t="shared" si="9"/>
        <v>-2067</v>
      </c>
    </row>
    <row r="28" spans="1:52" x14ac:dyDescent="0.55000000000000004">
      <c r="A28" s="7508"/>
      <c r="B28" s="1290" t="s">
        <v>855</v>
      </c>
      <c r="C28" s="1297" t="s">
        <v>852</v>
      </c>
      <c r="D28" s="1298">
        <f>SUM(D29:D31)</f>
        <v>242651</v>
      </c>
      <c r="E28" s="1298">
        <f t="shared" ref="E28:O28" si="29">SUM(E29:E31)</f>
        <v>310067</v>
      </c>
      <c r="F28" s="1298">
        <f t="shared" si="29"/>
        <v>263948</v>
      </c>
      <c r="G28" s="1298">
        <f t="shared" si="29"/>
        <v>247163</v>
      </c>
      <c r="H28" s="1298">
        <f t="shared" si="29"/>
        <v>266494</v>
      </c>
      <c r="I28" s="1298">
        <f t="shared" si="29"/>
        <v>244977</v>
      </c>
      <c r="J28" s="1298">
        <f t="shared" si="29"/>
        <v>253453</v>
      </c>
      <c r="K28" s="1298">
        <f t="shared" si="29"/>
        <v>342186</v>
      </c>
      <c r="L28" s="1298">
        <f t="shared" si="29"/>
        <v>215365</v>
      </c>
      <c r="M28" s="1298">
        <f t="shared" si="29"/>
        <v>328889</v>
      </c>
      <c r="N28" s="1298">
        <f t="shared" si="29"/>
        <v>238584</v>
      </c>
      <c r="O28" s="1298">
        <f t="shared" si="29"/>
        <v>216299</v>
      </c>
      <c r="P28" s="1298">
        <f t="shared" si="27"/>
        <v>3170076</v>
      </c>
      <c r="Q28" s="1298">
        <f t="shared" si="28"/>
        <v>264173</v>
      </c>
      <c r="R28" s="892" t="b">
        <v>1</v>
      </c>
      <c r="S28" s="1298">
        <f t="shared" ref="S28:AD28" si="30">SUM(S29:S31)</f>
        <v>301418</v>
      </c>
      <c r="T28" s="1298">
        <f t="shared" si="30"/>
        <v>231596</v>
      </c>
      <c r="U28" s="1298">
        <f t="shared" si="30"/>
        <v>235356</v>
      </c>
      <c r="V28" s="1298">
        <f t="shared" si="30"/>
        <v>243885</v>
      </c>
      <c r="W28" s="1298">
        <f t="shared" si="30"/>
        <v>245753</v>
      </c>
      <c r="X28" s="1298">
        <f t="shared" si="30"/>
        <v>214988</v>
      </c>
      <c r="Y28" s="1298">
        <f t="shared" si="30"/>
        <v>286285</v>
      </c>
      <c r="Z28" s="1298">
        <f t="shared" si="30"/>
        <v>238581</v>
      </c>
      <c r="AA28" s="1298">
        <f t="shared" si="30"/>
        <v>277020</v>
      </c>
      <c r="AB28" s="1298">
        <f t="shared" si="30"/>
        <v>255012</v>
      </c>
      <c r="AC28" s="1298">
        <f t="shared" si="30"/>
        <v>224425</v>
      </c>
      <c r="AD28" s="1298">
        <f t="shared" si="30"/>
        <v>209179</v>
      </c>
      <c r="AE28" s="1298">
        <f t="shared" si="23"/>
        <v>2963498</v>
      </c>
      <c r="AF28" s="1298">
        <f t="shared" si="24"/>
        <v>246958.16666666666</v>
      </c>
      <c r="AH28" s="1298">
        <v>191324</v>
      </c>
      <c r="AI28" s="1298">
        <v>322683</v>
      </c>
      <c r="AJ28" s="1298">
        <v>236817</v>
      </c>
      <c r="AK28" s="1298">
        <v>252716</v>
      </c>
      <c r="AL28" s="1298">
        <v>335340</v>
      </c>
      <c r="AM28" s="1298">
        <v>277684</v>
      </c>
      <c r="AN28" s="1298">
        <v>338393</v>
      </c>
      <c r="AO28" s="1298">
        <v>273596</v>
      </c>
      <c r="AP28" s="1298">
        <v>321082</v>
      </c>
      <c r="AQ28" s="1298">
        <v>278603</v>
      </c>
      <c r="AR28" s="1298">
        <v>233497</v>
      </c>
      <c r="AS28" s="1298">
        <v>248535</v>
      </c>
      <c r="AT28" s="1298">
        <f t="shared" si="25"/>
        <v>3310270</v>
      </c>
      <c r="AU28" s="1298">
        <f t="shared" si="26"/>
        <v>275855.83333333331</v>
      </c>
      <c r="AW28" s="782">
        <f t="shared" si="7"/>
        <v>39356</v>
      </c>
      <c r="AX28" s="782">
        <f t="shared" si="8"/>
        <v>28897.666666666657</v>
      </c>
      <c r="AY28" s="1120">
        <f t="shared" si="22"/>
        <v>3063311.8333333335</v>
      </c>
      <c r="AZ28" s="317">
        <f t="shared" si="9"/>
        <v>15038</v>
      </c>
    </row>
    <row r="29" spans="1:52" x14ac:dyDescent="0.55000000000000004">
      <c r="A29" s="7508"/>
      <c r="B29" s="52"/>
      <c r="C29" t="s">
        <v>853</v>
      </c>
      <c r="D29" s="288">
        <v>173456</v>
      </c>
      <c r="E29" s="288">
        <v>246588</v>
      </c>
      <c r="F29" s="288">
        <v>193515</v>
      </c>
      <c r="G29" s="288">
        <v>191466</v>
      </c>
      <c r="H29" s="288">
        <v>203508</v>
      </c>
      <c r="I29" s="288">
        <v>190489</v>
      </c>
      <c r="J29" s="288">
        <v>198580</v>
      </c>
      <c r="K29" s="288">
        <v>297618</v>
      </c>
      <c r="L29" s="288">
        <v>168332</v>
      </c>
      <c r="M29" s="288">
        <v>162794</v>
      </c>
      <c r="N29" s="288">
        <v>156720</v>
      </c>
      <c r="O29" s="288">
        <v>149662</v>
      </c>
      <c r="P29" s="288">
        <f t="shared" si="27"/>
        <v>2332728</v>
      </c>
      <c r="Q29" s="288">
        <f t="shared" si="28"/>
        <v>194394</v>
      </c>
      <c r="R29" s="892" t="b">
        <v>1</v>
      </c>
      <c r="S29" s="288">
        <v>232142</v>
      </c>
      <c r="T29" s="288">
        <v>163598</v>
      </c>
      <c r="U29" s="288">
        <v>170291</v>
      </c>
      <c r="V29" s="288">
        <v>188733</v>
      </c>
      <c r="W29" s="288">
        <v>189815</v>
      </c>
      <c r="X29" s="288">
        <v>169869</v>
      </c>
      <c r="Y29" s="288">
        <v>233589</v>
      </c>
      <c r="Z29" s="288">
        <v>188381</v>
      </c>
      <c r="AA29" s="288">
        <v>157439</v>
      </c>
      <c r="AB29" s="288">
        <v>157057</v>
      </c>
      <c r="AC29" s="288">
        <v>153704</v>
      </c>
      <c r="AD29" s="288">
        <v>146663</v>
      </c>
      <c r="AE29" s="288">
        <f t="shared" si="23"/>
        <v>2151281</v>
      </c>
      <c r="AF29" s="288">
        <f t="shared" si="24"/>
        <v>179273.41666666666</v>
      </c>
      <c r="AH29" s="288">
        <v>125207</v>
      </c>
      <c r="AI29" s="288">
        <v>255630</v>
      </c>
      <c r="AJ29" s="288">
        <v>173218</v>
      </c>
      <c r="AK29" s="288">
        <v>194811</v>
      </c>
      <c r="AL29" s="288">
        <v>262757</v>
      </c>
      <c r="AM29" s="288">
        <v>218670</v>
      </c>
      <c r="AN29" s="288">
        <v>287152</v>
      </c>
      <c r="AO29" s="288">
        <v>223793</v>
      </c>
      <c r="AP29" s="288">
        <v>199824</v>
      </c>
      <c r="AQ29" s="288">
        <v>182219</v>
      </c>
      <c r="AR29" s="288">
        <v>159194</v>
      </c>
      <c r="AS29" s="288">
        <v>176692</v>
      </c>
      <c r="AT29" s="288">
        <f t="shared" si="25"/>
        <v>2459167</v>
      </c>
      <c r="AU29" s="288">
        <f t="shared" si="26"/>
        <v>204930.58333333334</v>
      </c>
      <c r="AW29" s="782">
        <f t="shared" si="7"/>
        <v>30029</v>
      </c>
      <c r="AX29" s="782">
        <f t="shared" si="8"/>
        <v>25657.166666666686</v>
      </c>
      <c r="AY29" s="1120">
        <f t="shared" si="22"/>
        <v>2279893.5833333335</v>
      </c>
      <c r="AZ29" s="317">
        <f t="shared" si="9"/>
        <v>17498</v>
      </c>
    </row>
    <row r="30" spans="1:52" x14ac:dyDescent="0.55000000000000004">
      <c r="A30" s="7508"/>
      <c r="B30" s="52"/>
      <c r="C30" t="s">
        <v>854</v>
      </c>
      <c r="D30" s="288">
        <v>59552</v>
      </c>
      <c r="E30" s="288">
        <v>46614</v>
      </c>
      <c r="F30" s="288">
        <v>54908</v>
      </c>
      <c r="G30" s="288">
        <v>46813</v>
      </c>
      <c r="H30" s="288">
        <v>50623</v>
      </c>
      <c r="I30" s="288">
        <v>43453</v>
      </c>
      <c r="J30" s="288">
        <v>41572</v>
      </c>
      <c r="K30" s="288">
        <v>34413</v>
      </c>
      <c r="L30" s="288">
        <v>31021</v>
      </c>
      <c r="M30" s="288">
        <v>150967</v>
      </c>
      <c r="N30" s="288">
        <v>72386</v>
      </c>
      <c r="O30" s="288">
        <v>57473</v>
      </c>
      <c r="P30" s="288">
        <f t="shared" si="27"/>
        <v>689795</v>
      </c>
      <c r="Q30" s="288">
        <f t="shared" si="28"/>
        <v>57482.916666666664</v>
      </c>
      <c r="R30" s="892" t="b">
        <v>1</v>
      </c>
      <c r="S30" s="288">
        <v>56795</v>
      </c>
      <c r="T30" s="288">
        <v>45408</v>
      </c>
      <c r="U30" s="288">
        <v>41295</v>
      </c>
      <c r="V30" s="288">
        <v>42480</v>
      </c>
      <c r="W30" s="288">
        <v>43758</v>
      </c>
      <c r="X30" s="288">
        <v>36568</v>
      </c>
      <c r="Y30" s="288">
        <v>41125</v>
      </c>
      <c r="Z30" s="288">
        <v>38526</v>
      </c>
      <c r="AA30" s="288">
        <v>109745</v>
      </c>
      <c r="AB30" s="288">
        <v>83797</v>
      </c>
      <c r="AC30" s="288">
        <v>58877</v>
      </c>
      <c r="AD30" s="288">
        <v>51451</v>
      </c>
      <c r="AE30" s="288">
        <f t="shared" si="23"/>
        <v>649825</v>
      </c>
      <c r="AF30" s="288">
        <f t="shared" si="24"/>
        <v>54152.083333333336</v>
      </c>
      <c r="AH30" s="288">
        <v>51092</v>
      </c>
      <c r="AI30" s="288">
        <v>46633</v>
      </c>
      <c r="AJ30" s="288">
        <v>45585</v>
      </c>
      <c r="AK30" s="288">
        <v>43888</v>
      </c>
      <c r="AL30" s="288">
        <v>57921</v>
      </c>
      <c r="AM30" s="288">
        <v>50853</v>
      </c>
      <c r="AN30" s="288">
        <v>44940</v>
      </c>
      <c r="AO30" s="288">
        <v>40306</v>
      </c>
      <c r="AP30" s="288">
        <v>110273</v>
      </c>
      <c r="AQ30" s="288">
        <v>81993</v>
      </c>
      <c r="AR30" s="288">
        <v>62072</v>
      </c>
      <c r="AS30" s="288">
        <v>59604</v>
      </c>
      <c r="AT30" s="288">
        <f t="shared" si="25"/>
        <v>695160</v>
      </c>
      <c r="AU30" s="288">
        <f t="shared" si="26"/>
        <v>57930</v>
      </c>
      <c r="AW30" s="782">
        <f t="shared" si="7"/>
        <v>8153</v>
      </c>
      <c r="AX30" s="782">
        <f t="shared" si="8"/>
        <v>3777.9166666666642</v>
      </c>
      <c r="AY30" s="1120">
        <f t="shared" si="22"/>
        <v>641007.91666666663</v>
      </c>
      <c r="AZ30" s="317">
        <f t="shared" si="9"/>
        <v>-2468</v>
      </c>
    </row>
    <row r="31" spans="1:52" x14ac:dyDescent="0.55000000000000004">
      <c r="A31" s="7508"/>
      <c r="B31" s="1292"/>
      <c r="C31" t="s">
        <v>428</v>
      </c>
      <c r="D31" s="288">
        <v>9643</v>
      </c>
      <c r="E31" s="288">
        <v>16865</v>
      </c>
      <c r="F31" s="288">
        <v>15525</v>
      </c>
      <c r="G31" s="288">
        <v>8884</v>
      </c>
      <c r="H31" s="288">
        <v>12363</v>
      </c>
      <c r="I31" s="288">
        <v>11035</v>
      </c>
      <c r="J31" s="288">
        <v>13301</v>
      </c>
      <c r="K31" s="288">
        <v>10155</v>
      </c>
      <c r="L31" s="288">
        <v>16012</v>
      </c>
      <c r="M31" s="288">
        <v>15128</v>
      </c>
      <c r="N31" s="288">
        <v>9478</v>
      </c>
      <c r="O31" s="288">
        <v>9164</v>
      </c>
      <c r="P31" s="288">
        <f t="shared" si="27"/>
        <v>147553</v>
      </c>
      <c r="Q31" s="288">
        <f t="shared" si="28"/>
        <v>12296.083333333334</v>
      </c>
      <c r="R31" s="892" t="b">
        <v>1</v>
      </c>
      <c r="S31" s="288">
        <v>12481</v>
      </c>
      <c r="T31" s="288">
        <v>22590</v>
      </c>
      <c r="U31" s="288">
        <v>23770</v>
      </c>
      <c r="V31" s="288">
        <v>12672</v>
      </c>
      <c r="W31" s="288">
        <v>12180</v>
      </c>
      <c r="X31" s="288">
        <v>8551</v>
      </c>
      <c r="Y31" s="288">
        <v>11571</v>
      </c>
      <c r="Z31" s="288">
        <v>11674</v>
      </c>
      <c r="AA31" s="288">
        <v>9836</v>
      </c>
      <c r="AB31" s="288">
        <v>14158</v>
      </c>
      <c r="AC31" s="288">
        <v>11844</v>
      </c>
      <c r="AD31" s="288">
        <v>11065</v>
      </c>
      <c r="AE31" s="288">
        <f>SUM(S31:AD31)</f>
        <v>162392</v>
      </c>
      <c r="AF31" s="288">
        <f>AVERAGE(S31:AD31)</f>
        <v>13532.666666666666</v>
      </c>
      <c r="AH31" s="288">
        <v>15025</v>
      </c>
      <c r="AI31" s="288">
        <v>20420</v>
      </c>
      <c r="AJ31" s="288">
        <v>18014</v>
      </c>
      <c r="AK31" s="288">
        <v>14017</v>
      </c>
      <c r="AL31" s="288">
        <v>14662</v>
      </c>
      <c r="AM31" s="288">
        <v>8161</v>
      </c>
      <c r="AN31" s="288">
        <v>6301</v>
      </c>
      <c r="AO31" s="288">
        <v>9497</v>
      </c>
      <c r="AP31" s="288">
        <v>10985</v>
      </c>
      <c r="AQ31" s="288">
        <v>14391</v>
      </c>
      <c r="AR31" s="288">
        <v>12231</v>
      </c>
      <c r="AS31" s="288">
        <v>12239</v>
      </c>
      <c r="AT31" s="288">
        <f>SUM(AH31:AS31)</f>
        <v>155943</v>
      </c>
      <c r="AU31" s="288">
        <f>AVERAGE(AH31:AS31)</f>
        <v>12995.25</v>
      </c>
      <c r="AW31" s="782">
        <f t="shared" si="7"/>
        <v>1174</v>
      </c>
      <c r="AX31" s="782">
        <f t="shared" si="8"/>
        <v>-537.41666666666606</v>
      </c>
      <c r="AY31" s="1120">
        <f t="shared" si="22"/>
        <v>142410.33333333334</v>
      </c>
      <c r="AZ31" s="317">
        <f t="shared" si="9"/>
        <v>8</v>
      </c>
    </row>
    <row r="32" spans="1:52" x14ac:dyDescent="0.55000000000000004">
      <c r="A32" s="7508"/>
      <c r="B32" s="52" t="s">
        <v>856</v>
      </c>
      <c r="C32" s="1297" t="s">
        <v>852</v>
      </c>
      <c r="D32" s="1299">
        <f>D24/D28</f>
        <v>0.16266984269588833</v>
      </c>
      <c r="E32" s="1299">
        <f t="shared" ref="E32:AD32" si="31">E24/E28</f>
        <v>0.16871192355200651</v>
      </c>
      <c r="F32" s="1299">
        <f t="shared" si="31"/>
        <v>0.15486762544137481</v>
      </c>
      <c r="G32" s="1299">
        <f t="shared" si="31"/>
        <v>0.15659301756330843</v>
      </c>
      <c r="H32" s="1299">
        <f t="shared" si="31"/>
        <v>0.16212372511201004</v>
      </c>
      <c r="I32" s="1299">
        <f t="shared" si="31"/>
        <v>0.16346432522236781</v>
      </c>
      <c r="J32" s="1299">
        <f t="shared" si="31"/>
        <v>0.15632089578738464</v>
      </c>
      <c r="K32" s="1299">
        <f t="shared" si="31"/>
        <v>0.16854576166178628</v>
      </c>
      <c r="L32" s="1299">
        <f t="shared" si="31"/>
        <v>0.16684698070717155</v>
      </c>
      <c r="M32" s="1299">
        <f t="shared" si="31"/>
        <v>0.20250297212737428</v>
      </c>
      <c r="N32" s="1299">
        <f t="shared" si="31"/>
        <v>0.15747912684840559</v>
      </c>
      <c r="O32" s="1299">
        <f t="shared" si="31"/>
        <v>0.1433155030767595</v>
      </c>
      <c r="P32" s="1299">
        <f t="shared" si="27"/>
        <v>1.9634416997958379</v>
      </c>
      <c r="Q32" s="1299">
        <f t="shared" si="31"/>
        <v>0.16498468806426092</v>
      </c>
      <c r="R32" s="892" t="b">
        <v>1</v>
      </c>
      <c r="S32" s="1299">
        <f t="shared" si="31"/>
        <v>0.18041391025088083</v>
      </c>
      <c r="T32" s="1299">
        <f t="shared" si="31"/>
        <v>0.16556417209278226</v>
      </c>
      <c r="U32" s="1299">
        <f t="shared" si="31"/>
        <v>0.16713829262903857</v>
      </c>
      <c r="V32" s="1299">
        <f t="shared" si="31"/>
        <v>0.17389343338048671</v>
      </c>
      <c r="W32" s="1299">
        <f t="shared" si="31"/>
        <v>0.17555431673265434</v>
      </c>
      <c r="X32" s="1299">
        <f t="shared" si="31"/>
        <v>0.1782564608257205</v>
      </c>
      <c r="Y32" s="1299">
        <f t="shared" si="31"/>
        <v>0.19274848490140944</v>
      </c>
      <c r="Z32" s="1299">
        <f t="shared" si="31"/>
        <v>0.17250745029989814</v>
      </c>
      <c r="AA32" s="1299">
        <f t="shared" si="31"/>
        <v>0.22589704714461051</v>
      </c>
      <c r="AB32" s="1299">
        <f t="shared" si="31"/>
        <v>0.21785249321600553</v>
      </c>
      <c r="AC32" s="1299">
        <f t="shared" si="31"/>
        <v>0.1924607329842932</v>
      </c>
      <c r="AD32" s="1299">
        <f t="shared" si="31"/>
        <v>0.17110704229392051</v>
      </c>
      <c r="AE32" s="1299">
        <f>SUM(S32:AD32)</f>
        <v>2.2133938367517003</v>
      </c>
      <c r="AF32" s="1299">
        <f>AVERAGE(S32:AD32)</f>
        <v>0.18444948639597503</v>
      </c>
      <c r="AH32" s="1299">
        <v>0.17627166481988668</v>
      </c>
      <c r="AI32" s="1299">
        <v>0.20940985425324546</v>
      </c>
      <c r="AJ32" s="1299">
        <v>0.18175215461727831</v>
      </c>
      <c r="AK32" s="1299">
        <v>0.18512084711692176</v>
      </c>
      <c r="AL32" s="1299">
        <v>0.18859963022603923</v>
      </c>
      <c r="AM32" s="1299">
        <v>0.18444346811483556</v>
      </c>
      <c r="AN32" s="1299">
        <v>0.20333753948810998</v>
      </c>
      <c r="AO32" s="1299">
        <v>0.18189593415108407</v>
      </c>
      <c r="AP32" s="1299">
        <v>0.21624071109560797</v>
      </c>
      <c r="AQ32" s="1299">
        <v>0.2020581257201107</v>
      </c>
      <c r="AR32" s="1299">
        <v>0.19998115607481037</v>
      </c>
      <c r="AS32" s="1299">
        <v>0.18651296598064659</v>
      </c>
      <c r="AT32" s="1299">
        <f>SUM(AH32:AS32)</f>
        <v>2.3156240516585762</v>
      </c>
      <c r="AU32" s="1299">
        <f>AVERAGE(AH32:AS32)</f>
        <v>0.19296867097154802</v>
      </c>
      <c r="AW32" s="782">
        <f t="shared" si="7"/>
        <v>1.5405923686726081E-2</v>
      </c>
      <c r="AX32" s="782">
        <f t="shared" si="8"/>
        <v>8.5191845755729911E-3</v>
      </c>
      <c r="AY32" s="1120">
        <f t="shared" si="22"/>
        <v>2.1311745652626013</v>
      </c>
      <c r="AZ32" s="317">
        <f t="shared" si="9"/>
        <v>-1.3468190094163779E-2</v>
      </c>
    </row>
    <row r="33" spans="1:52" x14ac:dyDescent="0.55000000000000004">
      <c r="A33" s="7508"/>
      <c r="B33" s="52"/>
      <c r="C33" t="s">
        <v>853</v>
      </c>
      <c r="D33" s="1100">
        <v>0.14999192878885712</v>
      </c>
      <c r="E33" s="1100">
        <v>0.16972034324460233</v>
      </c>
      <c r="F33" s="1100">
        <v>0.1507635067049066</v>
      </c>
      <c r="G33" s="1100">
        <v>0.14764501269154837</v>
      </c>
      <c r="H33" s="1100">
        <v>0.15073608899895827</v>
      </c>
      <c r="I33" s="1100">
        <v>0.15469659665387503</v>
      </c>
      <c r="J33" s="1100">
        <v>0.14854970289052272</v>
      </c>
      <c r="K33" s="1100">
        <v>0.16991915811543656</v>
      </c>
      <c r="L33" s="1100">
        <v>0.14698928308343037</v>
      </c>
      <c r="M33" s="1100">
        <v>0.13500497561335184</v>
      </c>
      <c r="N33" s="1100">
        <v>0.14173047473200612</v>
      </c>
      <c r="O33" s="1100">
        <v>0.13188384493057689</v>
      </c>
      <c r="P33" s="1100">
        <f t="shared" si="27"/>
        <v>1.7976309164480717</v>
      </c>
      <c r="Q33" s="1100">
        <f>AVERAGE(D33:O33)</f>
        <v>0.14980257637067265</v>
      </c>
      <c r="R33" s="892" t="b">
        <v>1</v>
      </c>
      <c r="S33" s="1100">
        <v>0.17956681686209303</v>
      </c>
      <c r="T33" s="1100">
        <v>0.15749581290724826</v>
      </c>
      <c r="U33" s="1100">
        <v>0.15570993182258605</v>
      </c>
      <c r="V33" s="1100">
        <v>0.15820762664716823</v>
      </c>
      <c r="W33" s="1100">
        <v>0.16343808445064931</v>
      </c>
      <c r="X33" s="1100">
        <v>0.17256827319875903</v>
      </c>
      <c r="Y33" s="1100">
        <v>0.19014594009135705</v>
      </c>
      <c r="Z33" s="1100">
        <v>0.16382225383663956</v>
      </c>
      <c r="AA33" s="1100">
        <v>0.16029065225261849</v>
      </c>
      <c r="AB33" s="1100">
        <v>0.16654463029346034</v>
      </c>
      <c r="AC33" s="1100">
        <v>0.17857700515276115</v>
      </c>
      <c r="AD33" s="1100">
        <v>0.15129923702638021</v>
      </c>
      <c r="AE33" s="1100">
        <f>SUM(S33:AD33)</f>
        <v>1.9976662645417207</v>
      </c>
      <c r="AF33" s="1100">
        <f>AVERAGE(S33:AD33)</f>
        <v>0.16647218871181005</v>
      </c>
      <c r="AH33" s="1100">
        <v>0.15035101871301126</v>
      </c>
      <c r="AI33" s="1100">
        <v>0.20385713726870869</v>
      </c>
      <c r="AJ33" s="1100">
        <v>0.16782897851262571</v>
      </c>
      <c r="AK33" s="1100">
        <v>0.17251592569208105</v>
      </c>
      <c r="AL33" s="1100">
        <v>0.17822931453776683</v>
      </c>
      <c r="AM33" s="1100">
        <v>0.17384643526775506</v>
      </c>
      <c r="AN33" s="1100">
        <v>0.20281244776285731</v>
      </c>
      <c r="AO33" s="1100">
        <v>0.17625663001076888</v>
      </c>
      <c r="AP33" s="1100">
        <v>0.168768516294339</v>
      </c>
      <c r="AQ33" s="1100">
        <v>0.17246829364665595</v>
      </c>
      <c r="AR33" s="1100">
        <v>0.1754211842154855</v>
      </c>
      <c r="AS33" s="1100">
        <v>0.17480134924048626</v>
      </c>
      <c r="AT33" s="1100">
        <f>SUM(AH33:AS33)</f>
        <v>2.1171572311625413</v>
      </c>
      <c r="AU33" s="1100">
        <f>AVERAGE(AH33:AS33)</f>
        <v>0.17642976926354512</v>
      </c>
      <c r="AW33" s="782">
        <f t="shared" si="7"/>
        <v>2.3502112214106058E-2</v>
      </c>
      <c r="AX33" s="782">
        <f t="shared" si="8"/>
        <v>9.957580551735068E-3</v>
      </c>
      <c r="AY33" s="1120">
        <f t="shared" si="22"/>
        <v>1.9506850424507312</v>
      </c>
      <c r="AZ33" s="317">
        <f t="shared" si="9"/>
        <v>-6.1983497499923379E-4</v>
      </c>
    </row>
    <row r="34" spans="1:52" x14ac:dyDescent="0.55000000000000004">
      <c r="A34" s="7509"/>
      <c r="C34" t="s">
        <v>854</v>
      </c>
      <c r="D34" s="1100">
        <v>0.19804540569586243</v>
      </c>
      <c r="E34" s="1100">
        <v>0.17104303428154632</v>
      </c>
      <c r="F34" s="1100">
        <v>0.16560428352881182</v>
      </c>
      <c r="G34" s="1100">
        <v>0.18642257492576847</v>
      </c>
      <c r="H34" s="1100">
        <v>0.19514845030914801</v>
      </c>
      <c r="I34" s="1100">
        <v>0.19050468322095138</v>
      </c>
      <c r="J34" s="1100">
        <v>0.17492543057827384</v>
      </c>
      <c r="K34" s="1100">
        <v>0.15093133408886178</v>
      </c>
      <c r="L34" s="1100">
        <v>0.15186486573611424</v>
      </c>
      <c r="M34" s="1100">
        <v>0.25579100068226829</v>
      </c>
      <c r="N34" s="1100">
        <v>0.18545022518166496</v>
      </c>
      <c r="O34" s="1100">
        <v>0.16557339968332957</v>
      </c>
      <c r="P34" s="1100">
        <f t="shared" si="27"/>
        <v>2.1913046879126012</v>
      </c>
      <c r="Q34" s="1100">
        <f>AVERAGE(D34:O34)</f>
        <v>0.18260872399271677</v>
      </c>
      <c r="R34" s="892" t="b">
        <v>1</v>
      </c>
      <c r="S34" s="1100">
        <v>0.18049124042609385</v>
      </c>
      <c r="T34" s="1100">
        <v>0.18791842847075405</v>
      </c>
      <c r="U34" s="1100">
        <v>0.20801549824433951</v>
      </c>
      <c r="V34" s="1100">
        <v>0.2336864406779661</v>
      </c>
      <c r="W34" s="1100">
        <v>0.21122994652406418</v>
      </c>
      <c r="X34" s="1100">
        <v>0.19631918617370378</v>
      </c>
      <c r="Y34" s="1100">
        <v>0.20435258358662614</v>
      </c>
      <c r="Z34" s="1100">
        <v>0.20957275606084202</v>
      </c>
      <c r="AA34" s="1100">
        <v>0.32264795662672557</v>
      </c>
      <c r="AB34" s="1100">
        <v>0.27977135219637933</v>
      </c>
      <c r="AC34" s="1100">
        <v>0.22042563309951255</v>
      </c>
      <c r="AD34" s="1100">
        <v>0.21935433713630445</v>
      </c>
      <c r="AE34" s="1100">
        <f>SUM(S34:AD34)</f>
        <v>2.6737853592233112</v>
      </c>
      <c r="AF34" s="1100">
        <f>AVERAGE(S34:AD34)</f>
        <v>0.22281544660194261</v>
      </c>
      <c r="AH34" s="1100">
        <v>0.22232443435371488</v>
      </c>
      <c r="AI34" s="1100">
        <v>0.23590590354470012</v>
      </c>
      <c r="AJ34" s="1100">
        <v>0.23049248656356258</v>
      </c>
      <c r="AK34" s="1100">
        <v>0.2499316441851987</v>
      </c>
      <c r="AL34" s="1100">
        <v>0.23015831908979473</v>
      </c>
      <c r="AM34" s="1100">
        <v>0.2267122883605687</v>
      </c>
      <c r="AN34" s="1100">
        <v>0.20643079661771249</v>
      </c>
      <c r="AO34" s="1100">
        <v>0.210167220761177</v>
      </c>
      <c r="AP34" s="1100">
        <v>0.30831663235787543</v>
      </c>
      <c r="AQ34" s="1100">
        <v>0.25354603441757223</v>
      </c>
      <c r="AR34" s="1100">
        <v>0.24038213687330842</v>
      </c>
      <c r="AS34" s="1100">
        <v>0.22964901684450709</v>
      </c>
      <c r="AT34" s="1100">
        <f>SUM(AH34:AS34)</f>
        <v>2.8440169139696927</v>
      </c>
      <c r="AU34" s="1100">
        <f>AVERAGE(AH34:AS34)</f>
        <v>0.23700140949747439</v>
      </c>
      <c r="AW34" s="782">
        <f t="shared" si="7"/>
        <v>1.0294679708202636E-2</v>
      </c>
      <c r="AX34" s="782">
        <f t="shared" si="8"/>
        <v>1.4185962895531784E-2</v>
      </c>
      <c r="AY34" s="1120">
        <f t="shared" si="22"/>
        <v>2.6212014673677499</v>
      </c>
      <c r="AZ34" s="317">
        <f t="shared" si="9"/>
        <v>-1.0733120028801335E-2</v>
      </c>
    </row>
    <row r="35" spans="1:52" ht="18" thickBot="1" x14ac:dyDescent="0.6">
      <c r="A35" s="7510"/>
      <c r="B35" s="117"/>
      <c r="C35" s="117" t="s">
        <v>428</v>
      </c>
      <c r="D35" s="1300">
        <v>0.17224930001037023</v>
      </c>
      <c r="E35" s="1300">
        <v>0.14752445893863031</v>
      </c>
      <c r="F35" s="1300">
        <v>0.16805152979066024</v>
      </c>
      <c r="G35" s="1300">
        <v>0.19225574065736156</v>
      </c>
      <c r="H35" s="1300">
        <v>0.21434926797702822</v>
      </c>
      <c r="I35" s="1300">
        <v>0.20833710919800635</v>
      </c>
      <c r="J35" s="1300">
        <v>0.21419442147206977</v>
      </c>
      <c r="K35" s="1300">
        <v>0.18798621368783849</v>
      </c>
      <c r="L35" s="1300">
        <v>0.40463402448163877</v>
      </c>
      <c r="M35" s="1300">
        <v>0.39707826546800634</v>
      </c>
      <c r="N35" s="1300">
        <v>0.20426250263768728</v>
      </c>
      <c r="O35" s="1300">
        <v>0.19041903099083371</v>
      </c>
      <c r="P35" s="1300">
        <f>SUM(D35:O35)</f>
        <v>2.7013418653101313</v>
      </c>
      <c r="Q35" s="1300">
        <f>AVERAGE(D35:O35)</f>
        <v>0.2251118221091776</v>
      </c>
      <c r="R35" s="892" t="b">
        <v>1</v>
      </c>
      <c r="S35" s="1300">
        <v>0.19581764281708197</v>
      </c>
      <c r="T35" s="1300">
        <v>0.17906153165117308</v>
      </c>
      <c r="U35" s="1300">
        <v>0.17799747580984435</v>
      </c>
      <c r="V35" s="1300">
        <v>0.20707070707070707</v>
      </c>
      <c r="W35" s="1300">
        <v>0.23620689655172414</v>
      </c>
      <c r="X35" s="1300">
        <v>0.21401005730323938</v>
      </c>
      <c r="Y35" s="1300">
        <v>0.20404459424423127</v>
      </c>
      <c r="Z35" s="1300">
        <v>0.19033750214151104</v>
      </c>
      <c r="AA35" s="1300">
        <v>0.19652297681984546</v>
      </c>
      <c r="AB35" s="1300">
        <v>0.42053962424071195</v>
      </c>
      <c r="AC35" s="1300">
        <v>0.23362039851401553</v>
      </c>
      <c r="AD35" s="1300">
        <v>0.20930863081789425</v>
      </c>
      <c r="AE35" s="1300">
        <f>SUM(S35:AD35)</f>
        <v>2.6645380379819796</v>
      </c>
      <c r="AF35" s="1300">
        <f>AVERAGE(S35:AD35)</f>
        <v>0.22204483649849829</v>
      </c>
      <c r="AH35" s="1300">
        <v>0.23567387687188021</v>
      </c>
      <c r="AI35" s="1300">
        <v>0.21841332027424093</v>
      </c>
      <c r="AJ35" s="1300">
        <v>0.19229488175863219</v>
      </c>
      <c r="AK35" s="1300">
        <v>0.15738032389241635</v>
      </c>
      <c r="AL35" s="1300">
        <v>0.21027145000682035</v>
      </c>
      <c r="AM35" s="1300">
        <v>0.20499938732998407</v>
      </c>
      <c r="AN35" s="1300">
        <v>0.20520552293286781</v>
      </c>
      <c r="AO35" s="1300">
        <v>0.19479835737601348</v>
      </c>
      <c r="AP35" s="1300">
        <v>0.15548475193445607</v>
      </c>
      <c r="AQ35" s="1300">
        <v>0.28337155166423461</v>
      </c>
      <c r="AR35" s="1300">
        <v>0.31461041615567004</v>
      </c>
      <c r="AS35" s="1300">
        <v>0.14551842470790097</v>
      </c>
      <c r="AT35" s="1300">
        <f>SUM(AH35:AS35)</f>
        <v>2.5180222649051167</v>
      </c>
      <c r="AU35" s="1300">
        <f>AVERAGE(AH35:AS35)</f>
        <v>0.20983518874209306</v>
      </c>
      <c r="AW35" s="782">
        <f t="shared" si="7"/>
        <v>-6.379020610999328E-2</v>
      </c>
      <c r="AX35" s="782">
        <f t="shared" si="8"/>
        <v>-1.2209647756405234E-2</v>
      </c>
      <c r="AY35" s="1120">
        <f t="shared" si="22"/>
        <v>2.2959774284066183</v>
      </c>
      <c r="AZ35" s="317">
        <f t="shared" si="9"/>
        <v>-0.16909199144776907</v>
      </c>
    </row>
    <row r="36" spans="1:52" ht="10.5" customHeight="1" thickBot="1" x14ac:dyDescent="0.6">
      <c r="R36" s="892" t="b">
        <v>1</v>
      </c>
      <c r="AW36" s="782"/>
      <c r="AX36" s="782"/>
      <c r="AZ36" s="317">
        <f t="shared" si="9"/>
        <v>0</v>
      </c>
    </row>
    <row r="37" spans="1:52" x14ac:dyDescent="0.55000000000000004">
      <c r="A37" s="7511" t="s">
        <v>857</v>
      </c>
      <c r="B37" s="167" t="s">
        <v>858</v>
      </c>
      <c r="C37" s="138" t="s">
        <v>859</v>
      </c>
      <c r="D37" s="937">
        <v>0</v>
      </c>
      <c r="E37" s="937">
        <v>0</v>
      </c>
      <c r="F37" s="937">
        <v>0</v>
      </c>
      <c r="G37" s="937">
        <v>0</v>
      </c>
      <c r="H37" s="937">
        <v>0</v>
      </c>
      <c r="I37" s="937">
        <v>0</v>
      </c>
      <c r="J37" s="937">
        <v>0</v>
      </c>
      <c r="K37" s="937">
        <v>0</v>
      </c>
      <c r="L37" s="937">
        <v>0</v>
      </c>
      <c r="M37" s="937">
        <v>0</v>
      </c>
      <c r="N37" s="937">
        <v>0</v>
      </c>
      <c r="O37" s="937">
        <v>0</v>
      </c>
      <c r="P37" s="951">
        <f>SUM(D37:O37)</f>
        <v>0</v>
      </c>
      <c r="Q37" s="937">
        <f>AVERAGE(D37:O37)</f>
        <v>0</v>
      </c>
      <c r="R37" s="892" t="b">
        <v>1</v>
      </c>
      <c r="S37" s="937">
        <v>0</v>
      </c>
      <c r="T37" s="937">
        <v>1157</v>
      </c>
      <c r="U37" s="937">
        <v>2054</v>
      </c>
      <c r="V37" s="937">
        <v>0</v>
      </c>
      <c r="W37" s="937">
        <v>792</v>
      </c>
      <c r="X37" s="937">
        <v>0</v>
      </c>
      <c r="Y37" s="937">
        <v>0</v>
      </c>
      <c r="Z37" s="937">
        <v>3790</v>
      </c>
      <c r="AA37" s="937">
        <v>0</v>
      </c>
      <c r="AB37" s="937">
        <v>0</v>
      </c>
      <c r="AC37" s="937">
        <v>3362</v>
      </c>
      <c r="AD37" s="937">
        <v>4600</v>
      </c>
      <c r="AE37" s="937">
        <f>SUM(S37:AD37)</f>
        <v>15755</v>
      </c>
      <c r="AF37" s="937">
        <f>AVERAGE(S37:AD37)</f>
        <v>1312.9166666666667</v>
      </c>
      <c r="AH37" s="937">
        <v>818</v>
      </c>
      <c r="AI37" s="937">
        <v>0</v>
      </c>
      <c r="AJ37" s="937">
        <v>0</v>
      </c>
      <c r="AK37" s="937">
        <v>0</v>
      </c>
      <c r="AL37" s="937">
        <v>0</v>
      </c>
      <c r="AM37" s="937">
        <v>0</v>
      </c>
      <c r="AN37" s="937">
        <v>0</v>
      </c>
      <c r="AO37" s="937">
        <v>0</v>
      </c>
      <c r="AP37" s="937">
        <v>0</v>
      </c>
      <c r="AQ37" s="937">
        <v>0</v>
      </c>
      <c r="AR37" s="937">
        <v>0</v>
      </c>
      <c r="AS37" s="937">
        <v>0</v>
      </c>
      <c r="AT37" s="937">
        <f>SUM(AH37:AS37)</f>
        <v>818</v>
      </c>
      <c r="AU37" s="937">
        <f>AVERAGE(AH37:AS37)</f>
        <v>68.166666666666671</v>
      </c>
      <c r="AW37" s="782">
        <f t="shared" si="7"/>
        <v>-4600</v>
      </c>
      <c r="AX37" s="782">
        <f t="shared" si="8"/>
        <v>-1244.75</v>
      </c>
      <c r="AY37" s="1120">
        <f>AT37-AVERAGE(S37:AD37)</f>
        <v>-494.91666666666674</v>
      </c>
      <c r="AZ37" s="317">
        <f t="shared" si="9"/>
        <v>0</v>
      </c>
    </row>
    <row r="38" spans="1:52" ht="18" thickBot="1" x14ac:dyDescent="0.6">
      <c r="A38" s="7473"/>
      <c r="B38" s="117"/>
      <c r="C38" s="142" t="s">
        <v>860</v>
      </c>
      <c r="D38" s="694">
        <v>0</v>
      </c>
      <c r="E38" s="694">
        <v>0</v>
      </c>
      <c r="F38" s="694">
        <v>0</v>
      </c>
      <c r="G38" s="694">
        <v>0</v>
      </c>
      <c r="H38" s="694">
        <v>0</v>
      </c>
      <c r="I38" s="694">
        <v>0</v>
      </c>
      <c r="J38" s="694">
        <v>0</v>
      </c>
      <c r="K38" s="694">
        <v>0</v>
      </c>
      <c r="L38" s="694">
        <v>0</v>
      </c>
      <c r="M38" s="694">
        <v>0</v>
      </c>
      <c r="N38" s="694">
        <v>0</v>
      </c>
      <c r="O38" s="694">
        <v>0</v>
      </c>
      <c r="P38" s="694">
        <f>SUM(D38:O38)</f>
        <v>0</v>
      </c>
      <c r="Q38" s="694">
        <f>AVERAGE(D38:O38)</f>
        <v>0</v>
      </c>
      <c r="R38" s="892" t="b">
        <v>1</v>
      </c>
      <c r="S38" s="694">
        <v>0</v>
      </c>
      <c r="T38" s="694">
        <v>0.51118244000000002</v>
      </c>
      <c r="U38" s="694">
        <v>0.74773694000000002</v>
      </c>
      <c r="V38" s="694">
        <v>0</v>
      </c>
      <c r="W38" s="694">
        <v>0.29132381818181802</v>
      </c>
      <c r="X38" s="694">
        <v>0</v>
      </c>
      <c r="Y38" s="694">
        <v>0</v>
      </c>
      <c r="Z38" s="694">
        <v>0</v>
      </c>
      <c r="AA38" s="694">
        <v>0</v>
      </c>
      <c r="AB38" s="694">
        <v>0</v>
      </c>
      <c r="AC38" s="694">
        <v>1.5515567445454499</v>
      </c>
      <c r="AD38" s="694">
        <v>1.4230560000000001</v>
      </c>
      <c r="AE38" s="694">
        <f>SUM(S38:AD38)</f>
        <v>4.5248559427272683</v>
      </c>
      <c r="AF38" s="694">
        <f>AVERAGE(S38:AD38)</f>
        <v>0.37707132856060571</v>
      </c>
      <c r="AH38" s="694">
        <v>0.44187030181818171</v>
      </c>
      <c r="AI38" s="694">
        <v>0</v>
      </c>
      <c r="AJ38" s="694">
        <v>0</v>
      </c>
      <c r="AK38" s="694">
        <v>0</v>
      </c>
      <c r="AL38" s="694">
        <v>0</v>
      </c>
      <c r="AM38" s="694">
        <v>0</v>
      </c>
      <c r="AN38" s="694">
        <v>0</v>
      </c>
      <c r="AO38" s="694">
        <v>0</v>
      </c>
      <c r="AP38" s="694">
        <v>0</v>
      </c>
      <c r="AQ38" s="694">
        <v>0</v>
      </c>
      <c r="AR38" s="694">
        <v>0</v>
      </c>
      <c r="AS38" s="694">
        <v>0</v>
      </c>
      <c r="AT38" s="694">
        <f>SUM(AH38:AS38)</f>
        <v>0.44187030181818171</v>
      </c>
      <c r="AU38" s="694">
        <f>AVERAGE(AH38:AS38)</f>
        <v>3.6822525151515142E-2</v>
      </c>
      <c r="AW38" s="782">
        <f>HLOOKUP($A$1,$AH$2:$AS$38,ROW()-1,0)-HLOOKUP($A$1,$S$2:$AD$38,ROW()-1,0)</f>
        <v>-1.4230560000000001</v>
      </c>
      <c r="AX38" s="782">
        <f t="shared" si="8"/>
        <v>-0.34024880340909058</v>
      </c>
      <c r="AY38" s="1120">
        <f>AT38-AVERAGE(S38:AD38)</f>
        <v>6.4798973257575998E-2</v>
      </c>
      <c r="AZ38" s="317">
        <f t="shared" si="9"/>
        <v>0</v>
      </c>
    </row>
    <row r="39" spans="1:52" ht="19.3" customHeight="1" thickBot="1" x14ac:dyDescent="0.6">
      <c r="A39" s="1412"/>
      <c r="B39" s="1412"/>
      <c r="C39" s="1412"/>
      <c r="D39" s="1412"/>
      <c r="E39" s="1412"/>
      <c r="F39" s="1412"/>
      <c r="G39" s="1412"/>
      <c r="H39" s="1412"/>
      <c r="I39" s="1412"/>
      <c r="J39" s="1412"/>
      <c r="K39" s="1412"/>
      <c r="L39" s="1412"/>
      <c r="M39" s="1412"/>
      <c r="N39" s="1412"/>
      <c r="O39" s="1412"/>
      <c r="P39" s="1412"/>
      <c r="Q39" s="1412"/>
      <c r="S39" s="1412"/>
      <c r="T39" s="1412"/>
      <c r="U39" s="1412"/>
      <c r="V39" s="1412"/>
      <c r="W39" s="1412"/>
      <c r="X39" s="1412"/>
      <c r="Y39" s="1412"/>
      <c r="Z39" s="1412" t="s">
        <v>861</v>
      </c>
      <c r="AA39" s="1412"/>
      <c r="AB39" s="1412"/>
      <c r="AC39" s="1412"/>
      <c r="AD39" s="1412"/>
      <c r="AE39" s="1412"/>
      <c r="AF39" s="1412"/>
      <c r="AH39" s="1412"/>
      <c r="AI39" s="1412"/>
      <c r="AJ39" s="1412"/>
      <c r="AK39" s="1412"/>
      <c r="AL39" s="1412"/>
      <c r="AM39" s="1412"/>
      <c r="AN39" s="1412"/>
      <c r="AO39" s="1412" t="s">
        <v>861</v>
      </c>
      <c r="AP39" s="1412"/>
      <c r="AQ39" s="1412"/>
      <c r="AR39" s="1412"/>
      <c r="AS39" s="1412"/>
      <c r="AT39" s="1412"/>
      <c r="AU39" s="1412"/>
      <c r="AW39" s="782"/>
      <c r="AX39" s="782"/>
      <c r="AY39" s="1120"/>
      <c r="AZ39" s="317"/>
    </row>
    <row r="40" spans="1:52" x14ac:dyDescent="0.55000000000000004">
      <c r="A40" s="7508" t="s">
        <v>1171</v>
      </c>
      <c r="B40" s="2405" t="s">
        <v>1170</v>
      </c>
      <c r="C40" s="2406" t="s">
        <v>474</v>
      </c>
      <c r="D40" s="2406"/>
      <c r="E40" s="2420"/>
      <c r="F40" s="2420"/>
      <c r="G40" s="2420"/>
      <c r="H40" s="2420"/>
      <c r="I40" s="2420"/>
      <c r="J40" s="2420"/>
      <c r="K40" s="2420"/>
      <c r="L40" s="2420"/>
      <c r="M40" s="2420"/>
      <c r="N40" s="2420"/>
      <c r="O40" s="2420"/>
      <c r="P40" s="1015">
        <f>SUM(D40:O40)</f>
        <v>0</v>
      </c>
      <c r="Q40" s="1015" t="e">
        <f>AVERAGE(D40:O40)</f>
        <v>#DIV/0!</v>
      </c>
      <c r="R40" s="2421"/>
      <c r="S40" s="322">
        <v>38866</v>
      </c>
      <c r="T40" s="322">
        <v>36316</v>
      </c>
      <c r="U40" s="322">
        <v>30211</v>
      </c>
      <c r="V40" s="322">
        <v>28739</v>
      </c>
      <c r="W40" s="322">
        <v>29748</v>
      </c>
      <c r="X40" s="322">
        <v>27939</v>
      </c>
      <c r="Y40" s="322">
        <v>36466</v>
      </c>
      <c r="Z40" s="322">
        <v>33652</v>
      </c>
      <c r="AA40" s="322">
        <v>32511</v>
      </c>
      <c r="AB40" s="322">
        <v>25215</v>
      </c>
      <c r="AC40" s="322">
        <v>29887</v>
      </c>
      <c r="AD40" s="322">
        <v>17830</v>
      </c>
      <c r="AE40" s="1015">
        <f>SUM(S40:AD40)</f>
        <v>367380</v>
      </c>
      <c r="AF40" s="1015">
        <f>AVERAGE(S40:AD40)</f>
        <v>30615</v>
      </c>
      <c r="AG40" s="2421"/>
      <c r="AH40" s="2423">
        <v>51041</v>
      </c>
      <c r="AI40" s="2423">
        <v>56016</v>
      </c>
      <c r="AJ40" s="2423">
        <v>44344</v>
      </c>
      <c r="AK40" s="2423">
        <v>52912</v>
      </c>
      <c r="AL40" s="2423">
        <v>113606</v>
      </c>
      <c r="AM40" s="2423">
        <v>49072</v>
      </c>
      <c r="AN40" s="2423">
        <v>69329</v>
      </c>
      <c r="AO40" s="2423">
        <v>39267</v>
      </c>
      <c r="AP40" s="2423">
        <v>35027</v>
      </c>
      <c r="AQ40" s="2423">
        <v>39165</v>
      </c>
      <c r="AR40" s="2423">
        <v>45583</v>
      </c>
      <c r="AS40" s="2423">
        <v>30101</v>
      </c>
      <c r="AT40" s="1015">
        <f>SUM(AH40:AS40)</f>
        <v>625463</v>
      </c>
      <c r="AU40" s="1015">
        <f>AVERAGE(AH40:AS40)</f>
        <v>52121.916666666664</v>
      </c>
      <c r="AW40" s="782" t="e">
        <f t="shared" ref="AW40:AW57" si="32">HLOOKUP($A$1,$AH$2:$AS$38,ROW()-1,0)-HLOOKUP($A$1,$S$2:$AD$38,ROW()-1,0)</f>
        <v>#REF!</v>
      </c>
      <c r="AX40" s="782">
        <f t="shared" ref="AX40:AX57" si="33">AU40-AF40</f>
        <v>21506.916666666664</v>
      </c>
      <c r="AY40" s="1120">
        <f t="shared" ref="AY40:AY57" si="34">AT40-AVERAGE(S40:AD40)</f>
        <v>594848</v>
      </c>
      <c r="AZ40" s="317" t="e">
        <f t="shared" ref="AZ40:AZ57" si="35">HLOOKUP($A$1,$AH$2:$AS$38,ROW()-1,0)-HLOOKUP($B$1,$AH$2:$AS$38,ROW()-1,0)</f>
        <v>#REF!</v>
      </c>
    </row>
    <row r="41" spans="1:52" x14ac:dyDescent="0.55000000000000004">
      <c r="A41" s="7508"/>
      <c r="C41" t="s">
        <v>1173</v>
      </c>
      <c r="P41" s="2419">
        <f t="shared" ref="P41:P42" si="36">SUM(D41:O41)</f>
        <v>0</v>
      </c>
      <c r="Q41" s="2419" t="e">
        <f t="shared" ref="Q41:Q42" si="37">AVERAGE(D41:O41)</f>
        <v>#DIV/0!</v>
      </c>
      <c r="S41" s="2419">
        <v>2.9926819999999998</v>
      </c>
      <c r="T41" s="2419">
        <v>2.796332</v>
      </c>
      <c r="U41" s="2419">
        <v>2.326247</v>
      </c>
      <c r="V41" s="2419">
        <v>2.2129029999999998</v>
      </c>
      <c r="W41" s="2419">
        <v>2.2905959999999999</v>
      </c>
      <c r="X41" s="2419">
        <v>2.1513030000000004</v>
      </c>
      <c r="Y41" s="2419">
        <v>2.8078819999999998</v>
      </c>
      <c r="Z41" s="2419">
        <v>2.5912040000000003</v>
      </c>
      <c r="AA41" s="2419">
        <v>2.5033469999999998</v>
      </c>
      <c r="AB41" s="2419">
        <v>1.9415550000000001</v>
      </c>
      <c r="AC41" s="2419">
        <v>2.3012989999999998</v>
      </c>
      <c r="AD41" s="2419">
        <v>1.3729100000000001</v>
      </c>
      <c r="AE41" s="2419">
        <f t="shared" ref="AE41:AE42" si="38">SUM(S41:AD41)</f>
        <v>28.288260000000005</v>
      </c>
      <c r="AF41" s="2419">
        <f t="shared" ref="AF41:AF42" si="39">AVERAGE(S41:AD41)</f>
        <v>2.3573550000000005</v>
      </c>
      <c r="AH41" s="2419">
        <v>3.8531569999999999</v>
      </c>
      <c r="AI41" s="2419">
        <v>4.23285555</v>
      </c>
      <c r="AJ41" s="2419">
        <v>3.3617430000000001</v>
      </c>
      <c r="AK41" s="2419">
        <v>4.0016514999999995</v>
      </c>
      <c r="AL41" s="2419">
        <v>8.5347570000000008</v>
      </c>
      <c r="AM41" s="2419">
        <v>3.7023139999999994</v>
      </c>
      <c r="AN41" s="2419">
        <v>5.224180500000001</v>
      </c>
      <c r="AO41" s="2419">
        <v>2.9392439999999995</v>
      </c>
      <c r="AP41" s="2419">
        <v>2.6266240000000005</v>
      </c>
      <c r="AQ41" s="2419">
        <v>2.9290799999999999</v>
      </c>
      <c r="AR41" s="2419">
        <v>3.4606109999999997</v>
      </c>
      <c r="AS41" s="2419">
        <v>2.317777</v>
      </c>
      <c r="AT41" s="2419">
        <f t="shared" ref="AT41:AT42" si="40">SUM(AH41:AS41)</f>
        <v>47.183994550000001</v>
      </c>
      <c r="AU41" s="2419">
        <f t="shared" ref="AU41:AU42" si="41">AVERAGE(AH41:AS41)</f>
        <v>3.9319995458333334</v>
      </c>
      <c r="AW41" s="782" t="e">
        <f t="shared" si="32"/>
        <v>#REF!</v>
      </c>
      <c r="AX41" s="782">
        <f t="shared" si="33"/>
        <v>1.5746445458333329</v>
      </c>
      <c r="AY41" s="2430">
        <f t="shared" si="34"/>
        <v>44.826639550000003</v>
      </c>
      <c r="AZ41" s="317" t="e">
        <f t="shared" si="35"/>
        <v>#REF!</v>
      </c>
    </row>
    <row r="42" spans="1:52" x14ac:dyDescent="0.55000000000000004">
      <c r="A42" s="7508"/>
      <c r="B42" s="2407"/>
      <c r="C42" s="1579" t="s">
        <v>1175</v>
      </c>
      <c r="D42" s="1579"/>
      <c r="E42" s="1579"/>
      <c r="F42" s="1579"/>
      <c r="G42" s="1579"/>
      <c r="H42" s="1579"/>
      <c r="I42" s="1579"/>
      <c r="J42" s="1579"/>
      <c r="K42" s="1579"/>
      <c r="L42" s="1579"/>
      <c r="M42" s="1579"/>
      <c r="N42" s="1579"/>
      <c r="O42" s="1579"/>
      <c r="P42" s="2409">
        <f t="shared" si="36"/>
        <v>0</v>
      </c>
      <c r="Q42" s="2409" t="e">
        <f t="shared" si="37"/>
        <v>#DIV/0!</v>
      </c>
      <c r="S42" s="2409">
        <v>1.9432999999999998</v>
      </c>
      <c r="T42" s="2409">
        <v>1.8158000000000001</v>
      </c>
      <c r="U42" s="2409">
        <v>1.5105499999999998</v>
      </c>
      <c r="V42" s="2409">
        <v>1.4369499999999999</v>
      </c>
      <c r="W42" s="2409">
        <v>1.4873999999999998</v>
      </c>
      <c r="X42" s="2409">
        <v>1.3969500000000001</v>
      </c>
      <c r="Y42" s="2409">
        <v>1.8232999999999999</v>
      </c>
      <c r="Z42" s="2409">
        <v>1.6825999999999999</v>
      </c>
      <c r="AA42" s="2409">
        <v>1.6255500000000001</v>
      </c>
      <c r="AB42" s="2409">
        <v>1.26075</v>
      </c>
      <c r="AC42" s="2409">
        <v>1.4943500000000001</v>
      </c>
      <c r="AD42" s="2409">
        <v>0.89150000000000007</v>
      </c>
      <c r="AE42" s="2409">
        <f t="shared" si="38"/>
        <v>18.369</v>
      </c>
      <c r="AF42" s="2409">
        <f t="shared" si="39"/>
        <v>1.5307500000000001</v>
      </c>
      <c r="AH42" s="2409">
        <v>2.47505</v>
      </c>
      <c r="AI42" s="2409">
        <v>2.72042355</v>
      </c>
      <c r="AJ42" s="2409">
        <v>2.1644550000000002</v>
      </c>
      <c r="AK42" s="2409">
        <v>2.5730275000000002</v>
      </c>
      <c r="AL42" s="2409">
        <v>5.4673949999999998</v>
      </c>
      <c r="AM42" s="2409">
        <v>2.3773699999999995</v>
      </c>
      <c r="AN42" s="2409">
        <v>3.3522975000000002</v>
      </c>
      <c r="AO42" s="2409">
        <v>1.879035</v>
      </c>
      <c r="AP42" s="2409">
        <v>1.680895</v>
      </c>
      <c r="AQ42" s="2409">
        <v>1.8716250000000001</v>
      </c>
      <c r="AR42" s="2409">
        <v>2.2298700000000005</v>
      </c>
      <c r="AS42" s="2409">
        <v>1.5050499999999998</v>
      </c>
      <c r="AT42" s="2409">
        <f t="shared" si="40"/>
        <v>30.296493550000001</v>
      </c>
      <c r="AU42" s="2409">
        <f t="shared" si="41"/>
        <v>2.5247077958333333</v>
      </c>
      <c r="AW42" s="782" t="e">
        <f t="shared" si="32"/>
        <v>#REF!</v>
      </c>
      <c r="AX42" s="782">
        <f t="shared" si="33"/>
        <v>0.99395779583333321</v>
      </c>
      <c r="AY42" s="1120">
        <f t="shared" si="34"/>
        <v>28.76574355</v>
      </c>
      <c r="AZ42" s="317" t="e">
        <f t="shared" si="35"/>
        <v>#REF!</v>
      </c>
    </row>
    <row r="43" spans="1:52" x14ac:dyDescent="0.55000000000000004">
      <c r="A43" s="7508"/>
      <c r="B43" s="2411" t="s">
        <v>19</v>
      </c>
      <c r="C43" s="2408" t="s">
        <v>720</v>
      </c>
      <c r="D43" s="2408"/>
      <c r="E43" s="2422"/>
      <c r="F43" s="2422"/>
      <c r="G43" s="2422"/>
      <c r="H43" s="2422"/>
      <c r="I43" s="2422"/>
      <c r="J43" s="2422"/>
      <c r="K43" s="2422"/>
      <c r="L43" s="2422"/>
      <c r="M43" s="2422"/>
      <c r="N43" s="2422"/>
      <c r="O43" s="2422"/>
      <c r="P43" s="322">
        <f>SUM(D43:O43)</f>
        <v>0</v>
      </c>
      <c r="Q43" s="322" t="e">
        <f>AVERAGE(D43:O43)</f>
        <v>#DIV/0!</v>
      </c>
      <c r="R43" s="2421"/>
      <c r="S43" s="322">
        <v>11472</v>
      </c>
      <c r="T43" s="322">
        <v>8008</v>
      </c>
      <c r="U43" s="322">
        <v>8743</v>
      </c>
      <c r="V43" s="322">
        <v>8242</v>
      </c>
      <c r="W43" s="322">
        <v>8149</v>
      </c>
      <c r="X43" s="322">
        <v>7179</v>
      </c>
      <c r="Y43" s="322">
        <v>11323</v>
      </c>
      <c r="Z43" s="322">
        <v>8033</v>
      </c>
      <c r="AA43" s="322">
        <v>7262</v>
      </c>
      <c r="AB43" s="322">
        <v>7138</v>
      </c>
      <c r="AC43" s="322">
        <v>6832</v>
      </c>
      <c r="AD43" s="322">
        <v>6448</v>
      </c>
      <c r="AE43" s="322">
        <f>SUM(S43:AD43)</f>
        <v>98829</v>
      </c>
      <c r="AF43" s="322">
        <f>AVERAGE(S43:AD43)</f>
        <v>8235.75</v>
      </c>
      <c r="AG43" s="2421"/>
      <c r="AH43" s="2423">
        <v>8138</v>
      </c>
      <c r="AI43" s="2423">
        <v>11694</v>
      </c>
      <c r="AJ43" s="2423">
        <v>8769</v>
      </c>
      <c r="AK43" s="2423">
        <v>14632</v>
      </c>
      <c r="AL43" s="2423">
        <v>23955</v>
      </c>
      <c r="AM43" s="2423">
        <v>10786</v>
      </c>
      <c r="AN43" s="2423">
        <v>17558</v>
      </c>
      <c r="AO43" s="2423">
        <v>9261</v>
      </c>
      <c r="AP43" s="2423">
        <v>8072</v>
      </c>
      <c r="AQ43" s="2423">
        <v>6699</v>
      </c>
      <c r="AR43" s="2423">
        <v>22115</v>
      </c>
      <c r="AS43" s="2423">
        <v>21641</v>
      </c>
      <c r="AT43" s="322">
        <f>SUM(AH43:AS43)</f>
        <v>163320</v>
      </c>
      <c r="AU43" s="322">
        <f>AVERAGE(AH43:AS43)</f>
        <v>13610</v>
      </c>
      <c r="AW43" s="782" t="e">
        <f t="shared" si="32"/>
        <v>#REF!</v>
      </c>
      <c r="AX43" s="782">
        <f t="shared" si="33"/>
        <v>5374.25</v>
      </c>
      <c r="AY43" s="1120">
        <f t="shared" si="34"/>
        <v>155084.25</v>
      </c>
      <c r="AZ43" s="317" t="e">
        <f t="shared" si="35"/>
        <v>#REF!</v>
      </c>
    </row>
    <row r="44" spans="1:52" x14ac:dyDescent="0.55000000000000004">
      <c r="A44" s="7508"/>
      <c r="B44" s="52"/>
      <c r="C44" t="s">
        <v>1172</v>
      </c>
      <c r="P44" s="2419">
        <f t="shared" ref="P44:P45" si="42">SUM(D44:O44)</f>
        <v>0</v>
      </c>
      <c r="Q44" s="2419" t="e">
        <f t="shared" ref="Q44:Q45" si="43">AVERAGE(D44:O44)</f>
        <v>#DIV/0!</v>
      </c>
      <c r="S44" s="2419">
        <v>0.88334400000000002</v>
      </c>
      <c r="T44" s="2419">
        <v>0.61661600000000005</v>
      </c>
      <c r="U44" s="2419">
        <v>0.673211</v>
      </c>
      <c r="V44" s="2419">
        <v>0.63463400000000003</v>
      </c>
      <c r="W44" s="2419">
        <v>0.62747299999999995</v>
      </c>
      <c r="X44" s="2419">
        <v>0.55278300000000002</v>
      </c>
      <c r="Y44" s="2419">
        <v>0.87187099999999995</v>
      </c>
      <c r="Z44" s="2419">
        <v>0.61854100000000001</v>
      </c>
      <c r="AA44" s="2419">
        <v>0.55917399999999995</v>
      </c>
      <c r="AB44" s="2419">
        <v>0.54962599999999995</v>
      </c>
      <c r="AC44" s="2419">
        <v>0.52606399999999998</v>
      </c>
      <c r="AD44" s="2419">
        <v>0.49649599999999999</v>
      </c>
      <c r="AE44" s="2419">
        <f t="shared" ref="AE44:AE45" si="44">SUM(S44:AD44)</f>
        <v>7.6098329999999983</v>
      </c>
      <c r="AF44" s="2419">
        <f t="shared" ref="AF44:AF45" si="45">AVERAGE(S44:AD44)</f>
        <v>0.63415274999999982</v>
      </c>
      <c r="AH44" s="2419">
        <v>0.62662600000000002</v>
      </c>
      <c r="AI44" s="2419">
        <v>0.90043800000000007</v>
      </c>
      <c r="AJ44" s="2419">
        <v>0.67521299999999995</v>
      </c>
      <c r="AK44" s="2419">
        <v>1.1266639999999999</v>
      </c>
      <c r="AL44" s="2419">
        <v>1.8445349999999998</v>
      </c>
      <c r="AM44" s="2419">
        <v>0.83052199999999998</v>
      </c>
      <c r="AN44" s="2419">
        <v>1.351966</v>
      </c>
      <c r="AO44" s="2419">
        <v>0.71309699999999998</v>
      </c>
      <c r="AP44" s="2419">
        <v>0.62154399999999999</v>
      </c>
      <c r="AQ44" s="2419">
        <v>0.51582300000000003</v>
      </c>
      <c r="AR44" s="2419">
        <v>1.702855</v>
      </c>
      <c r="AS44" s="2419">
        <v>1.6663570000000001</v>
      </c>
      <c r="AT44" s="2419">
        <f t="shared" ref="AT44:AT45" si="46">SUM(AH44:AS44)</f>
        <v>12.575639999999998</v>
      </c>
      <c r="AU44" s="2419">
        <f t="shared" ref="AU44:AU45" si="47">AVERAGE(AH44:AS44)</f>
        <v>1.0479699999999998</v>
      </c>
      <c r="AW44" s="782" t="e">
        <f t="shared" si="32"/>
        <v>#REF!</v>
      </c>
      <c r="AX44" s="782">
        <f t="shared" si="33"/>
        <v>0.41381725000000003</v>
      </c>
      <c r="AY44" s="1120">
        <f t="shared" si="34"/>
        <v>11.941487249999998</v>
      </c>
      <c r="AZ44" s="317" t="e">
        <f t="shared" si="35"/>
        <v>#REF!</v>
      </c>
    </row>
    <row r="45" spans="1:52" x14ac:dyDescent="0.55000000000000004">
      <c r="A45" s="7508"/>
      <c r="B45" s="2412"/>
      <c r="C45" s="1579" t="s">
        <v>1174</v>
      </c>
      <c r="D45" s="1579"/>
      <c r="E45" s="1579"/>
      <c r="F45" s="1579"/>
      <c r="G45" s="1579"/>
      <c r="H45" s="1579"/>
      <c r="I45" s="1579"/>
      <c r="J45" s="1579"/>
      <c r="K45" s="1579"/>
      <c r="L45" s="1579"/>
      <c r="M45" s="1579"/>
      <c r="N45" s="1579"/>
      <c r="O45" s="1579"/>
      <c r="P45" s="2409">
        <f t="shared" si="42"/>
        <v>0</v>
      </c>
      <c r="Q45" s="2409" t="e">
        <f t="shared" si="43"/>
        <v>#DIV/0!</v>
      </c>
      <c r="S45" s="2409">
        <v>0.5736</v>
      </c>
      <c r="T45" s="2409">
        <v>0.40039999999999998</v>
      </c>
      <c r="U45" s="2409">
        <v>0.43714999999999998</v>
      </c>
      <c r="V45" s="2409">
        <v>0.41210000000000002</v>
      </c>
      <c r="W45" s="2409">
        <v>0.40744999999999998</v>
      </c>
      <c r="X45" s="2409">
        <v>0.35894999999999999</v>
      </c>
      <c r="Y45" s="2409">
        <v>0.56615000000000004</v>
      </c>
      <c r="Z45" s="2409">
        <v>0.40165000000000001</v>
      </c>
      <c r="AA45" s="2409">
        <v>0.36309999999999998</v>
      </c>
      <c r="AB45" s="2409">
        <v>0.3569</v>
      </c>
      <c r="AC45" s="2409">
        <v>0.34160000000000001</v>
      </c>
      <c r="AD45" s="2409">
        <v>0.32240000000000002</v>
      </c>
      <c r="AE45" s="2409">
        <f t="shared" si="44"/>
        <v>4.9414499999999997</v>
      </c>
      <c r="AF45" s="2409">
        <f t="shared" si="45"/>
        <v>0.41178749999999997</v>
      </c>
      <c r="AH45" s="2409">
        <v>0.40689999999999998</v>
      </c>
      <c r="AI45" s="2409">
        <v>0.5847</v>
      </c>
      <c r="AJ45" s="2409">
        <v>0.43845000000000001</v>
      </c>
      <c r="AK45" s="2409">
        <v>0.73159999999999992</v>
      </c>
      <c r="AL45" s="2409">
        <v>1.1977500000000001</v>
      </c>
      <c r="AM45" s="2409">
        <v>0.5393</v>
      </c>
      <c r="AN45" s="2409">
        <v>0.87790000000000001</v>
      </c>
      <c r="AO45" s="2409">
        <v>0.46305000000000002</v>
      </c>
      <c r="AP45" s="2409">
        <v>0.40360000000000001</v>
      </c>
      <c r="AQ45" s="2409">
        <v>0.33495000000000003</v>
      </c>
      <c r="AR45" s="2409">
        <v>1.10575</v>
      </c>
      <c r="AS45" s="2409">
        <v>1.08205</v>
      </c>
      <c r="AT45" s="2409">
        <f t="shared" si="46"/>
        <v>8.1660000000000004</v>
      </c>
      <c r="AU45" s="2409">
        <f t="shared" si="47"/>
        <v>0.68049999999999999</v>
      </c>
      <c r="AW45" s="782" t="e">
        <f t="shared" si="32"/>
        <v>#REF!</v>
      </c>
      <c r="AX45" s="782">
        <f t="shared" si="33"/>
        <v>0.26871250000000002</v>
      </c>
      <c r="AY45" s="1120">
        <f t="shared" si="34"/>
        <v>7.7542125000000004</v>
      </c>
      <c r="AZ45" s="317" t="e">
        <f t="shared" si="35"/>
        <v>#REF!</v>
      </c>
    </row>
    <row r="46" spans="1:52" x14ac:dyDescent="0.55000000000000004">
      <c r="A46" s="7508"/>
      <c r="B46" s="52" t="s">
        <v>20</v>
      </c>
      <c r="C46" t="s">
        <v>720</v>
      </c>
      <c r="E46" s="322"/>
      <c r="F46" s="322"/>
      <c r="G46" s="322"/>
      <c r="H46" s="322"/>
      <c r="I46" s="322"/>
      <c r="J46" s="322"/>
      <c r="K46" s="322"/>
      <c r="L46" s="322"/>
      <c r="M46" s="322"/>
      <c r="N46" s="322"/>
      <c r="O46" s="322"/>
      <c r="P46" s="322">
        <f>SUM(D46:O46)</f>
        <v>0</v>
      </c>
      <c r="Q46" s="322" t="e">
        <f>AVERAGE(D46:O46)</f>
        <v>#DIV/0!</v>
      </c>
      <c r="R46" s="2421"/>
      <c r="S46" s="322">
        <v>19163</v>
      </c>
      <c r="T46" s="322">
        <v>15726</v>
      </c>
      <c r="U46" s="322">
        <v>12410</v>
      </c>
      <c r="V46" s="322">
        <v>13191</v>
      </c>
      <c r="W46" s="322">
        <v>14726</v>
      </c>
      <c r="X46" s="322">
        <v>13040</v>
      </c>
      <c r="Y46" s="322">
        <v>12900</v>
      </c>
      <c r="Z46" s="322">
        <v>8132</v>
      </c>
      <c r="AA46" s="322">
        <v>3002</v>
      </c>
      <c r="AB46" s="322">
        <v>2999</v>
      </c>
      <c r="AC46" s="322">
        <v>1217</v>
      </c>
      <c r="AD46" s="322">
        <v>976</v>
      </c>
      <c r="AE46" s="322">
        <f>SUM(S46:AD46)</f>
        <v>117482</v>
      </c>
      <c r="AF46" s="322">
        <f>AVERAGE(S46:AD46)</f>
        <v>9790.1666666666661</v>
      </c>
      <c r="AG46" s="2421"/>
      <c r="AH46" s="2423">
        <v>20000</v>
      </c>
      <c r="AI46" s="2423">
        <v>20877</v>
      </c>
      <c r="AJ46" s="2423">
        <v>13700</v>
      </c>
      <c r="AK46" s="2423">
        <v>18850</v>
      </c>
      <c r="AL46" s="2423">
        <v>55300</v>
      </c>
      <c r="AM46" s="2423">
        <v>19800</v>
      </c>
      <c r="AN46" s="2423">
        <v>29650</v>
      </c>
      <c r="AO46" s="2423">
        <v>21900</v>
      </c>
      <c r="AP46" s="2423">
        <v>18300</v>
      </c>
      <c r="AQ46" s="2423">
        <v>22500</v>
      </c>
      <c r="AR46" s="2423">
        <v>12800</v>
      </c>
      <c r="AS46" s="2423">
        <v>0</v>
      </c>
      <c r="AT46" s="322">
        <f>SUM(AH46:AS46)</f>
        <v>253677</v>
      </c>
      <c r="AU46" s="322">
        <f>AVERAGE(AH46:AS46)</f>
        <v>21139.75</v>
      </c>
      <c r="AW46" s="782" t="e">
        <f t="shared" si="32"/>
        <v>#REF!</v>
      </c>
      <c r="AX46" s="782">
        <f t="shared" si="33"/>
        <v>11349.583333333334</v>
      </c>
      <c r="AY46" s="1120">
        <f t="shared" si="34"/>
        <v>243886.83333333334</v>
      </c>
      <c r="AZ46" s="317" t="e">
        <f t="shared" si="35"/>
        <v>#REF!</v>
      </c>
    </row>
    <row r="47" spans="1:52" x14ac:dyDescent="0.55000000000000004">
      <c r="A47" s="7508"/>
      <c r="B47" s="52"/>
      <c r="C47" t="s">
        <v>1172</v>
      </c>
      <c r="P47" s="2419">
        <f t="shared" ref="P47:P48" si="48">SUM(D47:O47)</f>
        <v>0</v>
      </c>
      <c r="Q47" s="2419" t="e">
        <f t="shared" ref="Q47:Q48" si="49">AVERAGE(D47:O47)</f>
        <v>#DIV/0!</v>
      </c>
      <c r="S47" s="2419">
        <v>1.4755510000000001</v>
      </c>
      <c r="T47" s="2419">
        <v>1.2109019999999999</v>
      </c>
      <c r="U47" s="2419">
        <v>0.95557000000000003</v>
      </c>
      <c r="V47" s="2419">
        <v>1.0157069999999999</v>
      </c>
      <c r="W47" s="2419">
        <v>1.133902</v>
      </c>
      <c r="X47" s="2419">
        <v>1.0040800000000001</v>
      </c>
      <c r="Y47" s="2419">
        <v>0.99329999999999996</v>
      </c>
      <c r="Z47" s="2419">
        <v>0.62616400000000005</v>
      </c>
      <c r="AA47" s="2419">
        <v>0.231154</v>
      </c>
      <c r="AB47" s="2419">
        <v>0.23092299999999999</v>
      </c>
      <c r="AC47" s="2419">
        <v>9.3709000000000001E-2</v>
      </c>
      <c r="AD47" s="2419">
        <v>7.5151999999999997E-2</v>
      </c>
      <c r="AE47" s="2419">
        <f t="shared" ref="AE47:AE48" si="50">SUM(S47:AD47)</f>
        <v>9.0461139999999993</v>
      </c>
      <c r="AF47" s="2419">
        <f t="shared" ref="AF47:AF48" si="51">AVERAGE(S47:AD47)</f>
        <v>0.75384283333333324</v>
      </c>
      <c r="AH47" s="2419">
        <v>1.4630000000000001</v>
      </c>
      <c r="AI47" s="2419">
        <v>1.5271525500000001</v>
      </c>
      <c r="AJ47" s="2419">
        <v>1.0021550000000001</v>
      </c>
      <c r="AK47" s="2419">
        <v>1.3788775000000002</v>
      </c>
      <c r="AL47" s="2419">
        <v>4.0451949999999997</v>
      </c>
      <c r="AM47" s="2419">
        <v>1.4483699999999999</v>
      </c>
      <c r="AN47" s="2419">
        <v>2.1688974999999999</v>
      </c>
      <c r="AO47" s="2419">
        <v>1.601985</v>
      </c>
      <c r="AP47" s="2419">
        <v>1.3386450000000001</v>
      </c>
      <c r="AQ47" s="2419">
        <v>1.645875</v>
      </c>
      <c r="AR47" s="2419">
        <v>0.93632000000000004</v>
      </c>
      <c r="AS47" s="2419">
        <v>0</v>
      </c>
      <c r="AT47" s="2419">
        <f t="shared" ref="AT47:AT48" si="52">SUM(AH47:AS47)</f>
        <v>18.556472549999999</v>
      </c>
      <c r="AU47" s="2419">
        <f t="shared" ref="AU47:AU48" si="53">AVERAGE(AH47:AS47)</f>
        <v>1.5463727125</v>
      </c>
      <c r="AW47" s="782" t="e">
        <f t="shared" si="32"/>
        <v>#REF!</v>
      </c>
      <c r="AX47" s="782">
        <f t="shared" si="33"/>
        <v>0.79252987916666673</v>
      </c>
      <c r="AY47" s="1120">
        <f t="shared" si="34"/>
        <v>17.802629716666665</v>
      </c>
      <c r="AZ47" s="317" t="e">
        <f t="shared" si="35"/>
        <v>#REF!</v>
      </c>
    </row>
    <row r="48" spans="1:52" x14ac:dyDescent="0.55000000000000004">
      <c r="A48" s="7508"/>
      <c r="B48" s="2412"/>
      <c r="C48" s="1579" t="s">
        <v>1174</v>
      </c>
      <c r="D48" s="1579"/>
      <c r="E48" s="1579"/>
      <c r="F48" s="1579"/>
      <c r="G48" s="1579"/>
      <c r="H48" s="1579"/>
      <c r="I48" s="1579"/>
      <c r="J48" s="1579"/>
      <c r="K48" s="1579"/>
      <c r="L48" s="1579"/>
      <c r="M48" s="1579"/>
      <c r="N48" s="1579"/>
      <c r="O48" s="1579"/>
      <c r="P48" s="2409">
        <f t="shared" si="48"/>
        <v>0</v>
      </c>
      <c r="Q48" s="2409" t="e">
        <f t="shared" si="49"/>
        <v>#DIV/0!</v>
      </c>
      <c r="S48" s="2409">
        <v>0.95814999999999995</v>
      </c>
      <c r="T48" s="2409">
        <v>0.7863</v>
      </c>
      <c r="U48" s="2409">
        <v>0.62050000000000005</v>
      </c>
      <c r="V48" s="2409">
        <v>0.65954999999999997</v>
      </c>
      <c r="W48" s="2409">
        <v>0.73629999999999995</v>
      </c>
      <c r="X48" s="2409">
        <v>0.65200000000000002</v>
      </c>
      <c r="Y48" s="2409">
        <v>0.64500000000000002</v>
      </c>
      <c r="Z48" s="2409">
        <v>0.40660000000000002</v>
      </c>
      <c r="AA48" s="2409">
        <v>0.15010000000000001</v>
      </c>
      <c r="AB48" s="2409">
        <v>0.14995</v>
      </c>
      <c r="AC48" s="2409">
        <v>6.0850000000000001E-2</v>
      </c>
      <c r="AD48" s="2409">
        <v>4.8800000000000003E-2</v>
      </c>
      <c r="AE48" s="2409">
        <f t="shared" si="50"/>
        <v>5.8741000000000003</v>
      </c>
      <c r="AF48" s="2409">
        <f t="shared" si="51"/>
        <v>0.48950833333333338</v>
      </c>
      <c r="AH48" s="2409">
        <v>0.92299999999999993</v>
      </c>
      <c r="AI48" s="2409">
        <v>0.9634735499999999</v>
      </c>
      <c r="AJ48" s="2409">
        <v>0.63225500000000001</v>
      </c>
      <c r="AK48" s="2409">
        <v>0.86992749999999996</v>
      </c>
      <c r="AL48" s="2409">
        <v>2.552095</v>
      </c>
      <c r="AM48" s="2409">
        <v>0.91376999999999997</v>
      </c>
      <c r="AN48" s="2409">
        <v>1.3683475</v>
      </c>
      <c r="AO48" s="2409">
        <v>1.0106850000000001</v>
      </c>
      <c r="AP48" s="2409">
        <v>0.84454499999999999</v>
      </c>
      <c r="AQ48" s="2409">
        <v>1.038375</v>
      </c>
      <c r="AR48" s="2409">
        <v>0.59072000000000002</v>
      </c>
      <c r="AS48" s="2409">
        <v>0</v>
      </c>
      <c r="AT48" s="2409">
        <f t="shared" si="52"/>
        <v>11.70719355</v>
      </c>
      <c r="AU48" s="2409">
        <f t="shared" si="53"/>
        <v>0.97559946249999996</v>
      </c>
      <c r="AW48" s="782" t="e">
        <f t="shared" si="32"/>
        <v>#REF!</v>
      </c>
      <c r="AX48" s="782">
        <f t="shared" si="33"/>
        <v>0.48609112916666658</v>
      </c>
      <c r="AY48" s="1120">
        <f t="shared" si="34"/>
        <v>11.217685216666666</v>
      </c>
      <c r="AZ48" s="317" t="e">
        <f t="shared" si="35"/>
        <v>#REF!</v>
      </c>
    </row>
    <row r="49" spans="1:52" x14ac:dyDescent="0.55000000000000004">
      <c r="A49" s="7508"/>
      <c r="B49" s="52" t="s">
        <v>21</v>
      </c>
      <c r="C49" t="s">
        <v>720</v>
      </c>
      <c r="D49" s="322"/>
      <c r="E49" s="322"/>
      <c r="F49" s="322"/>
      <c r="G49" s="322"/>
      <c r="H49" s="322"/>
      <c r="I49" s="322"/>
      <c r="J49" s="322"/>
      <c r="K49" s="322"/>
      <c r="L49" s="322"/>
      <c r="M49" s="322"/>
      <c r="N49" s="322"/>
      <c r="O49" s="322"/>
      <c r="P49" s="322">
        <f>SUM(D49:O49)</f>
        <v>0</v>
      </c>
      <c r="Q49" s="322" t="e">
        <f>AVERAGE(D49:O49)</f>
        <v>#DIV/0!</v>
      </c>
      <c r="R49" s="2421"/>
      <c r="S49" s="322">
        <v>5589</v>
      </c>
      <c r="T49" s="322">
        <v>9344</v>
      </c>
      <c r="U49" s="322">
        <v>6100</v>
      </c>
      <c r="V49" s="322">
        <v>4209</v>
      </c>
      <c r="W49" s="322">
        <v>4806</v>
      </c>
      <c r="X49" s="322">
        <v>5247</v>
      </c>
      <c r="Y49" s="322">
        <v>5683</v>
      </c>
      <c r="Z49" s="322">
        <v>6646</v>
      </c>
      <c r="AA49" s="322">
        <v>4923</v>
      </c>
      <c r="AB49" s="322">
        <v>7675</v>
      </c>
      <c r="AC49" s="322">
        <v>7181</v>
      </c>
      <c r="AD49" s="322">
        <v>2743</v>
      </c>
      <c r="AE49" s="322">
        <f>SUM(S49:AD49)</f>
        <v>70146</v>
      </c>
      <c r="AF49" s="322">
        <f>AVERAGE(S49:AD49)</f>
        <v>5845.5</v>
      </c>
      <c r="AG49" s="2421"/>
      <c r="AH49" s="2423">
        <v>5211</v>
      </c>
      <c r="AI49" s="2423">
        <v>7996</v>
      </c>
      <c r="AJ49" s="2423">
        <v>6227</v>
      </c>
      <c r="AK49" s="2423">
        <v>12014</v>
      </c>
      <c r="AL49" s="2423">
        <v>26042</v>
      </c>
      <c r="AM49" s="2423">
        <v>3705</v>
      </c>
      <c r="AN49" s="2423">
        <v>13916</v>
      </c>
      <c r="AO49" s="2423">
        <v>2508</v>
      </c>
      <c r="AP49" s="2423">
        <v>3532</v>
      </c>
      <c r="AQ49" s="2423">
        <v>5705</v>
      </c>
      <c r="AR49" s="2423">
        <v>2688</v>
      </c>
      <c r="AS49" s="2423">
        <v>3114</v>
      </c>
      <c r="AT49" s="322">
        <f>SUM(AH49:AS49)</f>
        <v>92658</v>
      </c>
      <c r="AU49" s="322">
        <f>AVERAGE(AH49:AS49)</f>
        <v>7721.5</v>
      </c>
      <c r="AW49" s="782" t="e">
        <f t="shared" si="32"/>
        <v>#REF!</v>
      </c>
      <c r="AX49" s="782">
        <f t="shared" si="33"/>
        <v>1876</v>
      </c>
      <c r="AY49" s="1120">
        <f t="shared" si="34"/>
        <v>86812.5</v>
      </c>
      <c r="AZ49" s="317" t="e">
        <f t="shared" si="35"/>
        <v>#REF!</v>
      </c>
    </row>
    <row r="50" spans="1:52" x14ac:dyDescent="0.55000000000000004">
      <c r="A50" s="7508"/>
      <c r="B50" s="52"/>
      <c r="C50" t="s">
        <v>1172</v>
      </c>
      <c r="P50" s="2419">
        <f t="shared" ref="P50:P51" si="54">SUM(D50:O50)</f>
        <v>0</v>
      </c>
      <c r="Q50" s="2419" t="e">
        <f t="shared" ref="Q50:Q51" si="55">AVERAGE(D50:O50)</f>
        <v>#DIV/0!</v>
      </c>
      <c r="S50" s="2419">
        <v>0.43035299999999999</v>
      </c>
      <c r="T50" s="2419">
        <v>0.71948800000000002</v>
      </c>
      <c r="U50" s="2419">
        <v>0.46970000000000001</v>
      </c>
      <c r="V50" s="2419">
        <v>0.32409300000000002</v>
      </c>
      <c r="W50" s="2419">
        <v>0.370062</v>
      </c>
      <c r="X50" s="2419">
        <v>0.40401900000000002</v>
      </c>
      <c r="Y50" s="2419">
        <v>0.43759100000000001</v>
      </c>
      <c r="Z50" s="2419">
        <v>0.51174200000000003</v>
      </c>
      <c r="AA50" s="2419">
        <v>0.37907099999999999</v>
      </c>
      <c r="AB50" s="2419">
        <v>0.59097500000000003</v>
      </c>
      <c r="AC50" s="2419">
        <v>0.55293700000000001</v>
      </c>
      <c r="AD50" s="2419">
        <v>0.21121100000000001</v>
      </c>
      <c r="AE50" s="2419">
        <f t="shared" ref="AE50:AE51" si="56">SUM(S50:AD50)</f>
        <v>5.401241999999999</v>
      </c>
      <c r="AF50" s="2419">
        <f t="shared" ref="AF50:AF51" si="57">AVERAGE(S50:AD50)</f>
        <v>0.45010349999999993</v>
      </c>
      <c r="AH50" s="2419">
        <v>0.40124699999999996</v>
      </c>
      <c r="AI50" s="2419">
        <v>0.61569200000000002</v>
      </c>
      <c r="AJ50" s="2419">
        <v>0.47947899999999999</v>
      </c>
      <c r="AK50" s="2419">
        <v>0.92507800000000007</v>
      </c>
      <c r="AL50" s="2419">
        <v>2.0052340000000002</v>
      </c>
      <c r="AM50" s="2419">
        <v>0.28528500000000001</v>
      </c>
      <c r="AN50" s="2419">
        <v>1.0715319999999999</v>
      </c>
      <c r="AO50" s="2419">
        <v>0.19311600000000001</v>
      </c>
      <c r="AP50" s="2419">
        <v>0.27196399999999998</v>
      </c>
      <c r="AQ50" s="2419">
        <v>0.43928499999999998</v>
      </c>
      <c r="AR50" s="2419">
        <v>0.20697599999999999</v>
      </c>
      <c r="AS50" s="2419">
        <v>0.23977799999999999</v>
      </c>
      <c r="AT50" s="2419">
        <f t="shared" ref="AT50:AT51" si="58">SUM(AH50:AS50)</f>
        <v>7.1346660000000002</v>
      </c>
      <c r="AU50" s="2419">
        <f t="shared" ref="AU50:AU51" si="59">AVERAGE(AH50:AS50)</f>
        <v>0.59455550000000001</v>
      </c>
      <c r="AW50" s="782" t="e">
        <f t="shared" si="32"/>
        <v>#REF!</v>
      </c>
      <c r="AX50" s="782">
        <f t="shared" si="33"/>
        <v>0.14445200000000008</v>
      </c>
      <c r="AY50" s="1120">
        <f t="shared" si="34"/>
        <v>6.6845625000000002</v>
      </c>
      <c r="AZ50" s="317" t="e">
        <f t="shared" si="35"/>
        <v>#REF!</v>
      </c>
    </row>
    <row r="51" spans="1:52" x14ac:dyDescent="0.55000000000000004">
      <c r="A51" s="7508"/>
      <c r="B51" s="2412"/>
      <c r="C51" s="1579" t="s">
        <v>1175</v>
      </c>
      <c r="D51" s="1579"/>
      <c r="E51" s="1579"/>
      <c r="F51" s="1579"/>
      <c r="G51" s="1579"/>
      <c r="H51" s="1579"/>
      <c r="I51" s="1579"/>
      <c r="J51" s="1579"/>
      <c r="K51" s="1579"/>
      <c r="L51" s="1579"/>
      <c r="M51" s="1579"/>
      <c r="N51" s="1579"/>
      <c r="O51" s="1579"/>
      <c r="P51" s="2409">
        <f t="shared" si="54"/>
        <v>0</v>
      </c>
      <c r="Q51" s="2409" t="e">
        <f t="shared" si="55"/>
        <v>#DIV/0!</v>
      </c>
      <c r="S51" s="2409">
        <v>0.27944999999999998</v>
      </c>
      <c r="T51" s="2409">
        <v>0.4672</v>
      </c>
      <c r="U51" s="2409">
        <v>0.30499999999999999</v>
      </c>
      <c r="V51" s="2409">
        <v>0.21045</v>
      </c>
      <c r="W51" s="2409">
        <v>0.24030000000000001</v>
      </c>
      <c r="X51" s="2409">
        <v>0.26235000000000003</v>
      </c>
      <c r="Y51" s="2409">
        <v>0.28415000000000001</v>
      </c>
      <c r="Z51" s="2409">
        <v>0.33229999999999998</v>
      </c>
      <c r="AA51" s="2409">
        <v>0.24615000000000001</v>
      </c>
      <c r="AB51" s="2409">
        <v>0.38374999999999998</v>
      </c>
      <c r="AC51" s="2409">
        <v>0.35904999999999998</v>
      </c>
      <c r="AD51" s="2409">
        <v>0.13714999999999999</v>
      </c>
      <c r="AE51" s="2409">
        <f t="shared" si="56"/>
        <v>3.5073000000000003</v>
      </c>
      <c r="AF51" s="2409">
        <f t="shared" si="57"/>
        <v>0.29227500000000001</v>
      </c>
      <c r="AH51" s="2409">
        <v>0.26055</v>
      </c>
      <c r="AI51" s="2409">
        <v>0.39979999999999999</v>
      </c>
      <c r="AJ51" s="2409">
        <v>0.31135000000000002</v>
      </c>
      <c r="AK51" s="2409">
        <v>0.60070000000000001</v>
      </c>
      <c r="AL51" s="2409">
        <v>1.3021</v>
      </c>
      <c r="AM51" s="2409">
        <v>0.18525</v>
      </c>
      <c r="AN51" s="2409">
        <v>0.69579999999999997</v>
      </c>
      <c r="AO51" s="2409">
        <v>0.12540000000000001</v>
      </c>
      <c r="AP51" s="2409">
        <v>0.17660000000000001</v>
      </c>
      <c r="AQ51" s="2409">
        <v>0.28525</v>
      </c>
      <c r="AR51" s="2409">
        <v>0.13439999999999999</v>
      </c>
      <c r="AS51" s="2409">
        <v>0.15570000000000001</v>
      </c>
      <c r="AT51" s="2409">
        <f t="shared" si="58"/>
        <v>4.6329000000000011</v>
      </c>
      <c r="AU51" s="2409">
        <f t="shared" si="59"/>
        <v>0.38607500000000011</v>
      </c>
      <c r="AW51" s="782" t="e">
        <f t="shared" si="32"/>
        <v>#REF!</v>
      </c>
      <c r="AX51" s="782">
        <f t="shared" si="33"/>
        <v>9.3800000000000106E-2</v>
      </c>
      <c r="AY51" s="1120">
        <f t="shared" si="34"/>
        <v>4.3406250000000011</v>
      </c>
      <c r="AZ51" s="317" t="e">
        <f t="shared" si="35"/>
        <v>#REF!</v>
      </c>
    </row>
    <row r="52" spans="1:52" x14ac:dyDescent="0.55000000000000004">
      <c r="A52" s="7508"/>
      <c r="B52" s="2411" t="s">
        <v>22</v>
      </c>
      <c r="C52" t="s">
        <v>720</v>
      </c>
      <c r="D52" s="2422"/>
      <c r="E52" s="2422"/>
      <c r="F52" s="2422"/>
      <c r="G52" s="2422"/>
      <c r="H52" s="2422"/>
      <c r="I52" s="2422"/>
      <c r="J52" s="2422"/>
      <c r="K52" s="2422"/>
      <c r="L52" s="2422"/>
      <c r="M52" s="2422"/>
      <c r="N52" s="2422"/>
      <c r="O52" s="2422"/>
      <c r="P52" s="322">
        <f>SUM(D52:O52)</f>
        <v>0</v>
      </c>
      <c r="Q52" s="322" t="e">
        <f>AVERAGE(D52:O52)</f>
        <v>#DIV/0!</v>
      </c>
      <c r="R52" s="2421"/>
      <c r="S52" s="322">
        <v>2642</v>
      </c>
      <c r="T52" s="322">
        <v>3238</v>
      </c>
      <c r="U52" s="322">
        <v>2958</v>
      </c>
      <c r="V52" s="322">
        <v>3097</v>
      </c>
      <c r="W52" s="322">
        <v>2067</v>
      </c>
      <c r="X52" s="322">
        <v>2473</v>
      </c>
      <c r="Y52" s="322">
        <v>3190</v>
      </c>
      <c r="Z52" s="322">
        <v>3571</v>
      </c>
      <c r="AA52" s="322">
        <v>4374</v>
      </c>
      <c r="AB52" s="322">
        <v>2243</v>
      </c>
      <c r="AC52" s="322">
        <v>2407</v>
      </c>
      <c r="AD52" s="322">
        <v>2663</v>
      </c>
      <c r="AE52" s="322">
        <f>SUM(S52:AD52)</f>
        <v>34923</v>
      </c>
      <c r="AF52" s="322">
        <f>AVERAGE(S52:AD52)</f>
        <v>2910.25</v>
      </c>
      <c r="AG52" s="2421"/>
      <c r="AH52" s="2423">
        <v>2707</v>
      </c>
      <c r="AI52" s="2423">
        <v>4229</v>
      </c>
      <c r="AJ52" s="2423">
        <v>4978</v>
      </c>
      <c r="AK52" s="2423">
        <v>3656</v>
      </c>
      <c r="AL52" s="2423">
        <v>3539</v>
      </c>
      <c r="AM52" s="2423">
        <v>7501</v>
      </c>
      <c r="AN52" s="2423">
        <v>5565</v>
      </c>
      <c r="AO52" s="2423">
        <v>3348</v>
      </c>
      <c r="AP52" s="2423">
        <v>3303</v>
      </c>
      <c r="AQ52" s="2423">
        <v>2591</v>
      </c>
      <c r="AR52" s="2423">
        <v>5950</v>
      </c>
      <c r="AS52" s="2423">
        <v>4646</v>
      </c>
      <c r="AT52" s="322">
        <f>SUM(AH52:AS52)</f>
        <v>52013</v>
      </c>
      <c r="AU52" s="322">
        <f>AVERAGE(AH52:AS52)</f>
        <v>4334.416666666667</v>
      </c>
      <c r="AW52" s="782" t="e">
        <f t="shared" si="32"/>
        <v>#REF!</v>
      </c>
      <c r="AX52" s="782">
        <f t="shared" si="33"/>
        <v>1424.166666666667</v>
      </c>
      <c r="AY52" s="1120">
        <f t="shared" si="34"/>
        <v>49102.75</v>
      </c>
      <c r="AZ52" s="317" t="e">
        <f t="shared" si="35"/>
        <v>#REF!</v>
      </c>
    </row>
    <row r="53" spans="1:52" x14ac:dyDescent="0.55000000000000004">
      <c r="A53" s="7508"/>
      <c r="B53" s="52"/>
      <c r="C53" t="s">
        <v>1172</v>
      </c>
      <c r="P53" s="2419">
        <f t="shared" ref="P53:P54" si="60">SUM(D53:O53)</f>
        <v>0</v>
      </c>
      <c r="Q53" s="2419" t="e">
        <f t="shared" ref="Q53:Q54" si="61">AVERAGE(D53:O53)</f>
        <v>#DIV/0!</v>
      </c>
      <c r="S53" s="2419">
        <v>0.203434</v>
      </c>
      <c r="T53" s="2419">
        <v>0.24932599999999999</v>
      </c>
      <c r="U53" s="2419">
        <v>0.227766</v>
      </c>
      <c r="V53" s="2419">
        <v>0.23846899999999999</v>
      </c>
      <c r="W53" s="2419">
        <v>0.15915899999999999</v>
      </c>
      <c r="X53" s="2419">
        <v>0.19042100000000001</v>
      </c>
      <c r="Y53" s="2419">
        <v>0.24562999999999999</v>
      </c>
      <c r="Z53" s="2419">
        <v>0.27496700000000002</v>
      </c>
      <c r="AA53" s="2419">
        <v>0.33679799999999999</v>
      </c>
      <c r="AB53" s="2419">
        <v>0.172711</v>
      </c>
      <c r="AC53" s="2419">
        <v>0.185339</v>
      </c>
      <c r="AD53" s="2419">
        <v>0.20505100000000001</v>
      </c>
      <c r="AE53" s="2419">
        <f t="shared" ref="AE53:AE54" si="62">SUM(S53:AD53)</f>
        <v>2.6890710000000002</v>
      </c>
      <c r="AF53" s="2419">
        <f t="shared" ref="AF53:AF54" si="63">AVERAGE(S53:AD53)</f>
        <v>0.22408925000000002</v>
      </c>
      <c r="AH53" s="2419">
        <v>0.20843900000000001</v>
      </c>
      <c r="AI53" s="2419">
        <v>0.32563300000000001</v>
      </c>
      <c r="AJ53" s="2419">
        <v>0.38330599999999998</v>
      </c>
      <c r="AK53" s="2419">
        <v>0.28151199999999998</v>
      </c>
      <c r="AL53" s="2419">
        <v>0.272503</v>
      </c>
      <c r="AM53" s="2419">
        <v>0.57757700000000001</v>
      </c>
      <c r="AN53" s="2419">
        <v>0.42850500000000002</v>
      </c>
      <c r="AO53" s="2419">
        <v>0.25779600000000003</v>
      </c>
      <c r="AP53" s="2419">
        <v>0.25433099999999997</v>
      </c>
      <c r="AQ53" s="2419">
        <v>0.19950699999999999</v>
      </c>
      <c r="AR53" s="2419">
        <v>0.45815</v>
      </c>
      <c r="AS53" s="2419">
        <v>0.357742</v>
      </c>
      <c r="AT53" s="2419">
        <f t="shared" ref="AT53:AT54" si="64">SUM(AH53:AS53)</f>
        <v>4.005001</v>
      </c>
      <c r="AU53" s="2419">
        <f t="shared" ref="AU53:AU54" si="65">AVERAGE(AH53:AS53)</f>
        <v>0.33375008333333334</v>
      </c>
      <c r="AW53" s="782" t="e">
        <f t="shared" si="32"/>
        <v>#REF!</v>
      </c>
      <c r="AX53" s="782">
        <f t="shared" si="33"/>
        <v>0.10966083333333332</v>
      </c>
      <c r="AY53" s="1120">
        <f t="shared" si="34"/>
        <v>3.78091175</v>
      </c>
      <c r="AZ53" s="317" t="e">
        <f t="shared" si="35"/>
        <v>#REF!</v>
      </c>
    </row>
    <row r="54" spans="1:52" x14ac:dyDescent="0.55000000000000004">
      <c r="A54" s="7508"/>
      <c r="B54" s="2412"/>
      <c r="C54" s="1579" t="s">
        <v>1175</v>
      </c>
      <c r="D54" s="1579"/>
      <c r="E54" s="1579"/>
      <c r="F54" s="1579"/>
      <c r="G54" s="1579"/>
      <c r="H54" s="1579"/>
      <c r="I54" s="1579"/>
      <c r="J54" s="1579"/>
      <c r="K54" s="1579"/>
      <c r="L54" s="1579"/>
      <c r="M54" s="1579"/>
      <c r="N54" s="1579"/>
      <c r="O54" s="1579"/>
      <c r="P54" s="2409">
        <f t="shared" si="60"/>
        <v>0</v>
      </c>
      <c r="Q54" s="2409" t="e">
        <f t="shared" si="61"/>
        <v>#DIV/0!</v>
      </c>
      <c r="S54" s="2409">
        <v>0.1321</v>
      </c>
      <c r="T54" s="2409">
        <v>0.16189999999999999</v>
      </c>
      <c r="U54" s="2409">
        <v>0.1479</v>
      </c>
      <c r="V54" s="2409">
        <v>0.15484999999999999</v>
      </c>
      <c r="W54" s="2409">
        <v>0.10335</v>
      </c>
      <c r="X54" s="2409">
        <v>0.12365</v>
      </c>
      <c r="Y54" s="2409">
        <v>0.1595</v>
      </c>
      <c r="Z54" s="2409">
        <v>0.17854999999999999</v>
      </c>
      <c r="AA54" s="2409">
        <v>0.21870000000000001</v>
      </c>
      <c r="AB54" s="2409">
        <v>0.11215</v>
      </c>
      <c r="AC54" s="2409">
        <v>0.12035</v>
      </c>
      <c r="AD54" s="2409">
        <v>0.13314999999999999</v>
      </c>
      <c r="AE54" s="2409">
        <f t="shared" si="62"/>
        <v>1.7461500000000001</v>
      </c>
      <c r="AF54" s="2409">
        <f t="shared" si="63"/>
        <v>0.14551250000000002</v>
      </c>
      <c r="AH54" s="2409">
        <v>0.13535</v>
      </c>
      <c r="AI54" s="2409">
        <v>0.21145</v>
      </c>
      <c r="AJ54" s="2409">
        <v>0.24890000000000001</v>
      </c>
      <c r="AK54" s="2409">
        <v>0.18280000000000002</v>
      </c>
      <c r="AL54" s="2409">
        <v>0.17695</v>
      </c>
      <c r="AM54" s="2409">
        <v>0.37505000000000005</v>
      </c>
      <c r="AN54" s="2409">
        <v>0.27825</v>
      </c>
      <c r="AO54" s="2409">
        <v>0.16739999999999999</v>
      </c>
      <c r="AP54" s="2409">
        <v>0.16514999999999999</v>
      </c>
      <c r="AQ54" s="2409">
        <v>0.12955</v>
      </c>
      <c r="AR54" s="2409">
        <v>0.29749999999999999</v>
      </c>
      <c r="AS54" s="2409">
        <v>0.23230000000000001</v>
      </c>
      <c r="AT54" s="2409">
        <f t="shared" si="64"/>
        <v>2.6006499999999999</v>
      </c>
      <c r="AU54" s="2409">
        <f t="shared" si="65"/>
        <v>0.21672083333333333</v>
      </c>
      <c r="AW54" s="782" t="e">
        <f t="shared" si="32"/>
        <v>#REF!</v>
      </c>
      <c r="AX54" s="782">
        <f t="shared" si="33"/>
        <v>7.1208333333333318E-2</v>
      </c>
      <c r="AY54" s="1120">
        <f t="shared" si="34"/>
        <v>2.4551374999999998</v>
      </c>
      <c r="AZ54" s="317" t="e">
        <f t="shared" si="35"/>
        <v>#REF!</v>
      </c>
    </row>
    <row r="55" spans="1:52" x14ac:dyDescent="0.55000000000000004">
      <c r="A55" s="7508"/>
      <c r="B55" s="52" t="s">
        <v>803</v>
      </c>
      <c r="C55" t="s">
        <v>720</v>
      </c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>
        <f>SUM(D55:O55)</f>
        <v>0</v>
      </c>
      <c r="Q55" s="322" t="e">
        <f>AVERAGE(D55:O55)</f>
        <v>#DIV/0!</v>
      </c>
      <c r="R55" s="2421"/>
      <c r="S55" s="322"/>
      <c r="T55" s="322"/>
      <c r="U55" s="322"/>
      <c r="V55" s="322"/>
      <c r="W55" s="322"/>
      <c r="X55" s="322"/>
      <c r="Y55" s="322">
        <v>3370</v>
      </c>
      <c r="Z55" s="322">
        <v>7270</v>
      </c>
      <c r="AA55" s="322">
        <v>12950</v>
      </c>
      <c r="AB55" s="322">
        <v>5160</v>
      </c>
      <c r="AC55" s="322">
        <v>12250</v>
      </c>
      <c r="AD55" s="322">
        <v>5000</v>
      </c>
      <c r="AE55" s="322">
        <f>SUM(S55:AD55)</f>
        <v>46000</v>
      </c>
      <c r="AF55" s="322">
        <f>AVERAGE(S55:AD55)</f>
        <v>7666.666666666667</v>
      </c>
      <c r="AG55" s="2421"/>
      <c r="AH55" s="2423">
        <v>14985</v>
      </c>
      <c r="AI55" s="2423">
        <v>11220</v>
      </c>
      <c r="AJ55" s="2423">
        <v>10670</v>
      </c>
      <c r="AK55" s="2423">
        <v>3760</v>
      </c>
      <c r="AL55" s="2423">
        <v>4770</v>
      </c>
      <c r="AM55" s="2423">
        <v>7280</v>
      </c>
      <c r="AN55" s="2423">
        <v>2640</v>
      </c>
      <c r="AO55" s="2423">
        <v>2250</v>
      </c>
      <c r="AP55" s="2423">
        <v>1820</v>
      </c>
      <c r="AQ55" s="2423">
        <v>1670</v>
      </c>
      <c r="AR55" s="2423">
        <v>2030</v>
      </c>
      <c r="AS55" s="2423">
        <v>700</v>
      </c>
      <c r="AT55" s="322">
        <f>SUM(AH55:AS55)</f>
        <v>63795</v>
      </c>
      <c r="AU55" s="322">
        <f>AVERAGE(AH55:AS55)</f>
        <v>5316.25</v>
      </c>
      <c r="AW55" s="782" t="e">
        <f t="shared" si="32"/>
        <v>#REF!</v>
      </c>
      <c r="AX55" s="782">
        <f t="shared" si="33"/>
        <v>-2350.416666666667</v>
      </c>
      <c r="AY55" s="1120">
        <f t="shared" si="34"/>
        <v>56128.333333333336</v>
      </c>
      <c r="AZ55" s="317" t="e">
        <f t="shared" si="35"/>
        <v>#REF!</v>
      </c>
    </row>
    <row r="56" spans="1:52" x14ac:dyDescent="0.55000000000000004">
      <c r="A56" s="7509"/>
      <c r="B56" s="52"/>
      <c r="C56" t="s">
        <v>1172</v>
      </c>
      <c r="P56" s="2419">
        <f t="shared" ref="P56:P57" si="66">SUM(D56:O56)</f>
        <v>0</v>
      </c>
      <c r="Q56" s="2419" t="e">
        <f t="shared" ref="Q56:Q57" si="67">AVERAGE(D56:O56)</f>
        <v>#DIV/0!</v>
      </c>
      <c r="S56" s="2419"/>
      <c r="T56" s="2419"/>
      <c r="U56" s="2419"/>
      <c r="V56" s="2419"/>
      <c r="W56" s="2419"/>
      <c r="X56" s="2419"/>
      <c r="Y56" s="2419">
        <v>0.25949</v>
      </c>
      <c r="Z56" s="2419">
        <v>0.55979000000000001</v>
      </c>
      <c r="AA56" s="2419">
        <v>0.99714999999999998</v>
      </c>
      <c r="AB56" s="2419">
        <v>0.39732000000000001</v>
      </c>
      <c r="AC56" s="2419">
        <v>0.94325000000000003</v>
      </c>
      <c r="AD56" s="2419">
        <v>0.38500000000000001</v>
      </c>
      <c r="AE56" s="2419">
        <f t="shared" ref="AE56:AE57" si="68">SUM(S56:AD56)</f>
        <v>3.5419999999999998</v>
      </c>
      <c r="AF56" s="2419">
        <f t="shared" ref="AF56:AF57" si="69">AVERAGE(S56:AD56)</f>
        <v>0.59033333333333327</v>
      </c>
      <c r="AH56" s="2419">
        <v>1.153845</v>
      </c>
      <c r="AI56" s="2419">
        <v>0.86394000000000004</v>
      </c>
      <c r="AJ56" s="2419">
        <v>0.82159000000000004</v>
      </c>
      <c r="AK56" s="2419">
        <v>0.28952</v>
      </c>
      <c r="AL56" s="2419">
        <v>0.36729000000000001</v>
      </c>
      <c r="AM56" s="2419">
        <v>0.56055999999999995</v>
      </c>
      <c r="AN56" s="2419">
        <v>0.20327999999999999</v>
      </c>
      <c r="AO56" s="2419">
        <v>0.17324999999999999</v>
      </c>
      <c r="AP56" s="2419">
        <v>0.14013999999999999</v>
      </c>
      <c r="AQ56" s="2419">
        <v>0.12859000000000001</v>
      </c>
      <c r="AR56" s="2419">
        <v>0.15631</v>
      </c>
      <c r="AS56" s="2419">
        <v>5.3900000000000003E-2</v>
      </c>
      <c r="AT56" s="2419">
        <f t="shared" ref="AT56:AT57" si="70">SUM(AH56:AS56)</f>
        <v>4.9122150000000007</v>
      </c>
      <c r="AU56" s="2419">
        <f t="shared" ref="AU56:AU57" si="71">AVERAGE(AH56:AS56)</f>
        <v>0.40935125000000006</v>
      </c>
      <c r="AW56" s="782" t="e">
        <f t="shared" si="32"/>
        <v>#REF!</v>
      </c>
      <c r="AX56" s="782">
        <f t="shared" si="33"/>
        <v>-0.18098208333333321</v>
      </c>
      <c r="AY56" s="1120">
        <f t="shared" si="34"/>
        <v>4.3218816666666671</v>
      </c>
      <c r="AZ56" s="317" t="e">
        <f t="shared" si="35"/>
        <v>#REF!</v>
      </c>
    </row>
    <row r="57" spans="1:52" ht="18" thickBot="1" x14ac:dyDescent="0.6">
      <c r="A57" s="7512"/>
      <c r="B57" s="1412"/>
      <c r="C57" s="1413" t="s">
        <v>1174</v>
      </c>
      <c r="D57" s="1413"/>
      <c r="E57" s="1413"/>
      <c r="F57" s="1413"/>
      <c r="G57" s="1413"/>
      <c r="H57" s="1413"/>
      <c r="I57" s="1413"/>
      <c r="J57" s="1413"/>
      <c r="K57" s="1413"/>
      <c r="L57" s="1413"/>
      <c r="M57" s="1413"/>
      <c r="N57" s="1413"/>
      <c r="O57" s="1413"/>
      <c r="P57" s="2410">
        <f t="shared" si="66"/>
        <v>0</v>
      </c>
      <c r="Q57" s="2410" t="e">
        <f t="shared" si="67"/>
        <v>#DIV/0!</v>
      </c>
      <c r="S57" s="2410">
        <v>0</v>
      </c>
      <c r="T57" s="2410">
        <v>0</v>
      </c>
      <c r="U57" s="2410">
        <v>0</v>
      </c>
      <c r="V57" s="2410">
        <v>0</v>
      </c>
      <c r="W57" s="2410">
        <v>0</v>
      </c>
      <c r="X57" s="2410">
        <v>0</v>
      </c>
      <c r="Y57" s="2410">
        <v>0.16850000000000001</v>
      </c>
      <c r="Z57" s="2410">
        <v>0.36349999999999999</v>
      </c>
      <c r="AA57" s="2410">
        <v>0.64749999999999996</v>
      </c>
      <c r="AB57" s="2410">
        <v>0.25800000000000001</v>
      </c>
      <c r="AC57" s="2410">
        <v>0.61250000000000004</v>
      </c>
      <c r="AD57" s="2410">
        <v>0.25</v>
      </c>
      <c r="AE57" s="2410">
        <f t="shared" si="68"/>
        <v>2.2999999999999998</v>
      </c>
      <c r="AF57" s="2410">
        <f t="shared" si="69"/>
        <v>0.19166666666666665</v>
      </c>
      <c r="AH57" s="2410">
        <v>0.74924999999999997</v>
      </c>
      <c r="AI57" s="2410">
        <v>0.56100000000000005</v>
      </c>
      <c r="AJ57" s="2410">
        <v>0.53349999999999997</v>
      </c>
      <c r="AK57" s="2410">
        <v>0.188</v>
      </c>
      <c r="AL57" s="2410">
        <v>0.23850000000000002</v>
      </c>
      <c r="AM57" s="2410">
        <v>0.36399999999999999</v>
      </c>
      <c r="AN57" s="2410">
        <v>0.13200000000000001</v>
      </c>
      <c r="AO57" s="2410">
        <v>0.1125</v>
      </c>
      <c r="AP57" s="2410">
        <v>9.0999999999999998E-2</v>
      </c>
      <c r="AQ57" s="2410">
        <v>8.3500000000000005E-2</v>
      </c>
      <c r="AR57" s="2410">
        <v>0.10150000000000001</v>
      </c>
      <c r="AS57" s="2410">
        <v>3.5000000000000003E-2</v>
      </c>
      <c r="AT57" s="2410">
        <f t="shared" si="70"/>
        <v>3.1897500000000005</v>
      </c>
      <c r="AU57" s="2410">
        <f t="shared" si="71"/>
        <v>0.26581250000000006</v>
      </c>
      <c r="AW57" s="782" t="e">
        <f t="shared" si="32"/>
        <v>#REF!</v>
      </c>
      <c r="AX57" s="782">
        <f t="shared" si="33"/>
        <v>7.4145833333333411E-2</v>
      </c>
      <c r="AY57" s="1120">
        <f t="shared" si="34"/>
        <v>2.9980833333333337</v>
      </c>
      <c r="AZ57" s="317" t="e">
        <f t="shared" si="35"/>
        <v>#REF!</v>
      </c>
    </row>
  </sheetData>
  <mergeCells count="5">
    <mergeCell ref="A4:A11"/>
    <mergeCell ref="A13:A22"/>
    <mergeCell ref="A24:A35"/>
    <mergeCell ref="A37:A38"/>
    <mergeCell ref="A40:A57"/>
  </mergeCells>
  <phoneticPr fontId="1" type="noConversion"/>
  <conditionalFormatting sqref="R4:R38">
    <cfRule type="cellIs" dxfId="1" priority="3" operator="equal">
      <formula>FALSE</formula>
    </cfRule>
  </conditionalFormatting>
  <pageMargins left="0.25" right="0.25" top="0.75" bottom="0.75" header="0.3" footer="0.3"/>
  <pageSetup paperSize="9"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C6F9-671C-459D-A170-F04D2EB7CFA0}">
  <sheetPr codeName="Sheet27">
    <tabColor theme="9" tint="0.79998168889431442"/>
  </sheetPr>
  <dimension ref="A1:AZ120"/>
  <sheetViews>
    <sheetView showGridLines="0" zoomScale="25" zoomScaleNormal="25" workbookViewId="0">
      <pane xSplit="3" topLeftCell="D1" activePane="topRight" state="frozen"/>
      <selection activeCell="V54" sqref="V54"/>
      <selection pane="topRight" activeCell="BM54" sqref="BM54"/>
    </sheetView>
  </sheetViews>
  <sheetFormatPr defaultRowHeight="17.600000000000001" outlineLevelCol="1" x14ac:dyDescent="0.55000000000000004"/>
  <cols>
    <col min="1" max="1" width="20.2109375" customWidth="1"/>
    <col min="2" max="2" width="17.0703125" customWidth="1"/>
    <col min="3" max="3" width="21.7109375" customWidth="1"/>
    <col min="4" max="15" width="8.5703125" customWidth="1" outlineLevel="1"/>
    <col min="16" max="16" width="9.85546875" bestFit="1" customWidth="1"/>
    <col min="18" max="18" width="6.0703125" customWidth="1"/>
    <col min="19" max="26" width="8.640625" outlineLevel="1"/>
    <col min="27" max="28" width="8.640625" style="1499" outlineLevel="1"/>
    <col min="29" max="29" width="9.5703125" style="1499" bestFit="1" customWidth="1" outlineLevel="1"/>
    <col min="30" max="30" width="8.640625" style="1499" outlineLevel="1"/>
    <col min="31" max="31" width="13.0703125" customWidth="1"/>
    <col min="32" max="32" width="9.85546875" bestFit="1" customWidth="1"/>
    <col min="33" max="33" width="5.35546875" customWidth="1"/>
    <col min="37" max="37" width="8.0703125" bestFit="1" customWidth="1"/>
    <col min="44" max="44" width="9.5703125" bestFit="1" customWidth="1"/>
    <col min="46" max="46" width="13.0703125" customWidth="1"/>
    <col min="47" max="47" width="9.85546875" bestFit="1" customWidth="1"/>
    <col min="48" max="48" width="5.35546875" customWidth="1"/>
    <col min="49" max="49" width="13.2109375" customWidth="1"/>
    <col min="50" max="50" width="13.5703125" customWidth="1"/>
    <col min="51" max="51" width="20.35546875" customWidth="1"/>
    <col min="52" max="52" width="12.140625" customWidth="1"/>
  </cols>
  <sheetData>
    <row r="1" spans="1:52" x14ac:dyDescent="0.55000000000000004">
      <c r="A1" s="196">
        <f>'2-(1) 수수료 기준_가입자(무선)'!A1</f>
        <v>12.000999999999999</v>
      </c>
      <c r="B1" s="2366">
        <f>'※ 영기팀 작성_가입자'!B1</f>
        <v>11.000999999999999</v>
      </c>
      <c r="AY1" s="318" t="s">
        <v>473</v>
      </c>
    </row>
    <row r="2" spans="1:52" ht="18" thickBot="1" x14ac:dyDescent="0.6">
      <c r="D2" s="782">
        <v>1.0009999999999999</v>
      </c>
      <c r="E2" s="782">
        <v>2.0009999999999999</v>
      </c>
      <c r="F2" s="782">
        <v>3.0009999999999999</v>
      </c>
      <c r="G2" s="782">
        <v>4.0010000000000003</v>
      </c>
      <c r="H2" s="782">
        <v>5.0010000000000003</v>
      </c>
      <c r="I2" s="782">
        <v>6.0010000000000003</v>
      </c>
      <c r="J2" s="782">
        <v>7.0010000000000003</v>
      </c>
      <c r="K2" s="782">
        <v>8.0009999999999994</v>
      </c>
      <c r="L2" s="782">
        <v>9.0009999999999994</v>
      </c>
      <c r="M2" s="782">
        <v>10.000999999999999</v>
      </c>
      <c r="N2" s="782">
        <v>11.000999999999999</v>
      </c>
      <c r="O2" s="782">
        <v>12.000999999999999</v>
      </c>
      <c r="S2" s="782">
        <v>1.0009999999999999</v>
      </c>
      <c r="T2" s="782">
        <v>2.0009999999999999</v>
      </c>
      <c r="U2" s="782">
        <v>3.0009999999999999</v>
      </c>
      <c r="V2" s="782">
        <v>4.0010000000000003</v>
      </c>
      <c r="W2" s="782">
        <v>5.0010000000000003</v>
      </c>
      <c r="X2" s="782">
        <v>6.0010000000000003</v>
      </c>
      <c r="Y2" s="782">
        <v>7.0010000000000003</v>
      </c>
      <c r="Z2" s="782">
        <v>8.0009999999999994</v>
      </c>
      <c r="AA2" s="2008">
        <v>9.0009999999999994</v>
      </c>
      <c r="AB2" s="2008">
        <v>10.000999999999999</v>
      </c>
      <c r="AC2" s="2008">
        <v>11.000999999999999</v>
      </c>
      <c r="AD2" s="2008">
        <v>12.000999999999999</v>
      </c>
      <c r="AH2" s="782">
        <v>1.0009999999999999</v>
      </c>
      <c r="AI2" s="782">
        <v>2.0009999999999999</v>
      </c>
      <c r="AJ2" s="782">
        <v>3.0009999999999999</v>
      </c>
      <c r="AK2" s="782">
        <v>4.0010000000000003</v>
      </c>
      <c r="AL2" s="782">
        <v>5.0010000000000003</v>
      </c>
      <c r="AM2" s="782">
        <v>6.0010000000000003</v>
      </c>
      <c r="AN2" s="782">
        <v>7.0010000000000003</v>
      </c>
      <c r="AO2" s="782">
        <v>8.0009999999999994</v>
      </c>
      <c r="AP2" s="782">
        <v>9.0009999999999994</v>
      </c>
      <c r="AQ2" s="782">
        <v>10.000999999999999</v>
      </c>
      <c r="AR2" s="782">
        <v>11.000999999999999</v>
      </c>
      <c r="AS2" s="782">
        <v>12.000999999999999</v>
      </c>
    </row>
    <row r="3" spans="1:52" ht="18" thickBot="1" x14ac:dyDescent="0.6">
      <c r="A3" s="3"/>
      <c r="B3" s="4"/>
      <c r="C3" s="4"/>
      <c r="D3" s="890" t="s">
        <v>666</v>
      </c>
      <c r="E3" s="890" t="s">
        <v>667</v>
      </c>
      <c r="F3" s="890" t="s">
        <v>668</v>
      </c>
      <c r="G3" s="890" t="s">
        <v>669</v>
      </c>
      <c r="H3" s="890" t="s">
        <v>670</v>
      </c>
      <c r="I3" s="890" t="s">
        <v>671</v>
      </c>
      <c r="J3" s="890" t="s">
        <v>672</v>
      </c>
      <c r="K3" s="890" t="s">
        <v>673</v>
      </c>
      <c r="L3" s="890" t="s">
        <v>674</v>
      </c>
      <c r="M3" s="890" t="s">
        <v>675</v>
      </c>
      <c r="N3" s="890" t="s">
        <v>676</v>
      </c>
      <c r="O3" s="890" t="s">
        <v>677</v>
      </c>
      <c r="P3" s="890" t="s">
        <v>412</v>
      </c>
      <c r="Q3" s="890" t="s">
        <v>655</v>
      </c>
      <c r="S3" s="889" t="s">
        <v>2</v>
      </c>
      <c r="T3" s="889" t="s">
        <v>653</v>
      </c>
      <c r="U3" s="889" t="s">
        <v>525</v>
      </c>
      <c r="V3" s="889" t="s">
        <v>358</v>
      </c>
      <c r="W3" s="889" t="s">
        <v>359</v>
      </c>
      <c r="X3" s="889" t="s">
        <v>360</v>
      </c>
      <c r="Y3" s="889" t="s">
        <v>361</v>
      </c>
      <c r="Z3" s="889" t="s">
        <v>362</v>
      </c>
      <c r="AA3" s="1500" t="s">
        <v>363</v>
      </c>
      <c r="AB3" s="1500" t="s">
        <v>364</v>
      </c>
      <c r="AC3" s="1500" t="s">
        <v>365</v>
      </c>
      <c r="AD3" s="1500" t="s">
        <v>366</v>
      </c>
      <c r="AE3" s="890" t="s">
        <v>654</v>
      </c>
      <c r="AF3" s="890" t="s">
        <v>655</v>
      </c>
      <c r="AH3" s="1660" t="s">
        <v>1020</v>
      </c>
      <c r="AI3" s="987" t="s">
        <v>1022</v>
      </c>
      <c r="AJ3" s="987" t="s">
        <v>1024</v>
      </c>
      <c r="AK3" s="987" t="s">
        <v>1025</v>
      </c>
      <c r="AL3" s="987" t="s">
        <v>1026</v>
      </c>
      <c r="AM3" s="987" t="s">
        <v>1027</v>
      </c>
      <c r="AN3" s="987" t="s">
        <v>1028</v>
      </c>
      <c r="AO3" s="987" t="s">
        <v>1029</v>
      </c>
      <c r="AP3" s="987" t="s">
        <v>1030</v>
      </c>
      <c r="AQ3" s="987" t="s">
        <v>1031</v>
      </c>
      <c r="AR3" s="987" t="s">
        <v>1032</v>
      </c>
      <c r="AS3" s="987" t="s">
        <v>1033</v>
      </c>
      <c r="AT3" s="1661" t="s">
        <v>1036</v>
      </c>
      <c r="AU3" s="1662" t="s">
        <v>655</v>
      </c>
      <c r="AW3" s="1132" t="s">
        <v>464</v>
      </c>
      <c r="AX3" s="1132" t="s">
        <v>465</v>
      </c>
      <c r="AY3" s="1133" t="s">
        <v>471</v>
      </c>
      <c r="AZ3" s="316" t="s">
        <v>133</v>
      </c>
    </row>
    <row r="4" spans="1:52" ht="18" thickTop="1" x14ac:dyDescent="0.55000000000000004">
      <c r="A4" s="7095" t="s">
        <v>135</v>
      </c>
      <c r="B4" s="41" t="s">
        <v>545</v>
      </c>
      <c r="C4" s="41" t="s">
        <v>546</v>
      </c>
      <c r="D4" s="41">
        <v>664</v>
      </c>
      <c r="E4" s="41">
        <v>592</v>
      </c>
      <c r="F4" s="41">
        <v>1199</v>
      </c>
      <c r="G4" s="41">
        <v>1001</v>
      </c>
      <c r="H4" s="41">
        <v>995</v>
      </c>
      <c r="I4" s="41">
        <v>1089</v>
      </c>
      <c r="J4" s="41">
        <v>905</v>
      </c>
      <c r="K4" s="41">
        <v>699</v>
      </c>
      <c r="L4" s="41">
        <v>610</v>
      </c>
      <c r="M4" s="41">
        <v>621</v>
      </c>
      <c r="N4" s="41">
        <v>570</v>
      </c>
      <c r="O4" s="41">
        <v>586</v>
      </c>
      <c r="P4" s="1445">
        <f>SUM(D4:O4)</f>
        <v>9531</v>
      </c>
      <c r="Q4" s="1446">
        <v>794.25</v>
      </c>
      <c r="S4" s="481">
        <v>588</v>
      </c>
      <c r="T4" s="482">
        <v>542</v>
      </c>
      <c r="U4" s="482">
        <v>499</v>
      </c>
      <c r="V4" s="482">
        <v>480</v>
      </c>
      <c r="W4" s="482">
        <v>425</v>
      </c>
      <c r="X4" s="903">
        <v>360</v>
      </c>
      <c r="Y4" s="903">
        <v>458</v>
      </c>
      <c r="Z4" s="1074">
        <v>457</v>
      </c>
      <c r="AA4" s="2073">
        <v>401</v>
      </c>
      <c r="AB4" s="2073">
        <v>506</v>
      </c>
      <c r="AC4" s="2073">
        <v>438</v>
      </c>
      <c r="AD4" s="2074">
        <v>401</v>
      </c>
      <c r="AE4" s="904">
        <f>SUM(S4:AD4)</f>
        <v>5555</v>
      </c>
      <c r="AF4" s="913">
        <f>AVERAGE(S4:AD4)</f>
        <v>462.91666666666669</v>
      </c>
      <c r="AH4" s="481">
        <v>380</v>
      </c>
      <c r="AI4" s="482">
        <v>426</v>
      </c>
      <c r="AJ4" s="482">
        <v>345</v>
      </c>
      <c r="AK4" s="482">
        <v>354</v>
      </c>
      <c r="AL4" s="482">
        <v>350</v>
      </c>
      <c r="AM4" s="1074">
        <v>328</v>
      </c>
      <c r="AN4" s="1074">
        <v>406</v>
      </c>
      <c r="AO4" s="1074">
        <v>359</v>
      </c>
      <c r="AP4" s="1074">
        <v>360</v>
      </c>
      <c r="AQ4" s="1074">
        <v>309</v>
      </c>
      <c r="AR4" s="1074">
        <v>280</v>
      </c>
      <c r="AS4" s="1560">
        <v>313</v>
      </c>
      <c r="AT4" s="904">
        <f>SUM(AH4:AS4)</f>
        <v>4210</v>
      </c>
      <c r="AU4" s="913">
        <f>AVERAGE(AH4:AS4)</f>
        <v>350.83333333333331</v>
      </c>
      <c r="AW4" s="317">
        <f>HLOOKUP($A$1,$AH$2:$AS$404,ROW()-1,0)-HLOOKUP($A$1,$S$2:$AD$404,ROW()-1,0)</f>
        <v>-88</v>
      </c>
      <c r="AX4" s="317">
        <f>AU4-AF4</f>
        <v>-112.08333333333337</v>
      </c>
      <c r="AY4" s="731">
        <f t="shared" ref="AY4:AY35" si="0">AT4-SUM(S4:AD4)</f>
        <v>-1345</v>
      </c>
      <c r="AZ4" s="594">
        <f>HLOOKUP($A$1,$AH$2:$AS$404,ROW()-1,0)-HLOOKUP($B$1,$AH$2:$AS$404,ROW()-1,0)</f>
        <v>33</v>
      </c>
    </row>
    <row r="5" spans="1:52" x14ac:dyDescent="0.55000000000000004">
      <c r="A5" s="7523"/>
      <c r="B5" s="457"/>
      <c r="C5" s="457" t="s">
        <v>547</v>
      </c>
      <c r="D5" s="1447">
        <v>58058</v>
      </c>
      <c r="E5" s="1447">
        <v>57137.666666666657</v>
      </c>
      <c r="F5" s="1447">
        <v>56186.833333333328</v>
      </c>
      <c r="G5" s="1447">
        <v>56417.833333333336</v>
      </c>
      <c r="H5" s="1447">
        <v>53073.833333333328</v>
      </c>
      <c r="I5" s="1447">
        <v>52903</v>
      </c>
      <c r="J5" s="1447">
        <v>53422.666666666672</v>
      </c>
      <c r="K5" s="1447">
        <v>52967.833333333336</v>
      </c>
      <c r="L5" s="1447">
        <v>53752.333333333336</v>
      </c>
      <c r="M5" s="1447">
        <v>51978.333333333336</v>
      </c>
      <c r="N5" s="1447">
        <v>53782.166666666664</v>
      </c>
      <c r="O5" s="1447">
        <v>52682.5</v>
      </c>
      <c r="P5" s="1445">
        <f>SUM(D5:O5)</f>
        <v>652363</v>
      </c>
      <c r="Q5" s="1447">
        <v>54363.583333333328</v>
      </c>
      <c r="S5" s="492">
        <v>50992.666666666664</v>
      </c>
      <c r="T5" s="493">
        <v>53066</v>
      </c>
      <c r="U5" s="493">
        <v>48436.833333333328</v>
      </c>
      <c r="V5" s="493">
        <v>48491.25</v>
      </c>
      <c r="W5" s="493">
        <v>43901.333333333328</v>
      </c>
      <c r="X5" s="493">
        <v>42564.5</v>
      </c>
      <c r="Y5" s="493">
        <v>41625</v>
      </c>
      <c r="Z5" s="1075">
        <v>50727</v>
      </c>
      <c r="AA5" s="2075">
        <v>51187</v>
      </c>
      <c r="AB5" s="2075">
        <v>51189</v>
      </c>
      <c r="AC5" s="2075">
        <v>52748</v>
      </c>
      <c r="AD5" s="2076">
        <v>52486</v>
      </c>
      <c r="AE5" s="1075">
        <f>SUM(S5:AD5)</f>
        <v>587414.58333333326</v>
      </c>
      <c r="AF5" s="1469">
        <f>AVERAGE(S5:AD5)</f>
        <v>48951.215277777774</v>
      </c>
      <c r="AH5" s="492">
        <v>51825</v>
      </c>
      <c r="AI5" s="493">
        <v>48544</v>
      </c>
      <c r="AJ5" s="493">
        <v>51938</v>
      </c>
      <c r="AK5" s="493">
        <v>51613</v>
      </c>
      <c r="AL5" s="493">
        <v>53679</v>
      </c>
      <c r="AM5" s="493">
        <v>60623</v>
      </c>
      <c r="AN5" s="493">
        <v>64378</v>
      </c>
      <c r="AO5" s="1075">
        <v>71746</v>
      </c>
      <c r="AP5" s="2387">
        <v>69911</v>
      </c>
      <c r="AQ5" s="1075">
        <v>72761</v>
      </c>
      <c r="AR5" s="1075">
        <v>71586</v>
      </c>
      <c r="AS5" s="1561">
        <v>64776</v>
      </c>
      <c r="AT5" s="1075">
        <f>SUM(AH5:AS5)</f>
        <v>733380</v>
      </c>
      <c r="AU5" s="1469">
        <f>AVERAGE(AH5:AS5)</f>
        <v>61115</v>
      </c>
      <c r="AW5" s="317">
        <f t="shared" ref="AW5:AW68" si="1">HLOOKUP($A$1,$AH$2:$AS$404,ROW()-1,0)-HLOOKUP($A$1,$S$2:$AD$404,ROW()-1,0)</f>
        <v>12290</v>
      </c>
      <c r="AX5" s="317">
        <f>AU5-AF5</f>
        <v>12163.784722222226</v>
      </c>
      <c r="AY5" s="731">
        <f t="shared" si="0"/>
        <v>145965.41666666674</v>
      </c>
      <c r="AZ5" s="594">
        <f t="shared" ref="AZ5:AZ68" si="2">HLOOKUP($A$1,$AH$2:$AS$404,ROW()-1,0)-HLOOKUP($B$1,$AH$2:$AS$404,ROW()-1,0)</f>
        <v>-6810</v>
      </c>
    </row>
    <row r="6" spans="1:52" x14ac:dyDescent="0.55000000000000004">
      <c r="A6" s="7523"/>
      <c r="B6" s="457"/>
      <c r="C6" s="1470" t="s">
        <v>551</v>
      </c>
      <c r="D6" s="1448">
        <v>1.143683902304592E-2</v>
      </c>
      <c r="E6" s="1448">
        <v>1.0360941118818294E-2</v>
      </c>
      <c r="F6" s="1448">
        <v>2.1339519045090637E-2</v>
      </c>
      <c r="G6" s="1448">
        <v>1.7742616843964821E-2</v>
      </c>
      <c r="H6" s="1448">
        <v>1.8747468149715965E-2</v>
      </c>
      <c r="I6" s="1448">
        <v>2.0584843959699829E-2</v>
      </c>
      <c r="J6" s="1448">
        <v>1.6940374872089249E-2</v>
      </c>
      <c r="K6" s="1448">
        <v>1.3196688556262133E-2</v>
      </c>
      <c r="L6" s="1448">
        <v>1.1348344567987745E-2</v>
      </c>
      <c r="M6" s="1448">
        <v>1.1947285728027703E-2</v>
      </c>
      <c r="N6" s="1448">
        <v>1.0598308609111448E-2</v>
      </c>
      <c r="O6" s="1448">
        <v>1.11232382669767E-2</v>
      </c>
      <c r="P6" s="1448">
        <v>1.4609964084413127E-2</v>
      </c>
      <c r="Q6" s="1448">
        <v>1.4609964084413127E-2</v>
      </c>
      <c r="S6" s="508">
        <v>1.1531069827033953E-2</v>
      </c>
      <c r="T6" s="535">
        <v>1.0213696151961708E-2</v>
      </c>
      <c r="U6" s="535">
        <v>1.0302077275902294E-2</v>
      </c>
      <c r="V6" s="535">
        <v>9.8986930631815018E-3</v>
      </c>
      <c r="W6" s="535">
        <v>9.6807993682803874E-3</v>
      </c>
      <c r="X6" s="535">
        <v>8.4577523523123727E-3</v>
      </c>
      <c r="Y6" s="535">
        <v>1.1003003003003003E-2</v>
      </c>
      <c r="Z6" s="1076">
        <v>9.0090090090090089E-3</v>
      </c>
      <c r="AA6" s="2077">
        <v>7.8340203567312007E-3</v>
      </c>
      <c r="AB6" s="2077">
        <v>9.6782831567269814E-3</v>
      </c>
      <c r="AC6" s="2077">
        <v>8.3036323652081589E-3</v>
      </c>
      <c r="AD6" s="2078">
        <v>7.6401326067903818E-3</v>
      </c>
      <c r="AE6" s="1471">
        <f>AE4/AE5</f>
        <v>9.4566940583560039E-3</v>
      </c>
      <c r="AF6" s="1472">
        <f t="shared" ref="AF6:AF31" si="3">AE6</f>
        <v>9.4566940583560039E-3</v>
      </c>
      <c r="AH6" s="508">
        <v>7.3323685479980702E-3</v>
      </c>
      <c r="AI6" s="535">
        <v>8.775543836519446E-3</v>
      </c>
      <c r="AJ6" s="535">
        <v>6.6425353305864685E-3</v>
      </c>
      <c r="AK6" s="535">
        <v>6.8587371398678631E-3</v>
      </c>
      <c r="AL6" s="535">
        <v>6.5202406900277572E-3</v>
      </c>
      <c r="AM6" s="535">
        <v>5.4104877686686568E-3</v>
      </c>
      <c r="AN6" s="535">
        <v>6.3065022212557085E-3</v>
      </c>
      <c r="AO6" s="1076">
        <v>5.0037632760014496E-3</v>
      </c>
      <c r="AP6" s="1076">
        <v>5.14940424253694E-3</v>
      </c>
      <c r="AQ6" s="1076">
        <v>4.246780555517379E-3</v>
      </c>
      <c r="AR6" s="1076">
        <v>3.911379319978767E-3</v>
      </c>
      <c r="AS6" s="1563">
        <v>4.8320365567494136E-3</v>
      </c>
      <c r="AT6" s="1471">
        <f>AT4/AT5</f>
        <v>5.7405437835774085E-3</v>
      </c>
      <c r="AU6" s="1472">
        <f t="shared" ref="AU6:AU31" si="4">AT6</f>
        <v>5.7405437835774085E-3</v>
      </c>
      <c r="AW6" s="761">
        <f t="shared" si="1"/>
        <v>-2.8080960500409683E-3</v>
      </c>
      <c r="AX6" s="761">
        <f t="shared" ref="AX6:AX68" si="5">AU6-AF6</f>
        <v>-3.7161502747785954E-3</v>
      </c>
      <c r="AY6" s="761">
        <f t="shared" si="0"/>
        <v>-0.10781162475256353</v>
      </c>
      <c r="AZ6" s="594">
        <f t="shared" si="2"/>
        <v>9.2065723677064656E-4</v>
      </c>
    </row>
    <row r="7" spans="1:52" x14ac:dyDescent="0.55000000000000004">
      <c r="A7" s="7523"/>
      <c r="B7" s="75" t="s">
        <v>19</v>
      </c>
      <c r="C7" s="76"/>
      <c r="D7" s="1098">
        <v>1.2947958050011924E-2</v>
      </c>
      <c r="E7" s="1098">
        <v>1.1720917329387832E-2</v>
      </c>
      <c r="F7" s="1098">
        <v>2.3824661588079579E-2</v>
      </c>
      <c r="G7" s="1098">
        <v>2.2267045905243237E-2</v>
      </c>
      <c r="H7" s="1098">
        <v>2.1937712566106948E-2</v>
      </c>
      <c r="I7" s="1098">
        <v>2.3283571558764562E-2</v>
      </c>
      <c r="J7" s="1098">
        <v>1.9561986613057455E-2</v>
      </c>
      <c r="K7" s="1098">
        <v>1.541713871920952E-2</v>
      </c>
      <c r="L7" s="1098">
        <v>1.3143142970488297E-2</v>
      </c>
      <c r="M7" s="1098">
        <v>1.4303000968054211E-2</v>
      </c>
      <c r="N7" s="1098">
        <v>1.2399978803455038E-2</v>
      </c>
      <c r="O7" s="1098">
        <v>1.3543853687544752E-2</v>
      </c>
      <c r="P7" s="1098">
        <v>1.7052258793104035E-2</v>
      </c>
      <c r="Q7" s="1098">
        <v>1.7052258793104035E-2</v>
      </c>
      <c r="S7" s="509">
        <v>1.4039646549059925E-2</v>
      </c>
      <c r="T7" s="510">
        <v>1.1864517160330832E-2</v>
      </c>
      <c r="U7" s="510">
        <v>1.1746068544492099E-2</v>
      </c>
      <c r="V7" s="510">
        <v>1.0275202327572714E-2</v>
      </c>
      <c r="W7" s="510">
        <v>1.0366999703234743E-2</v>
      </c>
      <c r="X7" s="510">
        <v>8.2821178558517127E-3</v>
      </c>
      <c r="Y7" s="510">
        <v>1.1241656583004802E-2</v>
      </c>
      <c r="Z7" s="1077">
        <v>1.1129218172423388E-2</v>
      </c>
      <c r="AA7" s="2079">
        <v>9.0725407075789386E-3</v>
      </c>
      <c r="AB7" s="2079">
        <v>1.1973511973511973E-2</v>
      </c>
      <c r="AC7" s="2079">
        <v>9.0034628703347438E-3</v>
      </c>
      <c r="AD7" s="2080">
        <v>8.0000000000000002E-3</v>
      </c>
      <c r="AE7" s="905">
        <f>AVERAGE(S7:AD7)</f>
        <v>1.0582911870616322E-2</v>
      </c>
      <c r="AF7" s="905">
        <f t="shared" si="3"/>
        <v>1.0582911870616322E-2</v>
      </c>
      <c r="AH7" s="509">
        <v>7.3791954296596046E-3</v>
      </c>
      <c r="AI7" s="510">
        <v>9.4273743016759781E-3</v>
      </c>
      <c r="AJ7" s="510">
        <v>6.7452944502786978E-3</v>
      </c>
      <c r="AK7" s="510">
        <v>7.7004133906136011E-3</v>
      </c>
      <c r="AL7" s="510">
        <v>7.6154758715701659E-3</v>
      </c>
      <c r="AM7" s="510">
        <v>4.8543689320388345E-3</v>
      </c>
      <c r="AN7" s="510">
        <v>5.6874779088075577E-3</v>
      </c>
      <c r="AO7" s="1077">
        <v>4.8332391181458451E-3</v>
      </c>
      <c r="AP7" s="1098">
        <v>5.4230893925550413E-3</v>
      </c>
      <c r="AQ7" s="1098">
        <v>4.3674274443505209E-3</v>
      </c>
      <c r="AR7" s="1098">
        <v>4.6383278534523247E-3</v>
      </c>
      <c r="AS7" s="905">
        <v>5.0543175030358725E-3</v>
      </c>
      <c r="AT7" s="905">
        <f>AVERAGE(AH7:AS7)</f>
        <v>6.1438334663486693E-3</v>
      </c>
      <c r="AU7" s="905">
        <f t="shared" si="4"/>
        <v>6.1438334663486693E-3</v>
      </c>
      <c r="AW7" s="761">
        <f t="shared" si="1"/>
        <v>-2.9456824969641277E-3</v>
      </c>
      <c r="AX7" s="761">
        <f t="shared" si="5"/>
        <v>-4.4390784042676532E-3</v>
      </c>
      <c r="AY7" s="761">
        <f t="shared" si="0"/>
        <v>-0.1208511089810472</v>
      </c>
      <c r="AZ7" s="594">
        <f t="shared" si="2"/>
        <v>4.1598964958354783E-4</v>
      </c>
    </row>
    <row r="8" spans="1:52" x14ac:dyDescent="0.55000000000000004">
      <c r="A8" s="7523"/>
      <c r="B8" s="77"/>
      <c r="C8" t="s">
        <v>68</v>
      </c>
      <c r="D8" s="321">
        <v>1.4939605848696759E-2</v>
      </c>
      <c r="E8" s="321">
        <v>1.1569982323638118E-2</v>
      </c>
      <c r="F8" s="321">
        <v>2.7953304059119631E-2</v>
      </c>
      <c r="G8" s="321">
        <v>2.5646575045990692E-2</v>
      </c>
      <c r="H8" s="321">
        <v>1.5041877955672042E-2</v>
      </c>
      <c r="I8" s="321">
        <v>2.5244025580612589E-2</v>
      </c>
      <c r="J8" s="321">
        <v>1.8771612053350897E-2</v>
      </c>
      <c r="K8" s="321">
        <v>1.6489858736876823E-2</v>
      </c>
      <c r="L8" s="321">
        <v>1.079313164349959E-2</v>
      </c>
      <c r="M8" s="321">
        <v>1.215629522431259E-2</v>
      </c>
      <c r="N8" s="321">
        <v>1.3431293766502123E-2</v>
      </c>
      <c r="O8" s="321">
        <v>1.2391952879981641E-2</v>
      </c>
      <c r="P8" s="321">
        <v>1.7186801815573478E-2</v>
      </c>
      <c r="Q8" s="321">
        <v>1.7186801815573478E-2</v>
      </c>
      <c r="S8" s="762">
        <v>1.7007874015748034E-2</v>
      </c>
      <c r="T8" s="763">
        <v>1.1739915713425648E-2</v>
      </c>
      <c r="U8" s="763">
        <v>9.0037515631513146E-3</v>
      </c>
      <c r="V8" s="763">
        <v>9.5679907219483936E-3</v>
      </c>
      <c r="W8" s="763">
        <v>7.927332782824115E-3</v>
      </c>
      <c r="X8" s="763">
        <v>8.4922154691532779E-3</v>
      </c>
      <c r="Y8" s="763">
        <v>1.0178117048346057E-2</v>
      </c>
      <c r="Z8" s="1078">
        <v>1.5236160487557136E-2</v>
      </c>
      <c r="AA8" s="2081">
        <v>1.089108910891089E-2</v>
      </c>
      <c r="AB8" s="2081">
        <v>9.5969289827255271E-3</v>
      </c>
      <c r="AC8" s="2081">
        <v>1.167883211678832E-2</v>
      </c>
      <c r="AD8" s="2082">
        <v>0.01</v>
      </c>
      <c r="AE8" s="440">
        <f t="shared" ref="AE8:AE32" si="6">AVERAGE(S8:AD8)</f>
        <v>1.0943350667548224E-2</v>
      </c>
      <c r="AF8" s="440">
        <f t="shared" si="3"/>
        <v>1.0943350667548224E-2</v>
      </c>
      <c r="AH8" s="762">
        <v>1.1822660098522168E-2</v>
      </c>
      <c r="AI8" s="763">
        <v>1.2472885032537961E-2</v>
      </c>
      <c r="AJ8" s="763">
        <v>9.4810379241516973E-3</v>
      </c>
      <c r="AK8" s="763">
        <v>1.1247443762781187E-2</v>
      </c>
      <c r="AL8" s="763">
        <v>7.525870178739417E-3</v>
      </c>
      <c r="AM8" s="763">
        <v>6.0144346431435444E-3</v>
      </c>
      <c r="AN8" s="763">
        <v>7.6277650648360028E-3</v>
      </c>
      <c r="AO8" s="1078">
        <v>5.6723390056723387E-3</v>
      </c>
      <c r="AP8" s="1099">
        <v>8.7047353760445687E-3</v>
      </c>
      <c r="AQ8" s="1099">
        <v>4.3103448275862068E-3</v>
      </c>
      <c r="AR8" s="321">
        <v>4.9261083743842365E-3</v>
      </c>
      <c r="AS8" s="440">
        <v>5.2910052910052907E-3</v>
      </c>
      <c r="AT8" s="440">
        <f t="shared" ref="AT8:AT32" si="7">AVERAGE(AH8:AS8)</f>
        <v>7.9247191316170508E-3</v>
      </c>
      <c r="AU8" s="440">
        <f t="shared" si="4"/>
        <v>7.9247191316170508E-3</v>
      </c>
      <c r="AW8" s="761">
        <f t="shared" si="1"/>
        <v>-4.7089947089947095E-3</v>
      </c>
      <c r="AX8" s="761">
        <f t="shared" si="5"/>
        <v>-3.0186315359311735E-3</v>
      </c>
      <c r="AY8" s="761">
        <f t="shared" si="0"/>
        <v>-0.12339548887896165</v>
      </c>
      <c r="AZ8" s="594">
        <f t="shared" si="2"/>
        <v>3.648969166210542E-4</v>
      </c>
    </row>
    <row r="9" spans="1:52" x14ac:dyDescent="0.55000000000000004">
      <c r="A9" s="7523"/>
      <c r="B9" s="77"/>
      <c r="C9" t="s">
        <v>71</v>
      </c>
      <c r="D9" s="321">
        <v>8.8939566704675024E-3</v>
      </c>
      <c r="E9" s="321">
        <v>8.8747297758561845E-3</v>
      </c>
      <c r="F9" s="321">
        <v>1.9363762102351315E-2</v>
      </c>
      <c r="G9" s="321">
        <v>2.1279029859283836E-2</v>
      </c>
      <c r="H9" s="321">
        <v>1.8029297608613996E-2</v>
      </c>
      <c r="I9" s="321">
        <v>2.8903162055335972E-2</v>
      </c>
      <c r="J9" s="321">
        <v>1.6381766381766381E-2</v>
      </c>
      <c r="K9" s="321">
        <v>1.2799241526428064E-2</v>
      </c>
      <c r="L9" s="321">
        <v>1.1669145406704037E-2</v>
      </c>
      <c r="M9" s="321">
        <v>1.4795678722404886E-2</v>
      </c>
      <c r="N9" s="321">
        <v>1.2734584450402145E-2</v>
      </c>
      <c r="O9" s="321">
        <v>1.6715752606861419E-2</v>
      </c>
      <c r="P9" s="321">
        <v>1.5802348795141197E-2</v>
      </c>
      <c r="Q9" s="321">
        <v>1.5802348795141197E-2</v>
      </c>
      <c r="S9" s="762">
        <v>9.6008084891359285E-3</v>
      </c>
      <c r="T9" s="763">
        <v>8.9390731592566448E-3</v>
      </c>
      <c r="U9" s="763">
        <v>1.0620364126770062E-2</v>
      </c>
      <c r="V9" s="763">
        <v>1.0730253353204171E-2</v>
      </c>
      <c r="W9" s="763">
        <v>1.0532475131655939E-2</v>
      </c>
      <c r="X9" s="763">
        <v>7.8099576960624821E-3</v>
      </c>
      <c r="Y9" s="763">
        <v>1.1560693641618497E-2</v>
      </c>
      <c r="Z9" s="1078">
        <v>6.6793893129770991E-3</v>
      </c>
      <c r="AA9" s="2081">
        <v>9.74025974025974E-3</v>
      </c>
      <c r="AB9" s="2081">
        <v>1.0127697049757816E-2</v>
      </c>
      <c r="AC9" s="2081">
        <v>9.5361941915908105E-3</v>
      </c>
      <c r="AD9" s="2082">
        <v>7.0000000000000001E-3</v>
      </c>
      <c r="AE9" s="440">
        <f t="shared" si="6"/>
        <v>9.4064304910241002E-3</v>
      </c>
      <c r="AF9" s="440">
        <f t="shared" si="3"/>
        <v>9.4064304910241002E-3</v>
      </c>
      <c r="AH9" s="762">
        <v>4.8266783677051337E-3</v>
      </c>
      <c r="AI9" s="763">
        <v>5.7999033349444172E-3</v>
      </c>
      <c r="AJ9" s="763">
        <v>6.7010309278350512E-3</v>
      </c>
      <c r="AK9" s="763">
        <v>6.0018467220683287E-3</v>
      </c>
      <c r="AL9" s="763">
        <v>8.7221979938944608E-3</v>
      </c>
      <c r="AM9" s="763">
        <v>5.3292729349067374E-3</v>
      </c>
      <c r="AN9" s="763">
        <v>5.3648068669527897E-3</v>
      </c>
      <c r="AO9" s="1078">
        <v>4.0210330961954841E-3</v>
      </c>
      <c r="AP9" s="1099">
        <v>2.2068095838587644E-3</v>
      </c>
      <c r="AQ9" s="1099">
        <v>2.6722090261282658E-3</v>
      </c>
      <c r="AR9" s="321">
        <v>4.2735042735042739E-3</v>
      </c>
      <c r="AS9" s="440">
        <v>3.3840947546531302E-3</v>
      </c>
      <c r="AT9" s="440">
        <f t="shared" si="7"/>
        <v>4.9419489902205694E-3</v>
      </c>
      <c r="AU9" s="440">
        <f t="shared" si="4"/>
        <v>4.9419489902205694E-3</v>
      </c>
      <c r="AW9" s="761">
        <f>HLOOKUP($A$1,$AH$2:$AS$404,ROW()-1,0)-HLOOKUP($A$1,$S$2:$AD$404,ROW()-1,0)</f>
        <v>-3.61590524534687E-3</v>
      </c>
      <c r="AX9" s="761">
        <f t="shared" si="5"/>
        <v>-4.4644815008035308E-3</v>
      </c>
      <c r="AY9" s="761">
        <f t="shared" si="0"/>
        <v>-0.10793521690206863</v>
      </c>
      <c r="AZ9" s="594">
        <f t="shared" si="2"/>
        <v>-8.8940951885114377E-4</v>
      </c>
    </row>
    <row r="10" spans="1:52" x14ac:dyDescent="0.55000000000000004">
      <c r="A10" s="7523"/>
      <c r="B10" s="77"/>
      <c r="C10" t="s">
        <v>69</v>
      </c>
      <c r="D10" s="321">
        <v>1.7283201940570043E-2</v>
      </c>
      <c r="E10" s="321">
        <v>1.6283452695062192E-2</v>
      </c>
      <c r="F10" s="321">
        <v>2.0494914224988614E-2</v>
      </c>
      <c r="G10" s="321">
        <v>2.4625027982986346E-2</v>
      </c>
      <c r="H10" s="321">
        <v>2.2482659650801245E-2</v>
      </c>
      <c r="I10" s="321">
        <v>3.3016272305636349E-2</v>
      </c>
      <c r="J10" s="321">
        <v>2.2145328719723183E-2</v>
      </c>
      <c r="K10" s="321">
        <v>1.831989352540515E-2</v>
      </c>
      <c r="L10" s="321">
        <v>1.799723119520074E-2</v>
      </c>
      <c r="M10" s="321">
        <v>1.553146740009707E-2</v>
      </c>
      <c r="N10" s="321">
        <v>1.5626196859440826E-2</v>
      </c>
      <c r="O10" s="321">
        <v>1.6661377340526817E-2</v>
      </c>
      <c r="P10" s="321">
        <v>2.0039072322482063E-2</v>
      </c>
      <c r="Q10" s="321">
        <v>2.0039072322482063E-2</v>
      </c>
      <c r="S10" s="762">
        <v>1.7631213778467065E-2</v>
      </c>
      <c r="T10" s="763">
        <v>1.6945271353331806E-2</v>
      </c>
      <c r="U10" s="763">
        <v>1.6288252714708785E-2</v>
      </c>
      <c r="V10" s="763">
        <v>1.6015530211113807E-2</v>
      </c>
      <c r="W10" s="763">
        <v>6.7567567567567571E-3</v>
      </c>
      <c r="X10" s="763">
        <v>6.2701384655577813E-3</v>
      </c>
      <c r="Y10" s="763">
        <v>1.2035583464154892E-2</v>
      </c>
      <c r="Z10" s="1078">
        <v>1.2432432432432434E-2</v>
      </c>
      <c r="AA10" s="2081">
        <v>8.0688542227003758E-3</v>
      </c>
      <c r="AB10" s="2081">
        <v>1.5199161425576519E-2</v>
      </c>
      <c r="AC10" s="2081">
        <v>9.9947396107311938E-3</v>
      </c>
      <c r="AD10" s="2082">
        <v>8.9999999999999993E-3</v>
      </c>
      <c r="AE10" s="440">
        <f t="shared" si="6"/>
        <v>1.2219827869627617E-2</v>
      </c>
      <c r="AF10" s="440">
        <f t="shared" si="3"/>
        <v>1.2219827869627617E-2</v>
      </c>
      <c r="AH10" s="762">
        <v>9.154550350026925E-3</v>
      </c>
      <c r="AI10" s="763">
        <v>1.2956419316843345E-2</v>
      </c>
      <c r="AJ10" s="763">
        <v>1.037117903930131E-2</v>
      </c>
      <c r="AK10" s="763">
        <v>1.1705685618729096E-2</v>
      </c>
      <c r="AL10" s="763">
        <v>1.0730710270822688E-2</v>
      </c>
      <c r="AM10" s="763">
        <v>4.3516100957354219E-3</v>
      </c>
      <c r="AN10" s="763">
        <v>3.7313432835820895E-3</v>
      </c>
      <c r="AO10" s="1078">
        <v>5.4486015256084274E-3</v>
      </c>
      <c r="AP10" s="1099">
        <v>9.8181818181818179E-3</v>
      </c>
      <c r="AQ10" s="1099">
        <v>5.4775761725436491E-3</v>
      </c>
      <c r="AR10" s="321">
        <v>6.0390763765541741E-3</v>
      </c>
      <c r="AS10" s="440">
        <v>6.4829821717990272E-3</v>
      </c>
      <c r="AT10" s="440">
        <f t="shared" si="7"/>
        <v>8.0223263366439972E-3</v>
      </c>
      <c r="AU10" s="440">
        <f t="shared" si="4"/>
        <v>8.0223263366439972E-3</v>
      </c>
      <c r="AW10" s="761">
        <f t="shared" si="1"/>
        <v>-2.5170178282009721E-3</v>
      </c>
      <c r="AX10" s="761">
        <f t="shared" si="5"/>
        <v>-4.1975015329836201E-3</v>
      </c>
      <c r="AY10" s="761">
        <f t="shared" si="0"/>
        <v>-0.13861560809888743</v>
      </c>
      <c r="AZ10" s="594">
        <f t="shared" si="2"/>
        <v>4.4390579524485312E-4</v>
      </c>
    </row>
    <row r="11" spans="1:52" x14ac:dyDescent="0.55000000000000004">
      <c r="A11" s="7523"/>
      <c r="B11" s="77"/>
      <c r="C11" t="s">
        <v>146</v>
      </c>
      <c r="D11" s="321">
        <v>1.2922911244727631E-2</v>
      </c>
      <c r="E11" s="321">
        <v>9.1426522654954514E-3</v>
      </c>
      <c r="F11" s="321">
        <v>2.8638328530259365E-2</v>
      </c>
      <c r="G11" s="321">
        <v>2.8150134048257374E-2</v>
      </c>
      <c r="H11" s="321">
        <v>3.5464346510308303E-2</v>
      </c>
      <c r="I11" s="321">
        <v>3.0776537639515555E-2</v>
      </c>
      <c r="J11" s="321">
        <v>2.3583360628889615E-2</v>
      </c>
      <c r="K11" s="321">
        <v>1.60888178011949E-2</v>
      </c>
      <c r="L11" s="321">
        <v>1.7436137801734235E-2</v>
      </c>
      <c r="M11" s="321">
        <v>1.986754966887417E-2</v>
      </c>
      <c r="N11" s="321">
        <v>1.6228748068006182E-2</v>
      </c>
      <c r="O11" s="321">
        <v>7.1467839472237503E-3</v>
      </c>
      <c r="P11" s="321">
        <v>2.0409191109527002E-2</v>
      </c>
      <c r="Q11" s="321">
        <v>2.0409191109527002E-2</v>
      </c>
      <c r="S11" s="762">
        <v>9.3517534537725829E-3</v>
      </c>
      <c r="T11" s="763">
        <v>9.2202846261775929E-3</v>
      </c>
      <c r="U11" s="763">
        <v>9.7016022343083923E-3</v>
      </c>
      <c r="V11" s="763">
        <v>1.3723791370646334E-2</v>
      </c>
      <c r="W11" s="763">
        <v>1.0935601458080195E-2</v>
      </c>
      <c r="X11" s="763">
        <v>7.1926275567543267E-3</v>
      </c>
      <c r="Y11" s="763">
        <v>6.6994193836534171E-3</v>
      </c>
      <c r="Z11" s="480">
        <v>9.1827364554637279E-3</v>
      </c>
      <c r="AA11" s="2081">
        <v>8.1892629663330302E-3</v>
      </c>
      <c r="AB11" s="2081">
        <v>6.156552330694811E-3</v>
      </c>
      <c r="AC11" s="2081">
        <v>5.7042562527424307E-3</v>
      </c>
      <c r="AD11" s="2082">
        <v>8.0000000000000002E-3</v>
      </c>
      <c r="AE11" s="440">
        <f t="shared" si="6"/>
        <v>8.6714906740522363E-3</v>
      </c>
      <c r="AF11" s="440">
        <f t="shared" si="3"/>
        <v>8.6714906740522363E-3</v>
      </c>
      <c r="AH11" s="762">
        <v>5.3380782918149468E-3</v>
      </c>
      <c r="AI11" s="763">
        <v>9.1566265060240969E-3</v>
      </c>
      <c r="AJ11" s="763">
        <v>3.5118525021949078E-3</v>
      </c>
      <c r="AK11" s="763">
        <v>6.7024128686327079E-3</v>
      </c>
      <c r="AL11" s="763">
        <v>5.9096665259603205E-3</v>
      </c>
      <c r="AM11" s="763">
        <v>6.2776957163958643E-3</v>
      </c>
      <c r="AN11" s="763">
        <v>4.9839800640797439E-3</v>
      </c>
      <c r="AO11" s="480">
        <v>5.7581573896353169E-3</v>
      </c>
      <c r="AP11" s="1100">
        <v>3.0292830696735107E-3</v>
      </c>
      <c r="AQ11" s="1100">
        <v>3.8973692757388761E-3</v>
      </c>
      <c r="AR11" s="321">
        <v>4.4308111792774373E-3</v>
      </c>
      <c r="AS11" s="440">
        <v>5.1120723554856466E-3</v>
      </c>
      <c r="AT11" s="440">
        <f t="shared" si="7"/>
        <v>5.342333812076115E-3</v>
      </c>
      <c r="AU11" s="440">
        <f t="shared" si="4"/>
        <v>5.342333812076115E-3</v>
      </c>
      <c r="AW11" s="761">
        <f t="shared" si="1"/>
        <v>-2.8879276445143535E-3</v>
      </c>
      <c r="AX11" s="761">
        <f t="shared" si="5"/>
        <v>-3.3291568619761213E-3</v>
      </c>
      <c r="AY11" s="761">
        <f t="shared" si="0"/>
        <v>-9.8715554276550724E-2</v>
      </c>
      <c r="AZ11" s="594">
        <f t="shared" si="2"/>
        <v>6.8126117620820933E-4</v>
      </c>
    </row>
    <row r="12" spans="1:52" x14ac:dyDescent="0.55000000000000004">
      <c r="A12" s="7523"/>
      <c r="B12" s="77"/>
      <c r="C12" t="s">
        <v>70</v>
      </c>
      <c r="D12" s="321">
        <v>1.2018027040560842E-2</v>
      </c>
      <c r="E12" s="321">
        <v>1.0794044665012407E-2</v>
      </c>
      <c r="F12" s="321">
        <v>1.9910280833282126E-2</v>
      </c>
      <c r="G12" s="321">
        <v>1.8092998009770218E-2</v>
      </c>
      <c r="H12" s="321">
        <v>1.9332388194354941E-2</v>
      </c>
      <c r="I12" s="321">
        <v>1.6234583438207904E-2</v>
      </c>
      <c r="J12" s="321">
        <v>1.0788690476190476E-2</v>
      </c>
      <c r="K12" s="321">
        <v>9.5256239283673088E-3</v>
      </c>
      <c r="L12" s="321">
        <v>1.0974456007568592E-2</v>
      </c>
      <c r="M12" s="321">
        <v>8.8170462894930201E-3</v>
      </c>
      <c r="N12" s="321">
        <v>1.0864644635581712E-2</v>
      </c>
      <c r="O12" s="321">
        <v>2.5297517851071059E-2</v>
      </c>
      <c r="P12" s="321">
        <v>1.4363548927489969E-2</v>
      </c>
      <c r="Q12" s="321">
        <v>1.4363548927489969E-2</v>
      </c>
      <c r="S12" s="762">
        <v>2.085912944089913E-2</v>
      </c>
      <c r="T12" s="763">
        <v>1.0859237138591014E-2</v>
      </c>
      <c r="U12" s="763">
        <v>1.3201951592844157E-2</v>
      </c>
      <c r="V12" s="763">
        <v>7.5658509247151142E-3</v>
      </c>
      <c r="W12" s="763">
        <v>1.0062148564664105E-2</v>
      </c>
      <c r="X12" s="763">
        <v>6.8185187015168715E-3</v>
      </c>
      <c r="Y12" s="763">
        <v>1.2746585735963581E-2</v>
      </c>
      <c r="Z12" s="480">
        <v>1.290719114935464E-2</v>
      </c>
      <c r="AA12" s="2081">
        <v>9.9132589838909543E-3</v>
      </c>
      <c r="AB12" s="2081">
        <v>1.498800959232614E-2</v>
      </c>
      <c r="AC12" s="2081">
        <v>6.7966903073286055E-3</v>
      </c>
      <c r="AD12" s="2082">
        <v>8.9999999999999993E-3</v>
      </c>
      <c r="AE12" s="440">
        <f t="shared" si="6"/>
        <v>1.130988101100786E-2</v>
      </c>
      <c r="AF12" s="440">
        <f t="shared" si="3"/>
        <v>1.130988101100786E-2</v>
      </c>
      <c r="AH12" s="762">
        <v>7.5734625870948194E-3</v>
      </c>
      <c r="AI12" s="763">
        <v>6.2295081967213119E-3</v>
      </c>
      <c r="AJ12" s="763">
        <v>8.0693365212193661E-3</v>
      </c>
      <c r="AK12" s="763">
        <v>8.8875268158136681E-3</v>
      </c>
      <c r="AL12" s="763">
        <v>8.3061406110946298E-3</v>
      </c>
      <c r="AM12" s="763">
        <v>4.1786367197701752E-3</v>
      </c>
      <c r="AN12" s="763">
        <v>7.4497144276136082E-3</v>
      </c>
      <c r="AO12" s="480">
        <v>5.3440213760855048E-3</v>
      </c>
      <c r="AP12" s="1100">
        <v>5.661712668082095E-3</v>
      </c>
      <c r="AQ12" s="1100">
        <v>5.4114994363021422E-3</v>
      </c>
      <c r="AR12" s="321">
        <v>5.6404230317273797E-3</v>
      </c>
      <c r="AS12" s="440">
        <v>5.9958289885297181E-3</v>
      </c>
      <c r="AT12" s="440">
        <f t="shared" si="7"/>
        <v>6.5623176150045341E-3</v>
      </c>
      <c r="AU12" s="440">
        <f t="shared" si="4"/>
        <v>6.5623176150045341E-3</v>
      </c>
      <c r="AW12" s="761">
        <f t="shared" si="1"/>
        <v>-3.0041710114702812E-3</v>
      </c>
      <c r="AX12" s="761">
        <f t="shared" si="5"/>
        <v>-4.7475633960033263E-3</v>
      </c>
      <c r="AY12" s="761">
        <f t="shared" si="0"/>
        <v>-0.12915625451708979</v>
      </c>
      <c r="AZ12" s="594">
        <f t="shared" si="2"/>
        <v>3.5540595680233836E-4</v>
      </c>
    </row>
    <row r="13" spans="1:52" x14ac:dyDescent="0.55000000000000004">
      <c r="A13" s="7523"/>
      <c r="B13" s="77"/>
      <c r="C13" t="s">
        <v>72</v>
      </c>
      <c r="D13" s="321">
        <v>1.1740247034364682E-2</v>
      </c>
      <c r="E13" s="321">
        <v>1.0786193672099712E-2</v>
      </c>
      <c r="F13" s="321">
        <v>2.1522090034076641E-2</v>
      </c>
      <c r="G13" s="321">
        <v>2.5581931320580779E-2</v>
      </c>
      <c r="H13" s="321">
        <v>2.2592791823561054E-2</v>
      </c>
      <c r="I13" s="321">
        <v>2.2537562604340568E-2</v>
      </c>
      <c r="J13" s="321">
        <v>2.0897428455331747E-2</v>
      </c>
      <c r="K13" s="321">
        <v>1.8589132507149664E-2</v>
      </c>
      <c r="L13" s="321">
        <v>1.4832700931355639E-2</v>
      </c>
      <c r="M13" s="321">
        <v>1.7260374586852735E-2</v>
      </c>
      <c r="N13" s="321">
        <v>1.1753531995725991E-2</v>
      </c>
      <c r="O13" s="321">
        <v>1.171717171717172E-2</v>
      </c>
      <c r="P13" s="321">
        <v>1.7574112672254793E-2</v>
      </c>
      <c r="Q13" s="321">
        <v>1.7574112672254793E-2</v>
      </c>
      <c r="S13" s="762">
        <v>1.4794983795970126E-2</v>
      </c>
      <c r="T13" s="763">
        <v>1.3322884012539185E-2</v>
      </c>
      <c r="U13" s="763">
        <v>1.4894673381090859E-2</v>
      </c>
      <c r="V13" s="763">
        <v>9.7120118702367329E-3</v>
      </c>
      <c r="W13" s="763">
        <v>7.9062957540263525E-3</v>
      </c>
      <c r="X13" s="763">
        <v>9.6259024283526576E-3</v>
      </c>
      <c r="Y13" s="763">
        <v>1.5057573073516387E-2</v>
      </c>
      <c r="Z13" s="480">
        <v>1.1531365313653136E-2</v>
      </c>
      <c r="AA13" s="2081">
        <v>1.3047530288909599E-2</v>
      </c>
      <c r="AB13" s="2081">
        <v>1.289134438305709E-2</v>
      </c>
      <c r="AC13" s="2081">
        <v>5.4719562243502051E-3</v>
      </c>
      <c r="AD13" s="2082">
        <v>7.0000000000000001E-3</v>
      </c>
      <c r="AE13" s="440">
        <f t="shared" si="6"/>
        <v>1.1271376710475194E-2</v>
      </c>
      <c r="AF13" s="440">
        <f t="shared" si="3"/>
        <v>1.1271376710475194E-2</v>
      </c>
      <c r="AH13" s="762">
        <v>4.6707146193367584E-3</v>
      </c>
      <c r="AI13" s="763">
        <v>1.1167512690355329E-2</v>
      </c>
      <c r="AJ13" s="763">
        <v>5.171603196991067E-3</v>
      </c>
      <c r="AK13" s="763">
        <v>8.591885441527447E-3</v>
      </c>
      <c r="AL13" s="763">
        <v>5.0973123262279887E-3</v>
      </c>
      <c r="AM13" s="763">
        <v>3.7128712871287127E-3</v>
      </c>
      <c r="AN13" s="763">
        <v>2.7418723070896985E-3</v>
      </c>
      <c r="AO13" s="480">
        <v>6.6086956521739133E-3</v>
      </c>
      <c r="AP13" s="1100">
        <v>5.4844606946983544E-3</v>
      </c>
      <c r="AQ13" s="1100">
        <v>3.1768443346276033E-3</v>
      </c>
      <c r="AR13" s="321">
        <v>5.1565377532228358E-3</v>
      </c>
      <c r="AS13" s="440">
        <v>4.1135335252982311E-3</v>
      </c>
      <c r="AT13" s="440">
        <f t="shared" si="7"/>
        <v>5.4744869857231608E-3</v>
      </c>
      <c r="AU13" s="440">
        <f t="shared" si="4"/>
        <v>5.4744869857231608E-3</v>
      </c>
      <c r="AW13" s="761">
        <f t="shared" si="1"/>
        <v>-2.8864664747017691E-3</v>
      </c>
      <c r="AX13" s="761">
        <f t="shared" si="5"/>
        <v>-5.7968897247520331E-3</v>
      </c>
      <c r="AY13" s="761">
        <f t="shared" si="0"/>
        <v>-0.12978203353997916</v>
      </c>
      <c r="AZ13" s="594">
        <f t="shared" si="2"/>
        <v>-1.0430042279246047E-3</v>
      </c>
    </row>
    <row r="14" spans="1:52" x14ac:dyDescent="0.55000000000000004">
      <c r="A14" s="7523"/>
      <c r="B14" s="77"/>
      <c r="C14" t="s">
        <v>73</v>
      </c>
      <c r="D14" s="321">
        <v>1.0212765957446808E-2</v>
      </c>
      <c r="E14" s="321">
        <v>1.0417087253199822E-2</v>
      </c>
      <c r="F14" s="321">
        <v>2.7623203490932381E-2</v>
      </c>
      <c r="G14" s="321">
        <v>2.2545031958163857E-2</v>
      </c>
      <c r="H14" s="321">
        <v>1.9905999447055574E-2</v>
      </c>
      <c r="I14" s="321">
        <v>1.7719325878091035E-2</v>
      </c>
      <c r="J14" s="321">
        <v>1.9867549668874173E-2</v>
      </c>
      <c r="K14" s="321">
        <v>1.5056761601274645E-2</v>
      </c>
      <c r="L14" s="321">
        <v>9.6451676141932965E-3</v>
      </c>
      <c r="M14" s="321">
        <v>1.1362232925774979E-2</v>
      </c>
      <c r="N14" s="321">
        <v>9.5288512440444718E-3</v>
      </c>
      <c r="O14" s="321">
        <v>8.2872928176795577E-3</v>
      </c>
      <c r="P14" s="321">
        <v>1.5261475275943343E-2</v>
      </c>
      <c r="Q14" s="321">
        <v>1.5261475275943343E-2</v>
      </c>
      <c r="S14" s="762">
        <v>8.8881143255489722E-3</v>
      </c>
      <c r="T14" s="763">
        <v>9.177635551261925E-3</v>
      </c>
      <c r="U14" s="763">
        <v>7.3449044725221882E-3</v>
      </c>
      <c r="V14" s="763">
        <v>6.5768948624332817E-3</v>
      </c>
      <c r="W14" s="763">
        <v>7.413618110409954E-3</v>
      </c>
      <c r="X14" s="763">
        <v>3.1320689055159209E-3</v>
      </c>
      <c r="Y14" s="763">
        <v>9.7496706192358364E-3</v>
      </c>
      <c r="Z14" s="480">
        <v>1.1348284247500676E-2</v>
      </c>
      <c r="AA14" s="2081">
        <v>9.5864146809093408E-3</v>
      </c>
      <c r="AB14" s="2081">
        <v>1.1901541790641061E-2</v>
      </c>
      <c r="AC14" s="2081">
        <v>9.7852677357977719E-3</v>
      </c>
      <c r="AD14" s="2082">
        <v>0.01</v>
      </c>
      <c r="AE14" s="440">
        <f t="shared" si="6"/>
        <v>8.7420346084814103E-3</v>
      </c>
      <c r="AF14" s="440">
        <f t="shared" si="3"/>
        <v>8.7420346084814103E-3</v>
      </c>
      <c r="AH14" s="762">
        <v>8.2857142857142851E-3</v>
      </c>
      <c r="AI14" s="763">
        <v>1.0433648516465601E-2</v>
      </c>
      <c r="AJ14" s="763">
        <v>4.7832585949177881E-3</v>
      </c>
      <c r="AK14" s="763">
        <v>5.3571428571428572E-3</v>
      </c>
      <c r="AL14" s="763">
        <v>8.5299971566676139E-3</v>
      </c>
      <c r="AM14" s="763">
        <v>5.0697084917617234E-3</v>
      </c>
      <c r="AN14" s="763">
        <v>5.3724053724053724E-3</v>
      </c>
      <c r="AO14" s="480">
        <v>5.672268907563025E-3</v>
      </c>
      <c r="AP14" s="1100">
        <v>5.5090348171000442E-3</v>
      </c>
      <c r="AQ14" s="1100">
        <v>6.2580923608113945E-3</v>
      </c>
      <c r="AR14" s="321">
        <v>5.1720260850011248E-3</v>
      </c>
      <c r="AS14" s="440">
        <v>4.287515762925599E-3</v>
      </c>
      <c r="AT14" s="440">
        <f t="shared" si="7"/>
        <v>6.2275677673730365E-3</v>
      </c>
      <c r="AU14" s="440">
        <f t="shared" si="4"/>
        <v>6.2275677673730365E-3</v>
      </c>
      <c r="AW14" s="761">
        <f t="shared" si="1"/>
        <v>-5.7124842370744012E-3</v>
      </c>
      <c r="AX14" s="761">
        <f t="shared" si="5"/>
        <v>-2.5144668411083738E-3</v>
      </c>
      <c r="AY14" s="761">
        <f t="shared" si="0"/>
        <v>-9.8676847534403894E-2</v>
      </c>
      <c r="AZ14" s="594">
        <f t="shared" si="2"/>
        <v>-8.8451032207552578E-4</v>
      </c>
    </row>
    <row r="15" spans="1:52" x14ac:dyDescent="0.55000000000000004">
      <c r="A15" s="7523"/>
      <c r="B15" s="77"/>
      <c r="C15" t="s">
        <v>74</v>
      </c>
      <c r="D15" s="321">
        <v>1.2117540139351712E-2</v>
      </c>
      <c r="E15" s="321">
        <v>1.1847171487807286E-2</v>
      </c>
      <c r="F15" s="321">
        <v>2.1823617339312408E-2</v>
      </c>
      <c r="G15" s="321">
        <v>1.8565815324165028E-2</v>
      </c>
      <c r="H15" s="321">
        <v>1.7249345448945019E-2</v>
      </c>
      <c r="I15" s="321">
        <v>2.1647441435032267E-2</v>
      </c>
      <c r="J15" s="321">
        <v>1.2955147708312886E-2</v>
      </c>
      <c r="K15" s="321">
        <v>1.3045456843808464E-2</v>
      </c>
      <c r="L15" s="321">
        <v>1.3416815742397137E-2</v>
      </c>
      <c r="M15" s="321">
        <v>1.4823965410747375E-2</v>
      </c>
      <c r="N15" s="321">
        <v>1.1119459053343351E-2</v>
      </c>
      <c r="O15" s="321">
        <v>1.633593381852453E-2</v>
      </c>
      <c r="P15" s="321">
        <v>1.5401198709856014E-2</v>
      </c>
      <c r="Q15" s="321">
        <v>1.5401198709856014E-2</v>
      </c>
      <c r="S15" s="762">
        <v>1.4154825259230808E-2</v>
      </c>
      <c r="T15" s="763">
        <v>1.342077169437242E-2</v>
      </c>
      <c r="U15" s="763">
        <v>1.0733452593917709E-2</v>
      </c>
      <c r="V15" s="763">
        <v>9.9162626707800811E-3</v>
      </c>
      <c r="W15" s="763">
        <v>8.0565123474808792E-3</v>
      </c>
      <c r="X15" s="763">
        <v>8.0325960419091996E-3</v>
      </c>
      <c r="Y15" s="763">
        <v>1.3258203513423931E-2</v>
      </c>
      <c r="Z15" s="480">
        <v>1.0605542251111872E-2</v>
      </c>
      <c r="AA15" s="2081">
        <v>6.8493150684931503E-3</v>
      </c>
      <c r="AB15" s="2081">
        <v>1.0709504685408299E-2</v>
      </c>
      <c r="AC15" s="2081">
        <v>8.7336244541484712E-3</v>
      </c>
      <c r="AD15" s="2082">
        <v>4.0000000000000001E-3</v>
      </c>
      <c r="AE15" s="440">
        <f t="shared" si="6"/>
        <v>9.8725508816897341E-3</v>
      </c>
      <c r="AF15" s="440">
        <f t="shared" si="3"/>
        <v>9.8725508816897341E-3</v>
      </c>
      <c r="AH15" s="762">
        <v>8.44475721323012E-3</v>
      </c>
      <c r="AI15" s="763">
        <v>1.0518114530580444E-2</v>
      </c>
      <c r="AJ15" s="763">
        <v>8.5409252669039152E-3</v>
      </c>
      <c r="AK15" s="763">
        <v>7.6059398768562117E-3</v>
      </c>
      <c r="AL15" s="763">
        <v>1.0030090270812437E-2</v>
      </c>
      <c r="AM15" s="763">
        <v>4.8396854204476713E-3</v>
      </c>
      <c r="AN15" s="763">
        <v>8.0459770114942528E-3</v>
      </c>
      <c r="AO15" s="480">
        <v>4.0120361083249749E-3</v>
      </c>
      <c r="AP15" s="1100">
        <v>5.5176037834997376E-3</v>
      </c>
      <c r="AQ15" s="1100">
        <v>3.2986551636640447E-3</v>
      </c>
      <c r="AR15" s="321">
        <v>3.7725680409593102E-3</v>
      </c>
      <c r="AS15" s="440">
        <v>6.7906702096250373E-3</v>
      </c>
      <c r="AT15" s="440">
        <f t="shared" si="7"/>
        <v>6.7847519080331794E-3</v>
      </c>
      <c r="AU15" s="440">
        <f t="shared" si="4"/>
        <v>6.7847519080331794E-3</v>
      </c>
      <c r="AW15" s="761">
        <f t="shared" si="1"/>
        <v>2.7906702096250372E-3</v>
      </c>
      <c r="AX15" s="761">
        <f t="shared" si="5"/>
        <v>-3.0877989736565548E-3</v>
      </c>
      <c r="AY15" s="761">
        <f t="shared" si="0"/>
        <v>-0.11168585867224362</v>
      </c>
      <c r="AZ15" s="594">
        <f t="shared" si="2"/>
        <v>3.0181021686657272E-3</v>
      </c>
    </row>
    <row r="16" spans="1:52" x14ac:dyDescent="0.55000000000000004">
      <c r="A16" s="7523"/>
      <c r="B16" s="77"/>
      <c r="C16" t="s">
        <v>75</v>
      </c>
      <c r="D16" s="321">
        <v>1.7253774263120056E-2</v>
      </c>
      <c r="E16" s="321">
        <v>1.419782300047326E-2</v>
      </c>
      <c r="F16" s="321">
        <v>2.4374215902981059E-2</v>
      </c>
      <c r="G16" s="321">
        <v>2.0018407731247124E-2</v>
      </c>
      <c r="H16" s="321">
        <v>2.5522736804265769E-2</v>
      </c>
      <c r="I16" s="321">
        <v>2.3554603854389723E-2</v>
      </c>
      <c r="J16" s="321">
        <v>2.807345888408001E-2</v>
      </c>
      <c r="K16" s="321">
        <v>1.911617204554841E-2</v>
      </c>
      <c r="L16" s="321">
        <v>1.4951321279554935E-2</v>
      </c>
      <c r="M16" s="321">
        <v>1.5077224810002451E-2</v>
      </c>
      <c r="N16" s="321">
        <v>1.5612987166597666E-2</v>
      </c>
      <c r="O16" s="321">
        <v>1.41338487557381E-2</v>
      </c>
      <c r="P16" s="321">
        <v>1.9337043884017278E-2</v>
      </c>
      <c r="Q16" s="321">
        <v>1.9337043884017278E-2</v>
      </c>
      <c r="S16" s="762">
        <v>1.6138112216175646E-2</v>
      </c>
      <c r="T16" s="763">
        <v>1.4060577655398676E-2</v>
      </c>
      <c r="U16" s="763">
        <v>1.3654096228868659E-2</v>
      </c>
      <c r="V16" s="763">
        <v>1.2054244098442995E-2</v>
      </c>
      <c r="W16" s="763">
        <v>1.584472172707467E-2</v>
      </c>
      <c r="X16" s="763">
        <v>1.1954572624028692E-2</v>
      </c>
      <c r="Y16" s="763">
        <v>1.0812975570684821E-2</v>
      </c>
      <c r="Z16" s="480">
        <v>1.1175496688741723E-2</v>
      </c>
      <c r="AA16" s="2081">
        <v>6.1374795417348605E-3</v>
      </c>
      <c r="AB16" s="2081">
        <v>1.0408326661329063E-2</v>
      </c>
      <c r="AC16" s="2081">
        <v>1.0556232237109216E-2</v>
      </c>
      <c r="AD16" s="2082">
        <v>8.0000000000000002E-3</v>
      </c>
      <c r="AE16" s="440">
        <f t="shared" si="6"/>
        <v>1.1733069604132418E-2</v>
      </c>
      <c r="AF16" s="440">
        <f t="shared" si="3"/>
        <v>1.1733069604132418E-2</v>
      </c>
      <c r="AH16" s="762">
        <v>6.2292358803986711E-3</v>
      </c>
      <c r="AI16" s="763">
        <v>4.9751243781094526E-3</v>
      </c>
      <c r="AJ16" s="763">
        <v>5.9571088165210487E-3</v>
      </c>
      <c r="AK16" s="763">
        <v>7.91765637371338E-3</v>
      </c>
      <c r="AL16" s="763">
        <v>5.8522311631309439E-3</v>
      </c>
      <c r="AM16" s="763">
        <v>3.5506778566817302E-3</v>
      </c>
      <c r="AN16" s="763">
        <v>4.3887147335423199E-3</v>
      </c>
      <c r="AO16" s="480">
        <v>1.6727069974909396E-3</v>
      </c>
      <c r="AP16" s="1100">
        <v>4.4576523031203564E-3</v>
      </c>
      <c r="AQ16" s="1100">
        <v>3.8429865495470767E-3</v>
      </c>
      <c r="AR16" s="321">
        <v>3.150959610426812E-3</v>
      </c>
      <c r="AS16" s="440">
        <v>3.1505986137366098E-3</v>
      </c>
      <c r="AT16" s="440">
        <f t="shared" si="7"/>
        <v>4.5954711063682782E-3</v>
      </c>
      <c r="AU16" s="440">
        <f t="shared" si="4"/>
        <v>4.5954711063682782E-3</v>
      </c>
      <c r="AW16" s="761">
        <f t="shared" si="1"/>
        <v>-4.8494013862633908E-3</v>
      </c>
      <c r="AX16" s="761">
        <f t="shared" si="5"/>
        <v>-7.13759849776414E-3</v>
      </c>
      <c r="AY16" s="761">
        <f t="shared" si="0"/>
        <v>-0.13620136414322076</v>
      </c>
      <c r="AZ16" s="594">
        <f t="shared" si="2"/>
        <v>-3.6099669020218939E-7</v>
      </c>
    </row>
    <row r="17" spans="1:52" x14ac:dyDescent="0.55000000000000004">
      <c r="A17" s="7523"/>
      <c r="B17" s="78"/>
      <c r="C17" s="1473" t="s">
        <v>76</v>
      </c>
      <c r="D17" s="1449">
        <v>1.2163222600052316E-2</v>
      </c>
      <c r="E17" s="1449">
        <v>1.4556422529670184E-2</v>
      </c>
      <c r="F17" s="1449">
        <v>1.9749580482767523E-2</v>
      </c>
      <c r="G17" s="1449">
        <v>1.6131049143428788E-2</v>
      </c>
      <c r="H17" s="1449">
        <v>2.0116054158607351E-2</v>
      </c>
      <c r="I17" s="1449">
        <v>1.8953752843062926E-2</v>
      </c>
      <c r="J17" s="1449">
        <v>2.0892923765700781E-2</v>
      </c>
      <c r="K17" s="1449">
        <v>1.4431082331174839E-2</v>
      </c>
      <c r="L17" s="1449">
        <v>1.0626603151337488E-2</v>
      </c>
      <c r="M17" s="1449">
        <v>1.3505691684352691E-2</v>
      </c>
      <c r="N17" s="1449">
        <v>8.2675685832393833E-3</v>
      </c>
      <c r="O17" s="1449">
        <v>1.3053493729203993E-2</v>
      </c>
      <c r="P17" s="1449">
        <v>1.5191639840789077E-2</v>
      </c>
      <c r="Q17" s="1449">
        <v>1.5191639840789077E-2</v>
      </c>
      <c r="S17" s="764">
        <v>1.1800957188749753E-2</v>
      </c>
      <c r="T17" s="765">
        <v>1.2530059486140993E-2</v>
      </c>
      <c r="U17" s="765">
        <v>1.4050554445898479E-2</v>
      </c>
      <c r="V17" s="765">
        <v>1.1296699749858793E-2</v>
      </c>
      <c r="W17" s="765">
        <v>1.9314686315187065E-2</v>
      </c>
      <c r="X17" s="765">
        <v>1.6925858951175408E-2</v>
      </c>
      <c r="Y17" s="765">
        <v>1.0132501948558068E-2</v>
      </c>
      <c r="Z17" s="1079">
        <v>9.984639016897081E-3</v>
      </c>
      <c r="AA17" s="2083">
        <v>8.7819778541428032E-3</v>
      </c>
      <c r="AB17" s="2083">
        <v>1.6387472687545521E-2</v>
      </c>
      <c r="AC17" s="2083">
        <v>1.1991279069767442E-2</v>
      </c>
      <c r="AD17" s="2084">
        <v>7.0000000000000001E-3</v>
      </c>
      <c r="AE17" s="1474">
        <f t="shared" si="6"/>
        <v>1.2516390559493449E-2</v>
      </c>
      <c r="AF17" s="1474">
        <f t="shared" si="3"/>
        <v>1.2516390559493449E-2</v>
      </c>
      <c r="AH17" s="764">
        <v>7.3076923076923076E-3</v>
      </c>
      <c r="AI17" s="765">
        <v>1.228293096145701E-2</v>
      </c>
      <c r="AJ17" s="765">
        <v>5.8639562157935888E-3</v>
      </c>
      <c r="AK17" s="765">
        <v>5.1689860834990059E-3</v>
      </c>
      <c r="AL17" s="765">
        <v>4.9713193116634798E-3</v>
      </c>
      <c r="AM17" s="765">
        <v>5.45144804088586E-3</v>
      </c>
      <c r="AN17" s="765">
        <v>5.7379662097545425E-3</v>
      </c>
      <c r="AO17" s="1079">
        <v>4.4817927170868344E-3</v>
      </c>
      <c r="AP17" s="1101">
        <v>4.596380350474002E-3</v>
      </c>
      <c r="AQ17" s="1101">
        <v>4.4198895027624313E-3</v>
      </c>
      <c r="AR17" s="1449">
        <v>3.9128004471771938E-3</v>
      </c>
      <c r="AS17" s="1474">
        <v>5.8407623731939751E-3</v>
      </c>
      <c r="AT17" s="1474">
        <f t="shared" si="7"/>
        <v>5.8363270434533534E-3</v>
      </c>
      <c r="AU17" s="1474">
        <f t="shared" si="4"/>
        <v>5.8363270434533534E-3</v>
      </c>
      <c r="AW17" s="761">
        <f t="shared" si="1"/>
        <v>-1.1592376268060251E-3</v>
      </c>
      <c r="AX17" s="761">
        <f t="shared" si="5"/>
        <v>-6.6800635160400952E-3</v>
      </c>
      <c r="AY17" s="761">
        <f t="shared" si="0"/>
        <v>-0.14436035967046804</v>
      </c>
      <c r="AZ17" s="594">
        <f t="shared" si="2"/>
        <v>1.9279619260167812E-3</v>
      </c>
    </row>
    <row r="18" spans="1:52" x14ac:dyDescent="0.55000000000000004">
      <c r="A18" s="7523"/>
      <c r="B18" s="596" t="s">
        <v>20</v>
      </c>
      <c r="C18" s="595"/>
      <c r="D18" s="761">
        <v>9.9643482647410585E-3</v>
      </c>
      <c r="E18" s="761">
        <v>8.9751593031884205E-3</v>
      </c>
      <c r="F18" s="761">
        <v>1.8719493988678119E-2</v>
      </c>
      <c r="G18" s="761">
        <v>1.2813786547993061E-2</v>
      </c>
      <c r="H18" s="761">
        <v>1.5163437045730366E-2</v>
      </c>
      <c r="I18" s="761">
        <v>1.7469679179590202E-2</v>
      </c>
      <c r="J18" s="761">
        <v>1.3842949895871613E-2</v>
      </c>
      <c r="K18" s="761">
        <v>1.0602514856483976E-2</v>
      </c>
      <c r="L18" s="761">
        <v>9.2473566962573105E-3</v>
      </c>
      <c r="M18" s="761">
        <v>9.2912204106692133E-3</v>
      </c>
      <c r="N18" s="761">
        <v>8.5964384314443851E-3</v>
      </c>
      <c r="O18" s="761">
        <v>8.4866190340852771E-3</v>
      </c>
      <c r="P18" s="761">
        <v>1.191955908369732E-2</v>
      </c>
      <c r="Q18" s="761">
        <v>1.191955908369732E-2</v>
      </c>
      <c r="S18" s="511">
        <v>9.116305654495423E-3</v>
      </c>
      <c r="T18" s="766">
        <v>8.3484403534708242E-3</v>
      </c>
      <c r="U18" s="766">
        <v>8.645213728894964E-3</v>
      </c>
      <c r="V18" s="766">
        <v>9.4195936921526811E-3</v>
      </c>
      <c r="W18" s="766">
        <v>8.7498769828133795E-3</v>
      </c>
      <c r="X18" s="766">
        <v>8.716538178437221E-3</v>
      </c>
      <c r="Y18" s="766">
        <v>1.0621017118580533E-2</v>
      </c>
      <c r="Z18" s="766">
        <v>6.9227158948685901E-3</v>
      </c>
      <c r="AA18" s="2085">
        <v>6.6291528559315497E-3</v>
      </c>
      <c r="AB18" s="2085">
        <v>7.4121940094267905E-3</v>
      </c>
      <c r="AC18" s="2085">
        <v>7.6238881829733167E-3</v>
      </c>
      <c r="AD18" s="2086">
        <v>7.0000000000000001E-3</v>
      </c>
      <c r="AE18" s="1475">
        <f t="shared" si="6"/>
        <v>8.2670780543371066E-3</v>
      </c>
      <c r="AF18" s="1475">
        <f t="shared" si="3"/>
        <v>8.2670780543371066E-3</v>
      </c>
      <c r="AH18" s="511">
        <v>7.2880273488861343E-3</v>
      </c>
      <c r="AI18" s="766">
        <v>8.1928838951310853E-3</v>
      </c>
      <c r="AJ18" s="766">
        <v>6.5489330389992646E-3</v>
      </c>
      <c r="AK18" s="766">
        <v>6.0878280559783218E-3</v>
      </c>
      <c r="AL18" s="766">
        <v>5.4813416581966021E-3</v>
      </c>
      <c r="AM18" s="766">
        <v>5.9433444232694851E-3</v>
      </c>
      <c r="AN18" s="766">
        <v>6.8857684096581169E-3</v>
      </c>
      <c r="AO18" s="766">
        <v>5.1696639718418307E-3</v>
      </c>
      <c r="AP18" s="1102">
        <v>4.8913345561669725E-3</v>
      </c>
      <c r="AQ18" s="1102">
        <v>4.1318987953100263E-3</v>
      </c>
      <c r="AR18" s="761">
        <v>3.2514258301796278E-3</v>
      </c>
      <c r="AS18" s="1475">
        <v>4.6346226717579502E-3</v>
      </c>
      <c r="AT18" s="1475">
        <f t="shared" si="7"/>
        <v>5.7089227212812855E-3</v>
      </c>
      <c r="AU18" s="1475">
        <f t="shared" si="4"/>
        <v>5.7089227212812855E-3</v>
      </c>
      <c r="AW18" s="761">
        <f t="shared" si="1"/>
        <v>-2.36537732824205E-3</v>
      </c>
      <c r="AX18" s="761">
        <f t="shared" si="5"/>
        <v>-2.5581553330558211E-3</v>
      </c>
      <c r="AY18" s="761">
        <f t="shared" si="0"/>
        <v>-9.3496013930763983E-2</v>
      </c>
      <c r="AZ18" s="594">
        <f t="shared" si="2"/>
        <v>1.3831968415783224E-3</v>
      </c>
    </row>
    <row r="19" spans="1:52" x14ac:dyDescent="0.55000000000000004">
      <c r="A19" s="7523"/>
      <c r="C19" t="s">
        <v>68</v>
      </c>
      <c r="D19" s="321">
        <v>1.4355211739373154E-2</v>
      </c>
      <c r="E19" s="321">
        <v>7.7124020400547331E-3</v>
      </c>
      <c r="F19" s="321">
        <v>2.1549902814163777E-2</v>
      </c>
      <c r="G19" s="321">
        <v>1.6288890804102389E-2</v>
      </c>
      <c r="H19" s="321">
        <v>2.1605230740073915E-2</v>
      </c>
      <c r="I19" s="321">
        <v>2.3009443459086332E-2</v>
      </c>
      <c r="J19" s="321">
        <v>2.0420070011668612E-2</v>
      </c>
      <c r="K19" s="321">
        <v>1.1931900858514819E-2</v>
      </c>
      <c r="L19" s="321">
        <v>1.1874306125404256E-2</v>
      </c>
      <c r="M19" s="321">
        <v>9.0926867422761043E-3</v>
      </c>
      <c r="N19" s="321">
        <v>1.187279151943463E-2</v>
      </c>
      <c r="O19" s="321">
        <v>1.2011439466158246E-2</v>
      </c>
      <c r="P19" s="321">
        <v>1.5125839213700077E-2</v>
      </c>
      <c r="Q19" s="321">
        <v>1.5125839213700077E-2</v>
      </c>
      <c r="S19" s="762">
        <v>9.1396000196550531E-3</v>
      </c>
      <c r="T19" s="763">
        <v>1.4945391837516767E-2</v>
      </c>
      <c r="U19" s="763">
        <v>1.1176857330703484E-2</v>
      </c>
      <c r="V19" s="763">
        <v>1.2205525296935494E-2</v>
      </c>
      <c r="W19" s="763">
        <v>1.0717156381173529E-2</v>
      </c>
      <c r="X19" s="763">
        <v>1.1138613861386138E-2</v>
      </c>
      <c r="Y19" s="763">
        <v>2.4468085106382979E-2</v>
      </c>
      <c r="Z19" s="763">
        <v>1.2184754888070274E-2</v>
      </c>
      <c r="AA19" s="2081">
        <v>6.7330999192028009E-3</v>
      </c>
      <c r="AB19" s="2081">
        <v>8.7486744432661717E-3</v>
      </c>
      <c r="AC19" s="2081">
        <v>8.7628865979381444E-3</v>
      </c>
      <c r="AD19" s="2082">
        <v>0.01</v>
      </c>
      <c r="AE19" s="440">
        <f t="shared" si="6"/>
        <v>1.168505380685257E-2</v>
      </c>
      <c r="AF19" s="440">
        <f t="shared" si="3"/>
        <v>1.168505380685257E-2</v>
      </c>
      <c r="AH19" s="762">
        <v>7.4806305102858668E-3</v>
      </c>
      <c r="AI19" s="763">
        <v>1.117798796216681E-2</v>
      </c>
      <c r="AJ19" s="763">
        <v>7.5715086932136846E-3</v>
      </c>
      <c r="AK19" s="763">
        <v>9.8607888631090483E-3</v>
      </c>
      <c r="AL19" s="763">
        <v>5.2023121387283237E-3</v>
      </c>
      <c r="AM19" s="763">
        <v>6.8113017154389508E-3</v>
      </c>
      <c r="AN19" s="763">
        <v>8.0013335555925991E-3</v>
      </c>
      <c r="AO19" s="763">
        <v>7.3092736409319323E-3</v>
      </c>
      <c r="AP19" s="1100">
        <v>6.8195908245505272E-3</v>
      </c>
      <c r="AQ19" s="1100">
        <v>5.0974512743628183E-3</v>
      </c>
      <c r="AR19" s="321">
        <v>4.2245021122510563E-3</v>
      </c>
      <c r="AS19" s="440">
        <v>5.5856465809072447E-3</v>
      </c>
      <c r="AT19" s="440">
        <f t="shared" si="7"/>
        <v>7.0951939892949052E-3</v>
      </c>
      <c r="AU19" s="440">
        <f t="shared" si="4"/>
        <v>7.0951939892949052E-3</v>
      </c>
      <c r="AW19" s="761">
        <f t="shared" si="1"/>
        <v>-4.4143534190927555E-3</v>
      </c>
      <c r="AX19" s="761">
        <f t="shared" si="5"/>
        <v>-4.5898598175576647E-3</v>
      </c>
      <c r="AY19" s="761">
        <f t="shared" si="0"/>
        <v>-0.13312545169293594</v>
      </c>
      <c r="AZ19" s="594">
        <f t="shared" si="2"/>
        <v>1.3611444686561884E-3</v>
      </c>
    </row>
    <row r="20" spans="1:52" x14ac:dyDescent="0.55000000000000004">
      <c r="A20" s="7523"/>
      <c r="C20" t="s">
        <v>153</v>
      </c>
      <c r="D20" s="321">
        <v>1.0795454545454546E-2</v>
      </c>
      <c r="E20" s="321">
        <v>7.8117175763645465E-3</v>
      </c>
      <c r="F20" s="321">
        <v>1.3163393230254911E-2</v>
      </c>
      <c r="G20" s="321">
        <v>1.2949640287769784E-2</v>
      </c>
      <c r="H20" s="321">
        <v>1.9036827195467423E-2</v>
      </c>
      <c r="I20" s="321">
        <v>1.053001053001053E-2</v>
      </c>
      <c r="J20" s="321">
        <v>1.3160932809974601E-2</v>
      </c>
      <c r="K20" s="321">
        <v>1.7830609212481426E-2</v>
      </c>
      <c r="L20" s="321">
        <v>3.2981530343007917E-3</v>
      </c>
      <c r="M20" s="321">
        <v>1.0072747621712367E-2</v>
      </c>
      <c r="N20" s="321">
        <v>8.9247768805779844E-3</v>
      </c>
      <c r="O20" s="321">
        <v>1.0966562735189764E-2</v>
      </c>
      <c r="P20" s="321">
        <v>1.1474850503708226E-2</v>
      </c>
      <c r="Q20" s="321">
        <v>1.1474850503708226E-2</v>
      </c>
      <c r="S20" s="762">
        <v>7.2495606326889285E-3</v>
      </c>
      <c r="T20" s="763">
        <v>6.3938618925831201E-3</v>
      </c>
      <c r="U20" s="763">
        <v>4.3557168784029042E-3</v>
      </c>
      <c r="V20" s="763">
        <v>6.0536177572787604E-3</v>
      </c>
      <c r="W20" s="763">
        <v>5.8673968316057101E-3</v>
      </c>
      <c r="X20" s="763">
        <v>9.4786729857819912E-3</v>
      </c>
      <c r="Y20" s="763">
        <v>1.5909090909090907E-2</v>
      </c>
      <c r="Z20" s="763">
        <v>6.9444444444444441E-3</v>
      </c>
      <c r="AA20" s="2081">
        <v>4.9261083743842365E-3</v>
      </c>
      <c r="AB20" s="2081">
        <v>4.2398546335554212E-3</v>
      </c>
      <c r="AC20" s="2081">
        <v>7.2683222289521504E-3</v>
      </c>
      <c r="AD20" s="2082">
        <v>5.0000000000000001E-3</v>
      </c>
      <c r="AE20" s="440">
        <f t="shared" si="6"/>
        <v>6.9738872973973817E-3</v>
      </c>
      <c r="AF20" s="440">
        <f t="shared" si="3"/>
        <v>6.9738872973973817E-3</v>
      </c>
      <c r="AH20" s="762">
        <v>8.9228808158062466E-3</v>
      </c>
      <c r="AI20" s="763">
        <v>1.2613875262789068E-2</v>
      </c>
      <c r="AJ20" s="763">
        <v>6.8259385665529011E-3</v>
      </c>
      <c r="AK20" s="763">
        <v>7.6601671309192198E-3</v>
      </c>
      <c r="AL20" s="763">
        <v>5.5363321799307957E-3</v>
      </c>
      <c r="AM20" s="763">
        <v>5.4413542926239422E-3</v>
      </c>
      <c r="AN20" s="2347"/>
      <c r="AO20" s="2347"/>
      <c r="AP20" s="2347"/>
      <c r="AQ20" s="2347"/>
      <c r="AR20" s="2347"/>
      <c r="AS20" s="2347"/>
      <c r="AT20" s="440">
        <f t="shared" si="7"/>
        <v>7.8334247081036958E-3</v>
      </c>
      <c r="AU20" s="440">
        <f t="shared" si="4"/>
        <v>7.8334247081036958E-3</v>
      </c>
      <c r="AW20" s="761">
        <f t="shared" si="1"/>
        <v>-5.0000000000000001E-3</v>
      </c>
      <c r="AX20" s="761">
        <f t="shared" si="5"/>
        <v>8.5953741070631407E-4</v>
      </c>
      <c r="AY20" s="761">
        <f t="shared" si="0"/>
        <v>-7.5853222860664885E-2</v>
      </c>
      <c r="AZ20" s="594">
        <f t="shared" si="2"/>
        <v>0</v>
      </c>
    </row>
    <row r="21" spans="1:52" x14ac:dyDescent="0.55000000000000004">
      <c r="A21" s="7523"/>
      <c r="C21" t="s">
        <v>69</v>
      </c>
      <c r="D21" s="321">
        <v>1.3828238719068414E-2</v>
      </c>
      <c r="E21" s="321">
        <v>1.4039779374895539E-2</v>
      </c>
      <c r="F21" s="321">
        <v>2.204710465734018E-2</v>
      </c>
      <c r="G21" s="321">
        <v>1.4858295881867375E-2</v>
      </c>
      <c r="H21" s="321">
        <v>1.660346417956339E-2</v>
      </c>
      <c r="I21" s="321">
        <v>2.5845358604350634E-2</v>
      </c>
      <c r="J21" s="321">
        <v>1.8521580949231023E-2</v>
      </c>
      <c r="K21" s="321">
        <v>1.256011315417256E-2</v>
      </c>
      <c r="L21" s="321">
        <v>1.5209553853086975E-2</v>
      </c>
      <c r="M21" s="321">
        <v>1.5301785208274297E-2</v>
      </c>
      <c r="N21" s="321">
        <v>9.9823229697410844E-3</v>
      </c>
      <c r="O21" s="321">
        <v>9.5817020399752723E-3</v>
      </c>
      <c r="P21" s="321">
        <v>1.568445206076273E-2</v>
      </c>
      <c r="Q21" s="321">
        <v>1.568445206076273E-2</v>
      </c>
      <c r="S21" s="762">
        <v>1.1510940578658094E-2</v>
      </c>
      <c r="T21" s="763">
        <v>1.3279678068410464E-2</v>
      </c>
      <c r="U21" s="763">
        <v>9.8661828078929481E-3</v>
      </c>
      <c r="V21" s="763">
        <v>1.2143290831815421E-2</v>
      </c>
      <c r="W21" s="763">
        <v>7.7648363838047699E-3</v>
      </c>
      <c r="X21" s="763">
        <v>1.4540816326530611E-2</v>
      </c>
      <c r="Y21" s="763">
        <v>2.2522522522522521E-2</v>
      </c>
      <c r="Z21" s="763">
        <v>3.4472852628555013E-3</v>
      </c>
      <c r="AA21" s="2081">
        <v>6.5111231687466084E-3</v>
      </c>
      <c r="AB21" s="2081">
        <v>4.7194546407970635E-3</v>
      </c>
      <c r="AC21" s="2081">
        <v>6.8912710566615618E-3</v>
      </c>
      <c r="AD21" s="2082">
        <v>8.0000000000000002E-3</v>
      </c>
      <c r="AE21" s="440">
        <f t="shared" si="6"/>
        <v>1.0099783470724629E-2</v>
      </c>
      <c r="AF21" s="440">
        <f t="shared" si="3"/>
        <v>1.0099783470724629E-2</v>
      </c>
      <c r="AH21" s="762">
        <v>6.2176165803108805E-3</v>
      </c>
      <c r="AI21" s="763">
        <v>1.1332227750138198E-2</v>
      </c>
      <c r="AJ21" s="763">
        <v>8.1146875845279961E-3</v>
      </c>
      <c r="AK21" s="763">
        <v>4.8364153627311526E-3</v>
      </c>
      <c r="AL21" s="763">
        <v>7.2971395213076475E-3</v>
      </c>
      <c r="AM21" s="763">
        <v>6.809848088004191E-3</v>
      </c>
      <c r="AN21" s="763">
        <v>8.5470085470085479E-3</v>
      </c>
      <c r="AO21" s="763">
        <v>4.9031053000233478E-3</v>
      </c>
      <c r="AP21" s="1100">
        <v>6.6256507335541882E-3</v>
      </c>
      <c r="AQ21" s="1100">
        <v>6.762849413886384E-3</v>
      </c>
      <c r="AR21" s="321">
        <v>5.426524853483829E-3</v>
      </c>
      <c r="AS21" s="440">
        <v>5.8018101647714084E-3</v>
      </c>
      <c r="AT21" s="440">
        <f t="shared" si="7"/>
        <v>6.8895736583123139E-3</v>
      </c>
      <c r="AU21" s="440">
        <f t="shared" si="4"/>
        <v>6.8895736583123139E-3</v>
      </c>
      <c r="AW21" s="761">
        <f t="shared" si="1"/>
        <v>-2.1981898352285917E-3</v>
      </c>
      <c r="AX21" s="761">
        <f t="shared" si="5"/>
        <v>-3.2102098124123148E-3</v>
      </c>
      <c r="AY21" s="761">
        <f t="shared" si="0"/>
        <v>-0.11430782799038323</v>
      </c>
      <c r="AZ21" s="594">
        <f t="shared" si="2"/>
        <v>3.7528531128757942E-4</v>
      </c>
    </row>
    <row r="22" spans="1:52" x14ac:dyDescent="0.55000000000000004">
      <c r="A22" s="7523"/>
      <c r="C22" t="s">
        <v>70</v>
      </c>
      <c r="D22" s="321">
        <v>4.4360469892384784E-3</v>
      </c>
      <c r="E22" s="321">
        <v>4.9120992761116852E-3</v>
      </c>
      <c r="F22" s="321">
        <v>2.09049521508873E-2</v>
      </c>
      <c r="G22" s="321">
        <v>1.023308698123934E-2</v>
      </c>
      <c r="H22" s="321">
        <v>1.5254501115550252E-2</v>
      </c>
      <c r="I22" s="321">
        <v>2.2820919175911253E-2</v>
      </c>
      <c r="J22" s="321">
        <v>8.0012802048327735E-3</v>
      </c>
      <c r="K22" s="321">
        <v>1.0718226238638155E-2</v>
      </c>
      <c r="L22" s="321">
        <v>9.1584410298158128E-3</v>
      </c>
      <c r="M22" s="321">
        <v>1.1243558378012596E-2</v>
      </c>
      <c r="N22" s="321">
        <v>8.9445438282647581E-3</v>
      </c>
      <c r="O22" s="321">
        <v>7.8435316003821216E-3</v>
      </c>
      <c r="P22" s="321">
        <v>1.1018204522360832E-2</v>
      </c>
      <c r="Q22" s="321">
        <v>1.1018204522360832E-2</v>
      </c>
      <c r="S22" s="762">
        <v>1.1435046873390337E-2</v>
      </c>
      <c r="T22" s="763">
        <v>8.2187089777980716E-3</v>
      </c>
      <c r="U22" s="763">
        <v>9.6041909196740403E-3</v>
      </c>
      <c r="V22" s="763">
        <v>1.1619462599854757E-2</v>
      </c>
      <c r="W22" s="763">
        <v>1.1261261261261259E-2</v>
      </c>
      <c r="X22" s="763">
        <v>1.0024132170038983E-2</v>
      </c>
      <c r="Y22" s="763">
        <v>5.1948051948051951E-2</v>
      </c>
      <c r="Z22" s="763">
        <v>6.8775790921595595E-3</v>
      </c>
      <c r="AA22" s="2081">
        <v>5.3078556263269636E-3</v>
      </c>
      <c r="AB22" s="2081">
        <v>6.8080649384655665E-3</v>
      </c>
      <c r="AC22" s="2081">
        <v>7.1102082275266631E-3</v>
      </c>
      <c r="AD22" s="2082">
        <v>7.0000000000000001E-3</v>
      </c>
      <c r="AE22" s="440">
        <f t="shared" si="6"/>
        <v>1.226788021954568E-2</v>
      </c>
      <c r="AF22" s="440">
        <f t="shared" si="3"/>
        <v>1.226788021954568E-2</v>
      </c>
      <c r="AH22" s="762">
        <v>5.5432372505543242E-3</v>
      </c>
      <c r="AI22" s="763">
        <v>1.016260162601626E-2</v>
      </c>
      <c r="AJ22" s="763">
        <v>5.8906030855539974E-3</v>
      </c>
      <c r="AK22" s="763">
        <v>6.4084703259960994E-3</v>
      </c>
      <c r="AL22" s="763">
        <v>7.3591848287574303E-3</v>
      </c>
      <c r="AM22" s="763">
        <v>6.422924901185771E-3</v>
      </c>
      <c r="AN22" s="763">
        <v>7.86308973172988E-3</v>
      </c>
      <c r="AO22" s="763">
        <v>5.9334604789150246E-3</v>
      </c>
      <c r="AP22" s="1100">
        <v>4.2946102641185317E-3</v>
      </c>
      <c r="AQ22" s="1100">
        <v>4.4006705783738477E-3</v>
      </c>
      <c r="AR22" s="321">
        <v>3.5008237232289951E-3</v>
      </c>
      <c r="AS22" s="440">
        <v>5.2130553037171351E-3</v>
      </c>
      <c r="AT22" s="440">
        <f t="shared" si="7"/>
        <v>6.0827276748456069E-3</v>
      </c>
      <c r="AU22" s="440">
        <f t="shared" si="4"/>
        <v>6.0827276748456069E-3</v>
      </c>
      <c r="AW22" s="761">
        <f t="shared" si="1"/>
        <v>-1.7869446962828651E-3</v>
      </c>
      <c r="AX22" s="761">
        <f t="shared" si="5"/>
        <v>-6.1851525447000734E-3</v>
      </c>
      <c r="AY22" s="761">
        <f t="shared" si="0"/>
        <v>-0.14113183495970255</v>
      </c>
      <c r="AZ22" s="594">
        <f t="shared" si="2"/>
        <v>1.71223158048814E-3</v>
      </c>
    </row>
    <row r="23" spans="1:52" x14ac:dyDescent="0.55000000000000004">
      <c r="A23" s="7523"/>
      <c r="C23" t="s">
        <v>73</v>
      </c>
      <c r="D23" s="321">
        <v>1.3018209996125532E-2</v>
      </c>
      <c r="E23" s="321">
        <v>1.3357619914996965E-2</v>
      </c>
      <c r="F23" s="321">
        <v>2.4512256128064031E-2</v>
      </c>
      <c r="G23" s="321">
        <v>1.4932298477243009E-2</v>
      </c>
      <c r="H23" s="321">
        <v>2.0013522650439486E-2</v>
      </c>
      <c r="I23" s="321">
        <v>1.5175204635335234E-2</v>
      </c>
      <c r="J23" s="321">
        <v>1.4779011944044245E-2</v>
      </c>
      <c r="K23" s="321">
        <v>1.0857461024498886E-2</v>
      </c>
      <c r="L23" s="321">
        <v>9.8168431577512153E-3</v>
      </c>
      <c r="M23" s="321">
        <v>8.8393720362782563E-3</v>
      </c>
      <c r="N23" s="321">
        <v>1.0015814443858724E-2</v>
      </c>
      <c r="O23" s="321">
        <v>9.5011876484560574E-3</v>
      </c>
      <c r="P23" s="321">
        <v>1.3795767257462689E-2</v>
      </c>
      <c r="Q23" s="321">
        <v>1.3795767257462689E-2</v>
      </c>
      <c r="S23" s="762">
        <v>1.2324729838349558E-2</v>
      </c>
      <c r="T23" s="763">
        <v>7.8994309012146418E-3</v>
      </c>
      <c r="U23" s="763">
        <v>1.1361634666196935E-2</v>
      </c>
      <c r="V23" s="763">
        <v>1.2170910660336643E-2</v>
      </c>
      <c r="W23" s="763">
        <v>1.2586312385281007E-2</v>
      </c>
      <c r="X23" s="763">
        <v>8.6797430115304417E-3</v>
      </c>
      <c r="Y23" s="763">
        <v>1.1304988940771688E-2</v>
      </c>
      <c r="Z23" s="763">
        <v>7.7133615327195822E-3</v>
      </c>
      <c r="AA23" s="2081">
        <v>1.1008256192144109E-2</v>
      </c>
      <c r="AB23" s="2081">
        <v>8.2987551867219917E-3</v>
      </c>
      <c r="AC23" s="2081">
        <v>1.0531354715174725E-2</v>
      </c>
      <c r="AD23" s="2082">
        <v>8.0000000000000002E-3</v>
      </c>
      <c r="AE23" s="440">
        <f t="shared" si="6"/>
        <v>1.0156623169203445E-2</v>
      </c>
      <c r="AF23" s="440">
        <f t="shared" si="3"/>
        <v>1.0156623169203445E-2</v>
      </c>
      <c r="AH23" s="762">
        <v>9.2246870195475516E-3</v>
      </c>
      <c r="AI23" s="763">
        <v>6.3222149553084804E-3</v>
      </c>
      <c r="AJ23" s="763">
        <v>5.6996855345911946E-3</v>
      </c>
      <c r="AK23" s="763">
        <v>7.7534405892614846E-3</v>
      </c>
      <c r="AL23" s="763">
        <v>6.4923354373309285E-3</v>
      </c>
      <c r="AM23" s="763">
        <v>4.7296232066845337E-3</v>
      </c>
      <c r="AN23" s="763">
        <v>6.0640248201946131E-3</v>
      </c>
      <c r="AO23" s="763">
        <v>4.9130763416477706E-3</v>
      </c>
      <c r="AP23" s="1100">
        <v>3.9915180241985784E-3</v>
      </c>
      <c r="AQ23" s="1100">
        <v>3.4809746729084143E-3</v>
      </c>
      <c r="AR23" s="321">
        <v>2.398369109005876E-3</v>
      </c>
      <c r="AS23" s="440">
        <v>2.9119788219722038E-3</v>
      </c>
      <c r="AT23" s="440">
        <f t="shared" si="7"/>
        <v>5.331827377720969E-3</v>
      </c>
      <c r="AU23" s="440">
        <f t="shared" si="4"/>
        <v>5.331827377720969E-3</v>
      </c>
      <c r="AW23" s="761">
        <f t="shared" si="1"/>
        <v>-5.0880211780277964E-3</v>
      </c>
      <c r="AX23" s="761">
        <f t="shared" si="5"/>
        <v>-4.8247957914824757E-3</v>
      </c>
      <c r="AY23" s="761">
        <f t="shared" si="0"/>
        <v>-0.11654765065272037</v>
      </c>
      <c r="AZ23" s="594">
        <f t="shared" si="2"/>
        <v>5.1360971296632784E-4</v>
      </c>
    </row>
    <row r="24" spans="1:52" x14ac:dyDescent="0.55000000000000004">
      <c r="A24" s="7523"/>
      <c r="C24" t="s">
        <v>74</v>
      </c>
      <c r="D24" s="321">
        <v>5.0738527455180963E-3</v>
      </c>
      <c r="E24" s="321">
        <v>7.1701720841300188E-3</v>
      </c>
      <c r="F24" s="321">
        <v>1.6557306678113691E-2</v>
      </c>
      <c r="G24" s="321">
        <v>1.6638305917942901E-2</v>
      </c>
      <c r="H24" s="321">
        <v>1.1145017911635928E-2</v>
      </c>
      <c r="I24" s="321">
        <v>8.9072484347769969E-3</v>
      </c>
      <c r="J24" s="321">
        <v>1.0966916468652898E-2</v>
      </c>
      <c r="K24" s="321">
        <v>7.6197387518142238E-3</v>
      </c>
      <c r="L24" s="321">
        <v>6.509161041465766E-3</v>
      </c>
      <c r="M24" s="321">
        <v>6.1859421432470139E-3</v>
      </c>
      <c r="N24" s="321">
        <v>4.9455401825139822E-3</v>
      </c>
      <c r="O24" s="321">
        <v>5.4132082280765065E-3</v>
      </c>
      <c r="P24" s="321">
        <v>8.8389482667533634E-3</v>
      </c>
      <c r="Q24" s="321">
        <v>8.8389482667533634E-3</v>
      </c>
      <c r="S24" s="762">
        <v>4.1817145029462077E-3</v>
      </c>
      <c r="T24" s="763">
        <v>5.5439201675495878E-3</v>
      </c>
      <c r="U24" s="763">
        <v>7.8936981976055788E-3</v>
      </c>
      <c r="V24" s="763">
        <v>6.1377149798606222E-3</v>
      </c>
      <c r="W24" s="763">
        <v>6.7666180177789565E-3</v>
      </c>
      <c r="X24" s="763">
        <v>7.0025286909161637E-3</v>
      </c>
      <c r="Y24" s="763">
        <v>4.8579970104633777E-3</v>
      </c>
      <c r="Z24" s="763">
        <v>4.9130763416477706E-3</v>
      </c>
      <c r="AA24" s="2081">
        <v>6.4491654021244307E-3</v>
      </c>
      <c r="AB24" s="2081">
        <v>8.4033613445378148E-3</v>
      </c>
      <c r="AC24" s="2081">
        <v>4.9961568024596463E-3</v>
      </c>
      <c r="AD24" s="2082">
        <v>8.0000000000000002E-3</v>
      </c>
      <c r="AE24" s="440">
        <f t="shared" si="6"/>
        <v>6.2621626214908466E-3</v>
      </c>
      <c r="AF24" s="440">
        <f t="shared" si="3"/>
        <v>6.2621626214908466E-3</v>
      </c>
      <c r="AH24" s="762">
        <v>8.152173913043478E-3</v>
      </c>
      <c r="AI24" s="763">
        <v>4.7188360204482895E-3</v>
      </c>
      <c r="AJ24" s="763">
        <v>3.246753246753247E-3</v>
      </c>
      <c r="AK24" s="763">
        <v>4.6594982078853051E-3</v>
      </c>
      <c r="AL24" s="763">
        <v>4.372687521022536E-3</v>
      </c>
      <c r="AM24" s="763">
        <v>7.6001169248757676E-3</v>
      </c>
      <c r="AN24" s="763">
        <v>5.5821371610845294E-3</v>
      </c>
      <c r="AO24" s="763">
        <v>4.3902439024390248E-3</v>
      </c>
      <c r="AP24" s="1100">
        <v>2.1935169388252497E-3</v>
      </c>
      <c r="AQ24" s="1100">
        <v>3.0148423005565863E-3</v>
      </c>
      <c r="AR24" s="321">
        <v>1.794124243103835E-3</v>
      </c>
      <c r="AS24" s="440">
        <v>4.5487191764424229E-3</v>
      </c>
      <c r="AT24" s="440">
        <f t="shared" si="7"/>
        <v>4.522804129706689E-3</v>
      </c>
      <c r="AU24" s="440">
        <f t="shared" si="4"/>
        <v>4.522804129706689E-3</v>
      </c>
      <c r="AW24" s="761">
        <f t="shared" si="1"/>
        <v>-3.4512808235575773E-3</v>
      </c>
      <c r="AX24" s="761">
        <f t="shared" si="5"/>
        <v>-1.7393584917841575E-3</v>
      </c>
      <c r="AY24" s="761">
        <f t="shared" si="0"/>
        <v>-7.0623147328183464E-2</v>
      </c>
      <c r="AZ24" s="594">
        <f t="shared" si="2"/>
        <v>2.7545949333385878E-3</v>
      </c>
    </row>
    <row r="25" spans="1:52" x14ac:dyDescent="0.55000000000000004">
      <c r="A25" s="7523"/>
      <c r="C25" t="s">
        <v>75</v>
      </c>
      <c r="D25" s="321">
        <v>7.3197781885397419E-3</v>
      </c>
      <c r="E25" s="321">
        <v>7.7179176755447949E-3</v>
      </c>
      <c r="F25" s="321">
        <v>1.1999538479289258E-2</v>
      </c>
      <c r="G25" s="321">
        <v>7.9533404029692462E-3</v>
      </c>
      <c r="H25" s="321">
        <v>1.343811394891945E-2</v>
      </c>
      <c r="I25" s="321">
        <v>1.79125584318655E-2</v>
      </c>
      <c r="J25" s="321">
        <v>1.4366462552991051E-2</v>
      </c>
      <c r="K25" s="321">
        <v>9.8691940158220411E-3</v>
      </c>
      <c r="L25" s="321">
        <v>8.0968537939543478E-3</v>
      </c>
      <c r="M25" s="321">
        <v>7.7765995051254861E-3</v>
      </c>
      <c r="N25" s="321">
        <v>8.0441277867156977E-3</v>
      </c>
      <c r="O25" s="321">
        <v>6.566090830923162E-3</v>
      </c>
      <c r="P25" s="321">
        <v>1.0054906350416381E-2</v>
      </c>
      <c r="Q25" s="321">
        <v>1.0054906350416381E-2</v>
      </c>
      <c r="S25" s="762">
        <v>7.7751680570179007E-3</v>
      </c>
      <c r="T25" s="763">
        <v>5.4554079696394683E-3</v>
      </c>
      <c r="U25" s="763">
        <v>5.8306574277505498E-3</v>
      </c>
      <c r="V25" s="763">
        <v>6.3062305557891191E-3</v>
      </c>
      <c r="W25" s="763">
        <v>5.4345481992667671E-3</v>
      </c>
      <c r="X25" s="763">
        <v>7.8391705651789084E-3</v>
      </c>
      <c r="Y25" s="763">
        <v>7.6167076167076167E-3</v>
      </c>
      <c r="Z25" s="763">
        <v>6.2468765617191401E-3</v>
      </c>
      <c r="AA25" s="2081">
        <v>6.4201335387776065E-3</v>
      </c>
      <c r="AB25" s="2081">
        <v>7.1174377224199285E-3</v>
      </c>
      <c r="AC25" s="2081">
        <v>9.367088607594937E-3</v>
      </c>
      <c r="AD25" s="2082">
        <v>5.0000000000000001E-3</v>
      </c>
      <c r="AE25" s="440">
        <f t="shared" si="6"/>
        <v>6.7007855684884966E-3</v>
      </c>
      <c r="AF25" s="440">
        <f t="shared" si="3"/>
        <v>6.7007855684884966E-3</v>
      </c>
      <c r="AH25" s="762">
        <v>8.4978755311172199E-3</v>
      </c>
      <c r="AI25" s="763">
        <v>7.205352547606794E-3</v>
      </c>
      <c r="AJ25" s="763">
        <v>7.8273244781783685E-3</v>
      </c>
      <c r="AK25" s="763">
        <v>4.048582995951417E-3</v>
      </c>
      <c r="AL25" s="763">
        <v>4.1879944160074451E-3</v>
      </c>
      <c r="AM25" s="763">
        <v>5.5248618784530384E-3</v>
      </c>
      <c r="AN25" s="763">
        <v>5.967774020290432E-3</v>
      </c>
      <c r="AO25" s="763">
        <v>4.210911753936287E-3</v>
      </c>
      <c r="AP25" s="1100">
        <v>5.4388597149287324E-3</v>
      </c>
      <c r="AQ25" s="1100">
        <v>3.4894398530762169E-3</v>
      </c>
      <c r="AR25" s="321">
        <v>3.7195462153617261E-3</v>
      </c>
      <c r="AS25" s="440">
        <v>4.488879820444807E-3</v>
      </c>
      <c r="AT25" s="440">
        <f t="shared" si="7"/>
        <v>5.3839502687793731E-3</v>
      </c>
      <c r="AU25" s="440">
        <f t="shared" si="4"/>
        <v>5.3839502687793731E-3</v>
      </c>
      <c r="AW25" s="761">
        <f t="shared" si="1"/>
        <v>-5.1112017955519309E-4</v>
      </c>
      <c r="AX25" s="761">
        <f t="shared" si="5"/>
        <v>-1.3168352997091235E-3</v>
      </c>
      <c r="AY25" s="761">
        <f t="shared" si="0"/>
        <v>-7.5025476553082587E-2</v>
      </c>
      <c r="AZ25" s="594">
        <f t="shared" si="2"/>
        <v>7.6933360508308095E-4</v>
      </c>
    </row>
    <row r="26" spans="1:52" x14ac:dyDescent="0.55000000000000004">
      <c r="A26" s="7523"/>
      <c r="C26" t="s">
        <v>76</v>
      </c>
      <c r="D26" s="321">
        <v>9.945536348567369E-3</v>
      </c>
      <c r="E26" s="321">
        <v>7.5409677575288825E-3</v>
      </c>
      <c r="F26" s="321">
        <v>1.5543281685321863E-2</v>
      </c>
      <c r="G26" s="321">
        <v>1.0106514738667327E-2</v>
      </c>
      <c r="H26" s="321">
        <v>4.2073466745779168E-3</v>
      </c>
      <c r="I26" s="321">
        <v>9.4727939103467721E-3</v>
      </c>
      <c r="J26" s="321">
        <v>8.6157380815623207E-3</v>
      </c>
      <c r="K26" s="321">
        <v>6.7563563088958696E-3</v>
      </c>
      <c r="L26" s="321">
        <v>6.7724113348779187E-3</v>
      </c>
      <c r="M26" s="321">
        <v>6.4779270633397315E-3</v>
      </c>
      <c r="N26" s="321">
        <v>4.9400141143260412E-3</v>
      </c>
      <c r="O26" s="321">
        <v>6.798258691633371E-3</v>
      </c>
      <c r="P26" s="321">
        <v>8.253094910591471E-3</v>
      </c>
      <c r="Q26" s="321">
        <v>8.253094910591471E-3</v>
      </c>
      <c r="S26" s="762">
        <v>4.3958727639050012E-3</v>
      </c>
      <c r="T26" s="763">
        <v>3.2234957020057312E-3</v>
      </c>
      <c r="U26" s="763">
        <v>6.8095838587641875E-3</v>
      </c>
      <c r="V26" s="763">
        <v>7.8548718907798763E-3</v>
      </c>
      <c r="W26" s="763">
        <v>8.896338318720989E-3</v>
      </c>
      <c r="X26" s="763">
        <v>6.9704401703885371E-3</v>
      </c>
      <c r="Y26" s="763">
        <v>6.6864784546805346E-3</v>
      </c>
      <c r="Z26" s="763">
        <v>6.3622754491017963E-3</v>
      </c>
      <c r="AA26" s="2081">
        <v>3.4246575342465752E-3</v>
      </c>
      <c r="AB26" s="2081">
        <v>1.0372646945831733E-2</v>
      </c>
      <c r="AC26" s="2081">
        <v>3.4078000757288905E-3</v>
      </c>
      <c r="AD26" s="2082">
        <v>7.0000000000000001E-3</v>
      </c>
      <c r="AE26" s="440">
        <f t="shared" si="6"/>
        <v>6.2837050970128211E-3</v>
      </c>
      <c r="AF26" s="440">
        <f t="shared" si="3"/>
        <v>6.2837050970128211E-3</v>
      </c>
      <c r="AH26" s="762">
        <v>4.0605389442598741E-3</v>
      </c>
      <c r="AI26" s="763">
        <v>3.0326004548900682E-3</v>
      </c>
      <c r="AJ26" s="763">
        <v>6.7591604411241547E-3</v>
      </c>
      <c r="AK26" s="763">
        <v>3.2108455226542991E-3</v>
      </c>
      <c r="AL26" s="763">
        <v>2.4407252440725243E-3</v>
      </c>
      <c r="AM26" s="763">
        <v>4.6589018302828616E-3</v>
      </c>
      <c r="AN26" s="763">
        <v>6.1768530559167751E-3</v>
      </c>
      <c r="AO26" s="763">
        <v>3.3363663936912345E-3</v>
      </c>
      <c r="AP26" s="1100">
        <v>4.3818466353677619E-3</v>
      </c>
      <c r="AQ26" s="1100">
        <v>2.420574886535552E-3</v>
      </c>
      <c r="AR26" s="321">
        <v>1.2285012285012285E-3</v>
      </c>
      <c r="AS26" s="440">
        <v>4.9261083743842365E-3</v>
      </c>
      <c r="AT26" s="440">
        <f t="shared" si="7"/>
        <v>3.8860852509733815E-3</v>
      </c>
      <c r="AU26" s="440">
        <f t="shared" si="4"/>
        <v>3.8860852509733815E-3</v>
      </c>
      <c r="AW26" s="761">
        <f t="shared" si="1"/>
        <v>-2.0738916256157636E-3</v>
      </c>
      <c r="AX26" s="761">
        <f t="shared" si="5"/>
        <v>-2.3976198460394396E-3</v>
      </c>
      <c r="AY26" s="761">
        <f t="shared" si="0"/>
        <v>-7.1518375913180471E-2</v>
      </c>
      <c r="AZ26" s="594">
        <f t="shared" si="2"/>
        <v>3.6976071458830083E-3</v>
      </c>
    </row>
    <row r="27" spans="1:52" hidden="1" x14ac:dyDescent="0.55000000000000004">
      <c r="A27" s="7523"/>
      <c r="B27" s="41" t="s">
        <v>1061</v>
      </c>
      <c r="C27" s="41" t="s">
        <v>546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S27" s="481"/>
      <c r="T27" s="482"/>
      <c r="U27" s="482"/>
      <c r="V27" s="482"/>
      <c r="W27" s="482"/>
      <c r="X27" s="482"/>
      <c r="Y27" s="482"/>
      <c r="Z27" s="482"/>
      <c r="AA27" s="2087"/>
      <c r="AB27" s="2087"/>
      <c r="AC27" s="2073"/>
      <c r="AD27" s="2074"/>
      <c r="AE27" s="904"/>
      <c r="AF27" s="913"/>
      <c r="AH27" s="481"/>
      <c r="AI27" s="482"/>
      <c r="AJ27" s="482"/>
      <c r="AK27" s="482"/>
      <c r="AL27" s="1074"/>
      <c r="AM27" s="1074"/>
      <c r="AN27" s="1074"/>
      <c r="AO27" s="1074"/>
      <c r="AP27" s="1074"/>
      <c r="AQ27" s="1074"/>
      <c r="AR27" s="1074"/>
      <c r="AS27" s="1560"/>
      <c r="AT27" s="1560">
        <f>SUM(AH27:AS27)</f>
        <v>0</v>
      </c>
      <c r="AU27" s="913" t="e">
        <f>AVERAGE(AH27:AS27)</f>
        <v>#DIV/0!</v>
      </c>
      <c r="AW27" s="317">
        <f t="shared" si="1"/>
        <v>0</v>
      </c>
      <c r="AX27" s="317" t="e">
        <f t="shared" si="5"/>
        <v>#DIV/0!</v>
      </c>
      <c r="AY27" s="731">
        <f t="shared" si="0"/>
        <v>0</v>
      </c>
      <c r="AZ27" s="594">
        <f t="shared" si="2"/>
        <v>0</v>
      </c>
    </row>
    <row r="28" spans="1:52" hidden="1" x14ac:dyDescent="0.55000000000000004">
      <c r="A28" s="7523"/>
      <c r="B28" s="457"/>
      <c r="C28" s="457" t="s">
        <v>547</v>
      </c>
      <c r="D28" s="1447"/>
      <c r="E28" s="1447"/>
      <c r="F28" s="1447"/>
      <c r="G28" s="1447"/>
      <c r="H28" s="1447"/>
      <c r="I28" s="1447"/>
      <c r="J28" s="1447"/>
      <c r="K28" s="1447"/>
      <c r="L28" s="1447"/>
      <c r="M28" s="1447"/>
      <c r="N28" s="1447"/>
      <c r="O28" s="1447"/>
      <c r="P28" s="1445"/>
      <c r="Q28" s="1447"/>
      <c r="S28" s="492"/>
      <c r="T28" s="493"/>
      <c r="U28" s="493"/>
      <c r="V28" s="493"/>
      <c r="W28" s="493"/>
      <c r="X28" s="493"/>
      <c r="Y28" s="493"/>
      <c r="Z28" s="1075"/>
      <c r="AA28" s="2075"/>
      <c r="AB28" s="2075"/>
      <c r="AC28" s="2075"/>
      <c r="AD28" s="2076"/>
      <c r="AE28" s="1075"/>
      <c r="AF28" s="1469"/>
      <c r="AH28" s="492"/>
      <c r="AI28" s="493"/>
      <c r="AJ28" s="493"/>
      <c r="AK28" s="493"/>
      <c r="AL28" s="493"/>
      <c r="AM28" s="493"/>
      <c r="AN28" s="493"/>
      <c r="AO28" s="1075"/>
      <c r="AP28" s="1075"/>
      <c r="AQ28" s="1075"/>
      <c r="AR28" s="1075"/>
      <c r="AS28" s="1561"/>
      <c r="AT28" s="1075">
        <f>SUM(AH28:AS28)</f>
        <v>0</v>
      </c>
      <c r="AU28" s="1469" t="e">
        <f>AVERAGE(AH28:AS28)</f>
        <v>#DIV/0!</v>
      </c>
      <c r="AW28" s="317">
        <f t="shared" si="1"/>
        <v>0</v>
      </c>
      <c r="AX28" s="317" t="e">
        <f t="shared" si="5"/>
        <v>#DIV/0!</v>
      </c>
      <c r="AY28" s="731">
        <f t="shared" si="0"/>
        <v>0</v>
      </c>
      <c r="AZ28" s="594">
        <f t="shared" si="2"/>
        <v>0</v>
      </c>
    </row>
    <row r="29" spans="1:52" hidden="1" x14ac:dyDescent="0.55000000000000004">
      <c r="A29" s="7523"/>
      <c r="B29" s="457"/>
      <c r="C29" s="1470" t="s">
        <v>551</v>
      </c>
      <c r="D29" s="1448"/>
      <c r="E29" s="1448"/>
      <c r="F29" s="1448"/>
      <c r="G29" s="1448"/>
      <c r="H29" s="1448"/>
      <c r="I29" s="1448"/>
      <c r="J29" s="1448"/>
      <c r="K29" s="1448"/>
      <c r="L29" s="1448"/>
      <c r="M29" s="1448"/>
      <c r="N29" s="1448"/>
      <c r="O29" s="1448"/>
      <c r="P29" s="1448"/>
      <c r="Q29" s="1448"/>
      <c r="S29" s="508"/>
      <c r="T29" s="535"/>
      <c r="U29" s="535"/>
      <c r="V29" s="535"/>
      <c r="W29" s="535"/>
      <c r="X29" s="535"/>
      <c r="Y29" s="535"/>
      <c r="Z29" s="1076"/>
      <c r="AA29" s="2077"/>
      <c r="AB29" s="2077"/>
      <c r="AC29" s="2077"/>
      <c r="AD29" s="2078"/>
      <c r="AE29" s="1471"/>
      <c r="AF29" s="1472"/>
      <c r="AH29" s="508"/>
      <c r="AI29" s="535"/>
      <c r="AJ29" s="535"/>
      <c r="AK29" s="535"/>
      <c r="AL29" s="535"/>
      <c r="AM29" s="535"/>
      <c r="AN29" s="535"/>
      <c r="AO29" s="1076"/>
      <c r="AP29" s="1076"/>
      <c r="AQ29" s="1076"/>
      <c r="AR29" s="1076"/>
      <c r="AS29" s="1563"/>
      <c r="AT29" s="1471" t="e">
        <f>AT27/AT28</f>
        <v>#DIV/0!</v>
      </c>
      <c r="AU29" s="1472" t="e">
        <f>AT29</f>
        <v>#DIV/0!</v>
      </c>
      <c r="AW29" s="761">
        <f t="shared" si="1"/>
        <v>0</v>
      </c>
      <c r="AX29" s="761" t="e">
        <f t="shared" si="5"/>
        <v>#DIV/0!</v>
      </c>
      <c r="AY29" s="761" t="e">
        <f t="shared" si="0"/>
        <v>#DIV/0!</v>
      </c>
      <c r="AZ29" s="594">
        <f t="shared" si="2"/>
        <v>0</v>
      </c>
    </row>
    <row r="30" spans="1:52" x14ac:dyDescent="0.55000000000000004">
      <c r="A30" s="7523"/>
      <c r="B30" s="75" t="s">
        <v>948</v>
      </c>
      <c r="C30" s="1687" t="s">
        <v>314</v>
      </c>
      <c r="D30" s="1098"/>
      <c r="E30" s="1098"/>
      <c r="F30" s="1098"/>
      <c r="G30" s="1098"/>
      <c r="H30" s="1098"/>
      <c r="I30" s="1098"/>
      <c r="J30" s="1098"/>
      <c r="K30" s="1098"/>
      <c r="L30" s="1098"/>
      <c r="M30" s="1098"/>
      <c r="N30" s="1098"/>
      <c r="O30" s="1098"/>
      <c r="P30" s="1098"/>
      <c r="Q30" s="1098"/>
      <c r="S30" s="509"/>
      <c r="T30" s="510"/>
      <c r="U30" s="510"/>
      <c r="V30" s="510"/>
      <c r="W30" s="510"/>
      <c r="X30" s="510"/>
      <c r="Y30" s="510"/>
      <c r="Z30" s="1077"/>
      <c r="AA30" s="2079"/>
      <c r="AB30" s="2079"/>
      <c r="AC30" s="2079"/>
      <c r="AD30" s="2080"/>
      <c r="AE30" s="905"/>
      <c r="AF30" s="905"/>
      <c r="AH30" s="510">
        <v>4.0000000000000001E-3</v>
      </c>
      <c r="AI30" s="510">
        <v>3.0000000000000001E-3</v>
      </c>
      <c r="AJ30" s="510">
        <v>2E-3</v>
      </c>
      <c r="AK30" s="510">
        <v>3.0000000000000001E-3</v>
      </c>
      <c r="AL30" s="510">
        <v>4.0000000000000001E-3</v>
      </c>
      <c r="AM30" s="510">
        <v>4.0000000000000001E-3</v>
      </c>
      <c r="AN30" s="510">
        <v>4.0000000000000001E-3</v>
      </c>
      <c r="AO30" s="1077">
        <v>2E-3</v>
      </c>
      <c r="AP30" s="1098">
        <v>2E-3</v>
      </c>
      <c r="AQ30" s="1098">
        <v>2E-3</v>
      </c>
      <c r="AR30" s="1098">
        <v>1E-3</v>
      </c>
      <c r="AS30" s="905">
        <v>1E-3</v>
      </c>
      <c r="AT30" s="905">
        <f>AVERAGE(AH30:AS30)</f>
        <v>2.6666666666666674E-3</v>
      </c>
      <c r="AU30" s="905">
        <f>AT30</f>
        <v>2.6666666666666674E-3</v>
      </c>
      <c r="AW30" s="761">
        <f t="shared" si="1"/>
        <v>1E-3</v>
      </c>
      <c r="AX30" s="761">
        <f t="shared" si="5"/>
        <v>2.6666666666666674E-3</v>
      </c>
      <c r="AY30" s="761">
        <f t="shared" si="0"/>
        <v>2.6666666666666674E-3</v>
      </c>
      <c r="AZ30" s="594">
        <f t="shared" si="2"/>
        <v>0</v>
      </c>
    </row>
    <row r="31" spans="1:52" x14ac:dyDescent="0.55000000000000004">
      <c r="A31" s="7523"/>
      <c r="B31" s="7525" t="s">
        <v>568</v>
      </c>
      <c r="C31" s="7526"/>
      <c r="D31" s="1450">
        <v>1.5937726144570185E-2</v>
      </c>
      <c r="E31" s="1450">
        <v>1.4388530670865386E-2</v>
      </c>
      <c r="F31" s="1450">
        <v>1.5055761366246504E-2</v>
      </c>
      <c r="G31" s="1450">
        <v>2.5893170362437917E-2</v>
      </c>
      <c r="H31" s="1450">
        <v>2.3197859203356225E-2</v>
      </c>
      <c r="I31" s="1450">
        <v>2.5951786898014393E-2</v>
      </c>
      <c r="J31" s="1450">
        <v>2.1053658499978426E-2</v>
      </c>
      <c r="K31" s="1450">
        <v>1.8500026936921245E-2</v>
      </c>
      <c r="L31" s="1450">
        <v>1.7738140292564132E-2</v>
      </c>
      <c r="M31" s="1450">
        <v>1.5113226895974259E-2</v>
      </c>
      <c r="N31" s="1450">
        <v>1.3987863718722984E-2</v>
      </c>
      <c r="O31" s="1450">
        <v>1.2620818760137112E-2</v>
      </c>
      <c r="P31" s="1450">
        <v>1.8251298929531094E-2</v>
      </c>
      <c r="Q31" s="1450">
        <v>1.8251298929531094E-2</v>
      </c>
      <c r="S31" s="512">
        <v>1.316716970833073E-2</v>
      </c>
      <c r="T31" s="513">
        <v>1.0940390377937481E-2</v>
      </c>
      <c r="U31" s="513">
        <v>1.1524787409015682E-2</v>
      </c>
      <c r="V31" s="513">
        <v>1.1056901946226865E-2</v>
      </c>
      <c r="W31" s="513">
        <v>1.139157856716169E-2</v>
      </c>
      <c r="X31" s="513">
        <v>9.9993531771542174E-3</v>
      </c>
      <c r="Y31" s="513">
        <v>1.1403139329014302E-2</v>
      </c>
      <c r="Z31" s="513">
        <v>1.1478708846494405E-2</v>
      </c>
      <c r="AA31" s="2088">
        <v>1.0114827838709936E-2</v>
      </c>
      <c r="AB31" s="2088">
        <v>1.0443157622430501E-2</v>
      </c>
      <c r="AC31" s="2088">
        <v>8.8322388578974207E-3</v>
      </c>
      <c r="AD31" s="2089">
        <v>8.9999999999999993E-3</v>
      </c>
      <c r="AE31" s="914">
        <f t="shared" si="6"/>
        <v>1.0779354473364438E-2</v>
      </c>
      <c r="AF31" s="914">
        <f t="shared" si="3"/>
        <v>1.0779354473364438E-2</v>
      </c>
      <c r="AH31" s="512">
        <v>7.9640498312836833E-3</v>
      </c>
      <c r="AI31" s="513">
        <v>9.4940588158211776E-3</v>
      </c>
      <c r="AJ31" s="513">
        <v>8.4626803059150019E-3</v>
      </c>
      <c r="AK31" s="513">
        <v>7.9761003458083523E-3</v>
      </c>
      <c r="AL31" s="513">
        <v>8.0181391335754568E-3</v>
      </c>
      <c r="AM31" s="513">
        <v>7.7413413006903751E-3</v>
      </c>
      <c r="AN31" s="513">
        <v>8.5358303129804448E-3</v>
      </c>
      <c r="AO31" s="513">
        <v>6.7723682284273976E-3</v>
      </c>
      <c r="AP31" s="513">
        <v>6.9566008138768273E-3</v>
      </c>
      <c r="AQ31" s="513">
        <v>5.7779534375999846E-3</v>
      </c>
      <c r="AR31" s="513">
        <v>5.4643601237451857E-3</v>
      </c>
      <c r="AS31" s="1562">
        <v>6.5692322554824108E-3</v>
      </c>
      <c r="AT31" s="914">
        <f t="shared" si="7"/>
        <v>7.477726242100525E-3</v>
      </c>
      <c r="AU31" s="914">
        <f t="shared" si="4"/>
        <v>7.477726242100525E-3</v>
      </c>
      <c r="AW31" s="761">
        <f t="shared" si="1"/>
        <v>-2.4307677445175885E-3</v>
      </c>
      <c r="AX31" s="761">
        <f t="shared" si="5"/>
        <v>-3.3016282312639126E-3</v>
      </c>
      <c r="AY31" s="761">
        <f t="shared" si="0"/>
        <v>-0.12187452743827273</v>
      </c>
      <c r="AZ31" s="594">
        <f t="shared" si="2"/>
        <v>1.1048721317372251E-3</v>
      </c>
    </row>
    <row r="32" spans="1:52" ht="18" thickBot="1" x14ac:dyDescent="0.6">
      <c r="A32" s="7524"/>
      <c r="B32" s="7521" t="s">
        <v>567</v>
      </c>
      <c r="C32" s="7522"/>
      <c r="D32" s="514">
        <f t="shared" ref="D32:Q32" si="8">D6-D31</f>
        <v>-4.5008871215242649E-3</v>
      </c>
      <c r="E32" s="515">
        <f t="shared" si="8"/>
        <v>-4.0275895520470919E-3</v>
      </c>
      <c r="F32" s="515">
        <f t="shared" si="8"/>
        <v>6.2837576788441329E-3</v>
      </c>
      <c r="G32" s="515">
        <f t="shared" si="8"/>
        <v>-8.1505535184730957E-3</v>
      </c>
      <c r="H32" s="515">
        <f t="shared" si="8"/>
        <v>-4.4503910536402604E-3</v>
      </c>
      <c r="I32" s="515">
        <f t="shared" si="8"/>
        <v>-5.3669429383145645E-3</v>
      </c>
      <c r="J32" s="515">
        <f t="shared" si="8"/>
        <v>-4.113283627889177E-3</v>
      </c>
      <c r="K32" s="515">
        <f t="shared" si="8"/>
        <v>-5.3033383806591113E-3</v>
      </c>
      <c r="L32" s="515">
        <f t="shared" si="8"/>
        <v>-6.3897957245763869E-3</v>
      </c>
      <c r="M32" s="515">
        <f t="shared" si="8"/>
        <v>-3.1659411679465562E-3</v>
      </c>
      <c r="N32" s="515">
        <f t="shared" si="8"/>
        <v>-3.3895551096115358E-3</v>
      </c>
      <c r="O32" s="515">
        <f t="shared" si="8"/>
        <v>-1.4975804931604119E-3</v>
      </c>
      <c r="P32" s="515">
        <f t="shared" si="8"/>
        <v>-3.6413348451179665E-3</v>
      </c>
      <c r="Q32" s="515">
        <f t="shared" si="8"/>
        <v>-3.6413348451179665E-3</v>
      </c>
      <c r="S32" s="514">
        <v>-1.6360998812967771E-3</v>
      </c>
      <c r="T32" s="515">
        <v>-7.2669422597577277E-4</v>
      </c>
      <c r="U32" s="515">
        <v>-1.2227101331133885E-3</v>
      </c>
      <c r="V32" s="515">
        <v>-1.1582088830453634E-3</v>
      </c>
      <c r="W32" s="515">
        <v>-1.7107791988813029E-3</v>
      </c>
      <c r="X32" s="515">
        <v>-1.5416008248418447E-3</v>
      </c>
      <c r="Y32" s="515">
        <v>-4.0013632601129841E-4</v>
      </c>
      <c r="Z32" s="515">
        <v>-2.4696998374853958E-3</v>
      </c>
      <c r="AA32" s="2090">
        <v>-2.2808074819787357E-3</v>
      </c>
      <c r="AB32" s="2090">
        <v>-7.6487446570351961E-4</v>
      </c>
      <c r="AC32" s="2090">
        <v>-5.2860649268926183E-4</v>
      </c>
      <c r="AD32" s="2091">
        <v>-5.2860649268926183E-4</v>
      </c>
      <c r="AE32" s="515">
        <f t="shared" si="6"/>
        <v>-1.2474020203093268E-3</v>
      </c>
      <c r="AF32" s="515">
        <f>AE32</f>
        <v>-1.2474020203093268E-3</v>
      </c>
      <c r="AH32" s="2268">
        <v>-6.3168128328561311E-4</v>
      </c>
      <c r="AI32" s="515">
        <v>-7.1851497930173168E-4</v>
      </c>
      <c r="AJ32" s="515">
        <v>-1.8201449753285333E-3</v>
      </c>
      <c r="AK32" s="515">
        <v>-1.1173632059404892E-3</v>
      </c>
      <c r="AL32" s="515">
        <f>AL6-AL31</f>
        <v>-1.4978984435476995E-3</v>
      </c>
      <c r="AM32" s="515">
        <f>AM6-AM31</f>
        <v>-2.3308535320217183E-3</v>
      </c>
      <c r="AN32" s="515">
        <f>AN6-AN31</f>
        <v>-2.2293280917247364E-3</v>
      </c>
      <c r="AO32" s="515">
        <v>-1.768604952425948E-3</v>
      </c>
      <c r="AP32" s="515">
        <v>-1.8071965713398874E-3</v>
      </c>
      <c r="AQ32" s="515">
        <v>-1.9839896131970828E-3</v>
      </c>
      <c r="AR32" s="515">
        <v>-1.9839896131970828E-3</v>
      </c>
      <c r="AS32" s="1564">
        <v>-1.7371956987329972E-3</v>
      </c>
      <c r="AT32" s="515">
        <f t="shared" si="7"/>
        <v>-1.6355634133369597E-3</v>
      </c>
      <c r="AU32" s="515">
        <f>AT32</f>
        <v>-1.6355634133369597E-3</v>
      </c>
      <c r="AW32" s="761">
        <f t="shared" si="1"/>
        <v>-1.2085892060437354E-3</v>
      </c>
      <c r="AX32" s="761">
        <f t="shared" si="5"/>
        <v>-3.8816139302763294E-4</v>
      </c>
      <c r="AY32" s="761">
        <f t="shared" si="0"/>
        <v>1.3333260830374963E-2</v>
      </c>
      <c r="AZ32" s="594">
        <f t="shared" si="2"/>
        <v>2.4679391446408554E-4</v>
      </c>
    </row>
    <row r="33" spans="1:52" ht="18" thickBot="1" x14ac:dyDescent="0.6">
      <c r="B33" s="13"/>
      <c r="C33" s="13"/>
      <c r="S33" s="516"/>
      <c r="T33" s="516"/>
      <c r="U33" s="516"/>
      <c r="V33" s="516"/>
      <c r="W33" s="516"/>
      <c r="X33" s="516"/>
      <c r="AE33" s="926"/>
      <c r="AF33" s="926"/>
      <c r="AH33" s="516"/>
      <c r="AI33" s="516"/>
      <c r="AJ33" s="516"/>
      <c r="AK33" s="2267"/>
      <c r="AL33" s="516"/>
      <c r="AM33" s="516"/>
      <c r="AT33" s="926"/>
      <c r="AU33" s="926"/>
      <c r="AW33">
        <f t="shared" si="1"/>
        <v>0</v>
      </c>
      <c r="AX33">
        <f t="shared" si="5"/>
        <v>0</v>
      </c>
      <c r="AY33">
        <f t="shared" si="0"/>
        <v>0</v>
      </c>
      <c r="AZ33" s="594">
        <f t="shared" si="2"/>
        <v>0</v>
      </c>
    </row>
    <row r="34" spans="1:52" x14ac:dyDescent="0.55000000000000004">
      <c r="A34" s="7527" t="s">
        <v>136</v>
      </c>
      <c r="B34" s="79"/>
      <c r="C34" s="475" t="s">
        <v>548</v>
      </c>
      <c r="D34" s="906">
        <f>SUM(D37,D48,D57)</f>
        <v>12</v>
      </c>
      <c r="E34" s="906">
        <f>SUM(E37,E48,E57)</f>
        <v>15</v>
      </c>
      <c r="F34" s="906">
        <f t="shared" ref="F34:Q34" si="9">SUM(F37,F48,F57)</f>
        <v>21</v>
      </c>
      <c r="G34" s="906">
        <f t="shared" si="9"/>
        <v>19</v>
      </c>
      <c r="H34" s="906">
        <f t="shared" si="9"/>
        <v>13</v>
      </c>
      <c r="I34" s="906">
        <f t="shared" si="9"/>
        <v>16</v>
      </c>
      <c r="J34" s="906">
        <f t="shared" si="9"/>
        <v>16</v>
      </c>
      <c r="K34" s="906">
        <f t="shared" si="9"/>
        <v>24</v>
      </c>
      <c r="L34" s="906">
        <f t="shared" si="9"/>
        <v>13</v>
      </c>
      <c r="M34" s="906">
        <f t="shared" si="9"/>
        <v>14</v>
      </c>
      <c r="N34" s="906">
        <f t="shared" si="9"/>
        <v>24</v>
      </c>
      <c r="O34" s="906">
        <f t="shared" si="9"/>
        <v>20</v>
      </c>
      <c r="P34" s="906">
        <f t="shared" si="9"/>
        <v>207</v>
      </c>
      <c r="Q34" s="906">
        <f t="shared" si="9"/>
        <v>17.25</v>
      </c>
      <c r="S34" s="517">
        <v>33</v>
      </c>
      <c r="T34" s="518">
        <v>23</v>
      </c>
      <c r="U34" s="518">
        <v>22</v>
      </c>
      <c r="V34" s="518">
        <v>16</v>
      </c>
      <c r="W34" s="518">
        <f>W37+W48+W57</f>
        <v>21</v>
      </c>
      <c r="X34" s="518">
        <f>X37+X48+X57</f>
        <v>38</v>
      </c>
      <c r="Y34" s="518">
        <f>Y37+Y48+Y57</f>
        <v>20</v>
      </c>
      <c r="Z34" s="518">
        <v>10</v>
      </c>
      <c r="AA34" s="2092">
        <v>16</v>
      </c>
      <c r="AB34" s="2092">
        <v>20</v>
      </c>
      <c r="AC34" s="2093">
        <v>16</v>
      </c>
      <c r="AD34" s="2093">
        <v>2</v>
      </c>
      <c r="AE34" s="906">
        <f>SUM(S34:AD34)</f>
        <v>237</v>
      </c>
      <c r="AF34" s="906">
        <f>AVERAGE(S34:AD34)</f>
        <v>19.75</v>
      </c>
      <c r="AH34" s="517">
        <v>20</v>
      </c>
      <c r="AI34" s="518">
        <v>13</v>
      </c>
      <c r="AJ34" s="518">
        <v>18</v>
      </c>
      <c r="AK34" s="518">
        <v>15</v>
      </c>
      <c r="AL34" s="518">
        <v>17</v>
      </c>
      <c r="AM34" s="518">
        <v>19</v>
      </c>
      <c r="AN34" s="518">
        <v>19</v>
      </c>
      <c r="AO34" s="518">
        <v>15</v>
      </c>
      <c r="AP34" s="518">
        <v>17</v>
      </c>
      <c r="AQ34" s="518">
        <v>7</v>
      </c>
      <c r="AR34" s="475">
        <v>19</v>
      </c>
      <c r="AS34" s="475">
        <v>13</v>
      </c>
      <c r="AT34" s="906">
        <f>SUM(AH34:AS34)</f>
        <v>192</v>
      </c>
      <c r="AU34" s="906">
        <f>AVERAGE(AH34:AS34)</f>
        <v>16</v>
      </c>
      <c r="AW34" s="317">
        <f t="shared" si="1"/>
        <v>11</v>
      </c>
      <c r="AX34" s="317">
        <f t="shared" si="5"/>
        <v>-3.75</v>
      </c>
      <c r="AY34" s="317">
        <f t="shared" si="0"/>
        <v>-45</v>
      </c>
      <c r="AZ34" s="594">
        <f t="shared" si="2"/>
        <v>-6</v>
      </c>
    </row>
    <row r="35" spans="1:52" x14ac:dyDescent="0.55000000000000004">
      <c r="A35" s="7528"/>
      <c r="B35" s="80"/>
      <c r="C35" s="449" t="s">
        <v>549</v>
      </c>
      <c r="D35" s="1006">
        <v>3</v>
      </c>
      <c r="E35" s="1006">
        <v>4</v>
      </c>
      <c r="F35" s="1006">
        <v>4</v>
      </c>
      <c r="G35" s="1006">
        <v>5</v>
      </c>
      <c r="H35" s="1006">
        <v>3</v>
      </c>
      <c r="I35" s="1006">
        <v>4</v>
      </c>
      <c r="J35" s="1006">
        <v>5</v>
      </c>
      <c r="K35" s="1006">
        <v>5</v>
      </c>
      <c r="L35" s="1006">
        <v>2</v>
      </c>
      <c r="M35" s="1006">
        <v>4</v>
      </c>
      <c r="N35" s="1006">
        <v>6</v>
      </c>
      <c r="O35" s="1006">
        <v>5</v>
      </c>
      <c r="P35" s="1451">
        <f>SUM(D35:O35)</f>
        <v>50</v>
      </c>
      <c r="Q35" s="1452">
        <f>AVERAGE(D35:O35)</f>
        <v>4.166666666666667</v>
      </c>
      <c r="S35" s="519">
        <v>6</v>
      </c>
      <c r="T35" s="520">
        <v>7</v>
      </c>
      <c r="U35" s="520">
        <v>2</v>
      </c>
      <c r="V35" s="520">
        <v>4</v>
      </c>
      <c r="W35" s="520">
        <v>7</v>
      </c>
      <c r="X35" s="520">
        <v>4</v>
      </c>
      <c r="Y35" s="1006">
        <v>8</v>
      </c>
      <c r="Z35" s="520">
        <v>2</v>
      </c>
      <c r="AA35" s="2094">
        <v>4</v>
      </c>
      <c r="AB35" s="2094">
        <v>4</v>
      </c>
      <c r="AC35" s="2095">
        <v>6</v>
      </c>
      <c r="AD35" s="2095">
        <v>0</v>
      </c>
      <c r="AE35" s="1451">
        <f>SUM(S35:AD35)</f>
        <v>54</v>
      </c>
      <c r="AF35" s="1452">
        <f>AVERAGE(S35:AD35)</f>
        <v>4.5</v>
      </c>
      <c r="AH35" s="519">
        <v>4</v>
      </c>
      <c r="AI35" s="520">
        <v>5</v>
      </c>
      <c r="AJ35" s="520">
        <v>2</v>
      </c>
      <c r="AK35" s="520">
        <v>4</v>
      </c>
      <c r="AL35" s="520">
        <v>2</v>
      </c>
      <c r="AM35" s="520">
        <v>7</v>
      </c>
      <c r="AN35" s="1006">
        <v>2</v>
      </c>
      <c r="AO35" s="520">
        <v>2</v>
      </c>
      <c r="AP35" s="1006">
        <v>3</v>
      </c>
      <c r="AQ35" s="1006">
        <v>0</v>
      </c>
      <c r="AR35" s="1006">
        <v>6</v>
      </c>
      <c r="AS35" s="2414"/>
      <c r="AT35" s="1451">
        <f>SUM(AH35:AS35)</f>
        <v>37</v>
      </c>
      <c r="AU35" s="1452">
        <f>AVERAGE(AH35:AS35)</f>
        <v>3.3636363636363638</v>
      </c>
      <c r="AW35" s="317">
        <f>HLOOKUP($A$1,$AH$2:$AS$404,ROW()-1,0)-HLOOKUP($A$1,$S$2:$AD$404,ROW()-1,0)</f>
        <v>0</v>
      </c>
      <c r="AX35" s="317">
        <f t="shared" si="5"/>
        <v>-1.1363636363636362</v>
      </c>
      <c r="AY35" s="317">
        <f t="shared" si="0"/>
        <v>-17</v>
      </c>
      <c r="AZ35" s="594">
        <f t="shared" si="2"/>
        <v>-6</v>
      </c>
    </row>
    <row r="36" spans="1:52" x14ac:dyDescent="0.55000000000000004">
      <c r="A36" s="7528"/>
      <c r="B36" s="81"/>
      <c r="C36" s="1476" t="s">
        <v>550</v>
      </c>
      <c r="D36" s="1453">
        <f>D35/D34</f>
        <v>0.25</v>
      </c>
      <c r="E36" s="1453">
        <f>E35/E34</f>
        <v>0.26666666666666666</v>
      </c>
      <c r="F36" s="1453">
        <f t="shared" ref="F36:Q36" si="10">F35/F34</f>
        <v>0.19047619047619047</v>
      </c>
      <c r="G36" s="1453">
        <f t="shared" si="10"/>
        <v>0.26315789473684209</v>
      </c>
      <c r="H36" s="1453">
        <f t="shared" si="10"/>
        <v>0.23076923076923078</v>
      </c>
      <c r="I36" s="1453">
        <f t="shared" si="10"/>
        <v>0.25</v>
      </c>
      <c r="J36" s="1453">
        <f t="shared" si="10"/>
        <v>0.3125</v>
      </c>
      <c r="K36" s="1453">
        <f t="shared" si="10"/>
        <v>0.20833333333333334</v>
      </c>
      <c r="L36" s="1453">
        <f t="shared" si="10"/>
        <v>0.15384615384615385</v>
      </c>
      <c r="M36" s="1453">
        <f t="shared" si="10"/>
        <v>0.2857142857142857</v>
      </c>
      <c r="N36" s="1453">
        <f t="shared" si="10"/>
        <v>0.25</v>
      </c>
      <c r="O36" s="1453">
        <f t="shared" si="10"/>
        <v>0.25</v>
      </c>
      <c r="P36" s="1453">
        <f t="shared" si="10"/>
        <v>0.24154589371980675</v>
      </c>
      <c r="Q36" s="1453">
        <f t="shared" si="10"/>
        <v>0.24154589371980678</v>
      </c>
      <c r="S36" s="521">
        <f>S35/S34</f>
        <v>0.18181818181818182</v>
      </c>
      <c r="T36" s="767">
        <f t="shared" ref="T36:Y36" si="11">T35/T34</f>
        <v>0.30434782608695654</v>
      </c>
      <c r="U36" s="767">
        <f t="shared" si="11"/>
        <v>9.0909090909090912E-2</v>
      </c>
      <c r="V36" s="767">
        <f t="shared" si="11"/>
        <v>0.25</v>
      </c>
      <c r="W36" s="767">
        <f t="shared" si="11"/>
        <v>0.33333333333333331</v>
      </c>
      <c r="X36" s="767">
        <f t="shared" si="11"/>
        <v>0.10526315789473684</v>
      </c>
      <c r="Y36" s="767">
        <f t="shared" si="11"/>
        <v>0.4</v>
      </c>
      <c r="Z36" s="767">
        <v>0.2</v>
      </c>
      <c r="AA36" s="2096">
        <v>0.25</v>
      </c>
      <c r="AB36" s="2096">
        <v>0.2</v>
      </c>
      <c r="AC36" s="2097">
        <v>0.375</v>
      </c>
      <c r="AD36" s="2097">
        <v>0</v>
      </c>
      <c r="AE36" s="1477">
        <f>AE35/AE34</f>
        <v>0.22784810126582278</v>
      </c>
      <c r="AF36" s="1477">
        <f>AF35/AF34</f>
        <v>0.22784810126582278</v>
      </c>
      <c r="AH36" s="521">
        <v>0.2</v>
      </c>
      <c r="AI36" s="767">
        <v>0.38461538461538464</v>
      </c>
      <c r="AJ36" s="767">
        <v>0.1111111111111111</v>
      </c>
      <c r="AK36" s="767">
        <f>AK35/AK34</f>
        <v>0.26666666666666666</v>
      </c>
      <c r="AL36" s="767">
        <f>AL35/AL34</f>
        <v>0.11764705882352941</v>
      </c>
      <c r="AM36" s="767">
        <f>AM35/AM34</f>
        <v>0.36842105263157893</v>
      </c>
      <c r="AN36" s="767">
        <f>AN35/AN34</f>
        <v>0.10526315789473684</v>
      </c>
      <c r="AO36" s="2388">
        <v>0.13333333333333333</v>
      </c>
      <c r="AP36" s="767">
        <v>0.17647058823529413</v>
      </c>
      <c r="AQ36" s="767">
        <v>0</v>
      </c>
      <c r="AR36" s="767">
        <v>0.31578947368421051</v>
      </c>
      <c r="AS36" s="2415"/>
      <c r="AT36" s="1477">
        <f>AT35/AT34</f>
        <v>0.19270833333333334</v>
      </c>
      <c r="AU36" s="1477">
        <f>AU35/AU34</f>
        <v>0.21022727272727273</v>
      </c>
      <c r="AW36" s="761">
        <f t="shared" si="1"/>
        <v>0</v>
      </c>
      <c r="AX36" s="761">
        <f t="shared" si="5"/>
        <v>-1.7620828538550043E-2</v>
      </c>
      <c r="AY36" s="761">
        <f t="shared" ref="AY36:AY59" si="12">AT36-SUM(S36:AD36)</f>
        <v>-2.497963256708966</v>
      </c>
      <c r="AZ36" s="594">
        <f t="shared" si="2"/>
        <v>-0.31578947368421051</v>
      </c>
    </row>
    <row r="37" spans="1:52" x14ac:dyDescent="0.55000000000000004">
      <c r="A37" s="7528"/>
      <c r="B37" s="123" t="s">
        <v>19</v>
      </c>
      <c r="C37" s="124"/>
      <c r="D37" s="1454">
        <f t="shared" ref="D37:P37" si="13">SUM(D38:D47)</f>
        <v>7</v>
      </c>
      <c r="E37" s="1454">
        <f t="shared" si="13"/>
        <v>6</v>
      </c>
      <c r="F37" s="523">
        <f t="shared" si="13"/>
        <v>6</v>
      </c>
      <c r="G37" s="523">
        <f t="shared" si="13"/>
        <v>10</v>
      </c>
      <c r="H37" s="523">
        <f t="shared" si="13"/>
        <v>7</v>
      </c>
      <c r="I37" s="523">
        <f t="shared" si="13"/>
        <v>11</v>
      </c>
      <c r="J37" s="523">
        <f t="shared" si="13"/>
        <v>4</v>
      </c>
      <c r="K37" s="523">
        <f t="shared" si="13"/>
        <v>15</v>
      </c>
      <c r="L37" s="523">
        <f t="shared" si="13"/>
        <v>3</v>
      </c>
      <c r="M37" s="523">
        <f t="shared" si="13"/>
        <v>6</v>
      </c>
      <c r="N37" s="523">
        <f t="shared" si="13"/>
        <v>6</v>
      </c>
      <c r="O37" s="523">
        <f t="shared" si="13"/>
        <v>10</v>
      </c>
      <c r="P37" s="523">
        <f t="shared" si="13"/>
        <v>91</v>
      </c>
      <c r="Q37" s="523">
        <f>SUM(Q38:Q47)</f>
        <v>7.583333333333333</v>
      </c>
      <c r="S37" s="522">
        <f>SUM(S38:S47)</f>
        <v>9</v>
      </c>
      <c r="T37" s="523">
        <f t="shared" ref="T37:Y37" si="14">SUM(T38:T47)</f>
        <v>9</v>
      </c>
      <c r="U37" s="523">
        <f t="shared" si="14"/>
        <v>12</v>
      </c>
      <c r="V37" s="523">
        <f t="shared" si="14"/>
        <v>7</v>
      </c>
      <c r="W37" s="523">
        <f t="shared" si="14"/>
        <v>7</v>
      </c>
      <c r="X37" s="523">
        <f>SUM(X38:Z47)</f>
        <v>24</v>
      </c>
      <c r="Y37" s="523">
        <f t="shared" si="14"/>
        <v>13</v>
      </c>
      <c r="Z37" s="523">
        <v>7</v>
      </c>
      <c r="AA37" s="2098">
        <v>5</v>
      </c>
      <c r="AB37" s="2098">
        <v>11</v>
      </c>
      <c r="AC37" s="2099">
        <v>10</v>
      </c>
      <c r="AD37" s="2099">
        <v>1</v>
      </c>
      <c r="AE37" s="915">
        <f>SUM(S37:AD37)</f>
        <v>115</v>
      </c>
      <c r="AF37" s="915">
        <f>AVERAGE(S37:AD37)</f>
        <v>9.5833333333333339</v>
      </c>
      <c r="AH37" s="522">
        <v>7</v>
      </c>
      <c r="AI37" s="523">
        <v>4</v>
      </c>
      <c r="AJ37" s="523">
        <v>6</v>
      </c>
      <c r="AK37" s="523">
        <v>5</v>
      </c>
      <c r="AL37" s="523">
        <v>6</v>
      </c>
      <c r="AM37" s="523">
        <v>4</v>
      </c>
      <c r="AN37" s="523">
        <v>7</v>
      </c>
      <c r="AO37" s="523">
        <v>5</v>
      </c>
      <c r="AP37" s="523">
        <v>5</v>
      </c>
      <c r="AQ37" s="523">
        <v>5</v>
      </c>
      <c r="AR37" s="124">
        <v>3</v>
      </c>
      <c r="AS37" s="124">
        <v>8</v>
      </c>
      <c r="AT37" s="915">
        <f>SUM(AH37:AS37)</f>
        <v>65</v>
      </c>
      <c r="AU37" s="915">
        <f>AVERAGE(AH37:AS37)</f>
        <v>5.416666666666667</v>
      </c>
      <c r="AW37" s="317">
        <f t="shared" si="1"/>
        <v>7</v>
      </c>
      <c r="AX37" s="317">
        <f t="shared" si="5"/>
        <v>-4.166666666666667</v>
      </c>
      <c r="AY37" s="317">
        <f t="shared" si="12"/>
        <v>-50</v>
      </c>
      <c r="AZ37" s="594">
        <f t="shared" si="2"/>
        <v>5</v>
      </c>
    </row>
    <row r="38" spans="1:52" x14ac:dyDescent="0.55000000000000004">
      <c r="A38" s="7528"/>
      <c r="B38" s="82"/>
      <c r="C38" t="s">
        <v>68</v>
      </c>
      <c r="D38" s="1455">
        <v>1</v>
      </c>
      <c r="E38" s="1455">
        <v>1</v>
      </c>
      <c r="F38" s="478">
        <v>0</v>
      </c>
      <c r="G38" s="478">
        <v>1</v>
      </c>
      <c r="H38" s="478">
        <v>2</v>
      </c>
      <c r="I38" s="478">
        <v>1</v>
      </c>
      <c r="J38" s="478">
        <v>0</v>
      </c>
      <c r="K38" s="478">
        <v>2</v>
      </c>
      <c r="L38" s="478">
        <v>0</v>
      </c>
      <c r="M38" s="478">
        <v>0</v>
      </c>
      <c r="N38" s="478">
        <v>0</v>
      </c>
      <c r="O38" s="478">
        <v>1</v>
      </c>
      <c r="P38">
        <f>SUM(D38:O38)</f>
        <v>9</v>
      </c>
      <c r="Q38" s="594">
        <f>AVERAGE(D38:O38)</f>
        <v>0.75</v>
      </c>
      <c r="S38" s="484">
        <v>2</v>
      </c>
      <c r="T38" s="485">
        <v>0</v>
      </c>
      <c r="U38" s="485">
        <v>1</v>
      </c>
      <c r="V38" s="485">
        <v>0</v>
      </c>
      <c r="W38" s="485">
        <v>0</v>
      </c>
      <c r="X38" s="485">
        <v>0</v>
      </c>
      <c r="Y38">
        <v>1</v>
      </c>
      <c r="Z38" s="485">
        <v>0</v>
      </c>
      <c r="AA38" s="1499">
        <v>1</v>
      </c>
      <c r="AB38" s="1499">
        <v>0</v>
      </c>
      <c r="AC38" s="1499">
        <v>2</v>
      </c>
      <c r="AD38" s="1499">
        <v>0</v>
      </c>
      <c r="AE38" s="317">
        <f>SUM(S38:AD38)</f>
        <v>7</v>
      </c>
      <c r="AF38" s="594">
        <f>AVERAGE(S38:AD38)</f>
        <v>0.58333333333333337</v>
      </c>
      <c r="AH38" s="484">
        <v>0</v>
      </c>
      <c r="AI38" s="485">
        <v>1</v>
      </c>
      <c r="AJ38" s="485">
        <v>0</v>
      </c>
      <c r="AK38" s="485">
        <v>1</v>
      </c>
      <c r="AL38" s="485">
        <v>0</v>
      </c>
      <c r="AM38" s="485">
        <v>0</v>
      </c>
      <c r="AN38">
        <v>0</v>
      </c>
      <c r="AO38" s="485">
        <v>0</v>
      </c>
      <c r="AP38">
        <v>2</v>
      </c>
      <c r="AQ38">
        <v>0</v>
      </c>
      <c r="AR38">
        <v>0</v>
      </c>
      <c r="AS38">
        <v>0</v>
      </c>
      <c r="AT38">
        <f>SUM(AH38:AS38)</f>
        <v>4</v>
      </c>
      <c r="AU38" s="594">
        <f>AVERAGE(AH38:AS38)</f>
        <v>0.33333333333333331</v>
      </c>
      <c r="AW38" s="317">
        <f t="shared" si="1"/>
        <v>0</v>
      </c>
      <c r="AX38" s="317">
        <f t="shared" si="5"/>
        <v>-0.25000000000000006</v>
      </c>
      <c r="AY38" s="317">
        <f t="shared" si="12"/>
        <v>-3</v>
      </c>
      <c r="AZ38" s="594">
        <f t="shared" si="2"/>
        <v>0</v>
      </c>
    </row>
    <row r="39" spans="1:52" x14ac:dyDescent="0.55000000000000004">
      <c r="A39" s="7528"/>
      <c r="B39" s="82"/>
      <c r="C39" t="s">
        <v>71</v>
      </c>
      <c r="D39" s="1455">
        <v>1</v>
      </c>
      <c r="E39" s="1455">
        <v>0</v>
      </c>
      <c r="F39" s="478">
        <v>0</v>
      </c>
      <c r="G39" s="478">
        <v>1</v>
      </c>
      <c r="H39" s="478">
        <v>0</v>
      </c>
      <c r="I39" s="478">
        <v>1</v>
      </c>
      <c r="J39" s="478">
        <v>0</v>
      </c>
      <c r="K39" s="478">
        <v>0</v>
      </c>
      <c r="L39" s="478">
        <v>0</v>
      </c>
      <c r="M39" s="478">
        <v>1</v>
      </c>
      <c r="N39" s="478">
        <v>0</v>
      </c>
      <c r="O39" s="478">
        <v>0</v>
      </c>
      <c r="P39">
        <f t="shared" ref="P39:P47" si="15">SUM(D39:O39)</f>
        <v>4</v>
      </c>
      <c r="Q39" s="594">
        <f>AVERAGE(D39:O39)</f>
        <v>0.33333333333333331</v>
      </c>
      <c r="S39" s="484">
        <v>0</v>
      </c>
      <c r="T39" s="485">
        <v>2</v>
      </c>
      <c r="U39" s="485">
        <v>2</v>
      </c>
      <c r="V39" s="485">
        <v>0</v>
      </c>
      <c r="W39" s="485">
        <v>1</v>
      </c>
      <c r="X39" s="485">
        <v>0</v>
      </c>
      <c r="Y39">
        <v>0</v>
      </c>
      <c r="Z39" s="485">
        <v>0</v>
      </c>
      <c r="AA39" s="1499">
        <v>0</v>
      </c>
      <c r="AB39" s="1499">
        <v>1</v>
      </c>
      <c r="AC39" s="1499">
        <v>1</v>
      </c>
      <c r="AD39" s="1499">
        <v>0</v>
      </c>
      <c r="AE39">
        <f t="shared" ref="AE39:AE59" si="16">SUM(S39:AD39)</f>
        <v>7</v>
      </c>
      <c r="AF39" s="594">
        <f t="shared" ref="AF39:AF67" si="17">AVERAGE(S39:AD39)</f>
        <v>0.58333333333333337</v>
      </c>
      <c r="AH39" s="484">
        <v>0</v>
      </c>
      <c r="AI39" s="485">
        <v>0</v>
      </c>
      <c r="AJ39" s="485">
        <v>1</v>
      </c>
      <c r="AK39" s="485">
        <v>1</v>
      </c>
      <c r="AL39" s="485">
        <v>1</v>
      </c>
      <c r="AM39" s="485">
        <v>0</v>
      </c>
      <c r="AN39">
        <v>0</v>
      </c>
      <c r="AO39" s="485">
        <v>0</v>
      </c>
      <c r="AP39">
        <v>0</v>
      </c>
      <c r="AQ39">
        <v>0</v>
      </c>
      <c r="AR39">
        <v>0</v>
      </c>
      <c r="AS39">
        <v>1</v>
      </c>
      <c r="AT39">
        <f>SUM(AH39:AS39)</f>
        <v>4</v>
      </c>
      <c r="AU39" s="594">
        <f t="shared" ref="AU39:AU53" si="18">AVERAGE(AH39:AS39)</f>
        <v>0.33333333333333331</v>
      </c>
      <c r="AW39" s="317">
        <f t="shared" si="1"/>
        <v>1</v>
      </c>
      <c r="AX39" s="317">
        <f t="shared" si="5"/>
        <v>-0.25000000000000006</v>
      </c>
      <c r="AY39" s="317">
        <f t="shared" si="12"/>
        <v>-3</v>
      </c>
      <c r="AZ39" s="594">
        <f t="shared" si="2"/>
        <v>1</v>
      </c>
    </row>
    <row r="40" spans="1:52" x14ac:dyDescent="0.55000000000000004">
      <c r="A40" s="7528"/>
      <c r="B40" s="82"/>
      <c r="C40" t="s">
        <v>69</v>
      </c>
      <c r="D40" s="1455">
        <v>0</v>
      </c>
      <c r="E40" s="1455">
        <v>0</v>
      </c>
      <c r="F40" s="478">
        <v>0</v>
      </c>
      <c r="G40" s="478">
        <v>1</v>
      </c>
      <c r="H40" s="478">
        <v>0</v>
      </c>
      <c r="I40" s="478">
        <v>2</v>
      </c>
      <c r="J40" s="478">
        <v>1</v>
      </c>
      <c r="K40" s="478">
        <v>3</v>
      </c>
      <c r="L40" s="478">
        <v>1</v>
      </c>
      <c r="M40" s="478">
        <v>0</v>
      </c>
      <c r="N40" s="478">
        <v>1</v>
      </c>
      <c r="O40" s="478">
        <v>1</v>
      </c>
      <c r="P40">
        <f t="shared" si="15"/>
        <v>10</v>
      </c>
      <c r="Q40" s="594">
        <f t="shared" ref="Q40:Q47" si="19">AVERAGE(D40:O40)</f>
        <v>0.83333333333333337</v>
      </c>
      <c r="S40" s="484">
        <v>1</v>
      </c>
      <c r="T40" s="485">
        <v>1</v>
      </c>
      <c r="U40" s="485">
        <v>2</v>
      </c>
      <c r="V40" s="485">
        <v>2</v>
      </c>
      <c r="W40" s="485">
        <v>0</v>
      </c>
      <c r="X40" s="485">
        <v>0</v>
      </c>
      <c r="Y40">
        <v>0</v>
      </c>
      <c r="Z40" s="485">
        <v>1</v>
      </c>
      <c r="AA40" s="1499">
        <v>1</v>
      </c>
      <c r="AB40" s="1499">
        <v>2</v>
      </c>
      <c r="AC40" s="1499">
        <v>0</v>
      </c>
      <c r="AD40" s="1499">
        <v>0</v>
      </c>
      <c r="AE40">
        <f t="shared" si="16"/>
        <v>10</v>
      </c>
      <c r="AF40" s="594">
        <f t="shared" si="17"/>
        <v>0.83333333333333337</v>
      </c>
      <c r="AH40" s="484">
        <v>0</v>
      </c>
      <c r="AI40" s="485">
        <v>1</v>
      </c>
      <c r="AJ40" s="485">
        <v>0</v>
      </c>
      <c r="AK40" s="485">
        <v>0</v>
      </c>
      <c r="AL40" s="485">
        <v>2</v>
      </c>
      <c r="AM40" s="485">
        <v>0</v>
      </c>
      <c r="AN40">
        <v>0</v>
      </c>
      <c r="AO40" s="485">
        <v>0</v>
      </c>
      <c r="AP40">
        <v>0</v>
      </c>
      <c r="AQ40">
        <v>0</v>
      </c>
      <c r="AR40">
        <v>1</v>
      </c>
      <c r="AS40">
        <v>0</v>
      </c>
      <c r="AT40">
        <f>SUM(AH40:AS40)</f>
        <v>4</v>
      </c>
      <c r="AU40" s="594">
        <f t="shared" si="18"/>
        <v>0.33333333333333331</v>
      </c>
      <c r="AW40" s="317">
        <f t="shared" si="1"/>
        <v>0</v>
      </c>
      <c r="AX40" s="317">
        <f t="shared" si="5"/>
        <v>-0.5</v>
      </c>
      <c r="AY40" s="317">
        <f t="shared" si="12"/>
        <v>-6</v>
      </c>
      <c r="AZ40" s="594">
        <f t="shared" si="2"/>
        <v>-1</v>
      </c>
    </row>
    <row r="41" spans="1:52" x14ac:dyDescent="0.55000000000000004">
      <c r="A41" s="7528"/>
      <c r="B41" s="82"/>
      <c r="C41" t="s">
        <v>146</v>
      </c>
      <c r="D41" s="1455">
        <v>0</v>
      </c>
      <c r="E41" s="1455">
        <v>0</v>
      </c>
      <c r="F41" s="478">
        <v>0</v>
      </c>
      <c r="G41" s="478">
        <v>1</v>
      </c>
      <c r="H41" s="478">
        <v>0</v>
      </c>
      <c r="I41" s="478">
        <v>0</v>
      </c>
      <c r="J41" s="478">
        <v>0</v>
      </c>
      <c r="K41" s="478">
        <v>1</v>
      </c>
      <c r="L41" s="478">
        <v>0</v>
      </c>
      <c r="M41" s="478">
        <v>0</v>
      </c>
      <c r="N41" s="478">
        <v>0</v>
      </c>
      <c r="O41" s="478">
        <v>1</v>
      </c>
      <c r="P41">
        <f t="shared" si="15"/>
        <v>3</v>
      </c>
      <c r="Q41" s="594">
        <f t="shared" si="19"/>
        <v>0.25</v>
      </c>
      <c r="S41" s="484">
        <v>0</v>
      </c>
      <c r="T41" s="485">
        <v>0</v>
      </c>
      <c r="U41" s="485">
        <v>0</v>
      </c>
      <c r="V41" s="485">
        <v>0</v>
      </c>
      <c r="W41" s="485">
        <v>0</v>
      </c>
      <c r="X41" s="485">
        <v>1</v>
      </c>
      <c r="Y41">
        <v>0</v>
      </c>
      <c r="Z41" s="485">
        <v>0</v>
      </c>
      <c r="AA41" s="1499">
        <v>1</v>
      </c>
      <c r="AB41" s="1499">
        <v>1</v>
      </c>
      <c r="AC41" s="1499">
        <v>0</v>
      </c>
      <c r="AD41" s="1499">
        <v>0</v>
      </c>
      <c r="AE41" s="317">
        <f>SUM(S41:AD41)</f>
        <v>3</v>
      </c>
      <c r="AF41" s="594">
        <f t="shared" si="17"/>
        <v>0.25</v>
      </c>
      <c r="AH41" s="484">
        <v>0</v>
      </c>
      <c r="AI41" s="485">
        <v>0</v>
      </c>
      <c r="AJ41" s="485">
        <v>0</v>
      </c>
      <c r="AK41" s="485">
        <v>1</v>
      </c>
      <c r="AL41" s="485">
        <v>0</v>
      </c>
      <c r="AM41" s="485">
        <v>0</v>
      </c>
      <c r="AN41">
        <v>1</v>
      </c>
      <c r="AO41" s="485">
        <v>0</v>
      </c>
      <c r="AP41">
        <v>0</v>
      </c>
      <c r="AQ41">
        <v>0</v>
      </c>
      <c r="AR41">
        <v>0</v>
      </c>
      <c r="AS41">
        <v>0</v>
      </c>
      <c r="AT41" s="317">
        <f>SUM(AH41:AS41)</f>
        <v>2</v>
      </c>
      <c r="AU41" s="594">
        <f t="shared" si="18"/>
        <v>0.16666666666666666</v>
      </c>
      <c r="AW41" s="317">
        <f t="shared" si="1"/>
        <v>0</v>
      </c>
      <c r="AX41" s="317">
        <f t="shared" si="5"/>
        <v>-8.3333333333333343E-2</v>
      </c>
      <c r="AY41" s="317">
        <f t="shared" si="12"/>
        <v>-1</v>
      </c>
      <c r="AZ41" s="594">
        <f t="shared" si="2"/>
        <v>0</v>
      </c>
    </row>
    <row r="42" spans="1:52" x14ac:dyDescent="0.55000000000000004">
      <c r="A42" s="7528"/>
      <c r="B42" s="82"/>
      <c r="C42" t="s">
        <v>70</v>
      </c>
      <c r="D42" s="1455">
        <v>2</v>
      </c>
      <c r="E42" s="1455">
        <v>0</v>
      </c>
      <c r="F42" s="478">
        <v>1</v>
      </c>
      <c r="G42" s="478">
        <v>2</v>
      </c>
      <c r="H42" s="478">
        <v>0</v>
      </c>
      <c r="I42" s="478">
        <v>5</v>
      </c>
      <c r="J42" s="478">
        <v>1</v>
      </c>
      <c r="K42" s="478">
        <v>4</v>
      </c>
      <c r="L42" s="478">
        <v>0</v>
      </c>
      <c r="M42" s="478">
        <v>3</v>
      </c>
      <c r="N42" s="478">
        <v>2</v>
      </c>
      <c r="O42" s="478">
        <v>3</v>
      </c>
      <c r="P42">
        <f t="shared" si="15"/>
        <v>23</v>
      </c>
      <c r="Q42" s="594">
        <f t="shared" si="19"/>
        <v>1.9166666666666667</v>
      </c>
      <c r="S42" s="484">
        <v>4</v>
      </c>
      <c r="T42" s="485">
        <v>2</v>
      </c>
      <c r="U42" s="485">
        <v>3</v>
      </c>
      <c r="V42" s="485">
        <v>0</v>
      </c>
      <c r="W42" s="485">
        <v>2</v>
      </c>
      <c r="X42" s="485">
        <v>1</v>
      </c>
      <c r="Y42">
        <v>2</v>
      </c>
      <c r="Z42" s="485">
        <v>1</v>
      </c>
      <c r="AA42" s="1499">
        <v>1</v>
      </c>
      <c r="AB42" s="1499">
        <v>1</v>
      </c>
      <c r="AC42" s="1499">
        <v>0</v>
      </c>
      <c r="AD42" s="1499">
        <v>0</v>
      </c>
      <c r="AE42">
        <f t="shared" si="16"/>
        <v>17</v>
      </c>
      <c r="AF42" s="594">
        <f t="shared" si="17"/>
        <v>1.4166666666666667</v>
      </c>
      <c r="AH42" s="484">
        <v>4</v>
      </c>
      <c r="AI42" s="485">
        <v>0</v>
      </c>
      <c r="AJ42" s="485">
        <v>2</v>
      </c>
      <c r="AK42" s="485">
        <v>0</v>
      </c>
      <c r="AL42" s="485">
        <v>1</v>
      </c>
      <c r="AM42" s="485">
        <v>0</v>
      </c>
      <c r="AN42">
        <v>3</v>
      </c>
      <c r="AO42" s="485">
        <v>0</v>
      </c>
      <c r="AP42">
        <v>1</v>
      </c>
      <c r="AQ42">
        <v>1</v>
      </c>
      <c r="AR42">
        <v>0</v>
      </c>
      <c r="AS42">
        <v>1</v>
      </c>
      <c r="AT42">
        <f t="shared" ref="AT42:AT59" si="20">SUM(AH42:AS42)</f>
        <v>13</v>
      </c>
      <c r="AU42" s="594">
        <f t="shared" si="18"/>
        <v>1.0833333333333333</v>
      </c>
      <c r="AW42" s="317">
        <f t="shared" si="1"/>
        <v>1</v>
      </c>
      <c r="AX42" s="317">
        <f t="shared" si="5"/>
        <v>-0.33333333333333348</v>
      </c>
      <c r="AY42" s="317">
        <f t="shared" si="12"/>
        <v>-4</v>
      </c>
      <c r="AZ42" s="594">
        <f t="shared" si="2"/>
        <v>1</v>
      </c>
    </row>
    <row r="43" spans="1:52" x14ac:dyDescent="0.55000000000000004">
      <c r="A43" s="7528"/>
      <c r="B43" s="82"/>
      <c r="C43" t="s">
        <v>72</v>
      </c>
      <c r="D43" s="1455">
        <v>0</v>
      </c>
      <c r="E43" s="1455">
        <v>1</v>
      </c>
      <c r="F43" s="478">
        <v>1</v>
      </c>
      <c r="G43" s="478">
        <v>0</v>
      </c>
      <c r="H43" s="478">
        <v>2</v>
      </c>
      <c r="I43" s="478">
        <v>0</v>
      </c>
      <c r="J43" s="478">
        <v>0</v>
      </c>
      <c r="K43" s="478">
        <v>1</v>
      </c>
      <c r="L43" s="478">
        <v>0</v>
      </c>
      <c r="M43" s="478">
        <v>0</v>
      </c>
      <c r="N43" s="478">
        <v>1</v>
      </c>
      <c r="O43" s="478">
        <v>0</v>
      </c>
      <c r="P43">
        <f t="shared" si="15"/>
        <v>6</v>
      </c>
      <c r="Q43" s="594">
        <f t="shared" si="19"/>
        <v>0.5</v>
      </c>
      <c r="S43" s="484">
        <v>0</v>
      </c>
      <c r="T43" s="485">
        <v>0</v>
      </c>
      <c r="U43" s="485">
        <v>2</v>
      </c>
      <c r="V43" s="485">
        <v>1</v>
      </c>
      <c r="W43" s="485">
        <v>0</v>
      </c>
      <c r="X43" s="485">
        <v>1</v>
      </c>
      <c r="Y43">
        <v>1</v>
      </c>
      <c r="Z43" s="485">
        <v>1</v>
      </c>
      <c r="AA43" s="1499">
        <v>0</v>
      </c>
      <c r="AB43" s="1499">
        <v>0</v>
      </c>
      <c r="AC43" s="1499">
        <v>2</v>
      </c>
      <c r="AD43" s="1499">
        <v>0</v>
      </c>
      <c r="AE43">
        <f t="shared" si="16"/>
        <v>8</v>
      </c>
      <c r="AF43" s="594">
        <f t="shared" si="17"/>
        <v>0.66666666666666663</v>
      </c>
      <c r="AH43" s="484">
        <v>0</v>
      </c>
      <c r="AI43" s="485">
        <v>1</v>
      </c>
      <c r="AJ43" s="485">
        <v>0</v>
      </c>
      <c r="AK43" s="485">
        <v>1</v>
      </c>
      <c r="AL43" s="485">
        <v>0</v>
      </c>
      <c r="AM43" s="485">
        <v>0</v>
      </c>
      <c r="AN43">
        <v>1</v>
      </c>
      <c r="AO43" s="485">
        <v>0</v>
      </c>
      <c r="AP43">
        <v>1</v>
      </c>
      <c r="AQ43">
        <v>0</v>
      </c>
      <c r="AR43">
        <v>0</v>
      </c>
      <c r="AS43">
        <v>0</v>
      </c>
      <c r="AT43">
        <f t="shared" si="20"/>
        <v>4</v>
      </c>
      <c r="AU43" s="594">
        <f t="shared" si="18"/>
        <v>0.33333333333333331</v>
      </c>
      <c r="AW43" s="317">
        <f t="shared" si="1"/>
        <v>0</v>
      </c>
      <c r="AX43" s="317">
        <f t="shared" si="5"/>
        <v>-0.33333333333333331</v>
      </c>
      <c r="AY43" s="317">
        <f t="shared" si="12"/>
        <v>-4</v>
      </c>
      <c r="AZ43" s="594">
        <f t="shared" si="2"/>
        <v>0</v>
      </c>
    </row>
    <row r="44" spans="1:52" x14ac:dyDescent="0.55000000000000004">
      <c r="A44" s="7528"/>
      <c r="B44" s="82"/>
      <c r="C44" t="s">
        <v>73</v>
      </c>
      <c r="D44" s="1455">
        <v>0</v>
      </c>
      <c r="E44" s="1455">
        <v>0</v>
      </c>
      <c r="F44" s="478">
        <v>1</v>
      </c>
      <c r="G44" s="478">
        <v>0</v>
      </c>
      <c r="H44" s="478">
        <v>2</v>
      </c>
      <c r="I44" s="478">
        <v>0</v>
      </c>
      <c r="J44" s="478">
        <v>0</v>
      </c>
      <c r="K44" s="478">
        <v>2</v>
      </c>
      <c r="L44" s="478">
        <v>1</v>
      </c>
      <c r="M44" s="478">
        <v>0</v>
      </c>
      <c r="N44" s="478">
        <v>0</v>
      </c>
      <c r="O44" s="478">
        <v>2</v>
      </c>
      <c r="P44">
        <f t="shared" si="15"/>
        <v>8</v>
      </c>
      <c r="Q44" s="594">
        <f t="shared" si="19"/>
        <v>0.66666666666666663</v>
      </c>
      <c r="S44" s="484">
        <v>0</v>
      </c>
      <c r="T44" s="485">
        <v>1</v>
      </c>
      <c r="U44" s="485">
        <v>0</v>
      </c>
      <c r="V44" s="485">
        <v>1</v>
      </c>
      <c r="W44" s="485">
        <v>1</v>
      </c>
      <c r="X44" s="485">
        <v>0</v>
      </c>
      <c r="Y44">
        <v>4</v>
      </c>
      <c r="Z44" s="485">
        <v>2</v>
      </c>
      <c r="AA44" s="1499">
        <v>1</v>
      </c>
      <c r="AB44" s="1499">
        <v>3</v>
      </c>
      <c r="AC44" s="1499">
        <v>2</v>
      </c>
      <c r="AD44" s="1499">
        <v>1</v>
      </c>
      <c r="AE44">
        <f t="shared" si="16"/>
        <v>16</v>
      </c>
      <c r="AF44" s="594">
        <f t="shared" si="17"/>
        <v>1.3333333333333333</v>
      </c>
      <c r="AH44" s="484">
        <v>2</v>
      </c>
      <c r="AI44" s="485">
        <v>0</v>
      </c>
      <c r="AJ44" s="485">
        <v>0</v>
      </c>
      <c r="AK44" s="485">
        <v>0</v>
      </c>
      <c r="AL44" s="485">
        <v>1</v>
      </c>
      <c r="AM44" s="485">
        <v>1</v>
      </c>
      <c r="AN44">
        <v>1</v>
      </c>
      <c r="AO44" s="485">
        <v>2</v>
      </c>
      <c r="AP44">
        <v>0</v>
      </c>
      <c r="AQ44">
        <v>2</v>
      </c>
      <c r="AR44">
        <v>1</v>
      </c>
      <c r="AS44">
        <v>2</v>
      </c>
      <c r="AT44">
        <f t="shared" si="20"/>
        <v>12</v>
      </c>
      <c r="AU44" s="594">
        <f t="shared" si="18"/>
        <v>1</v>
      </c>
      <c r="AW44" s="317">
        <f t="shared" si="1"/>
        <v>1</v>
      </c>
      <c r="AX44" s="317">
        <f t="shared" si="5"/>
        <v>-0.33333333333333326</v>
      </c>
      <c r="AY44" s="317">
        <f t="shared" si="12"/>
        <v>-4</v>
      </c>
      <c r="AZ44" s="594">
        <f t="shared" si="2"/>
        <v>1</v>
      </c>
    </row>
    <row r="45" spans="1:52" x14ac:dyDescent="0.55000000000000004">
      <c r="A45" s="7528"/>
      <c r="B45" s="82"/>
      <c r="C45" t="s">
        <v>74</v>
      </c>
      <c r="D45" s="1455">
        <v>0</v>
      </c>
      <c r="E45" s="1455">
        <v>2</v>
      </c>
      <c r="F45" s="478">
        <v>0</v>
      </c>
      <c r="G45" s="478">
        <v>1</v>
      </c>
      <c r="H45" s="478">
        <v>0</v>
      </c>
      <c r="I45" s="478">
        <v>1</v>
      </c>
      <c r="J45" s="478">
        <v>1</v>
      </c>
      <c r="K45" s="478">
        <v>0</v>
      </c>
      <c r="L45" s="478">
        <v>1</v>
      </c>
      <c r="M45" s="478">
        <v>0</v>
      </c>
      <c r="N45" s="478">
        <v>1</v>
      </c>
      <c r="O45" s="478">
        <v>1</v>
      </c>
      <c r="P45">
        <f t="shared" si="15"/>
        <v>8</v>
      </c>
      <c r="Q45" s="594">
        <f t="shared" si="19"/>
        <v>0.66666666666666663</v>
      </c>
      <c r="S45" s="484">
        <v>0</v>
      </c>
      <c r="T45" s="485">
        <v>1</v>
      </c>
      <c r="U45" s="485">
        <v>2</v>
      </c>
      <c r="V45" s="485">
        <v>1</v>
      </c>
      <c r="W45" s="485">
        <v>0</v>
      </c>
      <c r="X45" s="485">
        <v>0</v>
      </c>
      <c r="Y45">
        <v>2</v>
      </c>
      <c r="Z45" s="485">
        <v>1</v>
      </c>
      <c r="AA45" s="1499">
        <v>0</v>
      </c>
      <c r="AB45" s="1499">
        <v>1</v>
      </c>
      <c r="AC45" s="1499">
        <v>1</v>
      </c>
      <c r="AD45" s="1499">
        <v>0</v>
      </c>
      <c r="AE45">
        <f t="shared" si="16"/>
        <v>9</v>
      </c>
      <c r="AF45" s="594">
        <f t="shared" si="17"/>
        <v>0.75</v>
      </c>
      <c r="AH45" s="484">
        <v>0</v>
      </c>
      <c r="AI45" s="485">
        <v>0</v>
      </c>
      <c r="AJ45" s="485">
        <v>1</v>
      </c>
      <c r="AK45" s="485">
        <v>0</v>
      </c>
      <c r="AL45" s="485">
        <v>0</v>
      </c>
      <c r="AM45" s="485">
        <v>1</v>
      </c>
      <c r="AN45">
        <v>1</v>
      </c>
      <c r="AO45" s="485">
        <v>2</v>
      </c>
      <c r="AP45">
        <v>1</v>
      </c>
      <c r="AQ45">
        <v>1</v>
      </c>
      <c r="AR45">
        <v>0</v>
      </c>
      <c r="AS45">
        <v>0</v>
      </c>
      <c r="AT45">
        <f t="shared" si="20"/>
        <v>7</v>
      </c>
      <c r="AU45" s="594">
        <f t="shared" si="18"/>
        <v>0.58333333333333337</v>
      </c>
      <c r="AW45" s="317">
        <f t="shared" si="1"/>
        <v>0</v>
      </c>
      <c r="AX45" s="317">
        <f t="shared" si="5"/>
        <v>-0.16666666666666663</v>
      </c>
      <c r="AY45" s="317">
        <f t="shared" si="12"/>
        <v>-2</v>
      </c>
      <c r="AZ45" s="594">
        <f t="shared" si="2"/>
        <v>0</v>
      </c>
    </row>
    <row r="46" spans="1:52" x14ac:dyDescent="0.55000000000000004">
      <c r="A46" s="7528"/>
      <c r="B46" s="82"/>
      <c r="C46" t="s">
        <v>75</v>
      </c>
      <c r="D46" s="1455">
        <v>2</v>
      </c>
      <c r="E46" s="1455">
        <v>2</v>
      </c>
      <c r="F46" s="478">
        <v>2</v>
      </c>
      <c r="G46" s="478">
        <v>2</v>
      </c>
      <c r="H46" s="478">
        <v>0</v>
      </c>
      <c r="I46" s="478">
        <v>1</v>
      </c>
      <c r="J46" s="478">
        <v>1</v>
      </c>
      <c r="K46" s="478">
        <v>1</v>
      </c>
      <c r="L46" s="478">
        <v>0</v>
      </c>
      <c r="M46" s="478">
        <v>0</v>
      </c>
      <c r="N46" s="478">
        <v>1</v>
      </c>
      <c r="O46" s="478">
        <v>1</v>
      </c>
      <c r="P46">
        <f t="shared" si="15"/>
        <v>13</v>
      </c>
      <c r="Q46" s="594">
        <f t="shared" si="19"/>
        <v>1.0833333333333333</v>
      </c>
      <c r="S46" s="484">
        <v>1</v>
      </c>
      <c r="T46" s="485">
        <v>0</v>
      </c>
      <c r="U46" s="485">
        <v>0</v>
      </c>
      <c r="V46" s="485">
        <v>2</v>
      </c>
      <c r="W46" s="485">
        <v>1</v>
      </c>
      <c r="X46" s="485">
        <v>1</v>
      </c>
      <c r="Y46">
        <v>3</v>
      </c>
      <c r="Z46" s="485">
        <v>1</v>
      </c>
      <c r="AA46" s="1499">
        <v>0</v>
      </c>
      <c r="AB46" s="1499">
        <v>0</v>
      </c>
      <c r="AC46" s="1499">
        <v>1</v>
      </c>
      <c r="AD46" s="1499">
        <v>0</v>
      </c>
      <c r="AE46">
        <f t="shared" si="16"/>
        <v>10</v>
      </c>
      <c r="AF46" s="594">
        <f t="shared" si="17"/>
        <v>0.83333333333333337</v>
      </c>
      <c r="AH46" s="484">
        <v>1</v>
      </c>
      <c r="AI46" s="485">
        <v>0</v>
      </c>
      <c r="AJ46" s="485">
        <v>1</v>
      </c>
      <c r="AK46" s="485">
        <v>0</v>
      </c>
      <c r="AL46" s="485">
        <v>1</v>
      </c>
      <c r="AM46" s="485">
        <v>1</v>
      </c>
      <c r="AN46">
        <v>0</v>
      </c>
      <c r="AO46" s="485">
        <v>0</v>
      </c>
      <c r="AP46">
        <v>0</v>
      </c>
      <c r="AQ46">
        <v>0</v>
      </c>
      <c r="AR46">
        <v>0</v>
      </c>
      <c r="AS46">
        <v>2</v>
      </c>
      <c r="AT46">
        <f t="shared" si="20"/>
        <v>6</v>
      </c>
      <c r="AU46" s="594">
        <f t="shared" si="18"/>
        <v>0.5</v>
      </c>
      <c r="AW46" s="317">
        <f t="shared" si="1"/>
        <v>2</v>
      </c>
      <c r="AX46" s="317">
        <f t="shared" si="5"/>
        <v>-0.33333333333333337</v>
      </c>
      <c r="AY46" s="317">
        <f t="shared" si="12"/>
        <v>-4</v>
      </c>
      <c r="AZ46" s="594">
        <f t="shared" si="2"/>
        <v>2</v>
      </c>
    </row>
    <row r="47" spans="1:52" x14ac:dyDescent="0.55000000000000004">
      <c r="A47" s="7528"/>
      <c r="B47" s="83"/>
      <c r="C47" s="1007" t="s">
        <v>76</v>
      </c>
      <c r="D47" s="1456">
        <v>1</v>
      </c>
      <c r="E47" s="1456">
        <v>0</v>
      </c>
      <c r="F47" s="1457">
        <v>1</v>
      </c>
      <c r="G47" s="1457">
        <v>1</v>
      </c>
      <c r="H47" s="1457">
        <v>1</v>
      </c>
      <c r="I47" s="1457">
        <v>0</v>
      </c>
      <c r="J47" s="1457">
        <v>0</v>
      </c>
      <c r="K47" s="1457">
        <v>1</v>
      </c>
      <c r="L47" s="1457">
        <v>0</v>
      </c>
      <c r="M47" s="1457">
        <v>2</v>
      </c>
      <c r="N47" s="1457">
        <v>0</v>
      </c>
      <c r="O47" s="1457">
        <v>0</v>
      </c>
      <c r="P47">
        <f t="shared" si="15"/>
        <v>7</v>
      </c>
      <c r="Q47" s="594">
        <f t="shared" si="19"/>
        <v>0.58333333333333337</v>
      </c>
      <c r="S47" s="524">
        <v>1</v>
      </c>
      <c r="T47" s="525">
        <v>2</v>
      </c>
      <c r="U47" s="525">
        <v>0</v>
      </c>
      <c r="V47" s="525">
        <v>0</v>
      </c>
      <c r="W47" s="525">
        <v>2</v>
      </c>
      <c r="X47" s="525">
        <v>0</v>
      </c>
      <c r="Y47" s="1007">
        <v>0</v>
      </c>
      <c r="Z47" s="525">
        <v>0</v>
      </c>
      <c r="AA47" s="2100">
        <v>0</v>
      </c>
      <c r="AB47" s="2100">
        <v>2</v>
      </c>
      <c r="AC47" s="2100">
        <v>1</v>
      </c>
      <c r="AD47" s="2100">
        <v>0</v>
      </c>
      <c r="AE47" s="1478">
        <f t="shared" si="16"/>
        <v>8</v>
      </c>
      <c r="AF47" s="1479">
        <f t="shared" si="17"/>
        <v>0.66666666666666663</v>
      </c>
      <c r="AH47" s="524">
        <v>0</v>
      </c>
      <c r="AI47" s="525">
        <v>1</v>
      </c>
      <c r="AJ47" s="525">
        <v>1</v>
      </c>
      <c r="AK47" s="525">
        <v>1</v>
      </c>
      <c r="AL47" s="525">
        <v>0</v>
      </c>
      <c r="AM47" s="525">
        <v>1</v>
      </c>
      <c r="AN47" s="1007">
        <v>0</v>
      </c>
      <c r="AO47" s="525">
        <v>1</v>
      </c>
      <c r="AP47" s="1007">
        <v>0</v>
      </c>
      <c r="AQ47" s="1007">
        <v>1</v>
      </c>
      <c r="AR47" s="1007">
        <v>1</v>
      </c>
      <c r="AS47" s="1007">
        <v>2</v>
      </c>
      <c r="AT47" s="1478">
        <f t="shared" si="20"/>
        <v>9</v>
      </c>
      <c r="AU47" s="1479">
        <f t="shared" si="18"/>
        <v>0.75</v>
      </c>
      <c r="AW47" s="317">
        <f t="shared" si="1"/>
        <v>2</v>
      </c>
      <c r="AX47" s="317">
        <f t="shared" si="5"/>
        <v>8.333333333333337E-2</v>
      </c>
      <c r="AY47" s="317">
        <f t="shared" si="12"/>
        <v>1</v>
      </c>
      <c r="AZ47" s="594">
        <f t="shared" si="2"/>
        <v>1</v>
      </c>
    </row>
    <row r="48" spans="1:52" x14ac:dyDescent="0.55000000000000004">
      <c r="A48" s="7528"/>
      <c r="B48" s="122" t="s">
        <v>20</v>
      </c>
      <c r="C48" s="458"/>
      <c r="D48" s="1458">
        <f>SUM(D49:D56)</f>
        <v>3</v>
      </c>
      <c r="E48" s="1458">
        <f>SUM(E49:E56)</f>
        <v>5</v>
      </c>
      <c r="F48" s="493">
        <f t="shared" ref="F48:Q48" si="21">SUM(F49:F56)</f>
        <v>10</v>
      </c>
      <c r="G48" s="493">
        <f t="shared" si="21"/>
        <v>9</v>
      </c>
      <c r="H48" s="493">
        <f t="shared" si="21"/>
        <v>5</v>
      </c>
      <c r="I48" s="493">
        <f t="shared" si="21"/>
        <v>5</v>
      </c>
      <c r="J48" s="493">
        <f t="shared" si="21"/>
        <v>8</v>
      </c>
      <c r="K48" s="493">
        <f t="shared" si="21"/>
        <v>6</v>
      </c>
      <c r="L48" s="493">
        <f t="shared" si="21"/>
        <v>5</v>
      </c>
      <c r="M48" s="493">
        <f t="shared" si="21"/>
        <v>5</v>
      </c>
      <c r="N48" s="493">
        <f t="shared" si="21"/>
        <v>5</v>
      </c>
      <c r="O48" s="493">
        <f t="shared" si="21"/>
        <v>3</v>
      </c>
      <c r="P48" s="493">
        <f t="shared" si="21"/>
        <v>69</v>
      </c>
      <c r="Q48" s="493">
        <f t="shared" si="21"/>
        <v>5.7499999999999991</v>
      </c>
      <c r="S48" s="492">
        <f>SUM(S49:S56)</f>
        <v>13</v>
      </c>
      <c r="T48" s="493">
        <f>SUM(T49:T56)</f>
        <v>10</v>
      </c>
      <c r="U48" s="493">
        <f t="shared" ref="U48:Y48" si="22">SUM(U49:U56)</f>
        <v>5</v>
      </c>
      <c r="V48" s="493">
        <f t="shared" si="22"/>
        <v>6</v>
      </c>
      <c r="W48" s="493">
        <f t="shared" si="22"/>
        <v>9</v>
      </c>
      <c r="X48" s="493">
        <f>SUM(X49:Z56)</f>
        <v>6</v>
      </c>
      <c r="Y48" s="493">
        <f t="shared" si="22"/>
        <v>3</v>
      </c>
      <c r="Z48" s="493">
        <v>1</v>
      </c>
      <c r="AA48" s="2101">
        <v>6</v>
      </c>
      <c r="AB48" s="2101">
        <v>2</v>
      </c>
      <c r="AC48" s="2102">
        <v>2</v>
      </c>
      <c r="AD48" s="2102">
        <v>1</v>
      </c>
      <c r="AE48" s="458">
        <f t="shared" si="16"/>
        <v>64</v>
      </c>
      <c r="AF48" s="1437">
        <f t="shared" si="17"/>
        <v>5.333333333333333</v>
      </c>
      <c r="AH48" s="492">
        <v>8</v>
      </c>
      <c r="AI48" s="493">
        <v>8</v>
      </c>
      <c r="AJ48" s="493">
        <v>10</v>
      </c>
      <c r="AK48" s="493">
        <v>7</v>
      </c>
      <c r="AL48" s="493">
        <v>9</v>
      </c>
      <c r="AM48" s="493">
        <v>13</v>
      </c>
      <c r="AN48" s="493">
        <v>10</v>
      </c>
      <c r="AO48" s="493">
        <v>6</v>
      </c>
      <c r="AP48" s="493">
        <v>7</v>
      </c>
      <c r="AQ48" s="493">
        <v>2</v>
      </c>
      <c r="AR48" s="458">
        <v>13</v>
      </c>
      <c r="AS48" s="458">
        <v>5</v>
      </c>
      <c r="AT48" s="458">
        <f t="shared" si="20"/>
        <v>98</v>
      </c>
      <c r="AU48" s="1437">
        <f t="shared" si="18"/>
        <v>8.1666666666666661</v>
      </c>
      <c r="AW48" s="317">
        <f t="shared" si="1"/>
        <v>4</v>
      </c>
      <c r="AX48" s="317">
        <f t="shared" si="5"/>
        <v>2.833333333333333</v>
      </c>
      <c r="AY48" s="317">
        <f t="shared" si="12"/>
        <v>34</v>
      </c>
      <c r="AZ48" s="594">
        <f t="shared" si="2"/>
        <v>-8</v>
      </c>
    </row>
    <row r="49" spans="1:52" x14ac:dyDescent="0.55000000000000004">
      <c r="A49" s="7528"/>
      <c r="B49" s="84"/>
      <c r="C49" t="s">
        <v>68</v>
      </c>
      <c r="D49" s="1455">
        <v>1</v>
      </c>
      <c r="E49" s="1455">
        <v>2</v>
      </c>
      <c r="F49" s="478">
        <v>4</v>
      </c>
      <c r="G49" s="478">
        <v>4</v>
      </c>
      <c r="H49" s="478">
        <v>1</v>
      </c>
      <c r="I49" s="478">
        <v>0</v>
      </c>
      <c r="J49" s="478">
        <v>2</v>
      </c>
      <c r="K49" s="478">
        <v>2</v>
      </c>
      <c r="L49" s="478">
        <v>0</v>
      </c>
      <c r="M49" s="478">
        <v>1</v>
      </c>
      <c r="N49" s="478">
        <v>2</v>
      </c>
      <c r="O49" s="478">
        <v>1</v>
      </c>
      <c r="P49" s="317">
        <f>SUM(D49:O49)</f>
        <v>20</v>
      </c>
      <c r="Q49" s="594">
        <f t="shared" ref="Q49:Q56" si="23">AVERAGE(D49:O49)</f>
        <v>1.6666666666666667</v>
      </c>
      <c r="S49" s="484">
        <v>1</v>
      </c>
      <c r="T49" s="485">
        <v>2</v>
      </c>
      <c r="U49" s="485">
        <v>1</v>
      </c>
      <c r="V49" s="485">
        <v>2</v>
      </c>
      <c r="W49" s="485">
        <v>0</v>
      </c>
      <c r="X49" s="485">
        <v>0</v>
      </c>
      <c r="Y49">
        <v>0</v>
      </c>
      <c r="Z49" s="485">
        <v>0</v>
      </c>
      <c r="AA49" s="1499">
        <v>1</v>
      </c>
      <c r="AB49" s="1499">
        <v>0</v>
      </c>
      <c r="AC49" s="1499">
        <v>0</v>
      </c>
      <c r="AD49" s="1499">
        <v>0</v>
      </c>
      <c r="AE49" s="317">
        <f t="shared" si="16"/>
        <v>7</v>
      </c>
      <c r="AF49" s="594">
        <f t="shared" si="17"/>
        <v>0.58333333333333337</v>
      </c>
      <c r="AH49" s="484">
        <v>4</v>
      </c>
      <c r="AI49" s="485">
        <v>4</v>
      </c>
      <c r="AJ49" s="485">
        <v>3</v>
      </c>
      <c r="AK49" s="485">
        <v>3</v>
      </c>
      <c r="AL49" s="485">
        <v>2</v>
      </c>
      <c r="AM49" s="485">
        <v>3</v>
      </c>
      <c r="AN49">
        <v>2</v>
      </c>
      <c r="AO49" s="485">
        <v>0</v>
      </c>
      <c r="AP49">
        <v>1</v>
      </c>
      <c r="AQ49">
        <v>0</v>
      </c>
      <c r="AR49">
        <v>3</v>
      </c>
      <c r="AS49">
        <v>1</v>
      </c>
      <c r="AT49" s="317">
        <f t="shared" si="20"/>
        <v>26</v>
      </c>
      <c r="AU49" s="594">
        <f t="shared" si="18"/>
        <v>2.1666666666666665</v>
      </c>
      <c r="AW49" s="317">
        <f t="shared" si="1"/>
        <v>1</v>
      </c>
      <c r="AX49" s="317">
        <f t="shared" si="5"/>
        <v>1.583333333333333</v>
      </c>
      <c r="AY49" s="317">
        <f t="shared" si="12"/>
        <v>19</v>
      </c>
      <c r="AZ49" s="594">
        <f t="shared" si="2"/>
        <v>-2</v>
      </c>
    </row>
    <row r="50" spans="1:52" x14ac:dyDescent="0.55000000000000004">
      <c r="A50" s="7528"/>
      <c r="B50" s="84"/>
      <c r="C50" t="s">
        <v>153</v>
      </c>
      <c r="D50" s="1455">
        <v>0</v>
      </c>
      <c r="E50" s="1455">
        <v>0</v>
      </c>
      <c r="F50" s="478">
        <v>0</v>
      </c>
      <c r="G50" s="478">
        <v>0</v>
      </c>
      <c r="H50" s="478">
        <v>2</v>
      </c>
      <c r="I50" s="478">
        <v>0</v>
      </c>
      <c r="J50" s="478">
        <v>1</v>
      </c>
      <c r="K50" s="478">
        <v>1</v>
      </c>
      <c r="L50" s="478">
        <v>1</v>
      </c>
      <c r="M50" s="478">
        <v>2</v>
      </c>
      <c r="N50" s="478">
        <v>0</v>
      </c>
      <c r="O50" s="478">
        <v>0</v>
      </c>
      <c r="P50" s="317">
        <f t="shared" ref="P50:P56" si="24">SUM(D50:O50)</f>
        <v>7</v>
      </c>
      <c r="Q50" s="594">
        <f t="shared" si="23"/>
        <v>0.58333333333333337</v>
      </c>
      <c r="S50" s="484">
        <v>1</v>
      </c>
      <c r="T50" s="485">
        <v>1</v>
      </c>
      <c r="U50" s="485">
        <v>0</v>
      </c>
      <c r="V50" s="485">
        <v>0</v>
      </c>
      <c r="W50" s="485">
        <v>0</v>
      </c>
      <c r="X50" s="485">
        <v>0</v>
      </c>
      <c r="Y50">
        <v>0</v>
      </c>
      <c r="Z50" s="485">
        <v>0</v>
      </c>
      <c r="AA50" s="1499">
        <v>0</v>
      </c>
      <c r="AB50" s="1499">
        <v>0</v>
      </c>
      <c r="AC50" s="1499">
        <v>1</v>
      </c>
      <c r="AD50" s="1499">
        <v>0</v>
      </c>
      <c r="AE50">
        <f t="shared" si="16"/>
        <v>3</v>
      </c>
      <c r="AF50" s="594">
        <f t="shared" si="17"/>
        <v>0.25</v>
      </c>
      <c r="AH50" s="484">
        <v>0</v>
      </c>
      <c r="AI50" s="485">
        <v>0</v>
      </c>
      <c r="AJ50" s="485">
        <v>1</v>
      </c>
      <c r="AK50" s="485">
        <v>2</v>
      </c>
      <c r="AL50" s="485">
        <v>0</v>
      </c>
      <c r="AM50" s="485">
        <v>3</v>
      </c>
      <c r="AN50" s="2347"/>
      <c r="AO50" s="2347"/>
      <c r="AP50" s="2347"/>
      <c r="AQ50" s="2347"/>
      <c r="AR50" s="2347"/>
      <c r="AS50" s="2347"/>
      <c r="AT50">
        <f t="shared" si="20"/>
        <v>6</v>
      </c>
      <c r="AU50" s="594">
        <f t="shared" si="18"/>
        <v>1</v>
      </c>
      <c r="AW50" s="317">
        <f t="shared" si="1"/>
        <v>0</v>
      </c>
      <c r="AX50" s="317">
        <f t="shared" si="5"/>
        <v>0.75</v>
      </c>
      <c r="AY50" s="317">
        <f t="shared" si="12"/>
        <v>3</v>
      </c>
      <c r="AZ50" s="594">
        <f t="shared" si="2"/>
        <v>0</v>
      </c>
    </row>
    <row r="51" spans="1:52" x14ac:dyDescent="0.55000000000000004">
      <c r="A51" s="7528"/>
      <c r="B51" s="84"/>
      <c r="C51" t="s">
        <v>69</v>
      </c>
      <c r="D51" s="1455">
        <v>2</v>
      </c>
      <c r="E51" s="1455">
        <v>1</v>
      </c>
      <c r="F51" s="478">
        <v>1</v>
      </c>
      <c r="G51" s="478">
        <v>1</v>
      </c>
      <c r="H51" s="478">
        <v>1</v>
      </c>
      <c r="I51" s="478">
        <v>2</v>
      </c>
      <c r="J51" s="478">
        <v>0</v>
      </c>
      <c r="K51" s="478">
        <v>0</v>
      </c>
      <c r="L51" s="478">
        <v>1</v>
      </c>
      <c r="M51" s="478">
        <v>0</v>
      </c>
      <c r="N51" s="478">
        <v>3</v>
      </c>
      <c r="O51" s="478">
        <v>1</v>
      </c>
      <c r="P51" s="317">
        <f t="shared" si="24"/>
        <v>13</v>
      </c>
      <c r="Q51" s="594">
        <f t="shared" si="23"/>
        <v>1.0833333333333333</v>
      </c>
      <c r="S51" s="484">
        <v>2</v>
      </c>
      <c r="T51" s="485">
        <v>2</v>
      </c>
      <c r="U51" s="485">
        <v>0</v>
      </c>
      <c r="V51" s="485">
        <v>1</v>
      </c>
      <c r="W51" s="485">
        <v>1</v>
      </c>
      <c r="X51" s="485">
        <v>0</v>
      </c>
      <c r="Y51">
        <v>0</v>
      </c>
      <c r="Z51" s="485">
        <v>0</v>
      </c>
      <c r="AA51" s="1499">
        <v>1</v>
      </c>
      <c r="AB51" s="1499">
        <v>0</v>
      </c>
      <c r="AC51" s="1499">
        <v>0</v>
      </c>
      <c r="AD51" s="1499">
        <v>0</v>
      </c>
      <c r="AE51">
        <f t="shared" si="16"/>
        <v>7</v>
      </c>
      <c r="AF51" s="594">
        <f t="shared" si="17"/>
        <v>0.58333333333333337</v>
      </c>
      <c r="AH51" s="484">
        <v>0</v>
      </c>
      <c r="AI51" s="485">
        <v>2</v>
      </c>
      <c r="AJ51" s="485">
        <v>2</v>
      </c>
      <c r="AK51" s="485">
        <v>0</v>
      </c>
      <c r="AL51" s="485">
        <v>0</v>
      </c>
      <c r="AM51" s="485">
        <v>1</v>
      </c>
      <c r="AN51">
        <v>3</v>
      </c>
      <c r="AO51" s="485">
        <v>1</v>
      </c>
      <c r="AP51">
        <v>1</v>
      </c>
      <c r="AQ51">
        <v>0</v>
      </c>
      <c r="AR51">
        <v>1</v>
      </c>
      <c r="AS51">
        <v>2</v>
      </c>
      <c r="AT51">
        <f t="shared" si="20"/>
        <v>13</v>
      </c>
      <c r="AU51" s="594">
        <f t="shared" si="18"/>
        <v>1.0833333333333333</v>
      </c>
      <c r="AW51" s="317">
        <f t="shared" si="1"/>
        <v>2</v>
      </c>
      <c r="AX51" s="317">
        <f t="shared" si="5"/>
        <v>0.49999999999999989</v>
      </c>
      <c r="AY51" s="317">
        <f t="shared" si="12"/>
        <v>6</v>
      </c>
      <c r="AZ51" s="594">
        <f t="shared" si="2"/>
        <v>1</v>
      </c>
    </row>
    <row r="52" spans="1:52" x14ac:dyDescent="0.55000000000000004">
      <c r="A52" s="7528"/>
      <c r="B52" s="84"/>
      <c r="C52" t="s">
        <v>70</v>
      </c>
      <c r="D52" s="1455">
        <v>0</v>
      </c>
      <c r="E52" s="1455">
        <v>0</v>
      </c>
      <c r="F52" s="478">
        <v>2</v>
      </c>
      <c r="G52" s="478">
        <v>0</v>
      </c>
      <c r="H52" s="478">
        <v>0</v>
      </c>
      <c r="I52" s="478">
        <v>1</v>
      </c>
      <c r="J52" s="478">
        <v>0</v>
      </c>
      <c r="K52" s="478">
        <v>2</v>
      </c>
      <c r="L52" s="478">
        <v>1</v>
      </c>
      <c r="M52" s="478">
        <v>0</v>
      </c>
      <c r="N52" s="478">
        <v>0</v>
      </c>
      <c r="O52" s="478">
        <v>1</v>
      </c>
      <c r="P52" s="317">
        <f t="shared" si="24"/>
        <v>7</v>
      </c>
      <c r="Q52" s="594">
        <f t="shared" si="23"/>
        <v>0.58333333333333337</v>
      </c>
      <c r="S52" s="484">
        <v>2</v>
      </c>
      <c r="T52" s="485">
        <v>4</v>
      </c>
      <c r="U52" s="485">
        <v>2</v>
      </c>
      <c r="V52" s="485">
        <v>1</v>
      </c>
      <c r="W52" s="485">
        <v>1</v>
      </c>
      <c r="X52" s="485">
        <v>0</v>
      </c>
      <c r="Y52">
        <v>1</v>
      </c>
      <c r="Z52" s="485">
        <v>0</v>
      </c>
      <c r="AA52" s="1499">
        <v>0</v>
      </c>
      <c r="AB52" s="1499">
        <v>0</v>
      </c>
      <c r="AC52" s="1499">
        <v>0</v>
      </c>
      <c r="AD52" s="1499">
        <v>1</v>
      </c>
      <c r="AE52">
        <f t="shared" si="16"/>
        <v>12</v>
      </c>
      <c r="AF52" s="594">
        <f t="shared" si="17"/>
        <v>1</v>
      </c>
      <c r="AH52" s="484">
        <v>1</v>
      </c>
      <c r="AI52" s="485">
        <v>1</v>
      </c>
      <c r="AJ52" s="485">
        <v>1</v>
      </c>
      <c r="AK52" s="485">
        <v>2</v>
      </c>
      <c r="AL52" s="485">
        <v>4</v>
      </c>
      <c r="AM52" s="485">
        <v>4</v>
      </c>
      <c r="AN52">
        <v>2</v>
      </c>
      <c r="AO52" s="485">
        <v>1</v>
      </c>
      <c r="AP52">
        <v>1</v>
      </c>
      <c r="AQ52">
        <v>2</v>
      </c>
      <c r="AR52">
        <v>1</v>
      </c>
      <c r="AS52">
        <v>0</v>
      </c>
      <c r="AT52">
        <f t="shared" si="20"/>
        <v>20</v>
      </c>
      <c r="AU52" s="594">
        <f t="shared" si="18"/>
        <v>1.6666666666666667</v>
      </c>
      <c r="AW52" s="317">
        <f t="shared" si="1"/>
        <v>-1</v>
      </c>
      <c r="AX52" s="317">
        <f t="shared" si="5"/>
        <v>0.66666666666666674</v>
      </c>
      <c r="AY52" s="317">
        <f t="shared" si="12"/>
        <v>8</v>
      </c>
      <c r="AZ52" s="594">
        <f t="shared" si="2"/>
        <v>-1</v>
      </c>
    </row>
    <row r="53" spans="1:52" x14ac:dyDescent="0.55000000000000004">
      <c r="A53" s="7528"/>
      <c r="B53" s="84"/>
      <c r="C53" t="s">
        <v>73</v>
      </c>
      <c r="D53" s="1455">
        <v>0</v>
      </c>
      <c r="E53" s="1455">
        <v>0</v>
      </c>
      <c r="F53" s="478">
        <v>2</v>
      </c>
      <c r="G53" s="478">
        <v>2</v>
      </c>
      <c r="H53" s="478">
        <v>0</v>
      </c>
      <c r="I53" s="478">
        <v>2</v>
      </c>
      <c r="J53" s="478">
        <v>3</v>
      </c>
      <c r="K53" s="478">
        <v>1</v>
      </c>
      <c r="L53" s="478">
        <v>1</v>
      </c>
      <c r="M53" s="478">
        <v>1</v>
      </c>
      <c r="N53" s="478">
        <v>0</v>
      </c>
      <c r="O53" s="478">
        <v>0</v>
      </c>
      <c r="P53" s="317">
        <f t="shared" si="24"/>
        <v>12</v>
      </c>
      <c r="Q53" s="594">
        <f t="shared" si="23"/>
        <v>1</v>
      </c>
      <c r="S53" s="484">
        <v>4</v>
      </c>
      <c r="T53" s="485">
        <v>1</v>
      </c>
      <c r="U53" s="485">
        <v>1</v>
      </c>
      <c r="V53" s="485">
        <v>1</v>
      </c>
      <c r="W53" s="485">
        <v>1</v>
      </c>
      <c r="X53" s="485">
        <v>1</v>
      </c>
      <c r="Y53">
        <v>1</v>
      </c>
      <c r="Z53" s="485">
        <v>1</v>
      </c>
      <c r="AA53" s="1499">
        <v>3</v>
      </c>
      <c r="AB53" s="1499">
        <v>0</v>
      </c>
      <c r="AC53" s="1499">
        <v>1</v>
      </c>
      <c r="AD53" s="1499">
        <v>0</v>
      </c>
      <c r="AE53">
        <f t="shared" si="16"/>
        <v>15</v>
      </c>
      <c r="AF53" s="594">
        <f t="shared" si="17"/>
        <v>1.25</v>
      </c>
      <c r="AH53" s="484">
        <v>1</v>
      </c>
      <c r="AI53" s="485">
        <v>1</v>
      </c>
      <c r="AJ53" s="485">
        <v>1</v>
      </c>
      <c r="AK53" s="485">
        <v>0</v>
      </c>
      <c r="AL53" s="485">
        <v>3</v>
      </c>
      <c r="AM53" s="485">
        <v>1</v>
      </c>
      <c r="AN53">
        <v>2</v>
      </c>
      <c r="AO53" s="485">
        <v>1</v>
      </c>
      <c r="AP53">
        <v>3</v>
      </c>
      <c r="AQ53">
        <v>0</v>
      </c>
      <c r="AR53">
        <v>3</v>
      </c>
      <c r="AS53">
        <v>0</v>
      </c>
      <c r="AT53">
        <f t="shared" si="20"/>
        <v>16</v>
      </c>
      <c r="AU53" s="594">
        <f t="shared" si="18"/>
        <v>1.3333333333333333</v>
      </c>
      <c r="AW53" s="317">
        <f t="shared" si="1"/>
        <v>0</v>
      </c>
      <c r="AX53" s="317">
        <f t="shared" si="5"/>
        <v>8.3333333333333259E-2</v>
      </c>
      <c r="AY53" s="317">
        <f t="shared" si="12"/>
        <v>1</v>
      </c>
      <c r="AZ53" s="594">
        <f t="shared" si="2"/>
        <v>-3</v>
      </c>
    </row>
    <row r="54" spans="1:52" x14ac:dyDescent="0.55000000000000004">
      <c r="A54" s="7528"/>
      <c r="B54" s="84"/>
      <c r="C54" t="s">
        <v>74</v>
      </c>
      <c r="D54" s="1455">
        <v>0</v>
      </c>
      <c r="E54" s="1455">
        <v>2</v>
      </c>
      <c r="F54" s="478">
        <v>0</v>
      </c>
      <c r="G54" s="478">
        <v>1</v>
      </c>
      <c r="H54" s="478">
        <v>0</v>
      </c>
      <c r="I54" s="478">
        <v>0</v>
      </c>
      <c r="J54" s="478">
        <v>0</v>
      </c>
      <c r="K54" s="478">
        <v>0</v>
      </c>
      <c r="L54" s="478">
        <v>0</v>
      </c>
      <c r="M54" s="478">
        <v>0</v>
      </c>
      <c r="N54" s="478">
        <v>0</v>
      </c>
      <c r="O54" s="478">
        <v>0</v>
      </c>
      <c r="P54" s="317">
        <f t="shared" si="24"/>
        <v>3</v>
      </c>
      <c r="Q54" s="594">
        <f t="shared" si="23"/>
        <v>0.25</v>
      </c>
      <c r="S54" s="484">
        <v>0</v>
      </c>
      <c r="T54" s="485">
        <v>0</v>
      </c>
      <c r="U54" s="485">
        <v>0</v>
      </c>
      <c r="V54" s="485">
        <v>0</v>
      </c>
      <c r="W54" s="485">
        <v>1</v>
      </c>
      <c r="X54" s="485">
        <v>1</v>
      </c>
      <c r="Y54">
        <v>0</v>
      </c>
      <c r="Z54" s="485">
        <v>0</v>
      </c>
      <c r="AA54" s="1499">
        <v>0</v>
      </c>
      <c r="AB54" s="1499">
        <v>1</v>
      </c>
      <c r="AC54" s="1499">
        <v>0</v>
      </c>
      <c r="AD54" s="1499">
        <v>0</v>
      </c>
      <c r="AE54">
        <f t="shared" si="16"/>
        <v>3</v>
      </c>
      <c r="AF54" s="594">
        <f>AVERAGE(S54:AD54)</f>
        <v>0.25</v>
      </c>
      <c r="AH54" s="484">
        <v>1</v>
      </c>
      <c r="AI54" s="485">
        <v>0</v>
      </c>
      <c r="AJ54" s="485">
        <v>1</v>
      </c>
      <c r="AK54" s="485">
        <v>0</v>
      </c>
      <c r="AL54" s="485">
        <v>0</v>
      </c>
      <c r="AM54" s="485">
        <v>1</v>
      </c>
      <c r="AN54">
        <v>0</v>
      </c>
      <c r="AO54" s="485">
        <v>0</v>
      </c>
      <c r="AP54">
        <v>1</v>
      </c>
      <c r="AQ54">
        <v>0</v>
      </c>
      <c r="AR54">
        <v>1</v>
      </c>
      <c r="AS54">
        <v>0</v>
      </c>
      <c r="AT54">
        <f t="shared" si="20"/>
        <v>5</v>
      </c>
      <c r="AU54" s="594">
        <f t="shared" ref="AU54:AU59" si="25">AVERAGE(AH54:AS54)</f>
        <v>0.41666666666666669</v>
      </c>
      <c r="AW54" s="317">
        <f t="shared" si="1"/>
        <v>0</v>
      </c>
      <c r="AX54" s="317">
        <f t="shared" si="5"/>
        <v>0.16666666666666669</v>
      </c>
      <c r="AY54" s="317">
        <f t="shared" si="12"/>
        <v>2</v>
      </c>
      <c r="AZ54" s="594">
        <f t="shared" si="2"/>
        <v>-1</v>
      </c>
    </row>
    <row r="55" spans="1:52" x14ac:dyDescent="0.55000000000000004">
      <c r="A55" s="7528"/>
      <c r="B55" s="84"/>
      <c r="C55" t="s">
        <v>75</v>
      </c>
      <c r="D55" s="1455">
        <v>0</v>
      </c>
      <c r="E55" s="1455">
        <v>0</v>
      </c>
      <c r="F55" s="478">
        <v>1</v>
      </c>
      <c r="G55" s="478">
        <v>1</v>
      </c>
      <c r="H55" s="478">
        <v>1</v>
      </c>
      <c r="I55" s="478">
        <v>0</v>
      </c>
      <c r="J55" s="478">
        <v>2</v>
      </c>
      <c r="K55" s="478">
        <v>0</v>
      </c>
      <c r="L55" s="478">
        <v>0</v>
      </c>
      <c r="M55" s="478">
        <v>1</v>
      </c>
      <c r="N55" s="478">
        <v>0</v>
      </c>
      <c r="O55" s="478">
        <v>0</v>
      </c>
      <c r="P55" s="317">
        <f t="shared" si="24"/>
        <v>6</v>
      </c>
      <c r="Q55" s="594">
        <f t="shared" si="23"/>
        <v>0.5</v>
      </c>
      <c r="S55" s="484">
        <v>3</v>
      </c>
      <c r="T55" s="485">
        <v>0</v>
      </c>
      <c r="U55" s="485">
        <v>0</v>
      </c>
      <c r="V55" s="485">
        <v>1</v>
      </c>
      <c r="W55" s="485">
        <v>2</v>
      </c>
      <c r="X55" s="485">
        <v>0</v>
      </c>
      <c r="Y55">
        <v>0</v>
      </c>
      <c r="Z55" s="485">
        <v>0</v>
      </c>
      <c r="AA55" s="1499">
        <v>0</v>
      </c>
      <c r="AB55" s="1499">
        <v>0</v>
      </c>
      <c r="AC55" s="1499">
        <v>0</v>
      </c>
      <c r="AD55" s="1499">
        <v>0</v>
      </c>
      <c r="AE55">
        <f t="shared" si="16"/>
        <v>6</v>
      </c>
      <c r="AF55" s="594">
        <f t="shared" si="17"/>
        <v>0.5</v>
      </c>
      <c r="AH55" s="484">
        <v>1</v>
      </c>
      <c r="AI55" s="485">
        <v>0</v>
      </c>
      <c r="AJ55" s="485">
        <v>1</v>
      </c>
      <c r="AK55" s="485">
        <v>0</v>
      </c>
      <c r="AL55" s="485">
        <v>0</v>
      </c>
      <c r="AM55" s="485">
        <v>0</v>
      </c>
      <c r="AN55">
        <v>1</v>
      </c>
      <c r="AO55" s="485">
        <v>2</v>
      </c>
      <c r="AP55">
        <v>0</v>
      </c>
      <c r="AQ55">
        <v>0</v>
      </c>
      <c r="AR55">
        <v>4</v>
      </c>
      <c r="AS55">
        <v>2</v>
      </c>
      <c r="AT55">
        <f t="shared" si="20"/>
        <v>11</v>
      </c>
      <c r="AU55" s="594">
        <f t="shared" si="25"/>
        <v>0.91666666666666663</v>
      </c>
      <c r="AW55" s="317">
        <f t="shared" si="1"/>
        <v>2</v>
      </c>
      <c r="AX55" s="317">
        <f t="shared" si="5"/>
        <v>0.41666666666666663</v>
      </c>
      <c r="AY55" s="317">
        <f t="shared" si="12"/>
        <v>5</v>
      </c>
      <c r="AZ55" s="594">
        <f t="shared" si="2"/>
        <v>-2</v>
      </c>
    </row>
    <row r="56" spans="1:52" x14ac:dyDescent="0.55000000000000004">
      <c r="A56" s="7528"/>
      <c r="B56" s="85"/>
      <c r="C56" s="1007" t="s">
        <v>76</v>
      </c>
      <c r="D56" s="1456">
        <v>0</v>
      </c>
      <c r="E56" s="1456">
        <v>0</v>
      </c>
      <c r="F56" s="1457">
        <v>0</v>
      </c>
      <c r="G56" s="1457">
        <v>0</v>
      </c>
      <c r="H56" s="1457">
        <v>0</v>
      </c>
      <c r="I56" s="1457">
        <v>0</v>
      </c>
      <c r="J56" s="1457">
        <v>0</v>
      </c>
      <c r="K56" s="1457">
        <v>0</v>
      </c>
      <c r="L56" s="1457">
        <v>1</v>
      </c>
      <c r="M56" s="1457">
        <v>0</v>
      </c>
      <c r="N56" s="1457">
        <v>0</v>
      </c>
      <c r="O56" s="1457">
        <v>0</v>
      </c>
      <c r="P56" s="317">
        <f t="shared" si="24"/>
        <v>1</v>
      </c>
      <c r="Q56" s="594">
        <f t="shared" si="23"/>
        <v>8.3333333333333329E-2</v>
      </c>
      <c r="S56" s="524">
        <v>0</v>
      </c>
      <c r="T56" s="525">
        <v>0</v>
      </c>
      <c r="U56" s="525">
        <v>1</v>
      </c>
      <c r="V56" s="525">
        <v>0</v>
      </c>
      <c r="W56" s="525">
        <v>3</v>
      </c>
      <c r="X56" s="525">
        <v>0</v>
      </c>
      <c r="Y56" s="1007">
        <v>1</v>
      </c>
      <c r="Z56" s="525">
        <v>0</v>
      </c>
      <c r="AA56" s="2100">
        <v>1</v>
      </c>
      <c r="AB56" s="2100">
        <v>1</v>
      </c>
      <c r="AC56" s="2100">
        <v>0</v>
      </c>
      <c r="AD56" s="2100">
        <v>0</v>
      </c>
      <c r="AE56" s="1007">
        <f t="shared" si="16"/>
        <v>7</v>
      </c>
      <c r="AF56" s="1479">
        <f t="shared" si="17"/>
        <v>0.58333333333333337</v>
      </c>
      <c r="AH56" s="524">
        <v>0</v>
      </c>
      <c r="AI56" s="525">
        <v>0</v>
      </c>
      <c r="AJ56" s="525">
        <v>0</v>
      </c>
      <c r="AK56" s="525">
        <v>0</v>
      </c>
      <c r="AL56" s="525">
        <v>0</v>
      </c>
      <c r="AM56" s="525">
        <v>2</v>
      </c>
      <c r="AN56" s="1007">
        <v>2</v>
      </c>
      <c r="AO56" s="525">
        <v>1</v>
      </c>
      <c r="AP56" s="1007">
        <v>0</v>
      </c>
      <c r="AQ56" s="1007">
        <v>0</v>
      </c>
      <c r="AR56" s="1007">
        <v>0</v>
      </c>
      <c r="AS56" s="1007">
        <v>0</v>
      </c>
      <c r="AT56" s="1007">
        <f t="shared" si="20"/>
        <v>5</v>
      </c>
      <c r="AU56" s="1479">
        <f t="shared" si="25"/>
        <v>0.41666666666666669</v>
      </c>
      <c r="AW56" s="317">
        <f t="shared" si="1"/>
        <v>0</v>
      </c>
      <c r="AX56" s="317">
        <f t="shared" si="5"/>
        <v>-0.16666666666666669</v>
      </c>
      <c r="AY56" s="317">
        <f t="shared" si="12"/>
        <v>-2</v>
      </c>
      <c r="AZ56" s="594">
        <f t="shared" si="2"/>
        <v>0</v>
      </c>
    </row>
    <row r="57" spans="1:52" x14ac:dyDescent="0.55000000000000004">
      <c r="A57" s="7528"/>
      <c r="B57" s="7516" t="s">
        <v>560</v>
      </c>
      <c r="C57" s="900"/>
      <c r="D57" s="1459">
        <f>SUM(D58:D59)</f>
        <v>2</v>
      </c>
      <c r="E57" s="1460">
        <f>SUM(E58:E59)</f>
        <v>4</v>
      </c>
      <c r="F57" s="1461">
        <f t="shared" ref="F57:Q57" si="26">SUM(F58:F59)</f>
        <v>5</v>
      </c>
      <c r="G57" s="1461">
        <f t="shared" si="26"/>
        <v>0</v>
      </c>
      <c r="H57" s="1461">
        <f t="shared" si="26"/>
        <v>1</v>
      </c>
      <c r="I57" s="1461">
        <f t="shared" si="26"/>
        <v>0</v>
      </c>
      <c r="J57" s="1461">
        <f t="shared" si="26"/>
        <v>4</v>
      </c>
      <c r="K57" s="1461">
        <f t="shared" si="26"/>
        <v>3</v>
      </c>
      <c r="L57" s="1461">
        <f t="shared" si="26"/>
        <v>5</v>
      </c>
      <c r="M57" s="1461">
        <f t="shared" si="26"/>
        <v>3</v>
      </c>
      <c r="N57" s="1461">
        <f t="shared" si="26"/>
        <v>13</v>
      </c>
      <c r="O57" s="1461">
        <f t="shared" si="26"/>
        <v>7</v>
      </c>
      <c r="P57" s="1461">
        <f t="shared" si="26"/>
        <v>47</v>
      </c>
      <c r="Q57" s="1461">
        <f t="shared" si="26"/>
        <v>3.9166666666666665</v>
      </c>
      <c r="S57" s="492">
        <f>SUM(S58:S59)</f>
        <v>11</v>
      </c>
      <c r="T57" s="493">
        <f>SUM(T58:T59)</f>
        <v>4</v>
      </c>
      <c r="U57" s="493">
        <f t="shared" ref="U57:Y57" si="27">SUM(U58:U59)</f>
        <v>5</v>
      </c>
      <c r="V57" s="493">
        <f t="shared" si="27"/>
        <v>3</v>
      </c>
      <c r="W57" s="493">
        <f t="shared" si="27"/>
        <v>5</v>
      </c>
      <c r="X57" s="493">
        <f>SUM(X58:Z59)</f>
        <v>8</v>
      </c>
      <c r="Y57" s="493">
        <f t="shared" si="27"/>
        <v>4</v>
      </c>
      <c r="Z57" s="493">
        <v>2</v>
      </c>
      <c r="AA57" s="2101">
        <v>5</v>
      </c>
      <c r="AB57" s="2101">
        <v>7</v>
      </c>
      <c r="AC57" s="2416">
        <v>4</v>
      </c>
      <c r="AD57" s="2416">
        <v>0</v>
      </c>
      <c r="AE57" s="910">
        <f t="shared" si="16"/>
        <v>58</v>
      </c>
      <c r="AF57" s="911">
        <f t="shared" si="17"/>
        <v>4.833333333333333</v>
      </c>
      <c r="AH57" s="492">
        <v>5</v>
      </c>
      <c r="AI57" s="493">
        <v>1</v>
      </c>
      <c r="AJ57" s="493">
        <v>2</v>
      </c>
      <c r="AK57" s="493">
        <v>3</v>
      </c>
      <c r="AL57" s="493">
        <v>2</v>
      </c>
      <c r="AM57" s="493">
        <v>1</v>
      </c>
      <c r="AN57" s="493">
        <v>2</v>
      </c>
      <c r="AO57" s="493">
        <v>4</v>
      </c>
      <c r="AP57" s="493">
        <v>4</v>
      </c>
      <c r="AQ57" s="493">
        <v>0</v>
      </c>
      <c r="AR57" s="900">
        <v>3</v>
      </c>
      <c r="AS57" s="900">
        <v>0</v>
      </c>
      <c r="AT57" s="910">
        <f t="shared" si="20"/>
        <v>27</v>
      </c>
      <c r="AU57" s="911">
        <f t="shared" si="25"/>
        <v>2.25</v>
      </c>
      <c r="AW57" s="317">
        <f t="shared" si="1"/>
        <v>0</v>
      </c>
      <c r="AX57" s="317">
        <f t="shared" si="5"/>
        <v>-2.583333333333333</v>
      </c>
      <c r="AY57" s="317">
        <f t="shared" si="12"/>
        <v>-31</v>
      </c>
      <c r="AZ57" s="594">
        <f t="shared" si="2"/>
        <v>-3</v>
      </c>
    </row>
    <row r="58" spans="1:52" x14ac:dyDescent="0.55000000000000004">
      <c r="A58" s="7528"/>
      <c r="B58" s="7517"/>
      <c r="C58" s="927" t="s">
        <v>948</v>
      </c>
      <c r="D58" s="1462">
        <v>0</v>
      </c>
      <c r="E58" s="1463">
        <v>0</v>
      </c>
      <c r="F58" s="1008">
        <v>3</v>
      </c>
      <c r="G58" s="1008">
        <v>0</v>
      </c>
      <c r="H58" s="1008">
        <v>1</v>
      </c>
      <c r="I58" s="1008">
        <v>0</v>
      </c>
      <c r="J58" s="1008">
        <v>2</v>
      </c>
      <c r="K58" s="1008">
        <v>3</v>
      </c>
      <c r="L58" s="1008">
        <v>3</v>
      </c>
      <c r="M58" s="1008">
        <v>2</v>
      </c>
      <c r="N58" s="1008">
        <v>7</v>
      </c>
      <c r="O58" s="1008">
        <v>5</v>
      </c>
      <c r="P58" s="1464">
        <f>SUM(D58:O58)</f>
        <v>26</v>
      </c>
      <c r="Q58" s="1465">
        <f>AVERAGE(D58:O58)</f>
        <v>2.1666666666666665</v>
      </c>
      <c r="S58" s="484">
        <v>5</v>
      </c>
      <c r="T58" s="485">
        <v>2</v>
      </c>
      <c r="U58" s="485">
        <v>2</v>
      </c>
      <c r="V58" s="485">
        <v>2</v>
      </c>
      <c r="W58" s="485">
        <v>4</v>
      </c>
      <c r="X58" s="485">
        <v>0</v>
      </c>
      <c r="Y58" s="1008">
        <v>2</v>
      </c>
      <c r="Z58" s="485">
        <v>1</v>
      </c>
      <c r="AA58" s="2103">
        <v>5</v>
      </c>
      <c r="AB58" s="2103">
        <v>7</v>
      </c>
      <c r="AC58" s="2417">
        <v>3</v>
      </c>
      <c r="AD58" s="2417">
        <v>0</v>
      </c>
      <c r="AE58" s="1463">
        <f t="shared" si="16"/>
        <v>33</v>
      </c>
      <c r="AF58" s="1465">
        <f t="shared" si="17"/>
        <v>2.75</v>
      </c>
      <c r="AH58" s="484">
        <v>5</v>
      </c>
      <c r="AI58" s="485">
        <v>1</v>
      </c>
      <c r="AJ58" s="485">
        <v>1</v>
      </c>
      <c r="AK58" s="485">
        <v>3</v>
      </c>
      <c r="AL58" s="485">
        <v>2</v>
      </c>
      <c r="AM58" s="485">
        <v>1</v>
      </c>
      <c r="AN58" s="1008">
        <v>2</v>
      </c>
      <c r="AO58" s="485">
        <v>4</v>
      </c>
      <c r="AP58" s="1008">
        <v>3</v>
      </c>
      <c r="AQ58" s="1008">
        <v>0</v>
      </c>
      <c r="AR58" s="927">
        <v>3</v>
      </c>
      <c r="AS58" s="927">
        <v>0</v>
      </c>
      <c r="AT58" s="1463">
        <f t="shared" si="20"/>
        <v>25</v>
      </c>
      <c r="AU58" s="1465">
        <f t="shared" si="25"/>
        <v>2.0833333333333335</v>
      </c>
      <c r="AW58" s="317">
        <f t="shared" si="1"/>
        <v>0</v>
      </c>
      <c r="AX58" s="317">
        <f t="shared" si="5"/>
        <v>-0.66666666666666652</v>
      </c>
      <c r="AY58" s="317">
        <f t="shared" si="12"/>
        <v>-8</v>
      </c>
      <c r="AZ58" s="594">
        <f t="shared" si="2"/>
        <v>-3</v>
      </c>
    </row>
    <row r="59" spans="1:52" ht="18" thickBot="1" x14ac:dyDescent="0.6">
      <c r="A59" s="7529"/>
      <c r="B59" s="7518"/>
      <c r="C59" s="901" t="s">
        <v>22</v>
      </c>
      <c r="D59" s="1466">
        <v>2</v>
      </c>
      <c r="E59" s="1467">
        <v>4</v>
      </c>
      <c r="F59" s="1009">
        <v>2</v>
      </c>
      <c r="G59" s="1009">
        <v>0</v>
      </c>
      <c r="H59" s="1009">
        <v>0</v>
      </c>
      <c r="I59" s="1009">
        <v>0</v>
      </c>
      <c r="J59" s="1009">
        <v>2</v>
      </c>
      <c r="K59" s="1009">
        <v>0</v>
      </c>
      <c r="L59" s="1009">
        <v>2</v>
      </c>
      <c r="M59" s="1009">
        <v>1</v>
      </c>
      <c r="N59" s="1009">
        <v>6</v>
      </c>
      <c r="O59" s="1009">
        <v>2</v>
      </c>
      <c r="P59" s="1468">
        <f>SUM(D59:O59)</f>
        <v>21</v>
      </c>
      <c r="Q59" s="912">
        <f>AVERAGE(D59:O59)</f>
        <v>1.75</v>
      </c>
      <c r="S59" s="488">
        <v>6</v>
      </c>
      <c r="T59" s="489">
        <v>2</v>
      </c>
      <c r="U59" s="489">
        <v>3</v>
      </c>
      <c r="V59" s="489">
        <v>1</v>
      </c>
      <c r="W59" s="489">
        <v>1</v>
      </c>
      <c r="X59" s="489">
        <v>2</v>
      </c>
      <c r="Y59" s="1009">
        <v>2</v>
      </c>
      <c r="Z59" s="489">
        <v>1</v>
      </c>
      <c r="AA59" s="2104">
        <v>0</v>
      </c>
      <c r="AB59" s="2104">
        <v>0</v>
      </c>
      <c r="AC59" s="2418">
        <v>1</v>
      </c>
      <c r="AD59" s="2418">
        <v>0</v>
      </c>
      <c r="AE59" s="923">
        <f t="shared" si="16"/>
        <v>19</v>
      </c>
      <c r="AF59" s="912">
        <f t="shared" si="17"/>
        <v>1.5833333333333333</v>
      </c>
      <c r="AH59" s="488">
        <v>0</v>
      </c>
      <c r="AI59" s="489">
        <v>0</v>
      </c>
      <c r="AJ59" s="489">
        <v>1</v>
      </c>
      <c r="AK59" s="489">
        <v>0</v>
      </c>
      <c r="AL59" s="489">
        <v>0</v>
      </c>
      <c r="AM59" s="489">
        <v>0</v>
      </c>
      <c r="AN59" s="489">
        <v>0</v>
      </c>
      <c r="AO59" s="489">
        <v>0</v>
      </c>
      <c r="AP59" s="1009">
        <v>1</v>
      </c>
      <c r="AQ59" s="1009">
        <v>0</v>
      </c>
      <c r="AR59" s="901">
        <v>0</v>
      </c>
      <c r="AS59" s="901">
        <v>0</v>
      </c>
      <c r="AT59" s="923">
        <f t="shared" si="20"/>
        <v>2</v>
      </c>
      <c r="AU59" s="912">
        <f t="shared" si="25"/>
        <v>0.16666666666666666</v>
      </c>
      <c r="AW59" s="317">
        <f t="shared" si="1"/>
        <v>0</v>
      </c>
      <c r="AX59" s="317">
        <f t="shared" si="5"/>
        <v>-1.4166666666666665</v>
      </c>
      <c r="AY59" s="317">
        <f t="shared" si="12"/>
        <v>-17</v>
      </c>
      <c r="AZ59" s="594">
        <f t="shared" si="2"/>
        <v>0</v>
      </c>
    </row>
    <row r="60" spans="1:52" ht="18" thickBot="1" x14ac:dyDescent="0.6">
      <c r="S60" s="478"/>
      <c r="T60" s="478"/>
      <c r="U60" s="478"/>
      <c r="V60" s="478"/>
      <c r="W60" s="478"/>
      <c r="X60" s="478"/>
      <c r="AE60" s="1572" t="s">
        <v>944</v>
      </c>
      <c r="AF60" s="927"/>
      <c r="AH60" s="478"/>
      <c r="AI60" s="478"/>
      <c r="AJ60" s="478"/>
      <c r="AK60" s="478"/>
      <c r="AL60" s="478"/>
      <c r="AM60" s="478"/>
      <c r="AT60" s="1572" t="s">
        <v>944</v>
      </c>
      <c r="AU60" s="927"/>
      <c r="AZ60" s="594">
        <f t="shared" si="2"/>
        <v>0</v>
      </c>
    </row>
    <row r="61" spans="1:52" x14ac:dyDescent="0.55000000000000004">
      <c r="A61" s="7513" t="s">
        <v>138</v>
      </c>
      <c r="B61" s="74" t="s">
        <v>545</v>
      </c>
      <c r="C61" s="49" t="s">
        <v>552</v>
      </c>
      <c r="D61" s="491">
        <v>1167</v>
      </c>
      <c r="E61" s="491">
        <v>1063</v>
      </c>
      <c r="F61" s="491">
        <v>997</v>
      </c>
      <c r="G61" s="491">
        <v>859</v>
      </c>
      <c r="H61" s="491">
        <v>921</v>
      </c>
      <c r="I61" s="491">
        <v>868</v>
      </c>
      <c r="J61" s="491">
        <v>858</v>
      </c>
      <c r="K61" s="491">
        <v>1007</v>
      </c>
      <c r="L61" s="491">
        <v>723</v>
      </c>
      <c r="M61" s="491">
        <v>935</v>
      </c>
      <c r="N61" s="491">
        <v>849</v>
      </c>
      <c r="O61" s="491">
        <v>730</v>
      </c>
      <c r="P61" s="491">
        <v>10042</v>
      </c>
      <c r="Q61" s="491">
        <v>836.83333333333337</v>
      </c>
      <c r="S61" s="490">
        <v>843</v>
      </c>
      <c r="T61" s="491">
        <v>619</v>
      </c>
      <c r="U61" s="491">
        <v>635</v>
      </c>
      <c r="V61" s="491">
        <v>652</v>
      </c>
      <c r="W61" s="491">
        <v>679</v>
      </c>
      <c r="X61" s="491">
        <v>646</v>
      </c>
      <c r="Y61" s="491">
        <v>692</v>
      </c>
      <c r="Z61" s="1103">
        <v>505</v>
      </c>
      <c r="AA61" s="2105">
        <v>398</v>
      </c>
      <c r="AB61" s="2105">
        <v>1401</v>
      </c>
      <c r="AC61" s="2105">
        <v>1224</v>
      </c>
      <c r="AD61" s="2105">
        <v>1039</v>
      </c>
      <c r="AE61" s="924">
        <f>SUM(S61:AD61)</f>
        <v>9333</v>
      </c>
      <c r="AF61" s="916">
        <f t="shared" si="17"/>
        <v>777.75</v>
      </c>
      <c r="AH61" s="490">
        <v>918</v>
      </c>
      <c r="AI61" s="491">
        <v>1169</v>
      </c>
      <c r="AJ61" s="491">
        <v>1065</v>
      </c>
      <c r="AK61" s="491">
        <v>1220</v>
      </c>
      <c r="AL61" s="491">
        <v>1429</v>
      </c>
      <c r="AM61" s="491">
        <v>1211</v>
      </c>
      <c r="AN61" s="491">
        <f>AN67+AN79</f>
        <v>1365</v>
      </c>
      <c r="AO61" s="1103">
        <v>974</v>
      </c>
      <c r="AP61" s="1103">
        <v>1134</v>
      </c>
      <c r="AQ61" s="1103">
        <v>947</v>
      </c>
      <c r="AR61" s="49">
        <v>953</v>
      </c>
      <c r="AS61" s="49"/>
      <c r="AT61" s="924">
        <f>SUM(AH61:AS61)</f>
        <v>12385</v>
      </c>
      <c r="AU61" s="916">
        <f>AVERAGE(AH61:AS61)</f>
        <v>1125.909090909091</v>
      </c>
      <c r="AW61" s="317">
        <f>HLOOKUP($A$1,$AH$2:$AS$404,ROW()-1,0)-HLOOKUP($A$1,$S$2:$AD$404,ROW()-1,0)</f>
        <v>-1039</v>
      </c>
      <c r="AX61" s="713">
        <f t="shared" si="5"/>
        <v>348.15909090909099</v>
      </c>
      <c r="AY61" s="317">
        <f t="shared" ref="AY61:AY91" si="28">AT61-SUM(S61:AB61)</f>
        <v>5315</v>
      </c>
      <c r="AZ61" s="594">
        <f t="shared" si="2"/>
        <v>-953</v>
      </c>
    </row>
    <row r="62" spans="1:52" x14ac:dyDescent="0.55000000000000004">
      <c r="A62" s="7514"/>
      <c r="B62" s="118"/>
      <c r="C62" s="447" t="s">
        <v>553</v>
      </c>
      <c r="D62" s="479">
        <v>34949</v>
      </c>
      <c r="E62" s="479">
        <v>43655</v>
      </c>
      <c r="F62" s="479">
        <v>34105</v>
      </c>
      <c r="G62" s="479">
        <v>32849</v>
      </c>
      <c r="H62" s="479">
        <v>34598</v>
      </c>
      <c r="I62" s="479">
        <v>32171</v>
      </c>
      <c r="J62" s="479">
        <v>32681</v>
      </c>
      <c r="K62" s="479">
        <v>48035</v>
      </c>
      <c r="L62" s="479">
        <v>28013</v>
      </c>
      <c r="M62" s="479">
        <v>43911</v>
      </c>
      <c r="N62" s="479">
        <v>30684</v>
      </c>
      <c r="O62" s="479">
        <v>25817</v>
      </c>
      <c r="P62" s="479">
        <v>377557</v>
      </c>
      <c r="Q62" s="479">
        <v>31463.083333333332</v>
      </c>
      <c r="S62" s="483">
        <v>42296</v>
      </c>
      <c r="T62" s="479">
        <v>26423</v>
      </c>
      <c r="U62" s="479">
        <v>25101</v>
      </c>
      <c r="V62" s="479">
        <v>25199</v>
      </c>
      <c r="W62" s="479">
        <v>25539</v>
      </c>
      <c r="X62" s="479">
        <v>23363</v>
      </c>
      <c r="Y62" s="479">
        <v>33983</v>
      </c>
      <c r="Z62" s="479">
        <v>22849</v>
      </c>
      <c r="AA62" s="2106">
        <v>23087</v>
      </c>
      <c r="AB62" s="2106">
        <v>40829</v>
      </c>
      <c r="AC62" s="2107">
        <v>36332</v>
      </c>
      <c r="AD62" s="2107">
        <v>31481</v>
      </c>
      <c r="AE62" s="1285">
        <f>SUM(S62:AD62)</f>
        <v>356482</v>
      </c>
      <c r="AF62" s="1285">
        <f t="shared" si="17"/>
        <v>29706.833333333332</v>
      </c>
      <c r="AH62" s="483">
        <v>29169</v>
      </c>
      <c r="AI62" s="479">
        <v>50490</v>
      </c>
      <c r="AJ62" s="479">
        <v>36930</v>
      </c>
      <c r="AK62" s="479">
        <v>47164</v>
      </c>
      <c r="AL62" s="479">
        <v>65652</v>
      </c>
      <c r="AM62" s="479">
        <v>46406</v>
      </c>
      <c r="AN62" s="479">
        <v>61987</v>
      </c>
      <c r="AO62" s="479">
        <v>42366</v>
      </c>
      <c r="AP62" s="479">
        <v>50287</v>
      </c>
      <c r="AQ62" s="479">
        <v>42205</v>
      </c>
      <c r="AR62" s="1565">
        <v>36266</v>
      </c>
      <c r="AS62" s="447"/>
      <c r="AT62" s="1285">
        <f>SUM(AH62:AS62)</f>
        <v>508922</v>
      </c>
      <c r="AU62" s="1285">
        <f>AVERAGE(AH62:AS62)</f>
        <v>46265.63636363636</v>
      </c>
      <c r="AW62" s="317">
        <f t="shared" si="1"/>
        <v>-31481</v>
      </c>
      <c r="AX62" s="731">
        <f>AU62-AF62</f>
        <v>16558.803030303028</v>
      </c>
      <c r="AY62" s="317">
        <f t="shared" si="28"/>
        <v>220253</v>
      </c>
      <c r="AZ62" s="594">
        <f t="shared" si="2"/>
        <v>-36266</v>
      </c>
    </row>
    <row r="63" spans="1:52" x14ac:dyDescent="0.55000000000000004">
      <c r="A63" s="7514"/>
      <c r="B63" s="118"/>
      <c r="C63" s="447" t="s">
        <v>554</v>
      </c>
      <c r="D63" s="768">
        <v>3.3391513348021401E-2</v>
      </c>
      <c r="E63" s="768">
        <v>2.435001718016264E-2</v>
      </c>
      <c r="F63" s="768">
        <v>2.9233250256560622E-2</v>
      </c>
      <c r="G63" s="768">
        <v>2.6149958902858535E-2</v>
      </c>
      <c r="H63" s="768">
        <v>2.6620035840221979E-2</v>
      </c>
      <c r="I63" s="768">
        <v>2.698082123651736E-2</v>
      </c>
      <c r="J63" s="768">
        <v>2.6253786603837093E-2</v>
      </c>
      <c r="K63" s="768">
        <v>2.0963880503799312E-2</v>
      </c>
      <c r="L63" s="768">
        <v>2.580944561453611E-2</v>
      </c>
      <c r="M63" s="768">
        <v>2.1293070073557879E-2</v>
      </c>
      <c r="N63" s="768">
        <v>2.7669143527571372E-2</v>
      </c>
      <c r="O63" s="768">
        <v>2.8275942208622225E-2</v>
      </c>
      <c r="P63" s="768">
        <v>2.6597308485871007E-2</v>
      </c>
      <c r="Q63" s="768">
        <v>2.6597308485871007E-2</v>
      </c>
      <c r="S63" s="526">
        <v>1.9930962738793266E-2</v>
      </c>
      <c r="T63" s="768">
        <v>2.3426560193770578E-2</v>
      </c>
      <c r="U63" s="768">
        <v>2.5297796900521891E-2</v>
      </c>
      <c r="V63" s="768">
        <v>2.5874042620738918E-2</v>
      </c>
      <c r="W63" s="768">
        <v>2.6586788832765575E-2</v>
      </c>
      <c r="X63" s="768">
        <v>2.7650558575525404E-2</v>
      </c>
      <c r="Y63" s="1104">
        <v>2.0363122737839509E-2</v>
      </c>
      <c r="Z63" s="1105">
        <v>2.2101623703444352E-2</v>
      </c>
      <c r="AA63" s="2108">
        <v>1.7239138909342921E-2</v>
      </c>
      <c r="AB63" s="2108">
        <v>3.4313845550956429E-2</v>
      </c>
      <c r="AC63" s="2109">
        <v>3.4313845550956429E-2</v>
      </c>
      <c r="AD63" s="2109">
        <v>3.3004034179346275E-2</v>
      </c>
      <c r="AE63" s="1104">
        <f>AE61/AE62</f>
        <v>2.6180845035653974E-2</v>
      </c>
      <c r="AF63" s="1480">
        <f>AE63</f>
        <v>2.6180845035653974E-2</v>
      </c>
      <c r="AH63" s="526">
        <v>3.1471767972847883E-2</v>
      </c>
      <c r="AI63" s="768">
        <v>2.3153099623687858E-2</v>
      </c>
      <c r="AJ63" s="768">
        <v>2.8838342810722988E-2</v>
      </c>
      <c r="AK63" s="768">
        <f>AK61/AK62</f>
        <v>2.5867186837418371E-2</v>
      </c>
      <c r="AL63" s="768">
        <f>AL61/AL62</f>
        <v>2.1766282824590266E-2</v>
      </c>
      <c r="AM63" s="768">
        <v>2.6095763478860494E-2</v>
      </c>
      <c r="AN63" s="1104">
        <f>AN61/AN62</f>
        <v>2.202074628551148E-2</v>
      </c>
      <c r="AO63" s="1105">
        <v>2.2990133597696267E-2</v>
      </c>
      <c r="AP63" s="1105">
        <v>2.2550559786823632E-2</v>
      </c>
      <c r="AQ63" s="1105">
        <v>2.2438099751214313E-2</v>
      </c>
      <c r="AR63" s="1480">
        <v>2.6278056581922463E-2</v>
      </c>
      <c r="AS63" s="447"/>
      <c r="AT63" s="1104">
        <f>AT61/AT62</f>
        <v>2.4335752826562813E-2</v>
      </c>
      <c r="AU63" s="1480">
        <f>AT63</f>
        <v>2.4335752826562813E-2</v>
      </c>
      <c r="AW63" s="761">
        <f t="shared" si="1"/>
        <v>-3.3004034179346275E-2</v>
      </c>
      <c r="AX63" s="761">
        <f t="shared" si="5"/>
        <v>-1.8450922090911606E-3</v>
      </c>
      <c r="AY63" s="761">
        <f t="shared" si="28"/>
        <v>-0.21844868793713601</v>
      </c>
      <c r="AZ63" s="594">
        <f t="shared" si="2"/>
        <v>-2.6278056581922463E-2</v>
      </c>
    </row>
    <row r="64" spans="1:52" x14ac:dyDescent="0.55000000000000004">
      <c r="A64" s="7514"/>
      <c r="B64" s="118"/>
      <c r="C64" s="1146" t="s">
        <v>556</v>
      </c>
      <c r="D64" s="479">
        <v>624</v>
      </c>
      <c r="E64" s="479">
        <v>481</v>
      </c>
      <c r="F64" s="479">
        <v>518</v>
      </c>
      <c r="G64" s="479">
        <v>492</v>
      </c>
      <c r="H64" s="479">
        <v>664</v>
      </c>
      <c r="I64" s="479">
        <v>435</v>
      </c>
      <c r="J64" s="479">
        <v>476</v>
      </c>
      <c r="K64" s="479">
        <v>373</v>
      </c>
      <c r="L64" s="479">
        <v>373</v>
      </c>
      <c r="M64" s="479">
        <v>321</v>
      </c>
      <c r="N64" s="479">
        <v>383</v>
      </c>
      <c r="O64" s="479">
        <v>424</v>
      </c>
      <c r="P64" s="479">
        <v>5564</v>
      </c>
      <c r="Q64" s="479">
        <v>464</v>
      </c>
      <c r="S64" s="483">
        <v>336</v>
      </c>
      <c r="T64" s="479">
        <v>332</v>
      </c>
      <c r="U64" s="479">
        <v>342</v>
      </c>
      <c r="V64" s="479">
        <v>398</v>
      </c>
      <c r="W64" s="479">
        <v>428</v>
      </c>
      <c r="X64" s="479">
        <v>402</v>
      </c>
      <c r="Y64" s="479">
        <v>273</v>
      </c>
      <c r="Z64" s="1106">
        <v>279</v>
      </c>
      <c r="AA64" s="2110">
        <v>169</v>
      </c>
      <c r="AB64" s="2110">
        <v>755</v>
      </c>
      <c r="AC64" s="2111">
        <v>757</v>
      </c>
      <c r="AD64" s="2111">
        <v>633</v>
      </c>
      <c r="AE64" s="1481">
        <f>SUM(S64:AD64)</f>
        <v>5104</v>
      </c>
      <c r="AF64" s="1285">
        <f t="shared" si="17"/>
        <v>425.33333333333331</v>
      </c>
      <c r="AH64" s="483">
        <v>535</v>
      </c>
      <c r="AI64" s="479">
        <v>621</v>
      </c>
      <c r="AJ64" s="479">
        <v>597</v>
      </c>
      <c r="AK64" s="479">
        <v>736</v>
      </c>
      <c r="AL64" s="479">
        <v>890</v>
      </c>
      <c r="AM64" s="479">
        <v>740</v>
      </c>
      <c r="AN64" s="479">
        <v>751</v>
      </c>
      <c r="AO64" s="1106">
        <v>522</v>
      </c>
      <c r="AP64" s="1146">
        <v>554</v>
      </c>
      <c r="AQ64" s="1146">
        <v>491</v>
      </c>
      <c r="AR64" s="1146">
        <v>511</v>
      </c>
      <c r="AS64" s="1146"/>
      <c r="AT64" s="1481">
        <f>SUM(AH64:AS64)</f>
        <v>6948</v>
      </c>
      <c r="AU64" s="1285">
        <f>AVERAGE(AH64:AS64)</f>
        <v>631.63636363636363</v>
      </c>
      <c r="AW64" s="317">
        <f t="shared" si="1"/>
        <v>-633</v>
      </c>
      <c r="AX64" s="1080">
        <f t="shared" si="5"/>
        <v>206.30303030303031</v>
      </c>
      <c r="AY64" s="317">
        <f t="shared" si="28"/>
        <v>3234</v>
      </c>
      <c r="AZ64" s="594">
        <f t="shared" si="2"/>
        <v>-511</v>
      </c>
    </row>
    <row r="65" spans="1:52" x14ac:dyDescent="0.55000000000000004">
      <c r="A65" s="7514"/>
      <c r="B65" s="118"/>
      <c r="C65" s="1146" t="s">
        <v>555</v>
      </c>
      <c r="D65" s="479">
        <v>348</v>
      </c>
      <c r="E65" s="479">
        <v>444</v>
      </c>
      <c r="F65" s="479">
        <v>370</v>
      </c>
      <c r="G65" s="479">
        <v>268</v>
      </c>
      <c r="H65" s="479">
        <v>248</v>
      </c>
      <c r="I65" s="479">
        <v>252</v>
      </c>
      <c r="J65" s="479">
        <v>228</v>
      </c>
      <c r="K65" s="479">
        <v>425</v>
      </c>
      <c r="L65" s="479">
        <v>201</v>
      </c>
      <c r="M65" s="479">
        <v>477</v>
      </c>
      <c r="N65" s="479">
        <v>317</v>
      </c>
      <c r="O65" s="479">
        <v>265</v>
      </c>
      <c r="P65" s="479">
        <v>3843</v>
      </c>
      <c r="Q65" s="479">
        <v>320</v>
      </c>
      <c r="S65" s="483">
        <v>352</v>
      </c>
      <c r="T65" s="479">
        <v>177</v>
      </c>
      <c r="U65" s="479">
        <v>202</v>
      </c>
      <c r="V65" s="479">
        <v>147</v>
      </c>
      <c r="W65" s="479">
        <v>140</v>
      </c>
      <c r="X65" s="479">
        <v>132</v>
      </c>
      <c r="Y65" s="479">
        <v>286</v>
      </c>
      <c r="Z65" s="1106">
        <v>144</v>
      </c>
      <c r="AA65" s="2110">
        <v>165</v>
      </c>
      <c r="AB65" s="2110">
        <v>432</v>
      </c>
      <c r="AC65" s="2111">
        <v>301</v>
      </c>
      <c r="AD65" s="2111">
        <v>285</v>
      </c>
      <c r="AE65" s="1481">
        <f>SUM(S65:AD65)</f>
        <v>2763</v>
      </c>
      <c r="AF65" s="1285">
        <f t="shared" si="17"/>
        <v>230.25</v>
      </c>
      <c r="AH65" s="483">
        <v>273</v>
      </c>
      <c r="AI65" s="479">
        <v>420</v>
      </c>
      <c r="AJ65" s="479">
        <v>310</v>
      </c>
      <c r="AK65" s="479">
        <v>318</v>
      </c>
      <c r="AL65" s="479">
        <v>321</v>
      </c>
      <c r="AM65" s="479">
        <v>309</v>
      </c>
      <c r="AN65" s="479">
        <v>392</v>
      </c>
      <c r="AO65" s="1106">
        <v>303</v>
      </c>
      <c r="AP65" s="1146">
        <v>428</v>
      </c>
      <c r="AQ65" s="1146">
        <v>339</v>
      </c>
      <c r="AR65" s="1146">
        <v>359</v>
      </c>
      <c r="AS65" s="1146"/>
      <c r="AT65" s="1481">
        <f>SUM(AH65:AS65)</f>
        <v>3772</v>
      </c>
      <c r="AU65" s="1285">
        <f>AVERAGE(AH65:AS65)</f>
        <v>342.90909090909093</v>
      </c>
      <c r="AW65" s="317">
        <f t="shared" si="1"/>
        <v>-285</v>
      </c>
      <c r="AX65" s="1080">
        <f t="shared" si="5"/>
        <v>112.65909090909093</v>
      </c>
      <c r="AY65" s="317">
        <f t="shared" si="28"/>
        <v>1595</v>
      </c>
      <c r="AZ65" s="594">
        <f t="shared" si="2"/>
        <v>-359</v>
      </c>
    </row>
    <row r="66" spans="1:52" x14ac:dyDescent="0.55000000000000004">
      <c r="A66" s="7514"/>
      <c r="B66" s="118"/>
      <c r="C66" s="1146" t="s">
        <v>557</v>
      </c>
      <c r="D66" s="479">
        <v>195</v>
      </c>
      <c r="E66" s="479">
        <v>138</v>
      </c>
      <c r="F66" s="479">
        <v>109</v>
      </c>
      <c r="G66" s="479">
        <v>99</v>
      </c>
      <c r="H66" s="479">
        <v>19</v>
      </c>
      <c r="I66" s="479">
        <v>181</v>
      </c>
      <c r="J66" s="479">
        <v>154</v>
      </c>
      <c r="K66" s="479">
        <v>221</v>
      </c>
      <c r="L66" s="479">
        <v>149</v>
      </c>
      <c r="M66" s="479">
        <v>137</v>
      </c>
      <c r="N66" s="479">
        <v>149</v>
      </c>
      <c r="O66" s="479">
        <v>139</v>
      </c>
      <c r="P66" s="479">
        <v>1690</v>
      </c>
      <c r="Q66" s="479">
        <v>141</v>
      </c>
      <c r="S66" s="483">
        <v>155</v>
      </c>
      <c r="T66" s="479">
        <v>110</v>
      </c>
      <c r="U66" s="479">
        <v>91</v>
      </c>
      <c r="V66" s="479">
        <v>107</v>
      </c>
      <c r="W66" s="479">
        <v>111</v>
      </c>
      <c r="X66" s="479">
        <v>112</v>
      </c>
      <c r="Y66" s="479">
        <v>133</v>
      </c>
      <c r="Z66" s="1106">
        <v>82</v>
      </c>
      <c r="AA66" s="2110">
        <v>64</v>
      </c>
      <c r="AB66" s="2110">
        <v>215</v>
      </c>
      <c r="AC66" s="2111">
        <v>166</v>
      </c>
      <c r="AD66" s="2111">
        <v>130</v>
      </c>
      <c r="AE66" s="1481">
        <f>SUM(S66:AD66)</f>
        <v>1476</v>
      </c>
      <c r="AF66" s="1285">
        <f t="shared" si="17"/>
        <v>123</v>
      </c>
      <c r="AH66" s="483">
        <v>110</v>
      </c>
      <c r="AI66" s="479">
        <v>128</v>
      </c>
      <c r="AJ66" s="479">
        <v>158</v>
      </c>
      <c r="AK66" s="479">
        <v>166</v>
      </c>
      <c r="AL66" s="479">
        <v>218</v>
      </c>
      <c r="AM66" s="479">
        <v>162</v>
      </c>
      <c r="AN66" s="479">
        <v>222</v>
      </c>
      <c r="AO66" s="1106">
        <v>149</v>
      </c>
      <c r="AP66" s="1146">
        <v>152</v>
      </c>
      <c r="AQ66" s="1146">
        <v>117</v>
      </c>
      <c r="AR66" s="1146">
        <v>83</v>
      </c>
      <c r="AS66" s="1146"/>
      <c r="AT66" s="1481">
        <f>SUM(AH66:AS66)</f>
        <v>1665</v>
      </c>
      <c r="AU66" s="1285">
        <f>AVERAGE(AH66:AS66)</f>
        <v>151.36363636363637</v>
      </c>
      <c r="AW66" s="317">
        <f t="shared" si="1"/>
        <v>-130</v>
      </c>
      <c r="AX66" s="1080">
        <f t="shared" si="5"/>
        <v>28.363636363636374</v>
      </c>
      <c r="AY66" s="317">
        <f t="shared" si="28"/>
        <v>485</v>
      </c>
      <c r="AZ66" s="594">
        <f t="shared" si="2"/>
        <v>-83</v>
      </c>
    </row>
    <row r="67" spans="1:52" x14ac:dyDescent="0.55000000000000004">
      <c r="A67" s="7514"/>
      <c r="B67" s="119" t="s">
        <v>19</v>
      </c>
      <c r="C67" s="1482" t="s">
        <v>558</v>
      </c>
      <c r="D67" s="528">
        <v>728</v>
      </c>
      <c r="E67" s="528">
        <v>650</v>
      </c>
      <c r="F67" s="528">
        <v>492</v>
      </c>
      <c r="G67" s="528">
        <v>450</v>
      </c>
      <c r="H67" s="528">
        <v>443</v>
      </c>
      <c r="I67" s="528">
        <v>454</v>
      </c>
      <c r="J67" s="528">
        <v>390</v>
      </c>
      <c r="K67" s="528">
        <v>453</v>
      </c>
      <c r="L67" s="528">
        <v>261</v>
      </c>
      <c r="M67" s="528">
        <v>432</v>
      </c>
      <c r="N67" s="528">
        <v>364</v>
      </c>
      <c r="O67" s="528">
        <v>307</v>
      </c>
      <c r="P67" s="528">
        <v>5424</v>
      </c>
      <c r="Q67" s="528">
        <v>452</v>
      </c>
      <c r="S67" s="527">
        <v>426</v>
      </c>
      <c r="T67" s="528">
        <v>301</v>
      </c>
      <c r="U67" s="528">
        <v>364</v>
      </c>
      <c r="V67" s="528">
        <v>370</v>
      </c>
      <c r="W67" s="528">
        <v>403</v>
      </c>
      <c r="X67" s="528">
        <v>358</v>
      </c>
      <c r="Y67" s="528">
        <v>428</v>
      </c>
      <c r="Z67" s="1107">
        <v>350</v>
      </c>
      <c r="AA67" s="2112">
        <v>333</v>
      </c>
      <c r="AB67" s="2112">
        <v>399</v>
      </c>
      <c r="AC67" s="2112">
        <v>379</v>
      </c>
      <c r="AD67" s="2112">
        <v>319</v>
      </c>
      <c r="AE67" s="925">
        <f>SUM(S67:AD67)</f>
        <v>4430</v>
      </c>
      <c r="AF67" s="1483">
        <f t="shared" si="17"/>
        <v>369.16666666666669</v>
      </c>
      <c r="AH67" s="527">
        <v>284</v>
      </c>
      <c r="AI67" s="528">
        <v>433</v>
      </c>
      <c r="AJ67" s="528">
        <v>423</v>
      </c>
      <c r="AK67" s="528">
        <v>532</v>
      </c>
      <c r="AL67" s="528">
        <v>588</v>
      </c>
      <c r="AM67" s="528">
        <v>446</v>
      </c>
      <c r="AN67" s="528">
        <v>554</v>
      </c>
      <c r="AO67" s="1107">
        <v>438</v>
      </c>
      <c r="AP67" s="1107">
        <v>437</v>
      </c>
      <c r="AQ67" s="1107">
        <v>381</v>
      </c>
      <c r="AR67" s="1482">
        <v>406</v>
      </c>
      <c r="AS67" s="1482"/>
      <c r="AT67" s="925">
        <f>SUM(AH67:AS67)</f>
        <v>4922</v>
      </c>
      <c r="AU67" s="1483">
        <f>AVERAGE(AH67:AS67)</f>
        <v>447.45454545454544</v>
      </c>
      <c r="AW67" s="317">
        <f>HLOOKUP($A$1,$AH$2:$AS$404,ROW()-1,0)-HLOOKUP($A$1,$S$2:$AD$404,ROW()-1,0)</f>
        <v>-319</v>
      </c>
      <c r="AX67" s="1080">
        <f t="shared" si="5"/>
        <v>78.287878787878753</v>
      </c>
      <c r="AY67" s="317">
        <f t="shared" si="28"/>
        <v>1190</v>
      </c>
      <c r="AZ67" s="594">
        <f t="shared" si="2"/>
        <v>-406</v>
      </c>
    </row>
    <row r="68" spans="1:52" x14ac:dyDescent="0.55000000000000004">
      <c r="A68" s="7514"/>
      <c r="B68" s="120"/>
      <c r="C68" s="1484" t="s">
        <v>140</v>
      </c>
      <c r="D68" s="530">
        <v>4.4999999999999998E-2</v>
      </c>
      <c r="E68" s="530">
        <v>0.03</v>
      </c>
      <c r="F68" s="530">
        <v>2.9000000000000001E-2</v>
      </c>
      <c r="G68" s="530">
        <v>2.9000000000000001E-2</v>
      </c>
      <c r="H68" s="530">
        <v>2.5806827449609694E-2</v>
      </c>
      <c r="I68" s="530">
        <v>2.8000000000000001E-2</v>
      </c>
      <c r="J68" s="530">
        <v>2.736266049252789E-2</v>
      </c>
      <c r="K68" s="530">
        <v>1.8650417884639139E-2</v>
      </c>
      <c r="L68" s="530">
        <v>2.2644456012493493E-2</v>
      </c>
      <c r="M68" s="530">
        <v>1.9840176357123176E-2</v>
      </c>
      <c r="N68" s="530">
        <v>2.5603151157065487E-2</v>
      </c>
      <c r="O68" s="530">
        <v>2.504078303425775E-2</v>
      </c>
      <c r="P68" s="530">
        <v>2.6875034064502101E-2</v>
      </c>
      <c r="Q68" s="530">
        <v>2.6875034064502066E-2</v>
      </c>
      <c r="S68" s="529">
        <v>1.885122577219223E-2</v>
      </c>
      <c r="T68" s="530">
        <v>2.1748554913294797E-2</v>
      </c>
      <c r="U68" s="530">
        <v>2.4104363949407324E-2</v>
      </c>
      <c r="V68" s="530">
        <v>2.425116340040637E-2</v>
      </c>
      <c r="W68" s="530">
        <v>2.6267761699908746E-2</v>
      </c>
      <c r="X68" s="530">
        <v>2.5777649769585253E-2</v>
      </c>
      <c r="Y68" s="530">
        <v>1.8617599721605985E-2</v>
      </c>
      <c r="Z68" s="530">
        <v>2.0739511732638067E-2</v>
      </c>
      <c r="AA68" s="2113">
        <v>1.6876140279748632E-2</v>
      </c>
      <c r="AB68" s="2113">
        <v>1.9532971067704508E-2</v>
      </c>
      <c r="AC68" s="2114">
        <v>2.4823159549384334E-2</v>
      </c>
      <c r="AD68" s="2114">
        <v>2.3298276365761029E-2</v>
      </c>
      <c r="AE68" s="1566">
        <f>AVERAGE(S68:AD68)</f>
        <v>2.2074031518469771E-2</v>
      </c>
      <c r="AF68" s="1485">
        <f>AE68</f>
        <v>2.2074031518469771E-2</v>
      </c>
      <c r="AH68" s="529">
        <v>2.3805532271584242E-2</v>
      </c>
      <c r="AI68" s="530">
        <v>1.7623117623117624E-2</v>
      </c>
      <c r="AJ68" s="530">
        <v>2.4671916010498687E-2</v>
      </c>
      <c r="AK68" s="530">
        <v>2.3295529185094366E-2</v>
      </c>
      <c r="AL68" s="530">
        <v>2.0140435005994176E-2</v>
      </c>
      <c r="AM68" s="530">
        <v>2.4709141274238226E-2</v>
      </c>
      <c r="AN68" s="530">
        <v>1.9001886468873262E-2</v>
      </c>
      <c r="AO68" s="530">
        <v>2.4910424842177103E-2</v>
      </c>
      <c r="AP68" s="530">
        <v>1.8894029140905357E-2</v>
      </c>
      <c r="AQ68" s="530">
        <v>2.4819230017588432E-2</v>
      </c>
      <c r="AR68" s="1566">
        <v>2.9691385110428549E-2</v>
      </c>
      <c r="AS68" s="1484"/>
      <c r="AT68" s="1566">
        <f>AVERAGE(AH68:AS68)</f>
        <v>2.2869329722772728E-2</v>
      </c>
      <c r="AU68" s="1485">
        <f>AT68</f>
        <v>2.2869329722772728E-2</v>
      </c>
      <c r="AW68" s="761">
        <f t="shared" si="1"/>
        <v>-2.3298276365761029E-2</v>
      </c>
      <c r="AX68" s="761">
        <f t="shared" si="5"/>
        <v>7.9529820430295634E-4</v>
      </c>
      <c r="AY68" s="761">
        <f t="shared" si="28"/>
        <v>-0.19389761258371918</v>
      </c>
      <c r="AZ68" s="594">
        <f t="shared" si="2"/>
        <v>-2.9691385110428549E-2</v>
      </c>
    </row>
    <row r="69" spans="1:52" x14ac:dyDescent="0.55000000000000004">
      <c r="A69" s="7514"/>
      <c r="B69" s="88"/>
      <c r="C69" t="s">
        <v>68</v>
      </c>
      <c r="D69" s="494">
        <v>4.2823156225218081E-2</v>
      </c>
      <c r="E69" s="494">
        <v>2.68817204301075E-2</v>
      </c>
      <c r="F69" s="494">
        <v>2.8551034975017844E-2</v>
      </c>
      <c r="G69" s="494">
        <v>2.7716994894237783E-2</v>
      </c>
      <c r="H69" s="494">
        <v>2.729181245626312E-2</v>
      </c>
      <c r="I69" s="494">
        <v>3.3858267716535433E-2</v>
      </c>
      <c r="J69" s="494">
        <v>3.6912751677852351E-2</v>
      </c>
      <c r="K69" s="494">
        <v>2.1989528795811519E-2</v>
      </c>
      <c r="L69" s="494">
        <v>2.714440825190011E-2</v>
      </c>
      <c r="M69" s="494">
        <v>2.2371364653243849E-2</v>
      </c>
      <c r="N69" s="494">
        <v>2.5943396226415096E-2</v>
      </c>
      <c r="O69" s="494">
        <v>2.6395173453996983E-2</v>
      </c>
      <c r="P69" s="494">
        <v>2.8410093523910357E-2</v>
      </c>
      <c r="Q69" s="494">
        <v>2.8410093523910357E-2</v>
      </c>
      <c r="S69" s="531">
        <v>2.3622047244094488E-2</v>
      </c>
      <c r="T69" s="494">
        <v>2.3858921161825725E-2</v>
      </c>
      <c r="U69" s="494">
        <v>2.8037383177570093E-2</v>
      </c>
      <c r="V69" s="494">
        <v>2.5244299674267102E-2</v>
      </c>
      <c r="W69" s="494">
        <v>3.6649214659685861E-2</v>
      </c>
      <c r="X69" s="494">
        <v>2.35626767200754E-2</v>
      </c>
      <c r="Y69" s="494">
        <v>3.2443746729461015E-2</v>
      </c>
      <c r="Z69" s="1078">
        <v>2.2895125553914326E-2</v>
      </c>
      <c r="AA69" s="2115">
        <v>1.9002375296912115E-2</v>
      </c>
      <c r="AB69" s="2115">
        <v>1.0368663594470046E-2</v>
      </c>
      <c r="AC69" s="2116">
        <v>2.0108275328692964E-2</v>
      </c>
      <c r="AD69" s="2116">
        <v>1.7751479289940829E-2</v>
      </c>
      <c r="AE69" s="1011">
        <f>AVERAGE(S69:AD69)</f>
        <v>2.3628684035909162E-2</v>
      </c>
      <c r="AF69" s="440">
        <f t="shared" ref="AF69:AF91" si="29">AE69</f>
        <v>2.3628684035909162E-2</v>
      </c>
      <c r="AH69" s="531">
        <v>2.9182879377431907E-2</v>
      </c>
      <c r="AI69" s="494">
        <v>1.962809917355372E-2</v>
      </c>
      <c r="AJ69" s="494">
        <v>3.0102790014684289E-2</v>
      </c>
      <c r="AK69" s="494">
        <v>2.1729079981507166E-2</v>
      </c>
      <c r="AL69" s="494">
        <v>1.2486228424531766E-2</v>
      </c>
      <c r="AM69" s="494">
        <v>2.6060606060606062E-2</v>
      </c>
      <c r="AN69" s="494">
        <v>1.994415636218588E-2</v>
      </c>
      <c r="AO69" s="1078">
        <v>1.3783597518952447E-2</v>
      </c>
      <c r="AP69" s="1078">
        <v>1.1020603737422138E-2</v>
      </c>
      <c r="AQ69" s="1078">
        <v>2.3640661938534278E-2</v>
      </c>
      <c r="AR69" s="440">
        <v>1.5845070422535211E-2</v>
      </c>
      <c r="AT69" s="1011">
        <f>AVERAGE(AH69:AS69)</f>
        <v>2.031125209199499E-2</v>
      </c>
      <c r="AU69" s="440">
        <f t="shared" ref="AU69:AU78" si="30">AT69</f>
        <v>2.031125209199499E-2</v>
      </c>
      <c r="AW69" s="761">
        <f t="shared" ref="AW69:AW119" si="31">HLOOKUP($A$1,$AH$2:$AS$404,ROW()-1,0)-HLOOKUP($A$1,$S$2:$AD$404,ROW()-1,0)</f>
        <v>-1.7751479289940829E-2</v>
      </c>
      <c r="AX69" s="761">
        <f t="shared" ref="AX69:AX119" si="32">AU69-AF69</f>
        <v>-3.3174319439141717E-3</v>
      </c>
      <c r="AY69" s="761">
        <f t="shared" si="28"/>
        <v>-0.22537320172028116</v>
      </c>
      <c r="AZ69" s="594">
        <f t="shared" ref="AZ69:AZ119" si="33">HLOOKUP($A$1,$AH$2:$AS$404,ROW()-1,0)-HLOOKUP($B$1,$AH$2:$AS$404,ROW()-1,0)</f>
        <v>-1.5845070422535211E-2</v>
      </c>
    </row>
    <row r="70" spans="1:52" x14ac:dyDescent="0.55000000000000004">
      <c r="A70" s="7514"/>
      <c r="B70" s="88"/>
      <c r="C70" t="s">
        <v>71</v>
      </c>
      <c r="D70" s="494">
        <v>4.0205303678357569E-2</v>
      </c>
      <c r="E70" s="494">
        <v>3.9312039312039311E-2</v>
      </c>
      <c r="F70" s="494">
        <v>2.0270270270270271E-2</v>
      </c>
      <c r="G70" s="494">
        <v>3.6846615252784917E-2</v>
      </c>
      <c r="H70" s="494">
        <v>2.8222730739893211E-2</v>
      </c>
      <c r="I70" s="494">
        <v>2.7977617905675458E-2</v>
      </c>
      <c r="J70" s="494">
        <v>2.185792349726776E-2</v>
      </c>
      <c r="K70" s="494">
        <v>2.0474137931034482E-2</v>
      </c>
      <c r="L70" s="494">
        <v>1.3953488372093023E-2</v>
      </c>
      <c r="M70" s="494">
        <v>2.4361259655377301E-2</v>
      </c>
      <c r="N70" s="494">
        <v>1.5567765567765568E-2</v>
      </c>
      <c r="O70" s="494">
        <v>3.4990791896869246E-2</v>
      </c>
      <c r="P70" s="494">
        <v>2.7017922112922785E-2</v>
      </c>
      <c r="Q70" s="494">
        <v>2.7017922112922785E-2</v>
      </c>
      <c r="S70" s="531">
        <v>2.5316455696202531E-2</v>
      </c>
      <c r="T70" s="494">
        <v>1.8633540372670808E-2</v>
      </c>
      <c r="U70" s="494">
        <v>2.891566265060241E-2</v>
      </c>
      <c r="V70" s="494">
        <v>3.2098765432098768E-2</v>
      </c>
      <c r="W70" s="494">
        <v>2.8853454821564161E-2</v>
      </c>
      <c r="X70" s="494">
        <v>2.0050125313283207E-2</v>
      </c>
      <c r="Y70" s="494">
        <v>1.8419777023751818E-2</v>
      </c>
      <c r="Z70" s="1078">
        <v>1.171875E-2</v>
      </c>
      <c r="AA70" s="2115">
        <v>1.5020219526285385E-2</v>
      </c>
      <c r="AB70" s="2115">
        <v>2.2751895991332611E-2</v>
      </c>
      <c r="AC70" s="2116">
        <v>2.2962962962962963E-2</v>
      </c>
      <c r="AD70" s="2116">
        <v>1.5347334410339256E-2</v>
      </c>
      <c r="AE70" s="1011">
        <f t="shared" ref="AE70:AE78" si="34">AVERAGE(S70:AD70)</f>
        <v>2.1674078683424493E-2</v>
      </c>
      <c r="AF70" s="440">
        <f t="shared" si="29"/>
        <v>2.1674078683424493E-2</v>
      </c>
      <c r="AH70" s="531">
        <v>2.4505183788878417E-2</v>
      </c>
      <c r="AI70" s="494">
        <v>1.5632183908045976E-2</v>
      </c>
      <c r="AJ70" s="494">
        <v>1.7325017325017324E-2</v>
      </c>
      <c r="AK70" s="494">
        <v>2.3601847101077475E-2</v>
      </c>
      <c r="AL70" s="494">
        <v>1.5473887814313346E-2</v>
      </c>
      <c r="AM70" s="494">
        <v>2.1625163826998691E-2</v>
      </c>
      <c r="AN70" s="494">
        <v>1.7254901960784313E-2</v>
      </c>
      <c r="AO70" s="1078">
        <v>1.471529110684581E-2</v>
      </c>
      <c r="AP70" s="1078">
        <v>1.8734177215189874E-2</v>
      </c>
      <c r="AQ70" s="1078">
        <v>1.7790956263899184E-2</v>
      </c>
      <c r="AR70" s="440">
        <v>1.380991064175467E-2</v>
      </c>
      <c r="AT70" s="1011">
        <f t="shared" ref="AT70:AT78" si="35">AVERAGE(AH70:AS70)</f>
        <v>1.8224410995709553E-2</v>
      </c>
      <c r="AU70" s="440">
        <f t="shared" si="30"/>
        <v>1.8224410995709553E-2</v>
      </c>
      <c r="AW70" s="761">
        <f t="shared" si="31"/>
        <v>-1.5347334410339256E-2</v>
      </c>
      <c r="AX70" s="761">
        <f t="shared" si="32"/>
        <v>-3.4496676877149406E-3</v>
      </c>
      <c r="AY70" s="761">
        <f t="shared" si="28"/>
        <v>-0.20355423583208215</v>
      </c>
      <c r="AZ70" s="594">
        <f t="shared" si="33"/>
        <v>-1.380991064175467E-2</v>
      </c>
    </row>
    <row r="71" spans="1:52" x14ac:dyDescent="0.55000000000000004">
      <c r="A71" s="7514"/>
      <c r="B71" s="88"/>
      <c r="C71" t="s">
        <v>69</v>
      </c>
      <c r="D71" s="494">
        <v>6.3279857397504455E-2</v>
      </c>
      <c r="E71" s="494">
        <v>2.5053686471009307E-2</v>
      </c>
      <c r="F71" s="494">
        <v>3.6231884057971016E-2</v>
      </c>
      <c r="G71" s="494">
        <v>2.8815368196371399E-2</v>
      </c>
      <c r="H71" s="494">
        <v>4.3929712460063899E-2</v>
      </c>
      <c r="I71" s="494">
        <v>4.1553748870822041E-2</v>
      </c>
      <c r="J71" s="494">
        <v>3.2258064516129031E-2</v>
      </c>
      <c r="K71" s="494">
        <v>2.6925485284909206E-2</v>
      </c>
      <c r="L71" s="494">
        <v>2.0858895705521473E-2</v>
      </c>
      <c r="M71" s="494">
        <v>2.3738872403560832E-2</v>
      </c>
      <c r="N71" s="494">
        <v>2.4074074074074074E-2</v>
      </c>
      <c r="O71" s="494">
        <v>2.5959367945823927E-2</v>
      </c>
      <c r="P71" s="494">
        <v>3.2559800071403071E-2</v>
      </c>
      <c r="Q71" s="494">
        <v>3.2559800071403071E-2</v>
      </c>
      <c r="S71" s="531">
        <v>2.4193548387096774E-2</v>
      </c>
      <c r="T71" s="494">
        <v>2.8955532574974147E-2</v>
      </c>
      <c r="U71" s="494">
        <v>2.9245283018867925E-2</v>
      </c>
      <c r="V71" s="494">
        <v>2.8258887876025523E-2</v>
      </c>
      <c r="W71" s="494">
        <v>2.4975984630163303E-2</v>
      </c>
      <c r="X71" s="494">
        <v>3.6525172754195458E-2</v>
      </c>
      <c r="Y71" s="494">
        <v>2.3131672597864767E-2</v>
      </c>
      <c r="Z71" s="1078">
        <v>3.3281733746130034E-2</v>
      </c>
      <c r="AA71" s="2115">
        <v>1.968503937007874E-2</v>
      </c>
      <c r="AB71" s="2115">
        <v>2.4346793349168647E-2</v>
      </c>
      <c r="AC71" s="2116">
        <v>2.8475711892797319E-2</v>
      </c>
      <c r="AD71" s="2116">
        <v>2.8873917228103944E-2</v>
      </c>
      <c r="AE71" s="1011">
        <f t="shared" si="34"/>
        <v>2.7495773118788883E-2</v>
      </c>
      <c r="AF71" s="440">
        <f t="shared" si="29"/>
        <v>2.7495773118788883E-2</v>
      </c>
      <c r="AH71" s="531">
        <v>2.391304347826087E-2</v>
      </c>
      <c r="AI71" s="494">
        <v>2.5928108426635239E-2</v>
      </c>
      <c r="AJ71" s="494">
        <v>2.6984126984126985E-2</v>
      </c>
      <c r="AK71" s="494">
        <v>2.4929444967074318E-2</v>
      </c>
      <c r="AL71" s="494">
        <v>1.7843866171003718E-2</v>
      </c>
      <c r="AM71" s="494">
        <v>2.3874488403819918E-2</v>
      </c>
      <c r="AN71" s="494">
        <v>3.1195840554592721E-2</v>
      </c>
      <c r="AO71" s="1078">
        <v>3.5687732342007436E-2</v>
      </c>
      <c r="AP71" s="1078">
        <v>2.3454157782515993E-2</v>
      </c>
      <c r="AQ71" s="1078">
        <v>2.9055690072639227E-2</v>
      </c>
      <c r="AR71" s="440">
        <v>3.5999999999999997E-2</v>
      </c>
      <c r="AT71" s="1011">
        <f t="shared" si="35"/>
        <v>2.7169681743879678E-2</v>
      </c>
      <c r="AU71" s="440">
        <f t="shared" si="30"/>
        <v>2.7169681743879678E-2</v>
      </c>
      <c r="AW71" s="761">
        <f t="shared" si="31"/>
        <v>-2.8873917228103944E-2</v>
      </c>
      <c r="AX71" s="761">
        <f t="shared" si="32"/>
        <v>-3.2609137490920495E-4</v>
      </c>
      <c r="AY71" s="761">
        <f t="shared" si="28"/>
        <v>-0.24542996656068566</v>
      </c>
      <c r="AZ71" s="594">
        <f t="shared" si="33"/>
        <v>-3.5999999999999997E-2</v>
      </c>
    </row>
    <row r="72" spans="1:52" x14ac:dyDescent="0.55000000000000004">
      <c r="A72" s="7514"/>
      <c r="B72" s="88"/>
      <c r="C72" t="s">
        <v>146</v>
      </c>
      <c r="D72" s="494">
        <v>6.4375000000000002E-2</v>
      </c>
      <c r="E72" s="494">
        <v>2.5142314990512334E-2</v>
      </c>
      <c r="F72" s="494">
        <v>2.5949367088607594E-2</v>
      </c>
      <c r="G72" s="494">
        <v>1.8241042345276872E-2</v>
      </c>
      <c r="H72" s="494">
        <v>1.2422360248447204E-2</v>
      </c>
      <c r="I72" s="494">
        <v>1.5121630506245891E-2</v>
      </c>
      <c r="J72" s="494">
        <v>1.87125748502994E-2</v>
      </c>
      <c r="K72" s="494">
        <v>1.2444444444444444E-2</v>
      </c>
      <c r="L72" s="494">
        <v>2.5519848771266541E-2</v>
      </c>
      <c r="M72" s="494">
        <v>1.5384615384615385E-2</v>
      </c>
      <c r="N72" s="494">
        <v>2.8257456828885402E-2</v>
      </c>
      <c r="O72" s="494">
        <v>2.147766323024055E-2</v>
      </c>
      <c r="P72" s="494">
        <v>2.3069679849340868E-2</v>
      </c>
      <c r="Q72" s="494">
        <v>2.3069679849340868E-2</v>
      </c>
      <c r="S72" s="531">
        <v>1.3691931540342298E-2</v>
      </c>
      <c r="T72" s="494">
        <v>1.6693163751987282E-2</v>
      </c>
      <c r="U72" s="494">
        <v>2.1536252692031587E-2</v>
      </c>
      <c r="V72" s="494">
        <v>2.710413694721826E-2</v>
      </c>
      <c r="W72" s="494">
        <v>3.5040431266846361E-2</v>
      </c>
      <c r="X72" s="494">
        <v>2.4213075060532687E-2</v>
      </c>
      <c r="Y72" s="494">
        <v>1.709819247679531E-2</v>
      </c>
      <c r="Z72" s="480">
        <v>2.2020725388601035E-2</v>
      </c>
      <c r="AA72" s="2115">
        <v>1.891891891891892E-2</v>
      </c>
      <c r="AB72" s="2115">
        <v>1.8085106382978722E-2</v>
      </c>
      <c r="AC72" s="2116">
        <v>1.963439404197698E-2</v>
      </c>
      <c r="AD72" s="2116">
        <v>2.4590163934426229E-2</v>
      </c>
      <c r="AE72" s="1011">
        <f t="shared" si="34"/>
        <v>2.1552207700221305E-2</v>
      </c>
      <c r="AF72" s="440">
        <f t="shared" si="29"/>
        <v>2.1552207700221305E-2</v>
      </c>
      <c r="AH72" s="531">
        <v>2.1097046413502109E-2</v>
      </c>
      <c r="AI72" s="494">
        <v>1.2925463162429988E-2</v>
      </c>
      <c r="AJ72" s="494">
        <v>2.6747720364741642E-2</v>
      </c>
      <c r="AK72" s="494">
        <v>2.7629233511586453E-2</v>
      </c>
      <c r="AL72" s="494">
        <v>1.4174822814714817E-2</v>
      </c>
      <c r="AM72" s="494">
        <v>2.3809523809523808E-2</v>
      </c>
      <c r="AN72" s="494">
        <v>2.0096762188314105E-2</v>
      </c>
      <c r="AO72" s="480">
        <v>3.5005834305717617E-2</v>
      </c>
      <c r="AP72" s="480">
        <v>1.5996343692870202E-2</v>
      </c>
      <c r="AQ72" s="480">
        <v>2.615278733654508E-2</v>
      </c>
      <c r="AR72" s="440">
        <v>2.3455824863174355E-2</v>
      </c>
      <c r="AT72" s="1011">
        <f t="shared" si="35"/>
        <v>2.2462851133010928E-2</v>
      </c>
      <c r="AU72" s="440">
        <f t="shared" si="30"/>
        <v>2.2462851133010928E-2</v>
      </c>
      <c r="AW72" s="761">
        <f t="shared" si="31"/>
        <v>-2.4590163934426229E-2</v>
      </c>
      <c r="AX72" s="761">
        <f t="shared" si="32"/>
        <v>9.1064343278962276E-4</v>
      </c>
      <c r="AY72" s="761">
        <f t="shared" si="28"/>
        <v>-0.19193908329324155</v>
      </c>
      <c r="AZ72" s="594">
        <f t="shared" si="33"/>
        <v>-2.3455824863174355E-2</v>
      </c>
    </row>
    <row r="73" spans="1:52" x14ac:dyDescent="0.55000000000000004">
      <c r="A73" s="7514"/>
      <c r="B73" s="88"/>
      <c r="C73" t="s">
        <v>70</v>
      </c>
      <c r="D73" s="494">
        <v>6.5512400561534859E-2</v>
      </c>
      <c r="E73" s="494">
        <v>4.0744643484369514E-2</v>
      </c>
      <c r="F73" s="494">
        <v>4.0326234707748071E-2</v>
      </c>
      <c r="G73" s="494">
        <v>4.2622950819672129E-2</v>
      </c>
      <c r="H73" s="494">
        <v>3.7656903765690378E-2</v>
      </c>
      <c r="I73" s="494">
        <v>3.9794007490636704E-2</v>
      </c>
      <c r="J73" s="494">
        <v>3.7392622536634661E-2</v>
      </c>
      <c r="K73" s="494">
        <v>2.0040760869565216E-2</v>
      </c>
      <c r="L73" s="494">
        <v>3.4689793195463642E-2</v>
      </c>
      <c r="M73" s="494">
        <v>2.046479361775928E-2</v>
      </c>
      <c r="N73" s="494">
        <v>3.3248081841432228E-2</v>
      </c>
      <c r="O73" s="494">
        <v>4.0184453227931488E-2</v>
      </c>
      <c r="P73" s="494">
        <v>3.6830737751506193E-2</v>
      </c>
      <c r="Q73" s="494">
        <v>3.6830737751506193E-2</v>
      </c>
      <c r="S73" s="531">
        <v>2.003577817531306E-2</v>
      </c>
      <c r="T73" s="494">
        <v>3.3854166666666664E-2</v>
      </c>
      <c r="U73" s="494">
        <v>2.8660760812923399E-2</v>
      </c>
      <c r="V73" s="494">
        <v>3.0241935483870969E-2</v>
      </c>
      <c r="W73" s="494">
        <v>3.4533793783917119E-2</v>
      </c>
      <c r="X73" s="494">
        <v>4.707170224411604E-2</v>
      </c>
      <c r="Y73" s="494">
        <v>2.04560697518444E-2</v>
      </c>
      <c r="Z73" s="480">
        <v>3.8395168248490076E-2</v>
      </c>
      <c r="AA73" s="2115">
        <v>2.0534676481983729E-2</v>
      </c>
      <c r="AB73" s="2115">
        <v>2.3402025847013622E-2</v>
      </c>
      <c r="AC73" s="2116">
        <v>3.9374053508329128E-2</v>
      </c>
      <c r="AD73" s="2116">
        <v>3.1019978969505785E-2</v>
      </c>
      <c r="AE73" s="1011">
        <f t="shared" si="34"/>
        <v>3.0631675831164495E-2</v>
      </c>
      <c r="AF73" s="440">
        <f t="shared" si="29"/>
        <v>3.0631675831164495E-2</v>
      </c>
      <c r="AH73" s="531">
        <v>3.2886723507917173E-2</v>
      </c>
      <c r="AI73" s="494">
        <v>3.0816640986132512E-2</v>
      </c>
      <c r="AJ73" s="494">
        <v>3.214285714285714E-2</v>
      </c>
      <c r="AK73" s="494">
        <v>3.572643756379721E-2</v>
      </c>
      <c r="AL73" s="494">
        <v>3.0333928116237575E-2</v>
      </c>
      <c r="AM73" s="494">
        <v>3.6794766966475878E-2</v>
      </c>
      <c r="AN73" s="494">
        <v>2.3107569721115537E-2</v>
      </c>
      <c r="AO73" s="480">
        <v>4.1684210526315789E-2</v>
      </c>
      <c r="AP73" s="480">
        <v>2.9789902790843526E-2</v>
      </c>
      <c r="AQ73" s="480">
        <v>4.1191066997518608E-2</v>
      </c>
      <c r="AR73" s="440">
        <v>4.5404208194905871E-2</v>
      </c>
      <c r="AT73" s="1011">
        <f t="shared" si="35"/>
        <v>3.4534392046737895E-2</v>
      </c>
      <c r="AU73" s="440">
        <f t="shared" si="30"/>
        <v>3.4534392046737895E-2</v>
      </c>
      <c r="AW73" s="761">
        <f t="shared" si="31"/>
        <v>-3.1019978969505785E-2</v>
      </c>
      <c r="AX73" s="761">
        <f t="shared" si="32"/>
        <v>3.9027162155733999E-3</v>
      </c>
      <c r="AY73" s="761">
        <f t="shared" si="28"/>
        <v>-0.26265168544940115</v>
      </c>
      <c r="AZ73" s="594">
        <f t="shared" si="33"/>
        <v>-4.5404208194905871E-2</v>
      </c>
    </row>
    <row r="74" spans="1:52" x14ac:dyDescent="0.55000000000000004">
      <c r="A74" s="7514"/>
      <c r="B74" s="88"/>
      <c r="C74" t="s">
        <v>72</v>
      </c>
      <c r="D74" s="494">
        <v>2.4566473988439308E-2</v>
      </c>
      <c r="E74" s="494">
        <v>2.326934264107039E-2</v>
      </c>
      <c r="F74" s="494">
        <v>2.2095959595959596E-2</v>
      </c>
      <c r="G74" s="494">
        <v>2.2017045454545456E-2</v>
      </c>
      <c r="H74" s="494">
        <v>1.6483516483516484E-2</v>
      </c>
      <c r="I74" s="494">
        <v>1.9914651493598862E-2</v>
      </c>
      <c r="J74" s="494">
        <v>3.7574722459436376E-2</v>
      </c>
      <c r="K74" s="494">
        <v>1.5006821282401092E-2</v>
      </c>
      <c r="L74" s="494">
        <v>2.48015873015873E-2</v>
      </c>
      <c r="M74" s="494">
        <v>1.5633423180592992E-2</v>
      </c>
      <c r="N74" s="494">
        <v>2.809917355371901E-2</v>
      </c>
      <c r="O74" s="494">
        <v>2.0353982300884955E-2</v>
      </c>
      <c r="P74" s="494">
        <v>2.167712492869367E-2</v>
      </c>
      <c r="Q74" s="494">
        <v>2.167712492869367E-2</v>
      </c>
      <c r="S74" s="531">
        <v>1.2351778656126482E-2</v>
      </c>
      <c r="T74" s="494">
        <v>2.379182156133829E-2</v>
      </c>
      <c r="U74" s="494">
        <v>2.1961932650073207E-2</v>
      </c>
      <c r="V74" s="494">
        <v>1.9940915805022157E-2</v>
      </c>
      <c r="W74" s="494">
        <v>3.403330919623461E-2</v>
      </c>
      <c r="X74" s="494">
        <v>2.097902097902098E-2</v>
      </c>
      <c r="Y74" s="494">
        <v>1.7970401691331923E-2</v>
      </c>
      <c r="Z74" s="480">
        <v>1.8995929443690638E-2</v>
      </c>
      <c r="AA74" s="2115">
        <v>1.7262638717632551E-2</v>
      </c>
      <c r="AB74" s="2115">
        <v>2.19017094017094E-2</v>
      </c>
      <c r="AC74" s="2116">
        <v>3.5384615384615382E-2</v>
      </c>
      <c r="AD74" s="2116">
        <v>2.5664527956003668E-2</v>
      </c>
      <c r="AE74" s="1011">
        <f t="shared" si="34"/>
        <v>2.2519883453566609E-2</v>
      </c>
      <c r="AF74" s="440">
        <f t="shared" si="29"/>
        <v>2.2519883453566609E-2</v>
      </c>
      <c r="AH74" s="531">
        <v>2.2914757103574702E-2</v>
      </c>
      <c r="AI74" s="494">
        <v>1.405152224824356E-2</v>
      </c>
      <c r="AJ74" s="494">
        <v>3.2235939643347047E-2</v>
      </c>
      <c r="AK74" s="494">
        <v>2.692713833157339E-2</v>
      </c>
      <c r="AL74" s="494">
        <v>2.5758205234732032E-2</v>
      </c>
      <c r="AM74" s="494">
        <v>2.4346793349168647E-2</v>
      </c>
      <c r="AN74" s="494">
        <v>2.2123893805309734E-2</v>
      </c>
      <c r="AO74" s="480">
        <v>3.206806282722513E-2</v>
      </c>
      <c r="AP74" s="480">
        <v>2.0788912579957356E-2</v>
      </c>
      <c r="AQ74" s="480">
        <v>2.9295328582739508E-2</v>
      </c>
      <c r="AR74" s="440">
        <v>3.8493723849372385E-2</v>
      </c>
      <c r="AT74" s="1011">
        <f t="shared" si="35"/>
        <v>2.6273116141385774E-2</v>
      </c>
      <c r="AU74" s="440">
        <f t="shared" si="30"/>
        <v>2.6273116141385774E-2</v>
      </c>
      <c r="AW74" s="761">
        <f t="shared" si="31"/>
        <v>-2.5664527956003668E-2</v>
      </c>
      <c r="AX74" s="761">
        <f t="shared" si="32"/>
        <v>3.7532326878191649E-3</v>
      </c>
      <c r="AY74" s="761">
        <f t="shared" si="28"/>
        <v>-0.18291634196079448</v>
      </c>
      <c r="AZ74" s="594">
        <f t="shared" si="33"/>
        <v>-3.8493723849372385E-2</v>
      </c>
    </row>
    <row r="75" spans="1:52" x14ac:dyDescent="0.55000000000000004">
      <c r="A75" s="7514"/>
      <c r="B75" s="88"/>
      <c r="C75" t="s">
        <v>73</v>
      </c>
      <c r="D75" s="494">
        <v>3.6775106082036775E-2</v>
      </c>
      <c r="E75" s="494">
        <v>2.4335574767851424E-2</v>
      </c>
      <c r="F75" s="494">
        <v>2.5454545454545455E-2</v>
      </c>
      <c r="G75" s="494">
        <v>2.7255639097744359E-2</v>
      </c>
      <c r="H75" s="494">
        <v>1.5534842432312472E-2</v>
      </c>
      <c r="I75" s="494">
        <v>1.3365155131264916E-2</v>
      </c>
      <c r="J75" s="494">
        <v>1.5426997245179064E-2</v>
      </c>
      <c r="K75" s="494">
        <v>1.3603553581343698E-2</v>
      </c>
      <c r="L75" s="494">
        <v>1.9333333333333334E-2</v>
      </c>
      <c r="M75" s="494">
        <v>1.5239477503628448E-2</v>
      </c>
      <c r="N75" s="494">
        <v>1.9241341396371632E-2</v>
      </c>
      <c r="O75" s="494">
        <v>1.9206939281288724E-2</v>
      </c>
      <c r="P75" s="494">
        <v>2.0165766299119366E-2</v>
      </c>
      <c r="Q75" s="494">
        <v>2.0165766299119366E-2</v>
      </c>
      <c r="S75" s="531">
        <v>1.5146733985484381E-2</v>
      </c>
      <c r="T75" s="494">
        <v>1.3492475350285417E-2</v>
      </c>
      <c r="U75" s="494">
        <v>1.6417910447761194E-2</v>
      </c>
      <c r="V75" s="494">
        <v>1.8831482375663931E-2</v>
      </c>
      <c r="W75" s="494">
        <v>1.0128913443830571E-2</v>
      </c>
      <c r="X75" s="494">
        <v>1.3835085777531821E-2</v>
      </c>
      <c r="Y75" s="494">
        <v>9.7300690521029496E-3</v>
      </c>
      <c r="Z75" s="480">
        <v>1.1075219197046609E-2</v>
      </c>
      <c r="AA75" s="2115">
        <v>1.0040160642570281E-2</v>
      </c>
      <c r="AB75" s="2115">
        <v>1.2298232129131437E-2</v>
      </c>
      <c r="AC75" s="2116">
        <v>1.276595744680851E-2</v>
      </c>
      <c r="AD75" s="2116">
        <v>1.5789473684210527E-2</v>
      </c>
      <c r="AE75" s="1011">
        <f t="shared" si="34"/>
        <v>1.3295976127702301E-2</v>
      </c>
      <c r="AF75" s="440">
        <f t="shared" si="29"/>
        <v>1.3295976127702301E-2</v>
      </c>
      <c r="AH75" s="531">
        <v>1.9425019425019424E-2</v>
      </c>
      <c r="AI75" s="494">
        <v>1.1141222523336344E-2</v>
      </c>
      <c r="AJ75" s="494">
        <v>1.4222222222222223E-2</v>
      </c>
      <c r="AK75" s="494">
        <v>1.1785714285714287E-2</v>
      </c>
      <c r="AL75" s="494">
        <v>1.3888888888888888E-2</v>
      </c>
      <c r="AM75" s="494">
        <v>1.6799292661361626E-2</v>
      </c>
      <c r="AN75" s="494">
        <v>1.0844892812105928E-2</v>
      </c>
      <c r="AO75" s="480">
        <v>1.1286681715575621E-2</v>
      </c>
      <c r="AP75" s="480">
        <v>1.4503006720905553E-2</v>
      </c>
      <c r="AQ75" s="480">
        <v>1.1437095972153158E-2</v>
      </c>
      <c r="AR75" s="440">
        <v>2.3923444976076555E-2</v>
      </c>
      <c r="AT75" s="1011">
        <f>AVERAGE(AH75:AS75)</f>
        <v>1.4477952927578147E-2</v>
      </c>
      <c r="AU75" s="440">
        <f t="shared" si="30"/>
        <v>1.4477952927578147E-2</v>
      </c>
      <c r="AW75" s="761">
        <f t="shared" si="31"/>
        <v>-1.5789473684210527E-2</v>
      </c>
      <c r="AX75" s="761">
        <f t="shared" si="32"/>
        <v>1.1819767998758456E-3</v>
      </c>
      <c r="AY75" s="761">
        <f t="shared" si="28"/>
        <v>-0.11651832947383045</v>
      </c>
      <c r="AZ75" s="594">
        <f t="shared" si="33"/>
        <v>-2.3923444976076555E-2</v>
      </c>
    </row>
    <row r="76" spans="1:52" x14ac:dyDescent="0.55000000000000004">
      <c r="A76" s="7514"/>
      <c r="B76" s="88"/>
      <c r="C76" t="s">
        <v>74</v>
      </c>
      <c r="D76" s="494">
        <v>4.2502387774594079E-2</v>
      </c>
      <c r="E76" s="494">
        <v>3.025830258302583E-2</v>
      </c>
      <c r="F76" s="494">
        <v>3.0753968253968252E-2</v>
      </c>
      <c r="G76" s="494">
        <v>2.5160599571734475E-2</v>
      </c>
      <c r="H76" s="494">
        <v>2.8349336991312299E-2</v>
      </c>
      <c r="I76" s="494">
        <v>3.7864077669902914E-2</v>
      </c>
      <c r="J76" s="494">
        <v>2.9073288915808602E-2</v>
      </c>
      <c r="K76" s="494">
        <v>2.726970402394413E-2</v>
      </c>
      <c r="L76" s="494">
        <v>2.3411371237458192E-2</v>
      </c>
      <c r="M76" s="494">
        <v>2.3367952522255191E-2</v>
      </c>
      <c r="N76" s="494">
        <v>3.0921459492888066E-2</v>
      </c>
      <c r="O76" s="494">
        <v>1.4765100671140939E-2</v>
      </c>
      <c r="P76" s="494">
        <v>2.8926117873930336E-2</v>
      </c>
      <c r="Q76" s="494">
        <v>2.8926117873930336E-2</v>
      </c>
      <c r="S76" s="531">
        <v>2.1587512454334108E-2</v>
      </c>
      <c r="T76" s="494">
        <v>2.0606060606060607E-2</v>
      </c>
      <c r="U76" s="494">
        <v>2.5491237387148168E-2</v>
      </c>
      <c r="V76" s="494">
        <v>2.0585048754062838E-2</v>
      </c>
      <c r="W76" s="494">
        <v>2.3743787962451683E-2</v>
      </c>
      <c r="X76" s="494">
        <v>2.5813692480359147E-2</v>
      </c>
      <c r="Y76" s="494">
        <v>1.8008085262771041E-2</v>
      </c>
      <c r="Z76" s="480">
        <v>1.8238665971860343E-2</v>
      </c>
      <c r="AA76" s="2115">
        <v>1.8494623655913978E-2</v>
      </c>
      <c r="AB76" s="2115">
        <v>2.502360717658168E-2</v>
      </c>
      <c r="AC76" s="2116">
        <v>2.6271660145332588E-2</v>
      </c>
      <c r="AD76" s="2116">
        <v>2.8747433264887063E-2</v>
      </c>
      <c r="AE76" s="1011">
        <f t="shared" si="34"/>
        <v>2.2717617926813597E-2</v>
      </c>
      <c r="AF76" s="440">
        <f t="shared" si="29"/>
        <v>2.2717617926813597E-2</v>
      </c>
      <c r="AH76" s="531">
        <v>3.3948339483394832E-2</v>
      </c>
      <c r="AI76" s="494">
        <v>2.0161290322580645E-2</v>
      </c>
      <c r="AJ76" s="494">
        <v>3.4778465936160075E-2</v>
      </c>
      <c r="AK76" s="494">
        <v>2.9045643153526972E-2</v>
      </c>
      <c r="AL76" s="494">
        <v>3.456E-2</v>
      </c>
      <c r="AM76" s="494">
        <v>3.5474592521572389E-2</v>
      </c>
      <c r="AN76" s="494">
        <v>2.052349791790601E-2</v>
      </c>
      <c r="AO76" s="480">
        <v>3.3560311284046691E-2</v>
      </c>
      <c r="AP76" s="480">
        <v>1.9556224144415192E-2</v>
      </c>
      <c r="AQ76" s="480">
        <v>2.7896995708154508E-2</v>
      </c>
      <c r="AR76" s="440">
        <v>4.2553191489361701E-2</v>
      </c>
      <c r="AT76" s="1011">
        <f t="shared" si="35"/>
        <v>3.0187141087374459E-2</v>
      </c>
      <c r="AU76" s="440">
        <f t="shared" si="30"/>
        <v>3.0187141087374459E-2</v>
      </c>
      <c r="AW76" s="761">
        <f t="shared" si="31"/>
        <v>-2.8747433264887063E-2</v>
      </c>
      <c r="AX76" s="761">
        <f t="shared" si="32"/>
        <v>7.469523160560862E-3</v>
      </c>
      <c r="AY76" s="761">
        <f t="shared" si="28"/>
        <v>-0.18740518062416908</v>
      </c>
      <c r="AZ76" s="594">
        <f t="shared" si="33"/>
        <v>-4.2553191489361701E-2</v>
      </c>
    </row>
    <row r="77" spans="1:52" x14ac:dyDescent="0.55000000000000004">
      <c r="A77" s="7514"/>
      <c r="B77" s="88"/>
      <c r="C77" t="s">
        <v>75</v>
      </c>
      <c r="D77" s="494">
        <v>4.1322314049586778E-2</v>
      </c>
      <c r="E77" s="494">
        <v>3.2967032967032968E-2</v>
      </c>
      <c r="F77" s="494">
        <v>4.1346721795629059E-2</v>
      </c>
      <c r="G77" s="494">
        <v>3.7082818294190356E-2</v>
      </c>
      <c r="H77" s="494">
        <v>3.0839520274129069E-2</v>
      </c>
      <c r="I77" s="494">
        <v>3.5669586983729663E-2</v>
      </c>
      <c r="J77" s="494">
        <v>2.7278775781769793E-2</v>
      </c>
      <c r="K77" s="494">
        <v>1.7905799922148698E-2</v>
      </c>
      <c r="L77" s="494">
        <v>1.6820857863751051E-2</v>
      </c>
      <c r="M77" s="494">
        <v>2.5134649910233394E-2</v>
      </c>
      <c r="N77" s="494">
        <v>2.7700831024930747E-2</v>
      </c>
      <c r="O77" s="494">
        <v>2.4031007751937984E-2</v>
      </c>
      <c r="P77" s="494">
        <v>2.9665718006849646E-2</v>
      </c>
      <c r="Q77" s="494">
        <v>2.9665718006849646E-2</v>
      </c>
      <c r="S77" s="531">
        <v>2.3989898989898988E-2</v>
      </c>
      <c r="T77" s="494">
        <v>2.1674140508221227E-2</v>
      </c>
      <c r="U77" s="494">
        <v>2.8439153439153438E-2</v>
      </c>
      <c r="V77" s="494">
        <v>3.1592520954223081E-2</v>
      </c>
      <c r="W77" s="494">
        <v>1.9151846785225718E-2</v>
      </c>
      <c r="X77" s="494">
        <v>2.4426350851221319E-2</v>
      </c>
      <c r="Y77" s="494">
        <v>1.8867924528301886E-2</v>
      </c>
      <c r="Z77" s="480">
        <v>8.8663711209626354E-3</v>
      </c>
      <c r="AA77" s="2115">
        <v>1.8418201516793065E-2</v>
      </c>
      <c r="AB77" s="2115">
        <v>1.8286311389759665E-2</v>
      </c>
      <c r="AC77" s="2116">
        <v>2.2132796780684104E-2</v>
      </c>
      <c r="AD77" s="2116">
        <v>1.9299499642601858E-2</v>
      </c>
      <c r="AE77" s="1011">
        <f t="shared" si="34"/>
        <v>2.1262084708920586E-2</v>
      </c>
      <c r="AF77" s="440">
        <f t="shared" si="29"/>
        <v>2.1262084708920586E-2</v>
      </c>
      <c r="AH77" s="531">
        <v>1.3157894736842105E-2</v>
      </c>
      <c r="AI77" s="494">
        <v>1.4036580178647383E-2</v>
      </c>
      <c r="AJ77" s="494">
        <v>1.8474374255065554E-2</v>
      </c>
      <c r="AK77" s="494">
        <v>1.2844036697247707E-2</v>
      </c>
      <c r="AL77" s="494">
        <v>1.5286171347316033E-2</v>
      </c>
      <c r="AM77" s="494">
        <v>1.5644555694618274E-2</v>
      </c>
      <c r="AN77" s="494">
        <v>1.3036020583190394E-2</v>
      </c>
      <c r="AO77" s="480">
        <v>1.3805522208883553E-2</v>
      </c>
      <c r="AP77" s="480">
        <v>1.6358157554885924E-2</v>
      </c>
      <c r="AQ77" s="480">
        <v>2.0408163265306121E-2</v>
      </c>
      <c r="AR77" s="440">
        <v>2.0061728395061727E-2</v>
      </c>
      <c r="AT77" s="1011">
        <f t="shared" si="35"/>
        <v>1.5737564083369526E-2</v>
      </c>
      <c r="AU77" s="440">
        <f t="shared" si="30"/>
        <v>1.5737564083369526E-2</v>
      </c>
      <c r="AW77" s="761">
        <f t="shared" si="31"/>
        <v>-1.9299499642601858E-2</v>
      </c>
      <c r="AX77" s="761">
        <f t="shared" si="32"/>
        <v>-5.5245206255510604E-3</v>
      </c>
      <c r="AY77" s="761">
        <f t="shared" si="28"/>
        <v>-0.19797515600039153</v>
      </c>
      <c r="AZ77" s="594">
        <f t="shared" si="33"/>
        <v>-2.0061728395061727E-2</v>
      </c>
    </row>
    <row r="78" spans="1:52" x14ac:dyDescent="0.55000000000000004">
      <c r="A78" s="7514"/>
      <c r="B78" s="1486"/>
      <c r="C78" s="1147" t="s">
        <v>76</v>
      </c>
      <c r="D78" s="533">
        <v>3.0440414507772021E-2</v>
      </c>
      <c r="E78" s="533">
        <v>2.637460885113992E-2</v>
      </c>
      <c r="F78" s="533">
        <v>2.0011435105774727E-2</v>
      </c>
      <c r="G78" s="533">
        <v>1.729660474055093E-2</v>
      </c>
      <c r="H78" s="533">
        <v>2.0385050962627407E-2</v>
      </c>
      <c r="I78" s="533">
        <v>2.014294996751137E-2</v>
      </c>
      <c r="J78" s="533">
        <v>1.9528619528619527E-2</v>
      </c>
      <c r="K78" s="533">
        <v>1.4012738853503185E-2</v>
      </c>
      <c r="L78" s="533">
        <v>1.6088060965283656E-2</v>
      </c>
      <c r="M78" s="533">
        <v>1.4150943396226415E-2</v>
      </c>
      <c r="N78" s="533">
        <v>1.9257221458046769E-2</v>
      </c>
      <c r="O78" s="533">
        <v>2.848344880677444E-2</v>
      </c>
      <c r="P78" s="533">
        <v>2.0256283883686547E-2</v>
      </c>
      <c r="Q78" s="533">
        <v>2.0256283883686547E-2</v>
      </c>
      <c r="S78" s="532">
        <v>1.09628217349857E-2</v>
      </c>
      <c r="T78" s="533">
        <v>1.636904761904762E-2</v>
      </c>
      <c r="U78" s="533">
        <v>1.6276041666666668E-2</v>
      </c>
      <c r="V78" s="533">
        <v>1.1928429423459244E-2</v>
      </c>
      <c r="W78" s="533">
        <v>2.3317788141239172E-2</v>
      </c>
      <c r="X78" s="533">
        <v>1.9086571233810499E-2</v>
      </c>
      <c r="Y78" s="533">
        <v>1.6323024054982819E-2</v>
      </c>
      <c r="Z78" s="1108">
        <v>2.008269344359126E-2</v>
      </c>
      <c r="AA78" s="2117">
        <v>1.2987012987012988E-2</v>
      </c>
      <c r="AB78" s="2117">
        <v>1.8828451882845189E-2</v>
      </c>
      <c r="AC78" s="2118">
        <v>2.0489094514210177E-2</v>
      </c>
      <c r="AD78" s="2118">
        <v>2.4868123587038434E-2</v>
      </c>
      <c r="AE78" s="1011">
        <f t="shared" si="34"/>
        <v>1.7626591690740812E-2</v>
      </c>
      <c r="AF78" s="1487">
        <f t="shared" si="29"/>
        <v>1.7626591690740812E-2</v>
      </c>
      <c r="AH78" s="532">
        <v>1.3100436681222707E-2</v>
      </c>
      <c r="AI78" s="533">
        <v>1.1189390799834231E-2</v>
      </c>
      <c r="AJ78" s="533">
        <v>1.4035087719298246E-2</v>
      </c>
      <c r="AK78" s="533">
        <v>1.5864621893178214E-2</v>
      </c>
      <c r="AL78" s="533">
        <v>1.752988047808765E-2</v>
      </c>
      <c r="AM78" s="533">
        <v>1.5943877551020409E-2</v>
      </c>
      <c r="AN78" s="533">
        <v>1.6091954022988506E-2</v>
      </c>
      <c r="AO78" s="1108">
        <v>1.3173652694610778E-2</v>
      </c>
      <c r="AP78" s="1108">
        <v>1.5500234852043212E-2</v>
      </c>
      <c r="AQ78" s="1108">
        <v>1.9768234492160874E-2</v>
      </c>
      <c r="AR78" s="1487">
        <v>2.8529626920263351E-2</v>
      </c>
      <c r="AS78" s="1147"/>
      <c r="AT78" s="1011">
        <f t="shared" si="35"/>
        <v>1.6429727100428015E-2</v>
      </c>
      <c r="AU78" s="1487">
        <f t="shared" si="30"/>
        <v>1.6429727100428015E-2</v>
      </c>
      <c r="AW78" s="761">
        <f t="shared" si="31"/>
        <v>-2.4868123587038434E-2</v>
      </c>
      <c r="AX78" s="761">
        <f t="shared" si="32"/>
        <v>-1.1968645903127975E-3</v>
      </c>
      <c r="AY78" s="761">
        <f t="shared" si="28"/>
        <v>-0.14973215508721313</v>
      </c>
      <c r="AZ78" s="594">
        <f t="shared" si="33"/>
        <v>-2.8529626920263351E-2</v>
      </c>
    </row>
    <row r="79" spans="1:52" x14ac:dyDescent="0.55000000000000004">
      <c r="A79" s="7514"/>
      <c r="B79" s="119" t="s">
        <v>20</v>
      </c>
      <c r="C79" s="1482" t="s">
        <v>552</v>
      </c>
      <c r="D79" s="528">
        <v>439</v>
      </c>
      <c r="E79" s="528">
        <v>413</v>
      </c>
      <c r="F79" s="528">
        <v>505</v>
      </c>
      <c r="G79" s="528">
        <v>409</v>
      </c>
      <c r="H79" s="528">
        <v>478</v>
      </c>
      <c r="I79" s="528">
        <v>414</v>
      </c>
      <c r="J79" s="528">
        <v>468</v>
      </c>
      <c r="K79" s="528">
        <v>554</v>
      </c>
      <c r="L79" s="528">
        <v>462</v>
      </c>
      <c r="M79" s="528">
        <v>503</v>
      </c>
      <c r="N79" s="528">
        <v>485</v>
      </c>
      <c r="O79" s="528">
        <v>423</v>
      </c>
      <c r="P79" s="528">
        <v>5553</v>
      </c>
      <c r="Q79" s="528">
        <v>462.75</v>
      </c>
      <c r="S79" s="527">
        <v>417</v>
      </c>
      <c r="T79" s="528">
        <v>318</v>
      </c>
      <c r="U79" s="528">
        <v>271</v>
      </c>
      <c r="V79" s="528">
        <v>282</v>
      </c>
      <c r="W79" s="528">
        <v>276</v>
      </c>
      <c r="X79" s="528">
        <v>288</v>
      </c>
      <c r="Y79" s="528">
        <v>264</v>
      </c>
      <c r="Z79" s="1107">
        <v>155</v>
      </c>
      <c r="AA79" s="2112">
        <v>65</v>
      </c>
      <c r="AB79" s="2112">
        <v>1002</v>
      </c>
      <c r="AC79" s="2112">
        <v>845</v>
      </c>
      <c r="AD79" s="2112">
        <v>720</v>
      </c>
      <c r="AE79" s="1483">
        <f>SUM(S79:AD79)</f>
        <v>4903</v>
      </c>
      <c r="AF79" s="1483">
        <f>AVERAGE(S79:AD79)</f>
        <v>408.58333333333331</v>
      </c>
      <c r="AH79" s="527">
        <v>634</v>
      </c>
      <c r="AI79" s="528">
        <v>736</v>
      </c>
      <c r="AJ79" s="528">
        <v>642</v>
      </c>
      <c r="AK79" s="528">
        <v>688</v>
      </c>
      <c r="AL79" s="528">
        <v>841</v>
      </c>
      <c r="AM79" s="528">
        <v>765</v>
      </c>
      <c r="AN79" s="528">
        <v>811</v>
      </c>
      <c r="AO79" s="1107">
        <v>536</v>
      </c>
      <c r="AP79" s="1107">
        <v>697</v>
      </c>
      <c r="AQ79" s="1107">
        <v>566</v>
      </c>
      <c r="AR79" s="1107">
        <v>547</v>
      </c>
      <c r="AS79" s="1482"/>
      <c r="AT79" s="1483">
        <f>SUM(AH79:AS79)</f>
        <v>7463</v>
      </c>
      <c r="AU79" s="1483">
        <f>AVERAGE(AH79:AS79)</f>
        <v>678.4545454545455</v>
      </c>
      <c r="AW79" s="317">
        <f t="shared" si="31"/>
        <v>-720</v>
      </c>
      <c r="AX79" s="1081">
        <f t="shared" si="32"/>
        <v>269.87121212121218</v>
      </c>
      <c r="AY79" s="317">
        <f t="shared" si="28"/>
        <v>4125</v>
      </c>
      <c r="AZ79" s="594">
        <f t="shared" si="33"/>
        <v>-547</v>
      </c>
    </row>
    <row r="80" spans="1:52" x14ac:dyDescent="0.55000000000000004">
      <c r="A80" s="7514"/>
      <c r="B80" s="120"/>
      <c r="C80" s="1484" t="s">
        <v>559</v>
      </c>
      <c r="D80" s="769">
        <v>2.3E-2</v>
      </c>
      <c r="E80" s="769">
        <v>1.9E-2</v>
      </c>
      <c r="F80" s="769">
        <v>2.9000000000000001E-2</v>
      </c>
      <c r="G80" s="769">
        <v>2.4E-2</v>
      </c>
      <c r="H80" s="769">
        <v>2.7342409335316325E-2</v>
      </c>
      <c r="I80" s="769">
        <v>2.5000000000000001E-2</v>
      </c>
      <c r="J80" s="769">
        <v>2.5396136314304318E-2</v>
      </c>
      <c r="K80" s="769">
        <v>2.3330245093910552E-2</v>
      </c>
      <c r="L80" s="769">
        <v>2.8022078000849153E-2</v>
      </c>
      <c r="M80" s="769">
        <v>2.2722139404616704E-2</v>
      </c>
      <c r="N80" s="769">
        <v>2.9452845084107608E-2</v>
      </c>
      <c r="O80" s="769">
        <v>3.1201593272847977E-2</v>
      </c>
      <c r="P80" s="769">
        <v>2.5275950749903273E-2</v>
      </c>
      <c r="Q80" s="769">
        <v>2.5275950749903273E-2</v>
      </c>
      <c r="S80" s="534">
        <v>2.1169661894608591E-2</v>
      </c>
      <c r="T80" s="769">
        <v>2.5272192640864659E-2</v>
      </c>
      <c r="U80" s="769">
        <v>2.7099999999999999E-2</v>
      </c>
      <c r="V80" s="769">
        <v>2.8364514182257092E-2</v>
      </c>
      <c r="W80" s="769">
        <v>2.7066784348337748E-2</v>
      </c>
      <c r="X80" s="769">
        <v>3.0395778364116097E-2</v>
      </c>
      <c r="Y80" s="769">
        <v>2.4013098053483718E-2</v>
      </c>
      <c r="Z80" s="769">
        <v>2.5950108823036999E-2</v>
      </c>
      <c r="AA80" s="2119">
        <v>1.8507972665148063E-2</v>
      </c>
      <c r="AB80" s="2119">
        <v>4.9112832075286737E-2</v>
      </c>
      <c r="AC80" s="2114">
        <v>4.0115837447778198E-2</v>
      </c>
      <c r="AD80" s="2114">
        <v>4.0474450503119909E-2</v>
      </c>
      <c r="AE80" s="1566">
        <f>AVERAGE(S80:AD80)</f>
        <v>2.9795269249836488E-2</v>
      </c>
      <c r="AF80" s="1485">
        <f t="shared" si="29"/>
        <v>2.9795269249836488E-2</v>
      </c>
      <c r="AH80" s="534">
        <v>3.6777075236382621E-2</v>
      </c>
      <c r="AI80" s="769">
        <v>2.8395061728395062E-2</v>
      </c>
      <c r="AJ80" s="769">
        <v>3.2448824867323728E-2</v>
      </c>
      <c r="AK80" s="769">
        <v>2.828133349775969E-2</v>
      </c>
      <c r="AL80" s="769">
        <v>2.3068272211098004E-2</v>
      </c>
      <c r="AM80" s="769">
        <v>2.6978417266187049E-2</v>
      </c>
      <c r="AN80" s="769">
        <v>2.4701510721247565E-2</v>
      </c>
      <c r="AO80" s="769">
        <v>2.1627728684985675E-2</v>
      </c>
      <c r="AP80" s="769">
        <v>2.5664629206863538E-2</v>
      </c>
      <c r="AQ80" s="769">
        <v>2.1076934534892382E-2</v>
      </c>
      <c r="AR80" s="1566">
        <v>2.4212110481586401E-2</v>
      </c>
      <c r="AS80" s="1484"/>
      <c r="AT80" s="1566">
        <f>AVERAGE(AH80:AS80)</f>
        <v>2.6657445312429248E-2</v>
      </c>
      <c r="AU80" s="1485">
        <f t="shared" ref="AU80:AU91" si="36">AT80</f>
        <v>2.6657445312429248E-2</v>
      </c>
      <c r="AW80" s="761">
        <f t="shared" si="31"/>
        <v>-4.0474450503119909E-2</v>
      </c>
      <c r="AX80" s="761">
        <f t="shared" si="32"/>
        <v>-3.13782393740724E-3</v>
      </c>
      <c r="AY80" s="761">
        <f t="shared" si="28"/>
        <v>-0.25029549773471049</v>
      </c>
      <c r="AZ80" s="594">
        <f t="shared" si="33"/>
        <v>-2.4212110481586401E-2</v>
      </c>
    </row>
    <row r="81" spans="1:52" x14ac:dyDescent="0.55000000000000004">
      <c r="A81" s="7514"/>
      <c r="B81" s="88"/>
      <c r="C81" t="s">
        <v>68</v>
      </c>
      <c r="D81" s="487">
        <v>2.1000000000000001E-2</v>
      </c>
      <c r="E81" s="487">
        <v>1.7000000000000001E-2</v>
      </c>
      <c r="F81" s="487">
        <v>2.3E-2</v>
      </c>
      <c r="G81" s="487">
        <v>2.5000000000000001E-2</v>
      </c>
      <c r="H81" s="487">
        <v>2.6086956521739129E-2</v>
      </c>
      <c r="I81" s="487">
        <v>1.7999999999999999E-2</v>
      </c>
      <c r="J81" s="487">
        <v>1.7735849056603775E-2</v>
      </c>
      <c r="K81" s="487">
        <v>2.1726010863005431E-2</v>
      </c>
      <c r="L81" s="487">
        <v>2.8663892741562644E-2</v>
      </c>
      <c r="M81" s="487">
        <v>2.1642266072565246E-2</v>
      </c>
      <c r="N81" s="487">
        <v>2.1642266072565246E-2</v>
      </c>
      <c r="O81" s="487">
        <v>2.1642266072565246E-2</v>
      </c>
      <c r="P81" s="487">
        <v>2.2399999999999996E-2</v>
      </c>
      <c r="Q81" s="487">
        <v>2.2399999999999996E-2</v>
      </c>
      <c r="S81" s="770">
        <v>1.7154389505549948E-2</v>
      </c>
      <c r="T81" s="487">
        <v>2.3181454836131096E-2</v>
      </c>
      <c r="U81" s="487"/>
      <c r="V81" s="487"/>
      <c r="W81" s="487"/>
      <c r="X81" s="487"/>
      <c r="Y81" s="487"/>
      <c r="Z81" s="487"/>
      <c r="AA81" s="2120"/>
      <c r="AB81" s="2120">
        <v>4.3211976862878532E-2</v>
      </c>
      <c r="AC81" s="2120">
        <v>3.5637918745545262E-2</v>
      </c>
      <c r="AD81" s="2120">
        <v>3.3240997229916899E-2</v>
      </c>
      <c r="AE81" s="1010">
        <f t="shared" ref="AE81:AE91" si="37">AVERAGE(S81:AD81)</f>
        <v>3.048534743600435E-2</v>
      </c>
      <c r="AF81" s="440">
        <f t="shared" si="29"/>
        <v>3.048534743600435E-2</v>
      </c>
      <c r="AH81" s="770">
        <v>3.0014292520247739E-2</v>
      </c>
      <c r="AI81" s="487">
        <v>2.3116181326928852E-2</v>
      </c>
      <c r="AJ81" s="487">
        <v>3.0723905723905723E-2</v>
      </c>
      <c r="AK81" s="487">
        <v>3.3648790746582544E-2</v>
      </c>
      <c r="AL81" s="487">
        <v>2.2659256092347157E-2</v>
      </c>
      <c r="AM81" s="487">
        <v>2.5856496444731737E-2</v>
      </c>
      <c r="AN81" s="487">
        <v>2.8964252978918425E-2</v>
      </c>
      <c r="AO81" s="487">
        <v>2.3227383863080684E-2</v>
      </c>
      <c r="AP81" s="487">
        <v>2.4749306592703222E-2</v>
      </c>
      <c r="AQ81" s="487">
        <v>2.1850302185030219E-2</v>
      </c>
      <c r="AR81" s="1567">
        <v>2.3727137913989126E-2</v>
      </c>
      <c r="AT81" s="1010">
        <f t="shared" ref="AT81:AT91" si="38">AVERAGE(AH81:AS81)</f>
        <v>2.6230664217133215E-2</v>
      </c>
      <c r="AU81" s="440">
        <f t="shared" si="36"/>
        <v>2.6230664217133215E-2</v>
      </c>
      <c r="AW81" s="761">
        <f t="shared" si="31"/>
        <v>-3.3240997229916899E-2</v>
      </c>
      <c r="AX81" s="761">
        <f t="shared" si="32"/>
        <v>-4.2546832188711352E-3</v>
      </c>
      <c r="AY81" s="761">
        <f t="shared" si="28"/>
        <v>-5.7317156987426357E-2</v>
      </c>
      <c r="AZ81" s="594">
        <f t="shared" si="33"/>
        <v>-2.3727137913989126E-2</v>
      </c>
    </row>
    <row r="82" spans="1:52" x14ac:dyDescent="0.55000000000000004">
      <c r="A82" s="7514"/>
      <c r="B82" s="88"/>
      <c r="C82" t="s">
        <v>153</v>
      </c>
      <c r="D82" s="487">
        <v>2.3E-2</v>
      </c>
      <c r="E82" s="487">
        <v>2.5000000000000001E-2</v>
      </c>
      <c r="F82" s="487">
        <v>2.8000000000000001E-2</v>
      </c>
      <c r="G82" s="487">
        <v>1.7999999999999999E-2</v>
      </c>
      <c r="H82" s="487">
        <v>2.649656526005888E-2</v>
      </c>
      <c r="I82" s="487">
        <v>0.03</v>
      </c>
      <c r="J82" s="487">
        <v>1.289134438305709E-2</v>
      </c>
      <c r="K82" s="487">
        <v>2.3825731790333562E-2</v>
      </c>
      <c r="L82" s="487">
        <v>2.4811218985976269E-2</v>
      </c>
      <c r="M82" s="487">
        <v>3.4702549575070823E-2</v>
      </c>
      <c r="N82" s="487">
        <v>3.4702549575070823E-2</v>
      </c>
      <c r="O82" s="487">
        <v>3.4702549575070823E-2</v>
      </c>
      <c r="P82" s="487">
        <v>2.5578189615561339E-2</v>
      </c>
      <c r="Q82" s="487">
        <v>2.5578189615561339E-2</v>
      </c>
      <c r="S82" s="770">
        <v>1.2003000750187547E-2</v>
      </c>
      <c r="T82" s="487">
        <v>1.8376722817764167E-2</v>
      </c>
      <c r="U82" s="487"/>
      <c r="V82" s="487"/>
      <c r="W82" s="487"/>
      <c r="X82" s="487"/>
      <c r="Y82" s="487"/>
      <c r="Z82" s="487"/>
      <c r="AA82" s="2120"/>
      <c r="AB82" s="2120">
        <v>5.0134288272157566E-2</v>
      </c>
      <c r="AC82" s="2120">
        <v>2.8703703703703703E-2</v>
      </c>
      <c r="AD82" s="2120">
        <v>2.1413276231263382E-2</v>
      </c>
      <c r="AE82" s="1010">
        <f t="shared" si="37"/>
        <v>2.6126198355015274E-2</v>
      </c>
      <c r="AF82" s="440">
        <f t="shared" si="29"/>
        <v>2.6126198355015274E-2</v>
      </c>
      <c r="AH82" s="770">
        <v>3.1784841075794622E-2</v>
      </c>
      <c r="AI82" s="487">
        <v>2.5316455696202531E-2</v>
      </c>
      <c r="AJ82" s="487">
        <v>2.7347310847766638E-2</v>
      </c>
      <c r="AK82" s="487">
        <v>3.0844155844155844E-2</v>
      </c>
      <c r="AL82" s="487">
        <v>2.7634660421545668E-2</v>
      </c>
      <c r="AM82" s="487">
        <v>4.0559440559440559E-2</v>
      </c>
      <c r="AN82" s="2347"/>
      <c r="AO82" s="2347"/>
      <c r="AP82" s="2347"/>
      <c r="AQ82" s="2347"/>
      <c r="AR82" s="2347"/>
      <c r="AS82" s="2347"/>
      <c r="AT82" s="1010">
        <f t="shared" si="38"/>
        <v>3.0581144074150978E-2</v>
      </c>
      <c r="AU82" s="440">
        <f t="shared" si="36"/>
        <v>3.0581144074150978E-2</v>
      </c>
      <c r="AW82" s="761">
        <f t="shared" si="31"/>
        <v>-2.1413276231263382E-2</v>
      </c>
      <c r="AX82" s="761">
        <f t="shared" si="32"/>
        <v>4.4549457191357042E-3</v>
      </c>
      <c r="AY82" s="761">
        <f t="shared" si="28"/>
        <v>-4.9932867765958303E-2</v>
      </c>
      <c r="AZ82" s="594">
        <f t="shared" si="33"/>
        <v>0</v>
      </c>
    </row>
    <row r="83" spans="1:52" x14ac:dyDescent="0.55000000000000004">
      <c r="A83" s="7514"/>
      <c r="B83" s="88"/>
      <c r="C83" t="s">
        <v>69</v>
      </c>
      <c r="D83" s="487">
        <v>2.5999999999999999E-2</v>
      </c>
      <c r="E83" s="487">
        <v>1.7999999999999999E-2</v>
      </c>
      <c r="F83" s="487">
        <v>2.3E-2</v>
      </c>
      <c r="G83" s="487">
        <v>2.5999999999999999E-2</v>
      </c>
      <c r="H83" s="487">
        <v>2.9582929194956354E-2</v>
      </c>
      <c r="I83" s="487">
        <v>2.8000000000000001E-2</v>
      </c>
      <c r="J83" s="487">
        <v>3.4452296819787988E-2</v>
      </c>
      <c r="K83" s="487">
        <v>2.7615334632878491E-2</v>
      </c>
      <c r="L83" s="487">
        <v>2.8705882352941175E-2</v>
      </c>
      <c r="M83" s="487">
        <v>2.1540469973890339E-2</v>
      </c>
      <c r="N83" s="487">
        <v>2.1540469973890339E-2</v>
      </c>
      <c r="O83" s="487">
        <v>2.1540469973890339E-2</v>
      </c>
      <c r="P83" s="487">
        <v>2.6433755514444282E-2</v>
      </c>
      <c r="Q83" s="487">
        <v>2.6433755514444282E-2</v>
      </c>
      <c r="S83" s="770">
        <v>1.9237749546279492E-2</v>
      </c>
      <c r="T83" s="487">
        <v>3.563636363636364E-2</v>
      </c>
      <c r="U83" s="487"/>
      <c r="V83" s="487"/>
      <c r="W83" s="487"/>
      <c r="X83" s="487"/>
      <c r="Y83" s="487"/>
      <c r="Z83" s="487"/>
      <c r="AA83" s="2120"/>
      <c r="AB83" s="2120">
        <v>5.3466712659537771E-2</v>
      </c>
      <c r="AC83" s="2120">
        <v>4.0520446096654276E-2</v>
      </c>
      <c r="AD83" s="2120">
        <v>4.4666088464874243E-2</v>
      </c>
      <c r="AE83" s="1010">
        <f t="shared" si="37"/>
        <v>3.870547208074189E-2</v>
      </c>
      <c r="AF83" s="440">
        <f t="shared" si="29"/>
        <v>3.870547208074189E-2</v>
      </c>
      <c r="AH83" s="770">
        <v>3.8928210313447925E-2</v>
      </c>
      <c r="AI83" s="487">
        <v>3.2334618807475526E-2</v>
      </c>
      <c r="AJ83" s="487">
        <v>4.1559554413024849E-2</v>
      </c>
      <c r="AK83" s="487">
        <v>3.7485800833017793E-2</v>
      </c>
      <c r="AL83" s="487">
        <v>2.8464254192409531E-2</v>
      </c>
      <c r="AM83" s="487">
        <v>2.9808597427047379E-2</v>
      </c>
      <c r="AN83" s="487">
        <v>2.4622271964185788E-2</v>
      </c>
      <c r="AO83" s="487">
        <v>2.0563112938943372E-2</v>
      </c>
      <c r="AP83" s="487">
        <v>3.1277150304083408E-2</v>
      </c>
      <c r="AQ83" s="487">
        <v>2.2253521126760562E-2</v>
      </c>
      <c r="AR83" s="1567">
        <v>2.7304756312389902E-2</v>
      </c>
      <c r="AT83" s="1010">
        <f t="shared" si="38"/>
        <v>3.0418349875707816E-2</v>
      </c>
      <c r="AU83" s="440">
        <f t="shared" si="36"/>
        <v>3.0418349875707816E-2</v>
      </c>
      <c r="AW83" s="761">
        <f t="shared" si="31"/>
        <v>-4.4666088464874243E-2</v>
      </c>
      <c r="AX83" s="761">
        <f t="shared" si="32"/>
        <v>-8.287122205034074E-3</v>
      </c>
      <c r="AY83" s="761">
        <f t="shared" si="28"/>
        <v>-7.7922475966473087E-2</v>
      </c>
      <c r="AZ83" s="594">
        <f t="shared" si="33"/>
        <v>-2.7304756312389902E-2</v>
      </c>
    </row>
    <row r="84" spans="1:52" x14ac:dyDescent="0.55000000000000004">
      <c r="A84" s="7514"/>
      <c r="B84" s="88"/>
      <c r="C84" t="s">
        <v>70</v>
      </c>
      <c r="D84" s="487">
        <v>3.3000000000000002E-2</v>
      </c>
      <c r="E84" s="487">
        <v>2.4E-2</v>
      </c>
      <c r="F84" s="487">
        <v>4.1000000000000002E-2</v>
      </c>
      <c r="G84" s="487">
        <v>3.2000000000000001E-2</v>
      </c>
      <c r="H84" s="487">
        <v>3.100088573959256E-2</v>
      </c>
      <c r="I84" s="487">
        <v>0.03</v>
      </c>
      <c r="J84" s="487">
        <v>3.6826119969627945E-2</v>
      </c>
      <c r="K84" s="487">
        <v>3.0864197530864196E-2</v>
      </c>
      <c r="L84" s="487">
        <v>4.4812469556746226E-2</v>
      </c>
      <c r="M84" s="487">
        <v>3.4686090877558098E-2</v>
      </c>
      <c r="N84" s="487">
        <v>3.4686090877558098E-2</v>
      </c>
      <c r="O84" s="487">
        <v>3.4686090877558098E-2</v>
      </c>
      <c r="P84" s="487">
        <v>3.5171975421993074E-2</v>
      </c>
      <c r="Q84" s="487">
        <v>3.5171975421993074E-2</v>
      </c>
      <c r="S84" s="770">
        <v>4.7178538390379277E-2</v>
      </c>
      <c r="T84" s="487"/>
      <c r="U84" s="487"/>
      <c r="V84" s="487"/>
      <c r="W84" s="487"/>
      <c r="X84" s="487"/>
      <c r="Y84" s="487"/>
      <c r="Z84" s="487"/>
      <c r="AA84" s="2120"/>
      <c r="AB84" s="2120">
        <v>7.3908174692049272E-2</v>
      </c>
      <c r="AC84" s="2120">
        <v>5.8711399161265727E-2</v>
      </c>
      <c r="AD84" s="2120">
        <v>8.3410565338276177E-2</v>
      </c>
      <c r="AE84" s="1010">
        <f t="shared" si="37"/>
        <v>6.5802169395492605E-2</v>
      </c>
      <c r="AF84" s="440">
        <f t="shared" si="29"/>
        <v>6.5802169395492605E-2</v>
      </c>
      <c r="AH84" s="770">
        <v>6.1329588014981271E-2</v>
      </c>
      <c r="AI84" s="487">
        <v>4.3623144501666163E-2</v>
      </c>
      <c r="AJ84" s="487">
        <v>4.4468160796869438E-2</v>
      </c>
      <c r="AK84" s="487">
        <v>3.3203125E-2</v>
      </c>
      <c r="AL84" s="487">
        <v>2.4329896907216497E-2</v>
      </c>
      <c r="AM84" s="487">
        <v>3.2499280989358642E-2</v>
      </c>
      <c r="AN84" s="487">
        <v>3.3038065597318651E-2</v>
      </c>
      <c r="AO84" s="487">
        <v>2.8968014484007241E-2</v>
      </c>
      <c r="AP84" s="487">
        <v>3.4015486725663714E-2</v>
      </c>
      <c r="AQ84" s="487">
        <v>2.6788106080900081E-2</v>
      </c>
      <c r="AR84" s="1567">
        <v>3.1871144619602471E-2</v>
      </c>
      <c r="AT84" s="1010">
        <f t="shared" si="38"/>
        <v>3.5830364883416753E-2</v>
      </c>
      <c r="AU84" s="440">
        <f t="shared" si="36"/>
        <v>3.5830364883416753E-2</v>
      </c>
      <c r="AW84" s="761">
        <f t="shared" si="31"/>
        <v>-8.3410565338276177E-2</v>
      </c>
      <c r="AX84" s="761">
        <f t="shared" si="32"/>
        <v>-2.9971804512075852E-2</v>
      </c>
      <c r="AY84" s="761">
        <f t="shared" si="28"/>
        <v>-8.5256348199011789E-2</v>
      </c>
      <c r="AZ84" s="594">
        <f t="shared" si="33"/>
        <v>-3.1871144619602471E-2</v>
      </c>
    </row>
    <row r="85" spans="1:52" x14ac:dyDescent="0.55000000000000004">
      <c r="A85" s="7514"/>
      <c r="B85" s="88"/>
      <c r="C85" t="s">
        <v>73</v>
      </c>
      <c r="D85" s="487">
        <v>2.1999999999999999E-2</v>
      </c>
      <c r="E85" s="487">
        <v>1.7000000000000001E-2</v>
      </c>
      <c r="F85" s="487">
        <v>2.4E-2</v>
      </c>
      <c r="G85" s="487">
        <v>2.1000000000000001E-2</v>
      </c>
      <c r="H85" s="487">
        <v>2.0322085889570553E-2</v>
      </c>
      <c r="I85" s="487">
        <v>2.5999999999999999E-2</v>
      </c>
      <c r="J85" s="487">
        <v>2.3309132594573938E-2</v>
      </c>
      <c r="K85" s="487">
        <v>2.2747680335228972E-2</v>
      </c>
      <c r="L85" s="487">
        <v>2.2718521370812476E-2</v>
      </c>
      <c r="M85" s="487">
        <v>1.7351598173515982E-2</v>
      </c>
      <c r="N85" s="487">
        <v>1.7351598173515982E-2</v>
      </c>
      <c r="O85" s="487">
        <v>1.7351598173515982E-2</v>
      </c>
      <c r="P85" s="487">
        <v>2.1975637727427704E-2</v>
      </c>
      <c r="Q85" s="487">
        <v>2.1975637727427704E-2</v>
      </c>
      <c r="S85" s="770">
        <v>1.607142857142857E-2</v>
      </c>
      <c r="T85" s="487">
        <v>2.5103034844511051E-2</v>
      </c>
      <c r="U85" s="487">
        <v>2.2793053545586108E-2</v>
      </c>
      <c r="V85" s="487">
        <v>2.2793053545586108E-2</v>
      </c>
      <c r="W85" s="487">
        <v>2.7976799727055614E-2</v>
      </c>
      <c r="X85" s="487">
        <v>2.2819285977180713E-2</v>
      </c>
      <c r="Y85" s="487">
        <v>2.1039209435766655E-2</v>
      </c>
      <c r="Z85" s="480">
        <v>2.9214850882531954E-2</v>
      </c>
      <c r="AA85" s="2115">
        <v>1.7806267806267807E-2</v>
      </c>
      <c r="AB85" s="2115">
        <v>3.5087719298245612E-2</v>
      </c>
      <c r="AC85" s="2116">
        <v>2.7777777777777776E-2</v>
      </c>
      <c r="AD85" s="2116">
        <v>2.4691358024691357E-2</v>
      </c>
      <c r="AE85" s="1010">
        <f t="shared" si="37"/>
        <v>2.4431153286385777E-2</v>
      </c>
      <c r="AF85" s="440">
        <f t="shared" si="29"/>
        <v>2.4431153286385777E-2</v>
      </c>
      <c r="AH85" s="770">
        <v>2.5544267053701015E-2</v>
      </c>
      <c r="AI85" s="487">
        <v>1.8514870986803229E-2</v>
      </c>
      <c r="AJ85" s="487">
        <v>2.1897810218978103E-2</v>
      </c>
      <c r="AK85" s="487">
        <v>1.8802482657904344E-2</v>
      </c>
      <c r="AL85" s="487">
        <v>1.7592227911251149E-2</v>
      </c>
      <c r="AM85" s="487">
        <v>1.9702984855168356E-2</v>
      </c>
      <c r="AN85" s="487">
        <v>1.9286657859973581E-2</v>
      </c>
      <c r="AO85" s="480">
        <v>1.2883324260569769E-2</v>
      </c>
      <c r="AP85" s="480">
        <v>1.6266040122898971E-2</v>
      </c>
      <c r="AQ85" s="480">
        <v>1.4964788732394365E-2</v>
      </c>
      <c r="AR85" s="440">
        <v>1.4853857211308098E-2</v>
      </c>
      <c r="AT85" s="1010">
        <f t="shared" si="38"/>
        <v>1.8209937442813726E-2</v>
      </c>
      <c r="AU85" s="440">
        <f t="shared" si="36"/>
        <v>1.8209937442813726E-2</v>
      </c>
      <c r="AW85" s="761">
        <f t="shared" si="31"/>
        <v>-2.4691358024691357E-2</v>
      </c>
      <c r="AX85" s="761">
        <f t="shared" si="32"/>
        <v>-6.2212158435720512E-3</v>
      </c>
      <c r="AY85" s="761">
        <f t="shared" si="28"/>
        <v>-0.2224947661913465</v>
      </c>
      <c r="AZ85" s="594">
        <f t="shared" si="33"/>
        <v>-1.4853857211308098E-2</v>
      </c>
    </row>
    <row r="86" spans="1:52" x14ac:dyDescent="0.55000000000000004">
      <c r="A86" s="7514"/>
      <c r="B86" s="88"/>
      <c r="C86" t="s">
        <v>74</v>
      </c>
      <c r="D86" s="487">
        <v>1.7000000000000001E-2</v>
      </c>
      <c r="E86" s="487">
        <v>1.6E-2</v>
      </c>
      <c r="F86" s="487">
        <v>3.5999999999999997E-2</v>
      </c>
      <c r="G86" s="487">
        <v>2.5000000000000001E-2</v>
      </c>
      <c r="H86" s="487">
        <v>2.7654320987654323E-2</v>
      </c>
      <c r="I86" s="487">
        <v>2.3E-2</v>
      </c>
      <c r="J86" s="487">
        <v>1.8329938900203666E-2</v>
      </c>
      <c r="K86" s="487">
        <v>1.5878744135691087E-2</v>
      </c>
      <c r="L86" s="487">
        <v>2.2714366837024418E-2</v>
      </c>
      <c r="M86" s="487">
        <v>2.0605550883095038E-2</v>
      </c>
      <c r="N86" s="487">
        <v>2.0605550883095038E-2</v>
      </c>
      <c r="O86" s="487">
        <v>2.0605550883095038E-2</v>
      </c>
      <c r="P86" s="487">
        <v>2.210609265480486E-2</v>
      </c>
      <c r="Q86" s="487">
        <v>2.210609265480486E-2</v>
      </c>
      <c r="S86" s="770">
        <v>1.8404907975460124E-2</v>
      </c>
      <c r="T86" s="487">
        <v>2.0936639118457299E-2</v>
      </c>
      <c r="U86" s="487">
        <v>2.0985846754514398E-2</v>
      </c>
      <c r="V86" s="487">
        <v>2.0985846754514398E-2</v>
      </c>
      <c r="W86" s="487">
        <v>2.6315789473684209E-2</v>
      </c>
      <c r="X86" s="487">
        <v>2.9395452024403773E-2</v>
      </c>
      <c r="Y86" s="487">
        <v>2.2841480127912289E-2</v>
      </c>
      <c r="Z86" s="480">
        <v>2.19017094017094E-2</v>
      </c>
      <c r="AA86" s="2115">
        <v>1.8975332068311195E-2</v>
      </c>
      <c r="AB86" s="2115">
        <v>2.268041237113402E-2</v>
      </c>
      <c r="AC86" s="2116">
        <v>2.75049115913556E-2</v>
      </c>
      <c r="AD86" s="2116">
        <v>2.9681597409606044E-2</v>
      </c>
      <c r="AE86" s="1010">
        <f t="shared" si="37"/>
        <v>2.3384160422588562E-2</v>
      </c>
      <c r="AF86" s="440">
        <f t="shared" si="29"/>
        <v>2.3384160422588562E-2</v>
      </c>
      <c r="AH86" s="770">
        <v>2.2410358565737053E-2</v>
      </c>
      <c r="AI86" s="487">
        <v>2.2156084656084655E-2</v>
      </c>
      <c r="AJ86" s="487">
        <v>2.8492647058823529E-2</v>
      </c>
      <c r="AK86" s="487">
        <v>2.3304347826086955E-2</v>
      </c>
      <c r="AL86" s="487">
        <v>1.8155757286192068E-2</v>
      </c>
      <c r="AM86" s="487">
        <v>2.2887821418479795E-2</v>
      </c>
      <c r="AN86" s="487">
        <v>2.0295202952029519E-2</v>
      </c>
      <c r="AO86" s="480">
        <v>2.0274689339437543E-2</v>
      </c>
      <c r="AP86" s="480">
        <v>2.0646319569120289E-2</v>
      </c>
      <c r="AQ86" s="480">
        <v>1.452003226673837E-2</v>
      </c>
      <c r="AR86" s="440">
        <v>1.8275862068965518E-2</v>
      </c>
      <c r="AT86" s="1010">
        <f t="shared" si="38"/>
        <v>2.1038102091608665E-2</v>
      </c>
      <c r="AU86" s="440">
        <f t="shared" si="36"/>
        <v>2.1038102091608665E-2</v>
      </c>
      <c r="AW86" s="761">
        <f t="shared" si="31"/>
        <v>-2.9681597409606044E-2</v>
      </c>
      <c r="AX86" s="761">
        <f t="shared" si="32"/>
        <v>-2.3460583309798978E-3</v>
      </c>
      <c r="AY86" s="761">
        <f t="shared" si="28"/>
        <v>-0.20238531397849244</v>
      </c>
      <c r="AZ86" s="594">
        <f t="shared" si="33"/>
        <v>-1.8275862068965518E-2</v>
      </c>
    </row>
    <row r="87" spans="1:52" x14ac:dyDescent="0.55000000000000004">
      <c r="A87" s="7514"/>
      <c r="B87" s="88"/>
      <c r="C87" t="s">
        <v>75</v>
      </c>
      <c r="D87" s="487">
        <v>0.02</v>
      </c>
      <c r="E87" s="487">
        <v>1.9E-2</v>
      </c>
      <c r="F87" s="487">
        <v>2.8000000000000001E-2</v>
      </c>
      <c r="G87" s="487">
        <v>2.1000000000000001E-2</v>
      </c>
      <c r="H87" s="487">
        <v>2.9018584936419956E-2</v>
      </c>
      <c r="I87" s="487">
        <v>2.5999999999999999E-2</v>
      </c>
      <c r="J87" s="487">
        <v>2.5908372827804109E-2</v>
      </c>
      <c r="K87" s="487">
        <v>2.0792079207920793E-2</v>
      </c>
      <c r="L87" s="487">
        <v>3.0715532286212915E-2</v>
      </c>
      <c r="M87" s="487">
        <v>1.8035516093229745E-2</v>
      </c>
      <c r="N87" s="487">
        <v>1.8035516093229745E-2</v>
      </c>
      <c r="O87" s="487">
        <v>1.8035516093229745E-2</v>
      </c>
      <c r="P87" s="487">
        <v>2.468973149587626E-2</v>
      </c>
      <c r="Q87" s="487">
        <v>2.468973149587626E-2</v>
      </c>
      <c r="S87" s="770">
        <v>2.4471635150166853E-2</v>
      </c>
      <c r="T87" s="487">
        <v>2.2572554639914009E-2</v>
      </c>
      <c r="U87" s="487">
        <v>3.0006523157208087E-2</v>
      </c>
      <c r="V87" s="487">
        <v>3.0006523157208087E-2</v>
      </c>
      <c r="W87" s="487">
        <v>2.556299452221546E-2</v>
      </c>
      <c r="X87" s="487">
        <v>3.1479538300104928E-2</v>
      </c>
      <c r="Y87" s="487">
        <v>2.5162818235642391E-2</v>
      </c>
      <c r="Z87" s="480">
        <v>2.6851098454027666E-2</v>
      </c>
      <c r="AA87" s="2120"/>
      <c r="AB87" s="2120">
        <v>3.724053724053724E-2</v>
      </c>
      <c r="AC87" s="2120">
        <v>3.331385154880187E-2</v>
      </c>
      <c r="AD87" s="2120">
        <v>3.6585365853658534E-2</v>
      </c>
      <c r="AE87" s="1010">
        <f t="shared" si="37"/>
        <v>2.9386676387225922E-2</v>
      </c>
      <c r="AF87" s="440">
        <f t="shared" si="29"/>
        <v>2.9386676387225922E-2</v>
      </c>
      <c r="AH87" s="770">
        <v>3.6720142602495544E-2</v>
      </c>
      <c r="AI87" s="487">
        <v>2.9754204398447608E-2</v>
      </c>
      <c r="AJ87" s="487">
        <v>3.0094043887147336E-2</v>
      </c>
      <c r="AK87" s="487">
        <v>2.6175213675213676E-2</v>
      </c>
      <c r="AL87" s="487">
        <v>2.2610294117647058E-2</v>
      </c>
      <c r="AM87" s="487">
        <v>2.825361512791991E-2</v>
      </c>
      <c r="AN87" s="487">
        <v>2.2753567296567682E-2</v>
      </c>
      <c r="AO87" s="480">
        <v>3.0356100408639813E-2</v>
      </c>
      <c r="AP87" s="487">
        <v>2.4222335543090261E-2</v>
      </c>
      <c r="AQ87" s="487">
        <v>2.5167785234899327E-2</v>
      </c>
      <c r="AR87" s="1567">
        <v>3.1488549618320608E-2</v>
      </c>
      <c r="AT87" s="1010">
        <f t="shared" si="38"/>
        <v>2.7963259264580799E-2</v>
      </c>
      <c r="AU87" s="440">
        <f t="shared" si="36"/>
        <v>2.7963259264580799E-2</v>
      </c>
      <c r="AW87" s="761">
        <f t="shared" si="31"/>
        <v>-3.6585365853658534E-2</v>
      </c>
      <c r="AX87" s="761">
        <f t="shared" si="32"/>
        <v>-1.423417122645123E-3</v>
      </c>
      <c r="AY87" s="761">
        <f t="shared" si="28"/>
        <v>-0.22539096359244395</v>
      </c>
      <c r="AZ87" s="594">
        <f t="shared" si="33"/>
        <v>-3.1488549618320608E-2</v>
      </c>
    </row>
    <row r="88" spans="1:52" x14ac:dyDescent="0.55000000000000004">
      <c r="A88" s="7514"/>
      <c r="B88" s="1488"/>
      <c r="C88" s="1489" t="s">
        <v>76</v>
      </c>
      <c r="D88" s="772">
        <v>2.3E-2</v>
      </c>
      <c r="E88" s="772">
        <v>0.02</v>
      </c>
      <c r="F88" s="772">
        <v>0.03</v>
      </c>
      <c r="G88" s="772">
        <v>2.1999999999999999E-2</v>
      </c>
      <c r="H88" s="772">
        <v>2.9273392577104027E-2</v>
      </c>
      <c r="I88" s="772">
        <v>2.5000000000000001E-2</v>
      </c>
      <c r="J88" s="772">
        <v>2.587890625E-2</v>
      </c>
      <c r="K88" s="772">
        <v>2.3728813559322035E-2</v>
      </c>
      <c r="L88" s="772">
        <v>1.8537074148296594E-2</v>
      </c>
      <c r="M88" s="772">
        <v>2.0683832840861123E-2</v>
      </c>
      <c r="N88" s="772">
        <v>2.0683832840861123E-2</v>
      </c>
      <c r="O88" s="772">
        <v>2.0683832840861123E-2</v>
      </c>
      <c r="P88" s="772">
        <v>2.4345829539606505E-2</v>
      </c>
      <c r="Q88" s="772">
        <v>2.4345829539606505E-2</v>
      </c>
      <c r="S88" s="771">
        <v>2.6747195858498704E-2</v>
      </c>
      <c r="T88" s="772">
        <v>2.9571217348447511E-2</v>
      </c>
      <c r="U88" s="772">
        <v>3.4417727487034415E-2</v>
      </c>
      <c r="V88" s="772">
        <v>3.4417727487034415E-2</v>
      </c>
      <c r="W88" s="772">
        <v>2.9100529100529099E-2</v>
      </c>
      <c r="X88" s="772">
        <v>3.9599236641221371E-2</v>
      </c>
      <c r="Y88" s="772">
        <v>2.7510917030567687E-2</v>
      </c>
      <c r="Z88" s="487">
        <v>0</v>
      </c>
      <c r="AA88" s="2120"/>
      <c r="AB88" s="2120">
        <v>8.5783132530120487E-2</v>
      </c>
      <c r="AC88" s="2121">
        <v>7.1825566481402314E-2</v>
      </c>
      <c r="AD88" s="2121">
        <v>5.0051599587203302E-2</v>
      </c>
      <c r="AE88" s="1010">
        <f t="shared" si="37"/>
        <v>3.9002259050187206E-2</v>
      </c>
      <c r="AF88" s="1490">
        <f t="shared" si="29"/>
        <v>3.9002259050187206E-2</v>
      </c>
      <c r="AH88" s="771">
        <v>5.1794871794871793E-2</v>
      </c>
      <c r="AI88" s="772">
        <v>3.6809815950920248E-2</v>
      </c>
      <c r="AJ88" s="772">
        <v>3.8167938931297711E-2</v>
      </c>
      <c r="AK88" s="772">
        <v>3.4950657894736843E-2</v>
      </c>
      <c r="AL88" s="772">
        <v>3.1798608810864527E-2</v>
      </c>
      <c r="AM88" s="772">
        <v>3.3004714959279896E-2</v>
      </c>
      <c r="AN88" s="772">
        <v>2.7958387516254877E-2</v>
      </c>
      <c r="AO88" s="487">
        <v>1.9343229869545658E-2</v>
      </c>
      <c r="AP88" s="487">
        <v>3.6852207293666027E-2</v>
      </c>
      <c r="AQ88" s="487">
        <v>2.7898866608544029E-2</v>
      </c>
      <c r="AR88" s="1568">
        <v>2.5449101796407185E-2</v>
      </c>
      <c r="AS88" s="1489"/>
      <c r="AT88" s="1010">
        <f t="shared" si="38"/>
        <v>3.3093491038762614E-2</v>
      </c>
      <c r="AU88" s="1490">
        <f t="shared" si="36"/>
        <v>3.3093491038762614E-2</v>
      </c>
      <c r="AW88" s="761">
        <f t="shared" si="31"/>
        <v>-5.0051599587203302E-2</v>
      </c>
      <c r="AX88" s="761">
        <f t="shared" si="32"/>
        <v>-5.9087680114245922E-3</v>
      </c>
      <c r="AY88" s="761">
        <f t="shared" si="28"/>
        <v>-0.27405419244469104</v>
      </c>
      <c r="AZ88" s="594">
        <f t="shared" si="33"/>
        <v>-2.5449101796407185E-2</v>
      </c>
    </row>
    <row r="89" spans="1:52" x14ac:dyDescent="0.55000000000000004">
      <c r="A89" s="7514"/>
      <c r="B89" s="7516" t="s">
        <v>560</v>
      </c>
      <c r="C89" s="900"/>
      <c r="D89" s="535">
        <v>7.4546773023930382E-2</v>
      </c>
      <c r="E89" s="535">
        <v>4.7979797979797977E-2</v>
      </c>
      <c r="F89" s="535">
        <v>4.7410008779631259E-2</v>
      </c>
      <c r="G89" s="535">
        <v>6.7354882382805889E-2</v>
      </c>
      <c r="H89" s="535">
        <v>5.6459107806691451E-2</v>
      </c>
      <c r="I89" s="535">
        <v>5.6325604838709679E-2</v>
      </c>
      <c r="J89" s="535">
        <v>6.3156315631563154E-2</v>
      </c>
      <c r="K89" s="535">
        <v>4.9375441904312985E-2</v>
      </c>
      <c r="L89" s="535">
        <v>9.1325362503179852E-2</v>
      </c>
      <c r="M89" s="535">
        <v>1.8892471293625205E-2</v>
      </c>
      <c r="N89" s="535">
        <v>9.7301406309388064E-2</v>
      </c>
      <c r="O89" s="535">
        <v>2.3728813559322035E-2</v>
      </c>
      <c r="P89" s="535">
        <v>5.9916313429377532E-2</v>
      </c>
      <c r="Q89" s="535">
        <v>5.9916313429377532E-2</v>
      </c>
      <c r="S89" s="508">
        <v>9.4311818449749479E-3</v>
      </c>
      <c r="T89" s="535">
        <v>8.3102493074792248E-3</v>
      </c>
      <c r="U89" s="535">
        <v>9.2217723796671168E-3</v>
      </c>
      <c r="V89" s="535">
        <v>5.4499534760069123E-3</v>
      </c>
      <c r="W89" s="535">
        <v>6.6944361797084198E-3</v>
      </c>
      <c r="X89" s="535">
        <v>5.5955235811350921E-3</v>
      </c>
      <c r="Y89" s="535">
        <v>4.8470160557406846E-3</v>
      </c>
      <c r="Z89" s="1109">
        <v>6.6045417533701261E-3</v>
      </c>
      <c r="AA89" s="2122">
        <v>2.7960079220224459E-3</v>
      </c>
      <c r="AB89" s="2122">
        <v>2.5505685642424458E-3</v>
      </c>
      <c r="AC89" s="2123">
        <v>1.3290017720023627E-2</v>
      </c>
      <c r="AD89" s="2123">
        <v>9.9469496021220159E-4</v>
      </c>
      <c r="AE89" s="2272">
        <f t="shared" si="37"/>
        <v>6.3154969787152715E-3</v>
      </c>
      <c r="AF89" s="1012">
        <f t="shared" si="29"/>
        <v>6.3154969787152715E-3</v>
      </c>
      <c r="AH89" s="508">
        <v>3.549035845262037E-4</v>
      </c>
      <c r="AI89" s="535">
        <v>1.7094747638787982E-3</v>
      </c>
      <c r="AJ89" s="535">
        <v>1.4429022949017452E-3</v>
      </c>
      <c r="AK89" s="535">
        <v>9.2715999304630002E-4</v>
      </c>
      <c r="AL89" s="535">
        <v>5.6862393008918414E-4</v>
      </c>
      <c r="AM89" s="535">
        <v>5.6862393008918414E-4</v>
      </c>
      <c r="AN89" s="535">
        <v>1.5289832261546072E-3</v>
      </c>
      <c r="AO89" s="1109">
        <v>9.8535111344675826E-4</v>
      </c>
      <c r="AP89" s="1109">
        <v>7.7497246808337075E-4</v>
      </c>
      <c r="AQ89" s="1109">
        <v>8.0424642110342611E-4</v>
      </c>
      <c r="AR89" s="1569">
        <v>7.0425999999999996E-4</v>
      </c>
      <c r="AS89" s="902"/>
      <c r="AT89" s="2272">
        <f t="shared" si="38"/>
        <v>9.4268197502905262E-4</v>
      </c>
      <c r="AU89" s="1012">
        <f t="shared" si="36"/>
        <v>9.4268197502905262E-4</v>
      </c>
      <c r="AW89" s="761">
        <f t="shared" si="31"/>
        <v>-9.9469496021220159E-4</v>
      </c>
      <c r="AX89" s="761">
        <f t="shared" si="32"/>
        <v>-5.3728150036862193E-3</v>
      </c>
      <c r="AY89" s="761">
        <f t="shared" si="28"/>
        <v>-6.0558569089318372E-2</v>
      </c>
      <c r="AZ89" s="594">
        <f t="shared" si="33"/>
        <v>-7.0425999999999996E-4</v>
      </c>
    </row>
    <row r="90" spans="1:52" x14ac:dyDescent="0.55000000000000004">
      <c r="A90" s="7514"/>
      <c r="B90" s="7517"/>
      <c r="C90" s="927" t="s">
        <v>21</v>
      </c>
      <c r="D90" s="537">
        <v>0.13200000000000001</v>
      </c>
      <c r="E90" s="537">
        <v>7.5999999999999998E-2</v>
      </c>
      <c r="F90" s="537">
        <v>6.9000000000000006E-2</v>
      </c>
      <c r="G90" s="537">
        <v>0.10299999999999999</v>
      </c>
      <c r="H90" s="537">
        <v>7.1999999999999995E-2</v>
      </c>
      <c r="I90" s="537">
        <v>0.09</v>
      </c>
      <c r="J90" s="537">
        <v>9.6437880104257162E-2</v>
      </c>
      <c r="K90" s="537">
        <v>6.5000000000000002E-2</v>
      </c>
      <c r="L90" s="537">
        <v>0.16866812227074235</v>
      </c>
      <c r="M90" s="537">
        <v>1.7560707916037865E-2</v>
      </c>
      <c r="N90" s="537">
        <v>0.15030885380919698</v>
      </c>
      <c r="O90" s="537">
        <v>9.017132551848512E-3</v>
      </c>
      <c r="P90" s="537">
        <v>9.0106591365844965E-2</v>
      </c>
      <c r="Q90" s="537">
        <v>9.0106591365844965E-2</v>
      </c>
      <c r="S90" s="536">
        <v>1.6823687752355317E-2</v>
      </c>
      <c r="T90" s="537">
        <v>5.9288537549407111E-3</v>
      </c>
      <c r="U90" s="537">
        <v>1.0596427490160459E-2</v>
      </c>
      <c r="V90" s="537">
        <v>6.6568047337278108E-3</v>
      </c>
      <c r="W90" s="537">
        <v>6.974248927038627E-3</v>
      </c>
      <c r="X90" s="537">
        <v>6.2597809076682318E-3</v>
      </c>
      <c r="Y90" s="537">
        <v>1.9193857965451055E-3</v>
      </c>
      <c r="Z90" s="1110">
        <v>2.8320016182866391E-3</v>
      </c>
      <c r="AA90" s="2124">
        <v>2.8320016182866391E-3</v>
      </c>
      <c r="AB90" s="2124">
        <v>2.7485774905969718E-3</v>
      </c>
      <c r="AC90" s="2125">
        <v>0</v>
      </c>
      <c r="AD90" s="2125">
        <v>0</v>
      </c>
      <c r="AE90" s="1010">
        <f t="shared" si="37"/>
        <v>5.2976475074672088E-3</v>
      </c>
      <c r="AF90" s="1491">
        <f t="shared" si="29"/>
        <v>5.2976475074672088E-3</v>
      </c>
      <c r="AH90" s="536">
        <v>0</v>
      </c>
      <c r="AI90" s="537">
        <v>0</v>
      </c>
      <c r="AJ90" s="537">
        <v>0</v>
      </c>
      <c r="AK90" s="537">
        <v>0</v>
      </c>
      <c r="AL90" s="537">
        <v>0</v>
      </c>
      <c r="AM90" s="537">
        <v>0</v>
      </c>
      <c r="AN90" s="537">
        <v>0</v>
      </c>
      <c r="AO90" s="1110">
        <v>0</v>
      </c>
      <c r="AP90" s="1110">
        <v>0</v>
      </c>
      <c r="AQ90" s="1110">
        <v>0</v>
      </c>
      <c r="AR90" s="1570">
        <v>0</v>
      </c>
      <c r="AS90" s="927"/>
      <c r="AT90" s="1010">
        <f t="shared" si="38"/>
        <v>0</v>
      </c>
      <c r="AU90" s="1491">
        <f t="shared" si="36"/>
        <v>0</v>
      </c>
      <c r="AW90" s="761">
        <f t="shared" si="31"/>
        <v>0</v>
      </c>
      <c r="AX90" s="761">
        <f t="shared" si="32"/>
        <v>-5.2976475074672088E-3</v>
      </c>
      <c r="AY90" s="761">
        <f t="shared" si="28"/>
        <v>-6.3571770089606502E-2</v>
      </c>
      <c r="AZ90" s="594">
        <f t="shared" si="33"/>
        <v>0</v>
      </c>
    </row>
    <row r="91" spans="1:52" ht="18" thickBot="1" x14ac:dyDescent="0.6">
      <c r="A91" s="7514"/>
      <c r="B91" s="7518"/>
      <c r="C91" s="901" t="s">
        <v>22</v>
      </c>
      <c r="D91" s="539">
        <v>0.01</v>
      </c>
      <c r="E91" s="539">
        <v>1.4999999999999999E-2</v>
      </c>
      <c r="F91" s="539">
        <v>2.9000000000000001E-2</v>
      </c>
      <c r="G91" s="539">
        <v>0.03</v>
      </c>
      <c r="H91" s="539">
        <v>3.7999999999999999E-2</v>
      </c>
      <c r="I91" s="539">
        <v>1.7999999999999999E-2</v>
      </c>
      <c r="J91" s="539">
        <v>2.7388733271086211E-2</v>
      </c>
      <c r="K91" s="539">
        <v>1.9E-2</v>
      </c>
      <c r="L91" s="539">
        <v>2.3820867079561697E-2</v>
      </c>
      <c r="M91" s="539">
        <v>2.5153176394711384E-2</v>
      </c>
      <c r="N91" s="539">
        <v>3.1516183986371377E-2</v>
      </c>
      <c r="O91" s="539">
        <v>4.079497907949791E-2</v>
      </c>
      <c r="P91" s="539">
        <v>2.5073399882560188E-2</v>
      </c>
      <c r="Q91" s="539">
        <v>2.5073399882560188E-2</v>
      </c>
      <c r="S91" s="538">
        <v>3.6706869428421605E-3</v>
      </c>
      <c r="T91" s="539">
        <v>1.5638575152041704E-2</v>
      </c>
      <c r="U91" s="539">
        <v>5.2493438320209973E-3</v>
      </c>
      <c r="V91" s="539">
        <v>2.3640661938534278E-3</v>
      </c>
      <c r="W91" s="539">
        <v>5.3097345132743362E-3</v>
      </c>
      <c r="X91" s="539">
        <v>4.4223327805417356E-3</v>
      </c>
      <c r="Y91" s="539">
        <v>1.5804597701149427E-2</v>
      </c>
      <c r="Z91" s="1111">
        <v>3.8593481989708404E-2</v>
      </c>
      <c r="AA91" s="2126">
        <v>3.8593481989708404E-2</v>
      </c>
      <c r="AB91" s="2126">
        <v>2.0024028834601522E-3</v>
      </c>
      <c r="AC91" s="2127">
        <v>1.3290017720023627E-2</v>
      </c>
      <c r="AD91" s="2127">
        <v>1.2145748987854251E-2</v>
      </c>
      <c r="AE91" s="1010">
        <f t="shared" si="37"/>
        <v>1.3090372557206555E-2</v>
      </c>
      <c r="AF91" s="1013">
        <f t="shared" si="29"/>
        <v>1.3090372557206555E-2</v>
      </c>
      <c r="AH91" s="538">
        <v>2.0732550103662751E-3</v>
      </c>
      <c r="AI91" s="539">
        <v>7.3787124146836381E-3</v>
      </c>
      <c r="AJ91" s="539">
        <v>5.6833558863328823E-3</v>
      </c>
      <c r="AK91" s="539">
        <v>5.3547523427041497E-3</v>
      </c>
      <c r="AL91" s="539">
        <v>5.1130247578040902E-3</v>
      </c>
      <c r="AM91" s="539">
        <v>5.6121388484722508E-3</v>
      </c>
      <c r="AN91" s="539">
        <v>8.5923679555218596E-3</v>
      </c>
      <c r="AO91" s="1111">
        <v>6.9188191881918819E-3</v>
      </c>
      <c r="AP91" s="1111">
        <v>7.4803149606299212E-3</v>
      </c>
      <c r="AQ91" s="1111">
        <v>5.6796667928814843E-3</v>
      </c>
      <c r="AR91" s="1571">
        <v>7.1942446043165471E-3</v>
      </c>
      <c r="AS91" s="901"/>
      <c r="AT91" s="1010">
        <f t="shared" si="38"/>
        <v>6.098241160173181E-3</v>
      </c>
      <c r="AU91" s="1013">
        <f t="shared" si="36"/>
        <v>6.098241160173181E-3</v>
      </c>
      <c r="AW91" s="761">
        <f t="shared" si="31"/>
        <v>-1.2145748987854251E-2</v>
      </c>
      <c r="AX91" s="761">
        <f t="shared" si="32"/>
        <v>-6.9921313970333736E-3</v>
      </c>
      <c r="AY91" s="761">
        <f t="shared" si="28"/>
        <v>-0.12555046281842758</v>
      </c>
      <c r="AZ91" s="594">
        <f t="shared" si="33"/>
        <v>-7.1942446043165471E-3</v>
      </c>
    </row>
    <row r="92" spans="1:52" x14ac:dyDescent="0.55000000000000004">
      <c r="A92" s="7514"/>
      <c r="B92" s="476" t="s">
        <v>565</v>
      </c>
      <c r="C92" s="50" t="s">
        <v>561</v>
      </c>
      <c r="D92" s="541">
        <v>208</v>
      </c>
      <c r="E92" s="541">
        <v>299</v>
      </c>
      <c r="F92" s="541">
        <v>144</v>
      </c>
      <c r="G92" s="541">
        <v>222</v>
      </c>
      <c r="H92" s="541">
        <v>227</v>
      </c>
      <c r="I92" s="541">
        <v>225</v>
      </c>
      <c r="J92" s="541">
        <v>149</v>
      </c>
      <c r="K92" s="541">
        <v>195</v>
      </c>
      <c r="L92" s="541">
        <v>65</v>
      </c>
      <c r="M92" s="541">
        <v>156</v>
      </c>
      <c r="N92" s="541">
        <v>142</v>
      </c>
      <c r="O92" s="541">
        <v>81</v>
      </c>
      <c r="P92" s="541">
        <v>2113</v>
      </c>
      <c r="Q92" s="541">
        <v>176.08333333333334</v>
      </c>
      <c r="S92" s="540">
        <v>138</v>
      </c>
      <c r="T92" s="541">
        <v>85</v>
      </c>
      <c r="U92" s="541">
        <v>65</v>
      </c>
      <c r="V92" s="541">
        <v>60</v>
      </c>
      <c r="W92" s="541">
        <v>95</v>
      </c>
      <c r="X92" s="541">
        <v>70</v>
      </c>
      <c r="Y92" s="541">
        <v>58</v>
      </c>
      <c r="Z92" s="541">
        <v>55</v>
      </c>
      <c r="AA92" s="2236">
        <v>55</v>
      </c>
      <c r="AB92" s="2236">
        <v>59</v>
      </c>
      <c r="AC92" s="2236">
        <v>27</v>
      </c>
      <c r="AD92" s="2236">
        <v>50</v>
      </c>
      <c r="AE92" s="918">
        <f>SUM(S92:AD92)</f>
        <v>817</v>
      </c>
      <c r="AF92" s="918">
        <f>AVERAGE(S92:AD92)</f>
        <v>68.083333333333329</v>
      </c>
      <c r="AH92" s="540">
        <v>37</v>
      </c>
      <c r="AI92" s="541">
        <v>59</v>
      </c>
      <c r="AJ92" s="541">
        <v>37</v>
      </c>
      <c r="AK92" s="541">
        <v>22</v>
      </c>
      <c r="AL92" s="541">
        <v>55</v>
      </c>
      <c r="AM92" s="541">
        <v>69</v>
      </c>
      <c r="AN92" s="541">
        <v>46</v>
      </c>
      <c r="AO92" s="541">
        <v>55</v>
      </c>
      <c r="AP92" s="2436">
        <v>62</v>
      </c>
      <c r="AQ92" s="2436">
        <v>34</v>
      </c>
      <c r="AR92" s="50"/>
      <c r="AS92" s="50"/>
      <c r="AT92" s="918">
        <f>SUM(AH92:AS92)</f>
        <v>476</v>
      </c>
      <c r="AU92" s="918">
        <f>AVERAGE(AH92:AS92)</f>
        <v>47.6</v>
      </c>
      <c r="AW92" s="317">
        <f t="shared" si="31"/>
        <v>-50</v>
      </c>
      <c r="AX92" s="1080">
        <f t="shared" si="32"/>
        <v>-20.483333333333327</v>
      </c>
      <c r="AY92" s="317">
        <f t="shared" ref="AY92:AY119" si="39">AT92-SUM(S92:Z92)</f>
        <v>-150</v>
      </c>
      <c r="AZ92" s="594">
        <f t="shared" si="33"/>
        <v>0</v>
      </c>
    </row>
    <row r="93" spans="1:52" x14ac:dyDescent="0.55000000000000004">
      <c r="A93" s="7514"/>
      <c r="B93" s="248" t="s">
        <v>1111</v>
      </c>
      <c r="C93" s="446" t="s">
        <v>562</v>
      </c>
      <c r="D93" s="479">
        <v>6964</v>
      </c>
      <c r="E93" s="479">
        <v>8431</v>
      </c>
      <c r="F93" s="479">
        <v>8004</v>
      </c>
      <c r="G93" s="479">
        <v>7698</v>
      </c>
      <c r="H93" s="479">
        <v>8516</v>
      </c>
      <c r="I93" s="479">
        <v>8032</v>
      </c>
      <c r="J93" s="479">
        <v>6776</v>
      </c>
      <c r="K93" s="479">
        <v>9085</v>
      </c>
      <c r="L93" s="479">
        <v>7124</v>
      </c>
      <c r="M93" s="479">
        <v>8483</v>
      </c>
      <c r="N93" s="479">
        <v>7896</v>
      </c>
      <c r="O93" s="479">
        <v>5865</v>
      </c>
      <c r="P93" s="479">
        <v>92874</v>
      </c>
      <c r="Q93" s="479">
        <v>7739.5</v>
      </c>
      <c r="S93" s="483">
        <v>7998</v>
      </c>
      <c r="T93" s="479">
        <v>6450</v>
      </c>
      <c r="U93" s="479">
        <v>7753</v>
      </c>
      <c r="V93" s="479">
        <v>7779</v>
      </c>
      <c r="W93" s="479">
        <v>8814</v>
      </c>
      <c r="X93" s="479">
        <v>7618</v>
      </c>
      <c r="Y93" s="479">
        <v>8785</v>
      </c>
      <c r="Z93" s="479">
        <v>7947</v>
      </c>
      <c r="AA93" s="2237">
        <v>8076</v>
      </c>
      <c r="AB93" s="2237">
        <v>8428</v>
      </c>
      <c r="AC93" s="2237">
        <v>8138</v>
      </c>
      <c r="AD93" s="2237">
        <v>7402</v>
      </c>
      <c r="AE93" s="1492">
        <f>SUM(S93:AD93)</f>
        <v>95188</v>
      </c>
      <c r="AF93" s="1492">
        <f>AVERAGE(S93:AD93)</f>
        <v>7932.333333333333</v>
      </c>
      <c r="AH93" s="483">
        <v>6785</v>
      </c>
      <c r="AI93" s="479">
        <v>10150</v>
      </c>
      <c r="AJ93" s="479">
        <v>8741</v>
      </c>
      <c r="AK93" s="479">
        <v>9631</v>
      </c>
      <c r="AL93" s="479">
        <v>16790</v>
      </c>
      <c r="AM93" s="479">
        <v>11328</v>
      </c>
      <c r="AN93" s="479">
        <v>13507</v>
      </c>
      <c r="AO93" s="479">
        <v>10090</v>
      </c>
      <c r="AP93" s="2437">
        <v>9466</v>
      </c>
      <c r="AQ93" s="2437">
        <v>7342</v>
      </c>
      <c r="AR93" s="446"/>
      <c r="AS93" s="446"/>
      <c r="AT93" s="1492">
        <f>SUM(AH93:AS93)</f>
        <v>103830</v>
      </c>
      <c r="AU93" s="1492">
        <f>AVERAGE(AH93:AS93)</f>
        <v>10383</v>
      </c>
      <c r="AW93" s="317">
        <f t="shared" si="31"/>
        <v>-7402</v>
      </c>
      <c r="AX93" s="1080">
        <f t="shared" si="32"/>
        <v>2450.666666666667</v>
      </c>
      <c r="AY93" s="317">
        <f t="shared" si="39"/>
        <v>40686</v>
      </c>
      <c r="AZ93" s="594">
        <f t="shared" si="33"/>
        <v>0</v>
      </c>
    </row>
    <row r="94" spans="1:52" x14ac:dyDescent="0.55000000000000004">
      <c r="A94" s="7514"/>
      <c r="B94" s="118"/>
      <c r="C94" s="1493" t="s">
        <v>563</v>
      </c>
      <c r="D94" s="768">
        <v>3.2118591723285982E-2</v>
      </c>
      <c r="E94" s="768">
        <v>3.8249968018421392E-2</v>
      </c>
      <c r="F94" s="768">
        <v>1.9179541822056473E-2</v>
      </c>
      <c r="G94" s="768">
        <v>3.0477759472817133E-2</v>
      </c>
      <c r="H94" s="768">
        <v>2.8080158337456706E-2</v>
      </c>
      <c r="I94" s="768">
        <v>3.0048076923076924E-2</v>
      </c>
      <c r="J94" s="768">
        <v>2.4E-2</v>
      </c>
      <c r="K94" s="768">
        <v>2.3E-2</v>
      </c>
      <c r="L94" s="768">
        <v>0.01</v>
      </c>
      <c r="M94" s="768">
        <v>1.7999999999999999E-2</v>
      </c>
      <c r="N94" s="768">
        <v>1.7999999999999999E-2</v>
      </c>
      <c r="O94" s="768">
        <v>1.4E-2</v>
      </c>
      <c r="P94" s="768">
        <v>2.3E-2</v>
      </c>
      <c r="Q94" s="768">
        <v>2.3E-2</v>
      </c>
      <c r="S94" s="526">
        <v>1.72543135783946E-2</v>
      </c>
      <c r="T94" s="768">
        <v>1.3178294573643411E-2</v>
      </c>
      <c r="U94" s="768">
        <v>8.3838514123565078E-3</v>
      </c>
      <c r="V94" s="768">
        <v>7.7130736598534514E-3</v>
      </c>
      <c r="W94" s="768">
        <v>1.0800000000000001E-2</v>
      </c>
      <c r="X94" s="768">
        <f>X92/X93</f>
        <v>9.1887634549750585E-3</v>
      </c>
      <c r="Y94" s="768">
        <f>Y92/Y93</f>
        <v>6.6021627774615821E-3</v>
      </c>
      <c r="Z94" s="768">
        <v>6.9208506354599218E-3</v>
      </c>
      <c r="AA94" s="2238">
        <v>6.8103021297672116E-3</v>
      </c>
      <c r="AB94" s="2238">
        <v>7.0004746084480303E-3</v>
      </c>
      <c r="AC94" s="2238">
        <v>3.3177684934873435E-3</v>
      </c>
      <c r="AD94" s="2238">
        <v>6.754931099702783E-3</v>
      </c>
      <c r="AE94" s="2269">
        <f>AVERAGE(S94:AD94)</f>
        <v>8.6603988686291596E-3</v>
      </c>
      <c r="AF94" s="1494">
        <f>AE94</f>
        <v>8.6603988686291596E-3</v>
      </c>
      <c r="AH94" s="526">
        <v>6.1901252763448787E-3</v>
      </c>
      <c r="AI94" s="768">
        <v>6.0098522167487687E-3</v>
      </c>
      <c r="AJ94" s="768">
        <v>4.23292529458872E-3</v>
      </c>
      <c r="AK94" s="768">
        <v>2.2842903125324474E-3</v>
      </c>
      <c r="AL94" s="768">
        <v>3.2757593805836809E-3</v>
      </c>
      <c r="AM94" s="768">
        <v>6.0911016949152545E-3</v>
      </c>
      <c r="AN94" s="768">
        <v>3.4056415192122605E-3</v>
      </c>
      <c r="AO94" s="768">
        <v>5.4509415262636272E-3</v>
      </c>
      <c r="AP94" s="2269">
        <v>7.1836044791886754E-3</v>
      </c>
      <c r="AQ94" s="2269">
        <v>4.630890765459003E-3</v>
      </c>
      <c r="AR94" s="1493"/>
      <c r="AS94" s="1493"/>
      <c r="AT94" s="2269">
        <f>AVERAGE(AH94:AS94)</f>
        <v>4.8755132465837315E-3</v>
      </c>
      <c r="AU94" s="1494">
        <f>AT94</f>
        <v>4.8755132465837315E-3</v>
      </c>
      <c r="AW94" s="761">
        <f t="shared" si="31"/>
        <v>-6.754931099702783E-3</v>
      </c>
      <c r="AX94" s="761">
        <f t="shared" si="32"/>
        <v>-3.7848856220454282E-3</v>
      </c>
      <c r="AY94" s="761">
        <f t="shared" si="39"/>
        <v>-7.5165796845560795E-2</v>
      </c>
      <c r="AZ94" s="594">
        <f t="shared" si="33"/>
        <v>0</v>
      </c>
    </row>
    <row r="95" spans="1:52" x14ac:dyDescent="0.55000000000000004">
      <c r="A95" s="7514"/>
      <c r="B95" s="784"/>
      <c r="C95" s="1493" t="s">
        <v>564</v>
      </c>
      <c r="D95" s="768">
        <v>0.36814159292035398</v>
      </c>
      <c r="E95" s="768">
        <v>0.47235387045813587</v>
      </c>
      <c r="F95" s="768">
        <v>0.26716141001855287</v>
      </c>
      <c r="G95" s="768">
        <v>0.34796238244514105</v>
      </c>
      <c r="H95" s="768">
        <v>0.36146496815286622</v>
      </c>
      <c r="I95" s="768">
        <v>0.39893617021276595</v>
      </c>
      <c r="J95" s="768">
        <v>0.27100000000000002</v>
      </c>
      <c r="K95" s="768">
        <v>0.30299999999999999</v>
      </c>
      <c r="L95" s="768">
        <v>0.16700000000000001</v>
      </c>
      <c r="M95" s="768">
        <v>0.29099999999999998</v>
      </c>
      <c r="N95" s="768">
        <v>0.247</v>
      </c>
      <c r="O95" s="768">
        <v>0.19900000000000001</v>
      </c>
      <c r="P95" s="768">
        <v>0.317</v>
      </c>
      <c r="Q95" s="768">
        <v>0.317</v>
      </c>
      <c r="S95" s="526">
        <v>0.20799999999999999</v>
      </c>
      <c r="T95" s="768">
        <v>0.18240343347639484</v>
      </c>
      <c r="U95" s="768">
        <v>0.11423550087873462</v>
      </c>
      <c r="V95" s="768">
        <v>0.14117647058823529</v>
      </c>
      <c r="W95" s="768">
        <v>0.21</v>
      </c>
      <c r="X95" s="768">
        <v>0.16393442622950818</v>
      </c>
      <c r="Y95" s="768">
        <v>0.13457076566125289</v>
      </c>
      <c r="Z95" s="768">
        <v>0.14102564102564102</v>
      </c>
      <c r="AA95" s="2238">
        <v>0.12087912087912088</v>
      </c>
      <c r="AB95" s="2238">
        <v>0.12660944206008584</v>
      </c>
      <c r="AC95" s="2238">
        <v>8.6538461538461536E-2</v>
      </c>
      <c r="AD95" s="2238">
        <v>0.13966480446927373</v>
      </c>
      <c r="AE95" s="2269">
        <f>AVERAGE(S95:AD95)</f>
        <v>0.14741983890055904</v>
      </c>
      <c r="AF95" s="1494">
        <f>AE95</f>
        <v>0.14741983890055904</v>
      </c>
      <c r="AH95" s="526">
        <v>7.0116861435726208E-2</v>
      </c>
      <c r="AI95" s="768">
        <v>9.8865478119935166E-2</v>
      </c>
      <c r="AJ95" s="768">
        <v>9.711286089238845E-2</v>
      </c>
      <c r="AK95" s="768">
        <v>0.14193548387096774</v>
      </c>
      <c r="AL95" s="768">
        <v>0.13924050632911392</v>
      </c>
      <c r="AM95" s="768">
        <v>0.11004784688995216</v>
      </c>
      <c r="AN95" s="768">
        <v>0.10383747178329571</v>
      </c>
      <c r="AO95" s="768">
        <v>0.19366197183098591</v>
      </c>
      <c r="AP95" s="2269">
        <v>0.14977973568281938</v>
      </c>
      <c r="AQ95" s="2269">
        <v>8.2725060827250604E-2</v>
      </c>
      <c r="AR95" s="1493"/>
      <c r="AS95" s="1493"/>
      <c r="AT95" s="2269">
        <f>AVERAGE(AH95:AS95)</f>
        <v>0.11873232776624351</v>
      </c>
      <c r="AU95" s="1494">
        <f>AT95</f>
        <v>0.11873232776624351</v>
      </c>
      <c r="AW95" s="761">
        <f t="shared" si="31"/>
        <v>-0.13966480446927373</v>
      </c>
      <c r="AX95" s="761">
        <f t="shared" si="32"/>
        <v>-2.868751113431553E-2</v>
      </c>
      <c r="AY95" s="761">
        <f t="shared" si="39"/>
        <v>-1.1766139100935231</v>
      </c>
      <c r="AZ95" s="594">
        <f t="shared" si="33"/>
        <v>0</v>
      </c>
    </row>
    <row r="96" spans="1:52" x14ac:dyDescent="0.55000000000000004">
      <c r="A96" s="7514"/>
      <c r="B96" s="121" t="s">
        <v>19</v>
      </c>
      <c r="C96" s="477" t="s">
        <v>139</v>
      </c>
      <c r="D96" s="543">
        <v>164</v>
      </c>
      <c r="E96" s="543">
        <v>241</v>
      </c>
      <c r="F96" s="543">
        <v>104</v>
      </c>
      <c r="G96" s="543">
        <v>169</v>
      </c>
      <c r="H96" s="543">
        <v>147</v>
      </c>
      <c r="I96" s="543">
        <v>134</v>
      </c>
      <c r="J96" s="543">
        <v>85</v>
      </c>
      <c r="K96" s="543">
        <v>113</v>
      </c>
      <c r="L96" s="543">
        <v>43</v>
      </c>
      <c r="M96" s="543">
        <v>96</v>
      </c>
      <c r="N96" s="543">
        <v>66</v>
      </c>
      <c r="O96" s="543">
        <v>29</v>
      </c>
      <c r="P96" s="543">
        <v>1391</v>
      </c>
      <c r="Q96" s="543">
        <v>115.91666666666667</v>
      </c>
      <c r="S96" s="542">
        <v>74</v>
      </c>
      <c r="T96" s="543">
        <v>42</v>
      </c>
      <c r="U96" s="543">
        <v>25</v>
      </c>
      <c r="V96" s="543">
        <v>26</v>
      </c>
      <c r="W96" s="543">
        <v>38</v>
      </c>
      <c r="X96" s="543">
        <f>SUM(X98:Z107)</f>
        <v>100</v>
      </c>
      <c r="Y96" s="543">
        <v>27</v>
      </c>
      <c r="Z96" s="543">
        <v>31</v>
      </c>
      <c r="AA96" s="2239">
        <v>33</v>
      </c>
      <c r="AB96" s="2239">
        <v>44</v>
      </c>
      <c r="AC96" s="2239">
        <v>14</v>
      </c>
      <c r="AD96" s="2239">
        <v>43</v>
      </c>
      <c r="AE96" s="919">
        <f>SUM(S96:AD96)</f>
        <v>497</v>
      </c>
      <c r="AF96" s="919">
        <f t="shared" ref="AF96:AF117" si="40">AVERAGE(S96:AD96)</f>
        <v>41.416666666666664</v>
      </c>
      <c r="AH96" s="542">
        <v>37</v>
      </c>
      <c r="AI96" s="543">
        <v>59</v>
      </c>
      <c r="AJ96" s="543">
        <v>35</v>
      </c>
      <c r="AK96" s="543">
        <v>22</v>
      </c>
      <c r="AL96" s="543">
        <f>SUM(AL98:AL107)</f>
        <v>39</v>
      </c>
      <c r="AM96" s="543">
        <f>SUM(AM98:AM107)</f>
        <v>54</v>
      </c>
      <c r="AN96" s="543">
        <v>27</v>
      </c>
      <c r="AO96" s="543">
        <v>36</v>
      </c>
      <c r="AP96" s="2438">
        <v>50</v>
      </c>
      <c r="AQ96" s="2438">
        <v>32</v>
      </c>
      <c r="AR96" s="477"/>
      <c r="AS96" s="477"/>
      <c r="AT96" s="919">
        <f>SUM(AH96:AS96)</f>
        <v>391</v>
      </c>
      <c r="AU96" s="919">
        <f>AVERAGE(AH96:AS96)</f>
        <v>39.1</v>
      </c>
      <c r="AW96" s="317">
        <f t="shared" si="31"/>
        <v>-43</v>
      </c>
      <c r="AX96" s="713">
        <f t="shared" si="32"/>
        <v>-2.3166666666666629</v>
      </c>
      <c r="AY96" s="317">
        <f t="shared" si="39"/>
        <v>28</v>
      </c>
      <c r="AZ96" s="594">
        <f t="shared" si="33"/>
        <v>0</v>
      </c>
    </row>
    <row r="97" spans="1:52" x14ac:dyDescent="0.55000000000000004">
      <c r="A97" s="7514"/>
      <c r="B97" s="120"/>
      <c r="C97" s="1484" t="s">
        <v>559</v>
      </c>
      <c r="D97" s="773">
        <v>4.0245398773006133E-2</v>
      </c>
      <c r="E97" s="773">
        <v>4.9023596419853536E-2</v>
      </c>
      <c r="F97" s="773">
        <v>2.1821233738984473E-2</v>
      </c>
      <c r="G97" s="773">
        <v>3.4286873605193752E-2</v>
      </c>
      <c r="H97" s="773">
        <v>2.891424075531078E-2</v>
      </c>
      <c r="I97" s="773">
        <v>2.7241309209188859E-2</v>
      </c>
      <c r="J97" s="773">
        <v>2.1410579345088162E-2</v>
      </c>
      <c r="K97" s="773">
        <v>2.1172943601274124E-2</v>
      </c>
      <c r="L97" s="773">
        <v>1.1646803900325027E-2</v>
      </c>
      <c r="M97" s="773">
        <v>2.57441673370877E-2</v>
      </c>
      <c r="N97" s="773">
        <v>1.5511163337250293E-2</v>
      </c>
      <c r="O97" s="773">
        <v>7.1960297766749384E-3</v>
      </c>
      <c r="P97" s="773">
        <v>2.5804656339857155E-2</v>
      </c>
      <c r="Q97" s="773">
        <v>2.5804656339857155E-2</v>
      </c>
      <c r="S97" s="544">
        <v>2.0498614958448753E-2</v>
      </c>
      <c r="T97" s="773">
        <v>1.5102481121898598E-2</v>
      </c>
      <c r="U97" s="773">
        <v>7.2611094975312228E-3</v>
      </c>
      <c r="V97" s="773">
        <v>5.2324411350372305E-3</v>
      </c>
      <c r="W97" s="773">
        <v>1.0540915395284327E-2</v>
      </c>
      <c r="X97" s="773">
        <v>1.3483146067415731E-2</v>
      </c>
      <c r="Y97" s="773">
        <v>6.7516879219804947E-3</v>
      </c>
      <c r="Z97" s="773">
        <v>1.0045366169799093E-2</v>
      </c>
      <c r="AA97" s="2114">
        <v>1.0085574572127139E-2</v>
      </c>
      <c r="AB97" s="2114">
        <v>1.3484523444682808E-2</v>
      </c>
      <c r="AC97" s="2114">
        <v>4.3023970497848806E-3</v>
      </c>
      <c r="AD97" s="2114">
        <v>1.4726027397260274E-2</v>
      </c>
      <c r="AE97" s="1566">
        <f>AVERAGE(S97:AD97)</f>
        <v>1.0959523727604212E-2</v>
      </c>
      <c r="AF97" s="1485">
        <f>AE97</f>
        <v>1.0959523727604212E-2</v>
      </c>
      <c r="AH97" s="544"/>
      <c r="AI97" s="773"/>
      <c r="AJ97" s="773">
        <v>1.9754955590237629E-3</v>
      </c>
      <c r="AK97" s="773">
        <v>8.0596518230412445E-4</v>
      </c>
      <c r="AL97" s="773">
        <v>5.1566838556128518E-3</v>
      </c>
      <c r="AM97" s="773">
        <v>1.3206162876008804E-2</v>
      </c>
      <c r="AN97" s="773">
        <v>4.7186298497029011E-3</v>
      </c>
      <c r="AO97" s="773">
        <v>9.3506493506493506E-3</v>
      </c>
      <c r="AP97" s="1566">
        <v>1.2431626056688214E-2</v>
      </c>
      <c r="AQ97" s="1566">
        <v>1.1573236889692586E-2</v>
      </c>
      <c r="AR97" s="1484"/>
      <c r="AS97" s="1484"/>
      <c r="AT97" s="1566">
        <f>AVERAGE(AH97:AS97)</f>
        <v>7.4023062024603237E-3</v>
      </c>
      <c r="AU97" s="1485">
        <f>AT97</f>
        <v>7.4023062024603237E-3</v>
      </c>
      <c r="AW97" s="761">
        <f t="shared" si="31"/>
        <v>-1.4726027397260274E-2</v>
      </c>
      <c r="AX97" s="761">
        <f t="shared" si="32"/>
        <v>-3.5572175251438881E-3</v>
      </c>
      <c r="AY97" s="761">
        <f t="shared" si="39"/>
        <v>-8.1513456064935125E-2</v>
      </c>
      <c r="AZ97" s="594">
        <f t="shared" si="33"/>
        <v>0</v>
      </c>
    </row>
    <row r="98" spans="1:52" x14ac:dyDescent="0.55000000000000004">
      <c r="A98" s="7514"/>
      <c r="B98" s="88"/>
      <c r="C98" t="s">
        <v>68</v>
      </c>
      <c r="D98" s="485">
        <v>22</v>
      </c>
      <c r="E98" s="485">
        <v>24</v>
      </c>
      <c r="F98" s="485">
        <v>6</v>
      </c>
      <c r="G98" s="485">
        <v>18</v>
      </c>
      <c r="H98" s="485">
        <v>5</v>
      </c>
      <c r="I98" s="485">
        <v>11</v>
      </c>
      <c r="J98" s="485">
        <v>20</v>
      </c>
      <c r="K98" s="485">
        <v>13</v>
      </c>
      <c r="L98" s="485">
        <v>3</v>
      </c>
      <c r="M98" s="485">
        <v>2</v>
      </c>
      <c r="N98" s="485">
        <v>4</v>
      </c>
      <c r="O98" s="485"/>
      <c r="P98" s="485">
        <v>128</v>
      </c>
      <c r="Q98" s="485">
        <v>10.666666666666666</v>
      </c>
      <c r="S98" s="484">
        <v>0</v>
      </c>
      <c r="T98" s="485">
        <v>2</v>
      </c>
      <c r="U98" s="485">
        <v>2</v>
      </c>
      <c r="V98" s="485">
        <v>0</v>
      </c>
      <c r="W98" s="485">
        <v>0</v>
      </c>
      <c r="X98" s="485">
        <v>0</v>
      </c>
      <c r="Y98" s="485">
        <v>0</v>
      </c>
      <c r="Z98">
        <v>2</v>
      </c>
      <c r="AA98" s="2240">
        <v>0</v>
      </c>
      <c r="AB98" s="2240">
        <v>0</v>
      </c>
      <c r="AC98" s="2240">
        <v>0</v>
      </c>
      <c r="AD98" s="2240">
        <v>0</v>
      </c>
      <c r="AE98" s="594">
        <f>SUM(S98:AD98)</f>
        <v>6</v>
      </c>
      <c r="AF98" s="1284">
        <f t="shared" si="40"/>
        <v>0.5</v>
      </c>
      <c r="AH98" s="484">
        <v>6</v>
      </c>
      <c r="AI98" s="485">
        <v>0</v>
      </c>
      <c r="AJ98" s="485"/>
      <c r="AK98" s="485"/>
      <c r="AL98" s="485">
        <v>2</v>
      </c>
      <c r="AM98" s="485">
        <v>2</v>
      </c>
      <c r="AN98" s="485">
        <v>1</v>
      </c>
      <c r="AQ98">
        <v>4</v>
      </c>
      <c r="AT98" s="594">
        <f>SUM(AH98:AS98)</f>
        <v>15</v>
      </c>
      <c r="AU98" s="1284">
        <f t="shared" ref="AU98:AU108" si="41">AVERAGE(AH98:AS98)</f>
        <v>2.5</v>
      </c>
      <c r="AW98" s="317">
        <f t="shared" si="31"/>
        <v>0</v>
      </c>
      <c r="AX98" s="713">
        <f t="shared" si="32"/>
        <v>2</v>
      </c>
      <c r="AY98" s="317">
        <f t="shared" si="39"/>
        <v>9</v>
      </c>
      <c r="AZ98" s="594">
        <f t="shared" si="33"/>
        <v>0</v>
      </c>
    </row>
    <row r="99" spans="1:52" x14ac:dyDescent="0.55000000000000004">
      <c r="A99" s="7514"/>
      <c r="B99" s="88"/>
      <c r="C99" t="s">
        <v>71</v>
      </c>
      <c r="D99" s="485">
        <v>28</v>
      </c>
      <c r="E99" s="485">
        <v>52</v>
      </c>
      <c r="F99" s="485">
        <v>24</v>
      </c>
      <c r="G99" s="485">
        <v>30</v>
      </c>
      <c r="H99" s="485">
        <v>40</v>
      </c>
      <c r="I99" s="485">
        <v>21</v>
      </c>
      <c r="J99" s="485">
        <v>6</v>
      </c>
      <c r="K99" s="485">
        <v>18</v>
      </c>
      <c r="L99" s="485"/>
      <c r="M99" s="485">
        <v>24</v>
      </c>
      <c r="N99" s="485">
        <v>4</v>
      </c>
      <c r="O99" s="485"/>
      <c r="P99" s="485">
        <v>247</v>
      </c>
      <c r="Q99" s="485">
        <v>20.583333333333332</v>
      </c>
      <c r="S99" s="484">
        <v>12</v>
      </c>
      <c r="T99" s="485">
        <v>4</v>
      </c>
      <c r="U99" s="485">
        <v>4</v>
      </c>
      <c r="V99" s="485">
        <v>0</v>
      </c>
      <c r="W99" s="485">
        <v>2</v>
      </c>
      <c r="X99" s="485">
        <v>2</v>
      </c>
      <c r="Y99" s="485"/>
      <c r="Z99">
        <v>4</v>
      </c>
      <c r="AA99" s="2240">
        <v>5</v>
      </c>
      <c r="AB99" s="2240">
        <v>4</v>
      </c>
      <c r="AC99" s="2240">
        <v>0</v>
      </c>
      <c r="AD99" s="2240">
        <v>2</v>
      </c>
      <c r="AE99" s="594">
        <f t="shared" ref="AE99:AE107" si="42">SUM(S99:AD99)</f>
        <v>39</v>
      </c>
      <c r="AF99" s="1284">
        <f t="shared" si="40"/>
        <v>3.5454545454545454</v>
      </c>
      <c r="AH99" s="484">
        <v>2</v>
      </c>
      <c r="AI99" s="485">
        <v>2</v>
      </c>
      <c r="AJ99" s="485"/>
      <c r="AK99" s="485">
        <v>8</v>
      </c>
      <c r="AL99" s="485">
        <v>4</v>
      </c>
      <c r="AM99" s="485">
        <v>2</v>
      </c>
      <c r="AN99" s="485">
        <v>2</v>
      </c>
      <c r="AP99">
        <v>2</v>
      </c>
      <c r="AT99" s="594">
        <f t="shared" ref="AT99:AT107" si="43">SUM(AH99:AS99)</f>
        <v>22</v>
      </c>
      <c r="AU99" s="1284">
        <f t="shared" si="41"/>
        <v>3.1428571428571428</v>
      </c>
      <c r="AW99" s="317">
        <f t="shared" si="31"/>
        <v>-2</v>
      </c>
      <c r="AX99" s="713">
        <f t="shared" si="32"/>
        <v>-0.40259740259740262</v>
      </c>
      <c r="AY99" s="317">
        <f t="shared" si="39"/>
        <v>-6</v>
      </c>
      <c r="AZ99" s="594">
        <f t="shared" si="33"/>
        <v>0</v>
      </c>
    </row>
    <row r="100" spans="1:52" x14ac:dyDescent="0.55000000000000004">
      <c r="A100" s="7514"/>
      <c r="B100" s="88"/>
      <c r="C100" t="s">
        <v>69</v>
      </c>
      <c r="D100" s="485">
        <v>6</v>
      </c>
      <c r="E100" s="485">
        <v>2</v>
      </c>
      <c r="F100" s="485">
        <v>6</v>
      </c>
      <c r="G100" s="485">
        <v>6</v>
      </c>
      <c r="H100" s="485">
        <v>14</v>
      </c>
      <c r="I100" s="485">
        <v>12</v>
      </c>
      <c r="J100" s="485">
        <v>8</v>
      </c>
      <c r="K100" s="485">
        <v>7</v>
      </c>
      <c r="L100" s="485">
        <v>4</v>
      </c>
      <c r="M100" s="485">
        <v>4</v>
      </c>
      <c r="N100" s="485"/>
      <c r="O100" s="485">
        <v>2</v>
      </c>
      <c r="P100" s="485">
        <v>71</v>
      </c>
      <c r="Q100" s="485">
        <v>5.916666666666667</v>
      </c>
      <c r="S100" s="484">
        <v>4</v>
      </c>
      <c r="T100" s="485">
        <v>0</v>
      </c>
      <c r="U100" s="485">
        <v>2</v>
      </c>
      <c r="V100" s="485">
        <v>6</v>
      </c>
      <c r="W100" s="485">
        <v>2</v>
      </c>
      <c r="X100" s="485">
        <v>6</v>
      </c>
      <c r="Y100" s="485">
        <v>4</v>
      </c>
      <c r="Z100">
        <v>2</v>
      </c>
      <c r="AA100" s="2240">
        <v>0</v>
      </c>
      <c r="AB100" s="2240">
        <v>2</v>
      </c>
      <c r="AC100" s="2240">
        <v>0</v>
      </c>
      <c r="AD100" s="2240">
        <v>6</v>
      </c>
      <c r="AE100" s="594">
        <f t="shared" si="42"/>
        <v>34</v>
      </c>
      <c r="AF100" s="1284">
        <f t="shared" si="40"/>
        <v>2.8333333333333335</v>
      </c>
      <c r="AH100" s="484">
        <v>0</v>
      </c>
      <c r="AI100" s="485">
        <v>2</v>
      </c>
      <c r="AJ100" s="485">
        <v>6</v>
      </c>
      <c r="AK100" s="485"/>
      <c r="AL100" s="485">
        <v>4</v>
      </c>
      <c r="AM100" s="485">
        <v>8</v>
      </c>
      <c r="AN100" s="485">
        <v>2</v>
      </c>
      <c r="AO100">
        <v>4</v>
      </c>
      <c r="AP100">
        <v>4</v>
      </c>
      <c r="AQ100">
        <v>2</v>
      </c>
      <c r="AT100" s="594">
        <f t="shared" si="43"/>
        <v>32</v>
      </c>
      <c r="AU100" s="1284">
        <f t="shared" si="41"/>
        <v>3.5555555555555554</v>
      </c>
      <c r="AW100" s="317">
        <f t="shared" si="31"/>
        <v>-6</v>
      </c>
      <c r="AX100" s="713">
        <f t="shared" si="32"/>
        <v>0.72222222222222188</v>
      </c>
      <c r="AY100" s="317">
        <f t="shared" si="39"/>
        <v>6</v>
      </c>
      <c r="AZ100" s="594">
        <f t="shared" si="33"/>
        <v>0</v>
      </c>
    </row>
    <row r="101" spans="1:52" x14ac:dyDescent="0.55000000000000004">
      <c r="A101" s="7514"/>
      <c r="B101" s="88"/>
      <c r="C101" t="s">
        <v>146</v>
      </c>
      <c r="D101" s="485">
        <v>26</v>
      </c>
      <c r="E101" s="485">
        <v>37</v>
      </c>
      <c r="F101" s="485">
        <v>14</v>
      </c>
      <c r="G101" s="485">
        <v>26</v>
      </c>
      <c r="H101" s="485">
        <v>22</v>
      </c>
      <c r="I101" s="485">
        <v>19</v>
      </c>
      <c r="J101" s="485">
        <v>2</v>
      </c>
      <c r="K101" s="485">
        <v>14</v>
      </c>
      <c r="L101" s="485">
        <v>3</v>
      </c>
      <c r="M101" s="485">
        <v>16</v>
      </c>
      <c r="N101" s="485">
        <v>4</v>
      </c>
      <c r="O101" s="485">
        <v>4</v>
      </c>
      <c r="P101" s="485">
        <v>187</v>
      </c>
      <c r="Q101" s="485">
        <v>15.583333333333334</v>
      </c>
      <c r="S101" s="484">
        <v>10</v>
      </c>
      <c r="T101" s="485">
        <v>2</v>
      </c>
      <c r="U101" s="485">
        <v>2</v>
      </c>
      <c r="V101" s="485">
        <v>2</v>
      </c>
      <c r="W101" s="485">
        <v>6</v>
      </c>
      <c r="X101" s="485">
        <v>6</v>
      </c>
      <c r="Y101" s="485">
        <v>0</v>
      </c>
      <c r="Z101">
        <v>1</v>
      </c>
      <c r="AA101" s="2240">
        <v>4</v>
      </c>
      <c r="AB101" s="2240">
        <v>2</v>
      </c>
      <c r="AC101" s="2240">
        <v>0</v>
      </c>
      <c r="AD101" s="2240">
        <v>4</v>
      </c>
      <c r="AE101" s="594">
        <f t="shared" si="42"/>
        <v>39</v>
      </c>
      <c r="AF101" s="1284">
        <f t="shared" si="40"/>
        <v>3.25</v>
      </c>
      <c r="AH101" s="484">
        <v>4</v>
      </c>
      <c r="AI101" s="485">
        <v>14</v>
      </c>
      <c r="AJ101" s="485"/>
      <c r="AK101" s="485">
        <v>2</v>
      </c>
      <c r="AL101" s="485">
        <v>6</v>
      </c>
      <c r="AM101" s="485">
        <v>6</v>
      </c>
      <c r="AN101" s="485">
        <v>2</v>
      </c>
      <c r="AO101">
        <v>5</v>
      </c>
      <c r="AP101">
        <v>6</v>
      </c>
      <c r="AQ101">
        <v>2</v>
      </c>
      <c r="AT101" s="594">
        <f t="shared" si="43"/>
        <v>47</v>
      </c>
      <c r="AU101" s="1284">
        <f t="shared" si="41"/>
        <v>5.2222222222222223</v>
      </c>
      <c r="AW101" s="317">
        <f t="shared" si="31"/>
        <v>-4</v>
      </c>
      <c r="AX101" s="713">
        <f t="shared" si="32"/>
        <v>1.9722222222222223</v>
      </c>
      <c r="AY101" s="317">
        <f t="shared" si="39"/>
        <v>18</v>
      </c>
      <c r="AZ101" s="594">
        <f t="shared" si="33"/>
        <v>0</v>
      </c>
    </row>
    <row r="102" spans="1:52" x14ac:dyDescent="0.55000000000000004">
      <c r="A102" s="7514"/>
      <c r="B102" s="88"/>
      <c r="C102" t="s">
        <v>70</v>
      </c>
      <c r="D102" s="485">
        <v>16</v>
      </c>
      <c r="E102" s="485">
        <v>26</v>
      </c>
      <c r="F102" s="485">
        <v>13</v>
      </c>
      <c r="G102" s="485">
        <v>7</v>
      </c>
      <c r="H102" s="485">
        <v>4</v>
      </c>
      <c r="I102" s="485">
        <v>6</v>
      </c>
      <c r="J102" s="485">
        <v>8</v>
      </c>
      <c r="K102" s="485">
        <v>14</v>
      </c>
      <c r="L102" s="485">
        <v>6</v>
      </c>
      <c r="M102" s="485">
        <v>4</v>
      </c>
      <c r="N102" s="485">
        <v>21</v>
      </c>
      <c r="O102" s="485"/>
      <c r="P102" s="485">
        <v>125</v>
      </c>
      <c r="Q102" s="485">
        <v>10.416666666666666</v>
      </c>
      <c r="S102" s="484">
        <v>22</v>
      </c>
      <c r="T102" s="485">
        <v>13</v>
      </c>
      <c r="U102" s="485">
        <v>4</v>
      </c>
      <c r="V102" s="485">
        <v>4</v>
      </c>
      <c r="W102" s="485">
        <v>3</v>
      </c>
      <c r="X102" s="485">
        <v>4</v>
      </c>
      <c r="Y102" s="485">
        <v>6</v>
      </c>
      <c r="Z102">
        <v>8</v>
      </c>
      <c r="AA102" s="2240">
        <v>8</v>
      </c>
      <c r="AB102" s="2240">
        <v>2</v>
      </c>
      <c r="AC102" s="2240">
        <v>1</v>
      </c>
      <c r="AD102" s="2240">
        <v>8</v>
      </c>
      <c r="AE102" s="594">
        <f t="shared" si="42"/>
        <v>83</v>
      </c>
      <c r="AF102" s="1284">
        <f t="shared" si="40"/>
        <v>6.916666666666667</v>
      </c>
      <c r="AH102" s="484">
        <v>8</v>
      </c>
      <c r="AI102" s="485">
        <v>11</v>
      </c>
      <c r="AJ102" s="485">
        <v>5</v>
      </c>
      <c r="AK102" s="485"/>
      <c r="AL102" s="485">
        <v>6</v>
      </c>
      <c r="AM102" s="485">
        <v>4</v>
      </c>
      <c r="AN102" s="485">
        <v>8</v>
      </c>
      <c r="AO102">
        <v>8</v>
      </c>
      <c r="AP102">
        <v>8</v>
      </c>
      <c r="AQ102">
        <v>6</v>
      </c>
      <c r="AT102" s="594">
        <f t="shared" si="43"/>
        <v>64</v>
      </c>
      <c r="AU102" s="1284">
        <f t="shared" si="41"/>
        <v>7.1111111111111107</v>
      </c>
      <c r="AW102" s="317">
        <f t="shared" si="31"/>
        <v>-8</v>
      </c>
      <c r="AX102" s="713">
        <f t="shared" si="32"/>
        <v>0.19444444444444375</v>
      </c>
      <c r="AY102" s="317">
        <f t="shared" si="39"/>
        <v>0</v>
      </c>
      <c r="AZ102" s="594">
        <f t="shared" si="33"/>
        <v>0</v>
      </c>
    </row>
    <row r="103" spans="1:52" x14ac:dyDescent="0.55000000000000004">
      <c r="A103" s="7514"/>
      <c r="B103" s="88"/>
      <c r="C103" t="s">
        <v>72</v>
      </c>
      <c r="D103" s="485">
        <v>12</v>
      </c>
      <c r="E103" s="485">
        <v>28</v>
      </c>
      <c r="F103" s="485">
        <v>10</v>
      </c>
      <c r="G103" s="485">
        <v>34</v>
      </c>
      <c r="H103" s="485">
        <v>22</v>
      </c>
      <c r="I103" s="485">
        <v>24</v>
      </c>
      <c r="J103" s="485">
        <v>16</v>
      </c>
      <c r="K103" s="485">
        <v>10</v>
      </c>
      <c r="L103" s="485">
        <v>8</v>
      </c>
      <c r="M103" s="485">
        <v>12</v>
      </c>
      <c r="N103" s="485">
        <v>2</v>
      </c>
      <c r="O103" s="485">
        <v>7</v>
      </c>
      <c r="P103" s="485">
        <v>185</v>
      </c>
      <c r="Q103" s="485">
        <v>15.416666666666666</v>
      </c>
      <c r="S103" s="484">
        <v>0</v>
      </c>
      <c r="T103" s="485">
        <v>2</v>
      </c>
      <c r="U103" s="485">
        <v>2</v>
      </c>
      <c r="V103" s="485">
        <v>2</v>
      </c>
      <c r="W103" s="485">
        <v>4</v>
      </c>
      <c r="X103" s="485">
        <v>0</v>
      </c>
      <c r="Y103" s="485">
        <v>2</v>
      </c>
      <c r="Z103">
        <v>4</v>
      </c>
      <c r="AA103" s="2240">
        <v>8</v>
      </c>
      <c r="AB103" s="2240">
        <v>14</v>
      </c>
      <c r="AC103" s="2240">
        <v>0</v>
      </c>
      <c r="AD103" s="2240">
        <v>7</v>
      </c>
      <c r="AE103" s="594">
        <f t="shared" si="42"/>
        <v>45</v>
      </c>
      <c r="AF103" s="1284">
        <f t="shared" si="40"/>
        <v>3.75</v>
      </c>
      <c r="AH103" s="484">
        <v>8</v>
      </c>
      <c r="AI103" s="485">
        <v>14</v>
      </c>
      <c r="AJ103" s="485">
        <v>4</v>
      </c>
      <c r="AK103" s="485">
        <v>4</v>
      </c>
      <c r="AL103" s="485">
        <v>4</v>
      </c>
      <c r="AM103" s="485">
        <v>2</v>
      </c>
      <c r="AN103" s="485"/>
      <c r="AP103">
        <v>12</v>
      </c>
      <c r="AQ103">
        <v>4</v>
      </c>
      <c r="AT103" s="594">
        <f t="shared" si="43"/>
        <v>52</v>
      </c>
      <c r="AU103" s="1284">
        <f t="shared" si="41"/>
        <v>6.5</v>
      </c>
      <c r="AW103" s="317">
        <f t="shared" si="31"/>
        <v>-7</v>
      </c>
      <c r="AX103" s="713">
        <f t="shared" si="32"/>
        <v>2.75</v>
      </c>
      <c r="AY103" s="317">
        <f t="shared" si="39"/>
        <v>36</v>
      </c>
      <c r="AZ103" s="594">
        <f t="shared" si="33"/>
        <v>0</v>
      </c>
    </row>
    <row r="104" spans="1:52" x14ac:dyDescent="0.55000000000000004">
      <c r="A104" s="7514"/>
      <c r="B104" s="88"/>
      <c r="C104" t="s">
        <v>73</v>
      </c>
      <c r="D104" s="485">
        <v>22</v>
      </c>
      <c r="E104" s="485">
        <v>31</v>
      </c>
      <c r="F104" s="485">
        <v>6</v>
      </c>
      <c r="G104" s="485">
        <v>8</v>
      </c>
      <c r="H104" s="485">
        <v>4</v>
      </c>
      <c r="I104" s="485">
        <v>10</v>
      </c>
      <c r="J104" s="485"/>
      <c r="K104" s="485">
        <v>8</v>
      </c>
      <c r="L104" s="485">
        <v>8</v>
      </c>
      <c r="M104" s="485">
        <v>6</v>
      </c>
      <c r="N104" s="485">
        <v>6</v>
      </c>
      <c r="O104" s="485">
        <v>2</v>
      </c>
      <c r="P104" s="485">
        <v>111</v>
      </c>
      <c r="Q104" s="485">
        <v>9.25</v>
      </c>
      <c r="S104" s="484">
        <v>4</v>
      </c>
      <c r="T104" s="485">
        <v>3</v>
      </c>
      <c r="U104" s="485">
        <v>2</v>
      </c>
      <c r="V104" s="485">
        <v>0</v>
      </c>
      <c r="W104" s="485">
        <v>4</v>
      </c>
      <c r="X104" s="485">
        <v>6</v>
      </c>
      <c r="Y104" s="485">
        <v>2</v>
      </c>
      <c r="Z104">
        <v>2</v>
      </c>
      <c r="AA104" s="2240">
        <v>4</v>
      </c>
      <c r="AB104" s="2240">
        <v>13</v>
      </c>
      <c r="AC104" s="2240">
        <v>8</v>
      </c>
      <c r="AD104" s="2240">
        <v>4</v>
      </c>
      <c r="AE104" s="594">
        <f t="shared" si="42"/>
        <v>52</v>
      </c>
      <c r="AF104" s="1284">
        <f t="shared" si="40"/>
        <v>4.333333333333333</v>
      </c>
      <c r="AH104" s="484">
        <v>4</v>
      </c>
      <c r="AI104" s="485">
        <v>4</v>
      </c>
      <c r="AJ104" s="485">
        <v>2</v>
      </c>
      <c r="AK104" s="485">
        <v>2</v>
      </c>
      <c r="AL104" s="485">
        <v>5</v>
      </c>
      <c r="AM104" s="485">
        <v>12</v>
      </c>
      <c r="AN104" s="485">
        <v>8</v>
      </c>
      <c r="AO104">
        <v>5</v>
      </c>
      <c r="AP104">
        <v>4</v>
      </c>
      <c r="AQ104">
        <v>4</v>
      </c>
      <c r="AT104" s="594">
        <f t="shared" si="43"/>
        <v>50</v>
      </c>
      <c r="AU104" s="1284">
        <f t="shared" si="41"/>
        <v>5</v>
      </c>
      <c r="AW104" s="317">
        <f t="shared" si="31"/>
        <v>-4</v>
      </c>
      <c r="AX104" s="713">
        <f t="shared" si="32"/>
        <v>0.66666666666666696</v>
      </c>
      <c r="AY104" s="317">
        <f t="shared" si="39"/>
        <v>27</v>
      </c>
      <c r="AZ104" s="594">
        <f t="shared" si="33"/>
        <v>0</v>
      </c>
    </row>
    <row r="105" spans="1:52" x14ac:dyDescent="0.55000000000000004">
      <c r="A105" s="7514"/>
      <c r="B105" s="88"/>
      <c r="C105" t="s">
        <v>74</v>
      </c>
      <c r="D105" s="485">
        <v>12</v>
      </c>
      <c r="E105" s="485">
        <v>22</v>
      </c>
      <c r="F105" s="485">
        <v>6</v>
      </c>
      <c r="G105" s="485">
        <v>12</v>
      </c>
      <c r="H105" s="485">
        <v>4</v>
      </c>
      <c r="I105" s="485">
        <v>8</v>
      </c>
      <c r="J105" s="485">
        <v>5</v>
      </c>
      <c r="K105" s="485">
        <v>10</v>
      </c>
      <c r="L105" s="485">
        <v>2</v>
      </c>
      <c r="M105" s="485">
        <v>12</v>
      </c>
      <c r="N105" s="485">
        <v>4</v>
      </c>
      <c r="O105" s="485">
        <v>7</v>
      </c>
      <c r="P105" s="485">
        <v>104</v>
      </c>
      <c r="Q105" s="485">
        <v>8.6666666666666661</v>
      </c>
      <c r="S105" s="484">
        <v>14</v>
      </c>
      <c r="T105" s="485">
        <v>14</v>
      </c>
      <c r="U105" s="485">
        <v>3</v>
      </c>
      <c r="V105" s="485">
        <v>6</v>
      </c>
      <c r="W105" s="485">
        <v>6</v>
      </c>
      <c r="X105" s="485">
        <v>14</v>
      </c>
      <c r="Y105" s="485">
        <v>6</v>
      </c>
      <c r="Z105">
        <v>2</v>
      </c>
      <c r="AA105" s="2240">
        <v>2</v>
      </c>
      <c r="AB105" s="2240">
        <v>7</v>
      </c>
      <c r="AC105" s="2240">
        <v>2</v>
      </c>
      <c r="AD105" s="2240">
        <v>8</v>
      </c>
      <c r="AE105" s="594">
        <f t="shared" si="42"/>
        <v>84</v>
      </c>
      <c r="AF105" s="1284">
        <f t="shared" si="40"/>
        <v>7</v>
      </c>
      <c r="AH105" s="484">
        <v>4</v>
      </c>
      <c r="AI105" s="485">
        <v>8</v>
      </c>
      <c r="AJ105" s="485">
        <v>6</v>
      </c>
      <c r="AK105" s="485"/>
      <c r="AL105" s="485">
        <v>6</v>
      </c>
      <c r="AM105" s="485">
        <v>6</v>
      </c>
      <c r="AN105" s="485">
        <v>2</v>
      </c>
      <c r="AO105">
        <v>8</v>
      </c>
      <c r="AP105">
        <v>10</v>
      </c>
      <c r="AQ105">
        <v>8</v>
      </c>
      <c r="AT105" s="594">
        <f t="shared" si="43"/>
        <v>58</v>
      </c>
      <c r="AU105" s="1284">
        <f t="shared" si="41"/>
        <v>6.4444444444444446</v>
      </c>
      <c r="AW105" s="317">
        <f t="shared" si="31"/>
        <v>-8</v>
      </c>
      <c r="AX105" s="713">
        <f t="shared" si="32"/>
        <v>-0.55555555555555536</v>
      </c>
      <c r="AY105" s="317">
        <f t="shared" si="39"/>
        <v>-7</v>
      </c>
      <c r="AZ105" s="594">
        <f t="shared" si="33"/>
        <v>0</v>
      </c>
    </row>
    <row r="106" spans="1:52" x14ac:dyDescent="0.55000000000000004">
      <c r="A106" s="7514"/>
      <c r="B106" s="88"/>
      <c r="C106" t="s">
        <v>75</v>
      </c>
      <c r="D106" s="485">
        <v>16</v>
      </c>
      <c r="E106" s="485">
        <v>16</v>
      </c>
      <c r="F106" s="485">
        <v>19</v>
      </c>
      <c r="G106" s="485">
        <v>24</v>
      </c>
      <c r="H106" s="485">
        <v>28</v>
      </c>
      <c r="I106" s="485">
        <v>18</v>
      </c>
      <c r="J106" s="485">
        <v>20</v>
      </c>
      <c r="K106" s="485">
        <v>14</v>
      </c>
      <c r="L106" s="485">
        <v>6</v>
      </c>
      <c r="M106" s="485">
        <v>12</v>
      </c>
      <c r="N106" s="485">
        <v>4</v>
      </c>
      <c r="O106" s="485"/>
      <c r="P106" s="485">
        <v>177</v>
      </c>
      <c r="Q106" s="485">
        <v>14.75</v>
      </c>
      <c r="S106" s="484">
        <v>0</v>
      </c>
      <c r="T106" s="485">
        <v>0</v>
      </c>
      <c r="U106" s="485">
        <v>0</v>
      </c>
      <c r="V106" s="485">
        <v>4</v>
      </c>
      <c r="W106" s="485">
        <v>3</v>
      </c>
      <c r="X106" s="485">
        <v>4</v>
      </c>
      <c r="Y106" s="485">
        <v>7</v>
      </c>
      <c r="Z106">
        <v>4</v>
      </c>
      <c r="AA106" s="2240">
        <v>2</v>
      </c>
      <c r="AB106" s="2240">
        <v>0</v>
      </c>
      <c r="AC106" s="2240">
        <v>0</v>
      </c>
      <c r="AD106" s="2240">
        <v>2</v>
      </c>
      <c r="AE106" s="594">
        <f t="shared" si="42"/>
        <v>26</v>
      </c>
      <c r="AF106" s="1284">
        <f t="shared" si="40"/>
        <v>2.1666666666666665</v>
      </c>
      <c r="AH106" s="484">
        <v>1</v>
      </c>
      <c r="AI106" s="485">
        <v>2</v>
      </c>
      <c r="AJ106" s="485">
        <v>6</v>
      </c>
      <c r="AK106" s="485">
        <v>4</v>
      </c>
      <c r="AL106" s="485">
        <v>0</v>
      </c>
      <c r="AM106" s="485">
        <v>4</v>
      </c>
      <c r="AN106" s="485">
        <v>2</v>
      </c>
      <c r="AO106">
        <v>2</v>
      </c>
      <c r="AP106">
        <v>2</v>
      </c>
      <c r="AT106" s="594">
        <f t="shared" si="43"/>
        <v>23</v>
      </c>
      <c r="AU106" s="1284">
        <f t="shared" si="41"/>
        <v>2.5555555555555554</v>
      </c>
      <c r="AW106" s="317">
        <f t="shared" si="31"/>
        <v>-2</v>
      </c>
      <c r="AX106" s="713">
        <f t="shared" si="32"/>
        <v>0.38888888888888884</v>
      </c>
      <c r="AY106" s="317">
        <f t="shared" si="39"/>
        <v>1</v>
      </c>
      <c r="AZ106" s="594">
        <f t="shared" si="33"/>
        <v>0</v>
      </c>
    </row>
    <row r="107" spans="1:52" x14ac:dyDescent="0.55000000000000004">
      <c r="A107" s="7514"/>
      <c r="B107" s="1486"/>
      <c r="C107" s="1147" t="s">
        <v>76</v>
      </c>
      <c r="D107" s="546">
        <v>4</v>
      </c>
      <c r="E107" s="546">
        <v>3</v>
      </c>
      <c r="F107" s="546"/>
      <c r="G107" s="546">
        <v>4</v>
      </c>
      <c r="H107" s="546">
        <v>4</v>
      </c>
      <c r="I107" s="546">
        <v>5</v>
      </c>
      <c r="J107" s="546"/>
      <c r="K107" s="546">
        <v>5</v>
      </c>
      <c r="L107" s="546">
        <v>3</v>
      </c>
      <c r="M107" s="546">
        <v>4</v>
      </c>
      <c r="N107" s="546">
        <v>17</v>
      </c>
      <c r="O107" s="546">
        <v>7</v>
      </c>
      <c r="P107" s="546">
        <v>56</v>
      </c>
      <c r="Q107" s="546">
        <v>4.666666666666667</v>
      </c>
      <c r="S107" s="545">
        <v>8</v>
      </c>
      <c r="T107" s="546">
        <v>2</v>
      </c>
      <c r="U107" s="546">
        <v>4</v>
      </c>
      <c r="V107" s="546">
        <v>2</v>
      </c>
      <c r="W107" s="546">
        <v>8</v>
      </c>
      <c r="X107" s="546">
        <v>0</v>
      </c>
      <c r="Y107" s="485">
        <v>0</v>
      </c>
      <c r="Z107" s="1147">
        <v>2</v>
      </c>
      <c r="AA107" s="2241">
        <v>0</v>
      </c>
      <c r="AB107" s="2241">
        <v>0</v>
      </c>
      <c r="AC107" s="2241">
        <v>3</v>
      </c>
      <c r="AD107" s="2241">
        <v>2</v>
      </c>
      <c r="AE107" s="594">
        <f t="shared" si="42"/>
        <v>31</v>
      </c>
      <c r="AF107" s="1495">
        <f t="shared" si="40"/>
        <v>2.5833333333333335</v>
      </c>
      <c r="AH107" s="545">
        <v>0</v>
      </c>
      <c r="AI107" s="546">
        <v>2</v>
      </c>
      <c r="AJ107" s="546">
        <v>6</v>
      </c>
      <c r="AK107" s="546">
        <v>2</v>
      </c>
      <c r="AL107" s="546">
        <v>2</v>
      </c>
      <c r="AM107" s="546">
        <v>8</v>
      </c>
      <c r="AN107" s="485"/>
      <c r="AO107" s="1147">
        <v>4</v>
      </c>
      <c r="AP107" s="1147">
        <v>2</v>
      </c>
      <c r="AQ107" s="1147">
        <v>2</v>
      </c>
      <c r="AR107" s="1147"/>
      <c r="AS107" s="1147"/>
      <c r="AT107" s="594">
        <f t="shared" si="43"/>
        <v>28</v>
      </c>
      <c r="AU107" s="1495">
        <f t="shared" si="41"/>
        <v>3.1111111111111112</v>
      </c>
      <c r="AW107" s="317">
        <f t="shared" si="31"/>
        <v>-2</v>
      </c>
      <c r="AX107" s="713">
        <f t="shared" si="32"/>
        <v>0.52777777777777768</v>
      </c>
      <c r="AY107" s="317">
        <f t="shared" si="39"/>
        <v>2</v>
      </c>
      <c r="AZ107" s="594">
        <f t="shared" si="33"/>
        <v>0</v>
      </c>
    </row>
    <row r="108" spans="1:52" x14ac:dyDescent="0.55000000000000004">
      <c r="A108" s="7514"/>
      <c r="B108" s="119" t="s">
        <v>20</v>
      </c>
      <c r="C108" s="477" t="s">
        <v>139</v>
      </c>
      <c r="D108" s="528">
        <v>44</v>
      </c>
      <c r="E108" s="528">
        <v>58</v>
      </c>
      <c r="F108" s="528">
        <v>40</v>
      </c>
      <c r="G108" s="528">
        <v>53</v>
      </c>
      <c r="H108" s="528">
        <v>80</v>
      </c>
      <c r="I108" s="528">
        <v>91</v>
      </c>
      <c r="J108" s="528">
        <v>64</v>
      </c>
      <c r="K108" s="528">
        <v>82</v>
      </c>
      <c r="L108" s="528">
        <v>22</v>
      </c>
      <c r="M108" s="528">
        <v>60</v>
      </c>
      <c r="N108" s="528">
        <v>76</v>
      </c>
      <c r="O108" s="528">
        <v>50</v>
      </c>
      <c r="P108" s="528">
        <v>720</v>
      </c>
      <c r="Q108" s="528">
        <v>60.000000000000007</v>
      </c>
      <c r="S108" s="527">
        <v>56</v>
      </c>
      <c r="T108" s="528">
        <v>43</v>
      </c>
      <c r="U108" s="528">
        <v>38</v>
      </c>
      <c r="V108" s="528">
        <v>34</v>
      </c>
      <c r="W108" s="543">
        <v>54</v>
      </c>
      <c r="X108" s="528">
        <v>23</v>
      </c>
      <c r="Y108" s="528">
        <v>20</v>
      </c>
      <c r="Z108" s="528">
        <v>20</v>
      </c>
      <c r="AA108" s="2239">
        <v>19</v>
      </c>
      <c r="AB108" s="2239">
        <v>12</v>
      </c>
      <c r="AC108" s="2239">
        <v>13</v>
      </c>
      <c r="AD108" s="2239">
        <v>6</v>
      </c>
      <c r="AE108" s="928">
        <f>SUM(S108:AD108)</f>
        <v>338</v>
      </c>
      <c r="AF108" s="922">
        <f t="shared" si="40"/>
        <v>28.166666666666668</v>
      </c>
      <c r="AH108" s="527">
        <v>0</v>
      </c>
      <c r="AI108" s="528">
        <v>0</v>
      </c>
      <c r="AJ108" s="528">
        <v>0</v>
      </c>
      <c r="AK108" s="528">
        <v>0</v>
      </c>
      <c r="AL108" s="543">
        <f>SUM(AL110:AL117)</f>
        <v>16</v>
      </c>
      <c r="AM108" s="543">
        <f>SUM(AM110:AM117)</f>
        <v>12</v>
      </c>
      <c r="AN108" s="528">
        <v>19</v>
      </c>
      <c r="AO108" s="528">
        <v>12</v>
      </c>
      <c r="AP108" s="2438">
        <v>12</v>
      </c>
      <c r="AQ108" s="2438">
        <v>2</v>
      </c>
      <c r="AR108" s="477"/>
      <c r="AS108" s="477"/>
      <c r="AT108" s="928">
        <f>SUM(AH108:AS108)</f>
        <v>73</v>
      </c>
      <c r="AU108" s="922">
        <f t="shared" si="41"/>
        <v>7.3</v>
      </c>
      <c r="AW108" s="317">
        <f t="shared" si="31"/>
        <v>-6</v>
      </c>
      <c r="AX108" s="713">
        <f t="shared" si="32"/>
        <v>-20.866666666666667</v>
      </c>
      <c r="AY108" s="317">
        <f t="shared" si="39"/>
        <v>-215</v>
      </c>
      <c r="AZ108" s="594">
        <f t="shared" si="33"/>
        <v>0</v>
      </c>
    </row>
    <row r="109" spans="1:52" x14ac:dyDescent="0.55000000000000004">
      <c r="A109" s="7514"/>
      <c r="B109" s="120"/>
      <c r="C109" s="1484" t="s">
        <v>559</v>
      </c>
      <c r="D109" s="769">
        <v>1.8325697625989172E-2</v>
      </c>
      <c r="E109" s="769">
        <v>1.9993105825577388E-2</v>
      </c>
      <c r="F109" s="769">
        <v>1.4587892049598834E-2</v>
      </c>
      <c r="G109" s="769">
        <v>2.2505307855626325E-2</v>
      </c>
      <c r="H109" s="769">
        <v>2.6666666666666668E-2</v>
      </c>
      <c r="I109" s="769">
        <v>3.5422343324250684E-2</v>
      </c>
      <c r="J109" s="769">
        <v>2.7550581145071029E-2</v>
      </c>
      <c r="K109" s="769">
        <v>2.5545171339563862E-2</v>
      </c>
      <c r="L109" s="769">
        <v>7.9825834542815669E-3</v>
      </c>
      <c r="M109" s="769">
        <v>2.0782819535850365E-2</v>
      </c>
      <c r="N109" s="769">
        <v>2.6788861473387382E-2</v>
      </c>
      <c r="O109" s="769">
        <v>2.5826446280991736E-2</v>
      </c>
      <c r="P109" s="769">
        <v>2.2558511138264875E-2</v>
      </c>
      <c r="Q109" s="769">
        <v>2.2558511138264875E-2</v>
      </c>
      <c r="S109" s="534">
        <v>1.8641810918774968E-2</v>
      </c>
      <c r="T109" s="769">
        <v>1.6889238020424194E-2</v>
      </c>
      <c r="U109" s="769">
        <v>1.2637179913535085E-2</v>
      </c>
      <c r="V109" s="769">
        <v>1.2014134275618375E-2</v>
      </c>
      <c r="W109" s="769">
        <v>1.2887828162291169E-2</v>
      </c>
      <c r="X109" s="769">
        <v>7.4097938144329894E-3</v>
      </c>
      <c r="Y109" s="769">
        <v>5.8668231152830741E-3</v>
      </c>
      <c r="Z109" s="769">
        <v>5.8892815076560662E-3</v>
      </c>
      <c r="AA109" s="2114">
        <v>5.5506865322816241E-3</v>
      </c>
      <c r="AB109" s="2114">
        <v>3.0785017957927143E-3</v>
      </c>
      <c r="AC109" s="2114">
        <v>3.3171727481500382E-3</v>
      </c>
      <c r="AD109" s="2114">
        <v>1.6375545851528383E-3</v>
      </c>
      <c r="AE109" s="1566">
        <f>AVERAGE(S109:AD109)</f>
        <v>8.8183337824494275E-3</v>
      </c>
      <c r="AF109" s="1485">
        <f>AE109</f>
        <v>8.8183337824494275E-3</v>
      </c>
      <c r="AH109" s="534">
        <v>0</v>
      </c>
      <c r="AI109" s="769">
        <v>0</v>
      </c>
      <c r="AJ109" s="769">
        <v>0</v>
      </c>
      <c r="AK109" s="769">
        <v>0</v>
      </c>
      <c r="AL109" s="769">
        <v>2.0639834881320948E-3</v>
      </c>
      <c r="AM109" s="769">
        <v>1.9749835418038184E-3</v>
      </c>
      <c r="AN109" s="769">
        <v>3.5107169253510719E-3</v>
      </c>
      <c r="AO109" s="769">
        <v>3.0249558860599951E-3</v>
      </c>
      <c r="AP109" s="1566">
        <v>2.9090909090909089E-3</v>
      </c>
      <c r="AQ109" s="1566">
        <v>5.2521008403361342E-4</v>
      </c>
      <c r="AR109" s="1484"/>
      <c r="AS109" s="1484"/>
      <c r="AT109" s="1566">
        <f>AVERAGE(AH109:AS109)</f>
        <v>1.4008940834471502E-3</v>
      </c>
      <c r="AU109" s="1485">
        <f>AT109</f>
        <v>1.4008940834471502E-3</v>
      </c>
      <c r="AW109" s="761">
        <f t="shared" si="31"/>
        <v>-1.6375545851528383E-3</v>
      </c>
      <c r="AX109" s="761">
        <f t="shared" si="32"/>
        <v>-7.4174396990022776E-3</v>
      </c>
      <c r="AY109" s="761">
        <f t="shared" si="39"/>
        <v>-9.0835195644568767E-2</v>
      </c>
      <c r="AZ109" s="594">
        <f t="shared" si="33"/>
        <v>0</v>
      </c>
    </row>
    <row r="110" spans="1:52" x14ac:dyDescent="0.55000000000000004">
      <c r="A110" s="7514"/>
      <c r="B110" s="88"/>
      <c r="C110" t="s">
        <v>68</v>
      </c>
      <c r="D110" s="485">
        <v>18</v>
      </c>
      <c r="E110" s="485">
        <v>40</v>
      </c>
      <c r="F110" s="485">
        <v>22</v>
      </c>
      <c r="G110" s="485">
        <v>24</v>
      </c>
      <c r="H110" s="485">
        <v>42</v>
      </c>
      <c r="I110" s="485">
        <v>44</v>
      </c>
      <c r="J110" s="485">
        <v>30</v>
      </c>
      <c r="K110" s="485">
        <v>44</v>
      </c>
      <c r="L110" s="485">
        <v>4</v>
      </c>
      <c r="M110" s="485">
        <v>10</v>
      </c>
      <c r="N110" s="485">
        <v>12</v>
      </c>
      <c r="O110" s="485">
        <v>8</v>
      </c>
      <c r="P110" s="485">
        <v>298</v>
      </c>
      <c r="Q110" s="485">
        <v>24.833333333333332</v>
      </c>
      <c r="S110" s="484">
        <v>10</v>
      </c>
      <c r="T110" s="485">
        <v>12</v>
      </c>
      <c r="U110" s="485">
        <v>4</v>
      </c>
      <c r="V110" s="485">
        <v>14</v>
      </c>
      <c r="W110" s="485">
        <v>2</v>
      </c>
      <c r="X110" s="485">
        <v>2</v>
      </c>
      <c r="Y110" s="485">
        <v>2</v>
      </c>
      <c r="Z110">
        <v>2</v>
      </c>
      <c r="AA110" s="2240">
        <v>2</v>
      </c>
      <c r="AB110" s="2240">
        <v>2</v>
      </c>
      <c r="AC110" s="2240">
        <v>2</v>
      </c>
      <c r="AD110" s="2240">
        <v>0</v>
      </c>
      <c r="AE110" s="317">
        <f>SUM(S110:AD110)</f>
        <v>54</v>
      </c>
      <c r="AF110" s="1284">
        <f t="shared" si="40"/>
        <v>4.5</v>
      </c>
      <c r="AH110" s="484">
        <v>0</v>
      </c>
      <c r="AI110" s="485">
        <v>0</v>
      </c>
      <c r="AJ110" s="485">
        <v>0</v>
      </c>
      <c r="AK110" s="485">
        <v>0</v>
      </c>
      <c r="AL110" s="485">
        <v>8</v>
      </c>
      <c r="AM110" s="485">
        <v>2</v>
      </c>
      <c r="AN110" s="485">
        <v>2</v>
      </c>
      <c r="AO110" s="317">
        <v>4</v>
      </c>
      <c r="AP110" s="317">
        <v>4</v>
      </c>
      <c r="AQ110" s="317"/>
      <c r="AT110" s="317">
        <f>SUM(AH110:AS110)</f>
        <v>20</v>
      </c>
      <c r="AU110" s="1284">
        <f t="shared" ref="AU110:AU117" si="44">AVERAGE(AH110:AS110)</f>
        <v>2.2222222222222223</v>
      </c>
      <c r="AW110" s="317">
        <f t="shared" si="31"/>
        <v>0</v>
      </c>
      <c r="AX110" s="713">
        <f t="shared" si="32"/>
        <v>-2.2777777777777777</v>
      </c>
      <c r="AY110" s="317">
        <f t="shared" si="39"/>
        <v>-28</v>
      </c>
      <c r="AZ110" s="594">
        <f t="shared" si="33"/>
        <v>0</v>
      </c>
    </row>
    <row r="111" spans="1:52" x14ac:dyDescent="0.55000000000000004">
      <c r="A111" s="7514"/>
      <c r="B111" s="88"/>
      <c r="C111" t="s">
        <v>153</v>
      </c>
      <c r="D111" s="485"/>
      <c r="E111" s="485"/>
      <c r="F111" s="485"/>
      <c r="G111" s="485">
        <v>5</v>
      </c>
      <c r="H111" s="485">
        <v>4</v>
      </c>
      <c r="I111" s="485">
        <v>2</v>
      </c>
      <c r="J111" s="485">
        <v>10</v>
      </c>
      <c r="K111" s="485">
        <v>8</v>
      </c>
      <c r="L111" s="485">
        <v>6</v>
      </c>
      <c r="M111" s="485">
        <v>12</v>
      </c>
      <c r="N111" s="485">
        <v>10</v>
      </c>
      <c r="O111" s="485">
        <v>8</v>
      </c>
      <c r="P111" s="485">
        <v>65</v>
      </c>
      <c r="Q111" s="485">
        <v>5.416666666666667</v>
      </c>
      <c r="S111" s="484">
        <v>4</v>
      </c>
      <c r="T111" s="485">
        <v>6</v>
      </c>
      <c r="U111" s="485"/>
      <c r="V111" s="485">
        <v>2</v>
      </c>
      <c r="W111" s="485">
        <v>0</v>
      </c>
      <c r="X111" s="485">
        <v>0</v>
      </c>
      <c r="Y111" s="485">
        <v>0</v>
      </c>
      <c r="Z111">
        <v>2</v>
      </c>
      <c r="AA111" s="2240">
        <v>0</v>
      </c>
      <c r="AB111" s="2240">
        <v>0</v>
      </c>
      <c r="AC111" s="2240">
        <v>0</v>
      </c>
      <c r="AD111" s="2240">
        <v>0</v>
      </c>
      <c r="AE111" s="317">
        <f t="shared" ref="AE111:AE117" si="45">SUM(S111:AD111)</f>
        <v>14</v>
      </c>
      <c r="AF111" s="1284">
        <f t="shared" si="40"/>
        <v>1.2727272727272727</v>
      </c>
      <c r="AH111" s="484">
        <v>0</v>
      </c>
      <c r="AI111" s="485">
        <v>0</v>
      </c>
      <c r="AJ111" s="485">
        <v>0</v>
      </c>
      <c r="AK111" s="485">
        <v>0</v>
      </c>
      <c r="AL111" s="485">
        <v>0</v>
      </c>
      <c r="AM111" s="485">
        <v>0</v>
      </c>
      <c r="AN111" s="2347"/>
      <c r="AO111" s="2347"/>
      <c r="AP111" s="2347"/>
      <c r="AQ111" s="2347"/>
      <c r="AR111" s="2347"/>
      <c r="AS111" s="2347"/>
      <c r="AT111" s="317">
        <f t="shared" ref="AT111:AT117" si="46">SUM(AH111:AS111)</f>
        <v>0</v>
      </c>
      <c r="AU111" s="1284">
        <f t="shared" si="44"/>
        <v>0</v>
      </c>
      <c r="AW111" s="317">
        <f t="shared" si="31"/>
        <v>0</v>
      </c>
      <c r="AX111" s="713">
        <f t="shared" si="32"/>
        <v>-1.2727272727272727</v>
      </c>
      <c r="AY111" s="317">
        <f t="shared" si="39"/>
        <v>-14</v>
      </c>
      <c r="AZ111" s="594">
        <f t="shared" si="33"/>
        <v>0</v>
      </c>
    </row>
    <row r="112" spans="1:52" x14ac:dyDescent="0.55000000000000004">
      <c r="A112" s="7514"/>
      <c r="B112" s="88"/>
      <c r="C112" t="s">
        <v>69</v>
      </c>
      <c r="D112" s="485">
        <v>12</v>
      </c>
      <c r="E112" s="485">
        <v>10</v>
      </c>
      <c r="F112" s="485">
        <v>12</v>
      </c>
      <c r="G112" s="485">
        <v>8</v>
      </c>
      <c r="H112" s="485">
        <v>2</v>
      </c>
      <c r="I112" s="485">
        <v>6</v>
      </c>
      <c r="J112" s="485">
        <v>6</v>
      </c>
      <c r="K112" s="485">
        <v>4</v>
      </c>
      <c r="L112" s="485"/>
      <c r="M112" s="485"/>
      <c r="N112" s="485">
        <v>4</v>
      </c>
      <c r="O112" s="485"/>
      <c r="P112" s="485">
        <v>64</v>
      </c>
      <c r="Q112" s="485">
        <v>5.333333333333333</v>
      </c>
      <c r="S112" s="484">
        <v>0</v>
      </c>
      <c r="T112" s="485">
        <v>0</v>
      </c>
      <c r="U112" s="485">
        <v>20</v>
      </c>
      <c r="V112" s="485">
        <v>12</v>
      </c>
      <c r="W112" s="485">
        <v>48</v>
      </c>
      <c r="X112" s="485">
        <v>19</v>
      </c>
      <c r="Y112" s="485">
        <v>12</v>
      </c>
      <c r="Z112">
        <v>8</v>
      </c>
      <c r="AA112" s="2240">
        <v>9</v>
      </c>
      <c r="AB112" s="2240">
        <v>2</v>
      </c>
      <c r="AC112" s="2240">
        <v>4</v>
      </c>
      <c r="AD112" s="2240">
        <v>4</v>
      </c>
      <c r="AE112" s="317">
        <f t="shared" si="45"/>
        <v>138</v>
      </c>
      <c r="AF112" s="1284">
        <f t="shared" si="40"/>
        <v>11.5</v>
      </c>
      <c r="AH112" s="484">
        <v>0</v>
      </c>
      <c r="AI112" s="485">
        <v>0</v>
      </c>
      <c r="AJ112" s="485">
        <v>0</v>
      </c>
      <c r="AK112" s="485">
        <v>0</v>
      </c>
      <c r="AL112" s="485">
        <v>0</v>
      </c>
      <c r="AM112" s="485">
        <v>0</v>
      </c>
      <c r="AN112" s="485"/>
      <c r="AT112" s="317">
        <f t="shared" si="46"/>
        <v>0</v>
      </c>
      <c r="AU112" s="1284">
        <f t="shared" si="44"/>
        <v>0</v>
      </c>
      <c r="AW112" s="317">
        <f t="shared" si="31"/>
        <v>-4</v>
      </c>
      <c r="AX112" s="713">
        <f t="shared" si="32"/>
        <v>-11.5</v>
      </c>
      <c r="AY112" s="317">
        <f t="shared" si="39"/>
        <v>-119</v>
      </c>
      <c r="AZ112" s="594">
        <f t="shared" si="33"/>
        <v>0</v>
      </c>
    </row>
    <row r="113" spans="1:52" x14ac:dyDescent="0.55000000000000004">
      <c r="A113" s="7514"/>
      <c r="B113" s="88"/>
      <c r="C113" t="s">
        <v>70</v>
      </c>
      <c r="D113" s="485">
        <v>4</v>
      </c>
      <c r="E113" s="485">
        <v>2</v>
      </c>
      <c r="F113" s="485">
        <v>2</v>
      </c>
      <c r="G113" s="485">
        <v>2</v>
      </c>
      <c r="H113" s="485">
        <v>4</v>
      </c>
      <c r="I113" s="485">
        <v>4</v>
      </c>
      <c r="J113" s="485">
        <v>2</v>
      </c>
      <c r="K113" s="485">
        <v>2</v>
      </c>
      <c r="L113" s="485"/>
      <c r="M113" s="485"/>
      <c r="N113" s="485">
        <v>2</v>
      </c>
      <c r="O113" s="485"/>
      <c r="P113" s="485">
        <v>24</v>
      </c>
      <c r="Q113" s="485">
        <v>2</v>
      </c>
      <c r="S113" s="484">
        <v>2</v>
      </c>
      <c r="T113" s="485">
        <v>0</v>
      </c>
      <c r="U113" s="485">
        <v>2</v>
      </c>
      <c r="V113" s="485">
        <v>0</v>
      </c>
      <c r="W113" s="485">
        <v>2</v>
      </c>
      <c r="X113" s="485">
        <v>0</v>
      </c>
      <c r="Y113" s="485">
        <v>0</v>
      </c>
      <c r="Z113">
        <v>0</v>
      </c>
      <c r="AA113" s="2240">
        <v>0</v>
      </c>
      <c r="AB113" s="2240">
        <v>2</v>
      </c>
      <c r="AC113" s="2240">
        <v>3</v>
      </c>
      <c r="AD113" s="2240">
        <v>0</v>
      </c>
      <c r="AE113" s="317">
        <f t="shared" si="45"/>
        <v>11</v>
      </c>
      <c r="AF113" s="1284">
        <f t="shared" si="40"/>
        <v>0.91666666666666663</v>
      </c>
      <c r="AH113" s="484">
        <v>0</v>
      </c>
      <c r="AI113" s="485">
        <v>0</v>
      </c>
      <c r="AJ113" s="485">
        <v>0</v>
      </c>
      <c r="AK113" s="485">
        <v>0</v>
      </c>
      <c r="AL113" s="485">
        <v>2</v>
      </c>
      <c r="AM113" s="485">
        <v>6</v>
      </c>
      <c r="AN113" s="485">
        <v>4</v>
      </c>
      <c r="AO113">
        <v>4</v>
      </c>
      <c r="AP113">
        <v>8</v>
      </c>
      <c r="AT113" s="317">
        <f t="shared" si="46"/>
        <v>24</v>
      </c>
      <c r="AU113" s="1284">
        <f t="shared" si="44"/>
        <v>2.6666666666666665</v>
      </c>
      <c r="AW113" s="317">
        <f t="shared" si="31"/>
        <v>0</v>
      </c>
      <c r="AX113" s="713">
        <f t="shared" si="32"/>
        <v>1.75</v>
      </c>
      <c r="AY113" s="317">
        <f t="shared" si="39"/>
        <v>18</v>
      </c>
      <c r="AZ113" s="594">
        <f t="shared" si="33"/>
        <v>0</v>
      </c>
    </row>
    <row r="114" spans="1:52" x14ac:dyDescent="0.55000000000000004">
      <c r="A114" s="7514"/>
      <c r="B114" s="88"/>
      <c r="C114" t="s">
        <v>73</v>
      </c>
      <c r="D114" s="485"/>
      <c r="E114" s="485"/>
      <c r="F114" s="485"/>
      <c r="G114" s="485"/>
      <c r="H114" s="485"/>
      <c r="I114" s="485">
        <v>4</v>
      </c>
      <c r="J114" s="485"/>
      <c r="K114" s="485"/>
      <c r="L114" s="485"/>
      <c r="M114" s="485"/>
      <c r="N114" s="485">
        <v>2</v>
      </c>
      <c r="O114" s="485"/>
      <c r="P114" s="485">
        <v>6</v>
      </c>
      <c r="Q114" s="485">
        <v>0.5</v>
      </c>
      <c r="S114" s="484">
        <v>0</v>
      </c>
      <c r="T114" s="485">
        <v>4</v>
      </c>
      <c r="U114" s="485">
        <v>0</v>
      </c>
      <c r="V114" s="485">
        <v>0</v>
      </c>
      <c r="W114" s="485">
        <v>0</v>
      </c>
      <c r="X114" s="485">
        <v>0</v>
      </c>
      <c r="Y114" s="485">
        <v>0</v>
      </c>
      <c r="Z114">
        <v>4</v>
      </c>
      <c r="AA114" s="2240">
        <v>0</v>
      </c>
      <c r="AB114" s="2240">
        <v>0</v>
      </c>
      <c r="AC114" s="2240">
        <v>0</v>
      </c>
      <c r="AD114" s="2240">
        <v>0</v>
      </c>
      <c r="AE114" s="317">
        <f t="shared" si="45"/>
        <v>8</v>
      </c>
      <c r="AF114" s="1284">
        <f t="shared" si="40"/>
        <v>0.66666666666666663</v>
      </c>
      <c r="AH114" s="484">
        <v>0</v>
      </c>
      <c r="AI114" s="485">
        <v>0</v>
      </c>
      <c r="AJ114" s="485">
        <v>0</v>
      </c>
      <c r="AK114" s="485">
        <v>0</v>
      </c>
      <c r="AL114" s="485">
        <v>0</v>
      </c>
      <c r="AM114" s="485">
        <v>0</v>
      </c>
      <c r="AN114" s="485"/>
      <c r="AT114" s="317">
        <f t="shared" si="46"/>
        <v>0</v>
      </c>
      <c r="AU114" s="1284">
        <f t="shared" si="44"/>
        <v>0</v>
      </c>
      <c r="AW114" s="317">
        <f t="shared" si="31"/>
        <v>0</v>
      </c>
      <c r="AX114" s="713">
        <f t="shared" si="32"/>
        <v>-0.66666666666666663</v>
      </c>
      <c r="AY114" s="317">
        <f t="shared" si="39"/>
        <v>-8</v>
      </c>
      <c r="AZ114" s="594">
        <f t="shared" si="33"/>
        <v>0</v>
      </c>
    </row>
    <row r="115" spans="1:52" x14ac:dyDescent="0.55000000000000004">
      <c r="A115" s="7514"/>
      <c r="B115" s="88"/>
      <c r="C115" t="s">
        <v>74</v>
      </c>
      <c r="D115" s="485">
        <v>2</v>
      </c>
      <c r="E115" s="485"/>
      <c r="F115" s="485"/>
      <c r="G115" s="485">
        <v>10</v>
      </c>
      <c r="H115" s="485">
        <v>8</v>
      </c>
      <c r="I115" s="485">
        <v>6</v>
      </c>
      <c r="J115" s="485">
        <v>4</v>
      </c>
      <c r="K115" s="485">
        <v>2</v>
      </c>
      <c r="L115" s="485"/>
      <c r="M115" s="485">
        <v>2</v>
      </c>
      <c r="N115" s="485">
        <v>8</v>
      </c>
      <c r="O115" s="485">
        <v>6</v>
      </c>
      <c r="P115" s="485">
        <v>48</v>
      </c>
      <c r="Q115" s="485">
        <v>4</v>
      </c>
      <c r="S115" s="484">
        <v>6</v>
      </c>
      <c r="T115" s="485">
        <v>4</v>
      </c>
      <c r="U115" s="485">
        <v>0</v>
      </c>
      <c r="V115" s="485">
        <v>2</v>
      </c>
      <c r="W115" s="485">
        <v>2</v>
      </c>
      <c r="X115" s="485">
        <v>0</v>
      </c>
      <c r="Y115" s="485">
        <v>2</v>
      </c>
      <c r="Z115">
        <v>0</v>
      </c>
      <c r="AA115" s="2240">
        <v>2</v>
      </c>
      <c r="AB115" s="2240">
        <v>0</v>
      </c>
      <c r="AC115" s="2240">
        <v>0</v>
      </c>
      <c r="AD115" s="2240">
        <v>0</v>
      </c>
      <c r="AE115" s="317">
        <f t="shared" si="45"/>
        <v>18</v>
      </c>
      <c r="AF115" s="1284">
        <f t="shared" si="40"/>
        <v>1.5</v>
      </c>
      <c r="AH115" s="484">
        <v>0</v>
      </c>
      <c r="AI115" s="485">
        <v>0</v>
      </c>
      <c r="AJ115" s="485">
        <v>0</v>
      </c>
      <c r="AK115" s="485">
        <v>0</v>
      </c>
      <c r="AL115" s="485">
        <v>0</v>
      </c>
      <c r="AM115" s="485">
        <v>0</v>
      </c>
      <c r="AN115" s="485"/>
      <c r="AT115" s="317">
        <f t="shared" si="46"/>
        <v>0</v>
      </c>
      <c r="AU115" s="1284">
        <f t="shared" si="44"/>
        <v>0</v>
      </c>
      <c r="AW115" s="317">
        <f t="shared" si="31"/>
        <v>0</v>
      </c>
      <c r="AX115" s="713">
        <f t="shared" si="32"/>
        <v>-1.5</v>
      </c>
      <c r="AY115" s="317">
        <f t="shared" si="39"/>
        <v>-16</v>
      </c>
      <c r="AZ115" s="594">
        <f t="shared" si="33"/>
        <v>0</v>
      </c>
    </row>
    <row r="116" spans="1:52" x14ac:dyDescent="0.55000000000000004">
      <c r="A116" s="7514"/>
      <c r="B116" s="88"/>
      <c r="C116" t="s">
        <v>75</v>
      </c>
      <c r="D116" s="485">
        <v>8</v>
      </c>
      <c r="E116" s="485">
        <v>6</v>
      </c>
      <c r="F116" s="485">
        <v>4</v>
      </c>
      <c r="G116" s="485"/>
      <c r="H116" s="485">
        <v>16</v>
      </c>
      <c r="I116" s="485">
        <v>23</v>
      </c>
      <c r="J116" s="485">
        <v>8</v>
      </c>
      <c r="K116" s="485">
        <v>20</v>
      </c>
      <c r="L116" s="485">
        <v>12</v>
      </c>
      <c r="M116" s="485">
        <v>34</v>
      </c>
      <c r="N116" s="485">
        <v>36</v>
      </c>
      <c r="O116" s="485">
        <v>26</v>
      </c>
      <c r="P116" s="485">
        <v>193</v>
      </c>
      <c r="Q116" s="485">
        <v>16.083333333333332</v>
      </c>
      <c r="S116" s="484">
        <v>32</v>
      </c>
      <c r="T116" s="485">
        <v>15</v>
      </c>
      <c r="U116" s="485">
        <v>7</v>
      </c>
      <c r="V116" s="485">
        <v>2</v>
      </c>
      <c r="W116" s="485">
        <v>0</v>
      </c>
      <c r="X116" s="485">
        <v>0</v>
      </c>
      <c r="Y116" s="485">
        <v>0</v>
      </c>
      <c r="Z116">
        <v>2</v>
      </c>
      <c r="AA116" s="2240">
        <v>0</v>
      </c>
      <c r="AB116" s="2240">
        <v>0</v>
      </c>
      <c r="AC116" s="2240">
        <v>2</v>
      </c>
      <c r="AD116" s="2240">
        <v>0</v>
      </c>
      <c r="AE116" s="317">
        <f t="shared" si="45"/>
        <v>60</v>
      </c>
      <c r="AF116" s="1284">
        <f t="shared" si="40"/>
        <v>5</v>
      </c>
      <c r="AH116" s="484">
        <v>0</v>
      </c>
      <c r="AI116" s="485">
        <v>0</v>
      </c>
      <c r="AJ116" s="485">
        <v>0</v>
      </c>
      <c r="AK116" s="485">
        <v>0</v>
      </c>
      <c r="AL116" s="485">
        <v>2</v>
      </c>
      <c r="AM116" s="485">
        <v>0</v>
      </c>
      <c r="AN116" s="485">
        <v>4</v>
      </c>
      <c r="AO116">
        <v>4</v>
      </c>
      <c r="AT116" s="317">
        <f t="shared" si="46"/>
        <v>10</v>
      </c>
      <c r="AU116" s="1284">
        <f t="shared" si="44"/>
        <v>1.25</v>
      </c>
      <c r="AW116" s="317">
        <f t="shared" si="31"/>
        <v>0</v>
      </c>
      <c r="AX116" s="713">
        <f t="shared" si="32"/>
        <v>-3.75</v>
      </c>
      <c r="AY116" s="317">
        <f t="shared" si="39"/>
        <v>-48</v>
      </c>
      <c r="AZ116" s="594">
        <f t="shared" si="33"/>
        <v>0</v>
      </c>
    </row>
    <row r="117" spans="1:52" x14ac:dyDescent="0.55000000000000004">
      <c r="A117" s="7514"/>
      <c r="B117" s="1486"/>
      <c r="C117" s="1147" t="s">
        <v>76</v>
      </c>
      <c r="D117" s="546"/>
      <c r="E117" s="546"/>
      <c r="F117" s="546"/>
      <c r="G117" s="546">
        <v>4</v>
      </c>
      <c r="H117" s="546">
        <v>4</v>
      </c>
      <c r="I117" s="546">
        <v>2</v>
      </c>
      <c r="J117" s="546">
        <v>4</v>
      </c>
      <c r="K117" s="546">
        <v>2</v>
      </c>
      <c r="L117" s="546"/>
      <c r="M117" s="546">
        <v>2</v>
      </c>
      <c r="N117" s="546">
        <v>2</v>
      </c>
      <c r="O117" s="546">
        <v>2</v>
      </c>
      <c r="P117" s="546">
        <v>22</v>
      </c>
      <c r="Q117" s="546">
        <v>1.8333333333333333</v>
      </c>
      <c r="S117" s="545">
        <v>2</v>
      </c>
      <c r="T117" s="546">
        <v>2</v>
      </c>
      <c r="U117" s="546">
        <v>5</v>
      </c>
      <c r="V117" s="546">
        <v>2</v>
      </c>
      <c r="W117" s="546">
        <v>0</v>
      </c>
      <c r="X117" s="546">
        <v>2</v>
      </c>
      <c r="Y117" s="546">
        <v>4</v>
      </c>
      <c r="Z117" s="1147">
        <v>2</v>
      </c>
      <c r="AA117" s="2241">
        <v>6</v>
      </c>
      <c r="AB117" s="2241">
        <v>6</v>
      </c>
      <c r="AC117" s="2241">
        <v>2</v>
      </c>
      <c r="AD117" s="2241">
        <v>2</v>
      </c>
      <c r="AE117" s="317">
        <f t="shared" si="45"/>
        <v>35</v>
      </c>
      <c r="AF117" s="1284">
        <f t="shared" si="40"/>
        <v>2.9166666666666665</v>
      </c>
      <c r="AH117" s="545">
        <v>0</v>
      </c>
      <c r="AI117" s="546">
        <v>0</v>
      </c>
      <c r="AJ117" s="546">
        <v>0</v>
      </c>
      <c r="AK117" s="546">
        <v>0</v>
      </c>
      <c r="AL117" s="546">
        <v>4</v>
      </c>
      <c r="AM117" s="485">
        <v>4</v>
      </c>
      <c r="AN117" s="546">
        <v>9</v>
      </c>
      <c r="AO117" s="1147"/>
      <c r="AP117" s="1147"/>
      <c r="AQ117" s="1147">
        <v>2</v>
      </c>
      <c r="AR117" s="1147"/>
      <c r="AS117" s="1147"/>
      <c r="AT117" s="317">
        <f t="shared" si="46"/>
        <v>19</v>
      </c>
      <c r="AU117" s="1284">
        <f t="shared" si="44"/>
        <v>2.375</v>
      </c>
      <c r="AW117" s="317">
        <f t="shared" si="31"/>
        <v>-2</v>
      </c>
      <c r="AX117" s="713">
        <f t="shared" si="32"/>
        <v>-0.54166666666666652</v>
      </c>
      <c r="AY117" s="317">
        <f t="shared" si="39"/>
        <v>0</v>
      </c>
      <c r="AZ117" s="594">
        <f t="shared" si="33"/>
        <v>0</v>
      </c>
    </row>
    <row r="118" spans="1:52" x14ac:dyDescent="0.55000000000000004">
      <c r="A118" s="7514"/>
      <c r="B118" s="7519" t="s">
        <v>566</v>
      </c>
      <c r="C118" s="7520"/>
      <c r="D118" s="548">
        <v>2.4398411711237622E-3</v>
      </c>
      <c r="E118" s="548">
        <v>2.0359274137016696E-3</v>
      </c>
      <c r="F118" s="548">
        <v>2.143896137730401E-3</v>
      </c>
      <c r="G118" s="548">
        <v>2.5497695400608024E-3</v>
      </c>
      <c r="H118" s="548">
        <v>2.440597916058039E-3</v>
      </c>
      <c r="I118" s="548">
        <v>1.9463742320721135E-3</v>
      </c>
      <c r="J118" s="548">
        <v>3.0000000000000001E-3</v>
      </c>
      <c r="K118" s="548">
        <v>3.0000000000000001E-3</v>
      </c>
      <c r="L118" s="548">
        <v>2E-3</v>
      </c>
      <c r="M118" s="548">
        <v>2E-3</v>
      </c>
      <c r="N118" s="548">
        <v>3.0000000000000001E-3</v>
      </c>
      <c r="O118" s="548">
        <v>2E-3</v>
      </c>
      <c r="P118" s="548">
        <v>2E-3</v>
      </c>
      <c r="Q118" s="548">
        <v>2E-3</v>
      </c>
      <c r="S118" s="547">
        <v>3.0000000000000001E-3</v>
      </c>
      <c r="T118" s="548">
        <v>2.4089986532369735E-3</v>
      </c>
      <c r="U118" s="548">
        <v>3.9152625323358734E-3</v>
      </c>
      <c r="V118" s="548">
        <v>2.079037604948679E-3</v>
      </c>
      <c r="W118" s="548">
        <v>2.1752098384560229E-3</v>
      </c>
      <c r="X118" s="548">
        <v>2.2692168341564805E-3</v>
      </c>
      <c r="Y118" s="548">
        <v>2.1817203420563154E-3</v>
      </c>
      <c r="Z118" s="548">
        <v>2.0491928626918442E-3</v>
      </c>
      <c r="AA118" s="2242">
        <v>2.7392382178516154E-3</v>
      </c>
      <c r="AB118" s="2242">
        <v>2.4797718853577697E-3</v>
      </c>
      <c r="AC118" s="2242">
        <v>1.8154253828318089E-3</v>
      </c>
      <c r="AD118" s="2242">
        <v>1.9248195481673593E-3</v>
      </c>
      <c r="AE118" s="2271">
        <f>AVERAGE(S118:AD118)</f>
        <v>2.4198244751742286E-3</v>
      </c>
      <c r="AF118" s="914">
        <f>AE118</f>
        <v>2.4198244751742286E-3</v>
      </c>
      <c r="AH118" s="547">
        <v>3.7476367012723127E-3</v>
      </c>
      <c r="AI118" s="548">
        <v>3.154466747608619E-3</v>
      </c>
      <c r="AJ118" s="548">
        <v>1.8683264357328294E-3</v>
      </c>
      <c r="AK118" s="548">
        <v>7.2802912116484665E-4</v>
      </c>
      <c r="AL118" s="548">
        <v>1.5300153001530014E-3</v>
      </c>
      <c r="AM118" s="548">
        <v>3.0010326133723432E-3</v>
      </c>
      <c r="AN118" s="548">
        <v>1.9212714267739094E-3</v>
      </c>
      <c r="AO118" s="548">
        <v>1.367678589559058E-3</v>
      </c>
      <c r="AP118" s="2439">
        <v>2.2647000152544563E-3</v>
      </c>
      <c r="AQ118" s="2439">
        <v>2.5790474626824831E-3</v>
      </c>
      <c r="AR118" s="2435"/>
      <c r="AS118" s="2435"/>
      <c r="AT118" s="2271">
        <f>AVERAGE(AH118:AS118)</f>
        <v>2.2162204413573861E-3</v>
      </c>
      <c r="AU118" s="914">
        <f>AT118</f>
        <v>2.2162204413573861E-3</v>
      </c>
      <c r="AW118" s="761">
        <f t="shared" si="31"/>
        <v>-1.9248195481673593E-3</v>
      </c>
      <c r="AX118" s="761">
        <f t="shared" si="32"/>
        <v>-2.0360403381684258E-4</v>
      </c>
      <c r="AY118" s="761">
        <f t="shared" si="39"/>
        <v>-1.78624182265248E-2</v>
      </c>
      <c r="AZ118" s="594">
        <f t="shared" si="33"/>
        <v>0</v>
      </c>
    </row>
    <row r="119" spans="1:52" ht="18" thickBot="1" x14ac:dyDescent="0.6">
      <c r="A119" s="7515"/>
      <c r="B119" s="7521" t="s">
        <v>567</v>
      </c>
      <c r="C119" s="7522"/>
      <c r="D119" s="930">
        <v>2.9678750552162219E-2</v>
      </c>
      <c r="E119" s="930">
        <v>3.6214040604719722E-2</v>
      </c>
      <c r="F119" s="930">
        <v>1.703564568432607E-2</v>
      </c>
      <c r="G119" s="930">
        <v>2.7927989932756331E-2</v>
      </c>
      <c r="H119" s="930">
        <v>2.5639560421398668E-2</v>
      </c>
      <c r="I119" s="930">
        <v>2.8101702691004812E-2</v>
      </c>
      <c r="J119" s="930">
        <v>2.1000000000000001E-2</v>
      </c>
      <c r="K119" s="930">
        <v>0.02</v>
      </c>
      <c r="L119" s="930">
        <v>8.0000000000000002E-3</v>
      </c>
      <c r="M119" s="930">
        <v>1.6E-2</v>
      </c>
      <c r="N119" s="930">
        <v>1.4999999999999999E-2</v>
      </c>
      <c r="O119" s="930">
        <v>1.2E-2</v>
      </c>
      <c r="P119" s="930">
        <v>2.0999999999999998E-2</v>
      </c>
      <c r="Q119" s="930">
        <v>2.0999999999999998E-2</v>
      </c>
      <c r="S119" s="929">
        <v>1.4254313578394601E-2</v>
      </c>
      <c r="T119" s="930">
        <v>1.0769295920406437E-2</v>
      </c>
      <c r="U119" s="930">
        <v>4.4685888800206344E-3</v>
      </c>
      <c r="V119" s="930">
        <v>5.634036054904772E-3</v>
      </c>
      <c r="W119" s="930">
        <v>8.6030974000282073E-3</v>
      </c>
      <c r="X119" s="930">
        <f>X94-X118</f>
        <v>6.9195466208185775E-3</v>
      </c>
      <c r="Y119" s="930">
        <f>Y94-Y118</f>
        <v>4.4204424354052666E-3</v>
      </c>
      <c r="Z119" s="930">
        <v>4.8716577727680776E-3</v>
      </c>
      <c r="AA119" s="2243">
        <v>4.0710639119155966E-3</v>
      </c>
      <c r="AB119" s="2243">
        <v>4.520702723090261E-3</v>
      </c>
      <c r="AC119" s="2243">
        <v>1.5023431106555346E-3</v>
      </c>
      <c r="AD119" s="2243">
        <v>4.8301115515354239E-3</v>
      </c>
      <c r="AE119" s="2270">
        <f>AVERAGE(S119:AD119)</f>
        <v>6.2387666633286149E-3</v>
      </c>
      <c r="AF119" s="1014">
        <f>AE119</f>
        <v>6.2387666633286149E-3</v>
      </c>
      <c r="AH119" s="929">
        <f>AH94-AH118</f>
        <v>2.442488575072566E-3</v>
      </c>
      <c r="AI119" s="930">
        <f>AI94-AI118</f>
        <v>2.8553854691401497E-3</v>
      </c>
      <c r="AJ119" s="930">
        <v>2.3645988588558908E-3</v>
      </c>
      <c r="AK119" s="930">
        <v>1.5562611913676008E-3</v>
      </c>
      <c r="AL119" s="930">
        <v>1.5562611913676008E-3</v>
      </c>
      <c r="AM119" s="930">
        <f t="shared" ref="AM119" si="47">AM94-AM118</f>
        <v>3.0900690815429113E-3</v>
      </c>
      <c r="AN119" s="930">
        <v>1.4843700924383511E-3</v>
      </c>
      <c r="AO119" s="930">
        <v>1.4843700924383511E-3</v>
      </c>
      <c r="AP119" s="2440">
        <v>4.9189044639342192E-3</v>
      </c>
      <c r="AQ119" s="2440">
        <v>2.0518433027765198E-3</v>
      </c>
      <c r="AR119" s="2434"/>
      <c r="AS119" s="2434"/>
      <c r="AT119" s="2270">
        <f>AVERAGE(AH119:AS119)</f>
        <v>2.380455231893416E-3</v>
      </c>
      <c r="AU119" s="1014">
        <f>AT119</f>
        <v>2.380455231893416E-3</v>
      </c>
      <c r="AW119" s="761">
        <f t="shared" si="31"/>
        <v>-4.8301115515354239E-3</v>
      </c>
      <c r="AX119" s="761">
        <f t="shared" si="32"/>
        <v>-3.8583114314351989E-3</v>
      </c>
      <c r="AY119" s="761">
        <f t="shared" si="39"/>
        <v>-5.7560523430853154E-2</v>
      </c>
      <c r="AZ119" s="594">
        <f t="shared" si="33"/>
        <v>0</v>
      </c>
    </row>
    <row r="120" spans="1:52" x14ac:dyDescent="0.55000000000000004">
      <c r="A120" t="s">
        <v>647</v>
      </c>
    </row>
  </sheetData>
  <mergeCells count="9">
    <mergeCell ref="A61:A119"/>
    <mergeCell ref="B89:B91"/>
    <mergeCell ref="B118:C118"/>
    <mergeCell ref="B119:C119"/>
    <mergeCell ref="A4:A32"/>
    <mergeCell ref="B31:C31"/>
    <mergeCell ref="B32:C32"/>
    <mergeCell ref="A34:A59"/>
    <mergeCell ref="B57:B59"/>
  </mergeCells>
  <phoneticPr fontId="1" type="noConversion"/>
  <conditionalFormatting sqref="AZ4:AZ119">
    <cfRule type="containsBlanks" dxfId="0" priority="4">
      <formula>LEN(TRIM(AZ4))=0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1">
    <tabColor theme="7" tint="0.79998168889431442"/>
  </sheetPr>
  <dimension ref="A1:CN477"/>
  <sheetViews>
    <sheetView showGridLines="0" zoomScale="55" zoomScaleNormal="55" workbookViewId="0">
      <pane xSplit="3" ySplit="2" topLeftCell="AO117" activePane="bottomRight" state="frozen"/>
      <selection activeCell="V54" sqref="V54"/>
      <selection pane="topRight" activeCell="V54" sqref="V54"/>
      <selection pane="bottomLeft" activeCell="V54" sqref="V54"/>
      <selection pane="bottomRight" activeCell="BI144" sqref="BI144"/>
    </sheetView>
  </sheetViews>
  <sheetFormatPr defaultRowHeight="17.600000000000001" outlineLevelCol="1" x14ac:dyDescent="0.55000000000000004"/>
  <cols>
    <col min="1" max="1" width="13.5" customWidth="1"/>
    <col min="2" max="2" width="8.85546875" style="52"/>
    <col min="4" max="15" width="8.85546875" style="170" hidden="1" customWidth="1" outlineLevel="1"/>
    <col min="16" max="16" width="8.85546875" style="170" collapsed="1"/>
    <col min="17" max="17" width="8.85546875" style="170"/>
    <col min="18" max="18" width="2.35546875" style="185" customWidth="1"/>
    <col min="19" max="30" width="8.85546875" style="170" hidden="1" customWidth="1" outlineLevel="1"/>
    <col min="31" max="31" width="8.85546875" style="170" collapsed="1"/>
    <col min="32" max="32" width="8.85546875" style="170"/>
    <col min="33" max="33" width="2.35546875" style="185" customWidth="1"/>
    <col min="34" max="45" width="8.85546875" style="170" customWidth="1" outlineLevel="1"/>
    <col min="46" max="47" width="8.85546875" style="170"/>
    <col min="50" max="61" width="8.85546875" style="1029" customWidth="1" outlineLevel="1"/>
    <col min="62" max="63" width="8.640625" style="1029"/>
    <col min="66" max="67" width="9.140625" customWidth="1"/>
    <col min="68" max="68" width="12.640625" customWidth="1"/>
    <col min="69" max="69" width="9.140625" customWidth="1"/>
  </cols>
  <sheetData>
    <row r="1" spans="1:71" x14ac:dyDescent="0.55000000000000004">
      <c r="A1" s="196">
        <f>'2-(1) 수수료 기준_가입자(무선)'!A1</f>
        <v>12.000999999999999</v>
      </c>
      <c r="B1" s="2366">
        <f>'※ 영기팀 작성_가입자'!B1</f>
        <v>11.000999999999999</v>
      </c>
      <c r="S1" s="782">
        <v>1.0009999999999999</v>
      </c>
      <c r="T1" s="782">
        <v>2.0009999999999999</v>
      </c>
      <c r="U1" s="782">
        <v>3.0009999999999999</v>
      </c>
      <c r="V1" s="782">
        <v>4.0010000000000003</v>
      </c>
      <c r="W1" s="782">
        <v>5.0010000000000003</v>
      </c>
      <c r="X1" s="782">
        <v>6.0010000000000003</v>
      </c>
      <c r="Y1" s="782">
        <v>7.0010000000000003</v>
      </c>
      <c r="Z1" s="782">
        <v>8.0009999999999994</v>
      </c>
      <c r="AA1" s="782">
        <v>9.0009999999999994</v>
      </c>
      <c r="AB1" s="782">
        <v>10.000999999999999</v>
      </c>
      <c r="AC1" s="782">
        <v>11.000999999999999</v>
      </c>
      <c r="AD1" s="782">
        <v>12.000999999999999</v>
      </c>
      <c r="AH1" s="782">
        <v>1.0009999999999999</v>
      </c>
      <c r="AI1" s="782">
        <v>2.0009999999999999</v>
      </c>
      <c r="AJ1" s="782">
        <v>3.0009999999999999</v>
      </c>
      <c r="AK1" s="782">
        <v>4.0010000000000003</v>
      </c>
      <c r="AL1" s="782">
        <v>5.0010000000000003</v>
      </c>
      <c r="AM1" s="782">
        <v>6.0010000000000003</v>
      </c>
      <c r="AN1" s="782">
        <v>7.0010000000000003</v>
      </c>
      <c r="AO1" s="782">
        <v>8.0009999999999994</v>
      </c>
      <c r="AP1" s="782">
        <v>9.0009999999999994</v>
      </c>
      <c r="AQ1" s="782">
        <v>10.000999999999999</v>
      </c>
      <c r="AR1" s="782">
        <v>11.000999999999999</v>
      </c>
      <c r="AS1" s="782">
        <v>12.000999999999999</v>
      </c>
      <c r="AX1" s="1867">
        <v>1.0009999999999999</v>
      </c>
      <c r="AY1" s="1867">
        <v>2.0009999999999999</v>
      </c>
      <c r="AZ1" s="1867">
        <v>3.0009999999999999</v>
      </c>
      <c r="BA1" s="1867">
        <v>4.0010000000000003</v>
      </c>
      <c r="BB1" s="1867">
        <v>5.0010000000000003</v>
      </c>
      <c r="BC1" s="1867">
        <v>6.0010000000000003</v>
      </c>
      <c r="BD1" s="1867">
        <v>7.0010000000000003</v>
      </c>
      <c r="BE1" s="1867">
        <v>8.0009999999999994</v>
      </c>
      <c r="BF1" s="1867">
        <v>9.0009999999999994</v>
      </c>
      <c r="BG1" s="1867">
        <v>10.000999999999999</v>
      </c>
      <c r="BH1" s="1867">
        <v>11.000999999999999</v>
      </c>
      <c r="BI1" s="1867">
        <v>12.000999999999999</v>
      </c>
    </row>
    <row r="2" spans="1:71" ht="18" thickBot="1" x14ac:dyDescent="0.6">
      <c r="D2" s="109" t="s">
        <v>380</v>
      </c>
      <c r="E2" s="110" t="s">
        <v>381</v>
      </c>
      <c r="F2" s="110" t="s">
        <v>382</v>
      </c>
      <c r="G2" s="110" t="s">
        <v>383</v>
      </c>
      <c r="H2" s="110" t="s">
        <v>384</v>
      </c>
      <c r="I2" s="110" t="s">
        <v>385</v>
      </c>
      <c r="J2" s="110" t="s">
        <v>386</v>
      </c>
      <c r="K2" s="110" t="s">
        <v>387</v>
      </c>
      <c r="L2" s="110" t="s">
        <v>388</v>
      </c>
      <c r="M2" s="110" t="s">
        <v>389</v>
      </c>
      <c r="N2" s="110" t="s">
        <v>390</v>
      </c>
      <c r="O2" s="110" t="s">
        <v>391</v>
      </c>
      <c r="P2" s="110" t="s">
        <v>411</v>
      </c>
      <c r="Q2" s="110" t="s">
        <v>367</v>
      </c>
      <c r="S2" s="110" t="s">
        <v>368</v>
      </c>
      <c r="T2" s="110" t="s">
        <v>369</v>
      </c>
      <c r="U2" s="110" t="s">
        <v>370</v>
      </c>
      <c r="V2" s="110" t="s">
        <v>371</v>
      </c>
      <c r="W2" s="110" t="s">
        <v>372</v>
      </c>
      <c r="X2" s="110" t="s">
        <v>373</v>
      </c>
      <c r="Y2" s="110" t="s">
        <v>374</v>
      </c>
      <c r="Z2" s="110" t="s">
        <v>375</v>
      </c>
      <c r="AA2" s="110" t="s">
        <v>376</v>
      </c>
      <c r="AB2" s="110" t="s">
        <v>377</v>
      </c>
      <c r="AC2" s="110" t="s">
        <v>378</v>
      </c>
      <c r="AD2" s="110" t="s">
        <v>379</v>
      </c>
      <c r="AE2" s="110" t="s">
        <v>412</v>
      </c>
      <c r="AF2" s="110" t="s">
        <v>367</v>
      </c>
      <c r="AH2" s="110" t="s">
        <v>2</v>
      </c>
      <c r="AI2" s="110" t="s">
        <v>3</v>
      </c>
      <c r="AJ2" s="110" t="s">
        <v>158</v>
      </c>
      <c r="AK2" s="110" t="s">
        <v>358</v>
      </c>
      <c r="AL2" s="110" t="s">
        <v>359</v>
      </c>
      <c r="AM2" s="110" t="s">
        <v>360</v>
      </c>
      <c r="AN2" s="110" t="s">
        <v>361</v>
      </c>
      <c r="AO2" s="110" t="s">
        <v>362</v>
      </c>
      <c r="AP2" s="110" t="s">
        <v>363</v>
      </c>
      <c r="AQ2" s="110" t="s">
        <v>364</v>
      </c>
      <c r="AR2" s="110" t="s">
        <v>365</v>
      </c>
      <c r="AS2" s="110" t="s">
        <v>366</v>
      </c>
      <c r="AT2" s="110" t="s">
        <v>413</v>
      </c>
      <c r="AU2" s="110" t="s">
        <v>367</v>
      </c>
      <c r="AX2" s="1003" t="s">
        <v>1020</v>
      </c>
      <c r="AY2" s="110" t="s">
        <v>1022</v>
      </c>
      <c r="AZ2" s="110" t="s">
        <v>1024</v>
      </c>
      <c r="BA2" s="110" t="s">
        <v>1025</v>
      </c>
      <c r="BB2" s="110" t="s">
        <v>1026</v>
      </c>
      <c r="BC2" s="110" t="s">
        <v>1027</v>
      </c>
      <c r="BD2" s="110" t="s">
        <v>1028</v>
      </c>
      <c r="BE2" s="110" t="s">
        <v>1029</v>
      </c>
      <c r="BF2" s="110" t="s">
        <v>1030</v>
      </c>
      <c r="BG2" s="110" t="s">
        <v>1031</v>
      </c>
      <c r="BH2" s="110" t="s">
        <v>1032</v>
      </c>
      <c r="BI2" s="110" t="s">
        <v>1033</v>
      </c>
      <c r="BJ2" s="110" t="s">
        <v>1036</v>
      </c>
      <c r="BK2" s="110" t="s">
        <v>367</v>
      </c>
      <c r="BN2" s="316" t="s">
        <v>464</v>
      </c>
      <c r="BO2" s="316" t="s">
        <v>465</v>
      </c>
      <c r="BP2" s="1133" t="s">
        <v>471</v>
      </c>
      <c r="BQ2" s="316" t="s">
        <v>133</v>
      </c>
    </row>
    <row r="3" spans="1:71" x14ac:dyDescent="0.55000000000000004">
      <c r="A3" s="7216" t="s">
        <v>392</v>
      </c>
      <c r="B3" s="41" t="s">
        <v>259</v>
      </c>
      <c r="C3" s="16"/>
      <c r="D3" s="270">
        <f>SUM(D4:D6)</f>
        <v>255</v>
      </c>
      <c r="E3" s="271">
        <f t="shared" ref="E3:O3" si="0">SUM(E4:E6)</f>
        <v>256</v>
      </c>
      <c r="F3" s="271">
        <f t="shared" si="0"/>
        <v>257</v>
      </c>
      <c r="G3" s="271">
        <f t="shared" si="0"/>
        <v>261</v>
      </c>
      <c r="H3" s="271">
        <f t="shared" si="0"/>
        <v>262</v>
      </c>
      <c r="I3" s="271">
        <f t="shared" si="0"/>
        <v>258</v>
      </c>
      <c r="J3" s="271">
        <f t="shared" si="0"/>
        <v>262</v>
      </c>
      <c r="K3" s="271">
        <f t="shared" si="0"/>
        <v>261</v>
      </c>
      <c r="L3" s="271">
        <f t="shared" si="0"/>
        <v>262</v>
      </c>
      <c r="M3" s="271">
        <f t="shared" si="0"/>
        <v>261</v>
      </c>
      <c r="N3" s="271">
        <f t="shared" si="0"/>
        <v>261</v>
      </c>
      <c r="O3" s="271">
        <f t="shared" si="0"/>
        <v>256</v>
      </c>
      <c r="P3" s="271">
        <f>AVERAGE(D3:O3)</f>
        <v>259.33333333333331</v>
      </c>
      <c r="Q3" s="272">
        <f>P3</f>
        <v>259.33333333333331</v>
      </c>
      <c r="R3" s="370"/>
      <c r="S3" s="270">
        <f t="shared" ref="S3:AD3" si="1">SUM(S4:S6)</f>
        <v>259</v>
      </c>
      <c r="T3" s="271">
        <f t="shared" si="1"/>
        <v>259</v>
      </c>
      <c r="U3" s="271">
        <f t="shared" si="1"/>
        <v>254</v>
      </c>
      <c r="V3" s="271">
        <f t="shared" si="1"/>
        <v>258</v>
      </c>
      <c r="W3" s="271">
        <f t="shared" si="1"/>
        <v>258</v>
      </c>
      <c r="X3" s="271">
        <f t="shared" si="1"/>
        <v>257</v>
      </c>
      <c r="Y3" s="271">
        <f t="shared" si="1"/>
        <v>259</v>
      </c>
      <c r="Z3" s="271">
        <f t="shared" si="1"/>
        <v>257</v>
      </c>
      <c r="AA3" s="271">
        <f t="shared" si="1"/>
        <v>257</v>
      </c>
      <c r="AB3" s="271">
        <f t="shared" si="1"/>
        <v>255</v>
      </c>
      <c r="AC3" s="271">
        <f t="shared" si="1"/>
        <v>254</v>
      </c>
      <c r="AD3" s="271">
        <f t="shared" si="1"/>
        <v>253</v>
      </c>
      <c r="AE3" s="271">
        <f>SUM(S3:AD3)</f>
        <v>3080</v>
      </c>
      <c r="AF3" s="272">
        <f>AE3/12</f>
        <v>256.66666666666669</v>
      </c>
      <c r="AG3" s="370"/>
      <c r="AH3" s="270">
        <f t="shared" ref="AH3:AM3" si="2">SUM(AH4:AH6)</f>
        <v>255</v>
      </c>
      <c r="AI3" s="271">
        <f t="shared" si="2"/>
        <v>251</v>
      </c>
      <c r="AJ3" s="271">
        <f t="shared" si="2"/>
        <v>260</v>
      </c>
      <c r="AK3" s="271">
        <f t="shared" si="2"/>
        <v>261</v>
      </c>
      <c r="AL3" s="271">
        <f t="shared" si="2"/>
        <v>266</v>
      </c>
      <c r="AM3" s="271">
        <f t="shared" si="2"/>
        <v>269</v>
      </c>
      <c r="AN3" s="271">
        <v>271</v>
      </c>
      <c r="AO3" s="271">
        <f>SUM(AO4:AO6)</f>
        <v>271</v>
      </c>
      <c r="AP3" s="271">
        <f>SUM(AP4:AP6)</f>
        <v>272</v>
      </c>
      <c r="AQ3" s="271">
        <f>SUM(AQ4:AQ6)</f>
        <v>272</v>
      </c>
      <c r="AR3" s="271">
        <v>272</v>
      </c>
      <c r="AS3" s="271">
        <v>274</v>
      </c>
      <c r="AT3" s="271">
        <f>SUM(AH3:AS3)</f>
        <v>3194</v>
      </c>
      <c r="AU3" s="272">
        <f>SUM(AH3:AS3)/12</f>
        <v>266.16666666666669</v>
      </c>
      <c r="AV3" t="b">
        <v>1</v>
      </c>
      <c r="AX3" s="270">
        <v>272</v>
      </c>
      <c r="AY3" s="271">
        <v>269</v>
      </c>
      <c r="AZ3" s="271">
        <v>262</v>
      </c>
      <c r="BA3" s="271">
        <v>258</v>
      </c>
      <c r="BB3" s="271">
        <v>257</v>
      </c>
      <c r="BC3" s="271">
        <v>252</v>
      </c>
      <c r="BD3" s="271">
        <v>254</v>
      </c>
      <c r="BE3" s="271">
        <v>253</v>
      </c>
      <c r="BF3" s="271">
        <v>253</v>
      </c>
      <c r="BG3" s="271">
        <v>252</v>
      </c>
      <c r="BH3" s="271">
        <v>252</v>
      </c>
      <c r="BI3" s="271">
        <v>250</v>
      </c>
      <c r="BJ3" s="271">
        <f>SUM(AX3:BI3)</f>
        <v>3084</v>
      </c>
      <c r="BK3" s="272">
        <f>SUM(AX3:BI3)/$A$1</f>
        <v>256.97858511790685</v>
      </c>
      <c r="BL3" t="b">
        <v>1</v>
      </c>
      <c r="BN3" s="322">
        <f t="shared" ref="BN3:BN66" si="3">HLOOKUP($A$1,$AX$1:$BI$500,ROW(),0)-HLOOKUP($A$1,$AH$1:$AS$500,ROW(),0)</f>
        <v>-24</v>
      </c>
      <c r="BO3" s="322">
        <f>BK3-AU3</f>
        <v>-9.1880815487598397</v>
      </c>
      <c r="BP3" s="322">
        <f t="shared" ref="BP3:BP34" si="4">BJ3-SUM(AH3:AS3)</f>
        <v>-110</v>
      </c>
      <c r="BQ3" s="322">
        <f>BS3-BR3</f>
        <v>-2</v>
      </c>
      <c r="BR3">
        <f>HLOOKUP($B$1,$AX$1:$BI$500,ROW(),0)</f>
        <v>252</v>
      </c>
      <c r="BS3">
        <f>HLOOKUP($A$1,$AX$1:$BI$500,ROW(),0)</f>
        <v>250</v>
      </c>
    </row>
    <row r="4" spans="1:71" x14ac:dyDescent="0.55000000000000004">
      <c r="A4" s="7217"/>
      <c r="B4" s="42"/>
      <c r="C4" s="35" t="s">
        <v>260</v>
      </c>
      <c r="D4" s="273">
        <v>1</v>
      </c>
      <c r="E4" s="274">
        <v>1</v>
      </c>
      <c r="F4" s="274">
        <v>1</v>
      </c>
      <c r="G4" s="274">
        <v>1</v>
      </c>
      <c r="H4" s="274">
        <v>1</v>
      </c>
      <c r="I4" s="274">
        <v>1</v>
      </c>
      <c r="J4" s="274">
        <v>1</v>
      </c>
      <c r="K4" s="274">
        <v>1</v>
      </c>
      <c r="L4" s="274">
        <v>1</v>
      </c>
      <c r="M4" s="274">
        <v>1</v>
      </c>
      <c r="N4" s="274">
        <v>1</v>
      </c>
      <c r="O4" s="274">
        <v>1</v>
      </c>
      <c r="P4" s="274">
        <f t="shared" ref="P4:P59" si="5">AVERAGE(D4:O4)</f>
        <v>1</v>
      </c>
      <c r="Q4" s="275">
        <f t="shared" ref="Q4:Q59" si="6">P4</f>
        <v>1</v>
      </c>
      <c r="R4" s="370"/>
      <c r="S4" s="273">
        <v>1</v>
      </c>
      <c r="T4" s="274">
        <v>1</v>
      </c>
      <c r="U4" s="274">
        <v>1</v>
      </c>
      <c r="V4" s="274">
        <v>1</v>
      </c>
      <c r="W4" s="274">
        <v>1</v>
      </c>
      <c r="X4" s="274">
        <v>1</v>
      </c>
      <c r="Y4" s="274">
        <v>1</v>
      </c>
      <c r="Z4" s="274">
        <v>1</v>
      </c>
      <c r="AA4" s="274">
        <v>1</v>
      </c>
      <c r="AB4" s="274">
        <v>1</v>
      </c>
      <c r="AC4" s="274">
        <v>1</v>
      </c>
      <c r="AD4" s="274">
        <v>1</v>
      </c>
      <c r="AE4" s="274">
        <f t="shared" ref="AE4:AE21" si="7">SUM(S4:AD4)</f>
        <v>12</v>
      </c>
      <c r="AF4" s="275">
        <f t="shared" ref="AF4:AF21" si="8">AE4/12</f>
        <v>1</v>
      </c>
      <c r="AG4" s="370"/>
      <c r="AH4" s="273">
        <v>1</v>
      </c>
      <c r="AI4" s="274">
        <v>1</v>
      </c>
      <c r="AJ4" s="274">
        <v>1</v>
      </c>
      <c r="AK4" s="274">
        <v>1</v>
      </c>
      <c r="AL4" s="274">
        <v>1</v>
      </c>
      <c r="AM4" s="274">
        <v>1</v>
      </c>
      <c r="AN4" s="274">
        <v>1</v>
      </c>
      <c r="AO4" s="274">
        <v>1</v>
      </c>
      <c r="AP4" s="274">
        <v>1</v>
      </c>
      <c r="AQ4" s="274">
        <v>1</v>
      </c>
      <c r="AR4" s="274">
        <v>1</v>
      </c>
      <c r="AS4" s="274">
        <v>1</v>
      </c>
      <c r="AT4" s="274">
        <f t="shared" ref="AT4:AT21" si="9">SUM(AH4:AS4)</f>
        <v>12</v>
      </c>
      <c r="AU4" s="275">
        <f t="shared" ref="AU4:AU67" si="10">SUM(AH4:AS4)/12</f>
        <v>1</v>
      </c>
      <c r="AV4" t="b">
        <v>1</v>
      </c>
      <c r="AX4" s="273">
        <v>1</v>
      </c>
      <c r="AY4" s="274">
        <v>1</v>
      </c>
      <c r="AZ4" s="274">
        <v>1</v>
      </c>
      <c r="BA4" s="274">
        <v>1</v>
      </c>
      <c r="BB4" s="274">
        <v>1</v>
      </c>
      <c r="BC4" s="274">
        <v>1</v>
      </c>
      <c r="BD4" s="274">
        <v>1</v>
      </c>
      <c r="BE4" s="274">
        <v>1</v>
      </c>
      <c r="BF4" s="274">
        <v>1</v>
      </c>
      <c r="BG4" s="274">
        <v>1</v>
      </c>
      <c r="BH4" s="274">
        <v>1</v>
      </c>
      <c r="BI4" s="274">
        <v>1</v>
      </c>
      <c r="BJ4" s="274">
        <f t="shared" ref="BJ4:BJ21" si="11">SUM(AX4:BI4)</f>
        <v>12</v>
      </c>
      <c r="BK4" s="275">
        <f t="shared" ref="BK4:BK21" si="12">SUM(AX4:BI4)/$A$1</f>
        <v>0.99991667361053249</v>
      </c>
      <c r="BL4" t="b">
        <v>1</v>
      </c>
      <c r="BN4" s="322">
        <f t="shared" si="3"/>
        <v>0</v>
      </c>
      <c r="BO4" s="322">
        <f t="shared" ref="BO4:BO67" si="13">BK4-AU4</f>
        <v>-8.3326389467508477E-5</v>
      </c>
      <c r="BP4" s="322">
        <f t="shared" si="4"/>
        <v>0</v>
      </c>
      <c r="BQ4" s="322">
        <f>BS4-BR4</f>
        <v>0</v>
      </c>
      <c r="BR4">
        <f>HLOOKUP($B$1,$AX$1:$BI$500,ROW(),0)</f>
        <v>1</v>
      </c>
      <c r="BS4">
        <f t="shared" ref="BS4:BS67" si="14">HLOOKUP($A$1,$AX$1:$BI$500,ROW(),0)</f>
        <v>1</v>
      </c>
    </row>
    <row r="5" spans="1:71" x14ac:dyDescent="0.55000000000000004">
      <c r="A5" s="7217"/>
      <c r="B5" s="42"/>
      <c r="C5" s="35" t="s">
        <v>262</v>
      </c>
      <c r="D5" s="273">
        <v>239</v>
      </c>
      <c r="E5" s="274">
        <v>240</v>
      </c>
      <c r="F5" s="274">
        <v>241</v>
      </c>
      <c r="G5" s="274">
        <v>245</v>
      </c>
      <c r="H5" s="274">
        <v>246</v>
      </c>
      <c r="I5" s="274">
        <v>242</v>
      </c>
      <c r="J5" s="274">
        <v>246</v>
      </c>
      <c r="K5" s="274">
        <v>245</v>
      </c>
      <c r="L5" s="274">
        <v>246</v>
      </c>
      <c r="M5" s="274">
        <v>245</v>
      </c>
      <c r="N5" s="274">
        <v>245</v>
      </c>
      <c r="O5" s="274">
        <v>242</v>
      </c>
      <c r="P5" s="274">
        <f t="shared" si="5"/>
        <v>243.5</v>
      </c>
      <c r="Q5" s="275">
        <f t="shared" si="6"/>
        <v>243.5</v>
      </c>
      <c r="R5" s="370"/>
      <c r="S5" s="273">
        <v>245</v>
      </c>
      <c r="T5" s="274">
        <v>245</v>
      </c>
      <c r="U5" s="274">
        <v>240</v>
      </c>
      <c r="V5" s="274">
        <v>244</v>
      </c>
      <c r="W5" s="274">
        <v>244</v>
      </c>
      <c r="X5" s="274">
        <v>243</v>
      </c>
      <c r="Y5" s="274">
        <v>245</v>
      </c>
      <c r="Z5" s="274">
        <v>243</v>
      </c>
      <c r="AA5" s="274">
        <v>243</v>
      </c>
      <c r="AB5" s="274">
        <v>242</v>
      </c>
      <c r="AC5" s="274">
        <v>242</v>
      </c>
      <c r="AD5" s="274">
        <v>241</v>
      </c>
      <c r="AE5" s="274">
        <f t="shared" si="7"/>
        <v>2917</v>
      </c>
      <c r="AF5" s="275">
        <f t="shared" si="8"/>
        <v>243.08333333333334</v>
      </c>
      <c r="AG5" s="370"/>
      <c r="AH5" s="273">
        <v>243</v>
      </c>
      <c r="AI5" s="274">
        <v>239</v>
      </c>
      <c r="AJ5" s="274">
        <v>248</v>
      </c>
      <c r="AK5" s="274">
        <v>249</v>
      </c>
      <c r="AL5" s="274">
        <v>255</v>
      </c>
      <c r="AM5" s="274">
        <v>258</v>
      </c>
      <c r="AN5" s="274">
        <v>260</v>
      </c>
      <c r="AO5" s="274">
        <v>260</v>
      </c>
      <c r="AP5" s="274">
        <v>261</v>
      </c>
      <c r="AQ5" s="274">
        <v>261</v>
      </c>
      <c r="AR5" s="274">
        <v>261</v>
      </c>
      <c r="AS5" s="274">
        <v>264</v>
      </c>
      <c r="AT5" s="274">
        <f t="shared" si="9"/>
        <v>3059</v>
      </c>
      <c r="AU5" s="275">
        <f t="shared" si="10"/>
        <v>254.91666666666666</v>
      </c>
      <c r="AV5" t="b">
        <v>1</v>
      </c>
      <c r="AX5" s="273">
        <v>263</v>
      </c>
      <c r="AY5" s="274">
        <v>260</v>
      </c>
      <c r="AZ5" s="274">
        <v>255</v>
      </c>
      <c r="BA5" s="274">
        <v>251</v>
      </c>
      <c r="BB5" s="274">
        <v>250</v>
      </c>
      <c r="BC5" s="274">
        <v>245</v>
      </c>
      <c r="BD5" s="274">
        <v>247</v>
      </c>
      <c r="BE5" s="274">
        <v>246</v>
      </c>
      <c r="BF5" s="274">
        <v>245</v>
      </c>
      <c r="BG5" s="274">
        <v>244</v>
      </c>
      <c r="BH5" s="274">
        <v>244</v>
      </c>
      <c r="BI5" s="274">
        <v>242</v>
      </c>
      <c r="BJ5" s="274">
        <f t="shared" si="11"/>
        <v>2992</v>
      </c>
      <c r="BK5" s="275">
        <f t="shared" si="12"/>
        <v>249.31255728689277</v>
      </c>
      <c r="BL5" t="b">
        <v>1</v>
      </c>
      <c r="BN5" s="322">
        <f t="shared" si="3"/>
        <v>-22</v>
      </c>
      <c r="BO5" s="322">
        <f t="shared" si="13"/>
        <v>-5.6041093797738881</v>
      </c>
      <c r="BP5" s="322">
        <f t="shared" si="4"/>
        <v>-67</v>
      </c>
      <c r="BQ5" s="322">
        <f>BS5-BR5</f>
        <v>-2</v>
      </c>
      <c r="BR5">
        <f t="shared" ref="BR5:BR67" si="15">HLOOKUP($B$1,$AX$1:$BI$500,ROW(),0)</f>
        <v>244</v>
      </c>
      <c r="BS5">
        <f>HLOOKUP($A$1,$AX$1:$BI$500,ROW(),0)</f>
        <v>242</v>
      </c>
    </row>
    <row r="6" spans="1:71" x14ac:dyDescent="0.55000000000000004">
      <c r="A6" s="7217"/>
      <c r="B6" s="42"/>
      <c r="C6" s="35" t="s">
        <v>261</v>
      </c>
      <c r="D6" s="273">
        <v>15</v>
      </c>
      <c r="E6" s="274">
        <v>15</v>
      </c>
      <c r="F6" s="274">
        <v>15</v>
      </c>
      <c r="G6" s="274">
        <v>15</v>
      </c>
      <c r="H6" s="274">
        <v>15</v>
      </c>
      <c r="I6" s="274">
        <v>15</v>
      </c>
      <c r="J6" s="274">
        <v>15</v>
      </c>
      <c r="K6" s="274">
        <v>15</v>
      </c>
      <c r="L6" s="274">
        <v>15</v>
      </c>
      <c r="M6" s="274">
        <v>15</v>
      </c>
      <c r="N6" s="274">
        <v>15</v>
      </c>
      <c r="O6" s="274">
        <v>13</v>
      </c>
      <c r="P6" s="274">
        <f t="shared" si="5"/>
        <v>14.833333333333334</v>
      </c>
      <c r="Q6" s="275">
        <f t="shared" si="6"/>
        <v>14.833333333333334</v>
      </c>
      <c r="R6" s="370"/>
      <c r="S6" s="273">
        <v>13</v>
      </c>
      <c r="T6" s="274">
        <v>13</v>
      </c>
      <c r="U6" s="274">
        <v>13</v>
      </c>
      <c r="V6" s="274">
        <v>13</v>
      </c>
      <c r="W6" s="274">
        <v>13</v>
      </c>
      <c r="X6" s="274">
        <v>13</v>
      </c>
      <c r="Y6" s="274">
        <v>13</v>
      </c>
      <c r="Z6" s="274">
        <v>13</v>
      </c>
      <c r="AA6" s="274">
        <v>13</v>
      </c>
      <c r="AB6" s="274">
        <v>12</v>
      </c>
      <c r="AC6" s="274">
        <v>11</v>
      </c>
      <c r="AD6" s="274">
        <v>11</v>
      </c>
      <c r="AE6" s="274">
        <f t="shared" si="7"/>
        <v>151</v>
      </c>
      <c r="AF6" s="275">
        <f t="shared" si="8"/>
        <v>12.583333333333334</v>
      </c>
      <c r="AG6" s="370"/>
      <c r="AH6" s="273">
        <v>11</v>
      </c>
      <c r="AI6" s="274">
        <v>11</v>
      </c>
      <c r="AJ6" s="274">
        <v>11</v>
      </c>
      <c r="AK6" s="274">
        <v>11</v>
      </c>
      <c r="AL6" s="274">
        <v>10</v>
      </c>
      <c r="AM6" s="274">
        <v>10</v>
      </c>
      <c r="AN6" s="274">
        <v>10</v>
      </c>
      <c r="AO6" s="274">
        <v>10</v>
      </c>
      <c r="AP6" s="274">
        <v>10</v>
      </c>
      <c r="AQ6" s="274">
        <v>10</v>
      </c>
      <c r="AR6" s="274">
        <v>10</v>
      </c>
      <c r="AS6" s="274">
        <v>9</v>
      </c>
      <c r="AT6" s="274">
        <f t="shared" si="9"/>
        <v>123</v>
      </c>
      <c r="AU6" s="275">
        <f t="shared" si="10"/>
        <v>10.25</v>
      </c>
      <c r="AV6" t="b">
        <v>1</v>
      </c>
      <c r="AX6" s="273">
        <v>8</v>
      </c>
      <c r="AY6" s="274">
        <v>8</v>
      </c>
      <c r="AZ6" s="274">
        <v>6</v>
      </c>
      <c r="BA6" s="274">
        <v>6</v>
      </c>
      <c r="BB6" s="274">
        <v>6</v>
      </c>
      <c r="BC6" s="274">
        <v>6</v>
      </c>
      <c r="BD6" s="274">
        <v>6</v>
      </c>
      <c r="BE6" s="274">
        <v>6</v>
      </c>
      <c r="BF6" s="274">
        <v>7</v>
      </c>
      <c r="BG6" s="274">
        <v>7</v>
      </c>
      <c r="BH6" s="274">
        <v>7</v>
      </c>
      <c r="BI6" s="274">
        <v>7</v>
      </c>
      <c r="BJ6" s="274">
        <f t="shared" si="11"/>
        <v>80</v>
      </c>
      <c r="BK6" s="275">
        <f t="shared" si="12"/>
        <v>6.6661111574035496</v>
      </c>
      <c r="BL6" t="b">
        <v>1</v>
      </c>
      <c r="BN6" s="322">
        <f t="shared" si="3"/>
        <v>-2</v>
      </c>
      <c r="BO6" s="322">
        <f t="shared" si="13"/>
        <v>-3.5838888425964504</v>
      </c>
      <c r="BP6" s="322">
        <f t="shared" si="4"/>
        <v>-43</v>
      </c>
      <c r="BQ6" s="322">
        <f t="shared" ref="BQ6:BQ67" si="16">BS6-BR6</f>
        <v>0</v>
      </c>
      <c r="BR6">
        <f t="shared" si="15"/>
        <v>7</v>
      </c>
      <c r="BS6">
        <f>HLOOKUP($A$1,$AX$1:$BI$500,ROW(),0)</f>
        <v>7</v>
      </c>
    </row>
    <row r="7" spans="1:71" x14ac:dyDescent="0.55000000000000004">
      <c r="A7" s="7217"/>
      <c r="B7" s="243" t="s">
        <v>222</v>
      </c>
      <c r="C7" s="107"/>
      <c r="D7" s="276">
        <f>D12+D13</f>
        <v>42</v>
      </c>
      <c r="E7" s="277">
        <f t="shared" ref="E7:O7" si="17">E12+E13</f>
        <v>43</v>
      </c>
      <c r="F7" s="277">
        <f t="shared" si="17"/>
        <v>43</v>
      </c>
      <c r="G7" s="277">
        <f t="shared" si="17"/>
        <v>45</v>
      </c>
      <c r="H7" s="277">
        <f t="shared" si="17"/>
        <v>45</v>
      </c>
      <c r="I7" s="277">
        <f t="shared" si="17"/>
        <v>43</v>
      </c>
      <c r="J7" s="277">
        <f t="shared" si="17"/>
        <v>45</v>
      </c>
      <c r="K7" s="277">
        <f t="shared" si="17"/>
        <v>45</v>
      </c>
      <c r="L7" s="277">
        <f t="shared" si="17"/>
        <v>45</v>
      </c>
      <c r="M7" s="277">
        <f t="shared" si="17"/>
        <v>44</v>
      </c>
      <c r="N7" s="277">
        <f t="shared" si="17"/>
        <v>44</v>
      </c>
      <c r="O7" s="277">
        <f t="shared" si="17"/>
        <v>43</v>
      </c>
      <c r="P7" s="277">
        <f t="shared" si="5"/>
        <v>43.916666666666664</v>
      </c>
      <c r="Q7" s="278">
        <f t="shared" si="6"/>
        <v>43.916666666666664</v>
      </c>
      <c r="R7" s="370"/>
      <c r="S7" s="276">
        <f>S12+S13</f>
        <v>45</v>
      </c>
      <c r="T7" s="277">
        <f t="shared" ref="T7:AD7" si="18">T12+T13</f>
        <v>45</v>
      </c>
      <c r="U7" s="277">
        <f t="shared" si="18"/>
        <v>42</v>
      </c>
      <c r="V7" s="277">
        <f t="shared" si="18"/>
        <v>44</v>
      </c>
      <c r="W7" s="277">
        <f t="shared" si="18"/>
        <v>44</v>
      </c>
      <c r="X7" s="277">
        <f t="shared" si="18"/>
        <v>43</v>
      </c>
      <c r="Y7" s="277">
        <f t="shared" si="18"/>
        <v>46</v>
      </c>
      <c r="Z7" s="277">
        <f t="shared" si="18"/>
        <v>46</v>
      </c>
      <c r="AA7" s="277">
        <f t="shared" si="18"/>
        <v>46</v>
      </c>
      <c r="AB7" s="277">
        <f t="shared" si="18"/>
        <v>45</v>
      </c>
      <c r="AC7" s="277">
        <f t="shared" si="18"/>
        <v>45</v>
      </c>
      <c r="AD7" s="277">
        <f t="shared" si="18"/>
        <v>43</v>
      </c>
      <c r="AE7" s="277">
        <f t="shared" si="7"/>
        <v>534</v>
      </c>
      <c r="AF7" s="278">
        <f t="shared" si="8"/>
        <v>44.5</v>
      </c>
      <c r="AG7" s="370"/>
      <c r="AH7" s="276">
        <f t="shared" ref="AH7:AM7" si="19">AH12+AH13</f>
        <v>46</v>
      </c>
      <c r="AI7" s="277">
        <f t="shared" si="19"/>
        <v>42</v>
      </c>
      <c r="AJ7" s="277">
        <f t="shared" si="19"/>
        <v>49</v>
      </c>
      <c r="AK7" s="277">
        <f t="shared" si="19"/>
        <v>48</v>
      </c>
      <c r="AL7" s="277">
        <f t="shared" si="19"/>
        <v>51</v>
      </c>
      <c r="AM7" s="277">
        <f t="shared" si="19"/>
        <v>52</v>
      </c>
      <c r="AN7" s="277">
        <v>52</v>
      </c>
      <c r="AO7" s="277">
        <f>AO12+AO13</f>
        <v>52</v>
      </c>
      <c r="AP7" s="277">
        <f>AP12+AP13</f>
        <v>53</v>
      </c>
      <c r="AQ7" s="277">
        <f>AQ12+AQ13</f>
        <v>53</v>
      </c>
      <c r="AR7" s="277">
        <v>53</v>
      </c>
      <c r="AS7" s="277">
        <v>54</v>
      </c>
      <c r="AT7" s="277">
        <f t="shared" si="9"/>
        <v>605</v>
      </c>
      <c r="AU7" s="278">
        <f t="shared" si="10"/>
        <v>50.416666666666664</v>
      </c>
      <c r="AV7" t="b">
        <v>1</v>
      </c>
      <c r="AX7" s="276">
        <v>54</v>
      </c>
      <c r="AY7" s="277">
        <v>53</v>
      </c>
      <c r="AZ7" s="277">
        <v>50</v>
      </c>
      <c r="BA7" s="277">
        <v>50</v>
      </c>
      <c r="BB7" s="277">
        <v>50</v>
      </c>
      <c r="BC7" s="277">
        <v>49</v>
      </c>
      <c r="BD7" s="277">
        <v>49</v>
      </c>
      <c r="BE7" s="277">
        <v>49</v>
      </c>
      <c r="BF7" s="277">
        <v>49</v>
      </c>
      <c r="BG7" s="277">
        <v>49</v>
      </c>
      <c r="BH7" s="277">
        <v>49</v>
      </c>
      <c r="BI7" s="277">
        <v>48</v>
      </c>
      <c r="BJ7" s="277">
        <f t="shared" si="11"/>
        <v>599</v>
      </c>
      <c r="BK7" s="278">
        <f t="shared" si="12"/>
        <v>49.912507291059079</v>
      </c>
      <c r="BL7" t="b">
        <v>1</v>
      </c>
      <c r="BN7" s="322">
        <f t="shared" si="3"/>
        <v>-6</v>
      </c>
      <c r="BO7" s="322">
        <f t="shared" si="13"/>
        <v>-0.5041593756075855</v>
      </c>
      <c r="BP7" s="322">
        <f t="shared" si="4"/>
        <v>-6</v>
      </c>
      <c r="BQ7" s="322">
        <f t="shared" si="16"/>
        <v>-1</v>
      </c>
      <c r="BR7">
        <f>HLOOKUP($B$1,$AX$1:$BI$500,ROW(),0)</f>
        <v>49</v>
      </c>
      <c r="BS7">
        <f t="shared" si="14"/>
        <v>48</v>
      </c>
    </row>
    <row r="8" spans="1:71" x14ac:dyDescent="0.55000000000000004">
      <c r="A8" s="7217"/>
      <c r="B8" s="235" t="s">
        <v>223</v>
      </c>
      <c r="C8" s="14"/>
      <c r="D8" s="279">
        <f>D14+D15</f>
        <v>43</v>
      </c>
      <c r="E8" s="280">
        <f t="shared" ref="E8:O8" si="20">E14+E15</f>
        <v>42</v>
      </c>
      <c r="F8" s="280">
        <f t="shared" si="20"/>
        <v>42</v>
      </c>
      <c r="G8" s="280">
        <f t="shared" si="20"/>
        <v>42</v>
      </c>
      <c r="H8" s="280">
        <f t="shared" si="20"/>
        <v>42</v>
      </c>
      <c r="I8" s="280">
        <f t="shared" si="20"/>
        <v>42</v>
      </c>
      <c r="J8" s="280">
        <f t="shared" si="20"/>
        <v>42</v>
      </c>
      <c r="K8" s="280">
        <f t="shared" si="20"/>
        <v>42</v>
      </c>
      <c r="L8" s="280">
        <f t="shared" si="20"/>
        <v>43</v>
      </c>
      <c r="M8" s="280">
        <f t="shared" si="20"/>
        <v>43</v>
      </c>
      <c r="N8" s="280">
        <f t="shared" si="20"/>
        <v>43</v>
      </c>
      <c r="O8" s="280">
        <f t="shared" si="20"/>
        <v>41</v>
      </c>
      <c r="P8" s="280">
        <f t="shared" si="5"/>
        <v>42.25</v>
      </c>
      <c r="Q8" s="281">
        <f t="shared" si="6"/>
        <v>42.25</v>
      </c>
      <c r="R8" s="370"/>
      <c r="S8" s="279">
        <f>S14+S15</f>
        <v>41</v>
      </c>
      <c r="T8" s="280">
        <f t="shared" ref="T8:AD8" si="21">T14+T15</f>
        <v>41</v>
      </c>
      <c r="U8" s="280">
        <f t="shared" si="21"/>
        <v>41</v>
      </c>
      <c r="V8" s="280">
        <f t="shared" si="21"/>
        <v>42</v>
      </c>
      <c r="W8" s="280">
        <f t="shared" si="21"/>
        <v>42</v>
      </c>
      <c r="X8" s="280">
        <f t="shared" si="21"/>
        <v>42</v>
      </c>
      <c r="Y8" s="280">
        <f t="shared" si="21"/>
        <v>42</v>
      </c>
      <c r="Z8" s="280">
        <f t="shared" si="21"/>
        <v>42</v>
      </c>
      <c r="AA8" s="280">
        <f t="shared" si="21"/>
        <v>42</v>
      </c>
      <c r="AB8" s="280">
        <f t="shared" si="21"/>
        <v>42</v>
      </c>
      <c r="AC8" s="280">
        <f t="shared" si="21"/>
        <v>41</v>
      </c>
      <c r="AD8" s="280">
        <f t="shared" si="21"/>
        <v>42</v>
      </c>
      <c r="AE8" s="280">
        <f t="shared" si="7"/>
        <v>500</v>
      </c>
      <c r="AF8" s="281">
        <f t="shared" si="8"/>
        <v>41.666666666666664</v>
      </c>
      <c r="AG8" s="370"/>
      <c r="AH8" s="279">
        <f t="shared" ref="AH8:AM8" si="22">AH14+AH15</f>
        <v>42</v>
      </c>
      <c r="AI8" s="280">
        <f t="shared" si="22"/>
        <v>42</v>
      </c>
      <c r="AJ8" s="280">
        <f t="shared" si="22"/>
        <v>42</v>
      </c>
      <c r="AK8" s="280">
        <f t="shared" si="22"/>
        <v>43</v>
      </c>
      <c r="AL8" s="280">
        <f t="shared" si="22"/>
        <v>43</v>
      </c>
      <c r="AM8" s="280">
        <f t="shared" si="22"/>
        <v>45</v>
      </c>
      <c r="AN8" s="280">
        <v>45</v>
      </c>
      <c r="AO8" s="280">
        <f>AO14+AO15</f>
        <v>45</v>
      </c>
      <c r="AP8" s="280">
        <f>AP14+AP15</f>
        <v>45</v>
      </c>
      <c r="AQ8" s="280">
        <f>AQ14+AQ15</f>
        <v>45</v>
      </c>
      <c r="AR8" s="280">
        <v>45</v>
      </c>
      <c r="AS8" s="280">
        <v>45</v>
      </c>
      <c r="AT8" s="280">
        <f t="shared" si="9"/>
        <v>527</v>
      </c>
      <c r="AU8" s="281">
        <f t="shared" si="10"/>
        <v>43.916666666666664</v>
      </c>
      <c r="AV8" t="b">
        <v>1</v>
      </c>
      <c r="AX8" s="279">
        <v>45</v>
      </c>
      <c r="AY8" s="280">
        <v>45</v>
      </c>
      <c r="AZ8" s="280">
        <v>45</v>
      </c>
      <c r="BA8" s="280">
        <v>43</v>
      </c>
      <c r="BB8" s="280">
        <v>42</v>
      </c>
      <c r="BC8" s="280">
        <v>42</v>
      </c>
      <c r="BD8" s="280">
        <v>42</v>
      </c>
      <c r="BE8" s="280">
        <v>41</v>
      </c>
      <c r="BF8" s="280">
        <v>41</v>
      </c>
      <c r="BG8" s="280">
        <v>41</v>
      </c>
      <c r="BH8" s="280">
        <v>41</v>
      </c>
      <c r="BI8" s="280">
        <v>41</v>
      </c>
      <c r="BJ8" s="280">
        <f t="shared" si="11"/>
        <v>509</v>
      </c>
      <c r="BK8" s="281">
        <f t="shared" si="12"/>
        <v>42.41313223898009</v>
      </c>
      <c r="BL8" t="b">
        <v>1</v>
      </c>
      <c r="BN8" s="322">
        <f t="shared" si="3"/>
        <v>-4</v>
      </c>
      <c r="BO8" s="322">
        <f t="shared" si="13"/>
        <v>-1.5035344276865743</v>
      </c>
      <c r="BP8" s="322">
        <f t="shared" si="4"/>
        <v>-18</v>
      </c>
      <c r="BQ8" s="322">
        <f t="shared" si="16"/>
        <v>0</v>
      </c>
      <c r="BR8">
        <f t="shared" si="15"/>
        <v>41</v>
      </c>
      <c r="BS8">
        <f t="shared" si="14"/>
        <v>41</v>
      </c>
    </row>
    <row r="9" spans="1:71" x14ac:dyDescent="0.55000000000000004">
      <c r="A9" s="7217"/>
      <c r="B9" s="235" t="s">
        <v>224</v>
      </c>
      <c r="C9" s="14"/>
      <c r="D9" s="279">
        <f>D16+D17</f>
        <v>52</v>
      </c>
      <c r="E9" s="280">
        <f t="shared" ref="E9:O9" si="23">E16+E17</f>
        <v>52</v>
      </c>
      <c r="F9" s="280">
        <f t="shared" si="23"/>
        <v>52</v>
      </c>
      <c r="G9" s="280">
        <f t="shared" si="23"/>
        <v>52</v>
      </c>
      <c r="H9" s="280">
        <f t="shared" si="23"/>
        <v>52</v>
      </c>
      <c r="I9" s="280">
        <f t="shared" si="23"/>
        <v>52</v>
      </c>
      <c r="J9" s="280">
        <f t="shared" si="23"/>
        <v>53</v>
      </c>
      <c r="K9" s="280">
        <f t="shared" si="23"/>
        <v>53</v>
      </c>
      <c r="L9" s="280">
        <f t="shared" si="23"/>
        <v>53</v>
      </c>
      <c r="M9" s="280">
        <f t="shared" si="23"/>
        <v>52</v>
      </c>
      <c r="N9" s="280">
        <f t="shared" si="23"/>
        <v>52</v>
      </c>
      <c r="O9" s="280">
        <f t="shared" si="23"/>
        <v>51</v>
      </c>
      <c r="P9" s="280">
        <f t="shared" si="5"/>
        <v>52.166666666666664</v>
      </c>
      <c r="Q9" s="281">
        <f t="shared" si="6"/>
        <v>52.166666666666664</v>
      </c>
      <c r="R9" s="370"/>
      <c r="S9" s="279">
        <f>S16+S17</f>
        <v>51</v>
      </c>
      <c r="T9" s="280">
        <f t="shared" ref="T9:AD9" si="24">T16+T17</f>
        <v>51</v>
      </c>
      <c r="U9" s="280">
        <f t="shared" si="24"/>
        <v>51</v>
      </c>
      <c r="V9" s="280">
        <f t="shared" si="24"/>
        <v>52</v>
      </c>
      <c r="W9" s="280">
        <f t="shared" si="24"/>
        <v>52</v>
      </c>
      <c r="X9" s="280">
        <f t="shared" si="24"/>
        <v>52</v>
      </c>
      <c r="Y9" s="280">
        <f t="shared" si="24"/>
        <v>52</v>
      </c>
      <c r="Z9" s="280">
        <f t="shared" si="24"/>
        <v>51</v>
      </c>
      <c r="AA9" s="280">
        <f t="shared" si="24"/>
        <v>51</v>
      </c>
      <c r="AB9" s="280">
        <f t="shared" si="24"/>
        <v>51</v>
      </c>
      <c r="AC9" s="280">
        <f t="shared" si="24"/>
        <v>51</v>
      </c>
      <c r="AD9" s="280">
        <f t="shared" si="24"/>
        <v>51</v>
      </c>
      <c r="AE9" s="280">
        <f t="shared" si="7"/>
        <v>616</v>
      </c>
      <c r="AF9" s="281">
        <f t="shared" si="8"/>
        <v>51.333333333333336</v>
      </c>
      <c r="AG9" s="370"/>
      <c r="AH9" s="279">
        <f t="shared" ref="AH9:AM9" si="25">AH16+AH17</f>
        <v>51</v>
      </c>
      <c r="AI9" s="280">
        <f t="shared" si="25"/>
        <v>51</v>
      </c>
      <c r="AJ9" s="280">
        <f t="shared" si="25"/>
        <v>52</v>
      </c>
      <c r="AK9" s="280">
        <f t="shared" si="25"/>
        <v>52</v>
      </c>
      <c r="AL9" s="280">
        <f t="shared" si="25"/>
        <v>54</v>
      </c>
      <c r="AM9" s="280">
        <f t="shared" si="25"/>
        <v>53</v>
      </c>
      <c r="AN9" s="280">
        <v>55</v>
      </c>
      <c r="AO9" s="280">
        <f>AO16+AO17</f>
        <v>55</v>
      </c>
      <c r="AP9" s="280">
        <f>AP16+AP17</f>
        <v>55</v>
      </c>
      <c r="AQ9" s="280">
        <f>AQ16+AQ17</f>
        <v>55</v>
      </c>
      <c r="AR9" s="280">
        <v>55</v>
      </c>
      <c r="AS9" s="280">
        <v>56</v>
      </c>
      <c r="AT9" s="280">
        <f t="shared" si="9"/>
        <v>644</v>
      </c>
      <c r="AU9" s="281">
        <f t="shared" si="10"/>
        <v>53.666666666666664</v>
      </c>
      <c r="AV9" t="b">
        <v>1</v>
      </c>
      <c r="AX9" s="279">
        <v>56</v>
      </c>
      <c r="AY9" s="280">
        <v>55</v>
      </c>
      <c r="AZ9" s="280">
        <v>53</v>
      </c>
      <c r="BA9" s="280">
        <v>53</v>
      </c>
      <c r="BB9" s="280">
        <v>53</v>
      </c>
      <c r="BC9" s="280">
        <v>50</v>
      </c>
      <c r="BD9" s="280">
        <v>52</v>
      </c>
      <c r="BE9" s="280">
        <v>52</v>
      </c>
      <c r="BF9" s="280">
        <v>52</v>
      </c>
      <c r="BG9" s="280">
        <v>52</v>
      </c>
      <c r="BH9" s="280">
        <v>51</v>
      </c>
      <c r="BI9" s="280">
        <v>50</v>
      </c>
      <c r="BJ9" s="280">
        <f t="shared" si="11"/>
        <v>629</v>
      </c>
      <c r="BK9" s="281">
        <f t="shared" si="12"/>
        <v>52.412298975085413</v>
      </c>
      <c r="BL9" t="b">
        <v>1</v>
      </c>
      <c r="BN9" s="322">
        <f t="shared" si="3"/>
        <v>-6</v>
      </c>
      <c r="BO9" s="322">
        <f t="shared" si="13"/>
        <v>-1.2543676915812512</v>
      </c>
      <c r="BP9" s="322">
        <f t="shared" si="4"/>
        <v>-15</v>
      </c>
      <c r="BQ9" s="322">
        <f t="shared" si="16"/>
        <v>-1</v>
      </c>
      <c r="BR9">
        <f t="shared" si="15"/>
        <v>51</v>
      </c>
      <c r="BS9">
        <f t="shared" si="14"/>
        <v>50</v>
      </c>
    </row>
    <row r="10" spans="1:71" x14ac:dyDescent="0.55000000000000004">
      <c r="A10" s="7217"/>
      <c r="B10" s="235" t="s">
        <v>225</v>
      </c>
      <c r="C10" s="14"/>
      <c r="D10" s="279">
        <f>D18+D19</f>
        <v>61</v>
      </c>
      <c r="E10" s="280">
        <f t="shared" ref="E10:O10" si="26">E18+E19</f>
        <v>62</v>
      </c>
      <c r="F10" s="280">
        <f t="shared" si="26"/>
        <v>63</v>
      </c>
      <c r="G10" s="280">
        <f t="shared" si="26"/>
        <v>64</v>
      </c>
      <c r="H10" s="280">
        <f t="shared" si="26"/>
        <v>65</v>
      </c>
      <c r="I10" s="280">
        <f t="shared" si="26"/>
        <v>65</v>
      </c>
      <c r="J10" s="280">
        <f t="shared" si="26"/>
        <v>65</v>
      </c>
      <c r="K10" s="280">
        <f t="shared" si="26"/>
        <v>64</v>
      </c>
      <c r="L10" s="280">
        <f t="shared" si="26"/>
        <v>64</v>
      </c>
      <c r="M10" s="280">
        <f t="shared" si="26"/>
        <v>65</v>
      </c>
      <c r="N10" s="280">
        <f t="shared" si="26"/>
        <v>65</v>
      </c>
      <c r="O10" s="280">
        <f t="shared" si="26"/>
        <v>64</v>
      </c>
      <c r="P10" s="280">
        <f t="shared" si="5"/>
        <v>63.916666666666664</v>
      </c>
      <c r="Q10" s="281">
        <f t="shared" si="6"/>
        <v>63.916666666666664</v>
      </c>
      <c r="R10" s="370"/>
      <c r="S10" s="279">
        <f>S18+S19</f>
        <v>65</v>
      </c>
      <c r="T10" s="280">
        <f t="shared" ref="T10:AD10" si="27">T18+T19</f>
        <v>65</v>
      </c>
      <c r="U10" s="280">
        <f t="shared" si="27"/>
        <v>63</v>
      </c>
      <c r="V10" s="280">
        <f t="shared" si="27"/>
        <v>64</v>
      </c>
      <c r="W10" s="280">
        <f t="shared" si="27"/>
        <v>64</v>
      </c>
      <c r="X10" s="280">
        <f t="shared" si="27"/>
        <v>64</v>
      </c>
      <c r="Y10" s="280">
        <f t="shared" si="27"/>
        <v>63</v>
      </c>
      <c r="Z10" s="280">
        <f t="shared" si="27"/>
        <v>62</v>
      </c>
      <c r="AA10" s="280">
        <f t="shared" si="27"/>
        <v>62</v>
      </c>
      <c r="AB10" s="280">
        <f t="shared" si="27"/>
        <v>62</v>
      </c>
      <c r="AC10" s="280">
        <f t="shared" si="27"/>
        <v>61</v>
      </c>
      <c r="AD10" s="280">
        <f t="shared" si="27"/>
        <v>61</v>
      </c>
      <c r="AE10" s="280">
        <f t="shared" si="7"/>
        <v>756</v>
      </c>
      <c r="AF10" s="281">
        <f t="shared" si="8"/>
        <v>63</v>
      </c>
      <c r="AG10" s="370"/>
      <c r="AH10" s="279">
        <f t="shared" ref="AH10:AM10" si="28">AH18+AH19</f>
        <v>60</v>
      </c>
      <c r="AI10" s="280">
        <f t="shared" si="28"/>
        <v>60</v>
      </c>
      <c r="AJ10" s="280">
        <f t="shared" si="28"/>
        <v>61</v>
      </c>
      <c r="AK10" s="280">
        <f t="shared" si="28"/>
        <v>60</v>
      </c>
      <c r="AL10" s="280">
        <f t="shared" si="28"/>
        <v>61</v>
      </c>
      <c r="AM10" s="280">
        <f t="shared" si="28"/>
        <v>61</v>
      </c>
      <c r="AN10" s="280">
        <v>61</v>
      </c>
      <c r="AO10" s="280">
        <f>AO18+AO19</f>
        <v>60</v>
      </c>
      <c r="AP10" s="280">
        <f>AP18+AP19</f>
        <v>60</v>
      </c>
      <c r="AQ10" s="280">
        <f>AQ18+AQ19</f>
        <v>60</v>
      </c>
      <c r="AR10" s="280">
        <v>59</v>
      </c>
      <c r="AS10" s="280">
        <v>60</v>
      </c>
      <c r="AT10" s="280">
        <f t="shared" si="9"/>
        <v>723</v>
      </c>
      <c r="AU10" s="281">
        <f t="shared" si="10"/>
        <v>60.25</v>
      </c>
      <c r="AV10" t="b">
        <v>1</v>
      </c>
      <c r="AX10" s="279">
        <v>59</v>
      </c>
      <c r="AY10" s="280">
        <v>58</v>
      </c>
      <c r="AZ10" s="280">
        <v>57</v>
      </c>
      <c r="BA10" s="280">
        <v>57</v>
      </c>
      <c r="BB10" s="280">
        <v>57</v>
      </c>
      <c r="BC10" s="280">
        <v>57</v>
      </c>
      <c r="BD10" s="280">
        <v>57</v>
      </c>
      <c r="BE10" s="280">
        <v>57</v>
      </c>
      <c r="BF10" s="280">
        <v>57</v>
      </c>
      <c r="BG10" s="280">
        <v>57</v>
      </c>
      <c r="BH10" s="280">
        <v>57</v>
      </c>
      <c r="BI10" s="280">
        <v>57</v>
      </c>
      <c r="BJ10" s="280">
        <f t="shared" si="11"/>
        <v>687</v>
      </c>
      <c r="BK10" s="281">
        <f t="shared" si="12"/>
        <v>57.245229564202987</v>
      </c>
      <c r="BL10" t="b">
        <v>1</v>
      </c>
      <c r="BN10" s="322">
        <f t="shared" si="3"/>
        <v>-3</v>
      </c>
      <c r="BO10" s="322">
        <f t="shared" si="13"/>
        <v>-3.0047704357970133</v>
      </c>
      <c r="BP10" s="322">
        <f t="shared" si="4"/>
        <v>-36</v>
      </c>
      <c r="BQ10" s="322">
        <f t="shared" si="16"/>
        <v>0</v>
      </c>
      <c r="BR10">
        <f t="shared" si="15"/>
        <v>57</v>
      </c>
      <c r="BS10">
        <f t="shared" si="14"/>
        <v>57</v>
      </c>
    </row>
    <row r="11" spans="1:71" x14ac:dyDescent="0.55000000000000004">
      <c r="A11" s="7217"/>
      <c r="B11" s="236" t="s">
        <v>226</v>
      </c>
      <c r="C11" s="29"/>
      <c r="D11" s="282">
        <f>D20+D21</f>
        <v>57</v>
      </c>
      <c r="E11" s="283">
        <f t="shared" ref="E11:O11" si="29">E20+E21</f>
        <v>57</v>
      </c>
      <c r="F11" s="283">
        <f t="shared" si="29"/>
        <v>57</v>
      </c>
      <c r="G11" s="283">
        <f t="shared" si="29"/>
        <v>58</v>
      </c>
      <c r="H11" s="283">
        <f t="shared" si="29"/>
        <v>58</v>
      </c>
      <c r="I11" s="283">
        <f t="shared" si="29"/>
        <v>56</v>
      </c>
      <c r="J11" s="283">
        <f t="shared" si="29"/>
        <v>57</v>
      </c>
      <c r="K11" s="283">
        <f t="shared" si="29"/>
        <v>57</v>
      </c>
      <c r="L11" s="283">
        <f t="shared" si="29"/>
        <v>57</v>
      </c>
      <c r="M11" s="283">
        <f t="shared" si="29"/>
        <v>57</v>
      </c>
      <c r="N11" s="283">
        <f t="shared" si="29"/>
        <v>57</v>
      </c>
      <c r="O11" s="283">
        <f t="shared" si="29"/>
        <v>57</v>
      </c>
      <c r="P11" s="283">
        <f t="shared" si="5"/>
        <v>57.083333333333336</v>
      </c>
      <c r="Q11" s="284">
        <f t="shared" si="6"/>
        <v>57.083333333333336</v>
      </c>
      <c r="R11" s="370"/>
      <c r="S11" s="282">
        <f>S20+S21</f>
        <v>57</v>
      </c>
      <c r="T11" s="283">
        <f t="shared" ref="T11:AD11" si="30">T20+T21</f>
        <v>57</v>
      </c>
      <c r="U11" s="283">
        <f t="shared" si="30"/>
        <v>57</v>
      </c>
      <c r="V11" s="283">
        <f t="shared" si="30"/>
        <v>56</v>
      </c>
      <c r="W11" s="283">
        <f t="shared" si="30"/>
        <v>56</v>
      </c>
      <c r="X11" s="283">
        <f t="shared" si="30"/>
        <v>56</v>
      </c>
      <c r="Y11" s="283">
        <f t="shared" si="30"/>
        <v>56</v>
      </c>
      <c r="Z11" s="283">
        <f t="shared" si="30"/>
        <v>56</v>
      </c>
      <c r="AA11" s="283">
        <f t="shared" si="30"/>
        <v>56</v>
      </c>
      <c r="AB11" s="283">
        <f t="shared" si="30"/>
        <v>55</v>
      </c>
      <c r="AC11" s="283">
        <f t="shared" si="30"/>
        <v>56</v>
      </c>
      <c r="AD11" s="283">
        <f t="shared" si="30"/>
        <v>56</v>
      </c>
      <c r="AE11" s="283">
        <f t="shared" si="7"/>
        <v>674</v>
      </c>
      <c r="AF11" s="284">
        <f t="shared" si="8"/>
        <v>56.166666666666664</v>
      </c>
      <c r="AG11" s="370"/>
      <c r="AH11" s="282">
        <f t="shared" ref="AH11:AM11" si="31">AH20+AH21</f>
        <v>56</v>
      </c>
      <c r="AI11" s="283">
        <f t="shared" si="31"/>
        <v>56</v>
      </c>
      <c r="AJ11" s="283">
        <f t="shared" si="31"/>
        <v>56</v>
      </c>
      <c r="AK11" s="283">
        <f t="shared" si="31"/>
        <v>58</v>
      </c>
      <c r="AL11" s="283">
        <f t="shared" si="31"/>
        <v>57</v>
      </c>
      <c r="AM11" s="283">
        <f t="shared" si="31"/>
        <v>58</v>
      </c>
      <c r="AN11" s="283">
        <v>58</v>
      </c>
      <c r="AO11" s="283">
        <f>AO20+AO21</f>
        <v>59</v>
      </c>
      <c r="AP11" s="283">
        <f>AP20+AP21</f>
        <v>59</v>
      </c>
      <c r="AQ11" s="283">
        <f>AQ20+AQ21</f>
        <v>59</v>
      </c>
      <c r="AR11" s="283">
        <v>59</v>
      </c>
      <c r="AS11" s="283">
        <v>59</v>
      </c>
      <c r="AT11" s="283">
        <f t="shared" si="9"/>
        <v>694</v>
      </c>
      <c r="AU11" s="284">
        <f t="shared" si="10"/>
        <v>57.833333333333336</v>
      </c>
      <c r="AV11" t="b">
        <v>1</v>
      </c>
      <c r="AX11" s="282">
        <v>58</v>
      </c>
      <c r="AY11" s="283">
        <v>58</v>
      </c>
      <c r="AZ11" s="283">
        <v>57</v>
      </c>
      <c r="BA11" s="283">
        <v>55</v>
      </c>
      <c r="BB11" s="283">
        <v>55</v>
      </c>
      <c r="BC11" s="283">
        <v>54</v>
      </c>
      <c r="BD11" s="283">
        <v>54</v>
      </c>
      <c r="BE11" s="283">
        <v>54</v>
      </c>
      <c r="BF11" s="283">
        <v>54</v>
      </c>
      <c r="BG11" s="283">
        <v>53</v>
      </c>
      <c r="BH11" s="283">
        <v>54</v>
      </c>
      <c r="BI11" s="283">
        <v>54</v>
      </c>
      <c r="BJ11" s="283">
        <f t="shared" si="11"/>
        <v>660</v>
      </c>
      <c r="BK11" s="284">
        <f t="shared" si="12"/>
        <v>54.995417048579284</v>
      </c>
      <c r="BL11" t="b">
        <v>1</v>
      </c>
      <c r="BN11" s="322">
        <f t="shared" si="3"/>
        <v>-5</v>
      </c>
      <c r="BO11" s="322">
        <f t="shared" si="13"/>
        <v>-2.8379162847540513</v>
      </c>
      <c r="BP11" s="322">
        <f t="shared" si="4"/>
        <v>-34</v>
      </c>
      <c r="BQ11" s="322">
        <f t="shared" si="16"/>
        <v>0</v>
      </c>
      <c r="BR11">
        <f t="shared" si="15"/>
        <v>54</v>
      </c>
      <c r="BS11">
        <f t="shared" si="14"/>
        <v>54</v>
      </c>
    </row>
    <row r="12" spans="1:71" x14ac:dyDescent="0.55000000000000004">
      <c r="A12" s="7217"/>
      <c r="B12" s="244"/>
      <c r="C12" s="176" t="s">
        <v>227</v>
      </c>
      <c r="D12" s="332">
        <v>18</v>
      </c>
      <c r="E12" s="333">
        <v>18</v>
      </c>
      <c r="F12" s="333">
        <v>18</v>
      </c>
      <c r="G12" s="333">
        <v>20</v>
      </c>
      <c r="H12" s="333">
        <v>20</v>
      </c>
      <c r="I12" s="333">
        <v>19</v>
      </c>
      <c r="J12" s="333">
        <v>20</v>
      </c>
      <c r="K12" s="333">
        <v>20</v>
      </c>
      <c r="L12" s="333">
        <v>20</v>
      </c>
      <c r="M12" s="333">
        <v>20</v>
      </c>
      <c r="N12" s="333">
        <v>20</v>
      </c>
      <c r="O12" s="333">
        <v>20</v>
      </c>
      <c r="P12" s="333">
        <f t="shared" si="5"/>
        <v>19.416666666666668</v>
      </c>
      <c r="Q12" s="334">
        <f t="shared" si="6"/>
        <v>19.416666666666668</v>
      </c>
      <c r="R12" s="370"/>
      <c r="S12" s="332">
        <v>30</v>
      </c>
      <c r="T12" s="333">
        <v>30</v>
      </c>
      <c r="U12" s="333">
        <v>28</v>
      </c>
      <c r="V12" s="333">
        <v>30</v>
      </c>
      <c r="W12" s="333">
        <v>30</v>
      </c>
      <c r="X12" s="333">
        <v>29</v>
      </c>
      <c r="Y12" s="333">
        <v>31</v>
      </c>
      <c r="Z12" s="333">
        <v>31</v>
      </c>
      <c r="AA12" s="333">
        <v>31</v>
      </c>
      <c r="AB12" s="333">
        <v>30</v>
      </c>
      <c r="AC12" s="333">
        <v>30</v>
      </c>
      <c r="AD12" s="333">
        <v>20</v>
      </c>
      <c r="AE12" s="333">
        <f t="shared" si="7"/>
        <v>350</v>
      </c>
      <c r="AF12" s="334">
        <f t="shared" si="8"/>
        <v>29.166666666666668</v>
      </c>
      <c r="AG12" s="370"/>
      <c r="AH12" s="332">
        <v>22</v>
      </c>
      <c r="AI12" s="333">
        <v>21</v>
      </c>
      <c r="AJ12" s="333">
        <v>24</v>
      </c>
      <c r="AK12" s="333">
        <v>23</v>
      </c>
      <c r="AL12" s="333">
        <v>25</v>
      </c>
      <c r="AM12" s="333">
        <v>26</v>
      </c>
      <c r="AN12" s="333">
        <v>26</v>
      </c>
      <c r="AO12" s="333">
        <v>26</v>
      </c>
      <c r="AP12" s="333">
        <v>27</v>
      </c>
      <c r="AQ12" s="333">
        <v>27</v>
      </c>
      <c r="AR12" s="333">
        <v>27</v>
      </c>
      <c r="AS12" s="333">
        <v>27</v>
      </c>
      <c r="AT12" s="333">
        <f t="shared" si="9"/>
        <v>301</v>
      </c>
      <c r="AU12" s="334">
        <f t="shared" si="10"/>
        <v>25.083333333333332</v>
      </c>
      <c r="AV12" t="b">
        <v>1</v>
      </c>
      <c r="AX12" s="332">
        <v>27</v>
      </c>
      <c r="AY12" s="333">
        <v>26</v>
      </c>
      <c r="AZ12" s="333">
        <v>25</v>
      </c>
      <c r="BA12" s="333">
        <v>25</v>
      </c>
      <c r="BB12" s="333">
        <v>25</v>
      </c>
      <c r="BC12" s="333">
        <v>24</v>
      </c>
      <c r="BD12" s="333">
        <v>24</v>
      </c>
      <c r="BE12" s="333">
        <v>24</v>
      </c>
      <c r="BF12" s="333">
        <v>24</v>
      </c>
      <c r="BG12" s="333">
        <v>24</v>
      </c>
      <c r="BH12" s="333">
        <v>24</v>
      </c>
      <c r="BI12" s="333">
        <v>23</v>
      </c>
      <c r="BJ12" s="333">
        <f t="shared" si="11"/>
        <v>295</v>
      </c>
      <c r="BK12" s="334">
        <f t="shared" si="12"/>
        <v>24.581284892925591</v>
      </c>
      <c r="BL12" t="b">
        <v>1</v>
      </c>
      <c r="BN12" s="322">
        <f t="shared" si="3"/>
        <v>-4</v>
      </c>
      <c r="BO12" s="322">
        <f t="shared" si="13"/>
        <v>-0.50204844040774077</v>
      </c>
      <c r="BP12" s="322">
        <f t="shared" si="4"/>
        <v>-6</v>
      </c>
      <c r="BQ12" s="322">
        <f t="shared" si="16"/>
        <v>-1</v>
      </c>
      <c r="BR12">
        <f t="shared" si="15"/>
        <v>24</v>
      </c>
      <c r="BS12">
        <f t="shared" si="14"/>
        <v>23</v>
      </c>
    </row>
    <row r="13" spans="1:71" x14ac:dyDescent="0.55000000000000004">
      <c r="A13" s="7217"/>
      <c r="B13" s="245"/>
      <c r="C13" s="177" t="s">
        <v>228</v>
      </c>
      <c r="D13" s="300">
        <v>24</v>
      </c>
      <c r="E13" s="301">
        <v>25</v>
      </c>
      <c r="F13" s="301">
        <v>25</v>
      </c>
      <c r="G13" s="301">
        <v>25</v>
      </c>
      <c r="H13" s="301">
        <v>25</v>
      </c>
      <c r="I13" s="301">
        <v>24</v>
      </c>
      <c r="J13" s="301">
        <v>25</v>
      </c>
      <c r="K13" s="301">
        <v>25</v>
      </c>
      <c r="L13" s="301">
        <v>25</v>
      </c>
      <c r="M13" s="301">
        <v>24</v>
      </c>
      <c r="N13" s="301">
        <v>24</v>
      </c>
      <c r="O13" s="301">
        <v>23</v>
      </c>
      <c r="P13" s="301">
        <f t="shared" si="5"/>
        <v>24.5</v>
      </c>
      <c r="Q13" s="302">
        <f t="shared" si="6"/>
        <v>24.5</v>
      </c>
      <c r="R13" s="370"/>
      <c r="S13" s="300">
        <v>15</v>
      </c>
      <c r="T13" s="301">
        <v>15</v>
      </c>
      <c r="U13" s="301">
        <v>14</v>
      </c>
      <c r="V13" s="301">
        <v>14</v>
      </c>
      <c r="W13" s="301">
        <v>14</v>
      </c>
      <c r="X13" s="301">
        <v>14</v>
      </c>
      <c r="Y13" s="301">
        <v>15</v>
      </c>
      <c r="Z13" s="301">
        <v>15</v>
      </c>
      <c r="AA13" s="301">
        <v>15</v>
      </c>
      <c r="AB13" s="301">
        <v>15</v>
      </c>
      <c r="AC13" s="301">
        <v>15</v>
      </c>
      <c r="AD13" s="301">
        <v>23</v>
      </c>
      <c r="AE13" s="301">
        <f t="shared" si="7"/>
        <v>184</v>
      </c>
      <c r="AF13" s="302">
        <f t="shared" si="8"/>
        <v>15.333333333333334</v>
      </c>
      <c r="AG13" s="370"/>
      <c r="AH13" s="300">
        <v>24</v>
      </c>
      <c r="AI13" s="301">
        <v>21</v>
      </c>
      <c r="AJ13" s="301">
        <v>25</v>
      </c>
      <c r="AK13" s="301">
        <v>25</v>
      </c>
      <c r="AL13" s="301">
        <v>26</v>
      </c>
      <c r="AM13" s="301">
        <v>26</v>
      </c>
      <c r="AN13" s="301">
        <v>26</v>
      </c>
      <c r="AO13" s="301">
        <v>26</v>
      </c>
      <c r="AP13" s="301">
        <v>26</v>
      </c>
      <c r="AQ13" s="301">
        <v>26</v>
      </c>
      <c r="AR13" s="301">
        <v>26</v>
      </c>
      <c r="AS13" s="301">
        <v>27</v>
      </c>
      <c r="AT13" s="301">
        <f t="shared" si="9"/>
        <v>304</v>
      </c>
      <c r="AU13" s="302">
        <f t="shared" si="10"/>
        <v>25.333333333333332</v>
      </c>
      <c r="AV13" t="b">
        <v>1</v>
      </c>
      <c r="AX13" s="300">
        <v>27</v>
      </c>
      <c r="AY13" s="301">
        <v>27</v>
      </c>
      <c r="AZ13" s="301">
        <v>25</v>
      </c>
      <c r="BA13" s="301">
        <v>25</v>
      </c>
      <c r="BB13" s="301">
        <v>25</v>
      </c>
      <c r="BC13" s="301">
        <v>25</v>
      </c>
      <c r="BD13" s="301">
        <v>25</v>
      </c>
      <c r="BE13" s="301">
        <v>25</v>
      </c>
      <c r="BF13" s="301">
        <v>25</v>
      </c>
      <c r="BG13" s="301">
        <v>25</v>
      </c>
      <c r="BH13" s="301">
        <v>25</v>
      </c>
      <c r="BI13" s="301">
        <v>25</v>
      </c>
      <c r="BJ13" s="301">
        <f t="shared" si="11"/>
        <v>304</v>
      </c>
      <c r="BK13" s="302">
        <f t="shared" si="12"/>
        <v>25.331222398133491</v>
      </c>
      <c r="BL13" t="b">
        <v>1</v>
      </c>
      <c r="BN13" s="322">
        <f>HLOOKUP($A$1,$AX$1:$BI$500,ROW(),0)-HLOOKUP($A$1,$AH$1:$AS$500,ROW(),0)</f>
        <v>-2</v>
      </c>
      <c r="BO13" s="322">
        <f t="shared" si="13"/>
        <v>-2.1109351998411796E-3</v>
      </c>
      <c r="BP13" s="322">
        <f t="shared" si="4"/>
        <v>0</v>
      </c>
      <c r="BQ13" s="322">
        <f t="shared" si="16"/>
        <v>0</v>
      </c>
      <c r="BR13">
        <f t="shared" si="15"/>
        <v>25</v>
      </c>
      <c r="BS13">
        <f t="shared" si="14"/>
        <v>25</v>
      </c>
    </row>
    <row r="14" spans="1:71" x14ac:dyDescent="0.55000000000000004">
      <c r="A14" s="7217"/>
      <c r="B14" s="245"/>
      <c r="C14" s="178" t="s">
        <v>229</v>
      </c>
      <c r="D14" s="303">
        <v>18</v>
      </c>
      <c r="E14" s="304">
        <v>17</v>
      </c>
      <c r="F14" s="304">
        <v>17</v>
      </c>
      <c r="G14" s="304">
        <v>17</v>
      </c>
      <c r="H14" s="304">
        <v>17</v>
      </c>
      <c r="I14" s="304">
        <v>17</v>
      </c>
      <c r="J14" s="304">
        <v>17</v>
      </c>
      <c r="K14" s="304">
        <v>17</v>
      </c>
      <c r="L14" s="304">
        <v>18</v>
      </c>
      <c r="M14" s="304">
        <v>18</v>
      </c>
      <c r="N14" s="304">
        <v>18</v>
      </c>
      <c r="O14" s="304">
        <v>16</v>
      </c>
      <c r="P14" s="304">
        <f t="shared" si="5"/>
        <v>17.25</v>
      </c>
      <c r="Q14" s="305">
        <f t="shared" si="6"/>
        <v>17.25</v>
      </c>
      <c r="R14" s="370"/>
      <c r="S14" s="303">
        <v>16</v>
      </c>
      <c r="T14" s="304">
        <v>16</v>
      </c>
      <c r="U14" s="304">
        <v>16</v>
      </c>
      <c r="V14" s="304">
        <v>17</v>
      </c>
      <c r="W14" s="304">
        <v>17</v>
      </c>
      <c r="X14" s="304">
        <v>17</v>
      </c>
      <c r="Y14" s="304">
        <v>17</v>
      </c>
      <c r="Z14" s="304">
        <v>17</v>
      </c>
      <c r="AA14" s="304">
        <v>17</v>
      </c>
      <c r="AB14" s="304">
        <v>17</v>
      </c>
      <c r="AC14" s="304">
        <v>17</v>
      </c>
      <c r="AD14" s="304">
        <v>17</v>
      </c>
      <c r="AE14" s="304">
        <f t="shared" si="7"/>
        <v>201</v>
      </c>
      <c r="AF14" s="305">
        <f t="shared" si="8"/>
        <v>16.75</v>
      </c>
      <c r="AG14" s="370"/>
      <c r="AH14" s="303">
        <v>17</v>
      </c>
      <c r="AI14" s="304">
        <v>17</v>
      </c>
      <c r="AJ14" s="304">
        <v>16</v>
      </c>
      <c r="AK14" s="304">
        <v>17</v>
      </c>
      <c r="AL14" s="304">
        <v>17</v>
      </c>
      <c r="AM14" s="304">
        <v>19</v>
      </c>
      <c r="AN14" s="304">
        <v>19</v>
      </c>
      <c r="AO14" s="304">
        <v>19</v>
      </c>
      <c r="AP14" s="304">
        <v>19</v>
      </c>
      <c r="AQ14" s="304">
        <v>19</v>
      </c>
      <c r="AR14" s="304">
        <v>19</v>
      </c>
      <c r="AS14" s="304">
        <v>19</v>
      </c>
      <c r="AT14" s="304">
        <f t="shared" si="9"/>
        <v>217</v>
      </c>
      <c r="AU14" s="305">
        <f t="shared" si="10"/>
        <v>18.083333333333332</v>
      </c>
      <c r="AV14" t="b">
        <v>1</v>
      </c>
      <c r="AX14" s="303">
        <v>19</v>
      </c>
      <c r="AY14" s="304">
        <v>19</v>
      </c>
      <c r="AZ14" s="304">
        <v>19</v>
      </c>
      <c r="BA14" s="304">
        <v>17</v>
      </c>
      <c r="BB14" s="304">
        <v>17</v>
      </c>
      <c r="BC14" s="304">
        <v>17</v>
      </c>
      <c r="BD14" s="304">
        <v>17</v>
      </c>
      <c r="BE14" s="304">
        <v>16</v>
      </c>
      <c r="BF14" s="304">
        <v>16</v>
      </c>
      <c r="BG14" s="304">
        <v>16</v>
      </c>
      <c r="BH14" s="304">
        <v>16</v>
      </c>
      <c r="BI14" s="304">
        <v>16</v>
      </c>
      <c r="BJ14" s="304">
        <f t="shared" si="11"/>
        <v>205</v>
      </c>
      <c r="BK14" s="305">
        <f t="shared" si="12"/>
        <v>17.081909840846595</v>
      </c>
      <c r="BL14" t="b">
        <v>1</v>
      </c>
      <c r="BN14" s="322">
        <f t="shared" si="3"/>
        <v>-3</v>
      </c>
      <c r="BO14" s="322">
        <f t="shared" si="13"/>
        <v>-1.0014234924867367</v>
      </c>
      <c r="BP14" s="322">
        <f>BJ14-SUM(AH14:AS14)</f>
        <v>-12</v>
      </c>
      <c r="BQ14" s="322">
        <f t="shared" si="16"/>
        <v>0</v>
      </c>
      <c r="BR14">
        <f t="shared" si="15"/>
        <v>16</v>
      </c>
      <c r="BS14">
        <f t="shared" si="14"/>
        <v>16</v>
      </c>
    </row>
    <row r="15" spans="1:71" x14ac:dyDescent="0.55000000000000004">
      <c r="A15" s="7217"/>
      <c r="B15" s="245"/>
      <c r="C15" s="178" t="s">
        <v>230</v>
      </c>
      <c r="D15" s="303">
        <v>25</v>
      </c>
      <c r="E15" s="304">
        <v>25</v>
      </c>
      <c r="F15" s="304">
        <v>25</v>
      </c>
      <c r="G15" s="304">
        <v>25</v>
      </c>
      <c r="H15" s="304">
        <v>25</v>
      </c>
      <c r="I15" s="304">
        <v>25</v>
      </c>
      <c r="J15" s="304">
        <v>25</v>
      </c>
      <c r="K15" s="304">
        <v>25</v>
      </c>
      <c r="L15" s="304">
        <v>25</v>
      </c>
      <c r="M15" s="304">
        <v>25</v>
      </c>
      <c r="N15" s="304">
        <v>25</v>
      </c>
      <c r="O15" s="304">
        <v>25</v>
      </c>
      <c r="P15" s="304">
        <f t="shared" si="5"/>
        <v>25</v>
      </c>
      <c r="Q15" s="305">
        <f t="shared" si="6"/>
        <v>25</v>
      </c>
      <c r="R15" s="370"/>
      <c r="S15" s="303">
        <v>25</v>
      </c>
      <c r="T15" s="304">
        <v>25</v>
      </c>
      <c r="U15" s="304">
        <v>25</v>
      </c>
      <c r="V15" s="304">
        <v>25</v>
      </c>
      <c r="W15" s="304">
        <v>25</v>
      </c>
      <c r="X15" s="304">
        <v>25</v>
      </c>
      <c r="Y15" s="304">
        <v>25</v>
      </c>
      <c r="Z15" s="304">
        <v>25</v>
      </c>
      <c r="AA15" s="304">
        <v>25</v>
      </c>
      <c r="AB15" s="304">
        <v>25</v>
      </c>
      <c r="AC15" s="304">
        <v>24</v>
      </c>
      <c r="AD15" s="304">
        <v>25</v>
      </c>
      <c r="AE15" s="304">
        <f t="shared" si="7"/>
        <v>299</v>
      </c>
      <c r="AF15" s="305">
        <f t="shared" si="8"/>
        <v>24.916666666666668</v>
      </c>
      <c r="AG15" s="370"/>
      <c r="AH15" s="303">
        <v>25</v>
      </c>
      <c r="AI15" s="304">
        <v>25</v>
      </c>
      <c r="AJ15" s="304">
        <v>26</v>
      </c>
      <c r="AK15" s="304">
        <v>26</v>
      </c>
      <c r="AL15" s="304">
        <v>26</v>
      </c>
      <c r="AM15" s="304">
        <v>26</v>
      </c>
      <c r="AN15" s="304">
        <v>26</v>
      </c>
      <c r="AO15" s="304">
        <v>26</v>
      </c>
      <c r="AP15" s="304">
        <v>26</v>
      </c>
      <c r="AQ15" s="304">
        <v>26</v>
      </c>
      <c r="AR15" s="304">
        <v>26</v>
      </c>
      <c r="AS15" s="304">
        <v>26</v>
      </c>
      <c r="AT15" s="304">
        <f t="shared" si="9"/>
        <v>310</v>
      </c>
      <c r="AU15" s="305">
        <f t="shared" si="10"/>
        <v>25.833333333333332</v>
      </c>
      <c r="AV15" t="b">
        <v>1</v>
      </c>
      <c r="AX15" s="303">
        <v>26</v>
      </c>
      <c r="AY15" s="304">
        <v>26</v>
      </c>
      <c r="AZ15" s="304">
        <v>26</v>
      </c>
      <c r="BA15" s="304">
        <v>26</v>
      </c>
      <c r="BB15" s="304">
        <v>25</v>
      </c>
      <c r="BC15" s="304">
        <v>25</v>
      </c>
      <c r="BD15" s="304">
        <v>25</v>
      </c>
      <c r="BE15" s="304">
        <v>25</v>
      </c>
      <c r="BF15" s="304">
        <v>25</v>
      </c>
      <c r="BG15" s="304">
        <v>25</v>
      </c>
      <c r="BH15" s="304">
        <v>25</v>
      </c>
      <c r="BI15" s="304">
        <v>25</v>
      </c>
      <c r="BJ15" s="304">
        <f t="shared" si="11"/>
        <v>304</v>
      </c>
      <c r="BK15" s="305">
        <f t="shared" si="12"/>
        <v>25.331222398133491</v>
      </c>
      <c r="BL15" t="b">
        <v>1</v>
      </c>
      <c r="BN15" s="322">
        <f t="shared" si="3"/>
        <v>-1</v>
      </c>
      <c r="BO15" s="322">
        <f t="shared" si="13"/>
        <v>-0.50211093519984118</v>
      </c>
      <c r="BP15" s="322">
        <f t="shared" si="4"/>
        <v>-6</v>
      </c>
      <c r="BQ15" s="322">
        <f t="shared" si="16"/>
        <v>0</v>
      </c>
      <c r="BR15">
        <f t="shared" si="15"/>
        <v>25</v>
      </c>
      <c r="BS15">
        <f t="shared" si="14"/>
        <v>25</v>
      </c>
    </row>
    <row r="16" spans="1:71" x14ac:dyDescent="0.55000000000000004">
      <c r="A16" s="7217"/>
      <c r="B16" s="245"/>
      <c r="C16" s="177" t="s">
        <v>231</v>
      </c>
      <c r="D16" s="300">
        <v>31</v>
      </c>
      <c r="E16" s="301">
        <v>31</v>
      </c>
      <c r="F16" s="301">
        <v>31</v>
      </c>
      <c r="G16" s="301">
        <v>31</v>
      </c>
      <c r="H16" s="301">
        <v>31</v>
      </c>
      <c r="I16" s="301">
        <v>31</v>
      </c>
      <c r="J16" s="301">
        <v>32</v>
      </c>
      <c r="K16" s="301">
        <v>32</v>
      </c>
      <c r="L16" s="301">
        <v>32</v>
      </c>
      <c r="M16" s="301">
        <v>31</v>
      </c>
      <c r="N16" s="301">
        <v>31</v>
      </c>
      <c r="O16" s="301">
        <v>30</v>
      </c>
      <c r="P16" s="301">
        <f t="shared" si="5"/>
        <v>31.166666666666668</v>
      </c>
      <c r="Q16" s="302">
        <f t="shared" si="6"/>
        <v>31.166666666666668</v>
      </c>
      <c r="R16" s="370"/>
      <c r="S16" s="300">
        <v>27</v>
      </c>
      <c r="T16" s="301">
        <v>27</v>
      </c>
      <c r="U16" s="301">
        <v>27</v>
      </c>
      <c r="V16" s="301">
        <v>28</v>
      </c>
      <c r="W16" s="301">
        <v>28</v>
      </c>
      <c r="X16" s="301">
        <v>28</v>
      </c>
      <c r="Y16" s="301">
        <v>28</v>
      </c>
      <c r="Z16" s="301">
        <v>27</v>
      </c>
      <c r="AA16" s="301">
        <v>27</v>
      </c>
      <c r="AB16" s="301">
        <v>27</v>
      </c>
      <c r="AC16" s="301">
        <v>27</v>
      </c>
      <c r="AD16" s="301">
        <v>30</v>
      </c>
      <c r="AE16" s="301">
        <f t="shared" si="7"/>
        <v>331</v>
      </c>
      <c r="AF16" s="302">
        <f t="shared" si="8"/>
        <v>27.583333333333332</v>
      </c>
      <c r="AG16" s="370"/>
      <c r="AH16" s="300">
        <v>30</v>
      </c>
      <c r="AI16" s="301">
        <v>30</v>
      </c>
      <c r="AJ16" s="301">
        <v>30</v>
      </c>
      <c r="AK16" s="301">
        <v>30</v>
      </c>
      <c r="AL16" s="301">
        <v>32</v>
      </c>
      <c r="AM16" s="301">
        <v>32</v>
      </c>
      <c r="AN16" s="301">
        <v>33</v>
      </c>
      <c r="AO16" s="301">
        <v>33</v>
      </c>
      <c r="AP16" s="301">
        <v>33</v>
      </c>
      <c r="AQ16" s="301">
        <v>33</v>
      </c>
      <c r="AR16" s="301">
        <v>33</v>
      </c>
      <c r="AS16" s="301">
        <v>34</v>
      </c>
      <c r="AT16" s="301">
        <f t="shared" si="9"/>
        <v>383</v>
      </c>
      <c r="AU16" s="302">
        <f t="shared" si="10"/>
        <v>31.916666666666668</v>
      </c>
      <c r="AV16" t="b">
        <v>1</v>
      </c>
      <c r="AX16" s="300">
        <v>34</v>
      </c>
      <c r="AY16" s="301">
        <v>33</v>
      </c>
      <c r="AZ16" s="301">
        <v>31</v>
      </c>
      <c r="BA16" s="301">
        <v>31</v>
      </c>
      <c r="BB16" s="301">
        <v>31</v>
      </c>
      <c r="BC16" s="301">
        <v>29</v>
      </c>
      <c r="BD16" s="301">
        <v>31</v>
      </c>
      <c r="BE16" s="301">
        <v>31</v>
      </c>
      <c r="BF16" s="301">
        <v>31</v>
      </c>
      <c r="BG16" s="301">
        <v>31</v>
      </c>
      <c r="BH16" s="301">
        <v>30</v>
      </c>
      <c r="BI16" s="301">
        <v>30</v>
      </c>
      <c r="BJ16" s="301">
        <f t="shared" si="11"/>
        <v>373</v>
      </c>
      <c r="BK16" s="302">
        <f t="shared" si="12"/>
        <v>31.080743271394052</v>
      </c>
      <c r="BL16" t="b">
        <v>1</v>
      </c>
      <c r="BN16" s="322">
        <f t="shared" si="3"/>
        <v>-4</v>
      </c>
      <c r="BO16" s="322">
        <f t="shared" si="13"/>
        <v>-0.83592339527261572</v>
      </c>
      <c r="BP16" s="322">
        <f t="shared" si="4"/>
        <v>-10</v>
      </c>
      <c r="BQ16" s="322">
        <f t="shared" si="16"/>
        <v>0</v>
      </c>
      <c r="BR16">
        <f t="shared" si="15"/>
        <v>30</v>
      </c>
      <c r="BS16">
        <f t="shared" si="14"/>
        <v>30</v>
      </c>
    </row>
    <row r="17" spans="1:71" x14ac:dyDescent="0.55000000000000004">
      <c r="A17" s="7217"/>
      <c r="B17" s="245"/>
      <c r="C17" s="177" t="s">
        <v>232</v>
      </c>
      <c r="D17" s="300">
        <v>21</v>
      </c>
      <c r="E17" s="301">
        <v>21</v>
      </c>
      <c r="F17" s="301">
        <v>21</v>
      </c>
      <c r="G17" s="301">
        <v>21</v>
      </c>
      <c r="H17" s="301">
        <v>21</v>
      </c>
      <c r="I17" s="301">
        <v>21</v>
      </c>
      <c r="J17" s="301">
        <v>21</v>
      </c>
      <c r="K17" s="301">
        <v>21</v>
      </c>
      <c r="L17" s="301">
        <v>21</v>
      </c>
      <c r="M17" s="301">
        <v>21</v>
      </c>
      <c r="N17" s="301">
        <v>21</v>
      </c>
      <c r="O17" s="301">
        <v>21</v>
      </c>
      <c r="P17" s="301">
        <f t="shared" si="5"/>
        <v>21</v>
      </c>
      <c r="Q17" s="302">
        <f t="shared" si="6"/>
        <v>21</v>
      </c>
      <c r="R17" s="370"/>
      <c r="S17" s="300">
        <v>24</v>
      </c>
      <c r="T17" s="301">
        <v>24</v>
      </c>
      <c r="U17" s="301">
        <v>24</v>
      </c>
      <c r="V17" s="301">
        <v>24</v>
      </c>
      <c r="W17" s="301">
        <v>24</v>
      </c>
      <c r="X17" s="301">
        <v>24</v>
      </c>
      <c r="Y17" s="301">
        <v>24</v>
      </c>
      <c r="Z17" s="301">
        <v>24</v>
      </c>
      <c r="AA17" s="301">
        <v>24</v>
      </c>
      <c r="AB17" s="301">
        <v>24</v>
      </c>
      <c r="AC17" s="301">
        <v>24</v>
      </c>
      <c r="AD17" s="301">
        <v>21</v>
      </c>
      <c r="AE17" s="301">
        <f t="shared" si="7"/>
        <v>285</v>
      </c>
      <c r="AF17" s="302">
        <f t="shared" si="8"/>
        <v>23.75</v>
      </c>
      <c r="AG17" s="370"/>
      <c r="AH17" s="300">
        <v>21</v>
      </c>
      <c r="AI17" s="301">
        <v>21</v>
      </c>
      <c r="AJ17" s="301">
        <v>22</v>
      </c>
      <c r="AK17" s="301">
        <v>22</v>
      </c>
      <c r="AL17" s="301">
        <v>22</v>
      </c>
      <c r="AM17" s="301">
        <v>21</v>
      </c>
      <c r="AN17" s="301">
        <v>22</v>
      </c>
      <c r="AO17" s="301">
        <v>22</v>
      </c>
      <c r="AP17" s="301">
        <v>22</v>
      </c>
      <c r="AQ17" s="301">
        <v>22</v>
      </c>
      <c r="AR17" s="301">
        <v>22</v>
      </c>
      <c r="AS17" s="301">
        <v>22</v>
      </c>
      <c r="AT17" s="301">
        <f t="shared" si="9"/>
        <v>261</v>
      </c>
      <c r="AU17" s="302">
        <f t="shared" si="10"/>
        <v>21.75</v>
      </c>
      <c r="AV17" t="b">
        <v>1</v>
      </c>
      <c r="AX17" s="300">
        <v>22</v>
      </c>
      <c r="AY17" s="301">
        <v>22</v>
      </c>
      <c r="AZ17" s="301">
        <v>22</v>
      </c>
      <c r="BA17" s="301">
        <v>22</v>
      </c>
      <c r="BB17" s="301">
        <v>22</v>
      </c>
      <c r="BC17" s="301">
        <v>21</v>
      </c>
      <c r="BD17" s="301">
        <v>21</v>
      </c>
      <c r="BE17" s="301">
        <v>21</v>
      </c>
      <c r="BF17" s="301">
        <v>21</v>
      </c>
      <c r="BG17" s="301">
        <v>21</v>
      </c>
      <c r="BH17" s="301">
        <v>21</v>
      </c>
      <c r="BI17" s="301">
        <v>20</v>
      </c>
      <c r="BJ17" s="301">
        <f t="shared" si="11"/>
        <v>256</v>
      </c>
      <c r="BK17" s="302">
        <f t="shared" si="12"/>
        <v>21.331555703691361</v>
      </c>
      <c r="BL17" t="b">
        <v>1</v>
      </c>
      <c r="BN17" s="322">
        <f t="shared" si="3"/>
        <v>-2</v>
      </c>
      <c r="BO17" s="322">
        <f t="shared" si="13"/>
        <v>-0.418444296308639</v>
      </c>
      <c r="BP17" s="322">
        <f t="shared" si="4"/>
        <v>-5</v>
      </c>
      <c r="BQ17" s="322">
        <f t="shared" si="16"/>
        <v>-1</v>
      </c>
      <c r="BR17">
        <f t="shared" si="15"/>
        <v>21</v>
      </c>
      <c r="BS17">
        <f t="shared" si="14"/>
        <v>20</v>
      </c>
    </row>
    <row r="18" spans="1:71" x14ac:dyDescent="0.55000000000000004">
      <c r="A18" s="7217"/>
      <c r="B18" s="245"/>
      <c r="C18" s="178" t="s">
        <v>233</v>
      </c>
      <c r="D18" s="303">
        <v>31</v>
      </c>
      <c r="E18" s="304">
        <v>31</v>
      </c>
      <c r="F18" s="304">
        <v>32</v>
      </c>
      <c r="G18" s="304">
        <v>32</v>
      </c>
      <c r="H18" s="304">
        <v>33</v>
      </c>
      <c r="I18" s="304">
        <v>32</v>
      </c>
      <c r="J18" s="304">
        <v>33</v>
      </c>
      <c r="K18" s="304">
        <v>32</v>
      </c>
      <c r="L18" s="304">
        <v>32</v>
      </c>
      <c r="M18" s="304">
        <v>32</v>
      </c>
      <c r="N18" s="304">
        <v>32</v>
      </c>
      <c r="O18" s="304">
        <v>31</v>
      </c>
      <c r="P18" s="304">
        <f t="shared" si="5"/>
        <v>31.916666666666668</v>
      </c>
      <c r="Q18" s="305">
        <f t="shared" si="6"/>
        <v>31.916666666666668</v>
      </c>
      <c r="R18" s="370"/>
      <c r="S18" s="303">
        <v>32</v>
      </c>
      <c r="T18" s="304">
        <v>32</v>
      </c>
      <c r="U18" s="304">
        <v>31</v>
      </c>
      <c r="V18" s="304">
        <v>31</v>
      </c>
      <c r="W18" s="304">
        <v>31</v>
      </c>
      <c r="X18" s="304">
        <v>31</v>
      </c>
      <c r="Y18" s="304">
        <v>31</v>
      </c>
      <c r="Z18" s="304">
        <v>30</v>
      </c>
      <c r="AA18" s="304">
        <v>30</v>
      </c>
      <c r="AB18" s="304">
        <v>30</v>
      </c>
      <c r="AC18" s="304">
        <v>29</v>
      </c>
      <c r="AD18" s="304">
        <v>29</v>
      </c>
      <c r="AE18" s="304">
        <f t="shared" si="7"/>
        <v>367</v>
      </c>
      <c r="AF18" s="305">
        <f t="shared" si="8"/>
        <v>30.583333333333332</v>
      </c>
      <c r="AG18" s="370"/>
      <c r="AH18" s="303">
        <v>28</v>
      </c>
      <c r="AI18" s="304">
        <v>28</v>
      </c>
      <c r="AJ18" s="304">
        <v>29</v>
      </c>
      <c r="AK18" s="304">
        <v>29</v>
      </c>
      <c r="AL18" s="304">
        <v>30</v>
      </c>
      <c r="AM18" s="304">
        <v>30</v>
      </c>
      <c r="AN18" s="304">
        <v>30</v>
      </c>
      <c r="AO18" s="304">
        <v>30</v>
      </c>
      <c r="AP18" s="304">
        <v>30</v>
      </c>
      <c r="AQ18" s="304">
        <v>30</v>
      </c>
      <c r="AR18" s="304">
        <v>29</v>
      </c>
      <c r="AS18" s="304">
        <v>30</v>
      </c>
      <c r="AT18" s="304">
        <f t="shared" si="9"/>
        <v>353</v>
      </c>
      <c r="AU18" s="305">
        <f t="shared" si="10"/>
        <v>29.416666666666668</v>
      </c>
      <c r="AV18" t="b">
        <v>1</v>
      </c>
      <c r="AX18" s="303">
        <v>30</v>
      </c>
      <c r="AY18" s="304">
        <v>29</v>
      </c>
      <c r="AZ18" s="304">
        <v>28</v>
      </c>
      <c r="BA18" s="304">
        <v>28</v>
      </c>
      <c r="BB18" s="304">
        <v>28</v>
      </c>
      <c r="BC18" s="304">
        <v>28</v>
      </c>
      <c r="BD18" s="304">
        <v>28</v>
      </c>
      <c r="BE18" s="304">
        <v>28</v>
      </c>
      <c r="BF18" s="304">
        <v>28</v>
      </c>
      <c r="BG18" s="304">
        <v>28</v>
      </c>
      <c r="BH18" s="304">
        <v>28</v>
      </c>
      <c r="BI18" s="304">
        <v>28</v>
      </c>
      <c r="BJ18" s="304">
        <f t="shared" si="11"/>
        <v>339</v>
      </c>
      <c r="BK18" s="305">
        <f t="shared" si="12"/>
        <v>28.247646029497542</v>
      </c>
      <c r="BL18" t="b">
        <v>1</v>
      </c>
      <c r="BN18" s="322">
        <f t="shared" si="3"/>
        <v>-2</v>
      </c>
      <c r="BO18" s="322">
        <f t="shared" si="13"/>
        <v>-1.1690206371691261</v>
      </c>
      <c r="BP18" s="322">
        <f t="shared" si="4"/>
        <v>-14</v>
      </c>
      <c r="BQ18" s="322">
        <f t="shared" si="16"/>
        <v>0</v>
      </c>
      <c r="BR18">
        <f t="shared" si="15"/>
        <v>28</v>
      </c>
      <c r="BS18">
        <f t="shared" si="14"/>
        <v>28</v>
      </c>
    </row>
    <row r="19" spans="1:71" x14ac:dyDescent="0.55000000000000004">
      <c r="A19" s="7217"/>
      <c r="B19" s="245"/>
      <c r="C19" s="178" t="s">
        <v>234</v>
      </c>
      <c r="D19" s="303">
        <v>30</v>
      </c>
      <c r="E19" s="304">
        <v>31</v>
      </c>
      <c r="F19" s="304">
        <v>31</v>
      </c>
      <c r="G19" s="304">
        <v>32</v>
      </c>
      <c r="H19" s="304">
        <v>32</v>
      </c>
      <c r="I19" s="304">
        <v>33</v>
      </c>
      <c r="J19" s="304">
        <v>32</v>
      </c>
      <c r="K19" s="304">
        <v>32</v>
      </c>
      <c r="L19" s="304">
        <v>32</v>
      </c>
      <c r="M19" s="304">
        <v>33</v>
      </c>
      <c r="N19" s="304">
        <v>33</v>
      </c>
      <c r="O19" s="304">
        <v>33</v>
      </c>
      <c r="P19" s="304">
        <f t="shared" si="5"/>
        <v>32</v>
      </c>
      <c r="Q19" s="305">
        <f t="shared" si="6"/>
        <v>32</v>
      </c>
      <c r="R19" s="370"/>
      <c r="S19" s="303">
        <v>33</v>
      </c>
      <c r="T19" s="304">
        <v>33</v>
      </c>
      <c r="U19" s="304">
        <v>32</v>
      </c>
      <c r="V19" s="304">
        <v>33</v>
      </c>
      <c r="W19" s="304">
        <v>33</v>
      </c>
      <c r="X19" s="304">
        <v>33</v>
      </c>
      <c r="Y19" s="304">
        <v>32</v>
      </c>
      <c r="Z19" s="304">
        <v>32</v>
      </c>
      <c r="AA19" s="304">
        <v>32</v>
      </c>
      <c r="AB19" s="304">
        <v>32</v>
      </c>
      <c r="AC19" s="304">
        <v>32</v>
      </c>
      <c r="AD19" s="304">
        <v>32</v>
      </c>
      <c r="AE19" s="304">
        <f t="shared" si="7"/>
        <v>389</v>
      </c>
      <c r="AF19" s="305">
        <f t="shared" si="8"/>
        <v>32.416666666666664</v>
      </c>
      <c r="AG19" s="370"/>
      <c r="AH19" s="303">
        <v>32</v>
      </c>
      <c r="AI19" s="304">
        <v>32</v>
      </c>
      <c r="AJ19" s="304">
        <v>32</v>
      </c>
      <c r="AK19" s="304">
        <v>31</v>
      </c>
      <c r="AL19" s="304">
        <v>31</v>
      </c>
      <c r="AM19" s="304">
        <v>31</v>
      </c>
      <c r="AN19" s="304">
        <v>31</v>
      </c>
      <c r="AO19" s="304">
        <v>30</v>
      </c>
      <c r="AP19" s="304">
        <v>30</v>
      </c>
      <c r="AQ19" s="304">
        <v>30</v>
      </c>
      <c r="AR19" s="304">
        <v>30</v>
      </c>
      <c r="AS19" s="304">
        <v>30</v>
      </c>
      <c r="AT19" s="304">
        <f t="shared" si="9"/>
        <v>370</v>
      </c>
      <c r="AU19" s="305">
        <f t="shared" si="10"/>
        <v>30.833333333333332</v>
      </c>
      <c r="AV19" t="b">
        <v>1</v>
      </c>
      <c r="AX19" s="303">
        <v>29</v>
      </c>
      <c r="AY19" s="304">
        <v>29</v>
      </c>
      <c r="AZ19" s="304">
        <v>29</v>
      </c>
      <c r="BA19" s="304">
        <v>29</v>
      </c>
      <c r="BB19" s="304">
        <v>29</v>
      </c>
      <c r="BC19" s="304">
        <v>29</v>
      </c>
      <c r="BD19" s="304">
        <v>29</v>
      </c>
      <c r="BE19" s="304">
        <v>29</v>
      </c>
      <c r="BF19" s="304">
        <v>29</v>
      </c>
      <c r="BG19" s="304">
        <v>29</v>
      </c>
      <c r="BH19" s="304">
        <v>29</v>
      </c>
      <c r="BI19" s="304">
        <v>29</v>
      </c>
      <c r="BJ19" s="304">
        <f t="shared" si="11"/>
        <v>348</v>
      </c>
      <c r="BK19" s="305">
        <f t="shared" si="12"/>
        <v>28.997583534705441</v>
      </c>
      <c r="BL19" t="b">
        <v>1</v>
      </c>
      <c r="BN19" s="322">
        <f t="shared" si="3"/>
        <v>-1</v>
      </c>
      <c r="BO19" s="322">
        <f t="shared" si="13"/>
        <v>-1.8357497986278908</v>
      </c>
      <c r="BP19" s="322">
        <f t="shared" si="4"/>
        <v>-22</v>
      </c>
      <c r="BQ19" s="322">
        <f t="shared" si="16"/>
        <v>0</v>
      </c>
      <c r="BR19">
        <f t="shared" si="15"/>
        <v>29</v>
      </c>
      <c r="BS19">
        <f t="shared" si="14"/>
        <v>29</v>
      </c>
    </row>
    <row r="20" spans="1:71" x14ac:dyDescent="0.55000000000000004">
      <c r="A20" s="7217"/>
      <c r="B20" s="245"/>
      <c r="C20" s="177" t="s">
        <v>235</v>
      </c>
      <c r="D20" s="300">
        <v>28</v>
      </c>
      <c r="E20" s="301">
        <v>28</v>
      </c>
      <c r="F20" s="301">
        <v>28</v>
      </c>
      <c r="G20" s="301">
        <v>29</v>
      </c>
      <c r="H20" s="301">
        <v>29</v>
      </c>
      <c r="I20" s="301">
        <v>29</v>
      </c>
      <c r="J20" s="301">
        <v>29</v>
      </c>
      <c r="K20" s="301">
        <v>29</v>
      </c>
      <c r="L20" s="301">
        <v>29</v>
      </c>
      <c r="M20" s="301">
        <v>29</v>
      </c>
      <c r="N20" s="301">
        <v>29</v>
      </c>
      <c r="O20" s="301">
        <v>29</v>
      </c>
      <c r="P20" s="301">
        <f t="shared" si="5"/>
        <v>28.75</v>
      </c>
      <c r="Q20" s="302">
        <f t="shared" si="6"/>
        <v>28.75</v>
      </c>
      <c r="R20" s="370"/>
      <c r="S20" s="300">
        <v>28</v>
      </c>
      <c r="T20" s="301">
        <v>28</v>
      </c>
      <c r="U20" s="301">
        <v>28</v>
      </c>
      <c r="V20" s="301">
        <v>28</v>
      </c>
      <c r="W20" s="301">
        <v>28</v>
      </c>
      <c r="X20" s="301">
        <v>28</v>
      </c>
      <c r="Y20" s="301">
        <v>28</v>
      </c>
      <c r="Z20" s="301">
        <v>28</v>
      </c>
      <c r="AA20" s="301">
        <v>28</v>
      </c>
      <c r="AB20" s="301">
        <v>28</v>
      </c>
      <c r="AC20" s="301">
        <v>28</v>
      </c>
      <c r="AD20" s="301">
        <v>28</v>
      </c>
      <c r="AE20" s="301">
        <f t="shared" si="7"/>
        <v>336</v>
      </c>
      <c r="AF20" s="302">
        <f t="shared" si="8"/>
        <v>28</v>
      </c>
      <c r="AG20" s="370"/>
      <c r="AH20" s="300">
        <v>28</v>
      </c>
      <c r="AI20" s="301">
        <v>28</v>
      </c>
      <c r="AJ20" s="301">
        <v>28</v>
      </c>
      <c r="AK20" s="301">
        <v>29</v>
      </c>
      <c r="AL20" s="301">
        <v>28</v>
      </c>
      <c r="AM20" s="301">
        <v>28</v>
      </c>
      <c r="AN20" s="301">
        <v>28</v>
      </c>
      <c r="AO20" s="301">
        <v>29</v>
      </c>
      <c r="AP20" s="301">
        <v>29</v>
      </c>
      <c r="AQ20" s="301">
        <v>29</v>
      </c>
      <c r="AR20" s="301">
        <v>30</v>
      </c>
      <c r="AS20" s="301">
        <v>30</v>
      </c>
      <c r="AT20" s="301">
        <f t="shared" si="9"/>
        <v>344</v>
      </c>
      <c r="AU20" s="302">
        <f t="shared" si="10"/>
        <v>28.666666666666668</v>
      </c>
      <c r="AV20" t="b">
        <v>1</v>
      </c>
      <c r="AX20" s="300">
        <v>29</v>
      </c>
      <c r="AY20" s="301">
        <v>29</v>
      </c>
      <c r="AZ20" s="301">
        <v>28</v>
      </c>
      <c r="BA20" s="301">
        <v>28</v>
      </c>
      <c r="BB20" s="301">
        <v>28</v>
      </c>
      <c r="BC20" s="301">
        <v>27</v>
      </c>
      <c r="BD20" s="301">
        <v>27</v>
      </c>
      <c r="BE20" s="301">
        <v>27</v>
      </c>
      <c r="BF20" s="301">
        <v>27</v>
      </c>
      <c r="BG20" s="301">
        <v>27</v>
      </c>
      <c r="BH20" s="301">
        <v>27</v>
      </c>
      <c r="BI20" s="301">
        <v>27</v>
      </c>
      <c r="BJ20" s="301">
        <f t="shared" si="11"/>
        <v>331</v>
      </c>
      <c r="BK20" s="302">
        <f t="shared" si="12"/>
        <v>27.58103491375719</v>
      </c>
      <c r="BL20" t="b">
        <v>1</v>
      </c>
      <c r="BN20" s="322">
        <f t="shared" si="3"/>
        <v>-3</v>
      </c>
      <c r="BO20" s="322">
        <f t="shared" si="13"/>
        <v>-1.0856317529094781</v>
      </c>
      <c r="BP20" s="322">
        <f t="shared" si="4"/>
        <v>-13</v>
      </c>
      <c r="BQ20" s="322">
        <f t="shared" si="16"/>
        <v>0</v>
      </c>
      <c r="BR20">
        <f t="shared" si="15"/>
        <v>27</v>
      </c>
      <c r="BS20">
        <f t="shared" si="14"/>
        <v>27</v>
      </c>
    </row>
    <row r="21" spans="1:71" ht="18" thickBot="1" x14ac:dyDescent="0.6">
      <c r="A21" s="7218"/>
      <c r="B21" s="246"/>
      <c r="C21" s="179" t="s">
        <v>236</v>
      </c>
      <c r="D21" s="306">
        <v>29</v>
      </c>
      <c r="E21" s="307">
        <v>29</v>
      </c>
      <c r="F21" s="307">
        <v>29</v>
      </c>
      <c r="G21" s="307">
        <v>29</v>
      </c>
      <c r="H21" s="307">
        <v>29</v>
      </c>
      <c r="I21" s="307">
        <v>27</v>
      </c>
      <c r="J21" s="307">
        <v>28</v>
      </c>
      <c r="K21" s="307">
        <v>28</v>
      </c>
      <c r="L21" s="307">
        <v>28</v>
      </c>
      <c r="M21" s="307">
        <v>28</v>
      </c>
      <c r="N21" s="307">
        <v>28</v>
      </c>
      <c r="O21" s="307">
        <v>28</v>
      </c>
      <c r="P21" s="307">
        <f t="shared" si="5"/>
        <v>28.333333333333332</v>
      </c>
      <c r="Q21" s="308">
        <f t="shared" si="6"/>
        <v>28.333333333333332</v>
      </c>
      <c r="R21" s="370"/>
      <c r="S21" s="306">
        <v>29</v>
      </c>
      <c r="T21" s="307">
        <v>29</v>
      </c>
      <c r="U21" s="307">
        <v>29</v>
      </c>
      <c r="V21" s="307">
        <v>28</v>
      </c>
      <c r="W21" s="307">
        <v>28</v>
      </c>
      <c r="X21" s="307">
        <v>28</v>
      </c>
      <c r="Y21" s="307">
        <v>28</v>
      </c>
      <c r="Z21" s="307">
        <v>28</v>
      </c>
      <c r="AA21" s="307">
        <v>28</v>
      </c>
      <c r="AB21" s="307">
        <v>27</v>
      </c>
      <c r="AC21" s="307">
        <v>28</v>
      </c>
      <c r="AD21" s="307">
        <v>28</v>
      </c>
      <c r="AE21" s="307">
        <f t="shared" si="7"/>
        <v>338</v>
      </c>
      <c r="AF21" s="308">
        <f t="shared" si="8"/>
        <v>28.166666666666668</v>
      </c>
      <c r="AG21" s="370"/>
      <c r="AH21" s="306">
        <v>28</v>
      </c>
      <c r="AI21" s="307">
        <v>28</v>
      </c>
      <c r="AJ21" s="307">
        <v>28</v>
      </c>
      <c r="AK21" s="307">
        <v>29</v>
      </c>
      <c r="AL21" s="307">
        <v>29</v>
      </c>
      <c r="AM21" s="307">
        <v>30</v>
      </c>
      <c r="AN21" s="307">
        <v>30</v>
      </c>
      <c r="AO21" s="307">
        <v>30</v>
      </c>
      <c r="AP21" s="307">
        <v>30</v>
      </c>
      <c r="AQ21" s="307">
        <v>30</v>
      </c>
      <c r="AR21" s="307">
        <v>30</v>
      </c>
      <c r="AS21" s="307">
        <v>29</v>
      </c>
      <c r="AT21" s="307">
        <f t="shared" si="9"/>
        <v>351</v>
      </c>
      <c r="AU21" s="308">
        <f t="shared" si="10"/>
        <v>29.25</v>
      </c>
      <c r="AV21" t="b">
        <v>1</v>
      </c>
      <c r="AX21" s="306">
        <v>29</v>
      </c>
      <c r="AY21" s="307">
        <v>29</v>
      </c>
      <c r="AZ21" s="307">
        <v>29</v>
      </c>
      <c r="BA21" s="307">
        <v>27</v>
      </c>
      <c r="BB21" s="307">
        <v>27</v>
      </c>
      <c r="BC21" s="307">
        <v>27</v>
      </c>
      <c r="BD21" s="307">
        <v>27</v>
      </c>
      <c r="BE21" s="307">
        <v>27</v>
      </c>
      <c r="BF21" s="307">
        <v>27</v>
      </c>
      <c r="BG21" s="307">
        <v>26</v>
      </c>
      <c r="BH21" s="307">
        <v>27</v>
      </c>
      <c r="BI21" s="307">
        <v>27</v>
      </c>
      <c r="BJ21" s="307">
        <f t="shared" si="11"/>
        <v>329</v>
      </c>
      <c r="BK21" s="308">
        <f t="shared" si="12"/>
        <v>27.414382134822098</v>
      </c>
      <c r="BL21" t="b">
        <v>1</v>
      </c>
      <c r="BN21" s="322">
        <f t="shared" si="3"/>
        <v>-2</v>
      </c>
      <c r="BO21" s="322">
        <f t="shared" si="13"/>
        <v>-1.8356178651779018</v>
      </c>
      <c r="BP21" s="322">
        <f t="shared" si="4"/>
        <v>-22</v>
      </c>
      <c r="BQ21" s="322">
        <f t="shared" si="16"/>
        <v>0</v>
      </c>
      <c r="BR21">
        <f t="shared" si="15"/>
        <v>27</v>
      </c>
      <c r="BS21">
        <f t="shared" si="14"/>
        <v>27</v>
      </c>
    </row>
    <row r="22" spans="1:71" x14ac:dyDescent="0.55000000000000004">
      <c r="A22" s="7221" t="s">
        <v>251</v>
      </c>
      <c r="B22" s="41" t="s">
        <v>259</v>
      </c>
      <c r="C22" s="16"/>
      <c r="D22" s="270">
        <f t="shared" ref="D22:O22" si="32">SUM(D23:D25)</f>
        <v>1</v>
      </c>
      <c r="E22" s="271">
        <f t="shared" si="32"/>
        <v>3</v>
      </c>
      <c r="F22" s="271">
        <f t="shared" si="32"/>
        <v>1</v>
      </c>
      <c r="G22" s="271">
        <f t="shared" si="32"/>
        <v>5</v>
      </c>
      <c r="H22" s="271">
        <f t="shared" si="32"/>
        <v>1</v>
      </c>
      <c r="I22" s="271">
        <f t="shared" si="32"/>
        <v>1</v>
      </c>
      <c r="J22" s="271">
        <f t="shared" si="32"/>
        <v>6</v>
      </c>
      <c r="K22" s="271">
        <f t="shared" si="32"/>
        <v>2</v>
      </c>
      <c r="L22" s="271">
        <f t="shared" si="32"/>
        <v>1</v>
      </c>
      <c r="M22" s="271">
        <f t="shared" si="32"/>
        <v>0</v>
      </c>
      <c r="N22" s="271">
        <f t="shared" si="32"/>
        <v>0</v>
      </c>
      <c r="O22" s="271">
        <f t="shared" si="32"/>
        <v>0</v>
      </c>
      <c r="P22" s="271">
        <f t="shared" si="5"/>
        <v>1.75</v>
      </c>
      <c r="Q22" s="272">
        <f t="shared" si="6"/>
        <v>1.75</v>
      </c>
      <c r="R22" s="370"/>
      <c r="S22" s="270">
        <f t="shared" ref="S22:AD22" si="33">SUM(S23:S25)</f>
        <v>4</v>
      </c>
      <c r="T22" s="271">
        <f t="shared" si="33"/>
        <v>0</v>
      </c>
      <c r="U22" s="271">
        <f t="shared" si="33"/>
        <v>0</v>
      </c>
      <c r="V22" s="271">
        <f t="shared" si="33"/>
        <v>5</v>
      </c>
      <c r="W22" s="271">
        <f t="shared" si="33"/>
        <v>1</v>
      </c>
      <c r="X22" s="271">
        <f t="shared" si="33"/>
        <v>0</v>
      </c>
      <c r="Y22" s="271">
        <f t="shared" si="33"/>
        <v>3</v>
      </c>
      <c r="Z22" s="271">
        <f t="shared" si="33"/>
        <v>0</v>
      </c>
      <c r="AA22" s="271">
        <f t="shared" si="33"/>
        <v>1</v>
      </c>
      <c r="AB22" s="271">
        <f t="shared" si="33"/>
        <v>0</v>
      </c>
      <c r="AC22" s="271">
        <f t="shared" si="33"/>
        <v>2</v>
      </c>
      <c r="AD22" s="271">
        <f t="shared" si="33"/>
        <v>1</v>
      </c>
      <c r="AE22" s="271">
        <f>SUM(S22:AD22)</f>
        <v>17</v>
      </c>
      <c r="AF22" s="272">
        <f>AE22/12</f>
        <v>1.4166666666666667</v>
      </c>
      <c r="AG22" s="370"/>
      <c r="AH22" s="270">
        <f t="shared" ref="AH22:AM22" si="34">SUM(AH23:AH25)</f>
        <v>3</v>
      </c>
      <c r="AI22" s="271">
        <f t="shared" si="34"/>
        <v>0</v>
      </c>
      <c r="AJ22" s="271">
        <f t="shared" si="34"/>
        <v>10</v>
      </c>
      <c r="AK22" s="271">
        <f t="shared" si="34"/>
        <v>3</v>
      </c>
      <c r="AL22" s="271">
        <f t="shared" si="34"/>
        <v>7</v>
      </c>
      <c r="AM22" s="271">
        <f t="shared" si="34"/>
        <v>4</v>
      </c>
      <c r="AN22" s="271">
        <v>2</v>
      </c>
      <c r="AO22" s="271">
        <f>SUM(AO23:AO25)</f>
        <v>2</v>
      </c>
      <c r="AP22" s="271">
        <f>SUM(AP23:AP25)</f>
        <v>1</v>
      </c>
      <c r="AQ22" s="271">
        <f>SUM(AQ23:AQ25)</f>
        <v>1</v>
      </c>
      <c r="AR22" s="271">
        <f>SUM(AR23:AR25)</f>
        <v>2</v>
      </c>
      <c r="AS22" s="271">
        <v>4</v>
      </c>
      <c r="AT22" s="271">
        <f>SUM(AH22:AS22)</f>
        <v>39</v>
      </c>
      <c r="AU22" s="272">
        <f t="shared" si="10"/>
        <v>3.25</v>
      </c>
      <c r="AV22" t="b">
        <v>1</v>
      </c>
      <c r="AX22" s="270">
        <v>0</v>
      </c>
      <c r="AY22" s="271">
        <v>0</v>
      </c>
      <c r="AZ22" s="271">
        <v>0</v>
      </c>
      <c r="BA22" s="271">
        <v>0</v>
      </c>
      <c r="BB22" s="271">
        <v>0</v>
      </c>
      <c r="BC22" s="271">
        <v>0</v>
      </c>
      <c r="BD22" s="271">
        <v>2</v>
      </c>
      <c r="BE22" s="271">
        <v>0</v>
      </c>
      <c r="BF22" s="271">
        <v>1</v>
      </c>
      <c r="BG22" s="271">
        <v>0</v>
      </c>
      <c r="BH22" s="271">
        <v>1</v>
      </c>
      <c r="BI22" s="271">
        <v>1</v>
      </c>
      <c r="BJ22" s="271">
        <f>SUM(AX22:BI22)</f>
        <v>5</v>
      </c>
      <c r="BK22" s="272">
        <f>SUM(AX22:BI22)/$A$1</f>
        <v>0.41663194733772185</v>
      </c>
      <c r="BL22" t="b">
        <v>1</v>
      </c>
      <c r="BN22" s="322">
        <f t="shared" si="3"/>
        <v>-3</v>
      </c>
      <c r="BO22" s="322">
        <f t="shared" si="13"/>
        <v>-2.8333680526622782</v>
      </c>
      <c r="BP22" s="322">
        <f t="shared" si="4"/>
        <v>-34</v>
      </c>
      <c r="BQ22" s="322">
        <f t="shared" si="16"/>
        <v>0</v>
      </c>
      <c r="BR22">
        <f t="shared" si="15"/>
        <v>1</v>
      </c>
      <c r="BS22">
        <f t="shared" si="14"/>
        <v>1</v>
      </c>
    </row>
    <row r="23" spans="1:71" x14ac:dyDescent="0.55000000000000004">
      <c r="A23" s="7222"/>
      <c r="B23" s="42"/>
      <c r="C23" s="35" t="s">
        <v>260</v>
      </c>
      <c r="D23" s="273">
        <v>0</v>
      </c>
      <c r="E23" s="274">
        <v>0</v>
      </c>
      <c r="F23" s="274">
        <v>0</v>
      </c>
      <c r="G23" s="274">
        <v>0</v>
      </c>
      <c r="H23" s="274">
        <v>0</v>
      </c>
      <c r="I23" s="274">
        <v>0</v>
      </c>
      <c r="J23" s="274">
        <v>0</v>
      </c>
      <c r="K23" s="274">
        <v>0</v>
      </c>
      <c r="L23" s="274">
        <v>0</v>
      </c>
      <c r="M23" s="274">
        <v>0</v>
      </c>
      <c r="N23" s="274">
        <v>0</v>
      </c>
      <c r="O23" s="274">
        <v>0</v>
      </c>
      <c r="P23" s="274">
        <f t="shared" si="5"/>
        <v>0</v>
      </c>
      <c r="Q23" s="275">
        <f t="shared" si="6"/>
        <v>0</v>
      </c>
      <c r="R23" s="370"/>
      <c r="S23" s="273">
        <v>0</v>
      </c>
      <c r="T23" s="274">
        <v>0</v>
      </c>
      <c r="U23" s="274">
        <v>0</v>
      </c>
      <c r="V23" s="274">
        <v>0</v>
      </c>
      <c r="W23" s="274">
        <v>0</v>
      </c>
      <c r="X23" s="274">
        <v>0</v>
      </c>
      <c r="Y23" s="274">
        <v>0</v>
      </c>
      <c r="Z23" s="274">
        <v>0</v>
      </c>
      <c r="AA23" s="274">
        <v>0</v>
      </c>
      <c r="AB23" s="274">
        <v>0</v>
      </c>
      <c r="AC23" s="274">
        <v>0</v>
      </c>
      <c r="AD23" s="274">
        <v>0</v>
      </c>
      <c r="AE23" s="274">
        <f t="shared" ref="AE23:AE40" si="35">SUM(S23:AD23)</f>
        <v>0</v>
      </c>
      <c r="AF23" s="275">
        <f t="shared" ref="AF23:AF40" si="36">AE23/12</f>
        <v>0</v>
      </c>
      <c r="AG23" s="370"/>
      <c r="AH23" s="273">
        <v>0</v>
      </c>
      <c r="AI23" s="274">
        <v>0</v>
      </c>
      <c r="AJ23" s="274">
        <v>0</v>
      </c>
      <c r="AK23" s="274">
        <v>0</v>
      </c>
      <c r="AL23" s="274">
        <v>0</v>
      </c>
      <c r="AM23" s="274">
        <v>0</v>
      </c>
      <c r="AN23" s="274">
        <v>0</v>
      </c>
      <c r="AO23" s="274">
        <v>0</v>
      </c>
      <c r="AP23" s="274">
        <v>0</v>
      </c>
      <c r="AQ23" s="274">
        <v>0</v>
      </c>
      <c r="AR23" s="274">
        <v>0</v>
      </c>
      <c r="AS23" s="274">
        <v>0</v>
      </c>
      <c r="AT23" s="274">
        <f t="shared" ref="AT23:AT59" si="37">SUM(AH23:AS23)</f>
        <v>0</v>
      </c>
      <c r="AU23" s="275">
        <f t="shared" si="10"/>
        <v>0</v>
      </c>
      <c r="AV23" t="b">
        <v>1</v>
      </c>
      <c r="AX23" s="273">
        <v>0</v>
      </c>
      <c r="AY23" s="274">
        <v>0</v>
      </c>
      <c r="AZ23" s="274">
        <v>0</v>
      </c>
      <c r="BA23" s="274">
        <v>0</v>
      </c>
      <c r="BB23" s="274">
        <v>0</v>
      </c>
      <c r="BC23" s="274">
        <v>0</v>
      </c>
      <c r="BD23" s="274">
        <v>0</v>
      </c>
      <c r="BE23" s="274">
        <v>0</v>
      </c>
      <c r="BF23" s="274">
        <v>0</v>
      </c>
      <c r="BG23" s="274">
        <v>0</v>
      </c>
      <c r="BH23" s="274">
        <v>0</v>
      </c>
      <c r="BI23" s="274"/>
      <c r="BJ23" s="274">
        <f t="shared" ref="BJ23:BJ40" si="38">SUM(AX23:BI23)</f>
        <v>0</v>
      </c>
      <c r="BK23" s="275">
        <f t="shared" ref="BK23:BK59" si="39">SUM(AX23:BI23)/$A$1</f>
        <v>0</v>
      </c>
      <c r="BL23" t="b">
        <v>1</v>
      </c>
      <c r="BN23" s="322">
        <f t="shared" si="3"/>
        <v>0</v>
      </c>
      <c r="BO23" s="322">
        <f>BK23-AU23</f>
        <v>0</v>
      </c>
      <c r="BP23" s="322">
        <f t="shared" si="4"/>
        <v>0</v>
      </c>
      <c r="BQ23" s="322">
        <f t="shared" si="16"/>
        <v>0</v>
      </c>
      <c r="BR23">
        <f t="shared" si="15"/>
        <v>0</v>
      </c>
      <c r="BS23">
        <f t="shared" si="14"/>
        <v>0</v>
      </c>
    </row>
    <row r="24" spans="1:71" x14ac:dyDescent="0.55000000000000004">
      <c r="A24" s="7222"/>
      <c r="B24" s="42"/>
      <c r="C24" s="35" t="s">
        <v>262</v>
      </c>
      <c r="D24" s="273">
        <v>1</v>
      </c>
      <c r="E24" s="274">
        <v>3</v>
      </c>
      <c r="F24" s="274">
        <v>1</v>
      </c>
      <c r="G24" s="274">
        <v>5</v>
      </c>
      <c r="H24" s="274">
        <v>1</v>
      </c>
      <c r="I24" s="274">
        <v>1</v>
      </c>
      <c r="J24" s="274">
        <v>6</v>
      </c>
      <c r="K24" s="274">
        <v>2</v>
      </c>
      <c r="L24" s="274">
        <v>1</v>
      </c>
      <c r="M24" s="274">
        <v>0</v>
      </c>
      <c r="N24" s="274">
        <v>0</v>
      </c>
      <c r="O24" s="274">
        <v>0</v>
      </c>
      <c r="P24" s="274">
        <f t="shared" si="5"/>
        <v>1.75</v>
      </c>
      <c r="Q24" s="275">
        <f t="shared" si="6"/>
        <v>1.75</v>
      </c>
      <c r="R24" s="370"/>
      <c r="S24" s="273">
        <v>4</v>
      </c>
      <c r="T24" s="274">
        <v>0</v>
      </c>
      <c r="U24" s="274">
        <v>0</v>
      </c>
      <c r="V24" s="274">
        <v>5</v>
      </c>
      <c r="W24" s="274">
        <v>1</v>
      </c>
      <c r="X24" s="274">
        <v>0</v>
      </c>
      <c r="Y24" s="274">
        <v>3</v>
      </c>
      <c r="Z24" s="274">
        <v>0</v>
      </c>
      <c r="AA24" s="274">
        <v>1</v>
      </c>
      <c r="AB24" s="274">
        <v>0</v>
      </c>
      <c r="AC24" s="274">
        <v>2</v>
      </c>
      <c r="AD24" s="274">
        <v>1</v>
      </c>
      <c r="AE24" s="274">
        <f t="shared" si="35"/>
        <v>17</v>
      </c>
      <c r="AF24" s="275">
        <f t="shared" si="36"/>
        <v>1.4166666666666667</v>
      </c>
      <c r="AG24" s="370"/>
      <c r="AH24" s="273">
        <v>3</v>
      </c>
      <c r="AI24" s="274">
        <v>0</v>
      </c>
      <c r="AJ24" s="274">
        <v>10</v>
      </c>
      <c r="AK24" s="274">
        <v>3</v>
      </c>
      <c r="AL24" s="274">
        <v>7</v>
      </c>
      <c r="AM24" s="274">
        <v>4</v>
      </c>
      <c r="AN24" s="274">
        <v>2</v>
      </c>
      <c r="AO24" s="274">
        <v>2</v>
      </c>
      <c r="AP24" s="274">
        <v>1</v>
      </c>
      <c r="AQ24" s="274">
        <v>1</v>
      </c>
      <c r="AR24" s="274">
        <v>2</v>
      </c>
      <c r="AS24" s="274">
        <v>4</v>
      </c>
      <c r="AT24" s="274">
        <f t="shared" si="37"/>
        <v>39</v>
      </c>
      <c r="AU24" s="275">
        <f t="shared" si="10"/>
        <v>3.25</v>
      </c>
      <c r="AV24" t="b">
        <v>1</v>
      </c>
      <c r="AX24" s="273">
        <v>0</v>
      </c>
      <c r="AY24" s="274">
        <v>0</v>
      </c>
      <c r="AZ24" s="274">
        <v>0</v>
      </c>
      <c r="BA24" s="274">
        <v>0</v>
      </c>
      <c r="BB24" s="274">
        <v>0</v>
      </c>
      <c r="BC24" s="274">
        <v>0</v>
      </c>
      <c r="BD24" s="274">
        <v>2</v>
      </c>
      <c r="BE24" s="274">
        <v>0</v>
      </c>
      <c r="BF24" s="274">
        <v>0</v>
      </c>
      <c r="BG24" s="274">
        <v>0</v>
      </c>
      <c r="BH24" s="274">
        <v>1</v>
      </c>
      <c r="BI24" s="274">
        <v>1</v>
      </c>
      <c r="BJ24" s="274">
        <f t="shared" si="38"/>
        <v>4</v>
      </c>
      <c r="BK24" s="275">
        <f t="shared" si="39"/>
        <v>0.33330555787017752</v>
      </c>
      <c r="BL24" t="b">
        <v>1</v>
      </c>
      <c r="BN24" s="322">
        <f t="shared" si="3"/>
        <v>-3</v>
      </c>
      <c r="BO24" s="322">
        <f t="shared" si="13"/>
        <v>-2.9166944421298227</v>
      </c>
      <c r="BP24" s="322">
        <f t="shared" si="4"/>
        <v>-35</v>
      </c>
      <c r="BQ24" s="322">
        <f t="shared" si="16"/>
        <v>0</v>
      </c>
      <c r="BR24">
        <f t="shared" si="15"/>
        <v>1</v>
      </c>
      <c r="BS24">
        <f t="shared" si="14"/>
        <v>1</v>
      </c>
    </row>
    <row r="25" spans="1:71" x14ac:dyDescent="0.55000000000000004">
      <c r="A25" s="7222"/>
      <c r="B25" s="42"/>
      <c r="C25" s="35" t="s">
        <v>261</v>
      </c>
      <c r="D25" s="273">
        <v>0</v>
      </c>
      <c r="E25" s="274">
        <v>0</v>
      </c>
      <c r="F25" s="274">
        <v>0</v>
      </c>
      <c r="G25" s="274">
        <v>0</v>
      </c>
      <c r="H25" s="274">
        <v>0</v>
      </c>
      <c r="I25" s="274">
        <v>0</v>
      </c>
      <c r="J25" s="274">
        <v>0</v>
      </c>
      <c r="K25" s="274">
        <v>0</v>
      </c>
      <c r="L25" s="274">
        <v>0</v>
      </c>
      <c r="M25" s="274">
        <v>0</v>
      </c>
      <c r="N25" s="274">
        <v>0</v>
      </c>
      <c r="O25" s="274">
        <v>0</v>
      </c>
      <c r="P25" s="274">
        <f t="shared" si="5"/>
        <v>0</v>
      </c>
      <c r="Q25" s="275">
        <f t="shared" si="6"/>
        <v>0</v>
      </c>
      <c r="R25" s="370"/>
      <c r="S25" s="273">
        <v>0</v>
      </c>
      <c r="T25" s="274">
        <v>0</v>
      </c>
      <c r="U25" s="274">
        <v>0</v>
      </c>
      <c r="V25" s="274">
        <v>0</v>
      </c>
      <c r="W25" s="274">
        <v>0</v>
      </c>
      <c r="X25" s="274">
        <v>0</v>
      </c>
      <c r="Y25" s="274">
        <v>0</v>
      </c>
      <c r="Z25" s="274">
        <v>0</v>
      </c>
      <c r="AA25" s="274">
        <v>0</v>
      </c>
      <c r="AB25" s="274">
        <v>0</v>
      </c>
      <c r="AC25" s="274">
        <v>0</v>
      </c>
      <c r="AD25" s="274">
        <v>0</v>
      </c>
      <c r="AE25" s="274">
        <f t="shared" si="35"/>
        <v>0</v>
      </c>
      <c r="AF25" s="275">
        <f t="shared" si="36"/>
        <v>0</v>
      </c>
      <c r="AG25" s="370"/>
      <c r="AH25" s="273">
        <v>0</v>
      </c>
      <c r="AI25" s="274">
        <v>0</v>
      </c>
      <c r="AJ25" s="274">
        <v>0</v>
      </c>
      <c r="AK25" s="274">
        <v>0</v>
      </c>
      <c r="AL25" s="274">
        <v>0</v>
      </c>
      <c r="AM25" s="274">
        <v>0</v>
      </c>
      <c r="AN25" s="274">
        <v>0</v>
      </c>
      <c r="AO25" s="274"/>
      <c r="AP25" s="274">
        <v>0</v>
      </c>
      <c r="AQ25" s="274">
        <v>0</v>
      </c>
      <c r="AR25" s="274">
        <v>0</v>
      </c>
      <c r="AS25" s="274">
        <v>0</v>
      </c>
      <c r="AT25" s="274">
        <f t="shared" si="37"/>
        <v>0</v>
      </c>
      <c r="AU25" s="275">
        <f t="shared" si="10"/>
        <v>0</v>
      </c>
      <c r="AV25" t="b">
        <v>1</v>
      </c>
      <c r="AX25" s="273">
        <v>0</v>
      </c>
      <c r="AY25" s="274">
        <v>0</v>
      </c>
      <c r="AZ25" s="274">
        <v>0</v>
      </c>
      <c r="BA25" s="274">
        <v>0</v>
      </c>
      <c r="BB25" s="274">
        <v>0</v>
      </c>
      <c r="BC25" s="274">
        <v>0</v>
      </c>
      <c r="BD25" s="274">
        <v>0</v>
      </c>
      <c r="BE25" s="274">
        <v>0</v>
      </c>
      <c r="BF25" s="274">
        <v>1</v>
      </c>
      <c r="BG25" s="274">
        <v>0</v>
      </c>
      <c r="BH25" s="274">
        <v>0</v>
      </c>
      <c r="BI25" s="274"/>
      <c r="BJ25" s="274">
        <f t="shared" si="38"/>
        <v>1</v>
      </c>
      <c r="BK25" s="275">
        <f t="shared" si="39"/>
        <v>8.3326389467544379E-2</v>
      </c>
      <c r="BL25" t="b">
        <v>1</v>
      </c>
      <c r="BN25" s="322">
        <f t="shared" si="3"/>
        <v>0</v>
      </c>
      <c r="BO25" s="322">
        <f t="shared" si="13"/>
        <v>8.3326389467544379E-2</v>
      </c>
      <c r="BP25" s="322">
        <f t="shared" si="4"/>
        <v>1</v>
      </c>
      <c r="BQ25" s="322">
        <f t="shared" si="16"/>
        <v>0</v>
      </c>
      <c r="BR25">
        <f t="shared" si="15"/>
        <v>0</v>
      </c>
      <c r="BS25">
        <f t="shared" si="14"/>
        <v>0</v>
      </c>
    </row>
    <row r="26" spans="1:71" x14ac:dyDescent="0.55000000000000004">
      <c r="A26" s="7222"/>
      <c r="B26" s="243" t="s">
        <v>222</v>
      </c>
      <c r="C26" s="107"/>
      <c r="D26" s="276">
        <f>D31+D32</f>
        <v>0</v>
      </c>
      <c r="E26" s="277">
        <f t="shared" ref="E26:O26" si="40">E31+E32</f>
        <v>1</v>
      </c>
      <c r="F26" s="277">
        <f t="shared" si="40"/>
        <v>0</v>
      </c>
      <c r="G26" s="277">
        <f t="shared" si="40"/>
        <v>2</v>
      </c>
      <c r="H26" s="277">
        <f t="shared" si="40"/>
        <v>0</v>
      </c>
      <c r="I26" s="277">
        <f t="shared" si="40"/>
        <v>0</v>
      </c>
      <c r="J26" s="277">
        <f t="shared" si="40"/>
        <v>3</v>
      </c>
      <c r="K26" s="277">
        <f t="shared" si="40"/>
        <v>1</v>
      </c>
      <c r="L26" s="277">
        <f t="shared" si="40"/>
        <v>0</v>
      </c>
      <c r="M26" s="277">
        <f t="shared" si="40"/>
        <v>0</v>
      </c>
      <c r="N26" s="277">
        <f t="shared" si="40"/>
        <v>0</v>
      </c>
      <c r="O26" s="277">
        <f t="shared" si="40"/>
        <v>0</v>
      </c>
      <c r="P26" s="277">
        <f t="shared" si="5"/>
        <v>0.58333333333333337</v>
      </c>
      <c r="Q26" s="278">
        <f t="shared" si="6"/>
        <v>0.58333333333333337</v>
      </c>
      <c r="R26" s="370"/>
      <c r="S26" s="276">
        <f>S31+S32</f>
        <v>2</v>
      </c>
      <c r="T26" s="277">
        <f t="shared" ref="T26:AD26" si="41">T31+T32</f>
        <v>0</v>
      </c>
      <c r="U26" s="277">
        <f t="shared" si="41"/>
        <v>0</v>
      </c>
      <c r="V26" s="277">
        <f t="shared" si="41"/>
        <v>2</v>
      </c>
      <c r="W26" s="277">
        <f t="shared" si="41"/>
        <v>0</v>
      </c>
      <c r="X26" s="277">
        <f t="shared" si="41"/>
        <v>0</v>
      </c>
      <c r="Y26" s="277">
        <f t="shared" si="41"/>
        <v>3</v>
      </c>
      <c r="Z26" s="277">
        <f t="shared" si="41"/>
        <v>0</v>
      </c>
      <c r="AA26" s="277">
        <f t="shared" si="41"/>
        <v>0</v>
      </c>
      <c r="AB26" s="277">
        <f t="shared" si="41"/>
        <v>0</v>
      </c>
      <c r="AC26" s="277">
        <f t="shared" si="41"/>
        <v>0</v>
      </c>
      <c r="AD26" s="277">
        <f t="shared" si="41"/>
        <v>0</v>
      </c>
      <c r="AE26" s="277">
        <f t="shared" si="35"/>
        <v>7</v>
      </c>
      <c r="AF26" s="278">
        <f t="shared" si="36"/>
        <v>0.58333333333333337</v>
      </c>
      <c r="AG26" s="370"/>
      <c r="AH26" s="276">
        <f t="shared" ref="AH26:AM26" si="42">AH31+AH32</f>
        <v>3</v>
      </c>
      <c r="AI26" s="277">
        <f t="shared" si="42"/>
        <v>0</v>
      </c>
      <c r="AJ26" s="277">
        <f t="shared" si="42"/>
        <v>7</v>
      </c>
      <c r="AK26" s="277">
        <f t="shared" si="42"/>
        <v>0</v>
      </c>
      <c r="AL26" s="277">
        <f t="shared" si="42"/>
        <v>4</v>
      </c>
      <c r="AM26" s="277">
        <f t="shared" si="42"/>
        <v>1</v>
      </c>
      <c r="AN26" s="277">
        <v>0</v>
      </c>
      <c r="AO26" s="277">
        <f>AO31+AO32</f>
        <v>0</v>
      </c>
      <c r="AP26" s="277">
        <f>AP31+AP32</f>
        <v>1</v>
      </c>
      <c r="AQ26" s="277">
        <f>AQ31+AQ32</f>
        <v>1</v>
      </c>
      <c r="AR26" s="277">
        <v>0</v>
      </c>
      <c r="AS26" s="277">
        <v>1</v>
      </c>
      <c r="AT26" s="277">
        <f t="shared" si="37"/>
        <v>18</v>
      </c>
      <c r="AU26" s="278">
        <f t="shared" si="10"/>
        <v>1.5</v>
      </c>
      <c r="AV26" t="b">
        <v>1</v>
      </c>
      <c r="AX26" s="276">
        <v>0</v>
      </c>
      <c r="AY26" s="277">
        <v>0</v>
      </c>
      <c r="AZ26" s="277">
        <v>0</v>
      </c>
      <c r="BA26" s="277">
        <v>0</v>
      </c>
      <c r="BB26" s="277">
        <v>0</v>
      </c>
      <c r="BC26" s="277">
        <v>0</v>
      </c>
      <c r="BD26" s="277">
        <v>0</v>
      </c>
      <c r="BE26" s="277">
        <v>0</v>
      </c>
      <c r="BF26" s="277">
        <v>1</v>
      </c>
      <c r="BG26" s="277">
        <v>0</v>
      </c>
      <c r="BH26" s="277">
        <v>0</v>
      </c>
      <c r="BI26" s="277">
        <v>1</v>
      </c>
      <c r="BJ26" s="277">
        <f t="shared" si="38"/>
        <v>2</v>
      </c>
      <c r="BK26" s="278">
        <f t="shared" si="39"/>
        <v>0.16665277893508876</v>
      </c>
      <c r="BL26" t="b">
        <v>1</v>
      </c>
      <c r="BN26" s="322">
        <f t="shared" si="3"/>
        <v>0</v>
      </c>
      <c r="BO26" s="322">
        <f t="shared" si="13"/>
        <v>-1.3333472210649113</v>
      </c>
      <c r="BP26" s="322">
        <f t="shared" si="4"/>
        <v>-16</v>
      </c>
      <c r="BQ26" s="322">
        <f t="shared" si="16"/>
        <v>1</v>
      </c>
      <c r="BR26">
        <f t="shared" si="15"/>
        <v>0</v>
      </c>
      <c r="BS26">
        <f t="shared" si="14"/>
        <v>1</v>
      </c>
    </row>
    <row r="27" spans="1:71" x14ac:dyDescent="0.55000000000000004">
      <c r="A27" s="7222"/>
      <c r="B27" s="235" t="s">
        <v>223</v>
      </c>
      <c r="C27" s="14"/>
      <c r="D27" s="279">
        <f>D33+D34</f>
        <v>1</v>
      </c>
      <c r="E27" s="280">
        <f t="shared" ref="E27:O27" si="43">E33+E34</f>
        <v>0</v>
      </c>
      <c r="F27" s="280">
        <f t="shared" si="43"/>
        <v>0</v>
      </c>
      <c r="G27" s="280">
        <f t="shared" si="43"/>
        <v>0</v>
      </c>
      <c r="H27" s="280">
        <f t="shared" si="43"/>
        <v>0</v>
      </c>
      <c r="I27" s="280">
        <f t="shared" si="43"/>
        <v>0</v>
      </c>
      <c r="J27" s="280">
        <f t="shared" si="43"/>
        <v>0</v>
      </c>
      <c r="K27" s="280">
        <f t="shared" si="43"/>
        <v>1</v>
      </c>
      <c r="L27" s="280">
        <f t="shared" si="43"/>
        <v>0</v>
      </c>
      <c r="M27" s="280">
        <f t="shared" si="43"/>
        <v>0</v>
      </c>
      <c r="N27" s="280">
        <f t="shared" si="43"/>
        <v>0</v>
      </c>
      <c r="O27" s="280">
        <f t="shared" si="43"/>
        <v>0</v>
      </c>
      <c r="P27" s="280">
        <f t="shared" si="5"/>
        <v>0.16666666666666666</v>
      </c>
      <c r="Q27" s="281">
        <f t="shared" si="6"/>
        <v>0.16666666666666666</v>
      </c>
      <c r="R27" s="370"/>
      <c r="S27" s="279">
        <f>S33+S34</f>
        <v>0</v>
      </c>
      <c r="T27" s="280">
        <f t="shared" ref="T27:AD27" si="44">T33+T34</f>
        <v>0</v>
      </c>
      <c r="U27" s="280">
        <f t="shared" si="44"/>
        <v>0</v>
      </c>
      <c r="V27" s="280">
        <f t="shared" si="44"/>
        <v>1</v>
      </c>
      <c r="W27" s="280">
        <f t="shared" si="44"/>
        <v>0</v>
      </c>
      <c r="X27" s="280">
        <f t="shared" si="44"/>
        <v>0</v>
      </c>
      <c r="Y27" s="280">
        <f t="shared" si="44"/>
        <v>0</v>
      </c>
      <c r="Z27" s="280">
        <f t="shared" si="44"/>
        <v>0</v>
      </c>
      <c r="AA27" s="280">
        <f t="shared" si="44"/>
        <v>0</v>
      </c>
      <c r="AB27" s="280">
        <f t="shared" si="44"/>
        <v>0</v>
      </c>
      <c r="AC27" s="280">
        <f t="shared" si="44"/>
        <v>0</v>
      </c>
      <c r="AD27" s="280">
        <f t="shared" si="44"/>
        <v>1</v>
      </c>
      <c r="AE27" s="280">
        <f t="shared" si="35"/>
        <v>2</v>
      </c>
      <c r="AF27" s="281">
        <f t="shared" si="36"/>
        <v>0.16666666666666666</v>
      </c>
      <c r="AG27" s="370"/>
      <c r="AH27" s="279">
        <f t="shared" ref="AH27:AM27" si="45">AH33+AH34</f>
        <v>0</v>
      </c>
      <c r="AI27" s="280">
        <f t="shared" si="45"/>
        <v>0</v>
      </c>
      <c r="AJ27" s="280">
        <f t="shared" si="45"/>
        <v>1</v>
      </c>
      <c r="AK27" s="280">
        <f t="shared" si="45"/>
        <v>1</v>
      </c>
      <c r="AL27" s="280">
        <f t="shared" si="45"/>
        <v>0</v>
      </c>
      <c r="AM27" s="280">
        <f t="shared" si="45"/>
        <v>2</v>
      </c>
      <c r="AN27" s="280">
        <v>0</v>
      </c>
      <c r="AO27" s="280">
        <f>AO33+AO34</f>
        <v>0</v>
      </c>
      <c r="AP27" s="280">
        <f>AP33+AP34</f>
        <v>0</v>
      </c>
      <c r="AQ27" s="280">
        <f>AQ33+AQ34</f>
        <v>0</v>
      </c>
      <c r="AR27" s="280">
        <v>1</v>
      </c>
      <c r="AS27" s="280">
        <v>1</v>
      </c>
      <c r="AT27" s="280">
        <f t="shared" si="37"/>
        <v>6</v>
      </c>
      <c r="AU27" s="281">
        <f t="shared" si="10"/>
        <v>0.5</v>
      </c>
      <c r="AV27" t="b">
        <v>1</v>
      </c>
      <c r="AX27" s="279">
        <v>0</v>
      </c>
      <c r="AY27" s="280">
        <v>0</v>
      </c>
      <c r="AZ27" s="280">
        <v>0</v>
      </c>
      <c r="BA27" s="280">
        <v>0</v>
      </c>
      <c r="BB27" s="280">
        <v>0</v>
      </c>
      <c r="BC27" s="280">
        <v>0</v>
      </c>
      <c r="BD27" s="280">
        <v>0</v>
      </c>
      <c r="BE27" s="280">
        <v>0</v>
      </c>
      <c r="BF27" s="280">
        <v>0</v>
      </c>
      <c r="BG27" s="280">
        <v>0</v>
      </c>
      <c r="BH27" s="280">
        <v>0</v>
      </c>
      <c r="BI27" s="280">
        <v>0</v>
      </c>
      <c r="BJ27" s="280">
        <f t="shared" si="38"/>
        <v>0</v>
      </c>
      <c r="BK27" s="281">
        <f t="shared" si="39"/>
        <v>0</v>
      </c>
      <c r="BL27" t="b">
        <v>1</v>
      </c>
      <c r="BN27" s="322">
        <f t="shared" si="3"/>
        <v>-1</v>
      </c>
      <c r="BO27" s="322">
        <f t="shared" si="13"/>
        <v>-0.5</v>
      </c>
      <c r="BP27" s="322">
        <f t="shared" si="4"/>
        <v>-6</v>
      </c>
      <c r="BQ27" s="322">
        <f t="shared" si="16"/>
        <v>0</v>
      </c>
      <c r="BR27">
        <f t="shared" si="15"/>
        <v>0</v>
      </c>
      <c r="BS27">
        <f t="shared" si="14"/>
        <v>0</v>
      </c>
    </row>
    <row r="28" spans="1:71" x14ac:dyDescent="0.55000000000000004">
      <c r="A28" s="7222"/>
      <c r="B28" s="235" t="s">
        <v>224</v>
      </c>
      <c r="C28" s="14"/>
      <c r="D28" s="279">
        <f>D35+D36</f>
        <v>0</v>
      </c>
      <c r="E28" s="280">
        <f t="shared" ref="E28:O28" si="46">E35+E36</f>
        <v>0</v>
      </c>
      <c r="F28" s="280">
        <f t="shared" si="46"/>
        <v>0</v>
      </c>
      <c r="G28" s="280">
        <f t="shared" si="46"/>
        <v>0</v>
      </c>
      <c r="H28" s="280">
        <f t="shared" si="46"/>
        <v>0</v>
      </c>
      <c r="I28" s="280">
        <f t="shared" si="46"/>
        <v>0</v>
      </c>
      <c r="J28" s="280">
        <f t="shared" si="46"/>
        <v>1</v>
      </c>
      <c r="K28" s="280">
        <f t="shared" si="46"/>
        <v>0</v>
      </c>
      <c r="L28" s="280">
        <f t="shared" si="46"/>
        <v>0</v>
      </c>
      <c r="M28" s="280">
        <f t="shared" si="46"/>
        <v>0</v>
      </c>
      <c r="N28" s="280">
        <f t="shared" si="46"/>
        <v>0</v>
      </c>
      <c r="O28" s="280">
        <f t="shared" si="46"/>
        <v>0</v>
      </c>
      <c r="P28" s="280">
        <f t="shared" si="5"/>
        <v>8.3333333333333329E-2</v>
      </c>
      <c r="Q28" s="281">
        <f t="shared" si="6"/>
        <v>8.3333333333333329E-2</v>
      </c>
      <c r="R28" s="370"/>
      <c r="S28" s="279">
        <f>S35+S36</f>
        <v>0</v>
      </c>
      <c r="T28" s="280">
        <f t="shared" ref="T28:AD28" si="47">T35+T36</f>
        <v>0</v>
      </c>
      <c r="U28" s="280">
        <f t="shared" si="47"/>
        <v>0</v>
      </c>
      <c r="V28" s="280">
        <f t="shared" si="47"/>
        <v>1</v>
      </c>
      <c r="W28" s="280">
        <f t="shared" si="47"/>
        <v>1</v>
      </c>
      <c r="X28" s="280">
        <f t="shared" si="47"/>
        <v>0</v>
      </c>
      <c r="Y28" s="280">
        <f t="shared" si="47"/>
        <v>0</v>
      </c>
      <c r="Z28" s="280">
        <f t="shared" si="47"/>
        <v>0</v>
      </c>
      <c r="AA28" s="280">
        <f t="shared" si="47"/>
        <v>0</v>
      </c>
      <c r="AB28" s="280">
        <f t="shared" si="47"/>
        <v>0</v>
      </c>
      <c r="AC28" s="280">
        <f t="shared" si="47"/>
        <v>0</v>
      </c>
      <c r="AD28" s="280">
        <f t="shared" si="47"/>
        <v>0</v>
      </c>
      <c r="AE28" s="280">
        <f t="shared" si="35"/>
        <v>2</v>
      </c>
      <c r="AF28" s="281">
        <f t="shared" si="36"/>
        <v>0.16666666666666666</v>
      </c>
      <c r="AG28" s="370"/>
      <c r="AH28" s="279">
        <f t="shared" ref="AH28:AM28" si="48">AH35+AH36</f>
        <v>0</v>
      </c>
      <c r="AI28" s="280">
        <f t="shared" si="48"/>
        <v>0</v>
      </c>
      <c r="AJ28" s="280">
        <f t="shared" si="48"/>
        <v>1</v>
      </c>
      <c r="AK28" s="280">
        <f t="shared" si="48"/>
        <v>0</v>
      </c>
      <c r="AL28" s="280">
        <f t="shared" si="48"/>
        <v>2</v>
      </c>
      <c r="AM28" s="280">
        <f t="shared" si="48"/>
        <v>0</v>
      </c>
      <c r="AN28" s="280">
        <v>2</v>
      </c>
      <c r="AO28" s="280">
        <f>AO35+AO36</f>
        <v>0</v>
      </c>
      <c r="AP28" s="280">
        <f>AP35+AP36</f>
        <v>0</v>
      </c>
      <c r="AQ28" s="280">
        <f>AQ35+AQ36</f>
        <v>0</v>
      </c>
      <c r="AR28" s="280">
        <v>0</v>
      </c>
      <c r="AS28" s="280">
        <v>1</v>
      </c>
      <c r="AT28" s="280">
        <f t="shared" si="37"/>
        <v>6</v>
      </c>
      <c r="AU28" s="281">
        <f t="shared" si="10"/>
        <v>0.5</v>
      </c>
      <c r="AV28" t="b">
        <v>1</v>
      </c>
      <c r="AX28" s="279">
        <v>0</v>
      </c>
      <c r="AY28" s="280">
        <v>0</v>
      </c>
      <c r="AZ28" s="280">
        <v>0</v>
      </c>
      <c r="BA28" s="280">
        <v>0</v>
      </c>
      <c r="BB28" s="280">
        <v>0</v>
      </c>
      <c r="BC28" s="280">
        <v>0</v>
      </c>
      <c r="BD28" s="280">
        <v>2</v>
      </c>
      <c r="BE28" s="280">
        <v>0</v>
      </c>
      <c r="BF28" s="280">
        <v>0</v>
      </c>
      <c r="BG28" s="280">
        <v>0</v>
      </c>
      <c r="BH28" s="280">
        <v>0</v>
      </c>
      <c r="BI28" s="280">
        <v>0</v>
      </c>
      <c r="BJ28" s="280">
        <f t="shared" si="38"/>
        <v>2</v>
      </c>
      <c r="BK28" s="281">
        <f t="shared" si="39"/>
        <v>0.16665277893508876</v>
      </c>
      <c r="BL28" t="b">
        <v>1</v>
      </c>
      <c r="BN28" s="322">
        <f t="shared" si="3"/>
        <v>-1</v>
      </c>
      <c r="BO28" s="322">
        <f t="shared" si="13"/>
        <v>-0.33334722106491121</v>
      </c>
      <c r="BP28" s="322">
        <f t="shared" si="4"/>
        <v>-4</v>
      </c>
      <c r="BQ28" s="322">
        <f t="shared" si="16"/>
        <v>0</v>
      </c>
      <c r="BR28">
        <f t="shared" si="15"/>
        <v>0</v>
      </c>
      <c r="BS28">
        <f t="shared" si="14"/>
        <v>0</v>
      </c>
    </row>
    <row r="29" spans="1:71" x14ac:dyDescent="0.55000000000000004">
      <c r="A29" s="7222"/>
      <c r="B29" s="235" t="s">
        <v>225</v>
      </c>
      <c r="C29" s="14"/>
      <c r="D29" s="279">
        <f>D37+D38</f>
        <v>0</v>
      </c>
      <c r="E29" s="280">
        <f t="shared" ref="E29:O29" si="49">E37+E38</f>
        <v>2</v>
      </c>
      <c r="F29" s="280">
        <f t="shared" si="49"/>
        <v>1</v>
      </c>
      <c r="G29" s="280">
        <f t="shared" si="49"/>
        <v>2</v>
      </c>
      <c r="H29" s="280">
        <f t="shared" si="49"/>
        <v>1</v>
      </c>
      <c r="I29" s="280">
        <f t="shared" si="49"/>
        <v>1</v>
      </c>
      <c r="J29" s="280">
        <f t="shared" si="49"/>
        <v>1</v>
      </c>
      <c r="K29" s="280">
        <f t="shared" si="49"/>
        <v>0</v>
      </c>
      <c r="L29" s="280">
        <f t="shared" si="49"/>
        <v>1</v>
      </c>
      <c r="M29" s="280">
        <f t="shared" si="49"/>
        <v>0</v>
      </c>
      <c r="N29" s="280">
        <f t="shared" si="49"/>
        <v>0</v>
      </c>
      <c r="O29" s="280">
        <f t="shared" si="49"/>
        <v>0</v>
      </c>
      <c r="P29" s="280">
        <f t="shared" si="5"/>
        <v>0.75</v>
      </c>
      <c r="Q29" s="281">
        <f t="shared" si="6"/>
        <v>0.75</v>
      </c>
      <c r="R29" s="370"/>
      <c r="S29" s="279">
        <f>S37+S38</f>
        <v>1</v>
      </c>
      <c r="T29" s="280">
        <f t="shared" ref="T29:AD29" si="50">T37+T38</f>
        <v>0</v>
      </c>
      <c r="U29" s="280">
        <f t="shared" si="50"/>
        <v>0</v>
      </c>
      <c r="V29" s="280">
        <f t="shared" si="50"/>
        <v>1</v>
      </c>
      <c r="W29" s="280">
        <f t="shared" si="50"/>
        <v>0</v>
      </c>
      <c r="X29" s="280">
        <f t="shared" si="50"/>
        <v>0</v>
      </c>
      <c r="Y29" s="280">
        <f t="shared" si="50"/>
        <v>0</v>
      </c>
      <c r="Z29" s="280">
        <f t="shared" si="50"/>
        <v>0</v>
      </c>
      <c r="AA29" s="280">
        <f t="shared" si="50"/>
        <v>1</v>
      </c>
      <c r="AB29" s="280">
        <f t="shared" si="50"/>
        <v>0</v>
      </c>
      <c r="AC29" s="280">
        <f t="shared" si="50"/>
        <v>1</v>
      </c>
      <c r="AD29" s="280">
        <f t="shared" si="50"/>
        <v>0</v>
      </c>
      <c r="AE29" s="280">
        <f t="shared" si="35"/>
        <v>4</v>
      </c>
      <c r="AF29" s="281">
        <f t="shared" si="36"/>
        <v>0.33333333333333331</v>
      </c>
      <c r="AG29" s="370"/>
      <c r="AH29" s="279">
        <f t="shared" ref="AH29:AM29" si="51">AH37+AH38</f>
        <v>0</v>
      </c>
      <c r="AI29" s="280">
        <f t="shared" si="51"/>
        <v>0</v>
      </c>
      <c r="AJ29" s="280">
        <f t="shared" si="51"/>
        <v>1</v>
      </c>
      <c r="AK29" s="280">
        <f t="shared" si="51"/>
        <v>0</v>
      </c>
      <c r="AL29" s="280">
        <f t="shared" si="51"/>
        <v>1</v>
      </c>
      <c r="AM29" s="280">
        <f t="shared" si="51"/>
        <v>0</v>
      </c>
      <c r="AN29" s="280">
        <v>0</v>
      </c>
      <c r="AO29" s="280">
        <f>AO37+AO38</f>
        <v>1</v>
      </c>
      <c r="AP29" s="280">
        <f>AP37+AP38</f>
        <v>0</v>
      </c>
      <c r="AQ29" s="280">
        <f>AQ37+AQ38</f>
        <v>0</v>
      </c>
      <c r="AR29" s="280">
        <v>0</v>
      </c>
      <c r="AS29" s="280">
        <v>1</v>
      </c>
      <c r="AT29" s="280">
        <f t="shared" si="37"/>
        <v>4</v>
      </c>
      <c r="AU29" s="281">
        <f t="shared" si="10"/>
        <v>0.33333333333333331</v>
      </c>
      <c r="AV29" t="b">
        <v>1</v>
      </c>
      <c r="AX29" s="279">
        <v>0</v>
      </c>
      <c r="AY29" s="280">
        <v>0</v>
      </c>
      <c r="AZ29" s="280">
        <v>0</v>
      </c>
      <c r="BA29" s="280">
        <v>0</v>
      </c>
      <c r="BB29" s="280">
        <v>0</v>
      </c>
      <c r="BC29" s="280">
        <v>0</v>
      </c>
      <c r="BD29" s="280">
        <v>0</v>
      </c>
      <c r="BE29" s="280">
        <v>0</v>
      </c>
      <c r="BF29" s="280">
        <v>0</v>
      </c>
      <c r="BG29" s="280">
        <v>0</v>
      </c>
      <c r="BH29" s="280">
        <v>0</v>
      </c>
      <c r="BI29" s="280">
        <v>0</v>
      </c>
      <c r="BJ29" s="280">
        <f t="shared" si="38"/>
        <v>0</v>
      </c>
      <c r="BK29" s="281">
        <f t="shared" si="39"/>
        <v>0</v>
      </c>
      <c r="BL29" t="b">
        <v>1</v>
      </c>
      <c r="BN29" s="322">
        <f t="shared" si="3"/>
        <v>-1</v>
      </c>
      <c r="BO29" s="322">
        <f t="shared" si="13"/>
        <v>-0.33333333333333331</v>
      </c>
      <c r="BP29" s="322">
        <f t="shared" si="4"/>
        <v>-4</v>
      </c>
      <c r="BQ29" s="322">
        <f t="shared" si="16"/>
        <v>0</v>
      </c>
      <c r="BR29">
        <f t="shared" si="15"/>
        <v>0</v>
      </c>
      <c r="BS29">
        <f t="shared" si="14"/>
        <v>0</v>
      </c>
    </row>
    <row r="30" spans="1:71" x14ac:dyDescent="0.55000000000000004">
      <c r="A30" s="7222"/>
      <c r="B30" s="236" t="s">
        <v>226</v>
      </c>
      <c r="C30" s="29"/>
      <c r="D30" s="282">
        <f>D39+D40</f>
        <v>0</v>
      </c>
      <c r="E30" s="283">
        <f t="shared" ref="E30:O30" si="52">E39+E40</f>
        <v>0</v>
      </c>
      <c r="F30" s="283">
        <f t="shared" si="52"/>
        <v>0</v>
      </c>
      <c r="G30" s="283">
        <f t="shared" si="52"/>
        <v>1</v>
      </c>
      <c r="H30" s="283">
        <f t="shared" si="52"/>
        <v>0</v>
      </c>
      <c r="I30" s="283">
        <f t="shared" si="52"/>
        <v>0</v>
      </c>
      <c r="J30" s="283">
        <f t="shared" si="52"/>
        <v>1</v>
      </c>
      <c r="K30" s="283">
        <f t="shared" si="52"/>
        <v>0</v>
      </c>
      <c r="L30" s="283">
        <f t="shared" si="52"/>
        <v>0</v>
      </c>
      <c r="M30" s="283">
        <f t="shared" si="52"/>
        <v>0</v>
      </c>
      <c r="N30" s="283">
        <f t="shared" si="52"/>
        <v>0</v>
      </c>
      <c r="O30" s="283">
        <f t="shared" si="52"/>
        <v>0</v>
      </c>
      <c r="P30" s="283">
        <f t="shared" si="5"/>
        <v>0.16666666666666666</v>
      </c>
      <c r="Q30" s="284">
        <f t="shared" si="6"/>
        <v>0.16666666666666666</v>
      </c>
      <c r="R30" s="370"/>
      <c r="S30" s="282">
        <f>S39+S40</f>
        <v>1</v>
      </c>
      <c r="T30" s="283">
        <f t="shared" ref="T30:AD30" si="53">T39+T40</f>
        <v>0</v>
      </c>
      <c r="U30" s="283">
        <f t="shared" si="53"/>
        <v>0</v>
      </c>
      <c r="V30" s="283">
        <f t="shared" si="53"/>
        <v>0</v>
      </c>
      <c r="W30" s="283">
        <f t="shared" si="53"/>
        <v>0</v>
      </c>
      <c r="X30" s="283">
        <f t="shared" si="53"/>
        <v>0</v>
      </c>
      <c r="Y30" s="283">
        <f t="shared" si="53"/>
        <v>0</v>
      </c>
      <c r="Z30" s="283">
        <f t="shared" si="53"/>
        <v>0</v>
      </c>
      <c r="AA30" s="283">
        <f t="shared" si="53"/>
        <v>0</v>
      </c>
      <c r="AB30" s="283">
        <f t="shared" si="53"/>
        <v>0</v>
      </c>
      <c r="AC30" s="283">
        <f t="shared" si="53"/>
        <v>1</v>
      </c>
      <c r="AD30" s="283">
        <f t="shared" si="53"/>
        <v>0</v>
      </c>
      <c r="AE30" s="283">
        <f t="shared" si="35"/>
        <v>2</v>
      </c>
      <c r="AF30" s="284">
        <f t="shared" si="36"/>
        <v>0.16666666666666666</v>
      </c>
      <c r="AG30" s="370"/>
      <c r="AH30" s="282">
        <f t="shared" ref="AH30:AM30" si="54">AH39+AH40</f>
        <v>0</v>
      </c>
      <c r="AI30" s="283">
        <f t="shared" si="54"/>
        <v>0</v>
      </c>
      <c r="AJ30" s="283">
        <f t="shared" si="54"/>
        <v>0</v>
      </c>
      <c r="AK30" s="283">
        <f t="shared" si="54"/>
        <v>2</v>
      </c>
      <c r="AL30" s="283">
        <f t="shared" si="54"/>
        <v>0</v>
      </c>
      <c r="AM30" s="283">
        <f t="shared" si="54"/>
        <v>1</v>
      </c>
      <c r="AN30" s="283">
        <v>0</v>
      </c>
      <c r="AO30" s="283">
        <f>AO39+AO40</f>
        <v>1</v>
      </c>
      <c r="AP30" s="283">
        <f>AP39+AP40</f>
        <v>0</v>
      </c>
      <c r="AQ30" s="283">
        <f>AQ39+AQ40</f>
        <v>0</v>
      </c>
      <c r="AR30" s="283">
        <v>1</v>
      </c>
      <c r="AS30" s="283">
        <v>0</v>
      </c>
      <c r="AT30" s="283">
        <f t="shared" si="37"/>
        <v>5</v>
      </c>
      <c r="AU30" s="284">
        <f t="shared" si="10"/>
        <v>0.41666666666666669</v>
      </c>
      <c r="AV30" t="b">
        <v>1</v>
      </c>
      <c r="AX30" s="282">
        <v>0</v>
      </c>
      <c r="AY30" s="283">
        <v>0</v>
      </c>
      <c r="AZ30" s="283">
        <v>0</v>
      </c>
      <c r="BA30" s="283">
        <v>0</v>
      </c>
      <c r="BB30" s="283">
        <v>0</v>
      </c>
      <c r="BC30" s="283">
        <v>0</v>
      </c>
      <c r="BD30" s="283">
        <v>0</v>
      </c>
      <c r="BE30" s="283">
        <v>0</v>
      </c>
      <c r="BF30" s="283">
        <v>0</v>
      </c>
      <c r="BG30" s="283">
        <v>0</v>
      </c>
      <c r="BH30" s="283">
        <v>1</v>
      </c>
      <c r="BI30" s="283">
        <v>0</v>
      </c>
      <c r="BJ30" s="283">
        <f t="shared" si="38"/>
        <v>1</v>
      </c>
      <c r="BK30" s="284">
        <f t="shared" si="39"/>
        <v>8.3326389467544379E-2</v>
      </c>
      <c r="BL30" t="b">
        <v>1</v>
      </c>
      <c r="BN30" s="322">
        <f t="shared" si="3"/>
        <v>0</v>
      </c>
      <c r="BO30" s="322">
        <f t="shared" si="13"/>
        <v>-0.33334027719912229</v>
      </c>
      <c r="BP30" s="322">
        <f t="shared" si="4"/>
        <v>-4</v>
      </c>
      <c r="BQ30" s="322">
        <f t="shared" si="16"/>
        <v>-1</v>
      </c>
      <c r="BR30">
        <f t="shared" si="15"/>
        <v>1</v>
      </c>
      <c r="BS30">
        <f t="shared" si="14"/>
        <v>0</v>
      </c>
    </row>
    <row r="31" spans="1:71" x14ac:dyDescent="0.55000000000000004">
      <c r="A31" s="7222"/>
      <c r="B31" s="244"/>
      <c r="C31" s="176" t="s">
        <v>227</v>
      </c>
      <c r="D31" s="332">
        <v>0</v>
      </c>
      <c r="E31" s="333">
        <v>0</v>
      </c>
      <c r="F31" s="333">
        <v>0</v>
      </c>
      <c r="G31" s="333">
        <v>2</v>
      </c>
      <c r="H31" s="333">
        <v>0</v>
      </c>
      <c r="I31" s="333">
        <v>0</v>
      </c>
      <c r="J31" s="333">
        <v>1</v>
      </c>
      <c r="K31" s="333">
        <v>1</v>
      </c>
      <c r="L31" s="333">
        <v>0</v>
      </c>
      <c r="M31" s="333">
        <v>0</v>
      </c>
      <c r="N31" s="333">
        <v>0</v>
      </c>
      <c r="O31" s="333">
        <v>0</v>
      </c>
      <c r="P31" s="333">
        <f t="shared" si="5"/>
        <v>0.33333333333333331</v>
      </c>
      <c r="Q31" s="334">
        <f t="shared" si="6"/>
        <v>0.33333333333333331</v>
      </c>
      <c r="R31" s="370">
        <v>0</v>
      </c>
      <c r="S31" s="332">
        <v>1</v>
      </c>
      <c r="T31" s="333">
        <v>0</v>
      </c>
      <c r="U31" s="333">
        <v>0</v>
      </c>
      <c r="V31" s="333">
        <v>2</v>
      </c>
      <c r="W31" s="333">
        <v>0</v>
      </c>
      <c r="X31" s="333">
        <v>0</v>
      </c>
      <c r="Y31" s="333">
        <v>2</v>
      </c>
      <c r="Z31" s="333">
        <v>0</v>
      </c>
      <c r="AA31" s="333">
        <v>0</v>
      </c>
      <c r="AB31" s="333">
        <v>0</v>
      </c>
      <c r="AC31" s="333">
        <v>0</v>
      </c>
      <c r="AD31" s="333">
        <v>0</v>
      </c>
      <c r="AE31" s="333">
        <f t="shared" si="35"/>
        <v>5</v>
      </c>
      <c r="AF31" s="334">
        <f t="shared" si="36"/>
        <v>0.41666666666666669</v>
      </c>
      <c r="AG31" s="370"/>
      <c r="AH31" s="332">
        <v>2</v>
      </c>
      <c r="AI31" s="333"/>
      <c r="AJ31" s="333">
        <v>3</v>
      </c>
      <c r="AK31" s="333"/>
      <c r="AL31" s="333">
        <v>2</v>
      </c>
      <c r="AM31" s="333">
        <v>1</v>
      </c>
      <c r="AN31" s="333">
        <v>0</v>
      </c>
      <c r="AO31" s="333"/>
      <c r="AP31" s="333">
        <v>1</v>
      </c>
      <c r="AQ31" s="333">
        <v>0</v>
      </c>
      <c r="AR31" s="333"/>
      <c r="AS31" s="333"/>
      <c r="AT31" s="333">
        <f t="shared" si="37"/>
        <v>9</v>
      </c>
      <c r="AU31" s="334">
        <f t="shared" si="10"/>
        <v>0.75</v>
      </c>
      <c r="AV31" t="b">
        <v>1</v>
      </c>
      <c r="AX31" s="332">
        <v>0</v>
      </c>
      <c r="AY31" s="333">
        <v>0</v>
      </c>
      <c r="AZ31" s="333">
        <v>0</v>
      </c>
      <c r="BA31" s="333">
        <v>0</v>
      </c>
      <c r="BB31" s="333">
        <v>0</v>
      </c>
      <c r="BC31" s="333">
        <v>0</v>
      </c>
      <c r="BD31" s="333">
        <v>0</v>
      </c>
      <c r="BE31" s="333">
        <v>0</v>
      </c>
      <c r="BF31" s="333">
        <v>1</v>
      </c>
      <c r="BG31" s="333">
        <v>0</v>
      </c>
      <c r="BH31" s="333">
        <v>0</v>
      </c>
      <c r="BI31" s="333">
        <v>0</v>
      </c>
      <c r="BJ31" s="333">
        <f t="shared" si="38"/>
        <v>1</v>
      </c>
      <c r="BK31" s="334">
        <f t="shared" si="39"/>
        <v>8.3326389467544379E-2</v>
      </c>
      <c r="BL31" t="b">
        <v>1</v>
      </c>
      <c r="BN31" s="322">
        <f t="shared" si="3"/>
        <v>0</v>
      </c>
      <c r="BO31" s="322">
        <f t="shared" si="13"/>
        <v>-0.66667361053245566</v>
      </c>
      <c r="BP31" s="322">
        <f t="shared" si="4"/>
        <v>-8</v>
      </c>
      <c r="BQ31" s="322">
        <f t="shared" si="16"/>
        <v>0</v>
      </c>
      <c r="BR31">
        <f t="shared" si="15"/>
        <v>0</v>
      </c>
      <c r="BS31">
        <f t="shared" si="14"/>
        <v>0</v>
      </c>
    </row>
    <row r="32" spans="1:71" x14ac:dyDescent="0.55000000000000004">
      <c r="A32" s="7222"/>
      <c r="B32" s="245"/>
      <c r="C32" s="177" t="s">
        <v>228</v>
      </c>
      <c r="D32" s="300">
        <v>0</v>
      </c>
      <c r="E32" s="301">
        <v>1</v>
      </c>
      <c r="F32" s="301">
        <v>0</v>
      </c>
      <c r="G32" s="301">
        <v>0</v>
      </c>
      <c r="H32" s="301">
        <v>0</v>
      </c>
      <c r="I32" s="301">
        <v>0</v>
      </c>
      <c r="J32" s="301">
        <v>2</v>
      </c>
      <c r="K32" s="301">
        <v>0</v>
      </c>
      <c r="L32" s="301">
        <v>0</v>
      </c>
      <c r="M32" s="301">
        <v>0</v>
      </c>
      <c r="N32" s="301">
        <v>0</v>
      </c>
      <c r="O32" s="301">
        <v>0</v>
      </c>
      <c r="P32" s="301">
        <f t="shared" si="5"/>
        <v>0.25</v>
      </c>
      <c r="Q32" s="302">
        <f t="shared" si="6"/>
        <v>0.25</v>
      </c>
      <c r="R32" s="370">
        <v>0</v>
      </c>
      <c r="S32" s="300">
        <v>1</v>
      </c>
      <c r="T32" s="301">
        <v>0</v>
      </c>
      <c r="U32" s="301">
        <v>0</v>
      </c>
      <c r="V32" s="301">
        <v>0</v>
      </c>
      <c r="W32" s="301">
        <v>0</v>
      </c>
      <c r="X32" s="301">
        <v>0</v>
      </c>
      <c r="Y32" s="301">
        <v>1</v>
      </c>
      <c r="Z32" s="301">
        <v>0</v>
      </c>
      <c r="AA32" s="301">
        <v>0</v>
      </c>
      <c r="AB32" s="301">
        <v>0</v>
      </c>
      <c r="AC32" s="301">
        <v>0</v>
      </c>
      <c r="AD32" s="301">
        <v>0</v>
      </c>
      <c r="AE32" s="301">
        <f t="shared" si="35"/>
        <v>2</v>
      </c>
      <c r="AF32" s="302">
        <f t="shared" si="36"/>
        <v>0.16666666666666666</v>
      </c>
      <c r="AG32" s="370"/>
      <c r="AH32" s="300">
        <v>1</v>
      </c>
      <c r="AI32" s="301"/>
      <c r="AJ32" s="301">
        <v>4</v>
      </c>
      <c r="AK32" s="301"/>
      <c r="AL32" s="301">
        <v>2</v>
      </c>
      <c r="AM32" s="301">
        <v>0</v>
      </c>
      <c r="AN32" s="301">
        <v>0</v>
      </c>
      <c r="AO32" s="301"/>
      <c r="AP32" s="301"/>
      <c r="AQ32" s="301">
        <v>1</v>
      </c>
      <c r="AR32" s="301"/>
      <c r="AS32" s="301">
        <v>1</v>
      </c>
      <c r="AT32" s="301">
        <f t="shared" si="37"/>
        <v>9</v>
      </c>
      <c r="AU32" s="302">
        <f t="shared" si="10"/>
        <v>0.75</v>
      </c>
      <c r="AV32" t="b">
        <v>1</v>
      </c>
      <c r="AX32" s="300">
        <v>0</v>
      </c>
      <c r="AY32" s="301">
        <v>0</v>
      </c>
      <c r="AZ32" s="301">
        <v>0</v>
      </c>
      <c r="BA32" s="301">
        <v>0</v>
      </c>
      <c r="BB32" s="301">
        <v>0</v>
      </c>
      <c r="BC32" s="301">
        <v>0</v>
      </c>
      <c r="BD32" s="301">
        <v>0</v>
      </c>
      <c r="BE32" s="301">
        <v>0</v>
      </c>
      <c r="BF32" s="301">
        <v>0</v>
      </c>
      <c r="BG32" s="301">
        <v>0</v>
      </c>
      <c r="BH32" s="301">
        <v>0</v>
      </c>
      <c r="BI32" s="301">
        <v>1</v>
      </c>
      <c r="BJ32" s="301">
        <f t="shared" si="38"/>
        <v>1</v>
      </c>
      <c r="BK32" s="302">
        <f t="shared" si="39"/>
        <v>8.3326389467544379E-2</v>
      </c>
      <c r="BL32" t="b">
        <v>1</v>
      </c>
      <c r="BN32" s="322">
        <f t="shared" si="3"/>
        <v>0</v>
      </c>
      <c r="BO32" s="322">
        <f t="shared" si="13"/>
        <v>-0.66667361053245566</v>
      </c>
      <c r="BP32" s="322">
        <f t="shared" si="4"/>
        <v>-8</v>
      </c>
      <c r="BQ32" s="322">
        <f t="shared" si="16"/>
        <v>1</v>
      </c>
      <c r="BR32">
        <f t="shared" si="15"/>
        <v>0</v>
      </c>
      <c r="BS32">
        <f t="shared" si="14"/>
        <v>1</v>
      </c>
    </row>
    <row r="33" spans="1:71" x14ac:dyDescent="0.55000000000000004">
      <c r="A33" s="7222"/>
      <c r="B33" s="245"/>
      <c r="C33" s="178" t="s">
        <v>229</v>
      </c>
      <c r="D33" s="303">
        <v>1</v>
      </c>
      <c r="E33" s="304">
        <v>0</v>
      </c>
      <c r="F33" s="304">
        <v>0</v>
      </c>
      <c r="G33" s="304">
        <v>0</v>
      </c>
      <c r="H33" s="304">
        <v>0</v>
      </c>
      <c r="I33" s="304">
        <v>0</v>
      </c>
      <c r="J33" s="304">
        <v>0</v>
      </c>
      <c r="K33" s="304">
        <v>1</v>
      </c>
      <c r="L33" s="304">
        <v>0</v>
      </c>
      <c r="M33" s="304">
        <v>0</v>
      </c>
      <c r="N33" s="304">
        <v>0</v>
      </c>
      <c r="O33" s="304">
        <v>0</v>
      </c>
      <c r="P33" s="304">
        <f t="shared" si="5"/>
        <v>0.16666666666666666</v>
      </c>
      <c r="Q33" s="305">
        <f t="shared" si="6"/>
        <v>0.16666666666666666</v>
      </c>
      <c r="R33" s="370">
        <v>0</v>
      </c>
      <c r="S33" s="303">
        <v>0</v>
      </c>
      <c r="T33" s="304">
        <v>0</v>
      </c>
      <c r="U33" s="304">
        <v>0</v>
      </c>
      <c r="V33" s="304">
        <v>1</v>
      </c>
      <c r="W33" s="304">
        <v>0</v>
      </c>
      <c r="X33" s="304">
        <v>0</v>
      </c>
      <c r="Y33" s="304">
        <v>0</v>
      </c>
      <c r="Z33" s="304">
        <v>0</v>
      </c>
      <c r="AA33" s="304">
        <v>0</v>
      </c>
      <c r="AB33" s="304">
        <v>0</v>
      </c>
      <c r="AC33" s="304">
        <v>0</v>
      </c>
      <c r="AD33" s="304">
        <v>0</v>
      </c>
      <c r="AE33" s="304">
        <f t="shared" si="35"/>
        <v>1</v>
      </c>
      <c r="AF33" s="305">
        <f t="shared" si="36"/>
        <v>8.3333333333333329E-2</v>
      </c>
      <c r="AG33" s="370"/>
      <c r="AH33" s="303"/>
      <c r="AI33" s="304"/>
      <c r="AJ33" s="304"/>
      <c r="AK33" s="304">
        <v>1</v>
      </c>
      <c r="AL33" s="304">
        <v>0</v>
      </c>
      <c r="AM33" s="304">
        <v>2</v>
      </c>
      <c r="AN33" s="304">
        <v>0</v>
      </c>
      <c r="AO33" s="304"/>
      <c r="AP33" s="304"/>
      <c r="AQ33" s="304">
        <v>0</v>
      </c>
      <c r="AR33" s="304">
        <v>1</v>
      </c>
      <c r="AS33" s="304">
        <v>1</v>
      </c>
      <c r="AT33" s="304">
        <f t="shared" si="37"/>
        <v>5</v>
      </c>
      <c r="AU33" s="305">
        <f t="shared" si="10"/>
        <v>0.41666666666666669</v>
      </c>
      <c r="AV33" t="b">
        <v>1</v>
      </c>
      <c r="AX33" s="303">
        <v>0</v>
      </c>
      <c r="AY33" s="304">
        <v>0</v>
      </c>
      <c r="AZ33" s="304">
        <v>0</v>
      </c>
      <c r="BA33" s="304">
        <v>0</v>
      </c>
      <c r="BB33" s="304">
        <v>0</v>
      </c>
      <c r="BC33" s="304">
        <v>0</v>
      </c>
      <c r="BD33" s="304">
        <v>0</v>
      </c>
      <c r="BE33" s="304">
        <v>0</v>
      </c>
      <c r="BF33" s="304">
        <v>0</v>
      </c>
      <c r="BG33" s="304">
        <v>0</v>
      </c>
      <c r="BH33" s="304">
        <v>0</v>
      </c>
      <c r="BI33" s="304">
        <v>0</v>
      </c>
      <c r="BJ33" s="304">
        <f t="shared" si="38"/>
        <v>0</v>
      </c>
      <c r="BK33" s="305">
        <f t="shared" si="39"/>
        <v>0</v>
      </c>
      <c r="BL33" t="b">
        <v>1</v>
      </c>
      <c r="BN33" s="322">
        <f t="shared" si="3"/>
        <v>-1</v>
      </c>
      <c r="BO33" s="322">
        <f t="shared" si="13"/>
        <v>-0.41666666666666669</v>
      </c>
      <c r="BP33" s="322">
        <f t="shared" si="4"/>
        <v>-5</v>
      </c>
      <c r="BQ33" s="322">
        <f t="shared" si="16"/>
        <v>0</v>
      </c>
      <c r="BR33">
        <f t="shared" si="15"/>
        <v>0</v>
      </c>
      <c r="BS33">
        <f t="shared" si="14"/>
        <v>0</v>
      </c>
    </row>
    <row r="34" spans="1:71" x14ac:dyDescent="0.55000000000000004">
      <c r="A34" s="7222"/>
      <c r="B34" s="245"/>
      <c r="C34" s="178" t="s">
        <v>230</v>
      </c>
      <c r="D34" s="303">
        <v>0</v>
      </c>
      <c r="E34" s="304">
        <v>0</v>
      </c>
      <c r="F34" s="304">
        <v>0</v>
      </c>
      <c r="G34" s="304">
        <v>0</v>
      </c>
      <c r="H34" s="304">
        <v>0</v>
      </c>
      <c r="I34" s="304">
        <v>0</v>
      </c>
      <c r="J34" s="304">
        <v>0</v>
      </c>
      <c r="K34" s="304">
        <v>0</v>
      </c>
      <c r="L34" s="304">
        <v>0</v>
      </c>
      <c r="M34" s="304">
        <v>0</v>
      </c>
      <c r="N34" s="304">
        <v>0</v>
      </c>
      <c r="O34" s="304">
        <v>0</v>
      </c>
      <c r="P34" s="304">
        <f t="shared" si="5"/>
        <v>0</v>
      </c>
      <c r="Q34" s="305">
        <f t="shared" si="6"/>
        <v>0</v>
      </c>
      <c r="R34" s="370">
        <v>0</v>
      </c>
      <c r="S34" s="303">
        <v>0</v>
      </c>
      <c r="T34" s="304">
        <v>0</v>
      </c>
      <c r="U34" s="304">
        <v>0</v>
      </c>
      <c r="V34" s="304">
        <v>0</v>
      </c>
      <c r="W34" s="304">
        <v>0</v>
      </c>
      <c r="X34" s="304">
        <v>0</v>
      </c>
      <c r="Y34" s="304">
        <v>0</v>
      </c>
      <c r="Z34" s="304">
        <v>0</v>
      </c>
      <c r="AA34" s="304">
        <v>0</v>
      </c>
      <c r="AB34" s="304">
        <v>0</v>
      </c>
      <c r="AC34" s="304">
        <v>0</v>
      </c>
      <c r="AD34" s="304">
        <v>1</v>
      </c>
      <c r="AE34" s="304">
        <f t="shared" si="35"/>
        <v>1</v>
      </c>
      <c r="AF34" s="305">
        <f t="shared" si="36"/>
        <v>8.3333333333333329E-2</v>
      </c>
      <c r="AG34" s="370"/>
      <c r="AH34" s="303"/>
      <c r="AI34" s="304"/>
      <c r="AJ34" s="304">
        <v>1</v>
      </c>
      <c r="AK34" s="304"/>
      <c r="AL34" s="304">
        <v>0</v>
      </c>
      <c r="AM34" s="304">
        <v>0</v>
      </c>
      <c r="AN34" s="304">
        <v>0</v>
      </c>
      <c r="AO34" s="304"/>
      <c r="AP34" s="304"/>
      <c r="AQ34" s="304">
        <v>0</v>
      </c>
      <c r="AR34" s="304"/>
      <c r="AS34" s="304"/>
      <c r="AT34" s="304">
        <f t="shared" si="37"/>
        <v>1</v>
      </c>
      <c r="AU34" s="305">
        <f t="shared" si="10"/>
        <v>8.3333333333333329E-2</v>
      </c>
      <c r="AV34" t="b">
        <v>1</v>
      </c>
      <c r="AX34" s="303">
        <v>0</v>
      </c>
      <c r="AY34" s="304">
        <v>0</v>
      </c>
      <c r="AZ34" s="304">
        <v>0</v>
      </c>
      <c r="BA34" s="304">
        <v>0</v>
      </c>
      <c r="BB34" s="304">
        <v>0</v>
      </c>
      <c r="BC34" s="304">
        <v>0</v>
      </c>
      <c r="BD34" s="304">
        <v>0</v>
      </c>
      <c r="BE34" s="304">
        <v>0</v>
      </c>
      <c r="BF34" s="304">
        <v>0</v>
      </c>
      <c r="BG34" s="304">
        <v>0</v>
      </c>
      <c r="BH34" s="304">
        <v>0</v>
      </c>
      <c r="BI34" s="304">
        <v>0</v>
      </c>
      <c r="BJ34" s="304">
        <f t="shared" si="38"/>
        <v>0</v>
      </c>
      <c r="BK34" s="305">
        <f t="shared" si="39"/>
        <v>0</v>
      </c>
      <c r="BL34" t="b">
        <v>1</v>
      </c>
      <c r="BN34" s="322">
        <f t="shared" si="3"/>
        <v>0</v>
      </c>
      <c r="BO34" s="322">
        <f t="shared" si="13"/>
        <v>-8.3333333333333329E-2</v>
      </c>
      <c r="BP34" s="322">
        <f t="shared" si="4"/>
        <v>-1</v>
      </c>
      <c r="BQ34" s="322">
        <f t="shared" si="16"/>
        <v>0</v>
      </c>
      <c r="BR34">
        <f t="shared" si="15"/>
        <v>0</v>
      </c>
      <c r="BS34">
        <f t="shared" si="14"/>
        <v>0</v>
      </c>
    </row>
    <row r="35" spans="1:71" x14ac:dyDescent="0.55000000000000004">
      <c r="A35" s="7222"/>
      <c r="B35" s="245"/>
      <c r="C35" s="177" t="s">
        <v>231</v>
      </c>
      <c r="D35" s="300">
        <v>0</v>
      </c>
      <c r="E35" s="301">
        <v>0</v>
      </c>
      <c r="F35" s="301">
        <v>0</v>
      </c>
      <c r="G35" s="301">
        <v>0</v>
      </c>
      <c r="H35" s="301">
        <v>0</v>
      </c>
      <c r="I35" s="301">
        <v>0</v>
      </c>
      <c r="J35" s="301">
        <v>1</v>
      </c>
      <c r="K35" s="301">
        <v>0</v>
      </c>
      <c r="L35" s="301">
        <v>0</v>
      </c>
      <c r="M35" s="301">
        <v>0</v>
      </c>
      <c r="N35" s="301">
        <v>0</v>
      </c>
      <c r="O35" s="301">
        <v>0</v>
      </c>
      <c r="P35" s="301">
        <f t="shared" si="5"/>
        <v>8.3333333333333329E-2</v>
      </c>
      <c r="Q35" s="302">
        <f t="shared" si="6"/>
        <v>8.3333333333333329E-2</v>
      </c>
      <c r="R35" s="370">
        <v>0</v>
      </c>
      <c r="S35" s="300">
        <v>0</v>
      </c>
      <c r="T35" s="301">
        <v>0</v>
      </c>
      <c r="U35" s="301">
        <v>0</v>
      </c>
      <c r="V35" s="301">
        <v>1</v>
      </c>
      <c r="W35" s="301">
        <v>1</v>
      </c>
      <c r="X35" s="301">
        <v>0</v>
      </c>
      <c r="Y35" s="301">
        <v>0</v>
      </c>
      <c r="Z35" s="301">
        <v>0</v>
      </c>
      <c r="AA35" s="301">
        <v>0</v>
      </c>
      <c r="AB35" s="301">
        <v>0</v>
      </c>
      <c r="AC35" s="301">
        <v>0</v>
      </c>
      <c r="AD35" s="301">
        <v>0</v>
      </c>
      <c r="AE35" s="301">
        <f t="shared" si="35"/>
        <v>2</v>
      </c>
      <c r="AF35" s="302">
        <f t="shared" si="36"/>
        <v>0.16666666666666666</v>
      </c>
      <c r="AG35" s="370"/>
      <c r="AH35" s="300"/>
      <c r="AI35" s="301"/>
      <c r="AJ35" s="301"/>
      <c r="AK35" s="301"/>
      <c r="AL35" s="301">
        <v>2</v>
      </c>
      <c r="AM35" s="301">
        <v>0</v>
      </c>
      <c r="AN35" s="301">
        <v>1</v>
      </c>
      <c r="AO35" s="301"/>
      <c r="AP35" s="301"/>
      <c r="AQ35" s="301">
        <v>0</v>
      </c>
      <c r="AR35" s="301"/>
      <c r="AS35" s="301">
        <v>1</v>
      </c>
      <c r="AT35" s="301">
        <f t="shared" si="37"/>
        <v>4</v>
      </c>
      <c r="AU35" s="302">
        <f t="shared" si="10"/>
        <v>0.33333333333333331</v>
      </c>
      <c r="AV35" t="b">
        <v>1</v>
      </c>
      <c r="AX35" s="300">
        <v>0</v>
      </c>
      <c r="AY35" s="301">
        <v>0</v>
      </c>
      <c r="AZ35" s="301">
        <v>0</v>
      </c>
      <c r="BA35" s="301">
        <v>0</v>
      </c>
      <c r="BB35" s="301">
        <v>0</v>
      </c>
      <c r="BC35" s="301">
        <v>0</v>
      </c>
      <c r="BD35" s="301">
        <v>2</v>
      </c>
      <c r="BE35" s="301">
        <v>0</v>
      </c>
      <c r="BF35" s="301">
        <v>0</v>
      </c>
      <c r="BG35" s="301">
        <v>0</v>
      </c>
      <c r="BH35" s="301">
        <v>0</v>
      </c>
      <c r="BI35" s="301">
        <v>0</v>
      </c>
      <c r="BJ35" s="301">
        <f t="shared" si="38"/>
        <v>2</v>
      </c>
      <c r="BK35" s="302">
        <f t="shared" si="39"/>
        <v>0.16665277893508876</v>
      </c>
      <c r="BL35" t="b">
        <v>1</v>
      </c>
      <c r="BN35" s="322">
        <f t="shared" si="3"/>
        <v>-1</v>
      </c>
      <c r="BO35" s="322">
        <f t="shared" si="13"/>
        <v>-0.16668055439824456</v>
      </c>
      <c r="BP35" s="322">
        <f t="shared" ref="BP35:BP66" si="55">BJ35-SUM(AH35:AS35)</f>
        <v>-2</v>
      </c>
      <c r="BQ35" s="322">
        <f t="shared" si="16"/>
        <v>0</v>
      </c>
      <c r="BR35">
        <f t="shared" si="15"/>
        <v>0</v>
      </c>
      <c r="BS35">
        <f t="shared" si="14"/>
        <v>0</v>
      </c>
    </row>
    <row r="36" spans="1:71" x14ac:dyDescent="0.55000000000000004">
      <c r="A36" s="7222"/>
      <c r="B36" s="245"/>
      <c r="C36" s="177" t="s">
        <v>232</v>
      </c>
      <c r="D36" s="300">
        <v>0</v>
      </c>
      <c r="E36" s="301">
        <v>0</v>
      </c>
      <c r="F36" s="301">
        <v>0</v>
      </c>
      <c r="G36" s="301">
        <v>0</v>
      </c>
      <c r="H36" s="301">
        <v>0</v>
      </c>
      <c r="I36" s="301">
        <v>0</v>
      </c>
      <c r="J36" s="301">
        <v>0</v>
      </c>
      <c r="K36" s="301">
        <v>0</v>
      </c>
      <c r="L36" s="301">
        <v>0</v>
      </c>
      <c r="M36" s="301">
        <v>0</v>
      </c>
      <c r="N36" s="301">
        <v>0</v>
      </c>
      <c r="O36" s="301">
        <v>0</v>
      </c>
      <c r="P36" s="301">
        <f t="shared" si="5"/>
        <v>0</v>
      </c>
      <c r="Q36" s="302">
        <f t="shared" si="6"/>
        <v>0</v>
      </c>
      <c r="R36" s="370">
        <v>0</v>
      </c>
      <c r="S36" s="300">
        <v>0</v>
      </c>
      <c r="T36" s="301">
        <v>0</v>
      </c>
      <c r="U36" s="301">
        <v>0</v>
      </c>
      <c r="V36" s="301">
        <v>0</v>
      </c>
      <c r="W36" s="301">
        <v>0</v>
      </c>
      <c r="X36" s="301">
        <v>0</v>
      </c>
      <c r="Y36" s="301">
        <v>0</v>
      </c>
      <c r="Z36" s="301">
        <v>0</v>
      </c>
      <c r="AA36" s="301">
        <v>0</v>
      </c>
      <c r="AB36" s="301">
        <v>0</v>
      </c>
      <c r="AC36" s="301">
        <v>0</v>
      </c>
      <c r="AD36" s="301">
        <v>0</v>
      </c>
      <c r="AE36" s="301">
        <f t="shared" si="35"/>
        <v>0</v>
      </c>
      <c r="AF36" s="302">
        <f t="shared" si="36"/>
        <v>0</v>
      </c>
      <c r="AG36" s="370"/>
      <c r="AH36" s="300"/>
      <c r="AI36" s="301"/>
      <c r="AJ36" s="301">
        <v>1</v>
      </c>
      <c r="AK36" s="301"/>
      <c r="AL36" s="301">
        <v>0</v>
      </c>
      <c r="AM36" s="301">
        <v>0</v>
      </c>
      <c r="AN36" s="301">
        <v>1</v>
      </c>
      <c r="AO36" s="301"/>
      <c r="AP36" s="301"/>
      <c r="AQ36" s="301">
        <v>0</v>
      </c>
      <c r="AR36" s="301"/>
      <c r="AS36" s="301"/>
      <c r="AT36" s="301">
        <f t="shared" si="37"/>
        <v>2</v>
      </c>
      <c r="AU36" s="302">
        <f t="shared" si="10"/>
        <v>0.16666666666666666</v>
      </c>
      <c r="AV36" t="b">
        <v>1</v>
      </c>
      <c r="AX36" s="300">
        <v>0</v>
      </c>
      <c r="AY36" s="301">
        <v>0</v>
      </c>
      <c r="AZ36" s="301">
        <v>0</v>
      </c>
      <c r="BA36" s="301">
        <v>0</v>
      </c>
      <c r="BB36" s="301">
        <v>0</v>
      </c>
      <c r="BC36" s="301">
        <v>0</v>
      </c>
      <c r="BD36" s="301">
        <v>0</v>
      </c>
      <c r="BE36" s="301">
        <v>0</v>
      </c>
      <c r="BF36" s="301">
        <v>0</v>
      </c>
      <c r="BG36" s="301">
        <v>0</v>
      </c>
      <c r="BH36" s="301">
        <v>0</v>
      </c>
      <c r="BI36" s="301">
        <v>0</v>
      </c>
      <c r="BJ36" s="301">
        <f t="shared" si="38"/>
        <v>0</v>
      </c>
      <c r="BK36" s="302">
        <f t="shared" si="39"/>
        <v>0</v>
      </c>
      <c r="BL36" t="b">
        <v>1</v>
      </c>
      <c r="BN36" s="322">
        <f t="shared" si="3"/>
        <v>0</v>
      </c>
      <c r="BO36" s="322">
        <f t="shared" si="13"/>
        <v>-0.16666666666666666</v>
      </c>
      <c r="BP36" s="322">
        <f t="shared" si="55"/>
        <v>-2</v>
      </c>
      <c r="BQ36" s="322">
        <f t="shared" si="16"/>
        <v>0</v>
      </c>
      <c r="BR36">
        <f t="shared" si="15"/>
        <v>0</v>
      </c>
      <c r="BS36">
        <f t="shared" si="14"/>
        <v>0</v>
      </c>
    </row>
    <row r="37" spans="1:71" x14ac:dyDescent="0.55000000000000004">
      <c r="A37" s="7222"/>
      <c r="B37" s="245"/>
      <c r="C37" s="178" t="s">
        <v>233</v>
      </c>
      <c r="D37" s="303">
        <v>0</v>
      </c>
      <c r="E37" s="304">
        <v>0</v>
      </c>
      <c r="F37" s="304">
        <v>1</v>
      </c>
      <c r="G37" s="304">
        <v>1</v>
      </c>
      <c r="H37" s="304">
        <v>1</v>
      </c>
      <c r="I37" s="304">
        <v>0</v>
      </c>
      <c r="J37" s="304">
        <v>1</v>
      </c>
      <c r="K37" s="304">
        <v>0</v>
      </c>
      <c r="L37" s="304">
        <v>0</v>
      </c>
      <c r="M37" s="304">
        <v>0</v>
      </c>
      <c r="N37" s="304">
        <v>0</v>
      </c>
      <c r="O37" s="304">
        <v>0</v>
      </c>
      <c r="P37" s="304">
        <f t="shared" si="5"/>
        <v>0.33333333333333331</v>
      </c>
      <c r="Q37" s="305">
        <f t="shared" si="6"/>
        <v>0.33333333333333331</v>
      </c>
      <c r="R37" s="370">
        <v>0</v>
      </c>
      <c r="S37" s="303">
        <v>1</v>
      </c>
      <c r="T37" s="304">
        <v>0</v>
      </c>
      <c r="U37" s="304">
        <v>0</v>
      </c>
      <c r="V37" s="304">
        <v>0</v>
      </c>
      <c r="W37" s="304">
        <v>0</v>
      </c>
      <c r="X37" s="304">
        <v>0</v>
      </c>
      <c r="Y37" s="304">
        <v>0</v>
      </c>
      <c r="Z37" s="304">
        <v>0</v>
      </c>
      <c r="AA37" s="304">
        <v>1</v>
      </c>
      <c r="AB37" s="304">
        <v>0</v>
      </c>
      <c r="AC37" s="304">
        <v>1</v>
      </c>
      <c r="AD37" s="304">
        <v>0</v>
      </c>
      <c r="AE37" s="304">
        <f t="shared" si="35"/>
        <v>3</v>
      </c>
      <c r="AF37" s="305">
        <f t="shared" si="36"/>
        <v>0.25</v>
      </c>
      <c r="AG37" s="370"/>
      <c r="AH37" s="303"/>
      <c r="AI37" s="304"/>
      <c r="AJ37" s="304">
        <v>1</v>
      </c>
      <c r="AK37" s="304"/>
      <c r="AL37" s="304">
        <v>1</v>
      </c>
      <c r="AM37" s="304">
        <v>0</v>
      </c>
      <c r="AN37" s="304">
        <v>0</v>
      </c>
      <c r="AO37" s="304">
        <v>1</v>
      </c>
      <c r="AP37" s="304"/>
      <c r="AQ37" s="304">
        <v>0</v>
      </c>
      <c r="AR37" s="304"/>
      <c r="AS37" s="304">
        <v>1</v>
      </c>
      <c r="AT37" s="304">
        <f t="shared" si="37"/>
        <v>4</v>
      </c>
      <c r="AU37" s="305">
        <f t="shared" si="10"/>
        <v>0.33333333333333331</v>
      </c>
      <c r="AV37" t="b">
        <v>1</v>
      </c>
      <c r="AX37" s="303">
        <v>0</v>
      </c>
      <c r="AY37" s="304">
        <v>0</v>
      </c>
      <c r="AZ37" s="304">
        <v>0</v>
      </c>
      <c r="BA37" s="304">
        <v>0</v>
      </c>
      <c r="BB37" s="304">
        <v>0</v>
      </c>
      <c r="BC37" s="304">
        <v>0</v>
      </c>
      <c r="BD37" s="304">
        <v>0</v>
      </c>
      <c r="BE37" s="304">
        <v>0</v>
      </c>
      <c r="BF37" s="304">
        <v>0</v>
      </c>
      <c r="BG37" s="304">
        <v>0</v>
      </c>
      <c r="BH37" s="304">
        <v>0</v>
      </c>
      <c r="BI37" s="304">
        <v>0</v>
      </c>
      <c r="BJ37" s="304">
        <f t="shared" si="38"/>
        <v>0</v>
      </c>
      <c r="BK37" s="305">
        <f t="shared" si="39"/>
        <v>0</v>
      </c>
      <c r="BL37" t="b">
        <v>1</v>
      </c>
      <c r="BN37" s="322">
        <f t="shared" si="3"/>
        <v>-1</v>
      </c>
      <c r="BO37" s="322">
        <f t="shared" si="13"/>
        <v>-0.33333333333333331</v>
      </c>
      <c r="BP37" s="322">
        <f t="shared" si="55"/>
        <v>-4</v>
      </c>
      <c r="BQ37" s="322">
        <f t="shared" si="16"/>
        <v>0</v>
      </c>
      <c r="BR37">
        <f t="shared" si="15"/>
        <v>0</v>
      </c>
      <c r="BS37">
        <f t="shared" si="14"/>
        <v>0</v>
      </c>
    </row>
    <row r="38" spans="1:71" x14ac:dyDescent="0.55000000000000004">
      <c r="A38" s="7222"/>
      <c r="B38" s="245"/>
      <c r="C38" s="178" t="s">
        <v>234</v>
      </c>
      <c r="D38" s="303">
        <v>0</v>
      </c>
      <c r="E38" s="304">
        <v>2</v>
      </c>
      <c r="F38" s="304">
        <v>0</v>
      </c>
      <c r="G38" s="304">
        <v>1</v>
      </c>
      <c r="H38" s="304">
        <v>0</v>
      </c>
      <c r="I38" s="304">
        <v>1</v>
      </c>
      <c r="J38" s="304">
        <v>0</v>
      </c>
      <c r="K38" s="304">
        <v>0</v>
      </c>
      <c r="L38" s="304">
        <v>1</v>
      </c>
      <c r="M38" s="304">
        <v>0</v>
      </c>
      <c r="N38" s="304">
        <v>0</v>
      </c>
      <c r="O38" s="304">
        <v>0</v>
      </c>
      <c r="P38" s="304">
        <f t="shared" si="5"/>
        <v>0.41666666666666669</v>
      </c>
      <c r="Q38" s="305">
        <f t="shared" si="6"/>
        <v>0.41666666666666669</v>
      </c>
      <c r="R38" s="370">
        <v>0</v>
      </c>
      <c r="S38" s="303">
        <v>0</v>
      </c>
      <c r="T38" s="304">
        <v>0</v>
      </c>
      <c r="U38" s="304">
        <v>0</v>
      </c>
      <c r="V38" s="304">
        <v>1</v>
      </c>
      <c r="W38" s="304">
        <v>0</v>
      </c>
      <c r="X38" s="304">
        <v>0</v>
      </c>
      <c r="Y38" s="304">
        <v>0</v>
      </c>
      <c r="Z38" s="304">
        <v>0</v>
      </c>
      <c r="AA38" s="304">
        <v>0</v>
      </c>
      <c r="AB38" s="304">
        <v>0</v>
      </c>
      <c r="AC38" s="304">
        <v>0</v>
      </c>
      <c r="AD38" s="304">
        <v>0</v>
      </c>
      <c r="AE38" s="304">
        <f t="shared" si="35"/>
        <v>1</v>
      </c>
      <c r="AF38" s="305">
        <f t="shared" si="36"/>
        <v>8.3333333333333329E-2</v>
      </c>
      <c r="AG38" s="370"/>
      <c r="AH38" s="303"/>
      <c r="AI38" s="304"/>
      <c r="AJ38" s="304"/>
      <c r="AK38" s="304"/>
      <c r="AL38" s="304">
        <v>0</v>
      </c>
      <c r="AM38" s="304">
        <v>0</v>
      </c>
      <c r="AN38" s="304">
        <v>0</v>
      </c>
      <c r="AO38" s="304"/>
      <c r="AP38" s="304"/>
      <c r="AQ38" s="304">
        <v>0</v>
      </c>
      <c r="AR38" s="304"/>
      <c r="AS38" s="304"/>
      <c r="AT38" s="304">
        <f t="shared" si="37"/>
        <v>0</v>
      </c>
      <c r="AU38" s="305">
        <f t="shared" si="10"/>
        <v>0</v>
      </c>
      <c r="AV38" t="b">
        <v>1</v>
      </c>
      <c r="AX38" s="303">
        <v>0</v>
      </c>
      <c r="AY38" s="304">
        <v>0</v>
      </c>
      <c r="AZ38" s="304">
        <v>0</v>
      </c>
      <c r="BA38" s="304">
        <v>0</v>
      </c>
      <c r="BB38" s="304">
        <v>0</v>
      </c>
      <c r="BC38" s="304">
        <v>0</v>
      </c>
      <c r="BD38" s="304">
        <v>0</v>
      </c>
      <c r="BE38" s="304">
        <v>0</v>
      </c>
      <c r="BF38" s="304">
        <v>0</v>
      </c>
      <c r="BG38" s="304">
        <v>0</v>
      </c>
      <c r="BH38" s="304">
        <v>0</v>
      </c>
      <c r="BI38" s="304">
        <v>0</v>
      </c>
      <c r="BJ38" s="304">
        <f t="shared" si="38"/>
        <v>0</v>
      </c>
      <c r="BK38" s="305">
        <f t="shared" si="39"/>
        <v>0</v>
      </c>
      <c r="BL38" t="b">
        <v>1</v>
      </c>
      <c r="BN38" s="322">
        <f t="shared" si="3"/>
        <v>0</v>
      </c>
      <c r="BO38" s="322">
        <f t="shared" si="13"/>
        <v>0</v>
      </c>
      <c r="BP38" s="322">
        <f t="shared" si="55"/>
        <v>0</v>
      </c>
      <c r="BQ38" s="322">
        <f t="shared" si="16"/>
        <v>0</v>
      </c>
      <c r="BR38">
        <f t="shared" si="15"/>
        <v>0</v>
      </c>
      <c r="BS38">
        <f t="shared" si="14"/>
        <v>0</v>
      </c>
    </row>
    <row r="39" spans="1:71" x14ac:dyDescent="0.55000000000000004">
      <c r="A39" s="7222"/>
      <c r="B39" s="245"/>
      <c r="C39" s="177" t="s">
        <v>235</v>
      </c>
      <c r="D39" s="300">
        <v>0</v>
      </c>
      <c r="E39" s="301">
        <v>0</v>
      </c>
      <c r="F39" s="301">
        <v>0</v>
      </c>
      <c r="G39" s="301">
        <v>1</v>
      </c>
      <c r="H39" s="301">
        <v>0</v>
      </c>
      <c r="I39" s="301">
        <v>0</v>
      </c>
      <c r="J39" s="301">
        <v>0</v>
      </c>
      <c r="K39" s="301">
        <v>0</v>
      </c>
      <c r="L39" s="301">
        <v>0</v>
      </c>
      <c r="M39" s="301">
        <v>0</v>
      </c>
      <c r="N39" s="301">
        <v>0</v>
      </c>
      <c r="O39" s="301">
        <v>0</v>
      </c>
      <c r="P39" s="301">
        <f t="shared" si="5"/>
        <v>8.3333333333333329E-2</v>
      </c>
      <c r="Q39" s="302">
        <f t="shared" si="6"/>
        <v>8.3333333333333329E-2</v>
      </c>
      <c r="R39" s="370">
        <v>0</v>
      </c>
      <c r="S39" s="300">
        <v>0</v>
      </c>
      <c r="T39" s="301">
        <v>0</v>
      </c>
      <c r="U39" s="301">
        <v>0</v>
      </c>
      <c r="V39" s="301">
        <v>0</v>
      </c>
      <c r="W39" s="301">
        <v>0</v>
      </c>
      <c r="X39" s="301">
        <v>0</v>
      </c>
      <c r="Y39" s="301">
        <v>0</v>
      </c>
      <c r="Z39" s="301">
        <v>0</v>
      </c>
      <c r="AA39" s="301">
        <v>0</v>
      </c>
      <c r="AB39" s="301">
        <v>0</v>
      </c>
      <c r="AC39" s="301">
        <v>0</v>
      </c>
      <c r="AD39" s="301">
        <v>0</v>
      </c>
      <c r="AE39" s="301">
        <f t="shared" si="35"/>
        <v>0</v>
      </c>
      <c r="AF39" s="302">
        <f t="shared" si="36"/>
        <v>0</v>
      </c>
      <c r="AG39" s="370"/>
      <c r="AH39" s="300"/>
      <c r="AI39" s="301"/>
      <c r="AJ39" s="301"/>
      <c r="AK39" s="301">
        <v>1</v>
      </c>
      <c r="AL39" s="301">
        <v>0</v>
      </c>
      <c r="AM39" s="301">
        <v>0</v>
      </c>
      <c r="AN39" s="301">
        <v>0</v>
      </c>
      <c r="AO39" s="301">
        <v>1</v>
      </c>
      <c r="AP39" s="301"/>
      <c r="AQ39" s="301">
        <v>0</v>
      </c>
      <c r="AR39" s="301">
        <v>1</v>
      </c>
      <c r="AS39" s="301"/>
      <c r="AT39" s="301">
        <f t="shared" si="37"/>
        <v>3</v>
      </c>
      <c r="AU39" s="302">
        <f t="shared" si="10"/>
        <v>0.25</v>
      </c>
      <c r="AV39" t="b">
        <v>1</v>
      </c>
      <c r="AX39" s="300">
        <v>0</v>
      </c>
      <c r="AY39" s="301">
        <v>0</v>
      </c>
      <c r="AZ39" s="301">
        <v>0</v>
      </c>
      <c r="BA39" s="301">
        <v>0</v>
      </c>
      <c r="BB39" s="301">
        <v>0</v>
      </c>
      <c r="BC39" s="301">
        <v>0</v>
      </c>
      <c r="BD39" s="301">
        <v>0</v>
      </c>
      <c r="BE39" s="301">
        <v>0</v>
      </c>
      <c r="BF39" s="301">
        <v>0</v>
      </c>
      <c r="BG39" s="301">
        <v>0</v>
      </c>
      <c r="BH39" s="301">
        <v>0</v>
      </c>
      <c r="BI39" s="301">
        <v>0</v>
      </c>
      <c r="BJ39" s="301">
        <f t="shared" si="38"/>
        <v>0</v>
      </c>
      <c r="BK39" s="302">
        <f t="shared" si="39"/>
        <v>0</v>
      </c>
      <c r="BL39" t="b">
        <v>1</v>
      </c>
      <c r="BN39" s="322">
        <f t="shared" si="3"/>
        <v>0</v>
      </c>
      <c r="BO39" s="322">
        <f t="shared" si="13"/>
        <v>-0.25</v>
      </c>
      <c r="BP39" s="322">
        <f t="shared" si="55"/>
        <v>-3</v>
      </c>
      <c r="BQ39" s="322">
        <f t="shared" si="16"/>
        <v>0</v>
      </c>
      <c r="BR39">
        <f t="shared" si="15"/>
        <v>0</v>
      </c>
      <c r="BS39">
        <f t="shared" si="14"/>
        <v>0</v>
      </c>
    </row>
    <row r="40" spans="1:71" ht="18" thickBot="1" x14ac:dyDescent="0.6">
      <c r="A40" s="7223"/>
      <c r="B40" s="246"/>
      <c r="C40" s="179" t="s">
        <v>236</v>
      </c>
      <c r="D40" s="306">
        <v>0</v>
      </c>
      <c r="E40" s="307">
        <v>0</v>
      </c>
      <c r="F40" s="307">
        <v>0</v>
      </c>
      <c r="G40" s="307">
        <v>0</v>
      </c>
      <c r="H40" s="307">
        <v>0</v>
      </c>
      <c r="I40" s="307">
        <v>0</v>
      </c>
      <c r="J40" s="307">
        <v>1</v>
      </c>
      <c r="K40" s="307">
        <v>0</v>
      </c>
      <c r="L40" s="307">
        <v>0</v>
      </c>
      <c r="M40" s="307">
        <v>0</v>
      </c>
      <c r="N40" s="307">
        <v>0</v>
      </c>
      <c r="O40" s="307">
        <v>0</v>
      </c>
      <c r="P40" s="307">
        <f t="shared" si="5"/>
        <v>8.3333333333333329E-2</v>
      </c>
      <c r="Q40" s="308">
        <f t="shared" si="6"/>
        <v>8.3333333333333329E-2</v>
      </c>
      <c r="R40" s="370">
        <v>0</v>
      </c>
      <c r="S40" s="306">
        <v>1</v>
      </c>
      <c r="T40" s="307">
        <v>0</v>
      </c>
      <c r="U40" s="307">
        <v>0</v>
      </c>
      <c r="V40" s="307">
        <v>0</v>
      </c>
      <c r="W40" s="307">
        <v>0</v>
      </c>
      <c r="X40" s="307">
        <v>0</v>
      </c>
      <c r="Y40" s="307">
        <v>0</v>
      </c>
      <c r="Z40" s="307">
        <v>0</v>
      </c>
      <c r="AA40" s="307">
        <v>0</v>
      </c>
      <c r="AB40" s="307">
        <v>0</v>
      </c>
      <c r="AC40" s="307">
        <v>1</v>
      </c>
      <c r="AD40" s="307">
        <v>0</v>
      </c>
      <c r="AE40" s="307">
        <f t="shared" si="35"/>
        <v>2</v>
      </c>
      <c r="AF40" s="308">
        <f t="shared" si="36"/>
        <v>0.16666666666666666</v>
      </c>
      <c r="AG40" s="370"/>
      <c r="AH40" s="306"/>
      <c r="AI40" s="307"/>
      <c r="AJ40" s="307"/>
      <c r="AK40" s="307">
        <v>1</v>
      </c>
      <c r="AL40" s="307">
        <v>0</v>
      </c>
      <c r="AM40" s="307">
        <v>1</v>
      </c>
      <c r="AN40" s="307">
        <v>0</v>
      </c>
      <c r="AO40" s="307"/>
      <c r="AP40" s="307"/>
      <c r="AQ40" s="307">
        <v>0</v>
      </c>
      <c r="AR40" s="307"/>
      <c r="AS40" s="307"/>
      <c r="AT40" s="307">
        <f t="shared" si="37"/>
        <v>2</v>
      </c>
      <c r="AU40" s="308">
        <f t="shared" si="10"/>
        <v>0.16666666666666666</v>
      </c>
      <c r="AV40" t="b">
        <v>1</v>
      </c>
      <c r="AX40" s="306">
        <v>0</v>
      </c>
      <c r="AY40" s="307">
        <v>0</v>
      </c>
      <c r="AZ40" s="307">
        <v>0</v>
      </c>
      <c r="BA40" s="307">
        <v>0</v>
      </c>
      <c r="BB40" s="307">
        <v>0</v>
      </c>
      <c r="BC40" s="307">
        <v>0</v>
      </c>
      <c r="BD40" s="307">
        <v>0</v>
      </c>
      <c r="BE40" s="307">
        <v>0</v>
      </c>
      <c r="BF40" s="307">
        <v>0</v>
      </c>
      <c r="BG40" s="307">
        <v>0</v>
      </c>
      <c r="BH40" s="307">
        <v>1</v>
      </c>
      <c r="BI40" s="307">
        <v>0</v>
      </c>
      <c r="BJ40" s="307">
        <f t="shared" si="38"/>
        <v>1</v>
      </c>
      <c r="BK40" s="308">
        <f t="shared" si="39"/>
        <v>8.3326389467544379E-2</v>
      </c>
      <c r="BL40" t="b">
        <v>1</v>
      </c>
      <c r="BN40" s="322">
        <f t="shared" si="3"/>
        <v>0</v>
      </c>
      <c r="BO40" s="322">
        <f t="shared" si="13"/>
        <v>-8.3340277199122278E-2</v>
      </c>
      <c r="BP40" s="322">
        <f t="shared" si="55"/>
        <v>-1</v>
      </c>
      <c r="BQ40" s="322">
        <f t="shared" si="16"/>
        <v>-1</v>
      </c>
      <c r="BR40">
        <f t="shared" si="15"/>
        <v>1</v>
      </c>
      <c r="BS40">
        <f t="shared" si="14"/>
        <v>0</v>
      </c>
    </row>
    <row r="41" spans="1:71" x14ac:dyDescent="0.55000000000000004">
      <c r="A41" s="7221" t="s">
        <v>393</v>
      </c>
      <c r="B41" s="41" t="s">
        <v>259</v>
      </c>
      <c r="C41" s="16"/>
      <c r="D41" s="270">
        <f t="shared" ref="D41:O41" si="56">SUM(D42:D44)</f>
        <v>0</v>
      </c>
      <c r="E41" s="271">
        <f t="shared" si="56"/>
        <v>2</v>
      </c>
      <c r="F41" s="271">
        <f t="shared" si="56"/>
        <v>0</v>
      </c>
      <c r="G41" s="271">
        <f t="shared" si="56"/>
        <v>1</v>
      </c>
      <c r="H41" s="271">
        <f t="shared" si="56"/>
        <v>0</v>
      </c>
      <c r="I41" s="271">
        <f t="shared" si="56"/>
        <v>5</v>
      </c>
      <c r="J41" s="271">
        <f t="shared" si="56"/>
        <v>2</v>
      </c>
      <c r="K41" s="271">
        <f t="shared" si="56"/>
        <v>2</v>
      </c>
      <c r="L41" s="271">
        <f t="shared" si="56"/>
        <v>0</v>
      </c>
      <c r="M41" s="271">
        <f t="shared" si="56"/>
        <v>2</v>
      </c>
      <c r="N41" s="271">
        <f t="shared" si="56"/>
        <v>0</v>
      </c>
      <c r="O41" s="271">
        <f t="shared" si="56"/>
        <v>5</v>
      </c>
      <c r="P41" s="271">
        <f t="shared" si="5"/>
        <v>1.5833333333333333</v>
      </c>
      <c r="Q41" s="272">
        <f t="shared" si="6"/>
        <v>1.5833333333333333</v>
      </c>
      <c r="R41" s="370"/>
      <c r="S41" s="270">
        <f t="shared" ref="S41:AD41" si="57">SUM(S42:S44)</f>
        <v>1</v>
      </c>
      <c r="T41" s="271">
        <f t="shared" si="57"/>
        <v>0</v>
      </c>
      <c r="U41" s="271">
        <f t="shared" si="57"/>
        <v>5</v>
      </c>
      <c r="V41" s="271">
        <f t="shared" si="57"/>
        <v>1</v>
      </c>
      <c r="W41" s="271">
        <f t="shared" si="57"/>
        <v>1</v>
      </c>
      <c r="X41" s="271">
        <f t="shared" si="57"/>
        <v>1</v>
      </c>
      <c r="Y41" s="271">
        <f t="shared" si="57"/>
        <v>1</v>
      </c>
      <c r="Z41" s="271">
        <f t="shared" si="57"/>
        <v>2</v>
      </c>
      <c r="AA41" s="271">
        <f t="shared" si="57"/>
        <v>1</v>
      </c>
      <c r="AB41" s="271">
        <f t="shared" si="57"/>
        <v>2</v>
      </c>
      <c r="AC41" s="271">
        <f t="shared" si="57"/>
        <v>3</v>
      </c>
      <c r="AD41" s="271">
        <f t="shared" si="57"/>
        <v>2</v>
      </c>
      <c r="AE41" s="271">
        <f>SUM(S41:AD41)</f>
        <v>20</v>
      </c>
      <c r="AF41" s="272">
        <f>AE41/12</f>
        <v>1.6666666666666667</v>
      </c>
      <c r="AG41" s="370"/>
      <c r="AH41" s="270">
        <f t="shared" ref="AH41:AM41" si="58">SUM(AH42:AH44)</f>
        <v>1</v>
      </c>
      <c r="AI41" s="271">
        <f t="shared" si="58"/>
        <v>4</v>
      </c>
      <c r="AJ41" s="271">
        <f t="shared" si="58"/>
        <v>1</v>
      </c>
      <c r="AK41" s="271">
        <f t="shared" si="58"/>
        <v>2</v>
      </c>
      <c r="AL41" s="271">
        <f t="shared" si="58"/>
        <v>2</v>
      </c>
      <c r="AM41" s="271">
        <f t="shared" si="58"/>
        <v>1</v>
      </c>
      <c r="AN41" s="271">
        <v>1</v>
      </c>
      <c r="AO41" s="271">
        <f>SUM(AO42:AO44)</f>
        <v>2</v>
      </c>
      <c r="AP41" s="271">
        <f>SUM(AP42:AP44)</f>
        <v>0</v>
      </c>
      <c r="AQ41" s="271">
        <f>SUM(AQ42:AQ44)</f>
        <v>1</v>
      </c>
      <c r="AR41" s="271">
        <f>SUM(AR42:AR44)</f>
        <v>2</v>
      </c>
      <c r="AS41" s="271">
        <v>1</v>
      </c>
      <c r="AT41" s="271">
        <f>SUM(AH41:AS41)</f>
        <v>18</v>
      </c>
      <c r="AU41" s="272">
        <f t="shared" si="10"/>
        <v>1.5</v>
      </c>
      <c r="AV41" t="b">
        <v>1</v>
      </c>
      <c r="AX41" s="270">
        <v>2</v>
      </c>
      <c r="AY41" s="271">
        <v>3</v>
      </c>
      <c r="AZ41" s="271">
        <v>7</v>
      </c>
      <c r="BA41" s="271">
        <v>4</v>
      </c>
      <c r="BB41" s="271">
        <v>1</v>
      </c>
      <c r="BC41" s="271">
        <v>5</v>
      </c>
      <c r="BD41" s="271">
        <v>0</v>
      </c>
      <c r="BE41" s="271">
        <v>1</v>
      </c>
      <c r="BF41" s="271">
        <v>1</v>
      </c>
      <c r="BG41" s="271">
        <v>1</v>
      </c>
      <c r="BH41" s="271">
        <v>1</v>
      </c>
      <c r="BI41" s="271">
        <v>3</v>
      </c>
      <c r="BJ41" s="271">
        <f>SUM(AX41:BI41)</f>
        <v>29</v>
      </c>
      <c r="BK41" s="272">
        <f t="shared" si="39"/>
        <v>2.4164652945587868</v>
      </c>
      <c r="BL41" t="b">
        <v>1</v>
      </c>
      <c r="BN41" s="322">
        <f t="shared" si="3"/>
        <v>2</v>
      </c>
      <c r="BO41" s="322">
        <f t="shared" si="13"/>
        <v>0.91646529455878678</v>
      </c>
      <c r="BP41" s="322">
        <f t="shared" si="55"/>
        <v>11</v>
      </c>
      <c r="BQ41" s="322">
        <f t="shared" si="16"/>
        <v>2</v>
      </c>
      <c r="BR41">
        <f t="shared" si="15"/>
        <v>1</v>
      </c>
      <c r="BS41">
        <f t="shared" si="14"/>
        <v>3</v>
      </c>
    </row>
    <row r="42" spans="1:71" x14ac:dyDescent="0.55000000000000004">
      <c r="A42" s="7222"/>
      <c r="B42" s="42"/>
      <c r="C42" s="35" t="s">
        <v>260</v>
      </c>
      <c r="D42" s="273">
        <v>0</v>
      </c>
      <c r="E42" s="274">
        <v>0</v>
      </c>
      <c r="F42" s="274">
        <v>0</v>
      </c>
      <c r="G42" s="274">
        <v>0</v>
      </c>
      <c r="H42" s="274">
        <v>0</v>
      </c>
      <c r="I42" s="274">
        <v>0</v>
      </c>
      <c r="J42" s="274">
        <v>0</v>
      </c>
      <c r="K42" s="274">
        <v>0</v>
      </c>
      <c r="L42" s="274">
        <v>0</v>
      </c>
      <c r="M42" s="274">
        <v>0</v>
      </c>
      <c r="N42" s="274">
        <v>0</v>
      </c>
      <c r="O42" s="274">
        <v>0</v>
      </c>
      <c r="P42" s="274">
        <f t="shared" si="5"/>
        <v>0</v>
      </c>
      <c r="Q42" s="275">
        <f t="shared" si="6"/>
        <v>0</v>
      </c>
      <c r="R42" s="370"/>
      <c r="S42" s="273">
        <v>0</v>
      </c>
      <c r="T42" s="274">
        <v>0</v>
      </c>
      <c r="U42" s="274">
        <v>0</v>
      </c>
      <c r="V42" s="274">
        <v>0</v>
      </c>
      <c r="W42" s="274">
        <v>0</v>
      </c>
      <c r="X42" s="274">
        <v>0</v>
      </c>
      <c r="Y42" s="274">
        <v>0</v>
      </c>
      <c r="Z42" s="274">
        <v>0</v>
      </c>
      <c r="AA42" s="274">
        <v>0</v>
      </c>
      <c r="AB42" s="274">
        <v>0</v>
      </c>
      <c r="AC42" s="274">
        <v>0</v>
      </c>
      <c r="AD42" s="274">
        <v>0</v>
      </c>
      <c r="AE42" s="274">
        <f t="shared" ref="AE42:AE59" si="59">SUM(S42:AD42)</f>
        <v>0</v>
      </c>
      <c r="AF42" s="275">
        <f t="shared" ref="AF42:AF59" si="60">AE42/12</f>
        <v>0</v>
      </c>
      <c r="AG42" s="370"/>
      <c r="AH42" s="273">
        <v>0</v>
      </c>
      <c r="AI42" s="274">
        <v>0</v>
      </c>
      <c r="AJ42" s="274">
        <v>0</v>
      </c>
      <c r="AK42" s="274">
        <v>0</v>
      </c>
      <c r="AL42" s="274">
        <v>0</v>
      </c>
      <c r="AM42" s="274">
        <v>0</v>
      </c>
      <c r="AN42" s="274">
        <v>0</v>
      </c>
      <c r="AO42" s="274"/>
      <c r="AP42" s="274"/>
      <c r="AQ42" s="274">
        <v>0</v>
      </c>
      <c r="AR42" s="274">
        <v>0</v>
      </c>
      <c r="AS42" s="274">
        <v>0</v>
      </c>
      <c r="AT42" s="274">
        <f t="shared" si="37"/>
        <v>0</v>
      </c>
      <c r="AU42" s="275">
        <f t="shared" si="10"/>
        <v>0</v>
      </c>
      <c r="AV42" t="b">
        <v>1</v>
      </c>
      <c r="AX42" s="273">
        <v>0</v>
      </c>
      <c r="AY42" s="274">
        <v>0</v>
      </c>
      <c r="AZ42" s="274">
        <v>0</v>
      </c>
      <c r="BA42" s="274">
        <v>0</v>
      </c>
      <c r="BB42" s="274">
        <v>0</v>
      </c>
      <c r="BC42" s="274">
        <v>0</v>
      </c>
      <c r="BD42" s="274">
        <v>0</v>
      </c>
      <c r="BE42" s="274">
        <v>0</v>
      </c>
      <c r="BF42" s="274">
        <v>0</v>
      </c>
      <c r="BG42" s="274">
        <v>0</v>
      </c>
      <c r="BH42" s="274">
        <v>0</v>
      </c>
      <c r="BI42" s="274">
        <v>0</v>
      </c>
      <c r="BJ42" s="274">
        <f t="shared" ref="BJ42:BJ59" si="61">SUM(AX42:BI42)</f>
        <v>0</v>
      </c>
      <c r="BK42" s="275">
        <f t="shared" si="39"/>
        <v>0</v>
      </c>
      <c r="BL42" t="b">
        <v>1</v>
      </c>
      <c r="BN42" s="322">
        <f t="shared" si="3"/>
        <v>0</v>
      </c>
      <c r="BO42" s="322">
        <f t="shared" si="13"/>
        <v>0</v>
      </c>
      <c r="BP42" s="322">
        <f t="shared" si="55"/>
        <v>0</v>
      </c>
      <c r="BQ42" s="322">
        <f t="shared" si="16"/>
        <v>0</v>
      </c>
      <c r="BR42">
        <f t="shared" si="15"/>
        <v>0</v>
      </c>
      <c r="BS42">
        <f t="shared" si="14"/>
        <v>0</v>
      </c>
    </row>
    <row r="43" spans="1:71" x14ac:dyDescent="0.55000000000000004">
      <c r="A43" s="7222"/>
      <c r="B43" s="42"/>
      <c r="C43" s="35" t="s">
        <v>262</v>
      </c>
      <c r="D43" s="273">
        <v>0</v>
      </c>
      <c r="E43" s="274">
        <v>2</v>
      </c>
      <c r="F43" s="274">
        <v>0</v>
      </c>
      <c r="G43" s="274">
        <v>1</v>
      </c>
      <c r="H43" s="274">
        <v>0</v>
      </c>
      <c r="I43" s="274">
        <v>5</v>
      </c>
      <c r="J43" s="274">
        <v>2</v>
      </c>
      <c r="K43" s="274">
        <v>2</v>
      </c>
      <c r="L43" s="274">
        <v>0</v>
      </c>
      <c r="M43" s="274">
        <v>2</v>
      </c>
      <c r="N43" s="274">
        <v>0</v>
      </c>
      <c r="O43" s="274">
        <v>4</v>
      </c>
      <c r="P43" s="274">
        <f t="shared" si="5"/>
        <v>1.5</v>
      </c>
      <c r="Q43" s="275">
        <f t="shared" si="6"/>
        <v>1.5</v>
      </c>
      <c r="R43" s="370"/>
      <c r="S43" s="273">
        <v>1</v>
      </c>
      <c r="T43" s="274">
        <v>0</v>
      </c>
      <c r="U43" s="274">
        <v>5</v>
      </c>
      <c r="V43" s="274">
        <v>1</v>
      </c>
      <c r="W43" s="274">
        <v>1</v>
      </c>
      <c r="X43" s="274">
        <v>1</v>
      </c>
      <c r="Y43" s="274">
        <v>1</v>
      </c>
      <c r="Z43" s="274">
        <v>2</v>
      </c>
      <c r="AA43" s="274">
        <v>1</v>
      </c>
      <c r="AB43" s="274">
        <v>1</v>
      </c>
      <c r="AC43" s="274">
        <v>2</v>
      </c>
      <c r="AD43" s="274">
        <v>1</v>
      </c>
      <c r="AE43" s="274">
        <f t="shared" si="59"/>
        <v>17</v>
      </c>
      <c r="AF43" s="275">
        <f t="shared" si="60"/>
        <v>1.4166666666666667</v>
      </c>
      <c r="AG43" s="370"/>
      <c r="AH43" s="273">
        <v>1</v>
      </c>
      <c r="AI43" s="274">
        <v>4</v>
      </c>
      <c r="AJ43" s="274">
        <v>1</v>
      </c>
      <c r="AK43" s="274">
        <v>2</v>
      </c>
      <c r="AL43" s="274">
        <v>1</v>
      </c>
      <c r="AM43" s="274">
        <v>1</v>
      </c>
      <c r="AN43" s="274">
        <v>1</v>
      </c>
      <c r="AO43" s="274">
        <v>2</v>
      </c>
      <c r="AP43" s="274"/>
      <c r="AQ43" s="274">
        <v>1</v>
      </c>
      <c r="AR43" s="274">
        <v>2</v>
      </c>
      <c r="AS43" s="274">
        <v>0</v>
      </c>
      <c r="AT43" s="274">
        <f t="shared" si="37"/>
        <v>16</v>
      </c>
      <c r="AU43" s="275">
        <f t="shared" si="10"/>
        <v>1.3333333333333333</v>
      </c>
      <c r="AV43" t="b">
        <v>1</v>
      </c>
      <c r="AX43" s="273">
        <v>1</v>
      </c>
      <c r="AY43" s="274">
        <v>3</v>
      </c>
      <c r="AZ43" s="274">
        <v>5</v>
      </c>
      <c r="BA43" s="274">
        <v>4</v>
      </c>
      <c r="BB43" s="274">
        <v>1</v>
      </c>
      <c r="BC43" s="274">
        <v>5</v>
      </c>
      <c r="BD43" s="274">
        <v>0</v>
      </c>
      <c r="BE43" s="274">
        <v>1</v>
      </c>
      <c r="BF43" s="274">
        <v>1</v>
      </c>
      <c r="BG43" s="274">
        <v>1</v>
      </c>
      <c r="BH43" s="274">
        <v>1</v>
      </c>
      <c r="BI43" s="274">
        <v>3</v>
      </c>
      <c r="BJ43" s="274">
        <f t="shared" si="61"/>
        <v>26</v>
      </c>
      <c r="BK43" s="275">
        <f t="shared" si="39"/>
        <v>2.1664861261561539</v>
      </c>
      <c r="BL43" t="b">
        <v>1</v>
      </c>
      <c r="BN43" s="322">
        <f t="shared" si="3"/>
        <v>3</v>
      </c>
      <c r="BO43" s="322">
        <f t="shared" si="13"/>
        <v>0.83315279282282062</v>
      </c>
      <c r="BP43" s="322">
        <f t="shared" si="55"/>
        <v>10</v>
      </c>
      <c r="BQ43" s="322">
        <f t="shared" si="16"/>
        <v>2</v>
      </c>
      <c r="BR43">
        <f t="shared" si="15"/>
        <v>1</v>
      </c>
      <c r="BS43">
        <f t="shared" si="14"/>
        <v>3</v>
      </c>
    </row>
    <row r="44" spans="1:71" x14ac:dyDescent="0.55000000000000004">
      <c r="A44" s="7222"/>
      <c r="B44" s="42"/>
      <c r="C44" s="35" t="s">
        <v>261</v>
      </c>
      <c r="D44" s="273">
        <v>0</v>
      </c>
      <c r="E44" s="274">
        <v>0</v>
      </c>
      <c r="F44" s="274">
        <v>0</v>
      </c>
      <c r="G44" s="274">
        <v>0</v>
      </c>
      <c r="H44" s="274">
        <v>0</v>
      </c>
      <c r="I44" s="274">
        <v>0</v>
      </c>
      <c r="J44" s="274">
        <v>0</v>
      </c>
      <c r="K44" s="274">
        <v>0</v>
      </c>
      <c r="L44" s="274">
        <v>0</v>
      </c>
      <c r="M44" s="274">
        <v>0</v>
      </c>
      <c r="N44" s="274">
        <v>0</v>
      </c>
      <c r="O44" s="274">
        <v>1</v>
      </c>
      <c r="P44" s="274">
        <f t="shared" si="5"/>
        <v>8.3333333333333329E-2</v>
      </c>
      <c r="Q44" s="275">
        <f t="shared" si="6"/>
        <v>8.3333333333333329E-2</v>
      </c>
      <c r="R44" s="370"/>
      <c r="S44" s="273">
        <v>0</v>
      </c>
      <c r="T44" s="274">
        <v>0</v>
      </c>
      <c r="U44" s="274">
        <v>0</v>
      </c>
      <c r="V44" s="274">
        <v>0</v>
      </c>
      <c r="W44" s="274">
        <v>0</v>
      </c>
      <c r="X44" s="274">
        <v>0</v>
      </c>
      <c r="Y44" s="274">
        <v>0</v>
      </c>
      <c r="Z44" s="274">
        <v>0</v>
      </c>
      <c r="AA44" s="274">
        <v>0</v>
      </c>
      <c r="AB44" s="274">
        <v>1</v>
      </c>
      <c r="AC44" s="274">
        <v>1</v>
      </c>
      <c r="AD44" s="274">
        <v>1</v>
      </c>
      <c r="AE44" s="274">
        <f t="shared" si="59"/>
        <v>3</v>
      </c>
      <c r="AF44" s="275">
        <f t="shared" si="60"/>
        <v>0.25</v>
      </c>
      <c r="AG44" s="370"/>
      <c r="AH44" s="273">
        <v>0</v>
      </c>
      <c r="AI44" s="274">
        <v>0</v>
      </c>
      <c r="AJ44" s="274">
        <v>0</v>
      </c>
      <c r="AK44" s="274">
        <v>0</v>
      </c>
      <c r="AL44" s="274">
        <v>1</v>
      </c>
      <c r="AM44" s="274">
        <v>0</v>
      </c>
      <c r="AN44" s="274">
        <v>0</v>
      </c>
      <c r="AO44" s="274"/>
      <c r="AP44" s="274"/>
      <c r="AQ44" s="274">
        <v>0</v>
      </c>
      <c r="AR44" s="274">
        <v>0</v>
      </c>
      <c r="AS44" s="274">
        <v>1</v>
      </c>
      <c r="AT44" s="274">
        <f t="shared" si="37"/>
        <v>2</v>
      </c>
      <c r="AU44" s="275">
        <f t="shared" si="10"/>
        <v>0.16666666666666666</v>
      </c>
      <c r="AV44" t="b">
        <v>1</v>
      </c>
      <c r="AX44" s="273">
        <v>1</v>
      </c>
      <c r="AY44" s="274">
        <v>0</v>
      </c>
      <c r="AZ44" s="274">
        <v>2</v>
      </c>
      <c r="BA44" s="274">
        <v>0</v>
      </c>
      <c r="BB44" s="274">
        <v>0</v>
      </c>
      <c r="BC44" s="274">
        <v>0</v>
      </c>
      <c r="BD44" s="274">
        <v>0</v>
      </c>
      <c r="BE44" s="274">
        <v>0</v>
      </c>
      <c r="BF44" s="274">
        <v>0</v>
      </c>
      <c r="BG44" s="274">
        <v>0</v>
      </c>
      <c r="BH44" s="274">
        <v>0</v>
      </c>
      <c r="BI44" s="274">
        <v>0</v>
      </c>
      <c r="BJ44" s="274">
        <f t="shared" si="61"/>
        <v>3</v>
      </c>
      <c r="BK44" s="275">
        <f t="shared" si="39"/>
        <v>0.24997916840263312</v>
      </c>
      <c r="BL44" t="b">
        <v>1</v>
      </c>
      <c r="BN44" s="322">
        <f t="shared" si="3"/>
        <v>-1</v>
      </c>
      <c r="BO44" s="322">
        <f t="shared" si="13"/>
        <v>8.3312501735966465E-2</v>
      </c>
      <c r="BP44" s="322">
        <f t="shared" si="55"/>
        <v>1</v>
      </c>
      <c r="BQ44" s="322">
        <f t="shared" si="16"/>
        <v>0</v>
      </c>
      <c r="BR44">
        <f t="shared" si="15"/>
        <v>0</v>
      </c>
      <c r="BS44">
        <f t="shared" si="14"/>
        <v>0</v>
      </c>
    </row>
    <row r="45" spans="1:71" x14ac:dyDescent="0.55000000000000004">
      <c r="A45" s="7222"/>
      <c r="B45" s="243" t="s">
        <v>222</v>
      </c>
      <c r="C45" s="107"/>
      <c r="D45" s="276">
        <f>D50+D51</f>
        <v>0</v>
      </c>
      <c r="E45" s="277">
        <f t="shared" ref="E45:O45" si="62">E50+E51</f>
        <v>0</v>
      </c>
      <c r="F45" s="277">
        <f t="shared" si="62"/>
        <v>0</v>
      </c>
      <c r="G45" s="277">
        <f t="shared" si="62"/>
        <v>0</v>
      </c>
      <c r="H45" s="277">
        <f t="shared" si="62"/>
        <v>0</v>
      </c>
      <c r="I45" s="277">
        <f t="shared" si="62"/>
        <v>2</v>
      </c>
      <c r="J45" s="277">
        <f t="shared" si="62"/>
        <v>1</v>
      </c>
      <c r="K45" s="277">
        <f t="shared" si="62"/>
        <v>1</v>
      </c>
      <c r="L45" s="277">
        <f t="shared" si="62"/>
        <v>0</v>
      </c>
      <c r="M45" s="277">
        <f t="shared" si="62"/>
        <v>1</v>
      </c>
      <c r="N45" s="277">
        <f t="shared" si="62"/>
        <v>0</v>
      </c>
      <c r="O45" s="277">
        <f t="shared" si="62"/>
        <v>1</v>
      </c>
      <c r="P45" s="277">
        <f t="shared" si="5"/>
        <v>0.5</v>
      </c>
      <c r="Q45" s="278">
        <f t="shared" si="6"/>
        <v>0.5</v>
      </c>
      <c r="R45" s="370"/>
      <c r="S45" s="276">
        <f>S50+S51</f>
        <v>0</v>
      </c>
      <c r="T45" s="277">
        <f t="shared" ref="T45:AD45" si="63">T50+T51</f>
        <v>0</v>
      </c>
      <c r="U45" s="277">
        <f t="shared" si="63"/>
        <v>3</v>
      </c>
      <c r="V45" s="277">
        <f t="shared" si="63"/>
        <v>0</v>
      </c>
      <c r="W45" s="277">
        <f t="shared" si="63"/>
        <v>0</v>
      </c>
      <c r="X45" s="277">
        <f t="shared" si="63"/>
        <v>1</v>
      </c>
      <c r="Y45" s="277">
        <f t="shared" si="63"/>
        <v>0</v>
      </c>
      <c r="Z45" s="277">
        <f t="shared" si="63"/>
        <v>0</v>
      </c>
      <c r="AA45" s="277">
        <f t="shared" si="63"/>
        <v>0</v>
      </c>
      <c r="AB45" s="277">
        <f t="shared" si="63"/>
        <v>1</v>
      </c>
      <c r="AC45" s="277">
        <f t="shared" si="63"/>
        <v>0</v>
      </c>
      <c r="AD45" s="277">
        <f t="shared" si="63"/>
        <v>2</v>
      </c>
      <c r="AE45" s="277">
        <f t="shared" si="59"/>
        <v>7</v>
      </c>
      <c r="AF45" s="278">
        <f t="shared" si="60"/>
        <v>0.58333333333333337</v>
      </c>
      <c r="AG45" s="370"/>
      <c r="AH45" s="276">
        <f t="shared" ref="AH45:AM45" si="64">AH50+AH51</f>
        <v>0</v>
      </c>
      <c r="AI45" s="277">
        <f t="shared" si="64"/>
        <v>4</v>
      </c>
      <c r="AJ45" s="277">
        <f t="shared" si="64"/>
        <v>0</v>
      </c>
      <c r="AK45" s="277">
        <f t="shared" si="64"/>
        <v>1</v>
      </c>
      <c r="AL45" s="277">
        <f t="shared" si="64"/>
        <v>1</v>
      </c>
      <c r="AM45" s="277">
        <f t="shared" si="64"/>
        <v>0</v>
      </c>
      <c r="AN45" s="277">
        <v>0</v>
      </c>
      <c r="AO45" s="277">
        <f>AO50+AO51</f>
        <v>0</v>
      </c>
      <c r="AP45" s="277">
        <f>AP50+AP51</f>
        <v>0</v>
      </c>
      <c r="AQ45" s="277">
        <f>AQ50+AQ51</f>
        <v>1</v>
      </c>
      <c r="AR45" s="277">
        <f>AR50+AR51</f>
        <v>0</v>
      </c>
      <c r="AS45" s="277">
        <v>0</v>
      </c>
      <c r="AT45" s="277">
        <f t="shared" si="37"/>
        <v>7</v>
      </c>
      <c r="AU45" s="278">
        <f t="shared" si="10"/>
        <v>0.58333333333333337</v>
      </c>
      <c r="AV45" t="b">
        <v>1</v>
      </c>
      <c r="AX45" s="276">
        <v>0</v>
      </c>
      <c r="AY45" s="277">
        <v>1</v>
      </c>
      <c r="AZ45" s="277">
        <v>3</v>
      </c>
      <c r="BA45" s="277">
        <v>0</v>
      </c>
      <c r="BB45" s="277">
        <v>0</v>
      </c>
      <c r="BC45" s="277">
        <v>1</v>
      </c>
      <c r="BD45" s="277">
        <v>0</v>
      </c>
      <c r="BE45" s="277">
        <v>0</v>
      </c>
      <c r="BF45" s="277">
        <v>1</v>
      </c>
      <c r="BG45" s="277">
        <v>0</v>
      </c>
      <c r="BH45" s="277">
        <v>0</v>
      </c>
      <c r="BI45" s="277">
        <v>2</v>
      </c>
      <c r="BJ45" s="277">
        <f t="shared" si="61"/>
        <v>8</v>
      </c>
      <c r="BK45" s="278">
        <f t="shared" si="39"/>
        <v>0.66661111574035503</v>
      </c>
      <c r="BL45" t="b">
        <v>1</v>
      </c>
      <c r="BN45" s="322">
        <f t="shared" si="3"/>
        <v>2</v>
      </c>
      <c r="BO45" s="322">
        <f t="shared" si="13"/>
        <v>8.3277782407021661E-2</v>
      </c>
      <c r="BP45" s="322">
        <f t="shared" si="55"/>
        <v>1</v>
      </c>
      <c r="BQ45" s="322">
        <f t="shared" si="16"/>
        <v>2</v>
      </c>
      <c r="BR45">
        <f t="shared" si="15"/>
        <v>0</v>
      </c>
      <c r="BS45">
        <f t="shared" si="14"/>
        <v>2</v>
      </c>
    </row>
    <row r="46" spans="1:71" x14ac:dyDescent="0.55000000000000004">
      <c r="A46" s="7222"/>
      <c r="B46" s="235" t="s">
        <v>223</v>
      </c>
      <c r="C46" s="14"/>
      <c r="D46" s="279">
        <f>D52+D53</f>
        <v>0</v>
      </c>
      <c r="E46" s="280">
        <f t="shared" ref="E46:O46" si="65">E52+E53</f>
        <v>1</v>
      </c>
      <c r="F46" s="280">
        <f t="shared" si="65"/>
        <v>0</v>
      </c>
      <c r="G46" s="280">
        <f t="shared" si="65"/>
        <v>0</v>
      </c>
      <c r="H46" s="280">
        <f t="shared" si="65"/>
        <v>0</v>
      </c>
      <c r="I46" s="280">
        <f t="shared" si="65"/>
        <v>0</v>
      </c>
      <c r="J46" s="280">
        <f t="shared" si="65"/>
        <v>0</v>
      </c>
      <c r="K46" s="280">
        <f t="shared" si="65"/>
        <v>0</v>
      </c>
      <c r="L46" s="280">
        <f t="shared" si="65"/>
        <v>0</v>
      </c>
      <c r="M46" s="280">
        <f t="shared" si="65"/>
        <v>0</v>
      </c>
      <c r="N46" s="280">
        <f t="shared" si="65"/>
        <v>0</v>
      </c>
      <c r="O46" s="280">
        <f t="shared" si="65"/>
        <v>2</v>
      </c>
      <c r="P46" s="280">
        <f t="shared" si="5"/>
        <v>0.25</v>
      </c>
      <c r="Q46" s="281">
        <f t="shared" si="6"/>
        <v>0.25</v>
      </c>
      <c r="R46" s="370"/>
      <c r="S46" s="279">
        <f>S52+S53</f>
        <v>0</v>
      </c>
      <c r="T46" s="280">
        <f t="shared" ref="T46:AD46" si="66">T52+T53</f>
        <v>0</v>
      </c>
      <c r="U46" s="280">
        <f t="shared" si="66"/>
        <v>0</v>
      </c>
      <c r="V46" s="280">
        <f t="shared" si="66"/>
        <v>0</v>
      </c>
      <c r="W46" s="280">
        <f t="shared" si="66"/>
        <v>0</v>
      </c>
      <c r="X46" s="280">
        <f t="shared" si="66"/>
        <v>0</v>
      </c>
      <c r="Y46" s="280">
        <f t="shared" si="66"/>
        <v>0</v>
      </c>
      <c r="Z46" s="280">
        <f t="shared" si="66"/>
        <v>0</v>
      </c>
      <c r="AA46" s="280">
        <f t="shared" si="66"/>
        <v>0</v>
      </c>
      <c r="AB46" s="280">
        <f t="shared" si="66"/>
        <v>0</v>
      </c>
      <c r="AC46" s="280">
        <f t="shared" si="66"/>
        <v>1</v>
      </c>
      <c r="AD46" s="280">
        <f t="shared" si="66"/>
        <v>0</v>
      </c>
      <c r="AE46" s="280">
        <f t="shared" si="59"/>
        <v>1</v>
      </c>
      <c r="AF46" s="281">
        <f t="shared" si="60"/>
        <v>8.3333333333333329E-2</v>
      </c>
      <c r="AG46" s="370"/>
      <c r="AH46" s="279">
        <f t="shared" ref="AH46:AM46" si="67">AH52+AH53</f>
        <v>0</v>
      </c>
      <c r="AI46" s="280">
        <f t="shared" si="67"/>
        <v>0</v>
      </c>
      <c r="AJ46" s="280">
        <f t="shared" si="67"/>
        <v>1</v>
      </c>
      <c r="AK46" s="280">
        <f t="shared" si="67"/>
        <v>0</v>
      </c>
      <c r="AL46" s="280">
        <f t="shared" si="67"/>
        <v>0</v>
      </c>
      <c r="AM46" s="280">
        <f t="shared" si="67"/>
        <v>0</v>
      </c>
      <c r="AN46" s="280">
        <v>0</v>
      </c>
      <c r="AO46" s="280">
        <f>AO52+AO53</f>
        <v>0</v>
      </c>
      <c r="AP46" s="280">
        <f>AP52+AP53</f>
        <v>0</v>
      </c>
      <c r="AQ46" s="280">
        <f>AQ52+AQ53</f>
        <v>0</v>
      </c>
      <c r="AR46" s="280">
        <f>AR52+AR53</f>
        <v>1</v>
      </c>
      <c r="AS46" s="280">
        <v>1</v>
      </c>
      <c r="AT46" s="280">
        <f t="shared" si="37"/>
        <v>3</v>
      </c>
      <c r="AU46" s="281">
        <f t="shared" si="10"/>
        <v>0.25</v>
      </c>
      <c r="AV46" t="b">
        <v>1</v>
      </c>
      <c r="AX46" s="279">
        <v>0</v>
      </c>
      <c r="AY46" s="280">
        <v>0</v>
      </c>
      <c r="AZ46" s="280">
        <v>0</v>
      </c>
      <c r="BA46" s="280">
        <v>2</v>
      </c>
      <c r="BB46" s="280">
        <v>1</v>
      </c>
      <c r="BC46" s="280">
        <v>0</v>
      </c>
      <c r="BD46" s="280">
        <v>0</v>
      </c>
      <c r="BE46" s="280">
        <v>1</v>
      </c>
      <c r="BF46" s="280">
        <v>0</v>
      </c>
      <c r="BG46" s="280">
        <v>0</v>
      </c>
      <c r="BH46" s="280">
        <v>0</v>
      </c>
      <c r="BI46" s="280">
        <v>0</v>
      </c>
      <c r="BJ46" s="280">
        <f t="shared" si="61"/>
        <v>4</v>
      </c>
      <c r="BK46" s="281">
        <f t="shared" si="39"/>
        <v>0.33330555787017752</v>
      </c>
      <c r="BL46" t="b">
        <v>1</v>
      </c>
      <c r="BN46" s="322">
        <f t="shared" si="3"/>
        <v>-1</v>
      </c>
      <c r="BO46" s="322">
        <f t="shared" si="13"/>
        <v>8.3305557870177516E-2</v>
      </c>
      <c r="BP46" s="322">
        <f t="shared" si="55"/>
        <v>1</v>
      </c>
      <c r="BQ46" s="322">
        <f t="shared" si="16"/>
        <v>0</v>
      </c>
      <c r="BR46">
        <f t="shared" si="15"/>
        <v>0</v>
      </c>
      <c r="BS46">
        <f t="shared" si="14"/>
        <v>0</v>
      </c>
    </row>
    <row r="47" spans="1:71" x14ac:dyDescent="0.55000000000000004">
      <c r="A47" s="7222"/>
      <c r="B47" s="235" t="s">
        <v>224</v>
      </c>
      <c r="C47" s="14"/>
      <c r="D47" s="279">
        <f>D54+D55</f>
        <v>0</v>
      </c>
      <c r="E47" s="280">
        <f t="shared" ref="E47:O47" si="68">E54+E55</f>
        <v>0</v>
      </c>
      <c r="F47" s="280">
        <f t="shared" si="68"/>
        <v>0</v>
      </c>
      <c r="G47" s="280">
        <f t="shared" si="68"/>
        <v>0</v>
      </c>
      <c r="H47" s="280">
        <f t="shared" si="68"/>
        <v>0</v>
      </c>
      <c r="I47" s="280">
        <f t="shared" si="68"/>
        <v>0</v>
      </c>
      <c r="J47" s="280">
        <f t="shared" si="68"/>
        <v>0</v>
      </c>
      <c r="K47" s="280">
        <f t="shared" si="68"/>
        <v>0</v>
      </c>
      <c r="L47" s="280">
        <f t="shared" si="68"/>
        <v>0</v>
      </c>
      <c r="M47" s="280">
        <f t="shared" si="68"/>
        <v>1</v>
      </c>
      <c r="N47" s="280">
        <f t="shared" si="68"/>
        <v>0</v>
      </c>
      <c r="O47" s="280">
        <f t="shared" si="68"/>
        <v>1</v>
      </c>
      <c r="P47" s="280">
        <f t="shared" si="5"/>
        <v>0.16666666666666666</v>
      </c>
      <c r="Q47" s="281">
        <f t="shared" si="6"/>
        <v>0.16666666666666666</v>
      </c>
      <c r="R47" s="370"/>
      <c r="S47" s="279">
        <f>S54+S55</f>
        <v>0</v>
      </c>
      <c r="T47" s="280">
        <f t="shared" ref="T47:AD47" si="69">T54+T55</f>
        <v>0</v>
      </c>
      <c r="U47" s="280">
        <f t="shared" si="69"/>
        <v>0</v>
      </c>
      <c r="V47" s="280">
        <f t="shared" si="69"/>
        <v>0</v>
      </c>
      <c r="W47" s="280">
        <f t="shared" si="69"/>
        <v>1</v>
      </c>
      <c r="X47" s="280">
        <f t="shared" si="69"/>
        <v>0</v>
      </c>
      <c r="Y47" s="280">
        <f t="shared" si="69"/>
        <v>0</v>
      </c>
      <c r="Z47" s="280">
        <f t="shared" si="69"/>
        <v>1</v>
      </c>
      <c r="AA47" s="280">
        <f t="shared" si="69"/>
        <v>0</v>
      </c>
      <c r="AB47" s="280">
        <f t="shared" si="69"/>
        <v>0</v>
      </c>
      <c r="AC47" s="280">
        <f t="shared" si="69"/>
        <v>0</v>
      </c>
      <c r="AD47" s="280">
        <f t="shared" si="69"/>
        <v>0</v>
      </c>
      <c r="AE47" s="280">
        <f t="shared" si="59"/>
        <v>2</v>
      </c>
      <c r="AF47" s="281">
        <f t="shared" si="60"/>
        <v>0.16666666666666666</v>
      </c>
      <c r="AG47" s="370"/>
      <c r="AH47" s="279">
        <f t="shared" ref="AH47:AM47" si="70">AH54+AH55</f>
        <v>0</v>
      </c>
      <c r="AI47" s="280">
        <f t="shared" si="70"/>
        <v>0</v>
      </c>
      <c r="AJ47" s="280">
        <f t="shared" si="70"/>
        <v>0</v>
      </c>
      <c r="AK47" s="280">
        <f t="shared" si="70"/>
        <v>0</v>
      </c>
      <c r="AL47" s="280">
        <f t="shared" si="70"/>
        <v>0</v>
      </c>
      <c r="AM47" s="280">
        <f t="shared" si="70"/>
        <v>1</v>
      </c>
      <c r="AN47" s="280">
        <v>0</v>
      </c>
      <c r="AO47" s="280">
        <f>AO54+AO55</f>
        <v>0</v>
      </c>
      <c r="AP47" s="280">
        <f>AP54+AP55</f>
        <v>0</v>
      </c>
      <c r="AQ47" s="280">
        <f>AQ54+AQ55</f>
        <v>0</v>
      </c>
      <c r="AR47" s="280">
        <f>AR54+AR55</f>
        <v>0</v>
      </c>
      <c r="AS47" s="280">
        <v>0</v>
      </c>
      <c r="AT47" s="280">
        <f t="shared" si="37"/>
        <v>1</v>
      </c>
      <c r="AU47" s="281">
        <f t="shared" si="10"/>
        <v>8.3333333333333329E-2</v>
      </c>
      <c r="AV47" t="b">
        <v>1</v>
      </c>
      <c r="AX47" s="279">
        <v>0</v>
      </c>
      <c r="AY47" s="280">
        <v>1</v>
      </c>
      <c r="AZ47" s="280">
        <v>2</v>
      </c>
      <c r="BA47" s="280">
        <v>0</v>
      </c>
      <c r="BB47" s="280">
        <v>0</v>
      </c>
      <c r="BC47" s="280">
        <v>3</v>
      </c>
      <c r="BD47" s="280">
        <v>0</v>
      </c>
      <c r="BE47" s="280">
        <v>0</v>
      </c>
      <c r="BF47" s="280">
        <v>0</v>
      </c>
      <c r="BG47" s="280">
        <v>0</v>
      </c>
      <c r="BH47" s="280">
        <v>1</v>
      </c>
      <c r="BI47" s="280">
        <v>1</v>
      </c>
      <c r="BJ47" s="280">
        <f t="shared" si="61"/>
        <v>8</v>
      </c>
      <c r="BK47" s="281">
        <f t="shared" si="39"/>
        <v>0.66661111574035503</v>
      </c>
      <c r="BL47" t="b">
        <v>1</v>
      </c>
      <c r="BN47" s="322">
        <f t="shared" si="3"/>
        <v>1</v>
      </c>
      <c r="BO47" s="322">
        <f t="shared" si="13"/>
        <v>0.58327778240702166</v>
      </c>
      <c r="BP47" s="322">
        <f t="shared" si="55"/>
        <v>7</v>
      </c>
      <c r="BQ47" s="322">
        <f t="shared" si="16"/>
        <v>0</v>
      </c>
      <c r="BR47">
        <f t="shared" si="15"/>
        <v>1</v>
      </c>
      <c r="BS47">
        <f t="shared" si="14"/>
        <v>1</v>
      </c>
    </row>
    <row r="48" spans="1:71" x14ac:dyDescent="0.55000000000000004">
      <c r="A48" s="7222"/>
      <c r="B48" s="235" t="s">
        <v>225</v>
      </c>
      <c r="C48" s="14"/>
      <c r="D48" s="279">
        <f>D56+D57</f>
        <v>0</v>
      </c>
      <c r="E48" s="280">
        <f t="shared" ref="E48:O48" si="71">E56+E57</f>
        <v>1</v>
      </c>
      <c r="F48" s="280">
        <f t="shared" si="71"/>
        <v>0</v>
      </c>
      <c r="G48" s="280">
        <f t="shared" si="71"/>
        <v>1</v>
      </c>
      <c r="H48" s="280">
        <f t="shared" si="71"/>
        <v>0</v>
      </c>
      <c r="I48" s="280">
        <f t="shared" si="71"/>
        <v>1</v>
      </c>
      <c r="J48" s="280">
        <f t="shared" si="71"/>
        <v>1</v>
      </c>
      <c r="K48" s="280">
        <f t="shared" si="71"/>
        <v>1</v>
      </c>
      <c r="L48" s="280">
        <f t="shared" si="71"/>
        <v>0</v>
      </c>
      <c r="M48" s="280">
        <f t="shared" si="71"/>
        <v>0</v>
      </c>
      <c r="N48" s="280">
        <f t="shared" si="71"/>
        <v>0</v>
      </c>
      <c r="O48" s="280">
        <f t="shared" si="71"/>
        <v>1</v>
      </c>
      <c r="P48" s="280">
        <f t="shared" si="5"/>
        <v>0.5</v>
      </c>
      <c r="Q48" s="281">
        <f t="shared" si="6"/>
        <v>0.5</v>
      </c>
      <c r="R48" s="370"/>
      <c r="S48" s="279">
        <f>S56+S57</f>
        <v>0</v>
      </c>
      <c r="T48" s="280">
        <f t="shared" ref="T48:AD48" si="72">T56+T57</f>
        <v>0</v>
      </c>
      <c r="U48" s="280">
        <f t="shared" si="72"/>
        <v>2</v>
      </c>
      <c r="V48" s="280">
        <f t="shared" si="72"/>
        <v>0</v>
      </c>
      <c r="W48" s="280">
        <f t="shared" si="72"/>
        <v>0</v>
      </c>
      <c r="X48" s="280">
        <f t="shared" si="72"/>
        <v>0</v>
      </c>
      <c r="Y48" s="280">
        <f t="shared" si="72"/>
        <v>1</v>
      </c>
      <c r="Z48" s="280">
        <f t="shared" si="72"/>
        <v>1</v>
      </c>
      <c r="AA48" s="280">
        <f t="shared" si="72"/>
        <v>1</v>
      </c>
      <c r="AB48" s="280">
        <f t="shared" si="72"/>
        <v>0</v>
      </c>
      <c r="AC48" s="280">
        <f t="shared" si="72"/>
        <v>2</v>
      </c>
      <c r="AD48" s="280">
        <f t="shared" si="72"/>
        <v>0</v>
      </c>
      <c r="AE48" s="280">
        <f t="shared" si="59"/>
        <v>7</v>
      </c>
      <c r="AF48" s="281">
        <f t="shared" si="60"/>
        <v>0.58333333333333337</v>
      </c>
      <c r="AG48" s="370"/>
      <c r="AH48" s="279">
        <f t="shared" ref="AH48:AM48" si="73">AH56+AH57</f>
        <v>1</v>
      </c>
      <c r="AI48" s="280">
        <f t="shared" si="73"/>
        <v>0</v>
      </c>
      <c r="AJ48" s="280">
        <f t="shared" si="73"/>
        <v>0</v>
      </c>
      <c r="AK48" s="280">
        <f t="shared" si="73"/>
        <v>1</v>
      </c>
      <c r="AL48" s="280">
        <f t="shared" si="73"/>
        <v>0</v>
      </c>
      <c r="AM48" s="280">
        <f t="shared" si="73"/>
        <v>0</v>
      </c>
      <c r="AN48" s="280">
        <v>0</v>
      </c>
      <c r="AO48" s="280">
        <f>AO56+AO57</f>
        <v>2</v>
      </c>
      <c r="AP48" s="280">
        <f>AP56+AP57</f>
        <v>0</v>
      </c>
      <c r="AQ48" s="280">
        <f>AQ56+AQ57</f>
        <v>0</v>
      </c>
      <c r="AR48" s="280">
        <f>AR56+AR57</f>
        <v>1</v>
      </c>
      <c r="AS48" s="280">
        <v>0</v>
      </c>
      <c r="AT48" s="280">
        <f t="shared" si="37"/>
        <v>5</v>
      </c>
      <c r="AU48" s="281">
        <f t="shared" si="10"/>
        <v>0.41666666666666669</v>
      </c>
      <c r="AV48" t="b">
        <v>1</v>
      </c>
      <c r="AX48" s="279">
        <v>1</v>
      </c>
      <c r="AY48" s="280">
        <v>1</v>
      </c>
      <c r="AZ48" s="280">
        <v>1</v>
      </c>
      <c r="BA48" s="280">
        <v>0</v>
      </c>
      <c r="BB48" s="280">
        <v>0</v>
      </c>
      <c r="BC48" s="280">
        <v>0</v>
      </c>
      <c r="BD48" s="280">
        <v>0</v>
      </c>
      <c r="BE48" s="280">
        <v>0</v>
      </c>
      <c r="BF48" s="280">
        <v>0</v>
      </c>
      <c r="BG48" s="280">
        <v>0</v>
      </c>
      <c r="BH48" s="280">
        <v>0</v>
      </c>
      <c r="BI48" s="280">
        <v>0</v>
      </c>
      <c r="BJ48" s="280">
        <f t="shared" si="61"/>
        <v>3</v>
      </c>
      <c r="BK48" s="281">
        <f t="shared" si="39"/>
        <v>0.24997916840263312</v>
      </c>
      <c r="BL48" t="b">
        <v>1</v>
      </c>
      <c r="BN48" s="322">
        <f t="shared" si="3"/>
        <v>0</v>
      </c>
      <c r="BO48" s="322">
        <f t="shared" si="13"/>
        <v>-0.16668749826403356</v>
      </c>
      <c r="BP48" s="322">
        <f t="shared" si="55"/>
        <v>-2</v>
      </c>
      <c r="BQ48" s="322">
        <f t="shared" si="16"/>
        <v>0</v>
      </c>
      <c r="BR48">
        <f t="shared" si="15"/>
        <v>0</v>
      </c>
      <c r="BS48">
        <f t="shared" si="14"/>
        <v>0</v>
      </c>
    </row>
    <row r="49" spans="1:71" x14ac:dyDescent="0.55000000000000004">
      <c r="A49" s="7222"/>
      <c r="B49" s="236" t="s">
        <v>226</v>
      </c>
      <c r="C49" s="29"/>
      <c r="D49" s="282">
        <f>D58+D59</f>
        <v>0</v>
      </c>
      <c r="E49" s="283">
        <f t="shared" ref="E49:O49" si="74">E58+E59</f>
        <v>0</v>
      </c>
      <c r="F49" s="283">
        <f t="shared" si="74"/>
        <v>0</v>
      </c>
      <c r="G49" s="283">
        <f t="shared" si="74"/>
        <v>0</v>
      </c>
      <c r="H49" s="283">
        <f t="shared" si="74"/>
        <v>0</v>
      </c>
      <c r="I49" s="283">
        <f t="shared" si="74"/>
        <v>2</v>
      </c>
      <c r="J49" s="283">
        <f t="shared" si="74"/>
        <v>0</v>
      </c>
      <c r="K49" s="283">
        <f t="shared" si="74"/>
        <v>0</v>
      </c>
      <c r="L49" s="283">
        <f t="shared" si="74"/>
        <v>0</v>
      </c>
      <c r="M49" s="283">
        <f t="shared" si="74"/>
        <v>0</v>
      </c>
      <c r="N49" s="283">
        <f t="shared" si="74"/>
        <v>0</v>
      </c>
      <c r="O49" s="283">
        <f t="shared" si="74"/>
        <v>0</v>
      </c>
      <c r="P49" s="283">
        <f t="shared" si="5"/>
        <v>0.16666666666666666</v>
      </c>
      <c r="Q49" s="284">
        <f t="shared" si="6"/>
        <v>0.16666666666666666</v>
      </c>
      <c r="R49" s="370"/>
      <c r="S49" s="282">
        <f>S58+S59</f>
        <v>1</v>
      </c>
      <c r="T49" s="283">
        <f t="shared" ref="T49:AD49" si="75">T58+T59</f>
        <v>0</v>
      </c>
      <c r="U49" s="283">
        <f t="shared" si="75"/>
        <v>0</v>
      </c>
      <c r="V49" s="283">
        <f t="shared" si="75"/>
        <v>1</v>
      </c>
      <c r="W49" s="283">
        <f t="shared" si="75"/>
        <v>0</v>
      </c>
      <c r="X49" s="283">
        <f t="shared" si="75"/>
        <v>0</v>
      </c>
      <c r="Y49" s="283">
        <f t="shared" si="75"/>
        <v>0</v>
      </c>
      <c r="Z49" s="283">
        <f t="shared" si="75"/>
        <v>0</v>
      </c>
      <c r="AA49" s="283">
        <f t="shared" si="75"/>
        <v>0</v>
      </c>
      <c r="AB49" s="283">
        <f t="shared" si="75"/>
        <v>1</v>
      </c>
      <c r="AC49" s="283">
        <f t="shared" si="75"/>
        <v>0</v>
      </c>
      <c r="AD49" s="283">
        <f t="shared" si="75"/>
        <v>0</v>
      </c>
      <c r="AE49" s="283">
        <f t="shared" si="59"/>
        <v>3</v>
      </c>
      <c r="AF49" s="284">
        <f t="shared" si="60"/>
        <v>0.25</v>
      </c>
      <c r="AG49" s="370"/>
      <c r="AH49" s="282">
        <f t="shared" ref="AH49:AM49" si="76">AH58+AH59</f>
        <v>0</v>
      </c>
      <c r="AI49" s="283">
        <f t="shared" si="76"/>
        <v>0</v>
      </c>
      <c r="AJ49" s="283">
        <f t="shared" si="76"/>
        <v>0</v>
      </c>
      <c r="AK49" s="283">
        <f t="shared" si="76"/>
        <v>0</v>
      </c>
      <c r="AL49" s="283">
        <f t="shared" si="76"/>
        <v>1</v>
      </c>
      <c r="AM49" s="283">
        <f t="shared" si="76"/>
        <v>0</v>
      </c>
      <c r="AN49" s="283">
        <v>0</v>
      </c>
      <c r="AO49" s="283">
        <f>AO58+AO59</f>
        <v>0</v>
      </c>
      <c r="AP49" s="283">
        <f>AP58+AP59</f>
        <v>0</v>
      </c>
      <c r="AQ49" s="283">
        <f>AQ58+AQ59</f>
        <v>0</v>
      </c>
      <c r="AR49" s="283">
        <f>AR58+AR59</f>
        <v>0</v>
      </c>
      <c r="AS49" s="283">
        <v>0</v>
      </c>
      <c r="AT49" s="283">
        <f t="shared" si="37"/>
        <v>1</v>
      </c>
      <c r="AU49" s="284">
        <f t="shared" si="10"/>
        <v>8.3333333333333329E-2</v>
      </c>
      <c r="AV49" t="b">
        <v>1</v>
      </c>
      <c r="AX49" s="282">
        <v>1</v>
      </c>
      <c r="AY49" s="283">
        <v>0</v>
      </c>
      <c r="AZ49" s="283">
        <v>1</v>
      </c>
      <c r="BA49" s="283">
        <v>2</v>
      </c>
      <c r="BB49" s="283">
        <v>0</v>
      </c>
      <c r="BC49" s="283">
        <v>1</v>
      </c>
      <c r="BD49" s="283">
        <v>0</v>
      </c>
      <c r="BE49" s="283">
        <v>0</v>
      </c>
      <c r="BF49" s="283">
        <v>0</v>
      </c>
      <c r="BG49" s="283">
        <v>1</v>
      </c>
      <c r="BH49" s="283">
        <v>0</v>
      </c>
      <c r="BI49" s="283">
        <v>0</v>
      </c>
      <c r="BJ49" s="283">
        <f t="shared" si="61"/>
        <v>6</v>
      </c>
      <c r="BK49" s="284">
        <f t="shared" si="39"/>
        <v>0.49995833680526625</v>
      </c>
      <c r="BL49" t="b">
        <v>1</v>
      </c>
      <c r="BN49" s="322">
        <f t="shared" si="3"/>
        <v>0</v>
      </c>
      <c r="BO49" s="322">
        <f t="shared" si="13"/>
        <v>0.41662500347193293</v>
      </c>
      <c r="BP49" s="322">
        <f t="shared" si="55"/>
        <v>5</v>
      </c>
      <c r="BQ49" s="322">
        <f t="shared" si="16"/>
        <v>0</v>
      </c>
      <c r="BR49">
        <f t="shared" si="15"/>
        <v>0</v>
      </c>
      <c r="BS49">
        <f t="shared" si="14"/>
        <v>0</v>
      </c>
    </row>
    <row r="50" spans="1:71" x14ac:dyDescent="0.55000000000000004">
      <c r="A50" s="7222"/>
      <c r="B50" s="244"/>
      <c r="C50" s="176" t="s">
        <v>227</v>
      </c>
      <c r="D50" s="333">
        <v>0</v>
      </c>
      <c r="E50" s="333">
        <v>0</v>
      </c>
      <c r="F50" s="333">
        <v>0</v>
      </c>
      <c r="G50" s="333">
        <v>0</v>
      </c>
      <c r="H50" s="333">
        <v>0</v>
      </c>
      <c r="I50" s="333">
        <v>1</v>
      </c>
      <c r="J50" s="333">
        <v>0</v>
      </c>
      <c r="K50" s="333">
        <v>1</v>
      </c>
      <c r="L50" s="333">
        <v>0</v>
      </c>
      <c r="M50" s="333">
        <v>0</v>
      </c>
      <c r="N50" s="333">
        <v>0</v>
      </c>
      <c r="O50" s="333">
        <v>0</v>
      </c>
      <c r="P50" s="333">
        <f t="shared" si="5"/>
        <v>0.16666666666666666</v>
      </c>
      <c r="Q50" s="334">
        <f t="shared" si="6"/>
        <v>0.16666666666666666</v>
      </c>
      <c r="R50" s="370">
        <v>0</v>
      </c>
      <c r="S50" s="335">
        <v>0</v>
      </c>
      <c r="T50" s="333">
        <v>0</v>
      </c>
      <c r="U50" s="333">
        <v>2</v>
      </c>
      <c r="V50" s="333">
        <v>0</v>
      </c>
      <c r="W50" s="333">
        <v>0</v>
      </c>
      <c r="X50" s="333">
        <v>1</v>
      </c>
      <c r="Y50" s="333">
        <v>0</v>
      </c>
      <c r="Z50" s="333">
        <v>0</v>
      </c>
      <c r="AA50" s="333">
        <v>0</v>
      </c>
      <c r="AB50" s="333">
        <v>0</v>
      </c>
      <c r="AC50" s="333">
        <v>0</v>
      </c>
      <c r="AD50" s="333">
        <v>2</v>
      </c>
      <c r="AE50" s="333">
        <f t="shared" si="59"/>
        <v>5</v>
      </c>
      <c r="AF50" s="334">
        <f t="shared" si="60"/>
        <v>0.41666666666666669</v>
      </c>
      <c r="AG50" s="370"/>
      <c r="AH50" s="332"/>
      <c r="AI50" s="333">
        <v>1</v>
      </c>
      <c r="AJ50" s="333"/>
      <c r="AK50" s="333">
        <v>1</v>
      </c>
      <c r="AL50" s="333">
        <v>0</v>
      </c>
      <c r="AM50" s="333">
        <v>0</v>
      </c>
      <c r="AN50" s="333">
        <v>0</v>
      </c>
      <c r="AO50" s="333"/>
      <c r="AP50" s="333"/>
      <c r="AQ50" s="333">
        <v>0</v>
      </c>
      <c r="AR50" s="333"/>
      <c r="AS50" s="333"/>
      <c r="AT50" s="333">
        <f t="shared" si="37"/>
        <v>2</v>
      </c>
      <c r="AU50" s="334">
        <f t="shared" si="10"/>
        <v>0.16666666666666666</v>
      </c>
      <c r="AV50" t="b">
        <v>1</v>
      </c>
      <c r="AX50" s="332">
        <v>0</v>
      </c>
      <c r="AY50" s="333">
        <v>1</v>
      </c>
      <c r="AZ50" s="333">
        <v>1</v>
      </c>
      <c r="BA50" s="333">
        <v>0</v>
      </c>
      <c r="BB50" s="333">
        <v>0</v>
      </c>
      <c r="BC50" s="333">
        <v>1</v>
      </c>
      <c r="BD50" s="333">
        <v>0</v>
      </c>
      <c r="BE50" s="333">
        <v>0</v>
      </c>
      <c r="BF50" s="333">
        <v>1</v>
      </c>
      <c r="BG50" s="333">
        <v>0</v>
      </c>
      <c r="BH50" s="333">
        <v>0</v>
      </c>
      <c r="BI50" s="333">
        <v>1</v>
      </c>
      <c r="BJ50" s="333">
        <f t="shared" si="61"/>
        <v>5</v>
      </c>
      <c r="BK50" s="334">
        <f t="shared" si="39"/>
        <v>0.41663194733772185</v>
      </c>
      <c r="BL50" t="b">
        <v>1</v>
      </c>
      <c r="BN50" s="322">
        <f t="shared" si="3"/>
        <v>1</v>
      </c>
      <c r="BO50" s="322">
        <f t="shared" si="13"/>
        <v>0.2499652806710552</v>
      </c>
      <c r="BP50" s="322">
        <f t="shared" si="55"/>
        <v>3</v>
      </c>
      <c r="BQ50" s="322">
        <f t="shared" si="16"/>
        <v>1</v>
      </c>
      <c r="BR50">
        <f t="shared" si="15"/>
        <v>0</v>
      </c>
      <c r="BS50">
        <f t="shared" si="14"/>
        <v>1</v>
      </c>
    </row>
    <row r="51" spans="1:71" x14ac:dyDescent="0.55000000000000004">
      <c r="A51" s="7222"/>
      <c r="B51" s="245"/>
      <c r="C51" s="177" t="s">
        <v>228</v>
      </c>
      <c r="D51" s="301">
        <v>0</v>
      </c>
      <c r="E51" s="301">
        <v>0</v>
      </c>
      <c r="F51" s="301">
        <v>0</v>
      </c>
      <c r="G51" s="301">
        <v>0</v>
      </c>
      <c r="H51" s="301">
        <v>0</v>
      </c>
      <c r="I51" s="301">
        <v>1</v>
      </c>
      <c r="J51" s="301">
        <v>1</v>
      </c>
      <c r="K51" s="301">
        <v>0</v>
      </c>
      <c r="L51" s="301">
        <v>0</v>
      </c>
      <c r="M51" s="301">
        <v>1</v>
      </c>
      <c r="N51" s="301">
        <v>0</v>
      </c>
      <c r="O51" s="301">
        <v>1</v>
      </c>
      <c r="P51" s="301">
        <f t="shared" si="5"/>
        <v>0.33333333333333331</v>
      </c>
      <c r="Q51" s="302">
        <f t="shared" si="6"/>
        <v>0.33333333333333331</v>
      </c>
      <c r="R51" s="370">
        <v>0</v>
      </c>
      <c r="S51" s="336">
        <v>0</v>
      </c>
      <c r="T51" s="301">
        <v>0</v>
      </c>
      <c r="U51" s="301">
        <v>1</v>
      </c>
      <c r="V51" s="301">
        <v>0</v>
      </c>
      <c r="W51" s="301">
        <v>0</v>
      </c>
      <c r="X51" s="301">
        <v>0</v>
      </c>
      <c r="Y51" s="301">
        <v>0</v>
      </c>
      <c r="Z51" s="301">
        <v>0</v>
      </c>
      <c r="AA51" s="301">
        <v>0</v>
      </c>
      <c r="AB51" s="301">
        <v>1</v>
      </c>
      <c r="AC51" s="301">
        <v>0</v>
      </c>
      <c r="AD51" s="301">
        <v>0</v>
      </c>
      <c r="AE51" s="301">
        <f t="shared" si="59"/>
        <v>2</v>
      </c>
      <c r="AF51" s="302">
        <f t="shared" si="60"/>
        <v>0.16666666666666666</v>
      </c>
      <c r="AG51" s="370"/>
      <c r="AH51" s="300"/>
      <c r="AI51" s="301">
        <v>3</v>
      </c>
      <c r="AJ51" s="301"/>
      <c r="AK51" s="301"/>
      <c r="AL51" s="301">
        <v>1</v>
      </c>
      <c r="AM51" s="301">
        <v>0</v>
      </c>
      <c r="AN51" s="301">
        <v>0</v>
      </c>
      <c r="AO51" s="301"/>
      <c r="AP51" s="301"/>
      <c r="AQ51" s="301">
        <v>1</v>
      </c>
      <c r="AR51" s="301"/>
      <c r="AS51" s="301"/>
      <c r="AT51" s="301">
        <f t="shared" si="37"/>
        <v>5</v>
      </c>
      <c r="AU51" s="302">
        <f t="shared" si="10"/>
        <v>0.41666666666666669</v>
      </c>
      <c r="AV51" t="b">
        <v>1</v>
      </c>
      <c r="AX51" s="300">
        <v>0</v>
      </c>
      <c r="AY51" s="301">
        <v>0</v>
      </c>
      <c r="AZ51" s="301">
        <v>2</v>
      </c>
      <c r="BA51" s="301">
        <v>0</v>
      </c>
      <c r="BB51" s="301">
        <v>0</v>
      </c>
      <c r="BC51" s="301">
        <v>0</v>
      </c>
      <c r="BD51" s="301">
        <v>0</v>
      </c>
      <c r="BE51" s="301">
        <v>0</v>
      </c>
      <c r="BF51" s="301">
        <v>0</v>
      </c>
      <c r="BG51" s="301">
        <v>0</v>
      </c>
      <c r="BH51" s="301">
        <v>0</v>
      </c>
      <c r="BI51" s="301">
        <v>1</v>
      </c>
      <c r="BJ51" s="301">
        <f t="shared" si="61"/>
        <v>3</v>
      </c>
      <c r="BK51" s="302">
        <f t="shared" si="39"/>
        <v>0.24997916840263312</v>
      </c>
      <c r="BL51" t="b">
        <v>1</v>
      </c>
      <c r="BN51" s="322">
        <f t="shared" si="3"/>
        <v>1</v>
      </c>
      <c r="BO51" s="322">
        <f t="shared" si="13"/>
        <v>-0.16668749826403356</v>
      </c>
      <c r="BP51" s="322">
        <f t="shared" si="55"/>
        <v>-2</v>
      </c>
      <c r="BQ51" s="322">
        <f t="shared" si="16"/>
        <v>1</v>
      </c>
      <c r="BR51">
        <f t="shared" si="15"/>
        <v>0</v>
      </c>
      <c r="BS51">
        <f t="shared" si="14"/>
        <v>1</v>
      </c>
    </row>
    <row r="52" spans="1:71" x14ac:dyDescent="0.55000000000000004">
      <c r="A52" s="7222"/>
      <c r="B52" s="245"/>
      <c r="C52" s="178" t="s">
        <v>229</v>
      </c>
      <c r="D52" s="304">
        <v>0</v>
      </c>
      <c r="E52" s="304">
        <v>1</v>
      </c>
      <c r="F52" s="304">
        <v>0</v>
      </c>
      <c r="G52" s="304">
        <v>0</v>
      </c>
      <c r="H52" s="304">
        <v>0</v>
      </c>
      <c r="I52" s="304">
        <v>0</v>
      </c>
      <c r="J52" s="304">
        <v>0</v>
      </c>
      <c r="K52" s="304">
        <v>0</v>
      </c>
      <c r="L52" s="304">
        <v>0</v>
      </c>
      <c r="M52" s="304">
        <v>0</v>
      </c>
      <c r="N52" s="304">
        <v>0</v>
      </c>
      <c r="O52" s="304">
        <v>2</v>
      </c>
      <c r="P52" s="304">
        <f t="shared" si="5"/>
        <v>0.25</v>
      </c>
      <c r="Q52" s="305">
        <f t="shared" si="6"/>
        <v>0.25</v>
      </c>
      <c r="R52" s="370">
        <v>0</v>
      </c>
      <c r="S52" s="337">
        <v>0</v>
      </c>
      <c r="T52" s="304">
        <v>0</v>
      </c>
      <c r="U52" s="304">
        <v>0</v>
      </c>
      <c r="V52" s="304">
        <v>0</v>
      </c>
      <c r="W52" s="304">
        <v>0</v>
      </c>
      <c r="X52" s="304">
        <v>0</v>
      </c>
      <c r="Y52" s="304">
        <v>0</v>
      </c>
      <c r="Z52" s="304">
        <v>0</v>
      </c>
      <c r="AA52" s="304">
        <v>0</v>
      </c>
      <c r="AB52" s="304">
        <v>0</v>
      </c>
      <c r="AC52" s="304">
        <v>0</v>
      </c>
      <c r="AD52" s="304">
        <v>0</v>
      </c>
      <c r="AE52" s="304">
        <f t="shared" si="59"/>
        <v>0</v>
      </c>
      <c r="AF52" s="305">
        <f t="shared" si="60"/>
        <v>0</v>
      </c>
      <c r="AG52" s="370"/>
      <c r="AH52" s="303"/>
      <c r="AI52" s="304"/>
      <c r="AJ52" s="304">
        <v>1</v>
      </c>
      <c r="AK52" s="304"/>
      <c r="AL52" s="304">
        <v>0</v>
      </c>
      <c r="AM52" s="304">
        <v>0</v>
      </c>
      <c r="AN52" s="304">
        <v>0</v>
      </c>
      <c r="AO52" s="304"/>
      <c r="AP52" s="304"/>
      <c r="AQ52" s="304">
        <v>0</v>
      </c>
      <c r="AR52" s="304">
        <v>1</v>
      </c>
      <c r="AS52" s="304">
        <v>1</v>
      </c>
      <c r="AT52" s="304">
        <f t="shared" si="37"/>
        <v>3</v>
      </c>
      <c r="AU52" s="305">
        <f t="shared" si="10"/>
        <v>0.25</v>
      </c>
      <c r="AV52" t="b">
        <v>1</v>
      </c>
      <c r="AX52" s="303">
        <v>0</v>
      </c>
      <c r="AY52" s="304">
        <v>0</v>
      </c>
      <c r="AZ52" s="304">
        <v>0</v>
      </c>
      <c r="BA52" s="304">
        <v>2</v>
      </c>
      <c r="BB52" s="304">
        <v>0</v>
      </c>
      <c r="BC52" s="304">
        <v>0</v>
      </c>
      <c r="BD52" s="304">
        <v>0</v>
      </c>
      <c r="BE52" s="304">
        <v>1</v>
      </c>
      <c r="BF52" s="304">
        <v>0</v>
      </c>
      <c r="BG52" s="304">
        <v>0</v>
      </c>
      <c r="BH52" s="304">
        <v>0</v>
      </c>
      <c r="BI52" s="304">
        <v>0</v>
      </c>
      <c r="BJ52" s="304">
        <f t="shared" si="61"/>
        <v>3</v>
      </c>
      <c r="BK52" s="305">
        <f t="shared" si="39"/>
        <v>0.24997916840263312</v>
      </c>
      <c r="BL52" t="b">
        <v>1</v>
      </c>
      <c r="BN52" s="322">
        <f t="shared" si="3"/>
        <v>-1</v>
      </c>
      <c r="BO52" s="322">
        <f t="shared" si="13"/>
        <v>-2.0831597366877119E-5</v>
      </c>
      <c r="BP52" s="322">
        <f t="shared" si="55"/>
        <v>0</v>
      </c>
      <c r="BQ52" s="322">
        <f t="shared" si="16"/>
        <v>0</v>
      </c>
      <c r="BR52">
        <f t="shared" si="15"/>
        <v>0</v>
      </c>
      <c r="BS52">
        <f t="shared" si="14"/>
        <v>0</v>
      </c>
    </row>
    <row r="53" spans="1:71" x14ac:dyDescent="0.55000000000000004">
      <c r="A53" s="7222"/>
      <c r="B53" s="245"/>
      <c r="C53" s="178" t="s">
        <v>230</v>
      </c>
      <c r="D53" s="304">
        <v>0</v>
      </c>
      <c r="E53" s="304">
        <v>0</v>
      </c>
      <c r="F53" s="304">
        <v>0</v>
      </c>
      <c r="G53" s="304">
        <v>0</v>
      </c>
      <c r="H53" s="304">
        <v>0</v>
      </c>
      <c r="I53" s="304">
        <v>0</v>
      </c>
      <c r="J53" s="304">
        <v>0</v>
      </c>
      <c r="K53" s="304">
        <v>0</v>
      </c>
      <c r="L53" s="304">
        <v>0</v>
      </c>
      <c r="M53" s="304">
        <v>0</v>
      </c>
      <c r="N53" s="304">
        <v>0</v>
      </c>
      <c r="O53" s="304">
        <v>0</v>
      </c>
      <c r="P53" s="304">
        <f t="shared" si="5"/>
        <v>0</v>
      </c>
      <c r="Q53" s="305">
        <f t="shared" si="6"/>
        <v>0</v>
      </c>
      <c r="R53" s="370">
        <v>0</v>
      </c>
      <c r="S53" s="337">
        <v>0</v>
      </c>
      <c r="T53" s="304">
        <v>0</v>
      </c>
      <c r="U53" s="304">
        <v>0</v>
      </c>
      <c r="V53" s="304">
        <v>0</v>
      </c>
      <c r="W53" s="304">
        <v>0</v>
      </c>
      <c r="X53" s="304">
        <v>0</v>
      </c>
      <c r="Y53" s="304">
        <v>0</v>
      </c>
      <c r="Z53" s="304">
        <v>0</v>
      </c>
      <c r="AA53" s="304">
        <v>0</v>
      </c>
      <c r="AB53" s="304">
        <v>0</v>
      </c>
      <c r="AC53" s="304">
        <v>1</v>
      </c>
      <c r="AD53" s="304">
        <v>0</v>
      </c>
      <c r="AE53" s="304">
        <f t="shared" si="59"/>
        <v>1</v>
      </c>
      <c r="AF53" s="305">
        <f t="shared" si="60"/>
        <v>8.3333333333333329E-2</v>
      </c>
      <c r="AG53" s="370"/>
      <c r="AH53" s="303"/>
      <c r="AI53" s="304"/>
      <c r="AJ53" s="304"/>
      <c r="AK53" s="304"/>
      <c r="AL53" s="304">
        <v>0</v>
      </c>
      <c r="AM53" s="304">
        <v>0</v>
      </c>
      <c r="AN53" s="304">
        <v>0</v>
      </c>
      <c r="AO53" s="304"/>
      <c r="AP53" s="304"/>
      <c r="AQ53" s="304">
        <v>0</v>
      </c>
      <c r="AR53" s="304"/>
      <c r="AS53" s="304"/>
      <c r="AT53" s="304">
        <f t="shared" si="37"/>
        <v>0</v>
      </c>
      <c r="AU53" s="305">
        <f t="shared" si="10"/>
        <v>0</v>
      </c>
      <c r="AV53" t="b">
        <v>1</v>
      </c>
      <c r="AX53" s="303">
        <v>0</v>
      </c>
      <c r="AY53" s="304">
        <v>0</v>
      </c>
      <c r="AZ53" s="304">
        <v>0</v>
      </c>
      <c r="BA53" s="304">
        <v>0</v>
      </c>
      <c r="BB53" s="304">
        <v>1</v>
      </c>
      <c r="BC53" s="304">
        <v>0</v>
      </c>
      <c r="BD53" s="304">
        <v>0</v>
      </c>
      <c r="BE53" s="304">
        <v>0</v>
      </c>
      <c r="BF53" s="304">
        <v>0</v>
      </c>
      <c r="BG53" s="304">
        <v>0</v>
      </c>
      <c r="BH53" s="304">
        <v>0</v>
      </c>
      <c r="BI53" s="304">
        <v>0</v>
      </c>
      <c r="BJ53" s="304">
        <f t="shared" si="61"/>
        <v>1</v>
      </c>
      <c r="BK53" s="305">
        <f t="shared" si="39"/>
        <v>8.3326389467544379E-2</v>
      </c>
      <c r="BL53" t="b">
        <v>1</v>
      </c>
      <c r="BN53" s="322">
        <f t="shared" si="3"/>
        <v>0</v>
      </c>
      <c r="BO53" s="322">
        <f t="shared" si="13"/>
        <v>8.3326389467544379E-2</v>
      </c>
      <c r="BP53" s="322">
        <f t="shared" si="55"/>
        <v>1</v>
      </c>
      <c r="BQ53" s="322">
        <f t="shared" si="16"/>
        <v>0</v>
      </c>
      <c r="BR53">
        <f t="shared" si="15"/>
        <v>0</v>
      </c>
      <c r="BS53">
        <f t="shared" si="14"/>
        <v>0</v>
      </c>
    </row>
    <row r="54" spans="1:71" x14ac:dyDescent="0.55000000000000004">
      <c r="A54" s="7222"/>
      <c r="B54" s="245"/>
      <c r="C54" s="177" t="s">
        <v>231</v>
      </c>
      <c r="D54" s="301">
        <v>0</v>
      </c>
      <c r="E54" s="301">
        <v>0</v>
      </c>
      <c r="F54" s="301">
        <v>0</v>
      </c>
      <c r="G54" s="301">
        <v>0</v>
      </c>
      <c r="H54" s="301">
        <v>0</v>
      </c>
      <c r="I54" s="301">
        <v>0</v>
      </c>
      <c r="J54" s="301">
        <v>0</v>
      </c>
      <c r="K54" s="301">
        <v>0</v>
      </c>
      <c r="L54" s="301">
        <v>0</v>
      </c>
      <c r="M54" s="301">
        <v>1</v>
      </c>
      <c r="N54" s="301">
        <v>0</v>
      </c>
      <c r="O54" s="301">
        <v>1</v>
      </c>
      <c r="P54" s="301">
        <f t="shared" si="5"/>
        <v>0.16666666666666666</v>
      </c>
      <c r="Q54" s="302">
        <f t="shared" si="6"/>
        <v>0.16666666666666666</v>
      </c>
      <c r="R54" s="370">
        <v>0</v>
      </c>
      <c r="S54" s="336">
        <v>0</v>
      </c>
      <c r="T54" s="301">
        <v>0</v>
      </c>
      <c r="U54" s="301">
        <v>0</v>
      </c>
      <c r="V54" s="301">
        <v>0</v>
      </c>
      <c r="W54" s="301">
        <v>1</v>
      </c>
      <c r="X54" s="301">
        <v>0</v>
      </c>
      <c r="Y54" s="301">
        <v>0</v>
      </c>
      <c r="Z54" s="301">
        <v>1</v>
      </c>
      <c r="AA54" s="301">
        <v>0</v>
      </c>
      <c r="AB54" s="301">
        <v>0</v>
      </c>
      <c r="AC54" s="301">
        <v>0</v>
      </c>
      <c r="AD54" s="301">
        <v>0</v>
      </c>
      <c r="AE54" s="301">
        <f t="shared" si="59"/>
        <v>2</v>
      </c>
      <c r="AF54" s="302">
        <f t="shared" si="60"/>
        <v>0.16666666666666666</v>
      </c>
      <c r="AG54" s="370"/>
      <c r="AH54" s="300"/>
      <c r="AI54" s="301"/>
      <c r="AJ54" s="301"/>
      <c r="AK54" s="301"/>
      <c r="AL54" s="301">
        <v>0</v>
      </c>
      <c r="AM54" s="301">
        <v>0</v>
      </c>
      <c r="AN54" s="301">
        <v>0</v>
      </c>
      <c r="AO54" s="301"/>
      <c r="AP54" s="301"/>
      <c r="AQ54" s="301">
        <v>0</v>
      </c>
      <c r="AR54" s="301"/>
      <c r="AS54" s="301"/>
      <c r="AT54" s="301">
        <f t="shared" si="37"/>
        <v>0</v>
      </c>
      <c r="AU54" s="302">
        <f t="shared" si="10"/>
        <v>0</v>
      </c>
      <c r="AV54" t="b">
        <v>1</v>
      </c>
      <c r="AX54" s="300">
        <v>0</v>
      </c>
      <c r="AY54" s="301">
        <v>1</v>
      </c>
      <c r="AZ54" s="301">
        <v>2</v>
      </c>
      <c r="BA54" s="301">
        <v>0</v>
      </c>
      <c r="BB54" s="301">
        <v>0</v>
      </c>
      <c r="BC54" s="301">
        <v>2</v>
      </c>
      <c r="BD54" s="301">
        <v>0</v>
      </c>
      <c r="BE54" s="301">
        <v>0</v>
      </c>
      <c r="BF54" s="301">
        <v>0</v>
      </c>
      <c r="BG54" s="301">
        <v>0</v>
      </c>
      <c r="BH54" s="301">
        <v>1</v>
      </c>
      <c r="BI54" s="301">
        <v>0</v>
      </c>
      <c r="BJ54" s="301">
        <f t="shared" si="61"/>
        <v>6</v>
      </c>
      <c r="BK54" s="302">
        <f t="shared" si="39"/>
        <v>0.49995833680526625</v>
      </c>
      <c r="BL54" t="b">
        <v>1</v>
      </c>
      <c r="BN54" s="322">
        <f t="shared" si="3"/>
        <v>0</v>
      </c>
      <c r="BO54" s="322">
        <f t="shared" si="13"/>
        <v>0.49995833680526625</v>
      </c>
      <c r="BP54" s="322">
        <f t="shared" si="55"/>
        <v>6</v>
      </c>
      <c r="BQ54" s="322">
        <f t="shared" si="16"/>
        <v>-1</v>
      </c>
      <c r="BR54">
        <f t="shared" si="15"/>
        <v>1</v>
      </c>
      <c r="BS54">
        <f t="shared" si="14"/>
        <v>0</v>
      </c>
    </row>
    <row r="55" spans="1:71" x14ac:dyDescent="0.55000000000000004">
      <c r="A55" s="7222"/>
      <c r="B55" s="245"/>
      <c r="C55" s="177" t="s">
        <v>232</v>
      </c>
      <c r="D55" s="301">
        <v>0</v>
      </c>
      <c r="E55" s="301">
        <v>0</v>
      </c>
      <c r="F55" s="301">
        <v>0</v>
      </c>
      <c r="G55" s="301">
        <v>0</v>
      </c>
      <c r="H55" s="301">
        <v>0</v>
      </c>
      <c r="I55" s="301">
        <v>0</v>
      </c>
      <c r="J55" s="301">
        <v>0</v>
      </c>
      <c r="K55" s="301">
        <v>0</v>
      </c>
      <c r="L55" s="301">
        <v>0</v>
      </c>
      <c r="M55" s="301">
        <v>0</v>
      </c>
      <c r="N55" s="301">
        <v>0</v>
      </c>
      <c r="O55" s="301">
        <v>0</v>
      </c>
      <c r="P55" s="301">
        <f t="shared" si="5"/>
        <v>0</v>
      </c>
      <c r="Q55" s="302">
        <f t="shared" si="6"/>
        <v>0</v>
      </c>
      <c r="R55" s="370">
        <v>0</v>
      </c>
      <c r="S55" s="336">
        <v>0</v>
      </c>
      <c r="T55" s="301">
        <v>0</v>
      </c>
      <c r="U55" s="301">
        <v>0</v>
      </c>
      <c r="V55" s="301">
        <v>0</v>
      </c>
      <c r="W55" s="301">
        <v>0</v>
      </c>
      <c r="X55" s="301">
        <v>0</v>
      </c>
      <c r="Y55" s="301">
        <v>0</v>
      </c>
      <c r="Z55" s="301">
        <v>0</v>
      </c>
      <c r="AA55" s="301">
        <v>0</v>
      </c>
      <c r="AB55" s="301">
        <v>0</v>
      </c>
      <c r="AC55" s="301">
        <v>0</v>
      </c>
      <c r="AD55" s="301">
        <v>0</v>
      </c>
      <c r="AE55" s="301">
        <f t="shared" si="59"/>
        <v>0</v>
      </c>
      <c r="AF55" s="302">
        <f t="shared" si="60"/>
        <v>0</v>
      </c>
      <c r="AG55" s="370"/>
      <c r="AH55" s="300"/>
      <c r="AI55" s="301"/>
      <c r="AJ55" s="301"/>
      <c r="AK55" s="301"/>
      <c r="AL55" s="301">
        <v>0</v>
      </c>
      <c r="AM55" s="301">
        <v>1</v>
      </c>
      <c r="AN55" s="301">
        <v>0</v>
      </c>
      <c r="AO55" s="301"/>
      <c r="AP55" s="301"/>
      <c r="AQ55" s="301">
        <v>0</v>
      </c>
      <c r="AR55" s="301"/>
      <c r="AS55" s="301"/>
      <c r="AT55" s="301">
        <f t="shared" si="37"/>
        <v>1</v>
      </c>
      <c r="AU55" s="302">
        <f t="shared" si="10"/>
        <v>8.3333333333333329E-2</v>
      </c>
      <c r="AV55" t="b">
        <v>1</v>
      </c>
      <c r="AX55" s="300">
        <v>0</v>
      </c>
      <c r="AY55" s="301">
        <v>0</v>
      </c>
      <c r="AZ55" s="301">
        <v>0</v>
      </c>
      <c r="BA55" s="301">
        <v>0</v>
      </c>
      <c r="BB55" s="301">
        <v>0</v>
      </c>
      <c r="BC55" s="301">
        <v>1</v>
      </c>
      <c r="BD55" s="301">
        <v>0</v>
      </c>
      <c r="BE55" s="301">
        <v>0</v>
      </c>
      <c r="BF55" s="301">
        <v>0</v>
      </c>
      <c r="BG55" s="301">
        <v>0</v>
      </c>
      <c r="BH55" s="301">
        <v>0</v>
      </c>
      <c r="BI55" s="301">
        <v>1</v>
      </c>
      <c r="BJ55" s="301">
        <f t="shared" si="61"/>
        <v>2</v>
      </c>
      <c r="BK55" s="302">
        <f t="shared" si="39"/>
        <v>0.16665277893508876</v>
      </c>
      <c r="BL55" t="b">
        <v>1</v>
      </c>
      <c r="BN55" s="322">
        <f t="shared" si="3"/>
        <v>1</v>
      </c>
      <c r="BO55" s="322">
        <f t="shared" si="13"/>
        <v>8.3319445601755429E-2</v>
      </c>
      <c r="BP55" s="322">
        <f t="shared" si="55"/>
        <v>1</v>
      </c>
      <c r="BQ55" s="322">
        <f t="shared" si="16"/>
        <v>1</v>
      </c>
      <c r="BR55">
        <f t="shared" si="15"/>
        <v>0</v>
      </c>
      <c r="BS55">
        <f t="shared" si="14"/>
        <v>1</v>
      </c>
    </row>
    <row r="56" spans="1:71" x14ac:dyDescent="0.55000000000000004">
      <c r="A56" s="7222"/>
      <c r="B56" s="245"/>
      <c r="C56" s="178" t="s">
        <v>233</v>
      </c>
      <c r="D56" s="304">
        <v>0</v>
      </c>
      <c r="E56" s="304">
        <v>0</v>
      </c>
      <c r="F56" s="304">
        <v>0</v>
      </c>
      <c r="G56" s="304">
        <v>1</v>
      </c>
      <c r="H56" s="304">
        <v>0</v>
      </c>
      <c r="I56" s="304">
        <v>1</v>
      </c>
      <c r="J56" s="304">
        <v>0</v>
      </c>
      <c r="K56" s="304">
        <v>1</v>
      </c>
      <c r="L56" s="304">
        <v>0</v>
      </c>
      <c r="M56" s="304">
        <v>0</v>
      </c>
      <c r="N56" s="304">
        <v>0</v>
      </c>
      <c r="O56" s="304">
        <v>1</v>
      </c>
      <c r="P56" s="304">
        <f t="shared" si="5"/>
        <v>0.33333333333333331</v>
      </c>
      <c r="Q56" s="305">
        <f t="shared" si="6"/>
        <v>0.33333333333333331</v>
      </c>
      <c r="R56" s="370">
        <v>0</v>
      </c>
      <c r="S56" s="337">
        <v>0</v>
      </c>
      <c r="T56" s="304">
        <v>0</v>
      </c>
      <c r="U56" s="304">
        <v>1</v>
      </c>
      <c r="V56" s="304">
        <v>0</v>
      </c>
      <c r="W56" s="304">
        <v>0</v>
      </c>
      <c r="X56" s="304">
        <v>0</v>
      </c>
      <c r="Y56" s="304">
        <v>0</v>
      </c>
      <c r="Z56" s="304">
        <v>1</v>
      </c>
      <c r="AA56" s="304">
        <v>1</v>
      </c>
      <c r="AB56" s="304">
        <v>0</v>
      </c>
      <c r="AC56" s="304">
        <v>2</v>
      </c>
      <c r="AD56" s="304">
        <v>0</v>
      </c>
      <c r="AE56" s="304">
        <f t="shared" si="59"/>
        <v>5</v>
      </c>
      <c r="AF56" s="305">
        <f t="shared" si="60"/>
        <v>0.41666666666666669</v>
      </c>
      <c r="AG56" s="370"/>
      <c r="AH56" s="303">
        <v>1</v>
      </c>
      <c r="AI56" s="304"/>
      <c r="AJ56" s="304"/>
      <c r="AK56" s="304"/>
      <c r="AL56" s="304">
        <v>0</v>
      </c>
      <c r="AM56" s="304">
        <v>0</v>
      </c>
      <c r="AN56" s="304">
        <v>0</v>
      </c>
      <c r="AO56" s="304">
        <v>1</v>
      </c>
      <c r="AP56" s="304"/>
      <c r="AQ56" s="304">
        <v>0</v>
      </c>
      <c r="AR56" s="304">
        <v>1</v>
      </c>
      <c r="AS56" s="304"/>
      <c r="AT56" s="304">
        <f t="shared" si="37"/>
        <v>3</v>
      </c>
      <c r="AU56" s="305">
        <f t="shared" si="10"/>
        <v>0.25</v>
      </c>
      <c r="AV56" t="b">
        <v>1</v>
      </c>
      <c r="AX56" s="303">
        <v>0</v>
      </c>
      <c r="AY56" s="304">
        <v>1</v>
      </c>
      <c r="AZ56" s="304">
        <v>1</v>
      </c>
      <c r="BA56" s="304">
        <v>0</v>
      </c>
      <c r="BB56" s="304">
        <v>0</v>
      </c>
      <c r="BC56" s="304">
        <v>0</v>
      </c>
      <c r="BD56" s="304">
        <v>0</v>
      </c>
      <c r="BE56" s="304">
        <v>0</v>
      </c>
      <c r="BF56" s="304">
        <v>0</v>
      </c>
      <c r="BG56" s="304">
        <v>0</v>
      </c>
      <c r="BH56" s="304">
        <v>0</v>
      </c>
      <c r="BI56" s="304">
        <v>0</v>
      </c>
      <c r="BJ56" s="304">
        <f t="shared" si="61"/>
        <v>2</v>
      </c>
      <c r="BK56" s="305">
        <f t="shared" si="39"/>
        <v>0.16665277893508876</v>
      </c>
      <c r="BL56" t="b">
        <v>1</v>
      </c>
      <c r="BN56" s="322">
        <f t="shared" si="3"/>
        <v>0</v>
      </c>
      <c r="BO56" s="322">
        <f t="shared" si="13"/>
        <v>-8.3347221064911242E-2</v>
      </c>
      <c r="BP56" s="322">
        <f t="shared" si="55"/>
        <v>-1</v>
      </c>
      <c r="BQ56" s="322">
        <f t="shared" si="16"/>
        <v>0</v>
      </c>
      <c r="BR56">
        <f t="shared" si="15"/>
        <v>0</v>
      </c>
      <c r="BS56">
        <f t="shared" si="14"/>
        <v>0</v>
      </c>
    </row>
    <row r="57" spans="1:71" x14ac:dyDescent="0.55000000000000004">
      <c r="A57" s="7222"/>
      <c r="B57" s="245"/>
      <c r="C57" s="178" t="s">
        <v>234</v>
      </c>
      <c r="D57" s="304">
        <v>0</v>
      </c>
      <c r="E57" s="304">
        <v>1</v>
      </c>
      <c r="F57" s="304">
        <v>0</v>
      </c>
      <c r="G57" s="304">
        <v>0</v>
      </c>
      <c r="H57" s="304">
        <v>0</v>
      </c>
      <c r="I57" s="304">
        <v>0</v>
      </c>
      <c r="J57" s="304">
        <v>1</v>
      </c>
      <c r="K57" s="304">
        <v>0</v>
      </c>
      <c r="L57" s="304">
        <v>0</v>
      </c>
      <c r="M57" s="304">
        <v>0</v>
      </c>
      <c r="N57" s="304">
        <v>0</v>
      </c>
      <c r="O57" s="304">
        <v>0</v>
      </c>
      <c r="P57" s="304">
        <f t="shared" si="5"/>
        <v>0.16666666666666666</v>
      </c>
      <c r="Q57" s="305">
        <f t="shared" si="6"/>
        <v>0.16666666666666666</v>
      </c>
      <c r="R57" s="370">
        <v>0</v>
      </c>
      <c r="S57" s="337">
        <v>0</v>
      </c>
      <c r="T57" s="304">
        <v>0</v>
      </c>
      <c r="U57" s="304">
        <v>1</v>
      </c>
      <c r="V57" s="304">
        <v>0</v>
      </c>
      <c r="W57" s="304">
        <v>0</v>
      </c>
      <c r="X57" s="304">
        <v>0</v>
      </c>
      <c r="Y57" s="304">
        <v>1</v>
      </c>
      <c r="Z57" s="304">
        <v>0</v>
      </c>
      <c r="AA57" s="304">
        <v>0</v>
      </c>
      <c r="AB57" s="304">
        <v>0</v>
      </c>
      <c r="AC57" s="304">
        <v>0</v>
      </c>
      <c r="AD57" s="304">
        <v>0</v>
      </c>
      <c r="AE57" s="304">
        <f t="shared" si="59"/>
        <v>2</v>
      </c>
      <c r="AF57" s="305">
        <f t="shared" si="60"/>
        <v>0.16666666666666666</v>
      </c>
      <c r="AG57" s="370"/>
      <c r="AH57" s="303"/>
      <c r="AI57" s="304"/>
      <c r="AJ57" s="304"/>
      <c r="AK57" s="304">
        <v>1</v>
      </c>
      <c r="AL57" s="304">
        <v>0</v>
      </c>
      <c r="AM57" s="304">
        <v>0</v>
      </c>
      <c r="AN57" s="304">
        <v>0</v>
      </c>
      <c r="AO57" s="304">
        <v>1</v>
      </c>
      <c r="AP57" s="304"/>
      <c r="AQ57" s="304">
        <v>0</v>
      </c>
      <c r="AR57" s="304"/>
      <c r="AS57" s="304"/>
      <c r="AT57" s="304">
        <f t="shared" si="37"/>
        <v>2</v>
      </c>
      <c r="AU57" s="305">
        <f t="shared" si="10"/>
        <v>0.16666666666666666</v>
      </c>
      <c r="AV57" t="b">
        <v>1</v>
      </c>
      <c r="AX57" s="303">
        <v>1</v>
      </c>
      <c r="AY57" s="304">
        <v>0</v>
      </c>
      <c r="AZ57" s="304">
        <v>0</v>
      </c>
      <c r="BA57" s="304">
        <v>0</v>
      </c>
      <c r="BB57" s="304">
        <v>0</v>
      </c>
      <c r="BC57" s="304">
        <v>0</v>
      </c>
      <c r="BD57" s="304">
        <v>0</v>
      </c>
      <c r="BE57" s="304">
        <v>0</v>
      </c>
      <c r="BF57" s="304">
        <v>0</v>
      </c>
      <c r="BG57" s="304">
        <v>0</v>
      </c>
      <c r="BH57" s="304">
        <v>0</v>
      </c>
      <c r="BI57" s="304">
        <v>0</v>
      </c>
      <c r="BJ57" s="304">
        <f t="shared" si="61"/>
        <v>1</v>
      </c>
      <c r="BK57" s="305">
        <f t="shared" si="39"/>
        <v>8.3326389467544379E-2</v>
      </c>
      <c r="BL57" t="b">
        <v>1</v>
      </c>
      <c r="BN57" s="322">
        <f t="shared" si="3"/>
        <v>0</v>
      </c>
      <c r="BO57" s="322">
        <f t="shared" si="13"/>
        <v>-8.3340277199122278E-2</v>
      </c>
      <c r="BP57" s="322">
        <f t="shared" si="55"/>
        <v>-1</v>
      </c>
      <c r="BQ57" s="322">
        <f t="shared" si="16"/>
        <v>0</v>
      </c>
      <c r="BR57">
        <f t="shared" si="15"/>
        <v>0</v>
      </c>
      <c r="BS57">
        <f t="shared" si="14"/>
        <v>0</v>
      </c>
    </row>
    <row r="58" spans="1:71" x14ac:dyDescent="0.55000000000000004">
      <c r="A58" s="7222"/>
      <c r="B58" s="245"/>
      <c r="C58" s="177" t="s">
        <v>235</v>
      </c>
      <c r="D58" s="301">
        <v>0</v>
      </c>
      <c r="E58" s="301">
        <v>0</v>
      </c>
      <c r="F58" s="301">
        <v>0</v>
      </c>
      <c r="G58" s="301">
        <v>0</v>
      </c>
      <c r="H58" s="301">
        <v>0</v>
      </c>
      <c r="I58" s="301">
        <v>0</v>
      </c>
      <c r="J58" s="301">
        <v>0</v>
      </c>
      <c r="K58" s="301">
        <v>0</v>
      </c>
      <c r="L58" s="301">
        <v>0</v>
      </c>
      <c r="M58" s="301">
        <v>0</v>
      </c>
      <c r="N58" s="301">
        <v>0</v>
      </c>
      <c r="O58" s="301">
        <v>0</v>
      </c>
      <c r="P58" s="301">
        <f t="shared" si="5"/>
        <v>0</v>
      </c>
      <c r="Q58" s="302">
        <f t="shared" si="6"/>
        <v>0</v>
      </c>
      <c r="R58" s="370">
        <v>0</v>
      </c>
      <c r="S58" s="336">
        <v>1</v>
      </c>
      <c r="T58" s="301">
        <v>0</v>
      </c>
      <c r="U58" s="301">
        <v>0</v>
      </c>
      <c r="V58" s="301">
        <v>0</v>
      </c>
      <c r="W58" s="301">
        <v>0</v>
      </c>
      <c r="X58" s="301">
        <v>0</v>
      </c>
      <c r="Y58" s="301">
        <v>0</v>
      </c>
      <c r="Z58" s="301">
        <v>0</v>
      </c>
      <c r="AA58" s="301">
        <v>0</v>
      </c>
      <c r="AB58" s="301">
        <v>0</v>
      </c>
      <c r="AC58" s="301">
        <v>0</v>
      </c>
      <c r="AD58" s="301">
        <v>0</v>
      </c>
      <c r="AE58" s="301">
        <f t="shared" si="59"/>
        <v>1</v>
      </c>
      <c r="AF58" s="302">
        <f t="shared" si="60"/>
        <v>8.3333333333333329E-2</v>
      </c>
      <c r="AG58" s="370"/>
      <c r="AH58" s="300"/>
      <c r="AI58" s="301"/>
      <c r="AJ58" s="301"/>
      <c r="AK58" s="301"/>
      <c r="AL58" s="301">
        <v>1</v>
      </c>
      <c r="AM58" s="301">
        <v>0</v>
      </c>
      <c r="AN58" s="301">
        <v>0</v>
      </c>
      <c r="AO58" s="301"/>
      <c r="AP58" s="301"/>
      <c r="AQ58" s="301">
        <v>0</v>
      </c>
      <c r="AR58" s="301"/>
      <c r="AS58" s="301"/>
      <c r="AT58" s="301">
        <f t="shared" si="37"/>
        <v>1</v>
      </c>
      <c r="AU58" s="302">
        <f t="shared" si="10"/>
        <v>8.3333333333333329E-2</v>
      </c>
      <c r="AV58" t="b">
        <v>1</v>
      </c>
      <c r="AX58" s="300">
        <v>1</v>
      </c>
      <c r="AY58" s="301">
        <v>0</v>
      </c>
      <c r="AZ58" s="301">
        <v>1</v>
      </c>
      <c r="BA58" s="301">
        <v>0</v>
      </c>
      <c r="BB58" s="301">
        <v>0</v>
      </c>
      <c r="BC58" s="301">
        <v>1</v>
      </c>
      <c r="BD58" s="301">
        <v>0</v>
      </c>
      <c r="BE58" s="301">
        <v>0</v>
      </c>
      <c r="BF58" s="301">
        <v>0</v>
      </c>
      <c r="BG58" s="301">
        <v>0</v>
      </c>
      <c r="BH58" s="301">
        <v>0</v>
      </c>
      <c r="BI58" s="301">
        <v>0</v>
      </c>
      <c r="BJ58" s="301">
        <f t="shared" si="61"/>
        <v>3</v>
      </c>
      <c r="BK58" s="302">
        <f t="shared" si="39"/>
        <v>0.24997916840263312</v>
      </c>
      <c r="BL58" t="b">
        <v>1</v>
      </c>
      <c r="BN58" s="322">
        <f t="shared" si="3"/>
        <v>0</v>
      </c>
      <c r="BO58" s="322">
        <f t="shared" si="13"/>
        <v>0.16664583506929981</v>
      </c>
      <c r="BP58" s="322">
        <f t="shared" si="55"/>
        <v>2</v>
      </c>
      <c r="BQ58" s="322">
        <f t="shared" si="16"/>
        <v>0</v>
      </c>
      <c r="BR58">
        <f t="shared" si="15"/>
        <v>0</v>
      </c>
      <c r="BS58">
        <f t="shared" si="14"/>
        <v>0</v>
      </c>
    </row>
    <row r="59" spans="1:71" ht="18" thickBot="1" x14ac:dyDescent="0.6">
      <c r="A59" s="7223"/>
      <c r="B59" s="246"/>
      <c r="C59" s="179" t="s">
        <v>236</v>
      </c>
      <c r="D59" s="307">
        <v>0</v>
      </c>
      <c r="E59" s="307">
        <v>0</v>
      </c>
      <c r="F59" s="307">
        <v>0</v>
      </c>
      <c r="G59" s="307">
        <v>0</v>
      </c>
      <c r="H59" s="307">
        <v>0</v>
      </c>
      <c r="I59" s="307">
        <v>2</v>
      </c>
      <c r="J59" s="307">
        <v>0</v>
      </c>
      <c r="K59" s="307">
        <v>0</v>
      </c>
      <c r="L59" s="307">
        <v>0</v>
      </c>
      <c r="M59" s="307">
        <v>0</v>
      </c>
      <c r="N59" s="307">
        <v>0</v>
      </c>
      <c r="O59" s="307">
        <v>0</v>
      </c>
      <c r="P59" s="307">
        <f t="shared" si="5"/>
        <v>0.16666666666666666</v>
      </c>
      <c r="Q59" s="308">
        <f t="shared" si="6"/>
        <v>0.16666666666666666</v>
      </c>
      <c r="R59" s="370">
        <v>0</v>
      </c>
      <c r="S59" s="338">
        <v>0</v>
      </c>
      <c r="T59" s="307">
        <v>0</v>
      </c>
      <c r="U59" s="307">
        <v>0</v>
      </c>
      <c r="V59" s="307">
        <v>1</v>
      </c>
      <c r="W59" s="307">
        <v>0</v>
      </c>
      <c r="X59" s="307">
        <v>0</v>
      </c>
      <c r="Y59" s="307">
        <v>0</v>
      </c>
      <c r="Z59" s="307">
        <v>0</v>
      </c>
      <c r="AA59" s="307">
        <v>0</v>
      </c>
      <c r="AB59" s="307">
        <v>1</v>
      </c>
      <c r="AC59" s="307">
        <v>0</v>
      </c>
      <c r="AD59" s="307">
        <v>0</v>
      </c>
      <c r="AE59" s="307">
        <f t="shared" si="59"/>
        <v>2</v>
      </c>
      <c r="AF59" s="308">
        <f t="shared" si="60"/>
        <v>0.16666666666666666</v>
      </c>
      <c r="AG59" s="370"/>
      <c r="AH59" s="306"/>
      <c r="AI59" s="307"/>
      <c r="AJ59" s="307"/>
      <c r="AK59" s="307"/>
      <c r="AL59" s="307">
        <v>0</v>
      </c>
      <c r="AM59" s="307">
        <v>0</v>
      </c>
      <c r="AN59" s="307">
        <v>0</v>
      </c>
      <c r="AO59" s="307"/>
      <c r="AP59" s="307"/>
      <c r="AQ59" s="307">
        <v>0</v>
      </c>
      <c r="AR59" s="307"/>
      <c r="AS59" s="307"/>
      <c r="AT59" s="307">
        <f t="shared" si="37"/>
        <v>0</v>
      </c>
      <c r="AU59" s="308">
        <f t="shared" si="10"/>
        <v>0</v>
      </c>
      <c r="AV59" t="b">
        <v>1</v>
      </c>
      <c r="AX59" s="306">
        <v>0</v>
      </c>
      <c r="AY59" s="307">
        <v>0</v>
      </c>
      <c r="AZ59" s="307">
        <v>0</v>
      </c>
      <c r="BA59" s="307">
        <v>2</v>
      </c>
      <c r="BB59" s="307">
        <v>0</v>
      </c>
      <c r="BC59" s="307">
        <v>0</v>
      </c>
      <c r="BD59" s="307">
        <v>0</v>
      </c>
      <c r="BE59" s="307">
        <v>0</v>
      </c>
      <c r="BF59" s="307">
        <v>0</v>
      </c>
      <c r="BG59" s="307">
        <v>1</v>
      </c>
      <c r="BH59" s="307">
        <v>0</v>
      </c>
      <c r="BI59" s="307">
        <v>0</v>
      </c>
      <c r="BJ59" s="307">
        <f t="shared" si="61"/>
        <v>3</v>
      </c>
      <c r="BK59" s="308">
        <f t="shared" si="39"/>
        <v>0.24997916840263312</v>
      </c>
      <c r="BL59" t="b">
        <v>1</v>
      </c>
      <c r="BN59" s="322">
        <f t="shared" si="3"/>
        <v>0</v>
      </c>
      <c r="BO59" s="322">
        <f t="shared" si="13"/>
        <v>0.24997916840263312</v>
      </c>
      <c r="BP59" s="322">
        <f t="shared" si="55"/>
        <v>3</v>
      </c>
      <c r="BQ59" s="322">
        <f t="shared" si="16"/>
        <v>0</v>
      </c>
      <c r="BR59">
        <f t="shared" si="15"/>
        <v>0</v>
      </c>
      <c r="BS59">
        <f t="shared" si="14"/>
        <v>0</v>
      </c>
    </row>
    <row r="60" spans="1:71" x14ac:dyDescent="0.55000000000000004">
      <c r="A60" s="7221" t="s">
        <v>394</v>
      </c>
      <c r="B60" s="41" t="s">
        <v>259</v>
      </c>
      <c r="C60" s="16"/>
      <c r="D60" s="656">
        <f>D22-D41</f>
        <v>1</v>
      </c>
      <c r="E60" s="657">
        <f t="shared" ref="E60:Q60" si="77">E22-E41</f>
        <v>1</v>
      </c>
      <c r="F60" s="657">
        <f t="shared" si="77"/>
        <v>1</v>
      </c>
      <c r="G60" s="657">
        <f t="shared" si="77"/>
        <v>4</v>
      </c>
      <c r="H60" s="657">
        <f t="shared" si="77"/>
        <v>1</v>
      </c>
      <c r="I60" s="657">
        <f t="shared" si="77"/>
        <v>-4</v>
      </c>
      <c r="J60" s="657">
        <f t="shared" si="77"/>
        <v>4</v>
      </c>
      <c r="K60" s="657">
        <f t="shared" si="77"/>
        <v>0</v>
      </c>
      <c r="L60" s="657">
        <f t="shared" si="77"/>
        <v>1</v>
      </c>
      <c r="M60" s="657">
        <f t="shared" si="77"/>
        <v>-2</v>
      </c>
      <c r="N60" s="657">
        <f t="shared" si="77"/>
        <v>0</v>
      </c>
      <c r="O60" s="657">
        <f t="shared" si="77"/>
        <v>-5</v>
      </c>
      <c r="P60" s="657">
        <f t="shared" si="77"/>
        <v>0.16666666666666674</v>
      </c>
      <c r="Q60" s="658">
        <f t="shared" si="77"/>
        <v>0.16666666666666674</v>
      </c>
      <c r="R60" s="654"/>
      <c r="S60" s="677">
        <f t="shared" ref="S60:AF60" si="78">S22-S41</f>
        <v>3</v>
      </c>
      <c r="T60" s="657">
        <f t="shared" si="78"/>
        <v>0</v>
      </c>
      <c r="U60" s="657">
        <f t="shared" si="78"/>
        <v>-5</v>
      </c>
      <c r="V60" s="657">
        <f t="shared" si="78"/>
        <v>4</v>
      </c>
      <c r="W60" s="657">
        <f t="shared" si="78"/>
        <v>0</v>
      </c>
      <c r="X60" s="657">
        <f t="shared" si="78"/>
        <v>-1</v>
      </c>
      <c r="Y60" s="657">
        <f t="shared" si="78"/>
        <v>2</v>
      </c>
      <c r="Z60" s="657">
        <f t="shared" si="78"/>
        <v>-2</v>
      </c>
      <c r="AA60" s="657">
        <f t="shared" si="78"/>
        <v>0</v>
      </c>
      <c r="AB60" s="657">
        <f t="shared" si="78"/>
        <v>-2</v>
      </c>
      <c r="AC60" s="657">
        <f t="shared" si="78"/>
        <v>-1</v>
      </c>
      <c r="AD60" s="657">
        <f t="shared" si="78"/>
        <v>-1</v>
      </c>
      <c r="AE60" s="657">
        <f t="shared" si="78"/>
        <v>-3</v>
      </c>
      <c r="AF60" s="658">
        <f t="shared" si="78"/>
        <v>-0.25</v>
      </c>
      <c r="AG60" s="654"/>
      <c r="AH60" s="677">
        <f t="shared" ref="AH60:AR60" si="79">AH22-AH41</f>
        <v>2</v>
      </c>
      <c r="AI60" s="657">
        <f t="shared" si="79"/>
        <v>-4</v>
      </c>
      <c r="AJ60" s="657">
        <f t="shared" si="79"/>
        <v>9</v>
      </c>
      <c r="AK60" s="657">
        <f t="shared" si="79"/>
        <v>1</v>
      </c>
      <c r="AL60" s="657">
        <f t="shared" si="79"/>
        <v>5</v>
      </c>
      <c r="AM60" s="657">
        <f t="shared" si="79"/>
        <v>3</v>
      </c>
      <c r="AN60" s="657">
        <f t="shared" si="79"/>
        <v>1</v>
      </c>
      <c r="AO60" s="657">
        <f t="shared" si="79"/>
        <v>0</v>
      </c>
      <c r="AP60" s="657">
        <f t="shared" si="79"/>
        <v>1</v>
      </c>
      <c r="AQ60" s="657">
        <f t="shared" si="79"/>
        <v>0</v>
      </c>
      <c r="AR60" s="657">
        <f t="shared" si="79"/>
        <v>0</v>
      </c>
      <c r="AS60" s="657">
        <f t="shared" ref="AO60:AS78" si="80">AS22-AS41</f>
        <v>3</v>
      </c>
      <c r="AT60" s="657">
        <f>AT22-AT41</f>
        <v>21</v>
      </c>
      <c r="AU60" s="658">
        <f t="shared" si="10"/>
        <v>1.75</v>
      </c>
      <c r="AV60" t="b">
        <v>1</v>
      </c>
      <c r="AX60" s="677">
        <v>-2</v>
      </c>
      <c r="AY60" s="657">
        <f>AY22-AY41</f>
        <v>-3</v>
      </c>
      <c r="AZ60" s="657">
        <f t="shared" ref="AZ60:BC60" si="81">AZ22-AZ41</f>
        <v>-7</v>
      </c>
      <c r="BA60" s="657">
        <f t="shared" si="81"/>
        <v>-4</v>
      </c>
      <c r="BB60" s="657">
        <f t="shared" si="81"/>
        <v>-1</v>
      </c>
      <c r="BC60" s="657">
        <f t="shared" si="81"/>
        <v>-5</v>
      </c>
      <c r="BD60" s="657">
        <f t="shared" ref="BD60:BE60" si="82">BD22-BD41</f>
        <v>2</v>
      </c>
      <c r="BE60" s="657">
        <f t="shared" si="82"/>
        <v>-1</v>
      </c>
      <c r="BF60" s="657">
        <f t="shared" ref="BF60:BG60" si="83">BF22-BF41</f>
        <v>0</v>
      </c>
      <c r="BG60" s="657">
        <f t="shared" si="83"/>
        <v>-1</v>
      </c>
      <c r="BH60" s="657">
        <f t="shared" ref="BH60" si="84">BH22-BH41</f>
        <v>0</v>
      </c>
      <c r="BI60" s="657">
        <v>-2</v>
      </c>
      <c r="BJ60" s="657">
        <f t="shared" ref="BJ60:BJ78" si="85">BJ22-BJ41</f>
        <v>-24</v>
      </c>
      <c r="BK60" s="658">
        <f t="shared" ref="BK60:BK78" si="86">BJ60/$A$1</f>
        <v>-1.999833347221065</v>
      </c>
      <c r="BL60" t="b">
        <v>1</v>
      </c>
      <c r="BN60" s="322">
        <f t="shared" si="3"/>
        <v>-5</v>
      </c>
      <c r="BO60" s="322">
        <f t="shared" si="13"/>
        <v>-3.749833347221065</v>
      </c>
      <c r="BP60" s="322">
        <f t="shared" si="55"/>
        <v>-45</v>
      </c>
      <c r="BQ60" s="322">
        <f t="shared" si="16"/>
        <v>-2</v>
      </c>
      <c r="BR60">
        <f t="shared" si="15"/>
        <v>0</v>
      </c>
      <c r="BS60">
        <f t="shared" si="14"/>
        <v>-2</v>
      </c>
    </row>
    <row r="61" spans="1:71" x14ac:dyDescent="0.55000000000000004">
      <c r="A61" s="7222"/>
      <c r="B61" s="42"/>
      <c r="C61" s="35" t="s">
        <v>260</v>
      </c>
      <c r="D61" s="659">
        <f t="shared" ref="D61:Q78" si="87">D23-D42</f>
        <v>0</v>
      </c>
      <c r="E61" s="466">
        <f t="shared" si="87"/>
        <v>0</v>
      </c>
      <c r="F61" s="466">
        <f t="shared" si="87"/>
        <v>0</v>
      </c>
      <c r="G61" s="466">
        <f t="shared" si="87"/>
        <v>0</v>
      </c>
      <c r="H61" s="466">
        <f t="shared" si="87"/>
        <v>0</v>
      </c>
      <c r="I61" s="466">
        <f t="shared" si="87"/>
        <v>0</v>
      </c>
      <c r="J61" s="466">
        <f t="shared" si="87"/>
        <v>0</v>
      </c>
      <c r="K61" s="466">
        <f t="shared" si="87"/>
        <v>0</v>
      </c>
      <c r="L61" s="466">
        <f t="shared" si="87"/>
        <v>0</v>
      </c>
      <c r="M61" s="466">
        <f t="shared" si="87"/>
        <v>0</v>
      </c>
      <c r="N61" s="466">
        <f t="shared" si="87"/>
        <v>0</v>
      </c>
      <c r="O61" s="466">
        <f t="shared" si="87"/>
        <v>0</v>
      </c>
      <c r="P61" s="466">
        <f t="shared" si="87"/>
        <v>0</v>
      </c>
      <c r="Q61" s="660">
        <f t="shared" si="87"/>
        <v>0</v>
      </c>
      <c r="R61" s="654"/>
      <c r="S61" s="678">
        <f t="shared" ref="S61:AF61" si="88">S23-S42</f>
        <v>0</v>
      </c>
      <c r="T61" s="466">
        <f t="shared" si="88"/>
        <v>0</v>
      </c>
      <c r="U61" s="466">
        <f t="shared" si="88"/>
        <v>0</v>
      </c>
      <c r="V61" s="466">
        <f t="shared" si="88"/>
        <v>0</v>
      </c>
      <c r="W61" s="466">
        <f t="shared" si="88"/>
        <v>0</v>
      </c>
      <c r="X61" s="466">
        <f t="shared" si="88"/>
        <v>0</v>
      </c>
      <c r="Y61" s="466">
        <f t="shared" si="88"/>
        <v>0</v>
      </c>
      <c r="Z61" s="466">
        <f t="shared" si="88"/>
        <v>0</v>
      </c>
      <c r="AA61" s="466">
        <f t="shared" si="88"/>
        <v>0</v>
      </c>
      <c r="AB61" s="466">
        <f t="shared" si="88"/>
        <v>0</v>
      </c>
      <c r="AC61" s="466">
        <f t="shared" si="88"/>
        <v>0</v>
      </c>
      <c r="AD61" s="466">
        <f t="shared" si="88"/>
        <v>0</v>
      </c>
      <c r="AE61" s="466">
        <f t="shared" si="88"/>
        <v>0</v>
      </c>
      <c r="AF61" s="660">
        <f t="shared" si="88"/>
        <v>0</v>
      </c>
      <c r="AG61" s="654"/>
      <c r="AH61" s="678">
        <f t="shared" ref="AH61:AT61" si="89">AH23-AH42</f>
        <v>0</v>
      </c>
      <c r="AI61" s="466">
        <f t="shared" si="89"/>
        <v>0</v>
      </c>
      <c r="AJ61" s="466">
        <f t="shared" si="89"/>
        <v>0</v>
      </c>
      <c r="AK61" s="466">
        <f t="shared" si="89"/>
        <v>0</v>
      </c>
      <c r="AL61" s="466">
        <f t="shared" si="89"/>
        <v>0</v>
      </c>
      <c r="AM61" s="466">
        <f t="shared" si="89"/>
        <v>0</v>
      </c>
      <c r="AN61" s="466">
        <v>0</v>
      </c>
      <c r="AO61" s="466">
        <f t="shared" si="80"/>
        <v>0</v>
      </c>
      <c r="AP61" s="466">
        <f t="shared" si="80"/>
        <v>0</v>
      </c>
      <c r="AQ61" s="466">
        <f t="shared" si="80"/>
        <v>0</v>
      </c>
      <c r="AR61" s="466">
        <f t="shared" si="80"/>
        <v>0</v>
      </c>
      <c r="AS61" s="466">
        <v>0</v>
      </c>
      <c r="AT61" s="466">
        <f t="shared" si="89"/>
        <v>0</v>
      </c>
      <c r="AU61" s="660">
        <f t="shared" si="10"/>
        <v>0</v>
      </c>
      <c r="AV61" t="b">
        <v>1</v>
      </c>
      <c r="AX61" s="678">
        <v>0</v>
      </c>
      <c r="AY61" s="466">
        <f t="shared" ref="AY61:AY78" si="90">AY23-AY42</f>
        <v>0</v>
      </c>
      <c r="AZ61" s="466">
        <f t="shared" ref="AZ61:BC61" si="91">AZ23-AZ42</f>
        <v>0</v>
      </c>
      <c r="BA61" s="466">
        <f t="shared" si="91"/>
        <v>0</v>
      </c>
      <c r="BB61" s="466">
        <f t="shared" si="91"/>
        <v>0</v>
      </c>
      <c r="BC61" s="466">
        <f t="shared" si="91"/>
        <v>0</v>
      </c>
      <c r="BD61" s="466">
        <f t="shared" ref="BD61:BE61" si="92">BD23-BD42</f>
        <v>0</v>
      </c>
      <c r="BE61" s="466">
        <f t="shared" si="92"/>
        <v>0</v>
      </c>
      <c r="BF61" s="466">
        <f t="shared" ref="BF61:BG61" si="93">BF23-BF42</f>
        <v>0</v>
      </c>
      <c r="BG61" s="466">
        <f t="shared" si="93"/>
        <v>0</v>
      </c>
      <c r="BH61" s="466">
        <f t="shared" ref="BH61" si="94">BH23-BH42</f>
        <v>0</v>
      </c>
      <c r="BI61" s="466">
        <v>0</v>
      </c>
      <c r="BJ61" s="466">
        <f t="shared" si="85"/>
        <v>0</v>
      </c>
      <c r="BK61" s="660">
        <f t="shared" si="86"/>
        <v>0</v>
      </c>
      <c r="BL61" t="b">
        <v>1</v>
      </c>
      <c r="BN61" s="322">
        <f t="shared" si="3"/>
        <v>0</v>
      </c>
      <c r="BO61" s="322">
        <f t="shared" si="13"/>
        <v>0</v>
      </c>
      <c r="BP61" s="322">
        <f t="shared" si="55"/>
        <v>0</v>
      </c>
      <c r="BQ61" s="322">
        <f t="shared" si="16"/>
        <v>0</v>
      </c>
      <c r="BR61">
        <f t="shared" si="15"/>
        <v>0</v>
      </c>
      <c r="BS61">
        <f t="shared" si="14"/>
        <v>0</v>
      </c>
    </row>
    <row r="62" spans="1:71" x14ac:dyDescent="0.55000000000000004">
      <c r="A62" s="7222"/>
      <c r="B62" s="42"/>
      <c r="C62" s="35" t="s">
        <v>262</v>
      </c>
      <c r="D62" s="659">
        <f t="shared" si="87"/>
        <v>1</v>
      </c>
      <c r="E62" s="466">
        <f t="shared" si="87"/>
        <v>1</v>
      </c>
      <c r="F62" s="466">
        <f t="shared" si="87"/>
        <v>1</v>
      </c>
      <c r="G62" s="466">
        <f t="shared" si="87"/>
        <v>4</v>
      </c>
      <c r="H62" s="466">
        <f t="shared" si="87"/>
        <v>1</v>
      </c>
      <c r="I62" s="466">
        <f t="shared" si="87"/>
        <v>-4</v>
      </c>
      <c r="J62" s="466">
        <f t="shared" si="87"/>
        <v>4</v>
      </c>
      <c r="K62" s="466">
        <f t="shared" si="87"/>
        <v>0</v>
      </c>
      <c r="L62" s="466">
        <f t="shared" si="87"/>
        <v>1</v>
      </c>
      <c r="M62" s="466">
        <f t="shared" si="87"/>
        <v>-2</v>
      </c>
      <c r="N62" s="466">
        <f t="shared" si="87"/>
        <v>0</v>
      </c>
      <c r="O62" s="466">
        <f t="shared" si="87"/>
        <v>-4</v>
      </c>
      <c r="P62" s="466">
        <f t="shared" si="87"/>
        <v>0.25</v>
      </c>
      <c r="Q62" s="660">
        <f t="shared" si="87"/>
        <v>0.25</v>
      </c>
      <c r="R62" s="654"/>
      <c r="S62" s="678">
        <f t="shared" ref="S62:AF62" si="95">S24-S43</f>
        <v>3</v>
      </c>
      <c r="T62" s="466">
        <f t="shared" si="95"/>
        <v>0</v>
      </c>
      <c r="U62" s="466">
        <f t="shared" si="95"/>
        <v>-5</v>
      </c>
      <c r="V62" s="466">
        <f t="shared" si="95"/>
        <v>4</v>
      </c>
      <c r="W62" s="466">
        <f t="shared" si="95"/>
        <v>0</v>
      </c>
      <c r="X62" s="466">
        <f t="shared" si="95"/>
        <v>-1</v>
      </c>
      <c r="Y62" s="466">
        <f t="shared" si="95"/>
        <v>2</v>
      </c>
      <c r="Z62" s="466">
        <f t="shared" si="95"/>
        <v>-2</v>
      </c>
      <c r="AA62" s="466">
        <f t="shared" si="95"/>
        <v>0</v>
      </c>
      <c r="AB62" s="466">
        <f t="shared" si="95"/>
        <v>-1</v>
      </c>
      <c r="AC62" s="466">
        <f t="shared" si="95"/>
        <v>0</v>
      </c>
      <c r="AD62" s="466">
        <f t="shared" si="95"/>
        <v>0</v>
      </c>
      <c r="AE62" s="466">
        <f t="shared" si="95"/>
        <v>0</v>
      </c>
      <c r="AF62" s="660">
        <f t="shared" si="95"/>
        <v>0</v>
      </c>
      <c r="AG62" s="654"/>
      <c r="AH62" s="678">
        <f t="shared" ref="AH62:AT62" si="96">AH24-AH43</f>
        <v>2</v>
      </c>
      <c r="AI62" s="466">
        <f t="shared" si="96"/>
        <v>-4</v>
      </c>
      <c r="AJ62" s="466">
        <f t="shared" si="96"/>
        <v>9</v>
      </c>
      <c r="AK62" s="466">
        <f t="shared" si="96"/>
        <v>1</v>
      </c>
      <c r="AL62" s="466">
        <f t="shared" si="96"/>
        <v>6</v>
      </c>
      <c r="AM62" s="466">
        <f t="shared" si="96"/>
        <v>3</v>
      </c>
      <c r="AN62" s="466">
        <v>1</v>
      </c>
      <c r="AO62" s="466">
        <f t="shared" si="80"/>
        <v>0</v>
      </c>
      <c r="AP62" s="466">
        <f t="shared" si="80"/>
        <v>1</v>
      </c>
      <c r="AQ62" s="466">
        <f t="shared" si="80"/>
        <v>0</v>
      </c>
      <c r="AR62" s="466">
        <f t="shared" si="80"/>
        <v>0</v>
      </c>
      <c r="AS62" s="466">
        <v>3</v>
      </c>
      <c r="AT62" s="466">
        <f t="shared" si="96"/>
        <v>23</v>
      </c>
      <c r="AU62" s="660">
        <f t="shared" si="10"/>
        <v>1.8333333333333333</v>
      </c>
      <c r="AV62" t="b">
        <v>1</v>
      </c>
      <c r="AX62" s="678">
        <v>-1</v>
      </c>
      <c r="AY62" s="466">
        <f t="shared" si="90"/>
        <v>-3</v>
      </c>
      <c r="AZ62" s="466">
        <f t="shared" ref="AZ62:BC62" si="97">AZ24-AZ43</f>
        <v>-5</v>
      </c>
      <c r="BA62" s="466">
        <f t="shared" si="97"/>
        <v>-4</v>
      </c>
      <c r="BB62" s="466">
        <f t="shared" si="97"/>
        <v>-1</v>
      </c>
      <c r="BC62" s="466">
        <f t="shared" si="97"/>
        <v>-5</v>
      </c>
      <c r="BD62" s="466">
        <f t="shared" ref="BD62:BE62" si="98">BD24-BD43</f>
        <v>2</v>
      </c>
      <c r="BE62" s="466">
        <f t="shared" si="98"/>
        <v>-1</v>
      </c>
      <c r="BF62" s="466">
        <f>BF24-BF43</f>
        <v>-1</v>
      </c>
      <c r="BG62" s="466">
        <f>BG24-BG43</f>
        <v>-1</v>
      </c>
      <c r="BH62" s="466">
        <f>BH24-BH43</f>
        <v>0</v>
      </c>
      <c r="BI62" s="466">
        <v>-2</v>
      </c>
      <c r="BJ62" s="466">
        <f t="shared" si="85"/>
        <v>-22</v>
      </c>
      <c r="BK62" s="660">
        <f t="shared" si="86"/>
        <v>-1.8331805682859763</v>
      </c>
      <c r="BL62" t="b">
        <v>1</v>
      </c>
      <c r="BN62" s="322">
        <f t="shared" si="3"/>
        <v>-5</v>
      </c>
      <c r="BO62" s="322">
        <f t="shared" si="13"/>
        <v>-3.6665139016193096</v>
      </c>
      <c r="BP62" s="322">
        <f t="shared" si="55"/>
        <v>-44</v>
      </c>
      <c r="BQ62" s="322">
        <f t="shared" si="16"/>
        <v>-2</v>
      </c>
      <c r="BR62">
        <f t="shared" si="15"/>
        <v>0</v>
      </c>
      <c r="BS62">
        <f t="shared" si="14"/>
        <v>-2</v>
      </c>
    </row>
    <row r="63" spans="1:71" x14ac:dyDescent="0.55000000000000004">
      <c r="A63" s="7222"/>
      <c r="B63" s="42"/>
      <c r="C63" s="35" t="s">
        <v>261</v>
      </c>
      <c r="D63" s="659">
        <f t="shared" si="87"/>
        <v>0</v>
      </c>
      <c r="E63" s="466">
        <f t="shared" si="87"/>
        <v>0</v>
      </c>
      <c r="F63" s="466">
        <f t="shared" si="87"/>
        <v>0</v>
      </c>
      <c r="G63" s="466">
        <f t="shared" si="87"/>
        <v>0</v>
      </c>
      <c r="H63" s="466">
        <f t="shared" si="87"/>
        <v>0</v>
      </c>
      <c r="I63" s="466">
        <f t="shared" si="87"/>
        <v>0</v>
      </c>
      <c r="J63" s="466">
        <f t="shared" si="87"/>
        <v>0</v>
      </c>
      <c r="K63" s="466">
        <f t="shared" si="87"/>
        <v>0</v>
      </c>
      <c r="L63" s="466">
        <f t="shared" si="87"/>
        <v>0</v>
      </c>
      <c r="M63" s="466">
        <f t="shared" si="87"/>
        <v>0</v>
      </c>
      <c r="N63" s="466">
        <f t="shared" si="87"/>
        <v>0</v>
      </c>
      <c r="O63" s="466">
        <f t="shared" si="87"/>
        <v>-1</v>
      </c>
      <c r="P63" s="466">
        <f t="shared" si="87"/>
        <v>-8.3333333333333329E-2</v>
      </c>
      <c r="Q63" s="660">
        <f t="shared" si="87"/>
        <v>-8.3333333333333329E-2</v>
      </c>
      <c r="R63" s="654"/>
      <c r="S63" s="678">
        <f t="shared" ref="S63:AF63" si="99">S25-S44</f>
        <v>0</v>
      </c>
      <c r="T63" s="466">
        <f t="shared" si="99"/>
        <v>0</v>
      </c>
      <c r="U63" s="466">
        <f t="shared" si="99"/>
        <v>0</v>
      </c>
      <c r="V63" s="466">
        <f t="shared" si="99"/>
        <v>0</v>
      </c>
      <c r="W63" s="466">
        <f t="shared" si="99"/>
        <v>0</v>
      </c>
      <c r="X63" s="466">
        <f t="shared" si="99"/>
        <v>0</v>
      </c>
      <c r="Y63" s="466">
        <f t="shared" si="99"/>
        <v>0</v>
      </c>
      <c r="Z63" s="466">
        <f t="shared" si="99"/>
        <v>0</v>
      </c>
      <c r="AA63" s="466">
        <f t="shared" si="99"/>
        <v>0</v>
      </c>
      <c r="AB63" s="466">
        <f t="shared" si="99"/>
        <v>-1</v>
      </c>
      <c r="AC63" s="466">
        <f t="shared" si="99"/>
        <v>-1</v>
      </c>
      <c r="AD63" s="466">
        <f t="shared" si="99"/>
        <v>-1</v>
      </c>
      <c r="AE63" s="466">
        <f t="shared" si="99"/>
        <v>-3</v>
      </c>
      <c r="AF63" s="660">
        <f t="shared" si="99"/>
        <v>-0.25</v>
      </c>
      <c r="AG63" s="654"/>
      <c r="AH63" s="678">
        <f t="shared" ref="AH63:AT63" si="100">AH25-AH44</f>
        <v>0</v>
      </c>
      <c r="AI63" s="466">
        <f t="shared" si="100"/>
        <v>0</v>
      </c>
      <c r="AJ63" s="466">
        <f t="shared" si="100"/>
        <v>0</v>
      </c>
      <c r="AK63" s="466">
        <f t="shared" si="100"/>
        <v>0</v>
      </c>
      <c r="AL63" s="466">
        <f t="shared" si="100"/>
        <v>-1</v>
      </c>
      <c r="AM63" s="466">
        <f t="shared" si="100"/>
        <v>0</v>
      </c>
      <c r="AN63" s="466">
        <v>0</v>
      </c>
      <c r="AO63" s="466">
        <f t="shared" si="80"/>
        <v>0</v>
      </c>
      <c r="AP63" s="466">
        <f t="shared" si="80"/>
        <v>0</v>
      </c>
      <c r="AQ63" s="466">
        <f t="shared" si="80"/>
        <v>0</v>
      </c>
      <c r="AR63" s="466">
        <f t="shared" si="80"/>
        <v>0</v>
      </c>
      <c r="AS63" s="466">
        <v>-1</v>
      </c>
      <c r="AT63" s="466">
        <f t="shared" si="100"/>
        <v>-2</v>
      </c>
      <c r="AU63" s="660">
        <f t="shared" si="10"/>
        <v>-0.16666666666666666</v>
      </c>
      <c r="AV63" t="b">
        <v>1</v>
      </c>
      <c r="AX63" s="678">
        <v>-1</v>
      </c>
      <c r="AY63" s="466">
        <f t="shared" si="90"/>
        <v>0</v>
      </c>
      <c r="AZ63" s="466">
        <f t="shared" ref="AZ63:BC63" si="101">AZ25-AZ44</f>
        <v>-2</v>
      </c>
      <c r="BA63" s="466">
        <f t="shared" si="101"/>
        <v>0</v>
      </c>
      <c r="BB63" s="466">
        <f t="shared" si="101"/>
        <v>0</v>
      </c>
      <c r="BC63" s="466">
        <f t="shared" si="101"/>
        <v>0</v>
      </c>
      <c r="BD63" s="466">
        <f t="shared" ref="BD63:BE63" si="102">BD25-BD44</f>
        <v>0</v>
      </c>
      <c r="BE63" s="466">
        <f t="shared" si="102"/>
        <v>0</v>
      </c>
      <c r="BF63" s="466">
        <f t="shared" ref="BF63:BG63" si="103">BF25-BF44</f>
        <v>1</v>
      </c>
      <c r="BG63" s="466">
        <f t="shared" si="103"/>
        <v>0</v>
      </c>
      <c r="BH63" s="466">
        <f t="shared" ref="BH63" si="104">BH25-BH44</f>
        <v>0</v>
      </c>
      <c r="BI63" s="466">
        <v>0</v>
      </c>
      <c r="BJ63" s="466">
        <f t="shared" si="85"/>
        <v>-2</v>
      </c>
      <c r="BK63" s="660">
        <f t="shared" si="86"/>
        <v>-0.16665277893508876</v>
      </c>
      <c r="BL63" t="b">
        <v>1</v>
      </c>
      <c r="BN63" s="322">
        <f t="shared" si="3"/>
        <v>1</v>
      </c>
      <c r="BO63" s="322">
        <f t="shared" si="13"/>
        <v>1.3887731577899576E-5</v>
      </c>
      <c r="BP63" s="322">
        <f t="shared" si="55"/>
        <v>0</v>
      </c>
      <c r="BQ63" s="322">
        <f t="shared" si="16"/>
        <v>0</v>
      </c>
      <c r="BR63">
        <f t="shared" si="15"/>
        <v>0</v>
      </c>
      <c r="BS63">
        <f t="shared" si="14"/>
        <v>0</v>
      </c>
    </row>
    <row r="64" spans="1:71" x14ac:dyDescent="0.55000000000000004">
      <c r="A64" s="7222"/>
      <c r="B64" s="243" t="s">
        <v>222</v>
      </c>
      <c r="C64" s="107"/>
      <c r="D64" s="661">
        <f t="shared" si="87"/>
        <v>0</v>
      </c>
      <c r="E64" s="662">
        <f t="shared" si="87"/>
        <v>1</v>
      </c>
      <c r="F64" s="662">
        <f t="shared" si="87"/>
        <v>0</v>
      </c>
      <c r="G64" s="662">
        <f t="shared" si="87"/>
        <v>2</v>
      </c>
      <c r="H64" s="662">
        <f t="shared" si="87"/>
        <v>0</v>
      </c>
      <c r="I64" s="662">
        <f t="shared" si="87"/>
        <v>-2</v>
      </c>
      <c r="J64" s="662">
        <f t="shared" si="87"/>
        <v>2</v>
      </c>
      <c r="K64" s="662">
        <f t="shared" si="87"/>
        <v>0</v>
      </c>
      <c r="L64" s="662">
        <f t="shared" si="87"/>
        <v>0</v>
      </c>
      <c r="M64" s="662">
        <f t="shared" si="87"/>
        <v>-1</v>
      </c>
      <c r="N64" s="662">
        <f t="shared" si="87"/>
        <v>0</v>
      </c>
      <c r="O64" s="662">
        <f t="shared" si="87"/>
        <v>-1</v>
      </c>
      <c r="P64" s="662">
        <f t="shared" si="87"/>
        <v>8.333333333333337E-2</v>
      </c>
      <c r="Q64" s="663">
        <f t="shared" si="87"/>
        <v>8.333333333333337E-2</v>
      </c>
      <c r="R64" s="654"/>
      <c r="S64" s="679">
        <f t="shared" ref="S64:AF64" si="105">S26-S45</f>
        <v>2</v>
      </c>
      <c r="T64" s="662">
        <f t="shared" si="105"/>
        <v>0</v>
      </c>
      <c r="U64" s="662">
        <f t="shared" si="105"/>
        <v>-3</v>
      </c>
      <c r="V64" s="662">
        <f t="shared" si="105"/>
        <v>2</v>
      </c>
      <c r="W64" s="662">
        <f t="shared" si="105"/>
        <v>0</v>
      </c>
      <c r="X64" s="662">
        <f t="shared" si="105"/>
        <v>-1</v>
      </c>
      <c r="Y64" s="662">
        <f t="shared" si="105"/>
        <v>3</v>
      </c>
      <c r="Z64" s="662">
        <f t="shared" si="105"/>
        <v>0</v>
      </c>
      <c r="AA64" s="662">
        <f t="shared" si="105"/>
        <v>0</v>
      </c>
      <c r="AB64" s="662">
        <f t="shared" si="105"/>
        <v>-1</v>
      </c>
      <c r="AC64" s="662">
        <f t="shared" si="105"/>
        <v>0</v>
      </c>
      <c r="AD64" s="662">
        <f t="shared" si="105"/>
        <v>-2</v>
      </c>
      <c r="AE64" s="662">
        <f t="shared" si="105"/>
        <v>0</v>
      </c>
      <c r="AF64" s="663">
        <f t="shared" si="105"/>
        <v>0</v>
      </c>
      <c r="AG64" s="654"/>
      <c r="AH64" s="679">
        <f t="shared" ref="AH64:AT64" si="106">AH26-AH45</f>
        <v>3</v>
      </c>
      <c r="AI64" s="662">
        <f t="shared" si="106"/>
        <v>-4</v>
      </c>
      <c r="AJ64" s="662">
        <f t="shared" si="106"/>
        <v>7</v>
      </c>
      <c r="AK64" s="662">
        <f t="shared" si="106"/>
        <v>-1</v>
      </c>
      <c r="AL64" s="662">
        <f t="shared" si="106"/>
        <v>3</v>
      </c>
      <c r="AM64" s="662">
        <f t="shared" si="106"/>
        <v>1</v>
      </c>
      <c r="AN64" s="662">
        <v>0</v>
      </c>
      <c r="AO64" s="662">
        <f t="shared" si="80"/>
        <v>0</v>
      </c>
      <c r="AP64" s="662">
        <f t="shared" si="80"/>
        <v>1</v>
      </c>
      <c r="AQ64" s="662">
        <f t="shared" si="80"/>
        <v>0</v>
      </c>
      <c r="AR64" s="662">
        <f t="shared" si="80"/>
        <v>0</v>
      </c>
      <c r="AS64" s="662">
        <v>1</v>
      </c>
      <c r="AT64" s="662">
        <f t="shared" si="106"/>
        <v>11</v>
      </c>
      <c r="AU64" s="663">
        <f t="shared" si="10"/>
        <v>0.91666666666666663</v>
      </c>
      <c r="AV64" t="b">
        <v>1</v>
      </c>
      <c r="AX64" s="679">
        <v>0</v>
      </c>
      <c r="AY64" s="662">
        <f t="shared" si="90"/>
        <v>-1</v>
      </c>
      <c r="AZ64" s="662">
        <f t="shared" ref="AZ64:BC64" si="107">AZ26-AZ45</f>
        <v>-3</v>
      </c>
      <c r="BA64" s="662">
        <f t="shared" si="107"/>
        <v>0</v>
      </c>
      <c r="BB64" s="662">
        <f t="shared" si="107"/>
        <v>0</v>
      </c>
      <c r="BC64" s="662">
        <f t="shared" si="107"/>
        <v>-1</v>
      </c>
      <c r="BD64" s="662">
        <f t="shared" ref="BD64:BE64" si="108">BD26-BD45</f>
        <v>0</v>
      </c>
      <c r="BE64" s="662">
        <f t="shared" si="108"/>
        <v>0</v>
      </c>
      <c r="BF64" s="662">
        <f t="shared" ref="BF64:BG64" si="109">BF26-BF45</f>
        <v>0</v>
      </c>
      <c r="BG64" s="662">
        <f t="shared" si="109"/>
        <v>0</v>
      </c>
      <c r="BH64" s="662">
        <f t="shared" ref="BH64" si="110">BH26-BH45</f>
        <v>0</v>
      </c>
      <c r="BI64" s="662">
        <v>-1</v>
      </c>
      <c r="BJ64" s="662">
        <f t="shared" si="85"/>
        <v>-6</v>
      </c>
      <c r="BK64" s="663">
        <f t="shared" si="86"/>
        <v>-0.49995833680526625</v>
      </c>
      <c r="BL64" t="b">
        <v>1</v>
      </c>
      <c r="BN64" s="322">
        <f t="shared" si="3"/>
        <v>-2</v>
      </c>
      <c r="BO64" s="322">
        <f t="shared" si="13"/>
        <v>-1.4166250034719328</v>
      </c>
      <c r="BP64" s="322">
        <f t="shared" si="55"/>
        <v>-17</v>
      </c>
      <c r="BQ64" s="322">
        <f t="shared" si="16"/>
        <v>-1</v>
      </c>
      <c r="BR64">
        <f t="shared" si="15"/>
        <v>0</v>
      </c>
      <c r="BS64">
        <f t="shared" si="14"/>
        <v>-1</v>
      </c>
    </row>
    <row r="65" spans="1:71" x14ac:dyDescent="0.55000000000000004">
      <c r="A65" s="7222"/>
      <c r="B65" s="235" t="s">
        <v>223</v>
      </c>
      <c r="C65" s="14"/>
      <c r="D65" s="664">
        <f t="shared" si="87"/>
        <v>1</v>
      </c>
      <c r="E65" s="607">
        <f t="shared" si="87"/>
        <v>-1</v>
      </c>
      <c r="F65" s="607">
        <f t="shared" si="87"/>
        <v>0</v>
      </c>
      <c r="G65" s="607">
        <f t="shared" si="87"/>
        <v>0</v>
      </c>
      <c r="H65" s="607">
        <f t="shared" si="87"/>
        <v>0</v>
      </c>
      <c r="I65" s="607">
        <f t="shared" si="87"/>
        <v>0</v>
      </c>
      <c r="J65" s="607">
        <f t="shared" si="87"/>
        <v>0</v>
      </c>
      <c r="K65" s="607">
        <f t="shared" si="87"/>
        <v>1</v>
      </c>
      <c r="L65" s="607">
        <f t="shared" si="87"/>
        <v>0</v>
      </c>
      <c r="M65" s="607">
        <f t="shared" si="87"/>
        <v>0</v>
      </c>
      <c r="N65" s="607">
        <f t="shared" si="87"/>
        <v>0</v>
      </c>
      <c r="O65" s="607">
        <f t="shared" si="87"/>
        <v>-2</v>
      </c>
      <c r="P65" s="607">
        <f t="shared" si="87"/>
        <v>-8.3333333333333343E-2</v>
      </c>
      <c r="Q65" s="665">
        <f t="shared" si="87"/>
        <v>-8.3333333333333343E-2</v>
      </c>
      <c r="R65" s="654"/>
      <c r="S65" s="680">
        <f t="shared" ref="S65:AF65" si="111">S27-S46</f>
        <v>0</v>
      </c>
      <c r="T65" s="607">
        <f t="shared" si="111"/>
        <v>0</v>
      </c>
      <c r="U65" s="607">
        <f t="shared" si="111"/>
        <v>0</v>
      </c>
      <c r="V65" s="607">
        <f t="shared" si="111"/>
        <v>1</v>
      </c>
      <c r="W65" s="607">
        <f t="shared" si="111"/>
        <v>0</v>
      </c>
      <c r="X65" s="607">
        <f t="shared" si="111"/>
        <v>0</v>
      </c>
      <c r="Y65" s="607">
        <f t="shared" si="111"/>
        <v>0</v>
      </c>
      <c r="Z65" s="607">
        <f t="shared" si="111"/>
        <v>0</v>
      </c>
      <c r="AA65" s="607">
        <f t="shared" si="111"/>
        <v>0</v>
      </c>
      <c r="AB65" s="607">
        <f t="shared" si="111"/>
        <v>0</v>
      </c>
      <c r="AC65" s="607">
        <f t="shared" si="111"/>
        <v>-1</v>
      </c>
      <c r="AD65" s="607">
        <f t="shared" si="111"/>
        <v>1</v>
      </c>
      <c r="AE65" s="607">
        <f t="shared" si="111"/>
        <v>1</v>
      </c>
      <c r="AF65" s="665">
        <f t="shared" si="111"/>
        <v>8.3333333333333329E-2</v>
      </c>
      <c r="AG65" s="654"/>
      <c r="AH65" s="680">
        <f t="shared" ref="AH65:AT65" si="112">AH27-AH46</f>
        <v>0</v>
      </c>
      <c r="AI65" s="607">
        <f t="shared" si="112"/>
        <v>0</v>
      </c>
      <c r="AJ65" s="607">
        <f t="shared" si="112"/>
        <v>0</v>
      </c>
      <c r="AK65" s="607">
        <f t="shared" si="112"/>
        <v>1</v>
      </c>
      <c r="AL65" s="607">
        <f t="shared" si="112"/>
        <v>0</v>
      </c>
      <c r="AM65" s="607">
        <f t="shared" si="112"/>
        <v>2</v>
      </c>
      <c r="AN65" s="607">
        <v>0</v>
      </c>
      <c r="AO65" s="607">
        <f t="shared" si="80"/>
        <v>0</v>
      </c>
      <c r="AP65" s="607">
        <f t="shared" si="80"/>
        <v>0</v>
      </c>
      <c r="AQ65" s="607">
        <f t="shared" si="80"/>
        <v>0</v>
      </c>
      <c r="AR65" s="607">
        <f t="shared" si="80"/>
        <v>0</v>
      </c>
      <c r="AS65" s="607">
        <v>0</v>
      </c>
      <c r="AT65" s="607">
        <f t="shared" si="112"/>
        <v>3</v>
      </c>
      <c r="AU65" s="665">
        <f t="shared" si="10"/>
        <v>0.25</v>
      </c>
      <c r="AV65" t="b">
        <v>1</v>
      </c>
      <c r="AX65" s="680">
        <v>0</v>
      </c>
      <c r="AY65" s="607">
        <f t="shared" si="90"/>
        <v>0</v>
      </c>
      <c r="AZ65" s="607">
        <f t="shared" ref="AZ65:BC65" si="113">AZ27-AZ46</f>
        <v>0</v>
      </c>
      <c r="BA65" s="607">
        <f t="shared" si="113"/>
        <v>-2</v>
      </c>
      <c r="BB65" s="607">
        <f t="shared" si="113"/>
        <v>-1</v>
      </c>
      <c r="BC65" s="607">
        <f t="shared" si="113"/>
        <v>0</v>
      </c>
      <c r="BD65" s="607">
        <f t="shared" ref="BD65:BE65" si="114">BD27-BD46</f>
        <v>0</v>
      </c>
      <c r="BE65" s="607">
        <f t="shared" si="114"/>
        <v>-1</v>
      </c>
      <c r="BF65" s="607">
        <f t="shared" ref="BF65:BG65" si="115">BF27-BF46</f>
        <v>0</v>
      </c>
      <c r="BG65" s="607">
        <f t="shared" si="115"/>
        <v>0</v>
      </c>
      <c r="BH65" s="607">
        <f t="shared" ref="BH65" si="116">BH27-BH46</f>
        <v>0</v>
      </c>
      <c r="BI65" s="607">
        <v>0</v>
      </c>
      <c r="BJ65" s="607">
        <f t="shared" si="85"/>
        <v>-4</v>
      </c>
      <c r="BK65" s="665">
        <f t="shared" si="86"/>
        <v>-0.33330555787017752</v>
      </c>
      <c r="BL65" t="b">
        <v>1</v>
      </c>
      <c r="BN65" s="322">
        <f t="shared" si="3"/>
        <v>0</v>
      </c>
      <c r="BO65" s="322">
        <f t="shared" si="13"/>
        <v>-0.58330555787017757</v>
      </c>
      <c r="BP65" s="322">
        <f t="shared" si="55"/>
        <v>-7</v>
      </c>
      <c r="BQ65" s="322">
        <f t="shared" si="16"/>
        <v>0</v>
      </c>
      <c r="BR65">
        <f t="shared" si="15"/>
        <v>0</v>
      </c>
      <c r="BS65">
        <f t="shared" si="14"/>
        <v>0</v>
      </c>
    </row>
    <row r="66" spans="1:71" x14ac:dyDescent="0.55000000000000004">
      <c r="A66" s="7222"/>
      <c r="B66" s="235" t="s">
        <v>224</v>
      </c>
      <c r="C66" s="14"/>
      <c r="D66" s="664">
        <f t="shared" si="87"/>
        <v>0</v>
      </c>
      <c r="E66" s="607">
        <f t="shared" si="87"/>
        <v>0</v>
      </c>
      <c r="F66" s="607">
        <f t="shared" si="87"/>
        <v>0</v>
      </c>
      <c r="G66" s="607">
        <f t="shared" si="87"/>
        <v>0</v>
      </c>
      <c r="H66" s="607">
        <f t="shared" si="87"/>
        <v>0</v>
      </c>
      <c r="I66" s="607">
        <f t="shared" si="87"/>
        <v>0</v>
      </c>
      <c r="J66" s="607">
        <f t="shared" si="87"/>
        <v>1</v>
      </c>
      <c r="K66" s="607">
        <f t="shared" si="87"/>
        <v>0</v>
      </c>
      <c r="L66" s="607">
        <f t="shared" si="87"/>
        <v>0</v>
      </c>
      <c r="M66" s="607">
        <f t="shared" si="87"/>
        <v>-1</v>
      </c>
      <c r="N66" s="607">
        <f t="shared" si="87"/>
        <v>0</v>
      </c>
      <c r="O66" s="607">
        <f t="shared" si="87"/>
        <v>-1</v>
      </c>
      <c r="P66" s="607">
        <f t="shared" si="87"/>
        <v>-8.3333333333333329E-2</v>
      </c>
      <c r="Q66" s="665">
        <f t="shared" si="87"/>
        <v>-8.3333333333333329E-2</v>
      </c>
      <c r="R66" s="654"/>
      <c r="S66" s="680">
        <f t="shared" ref="S66:AF66" si="117">S28-S47</f>
        <v>0</v>
      </c>
      <c r="T66" s="607">
        <f t="shared" si="117"/>
        <v>0</v>
      </c>
      <c r="U66" s="607">
        <f t="shared" si="117"/>
        <v>0</v>
      </c>
      <c r="V66" s="607">
        <f t="shared" si="117"/>
        <v>1</v>
      </c>
      <c r="W66" s="607">
        <f t="shared" si="117"/>
        <v>0</v>
      </c>
      <c r="X66" s="607">
        <f t="shared" si="117"/>
        <v>0</v>
      </c>
      <c r="Y66" s="607">
        <f t="shared" si="117"/>
        <v>0</v>
      </c>
      <c r="Z66" s="607">
        <f t="shared" si="117"/>
        <v>-1</v>
      </c>
      <c r="AA66" s="607">
        <f t="shared" si="117"/>
        <v>0</v>
      </c>
      <c r="AB66" s="607">
        <f t="shared" si="117"/>
        <v>0</v>
      </c>
      <c r="AC66" s="607">
        <f t="shared" si="117"/>
        <v>0</v>
      </c>
      <c r="AD66" s="607">
        <f t="shared" si="117"/>
        <v>0</v>
      </c>
      <c r="AE66" s="607">
        <f t="shared" si="117"/>
        <v>0</v>
      </c>
      <c r="AF66" s="665">
        <f t="shared" si="117"/>
        <v>0</v>
      </c>
      <c r="AG66" s="654"/>
      <c r="AH66" s="680">
        <f t="shared" ref="AH66:AT66" si="118">AH28-AH47</f>
        <v>0</v>
      </c>
      <c r="AI66" s="607">
        <f t="shared" si="118"/>
        <v>0</v>
      </c>
      <c r="AJ66" s="607">
        <f t="shared" si="118"/>
        <v>1</v>
      </c>
      <c r="AK66" s="607">
        <f t="shared" si="118"/>
        <v>0</v>
      </c>
      <c r="AL66" s="607">
        <f t="shared" si="118"/>
        <v>2</v>
      </c>
      <c r="AM66" s="607">
        <f t="shared" si="118"/>
        <v>-1</v>
      </c>
      <c r="AN66" s="607">
        <v>2</v>
      </c>
      <c r="AO66" s="607">
        <f t="shared" si="80"/>
        <v>0</v>
      </c>
      <c r="AP66" s="607">
        <f t="shared" si="80"/>
        <v>0</v>
      </c>
      <c r="AQ66" s="607">
        <f t="shared" si="80"/>
        <v>0</v>
      </c>
      <c r="AR66" s="607">
        <f t="shared" si="80"/>
        <v>0</v>
      </c>
      <c r="AS66" s="607">
        <v>1</v>
      </c>
      <c r="AT66" s="607">
        <f t="shared" si="118"/>
        <v>5</v>
      </c>
      <c r="AU66" s="665">
        <f t="shared" si="10"/>
        <v>0.41666666666666669</v>
      </c>
      <c r="AV66" t="b">
        <v>1</v>
      </c>
      <c r="AX66" s="680">
        <v>0</v>
      </c>
      <c r="AY66" s="607">
        <f t="shared" si="90"/>
        <v>-1</v>
      </c>
      <c r="AZ66" s="607">
        <f t="shared" ref="AZ66:BC66" si="119">AZ28-AZ47</f>
        <v>-2</v>
      </c>
      <c r="BA66" s="607">
        <f t="shared" si="119"/>
        <v>0</v>
      </c>
      <c r="BB66" s="607">
        <f>BB28-BB47</f>
        <v>0</v>
      </c>
      <c r="BC66" s="607">
        <f t="shared" si="119"/>
        <v>-3</v>
      </c>
      <c r="BD66" s="607">
        <f t="shared" ref="BD66:BE66" si="120">BD28-BD47</f>
        <v>2</v>
      </c>
      <c r="BE66" s="607">
        <f t="shared" si="120"/>
        <v>0</v>
      </c>
      <c r="BF66" s="607">
        <f t="shared" ref="BF66:BG66" si="121">BF28-BF47</f>
        <v>0</v>
      </c>
      <c r="BG66" s="607">
        <f t="shared" si="121"/>
        <v>0</v>
      </c>
      <c r="BH66" s="607">
        <f t="shared" ref="BH66" si="122">BH28-BH47</f>
        <v>-1</v>
      </c>
      <c r="BI66" s="607">
        <v>-1</v>
      </c>
      <c r="BJ66" s="607">
        <f t="shared" si="85"/>
        <v>-6</v>
      </c>
      <c r="BK66" s="665">
        <f t="shared" si="86"/>
        <v>-0.49995833680526625</v>
      </c>
      <c r="BL66" t="b">
        <v>1</v>
      </c>
      <c r="BN66" s="322">
        <f t="shared" si="3"/>
        <v>-2</v>
      </c>
      <c r="BO66" s="322">
        <f t="shared" si="13"/>
        <v>-0.91662500347193299</v>
      </c>
      <c r="BP66" s="322">
        <f t="shared" si="55"/>
        <v>-11</v>
      </c>
      <c r="BQ66" s="322">
        <f t="shared" si="16"/>
        <v>0</v>
      </c>
      <c r="BR66">
        <f t="shared" si="15"/>
        <v>-1</v>
      </c>
      <c r="BS66">
        <f t="shared" si="14"/>
        <v>-1</v>
      </c>
    </row>
    <row r="67" spans="1:71" x14ac:dyDescent="0.55000000000000004">
      <c r="A67" s="7222"/>
      <c r="B67" s="235" t="s">
        <v>225</v>
      </c>
      <c r="C67" s="14"/>
      <c r="D67" s="664">
        <f t="shared" si="87"/>
        <v>0</v>
      </c>
      <c r="E67" s="607">
        <f t="shared" si="87"/>
        <v>1</v>
      </c>
      <c r="F67" s="607">
        <f t="shared" si="87"/>
        <v>1</v>
      </c>
      <c r="G67" s="607">
        <f t="shared" si="87"/>
        <v>1</v>
      </c>
      <c r="H67" s="607">
        <f t="shared" si="87"/>
        <v>1</v>
      </c>
      <c r="I67" s="607">
        <f t="shared" si="87"/>
        <v>0</v>
      </c>
      <c r="J67" s="607">
        <f t="shared" si="87"/>
        <v>0</v>
      </c>
      <c r="K67" s="607">
        <f t="shared" si="87"/>
        <v>-1</v>
      </c>
      <c r="L67" s="607">
        <f t="shared" si="87"/>
        <v>1</v>
      </c>
      <c r="M67" s="607">
        <f t="shared" si="87"/>
        <v>0</v>
      </c>
      <c r="N67" s="607">
        <f t="shared" si="87"/>
        <v>0</v>
      </c>
      <c r="O67" s="607">
        <f t="shared" si="87"/>
        <v>-1</v>
      </c>
      <c r="P67" s="607">
        <f t="shared" si="87"/>
        <v>0.25</v>
      </c>
      <c r="Q67" s="665">
        <f t="shared" si="87"/>
        <v>0.25</v>
      </c>
      <c r="R67" s="654"/>
      <c r="S67" s="680">
        <f t="shared" ref="S67:AF67" si="123">S29-S48</f>
        <v>1</v>
      </c>
      <c r="T67" s="607">
        <f t="shared" si="123"/>
        <v>0</v>
      </c>
      <c r="U67" s="607">
        <f t="shared" si="123"/>
        <v>-2</v>
      </c>
      <c r="V67" s="607">
        <f t="shared" si="123"/>
        <v>1</v>
      </c>
      <c r="W67" s="607">
        <f t="shared" si="123"/>
        <v>0</v>
      </c>
      <c r="X67" s="607">
        <f t="shared" si="123"/>
        <v>0</v>
      </c>
      <c r="Y67" s="607">
        <f t="shared" si="123"/>
        <v>-1</v>
      </c>
      <c r="Z67" s="607">
        <f t="shared" si="123"/>
        <v>-1</v>
      </c>
      <c r="AA67" s="607">
        <f t="shared" si="123"/>
        <v>0</v>
      </c>
      <c r="AB67" s="607">
        <f t="shared" si="123"/>
        <v>0</v>
      </c>
      <c r="AC67" s="607">
        <f t="shared" si="123"/>
        <v>-1</v>
      </c>
      <c r="AD67" s="607">
        <f t="shared" si="123"/>
        <v>0</v>
      </c>
      <c r="AE67" s="607">
        <f t="shared" si="123"/>
        <v>-3</v>
      </c>
      <c r="AF67" s="665">
        <f t="shared" si="123"/>
        <v>-0.25000000000000006</v>
      </c>
      <c r="AG67" s="654"/>
      <c r="AH67" s="680">
        <f t="shared" ref="AH67:AT67" si="124">AH29-AH48</f>
        <v>-1</v>
      </c>
      <c r="AI67" s="607">
        <f t="shared" si="124"/>
        <v>0</v>
      </c>
      <c r="AJ67" s="607">
        <f t="shared" si="124"/>
        <v>1</v>
      </c>
      <c r="AK67" s="607">
        <f t="shared" si="124"/>
        <v>-1</v>
      </c>
      <c r="AL67" s="607">
        <f t="shared" si="124"/>
        <v>1</v>
      </c>
      <c r="AM67" s="607">
        <f t="shared" si="124"/>
        <v>0</v>
      </c>
      <c r="AN67" s="607">
        <v>0</v>
      </c>
      <c r="AO67" s="607">
        <f t="shared" si="80"/>
        <v>-1</v>
      </c>
      <c r="AP67" s="607">
        <f t="shared" si="80"/>
        <v>0</v>
      </c>
      <c r="AQ67" s="607">
        <f t="shared" si="80"/>
        <v>0</v>
      </c>
      <c r="AR67" s="607">
        <f>AR29-AR48</f>
        <v>-1</v>
      </c>
      <c r="AS67" s="607">
        <v>1</v>
      </c>
      <c r="AT67" s="607">
        <f t="shared" si="124"/>
        <v>-1</v>
      </c>
      <c r="AU67" s="665">
        <f t="shared" si="10"/>
        <v>-8.3333333333333329E-2</v>
      </c>
      <c r="AV67" t="b">
        <v>1</v>
      </c>
      <c r="AX67" s="680">
        <v>-1</v>
      </c>
      <c r="AY67" s="607">
        <f t="shared" si="90"/>
        <v>-1</v>
      </c>
      <c r="AZ67" s="607">
        <f t="shared" ref="AZ67:BC67" si="125">AZ29-AZ48</f>
        <v>-1</v>
      </c>
      <c r="BA67" s="607">
        <f t="shared" si="125"/>
        <v>0</v>
      </c>
      <c r="BB67" s="607">
        <f t="shared" si="125"/>
        <v>0</v>
      </c>
      <c r="BC67" s="607">
        <f t="shared" si="125"/>
        <v>0</v>
      </c>
      <c r="BD67" s="607">
        <f t="shared" ref="BD67:BE67" si="126">BD29-BD48</f>
        <v>0</v>
      </c>
      <c r="BE67" s="607">
        <f t="shared" si="126"/>
        <v>0</v>
      </c>
      <c r="BF67" s="607">
        <f t="shared" ref="BF67:BG67" si="127">BF29-BF48</f>
        <v>0</v>
      </c>
      <c r="BG67" s="607">
        <f t="shared" si="127"/>
        <v>0</v>
      </c>
      <c r="BH67" s="607">
        <f t="shared" ref="BH67" si="128">BH29-BH48</f>
        <v>0</v>
      </c>
      <c r="BI67" s="607">
        <v>0</v>
      </c>
      <c r="BJ67" s="607">
        <f t="shared" si="85"/>
        <v>-3</v>
      </c>
      <c r="BK67" s="665">
        <f t="shared" si="86"/>
        <v>-0.24997916840263312</v>
      </c>
      <c r="BL67" t="b">
        <v>1</v>
      </c>
      <c r="BN67" s="322">
        <f t="shared" ref="BN67:BN79" si="129">HLOOKUP($A$1,$AX$1:$BI$500,ROW(),0)-HLOOKUP($A$1,$AH$1:$AS$500,ROW(),0)</f>
        <v>-1</v>
      </c>
      <c r="BO67" s="322">
        <f t="shared" si="13"/>
        <v>-0.16664583506929981</v>
      </c>
      <c r="BP67" s="322">
        <f t="shared" ref="BP67:BP79" si="130">BJ67-SUM(AH67:AS67)</f>
        <v>-2</v>
      </c>
      <c r="BQ67" s="322">
        <f t="shared" si="16"/>
        <v>0</v>
      </c>
      <c r="BR67">
        <f t="shared" si="15"/>
        <v>0</v>
      </c>
      <c r="BS67">
        <f t="shared" si="14"/>
        <v>0</v>
      </c>
    </row>
    <row r="68" spans="1:71" x14ac:dyDescent="0.55000000000000004">
      <c r="A68" s="7222"/>
      <c r="B68" s="236" t="s">
        <v>226</v>
      </c>
      <c r="C68" s="29"/>
      <c r="D68" s="666">
        <f t="shared" si="87"/>
        <v>0</v>
      </c>
      <c r="E68" s="667">
        <f t="shared" si="87"/>
        <v>0</v>
      </c>
      <c r="F68" s="667">
        <f t="shared" si="87"/>
        <v>0</v>
      </c>
      <c r="G68" s="667">
        <f t="shared" si="87"/>
        <v>1</v>
      </c>
      <c r="H68" s="667">
        <f t="shared" si="87"/>
        <v>0</v>
      </c>
      <c r="I68" s="667">
        <f t="shared" si="87"/>
        <v>-2</v>
      </c>
      <c r="J68" s="667">
        <f t="shared" si="87"/>
        <v>1</v>
      </c>
      <c r="K68" s="667">
        <f t="shared" si="87"/>
        <v>0</v>
      </c>
      <c r="L68" s="667">
        <f t="shared" si="87"/>
        <v>0</v>
      </c>
      <c r="M68" s="667">
        <f t="shared" si="87"/>
        <v>0</v>
      </c>
      <c r="N68" s="667">
        <f t="shared" si="87"/>
        <v>0</v>
      </c>
      <c r="O68" s="667">
        <f t="shared" si="87"/>
        <v>0</v>
      </c>
      <c r="P68" s="667">
        <f t="shared" si="87"/>
        <v>0</v>
      </c>
      <c r="Q68" s="668">
        <f t="shared" si="87"/>
        <v>0</v>
      </c>
      <c r="R68" s="654"/>
      <c r="S68" s="681">
        <f t="shared" ref="S68:AF68" si="131">S30-S49</f>
        <v>0</v>
      </c>
      <c r="T68" s="667">
        <f t="shared" si="131"/>
        <v>0</v>
      </c>
      <c r="U68" s="667">
        <f t="shared" si="131"/>
        <v>0</v>
      </c>
      <c r="V68" s="667">
        <f t="shared" si="131"/>
        <v>-1</v>
      </c>
      <c r="W68" s="667">
        <f t="shared" si="131"/>
        <v>0</v>
      </c>
      <c r="X68" s="667">
        <f t="shared" si="131"/>
        <v>0</v>
      </c>
      <c r="Y68" s="667">
        <f t="shared" si="131"/>
        <v>0</v>
      </c>
      <c r="Z68" s="667">
        <f t="shared" si="131"/>
        <v>0</v>
      </c>
      <c r="AA68" s="667">
        <f t="shared" si="131"/>
        <v>0</v>
      </c>
      <c r="AB68" s="667">
        <f t="shared" si="131"/>
        <v>-1</v>
      </c>
      <c r="AC68" s="667">
        <f t="shared" si="131"/>
        <v>1</v>
      </c>
      <c r="AD68" s="667">
        <f t="shared" si="131"/>
        <v>0</v>
      </c>
      <c r="AE68" s="667">
        <f t="shared" si="131"/>
        <v>-1</v>
      </c>
      <c r="AF68" s="668">
        <f t="shared" si="131"/>
        <v>-8.3333333333333343E-2</v>
      </c>
      <c r="AG68" s="654"/>
      <c r="AH68" s="681">
        <f t="shared" ref="AH68:AT68" si="132">AH30-AH49</f>
        <v>0</v>
      </c>
      <c r="AI68" s="667">
        <f t="shared" si="132"/>
        <v>0</v>
      </c>
      <c r="AJ68" s="667">
        <f t="shared" si="132"/>
        <v>0</v>
      </c>
      <c r="AK68" s="667">
        <f t="shared" si="132"/>
        <v>2</v>
      </c>
      <c r="AL68" s="667">
        <f t="shared" si="132"/>
        <v>-1</v>
      </c>
      <c r="AM68" s="667">
        <f t="shared" si="132"/>
        <v>1</v>
      </c>
      <c r="AN68" s="667">
        <v>0</v>
      </c>
      <c r="AO68" s="667">
        <f t="shared" si="80"/>
        <v>1</v>
      </c>
      <c r="AP68" s="667">
        <f t="shared" si="80"/>
        <v>0</v>
      </c>
      <c r="AQ68" s="667">
        <f t="shared" si="80"/>
        <v>0</v>
      </c>
      <c r="AR68" s="667">
        <f t="shared" si="80"/>
        <v>1</v>
      </c>
      <c r="AS68" s="667">
        <v>-1</v>
      </c>
      <c r="AT68" s="667">
        <f t="shared" si="132"/>
        <v>4</v>
      </c>
      <c r="AU68" s="668">
        <f t="shared" ref="AU68:AU78" si="133">SUM(AH68:AS68)/12</f>
        <v>0.25</v>
      </c>
      <c r="AV68" t="b">
        <v>1</v>
      </c>
      <c r="AX68" s="681">
        <v>-1</v>
      </c>
      <c r="AY68" s="667">
        <f t="shared" si="90"/>
        <v>0</v>
      </c>
      <c r="AZ68" s="667">
        <f t="shared" ref="AZ68:BC68" si="134">AZ30-AZ49</f>
        <v>-1</v>
      </c>
      <c r="BA68" s="667">
        <f t="shared" si="134"/>
        <v>-2</v>
      </c>
      <c r="BB68" s="667">
        <f t="shared" si="134"/>
        <v>0</v>
      </c>
      <c r="BC68" s="667">
        <f t="shared" si="134"/>
        <v>-1</v>
      </c>
      <c r="BD68" s="667">
        <f t="shared" ref="BD68:BE68" si="135">BD30-BD49</f>
        <v>0</v>
      </c>
      <c r="BE68" s="667">
        <f t="shared" si="135"/>
        <v>0</v>
      </c>
      <c r="BF68" s="667">
        <f t="shared" ref="BF68:BG68" si="136">BF30-BF49</f>
        <v>0</v>
      </c>
      <c r="BG68" s="667">
        <f t="shared" si="136"/>
        <v>-1</v>
      </c>
      <c r="BH68" s="667">
        <f t="shared" ref="BH68" si="137">BH30-BH49</f>
        <v>1</v>
      </c>
      <c r="BI68" s="667">
        <v>0</v>
      </c>
      <c r="BJ68" s="667">
        <f t="shared" si="85"/>
        <v>-5</v>
      </c>
      <c r="BK68" s="668">
        <f t="shared" si="86"/>
        <v>-0.41663194733772185</v>
      </c>
      <c r="BL68" t="b">
        <v>1</v>
      </c>
      <c r="BN68" s="322">
        <f t="shared" si="129"/>
        <v>1</v>
      </c>
      <c r="BO68" s="322">
        <f t="shared" ref="BO68:BO79" si="138">BK68-AU68</f>
        <v>-0.6666319473377218</v>
      </c>
      <c r="BP68" s="322">
        <f t="shared" si="130"/>
        <v>-8</v>
      </c>
      <c r="BQ68" s="322">
        <f t="shared" ref="BQ68:BQ131" si="139">BS68-BR68</f>
        <v>-1</v>
      </c>
      <c r="BR68">
        <f t="shared" ref="BR68:BR131" si="140">HLOOKUP($B$1,$AX$1:$BI$500,ROW(),0)</f>
        <v>1</v>
      </c>
      <c r="BS68">
        <f t="shared" ref="BS68:BS131" si="141">HLOOKUP($A$1,$AX$1:$BI$500,ROW(),0)</f>
        <v>0</v>
      </c>
    </row>
    <row r="69" spans="1:71" ht="15.9" customHeight="1" x14ac:dyDescent="0.55000000000000004">
      <c r="A69" s="7222"/>
      <c r="B69" s="244"/>
      <c r="C69" s="176" t="s">
        <v>227</v>
      </c>
      <c r="D69" s="669">
        <f t="shared" si="87"/>
        <v>0</v>
      </c>
      <c r="E69" s="669">
        <f t="shared" si="87"/>
        <v>0</v>
      </c>
      <c r="F69" s="669">
        <f t="shared" si="87"/>
        <v>0</v>
      </c>
      <c r="G69" s="669">
        <f t="shared" si="87"/>
        <v>2</v>
      </c>
      <c r="H69" s="669">
        <f t="shared" si="87"/>
        <v>0</v>
      </c>
      <c r="I69" s="669">
        <f t="shared" si="87"/>
        <v>-1</v>
      </c>
      <c r="J69" s="669">
        <f t="shared" si="87"/>
        <v>1</v>
      </c>
      <c r="K69" s="669">
        <f t="shared" si="87"/>
        <v>0</v>
      </c>
      <c r="L69" s="669">
        <f t="shared" si="87"/>
        <v>0</v>
      </c>
      <c r="M69" s="669">
        <f t="shared" si="87"/>
        <v>0</v>
      </c>
      <c r="N69" s="669">
        <f t="shared" si="87"/>
        <v>0</v>
      </c>
      <c r="O69" s="669">
        <f t="shared" si="87"/>
        <v>0</v>
      </c>
      <c r="P69" s="669">
        <f t="shared" si="87"/>
        <v>0.16666666666666666</v>
      </c>
      <c r="Q69" s="670">
        <f t="shared" si="87"/>
        <v>0.16666666666666666</v>
      </c>
      <c r="R69" s="654"/>
      <c r="S69" s="682">
        <f t="shared" ref="S69:AF69" si="142">S31-S50</f>
        <v>1</v>
      </c>
      <c r="T69" s="669">
        <f t="shared" si="142"/>
        <v>0</v>
      </c>
      <c r="U69" s="669">
        <f t="shared" si="142"/>
        <v>-2</v>
      </c>
      <c r="V69" s="669">
        <f t="shared" si="142"/>
        <v>2</v>
      </c>
      <c r="W69" s="669">
        <f t="shared" si="142"/>
        <v>0</v>
      </c>
      <c r="X69" s="669">
        <f t="shared" si="142"/>
        <v>-1</v>
      </c>
      <c r="Y69" s="669">
        <f t="shared" si="142"/>
        <v>2</v>
      </c>
      <c r="Z69" s="669">
        <f t="shared" si="142"/>
        <v>0</v>
      </c>
      <c r="AA69" s="669">
        <f t="shared" si="142"/>
        <v>0</v>
      </c>
      <c r="AB69" s="669">
        <f t="shared" si="142"/>
        <v>0</v>
      </c>
      <c r="AC69" s="669">
        <f t="shared" si="142"/>
        <v>0</v>
      </c>
      <c r="AD69" s="669">
        <f t="shared" si="142"/>
        <v>-2</v>
      </c>
      <c r="AE69" s="669">
        <f t="shared" si="142"/>
        <v>0</v>
      </c>
      <c r="AF69" s="670">
        <f t="shared" si="142"/>
        <v>0</v>
      </c>
      <c r="AG69" s="654"/>
      <c r="AH69" s="682">
        <f t="shared" ref="AH69:AT69" si="143">AH31-AH50</f>
        <v>2</v>
      </c>
      <c r="AI69" s="669">
        <f t="shared" si="143"/>
        <v>-1</v>
      </c>
      <c r="AJ69" s="669">
        <f t="shared" si="143"/>
        <v>3</v>
      </c>
      <c r="AK69" s="669">
        <f t="shared" si="143"/>
        <v>-1</v>
      </c>
      <c r="AL69" s="669">
        <f t="shared" si="143"/>
        <v>2</v>
      </c>
      <c r="AM69" s="669">
        <f t="shared" si="143"/>
        <v>1</v>
      </c>
      <c r="AN69" s="669">
        <v>0</v>
      </c>
      <c r="AO69" s="669">
        <f t="shared" si="80"/>
        <v>0</v>
      </c>
      <c r="AP69" s="669">
        <f t="shared" si="80"/>
        <v>1</v>
      </c>
      <c r="AQ69" s="669">
        <f t="shared" si="80"/>
        <v>0</v>
      </c>
      <c r="AR69" s="669">
        <f t="shared" si="80"/>
        <v>0</v>
      </c>
      <c r="AS69" s="669">
        <v>0</v>
      </c>
      <c r="AT69" s="669">
        <f t="shared" si="143"/>
        <v>7</v>
      </c>
      <c r="AU69" s="670">
        <f t="shared" si="133"/>
        <v>0.58333333333333337</v>
      </c>
      <c r="AV69" t="b">
        <v>1</v>
      </c>
      <c r="AX69" s="682">
        <v>0</v>
      </c>
      <c r="AY69" s="669">
        <f t="shared" si="90"/>
        <v>-1</v>
      </c>
      <c r="AZ69" s="669">
        <f t="shared" ref="AZ69:BC69" si="144">AZ31-AZ50</f>
        <v>-1</v>
      </c>
      <c r="BA69" s="669">
        <f t="shared" si="144"/>
        <v>0</v>
      </c>
      <c r="BB69" s="669">
        <f t="shared" si="144"/>
        <v>0</v>
      </c>
      <c r="BC69" s="669">
        <f t="shared" si="144"/>
        <v>-1</v>
      </c>
      <c r="BD69" s="669">
        <f t="shared" ref="BD69:BE69" si="145">BD31-BD50</f>
        <v>0</v>
      </c>
      <c r="BE69" s="669">
        <f t="shared" si="145"/>
        <v>0</v>
      </c>
      <c r="BF69" s="669">
        <f t="shared" ref="BF69:BG69" si="146">BF31-BF50</f>
        <v>0</v>
      </c>
      <c r="BG69" s="669">
        <f t="shared" si="146"/>
        <v>0</v>
      </c>
      <c r="BH69" s="669">
        <f t="shared" ref="BH69" si="147">BH31-BH50</f>
        <v>0</v>
      </c>
      <c r="BI69" s="669">
        <v>-1</v>
      </c>
      <c r="BJ69" s="669">
        <f t="shared" si="85"/>
        <v>-4</v>
      </c>
      <c r="BK69" s="670">
        <f t="shared" si="86"/>
        <v>-0.33330555787017752</v>
      </c>
      <c r="BL69" t="b">
        <v>1</v>
      </c>
      <c r="BN69" s="322">
        <f t="shared" si="129"/>
        <v>-1</v>
      </c>
      <c r="BO69" s="322">
        <f t="shared" si="138"/>
        <v>-0.91663889120351083</v>
      </c>
      <c r="BP69" s="322">
        <f t="shared" si="130"/>
        <v>-11</v>
      </c>
      <c r="BQ69" s="322">
        <f t="shared" si="139"/>
        <v>-1</v>
      </c>
      <c r="BR69">
        <f t="shared" si="140"/>
        <v>0</v>
      </c>
      <c r="BS69">
        <f t="shared" si="141"/>
        <v>-1</v>
      </c>
    </row>
    <row r="70" spans="1:71" x14ac:dyDescent="0.55000000000000004">
      <c r="A70" s="7222"/>
      <c r="B70" s="245"/>
      <c r="C70" s="177" t="s">
        <v>228</v>
      </c>
      <c r="D70" s="671">
        <f t="shared" si="87"/>
        <v>0</v>
      </c>
      <c r="E70" s="671">
        <f t="shared" si="87"/>
        <v>1</v>
      </c>
      <c r="F70" s="671">
        <f t="shared" si="87"/>
        <v>0</v>
      </c>
      <c r="G70" s="671">
        <f t="shared" si="87"/>
        <v>0</v>
      </c>
      <c r="H70" s="671">
        <f t="shared" si="87"/>
        <v>0</v>
      </c>
      <c r="I70" s="671">
        <f t="shared" ref="I70:Q70" si="148">I32-I51</f>
        <v>-1</v>
      </c>
      <c r="J70" s="671">
        <f t="shared" si="148"/>
        <v>1</v>
      </c>
      <c r="K70" s="671">
        <f t="shared" si="148"/>
        <v>0</v>
      </c>
      <c r="L70" s="671">
        <f t="shared" si="148"/>
        <v>0</v>
      </c>
      <c r="M70" s="671">
        <f t="shared" si="148"/>
        <v>-1</v>
      </c>
      <c r="N70" s="671">
        <f t="shared" si="148"/>
        <v>0</v>
      </c>
      <c r="O70" s="671">
        <f t="shared" si="148"/>
        <v>-1</v>
      </c>
      <c r="P70" s="671">
        <f t="shared" si="148"/>
        <v>-8.3333333333333315E-2</v>
      </c>
      <c r="Q70" s="672">
        <f t="shared" si="148"/>
        <v>-8.3333333333333315E-2</v>
      </c>
      <c r="R70" s="654"/>
      <c r="S70" s="683">
        <f t="shared" ref="S70:AB70" si="149">S32-S51</f>
        <v>1</v>
      </c>
      <c r="T70" s="671">
        <f t="shared" si="149"/>
        <v>0</v>
      </c>
      <c r="U70" s="671">
        <f t="shared" si="149"/>
        <v>-1</v>
      </c>
      <c r="V70" s="671">
        <f t="shared" si="149"/>
        <v>0</v>
      </c>
      <c r="W70" s="671">
        <f t="shared" si="149"/>
        <v>0</v>
      </c>
      <c r="X70" s="671">
        <f t="shared" si="149"/>
        <v>0</v>
      </c>
      <c r="Y70" s="671">
        <f t="shared" si="149"/>
        <v>1</v>
      </c>
      <c r="Z70" s="671">
        <f t="shared" si="149"/>
        <v>0</v>
      </c>
      <c r="AA70" s="671">
        <f t="shared" si="149"/>
        <v>0</v>
      </c>
      <c r="AB70" s="671">
        <f t="shared" si="149"/>
        <v>-1</v>
      </c>
      <c r="AC70" s="671">
        <f t="shared" ref="AC70:AF74" si="150">AC32-AC51</f>
        <v>0</v>
      </c>
      <c r="AD70" s="671">
        <f t="shared" si="150"/>
        <v>0</v>
      </c>
      <c r="AE70" s="671">
        <f t="shared" si="150"/>
        <v>0</v>
      </c>
      <c r="AF70" s="672">
        <f t="shared" si="150"/>
        <v>0</v>
      </c>
      <c r="AG70" s="654"/>
      <c r="AH70" s="683">
        <f t="shared" ref="AH70:AT70" si="151">AH32-AH51</f>
        <v>1</v>
      </c>
      <c r="AI70" s="671">
        <f t="shared" si="151"/>
        <v>-3</v>
      </c>
      <c r="AJ70" s="671">
        <f t="shared" si="151"/>
        <v>4</v>
      </c>
      <c r="AK70" s="671">
        <f t="shared" si="151"/>
        <v>0</v>
      </c>
      <c r="AL70" s="671">
        <f t="shared" si="151"/>
        <v>1</v>
      </c>
      <c r="AM70" s="671">
        <f t="shared" si="151"/>
        <v>0</v>
      </c>
      <c r="AN70" s="671">
        <v>0</v>
      </c>
      <c r="AO70" s="671">
        <f t="shared" si="80"/>
        <v>0</v>
      </c>
      <c r="AP70" s="671">
        <f t="shared" si="80"/>
        <v>0</v>
      </c>
      <c r="AQ70" s="671">
        <f t="shared" si="80"/>
        <v>0</v>
      </c>
      <c r="AR70" s="671">
        <f t="shared" si="80"/>
        <v>0</v>
      </c>
      <c r="AS70" s="671">
        <v>1</v>
      </c>
      <c r="AT70" s="671">
        <f t="shared" si="151"/>
        <v>4</v>
      </c>
      <c r="AU70" s="672">
        <f t="shared" si="133"/>
        <v>0.33333333333333331</v>
      </c>
      <c r="AV70" t="b">
        <v>1</v>
      </c>
      <c r="AX70" s="683">
        <v>0</v>
      </c>
      <c r="AY70" s="671">
        <f t="shared" si="90"/>
        <v>0</v>
      </c>
      <c r="AZ70" s="671">
        <f t="shared" ref="AZ70:BC70" si="152">AZ32-AZ51</f>
        <v>-2</v>
      </c>
      <c r="BA70" s="671">
        <f t="shared" si="152"/>
        <v>0</v>
      </c>
      <c r="BB70" s="671">
        <f t="shared" si="152"/>
        <v>0</v>
      </c>
      <c r="BC70" s="671">
        <f t="shared" si="152"/>
        <v>0</v>
      </c>
      <c r="BD70" s="671">
        <f t="shared" ref="BD70:BE70" si="153">BD32-BD51</f>
        <v>0</v>
      </c>
      <c r="BE70" s="671">
        <f t="shared" si="153"/>
        <v>0</v>
      </c>
      <c r="BF70" s="671">
        <f t="shared" ref="BF70:BG70" si="154">BF32-BF51</f>
        <v>0</v>
      </c>
      <c r="BG70" s="671">
        <f t="shared" si="154"/>
        <v>0</v>
      </c>
      <c r="BH70" s="671">
        <f t="shared" ref="BH70" si="155">BH32-BH51</f>
        <v>0</v>
      </c>
      <c r="BI70" s="671">
        <v>0</v>
      </c>
      <c r="BJ70" s="671">
        <f t="shared" si="85"/>
        <v>-2</v>
      </c>
      <c r="BK70" s="672">
        <f t="shared" si="86"/>
        <v>-0.16665277893508876</v>
      </c>
      <c r="BL70" t="b">
        <v>1</v>
      </c>
      <c r="BN70" s="322">
        <f t="shared" si="129"/>
        <v>-1</v>
      </c>
      <c r="BO70" s="322">
        <f t="shared" si="138"/>
        <v>-0.49998611226842204</v>
      </c>
      <c r="BP70" s="322">
        <f t="shared" si="130"/>
        <v>-6</v>
      </c>
      <c r="BQ70" s="322">
        <f t="shared" si="139"/>
        <v>0</v>
      </c>
      <c r="BR70">
        <f t="shared" si="140"/>
        <v>0</v>
      </c>
      <c r="BS70">
        <f t="shared" si="141"/>
        <v>0</v>
      </c>
    </row>
    <row r="71" spans="1:71" x14ac:dyDescent="0.55000000000000004">
      <c r="A71" s="7222"/>
      <c r="B71" s="245"/>
      <c r="C71" s="178" t="s">
        <v>229</v>
      </c>
      <c r="D71" s="673">
        <f t="shared" si="87"/>
        <v>1</v>
      </c>
      <c r="E71" s="673">
        <f t="shared" si="87"/>
        <v>-1</v>
      </c>
      <c r="F71" s="673">
        <f t="shared" si="87"/>
        <v>0</v>
      </c>
      <c r="G71" s="673">
        <f t="shared" si="87"/>
        <v>0</v>
      </c>
      <c r="H71" s="673">
        <f t="shared" si="87"/>
        <v>0</v>
      </c>
      <c r="I71" s="673">
        <f t="shared" si="87"/>
        <v>0</v>
      </c>
      <c r="J71" s="673">
        <f t="shared" si="87"/>
        <v>0</v>
      </c>
      <c r="K71" s="673">
        <f t="shared" si="87"/>
        <v>1</v>
      </c>
      <c r="L71" s="673">
        <f t="shared" si="87"/>
        <v>0</v>
      </c>
      <c r="M71" s="673">
        <f t="shared" si="87"/>
        <v>0</v>
      </c>
      <c r="N71" s="673">
        <f t="shared" si="87"/>
        <v>0</v>
      </c>
      <c r="O71" s="673">
        <f t="shared" si="87"/>
        <v>-2</v>
      </c>
      <c r="P71" s="673">
        <f t="shared" si="87"/>
        <v>-8.3333333333333343E-2</v>
      </c>
      <c r="Q71" s="674">
        <f t="shared" si="87"/>
        <v>-8.3333333333333343E-2</v>
      </c>
      <c r="R71" s="654"/>
      <c r="S71" s="684">
        <f t="shared" ref="S71:AB71" si="156">S33-S52</f>
        <v>0</v>
      </c>
      <c r="T71" s="673">
        <f t="shared" si="156"/>
        <v>0</v>
      </c>
      <c r="U71" s="673">
        <f t="shared" si="156"/>
        <v>0</v>
      </c>
      <c r="V71" s="673">
        <f t="shared" si="156"/>
        <v>1</v>
      </c>
      <c r="W71" s="673">
        <f t="shared" si="156"/>
        <v>0</v>
      </c>
      <c r="X71" s="673">
        <f t="shared" si="156"/>
        <v>0</v>
      </c>
      <c r="Y71" s="673">
        <f t="shared" si="156"/>
        <v>0</v>
      </c>
      <c r="Z71" s="673">
        <f t="shared" si="156"/>
        <v>0</v>
      </c>
      <c r="AA71" s="673">
        <f t="shared" si="156"/>
        <v>0</v>
      </c>
      <c r="AB71" s="673">
        <f t="shared" si="156"/>
        <v>0</v>
      </c>
      <c r="AC71" s="673">
        <f t="shared" si="150"/>
        <v>0</v>
      </c>
      <c r="AD71" s="673">
        <f t="shared" si="150"/>
        <v>0</v>
      </c>
      <c r="AE71" s="673">
        <f t="shared" si="150"/>
        <v>1</v>
      </c>
      <c r="AF71" s="674">
        <f t="shared" si="150"/>
        <v>8.3333333333333329E-2</v>
      </c>
      <c r="AG71" s="654"/>
      <c r="AH71" s="684">
        <f t="shared" ref="AH71:AT71" si="157">AH33-AH52</f>
        <v>0</v>
      </c>
      <c r="AI71" s="673">
        <f t="shared" si="157"/>
        <v>0</v>
      </c>
      <c r="AJ71" s="673">
        <f t="shared" si="157"/>
        <v>-1</v>
      </c>
      <c r="AK71" s="673">
        <f t="shared" si="157"/>
        <v>1</v>
      </c>
      <c r="AL71" s="673">
        <f t="shared" si="157"/>
        <v>0</v>
      </c>
      <c r="AM71" s="673">
        <f t="shared" si="157"/>
        <v>2</v>
      </c>
      <c r="AN71" s="673">
        <v>0</v>
      </c>
      <c r="AO71" s="673">
        <f t="shared" si="80"/>
        <v>0</v>
      </c>
      <c r="AP71" s="673">
        <f t="shared" si="80"/>
        <v>0</v>
      </c>
      <c r="AQ71" s="673">
        <f t="shared" si="80"/>
        <v>0</v>
      </c>
      <c r="AR71" s="673">
        <f t="shared" si="80"/>
        <v>0</v>
      </c>
      <c r="AS71" s="673">
        <v>0</v>
      </c>
      <c r="AT71" s="673">
        <f t="shared" si="157"/>
        <v>2</v>
      </c>
      <c r="AU71" s="674">
        <f t="shared" si="133"/>
        <v>0.16666666666666666</v>
      </c>
      <c r="AV71" t="b">
        <v>1</v>
      </c>
      <c r="AX71" s="684">
        <v>0</v>
      </c>
      <c r="AY71" s="673">
        <f t="shared" si="90"/>
        <v>0</v>
      </c>
      <c r="AZ71" s="673">
        <f t="shared" ref="AZ71:BC71" si="158">AZ33-AZ52</f>
        <v>0</v>
      </c>
      <c r="BA71" s="673">
        <f t="shared" si="158"/>
        <v>-2</v>
      </c>
      <c r="BB71" s="673">
        <f t="shared" si="158"/>
        <v>0</v>
      </c>
      <c r="BC71" s="673">
        <f t="shared" si="158"/>
        <v>0</v>
      </c>
      <c r="BD71" s="673">
        <f t="shared" ref="BD71:BE71" si="159">BD33-BD52</f>
        <v>0</v>
      </c>
      <c r="BE71" s="673">
        <f t="shared" si="159"/>
        <v>-1</v>
      </c>
      <c r="BF71" s="673">
        <f t="shared" ref="BF71:BG71" si="160">BF33-BF52</f>
        <v>0</v>
      </c>
      <c r="BG71" s="673">
        <f t="shared" si="160"/>
        <v>0</v>
      </c>
      <c r="BH71" s="673">
        <f t="shared" ref="BH71" si="161">BH33-BH52</f>
        <v>0</v>
      </c>
      <c r="BI71" s="673">
        <v>0</v>
      </c>
      <c r="BJ71" s="673">
        <f t="shared" si="85"/>
        <v>-3</v>
      </c>
      <c r="BK71" s="674">
        <f t="shared" si="86"/>
        <v>-0.24997916840263312</v>
      </c>
      <c r="BL71" t="b">
        <v>1</v>
      </c>
      <c r="BN71" s="322">
        <f t="shared" si="129"/>
        <v>0</v>
      </c>
      <c r="BO71" s="322">
        <f t="shared" si="138"/>
        <v>-0.41664583506929975</v>
      </c>
      <c r="BP71" s="322">
        <f t="shared" si="130"/>
        <v>-5</v>
      </c>
      <c r="BQ71" s="322">
        <f t="shared" si="139"/>
        <v>0</v>
      </c>
      <c r="BR71">
        <f t="shared" si="140"/>
        <v>0</v>
      </c>
      <c r="BS71">
        <f t="shared" si="141"/>
        <v>0</v>
      </c>
    </row>
    <row r="72" spans="1:71" x14ac:dyDescent="0.55000000000000004">
      <c r="A72" s="7222"/>
      <c r="B72" s="245"/>
      <c r="C72" s="178" t="s">
        <v>230</v>
      </c>
      <c r="D72" s="673">
        <f t="shared" si="87"/>
        <v>0</v>
      </c>
      <c r="E72" s="673">
        <f t="shared" si="87"/>
        <v>0</v>
      </c>
      <c r="F72" s="673">
        <f t="shared" si="87"/>
        <v>0</v>
      </c>
      <c r="G72" s="673">
        <f t="shared" si="87"/>
        <v>0</v>
      </c>
      <c r="H72" s="673">
        <f t="shared" si="87"/>
        <v>0</v>
      </c>
      <c r="I72" s="673">
        <f t="shared" si="87"/>
        <v>0</v>
      </c>
      <c r="J72" s="673">
        <f t="shared" si="87"/>
        <v>0</v>
      </c>
      <c r="K72" s="673">
        <f t="shared" si="87"/>
        <v>0</v>
      </c>
      <c r="L72" s="673">
        <f t="shared" si="87"/>
        <v>0</v>
      </c>
      <c r="M72" s="673">
        <f t="shared" si="87"/>
        <v>0</v>
      </c>
      <c r="N72" s="673">
        <f t="shared" si="87"/>
        <v>0</v>
      </c>
      <c r="O72" s="673">
        <f t="shared" si="87"/>
        <v>0</v>
      </c>
      <c r="P72" s="673">
        <f t="shared" si="87"/>
        <v>0</v>
      </c>
      <c r="Q72" s="674">
        <f t="shared" si="87"/>
        <v>0</v>
      </c>
      <c r="R72" s="654"/>
      <c r="S72" s="684">
        <f t="shared" ref="S72:AB72" si="162">S34-S53</f>
        <v>0</v>
      </c>
      <c r="T72" s="673">
        <f t="shared" si="162"/>
        <v>0</v>
      </c>
      <c r="U72" s="673">
        <f t="shared" si="162"/>
        <v>0</v>
      </c>
      <c r="V72" s="673">
        <f t="shared" si="162"/>
        <v>0</v>
      </c>
      <c r="W72" s="673">
        <f t="shared" si="162"/>
        <v>0</v>
      </c>
      <c r="X72" s="673">
        <f t="shared" si="162"/>
        <v>0</v>
      </c>
      <c r="Y72" s="673">
        <f t="shared" si="162"/>
        <v>0</v>
      </c>
      <c r="Z72" s="673">
        <f t="shared" si="162"/>
        <v>0</v>
      </c>
      <c r="AA72" s="673">
        <f t="shared" si="162"/>
        <v>0</v>
      </c>
      <c r="AB72" s="673">
        <f t="shared" si="162"/>
        <v>0</v>
      </c>
      <c r="AC72" s="673">
        <f t="shared" si="150"/>
        <v>-1</v>
      </c>
      <c r="AD72" s="673">
        <f t="shared" si="150"/>
        <v>1</v>
      </c>
      <c r="AE72" s="673">
        <f t="shared" si="150"/>
        <v>0</v>
      </c>
      <c r="AF72" s="674">
        <f t="shared" si="150"/>
        <v>0</v>
      </c>
      <c r="AG72" s="654"/>
      <c r="AH72" s="684">
        <f t="shared" ref="AH72:AT72" si="163">AH34-AH53</f>
        <v>0</v>
      </c>
      <c r="AI72" s="673">
        <f t="shared" si="163"/>
        <v>0</v>
      </c>
      <c r="AJ72" s="673">
        <f t="shared" si="163"/>
        <v>1</v>
      </c>
      <c r="AK72" s="673">
        <f t="shared" si="163"/>
        <v>0</v>
      </c>
      <c r="AL72" s="673">
        <f t="shared" si="163"/>
        <v>0</v>
      </c>
      <c r="AM72" s="673">
        <f t="shared" si="163"/>
        <v>0</v>
      </c>
      <c r="AN72" s="673">
        <v>0</v>
      </c>
      <c r="AO72" s="673">
        <f t="shared" si="80"/>
        <v>0</v>
      </c>
      <c r="AP72" s="673">
        <f t="shared" si="80"/>
        <v>0</v>
      </c>
      <c r="AQ72" s="673">
        <f t="shared" si="80"/>
        <v>0</v>
      </c>
      <c r="AR72" s="673">
        <f t="shared" si="80"/>
        <v>0</v>
      </c>
      <c r="AS72" s="673">
        <v>0</v>
      </c>
      <c r="AT72" s="673">
        <f t="shared" si="163"/>
        <v>1</v>
      </c>
      <c r="AU72" s="674">
        <f t="shared" si="133"/>
        <v>8.3333333333333329E-2</v>
      </c>
      <c r="AV72" t="b">
        <v>1</v>
      </c>
      <c r="AX72" s="684">
        <v>0</v>
      </c>
      <c r="AY72" s="673">
        <f t="shared" si="90"/>
        <v>0</v>
      </c>
      <c r="AZ72" s="673">
        <f t="shared" ref="AZ72:BC72" si="164">AZ34-AZ53</f>
        <v>0</v>
      </c>
      <c r="BA72" s="673">
        <f t="shared" si="164"/>
        <v>0</v>
      </c>
      <c r="BB72" s="673">
        <f t="shared" si="164"/>
        <v>-1</v>
      </c>
      <c r="BC72" s="673">
        <f t="shared" si="164"/>
        <v>0</v>
      </c>
      <c r="BD72" s="673">
        <f t="shared" ref="BD72:BE72" si="165">BD34-BD53</f>
        <v>0</v>
      </c>
      <c r="BE72" s="673">
        <f t="shared" si="165"/>
        <v>0</v>
      </c>
      <c r="BF72" s="673">
        <f t="shared" ref="BF72:BG72" si="166">BF34-BF53</f>
        <v>0</v>
      </c>
      <c r="BG72" s="673">
        <f t="shared" si="166"/>
        <v>0</v>
      </c>
      <c r="BH72" s="673">
        <f t="shared" ref="BH72" si="167">BH34-BH53</f>
        <v>0</v>
      </c>
      <c r="BI72" s="673">
        <v>0</v>
      </c>
      <c r="BJ72" s="673">
        <f t="shared" si="85"/>
        <v>-1</v>
      </c>
      <c r="BK72" s="674">
        <f t="shared" si="86"/>
        <v>-8.3326389467544379E-2</v>
      </c>
      <c r="BL72" t="b">
        <v>1</v>
      </c>
      <c r="BN72" s="322">
        <f t="shared" si="129"/>
        <v>0</v>
      </c>
      <c r="BO72" s="322">
        <f t="shared" si="138"/>
        <v>-0.16665972280087771</v>
      </c>
      <c r="BP72" s="322">
        <f t="shared" si="130"/>
        <v>-2</v>
      </c>
      <c r="BQ72" s="322">
        <f t="shared" si="139"/>
        <v>0</v>
      </c>
      <c r="BR72">
        <f t="shared" si="140"/>
        <v>0</v>
      </c>
      <c r="BS72">
        <f t="shared" si="141"/>
        <v>0</v>
      </c>
    </row>
    <row r="73" spans="1:71" x14ac:dyDescent="0.55000000000000004">
      <c r="A73" s="7222"/>
      <c r="B73" s="245"/>
      <c r="C73" s="177" t="s">
        <v>231</v>
      </c>
      <c r="D73" s="671">
        <f t="shared" si="87"/>
        <v>0</v>
      </c>
      <c r="E73" s="671">
        <f t="shared" si="87"/>
        <v>0</v>
      </c>
      <c r="F73" s="671">
        <f t="shared" si="87"/>
        <v>0</v>
      </c>
      <c r="G73" s="671">
        <f t="shared" si="87"/>
        <v>0</v>
      </c>
      <c r="H73" s="671">
        <f t="shared" si="87"/>
        <v>0</v>
      </c>
      <c r="I73" s="671">
        <f t="shared" si="87"/>
        <v>0</v>
      </c>
      <c r="J73" s="671">
        <f t="shared" si="87"/>
        <v>1</v>
      </c>
      <c r="K73" s="671">
        <f t="shared" si="87"/>
        <v>0</v>
      </c>
      <c r="L73" s="671">
        <f t="shared" si="87"/>
        <v>0</v>
      </c>
      <c r="M73" s="671">
        <f t="shared" si="87"/>
        <v>-1</v>
      </c>
      <c r="N73" s="671">
        <f t="shared" si="87"/>
        <v>0</v>
      </c>
      <c r="O73" s="671">
        <f t="shared" si="87"/>
        <v>-1</v>
      </c>
      <c r="P73" s="671">
        <f t="shared" si="87"/>
        <v>-8.3333333333333329E-2</v>
      </c>
      <c r="Q73" s="672">
        <f t="shared" si="87"/>
        <v>-8.3333333333333329E-2</v>
      </c>
      <c r="R73" s="654"/>
      <c r="S73" s="683">
        <f t="shared" ref="S73:AB73" si="168">S35-S54</f>
        <v>0</v>
      </c>
      <c r="T73" s="671">
        <f t="shared" si="168"/>
        <v>0</v>
      </c>
      <c r="U73" s="671">
        <f t="shared" si="168"/>
        <v>0</v>
      </c>
      <c r="V73" s="671">
        <f t="shared" si="168"/>
        <v>1</v>
      </c>
      <c r="W73" s="671">
        <f t="shared" si="168"/>
        <v>0</v>
      </c>
      <c r="X73" s="671">
        <f t="shared" si="168"/>
        <v>0</v>
      </c>
      <c r="Y73" s="671">
        <f t="shared" si="168"/>
        <v>0</v>
      </c>
      <c r="Z73" s="671">
        <f t="shared" si="168"/>
        <v>-1</v>
      </c>
      <c r="AA73" s="671">
        <f t="shared" si="168"/>
        <v>0</v>
      </c>
      <c r="AB73" s="671">
        <f t="shared" si="168"/>
        <v>0</v>
      </c>
      <c r="AC73" s="671">
        <f t="shared" si="150"/>
        <v>0</v>
      </c>
      <c r="AD73" s="671">
        <f t="shared" si="150"/>
        <v>0</v>
      </c>
      <c r="AE73" s="671">
        <f t="shared" si="150"/>
        <v>0</v>
      </c>
      <c r="AF73" s="672">
        <f t="shared" si="150"/>
        <v>0</v>
      </c>
      <c r="AG73" s="654"/>
      <c r="AH73" s="683">
        <f t="shared" ref="AH73:AT73" si="169">AH35-AH54</f>
        <v>0</v>
      </c>
      <c r="AI73" s="671">
        <f t="shared" si="169"/>
        <v>0</v>
      </c>
      <c r="AJ73" s="671">
        <f t="shared" si="169"/>
        <v>0</v>
      </c>
      <c r="AK73" s="671">
        <f t="shared" si="169"/>
        <v>0</v>
      </c>
      <c r="AL73" s="671">
        <f t="shared" si="169"/>
        <v>2</v>
      </c>
      <c r="AM73" s="671">
        <f t="shared" si="169"/>
        <v>0</v>
      </c>
      <c r="AN73" s="671">
        <v>1</v>
      </c>
      <c r="AO73" s="671">
        <f t="shared" si="80"/>
        <v>0</v>
      </c>
      <c r="AP73" s="671">
        <f t="shared" si="80"/>
        <v>0</v>
      </c>
      <c r="AQ73" s="671">
        <f t="shared" si="80"/>
        <v>0</v>
      </c>
      <c r="AR73" s="671">
        <f t="shared" si="80"/>
        <v>0</v>
      </c>
      <c r="AS73" s="671">
        <v>1</v>
      </c>
      <c r="AT73" s="671">
        <f t="shared" si="169"/>
        <v>4</v>
      </c>
      <c r="AU73" s="672">
        <f t="shared" si="133"/>
        <v>0.33333333333333331</v>
      </c>
      <c r="AV73" t="b">
        <v>1</v>
      </c>
      <c r="AX73" s="683">
        <v>0</v>
      </c>
      <c r="AY73" s="671">
        <f t="shared" si="90"/>
        <v>-1</v>
      </c>
      <c r="AZ73" s="671">
        <f t="shared" ref="AZ73:BC73" si="170">AZ35-AZ54</f>
        <v>-2</v>
      </c>
      <c r="BA73" s="671">
        <f t="shared" si="170"/>
        <v>0</v>
      </c>
      <c r="BB73" s="671">
        <f t="shared" si="170"/>
        <v>0</v>
      </c>
      <c r="BC73" s="671">
        <f t="shared" si="170"/>
        <v>-2</v>
      </c>
      <c r="BD73" s="671">
        <f t="shared" ref="BD73:BE73" si="171">BD35-BD54</f>
        <v>2</v>
      </c>
      <c r="BE73" s="671">
        <f t="shared" si="171"/>
        <v>0</v>
      </c>
      <c r="BF73" s="671">
        <f t="shared" ref="BF73:BG73" si="172">BF35-BF54</f>
        <v>0</v>
      </c>
      <c r="BG73" s="671">
        <f t="shared" si="172"/>
        <v>0</v>
      </c>
      <c r="BH73" s="671">
        <f t="shared" ref="BH73" si="173">BH35-BH54</f>
        <v>-1</v>
      </c>
      <c r="BI73" s="671">
        <v>0</v>
      </c>
      <c r="BJ73" s="671">
        <f t="shared" si="85"/>
        <v>-4</v>
      </c>
      <c r="BK73" s="672">
        <f t="shared" si="86"/>
        <v>-0.33330555787017752</v>
      </c>
      <c r="BL73" t="b">
        <v>1</v>
      </c>
      <c r="BN73" s="322">
        <f t="shared" si="129"/>
        <v>-1</v>
      </c>
      <c r="BO73" s="322">
        <f t="shared" si="138"/>
        <v>-0.66663889120351083</v>
      </c>
      <c r="BP73" s="322">
        <f t="shared" si="130"/>
        <v>-8</v>
      </c>
      <c r="BQ73" s="322">
        <f t="shared" si="139"/>
        <v>1</v>
      </c>
      <c r="BR73">
        <f t="shared" si="140"/>
        <v>-1</v>
      </c>
      <c r="BS73">
        <f t="shared" si="141"/>
        <v>0</v>
      </c>
    </row>
    <row r="74" spans="1:71" x14ac:dyDescent="0.55000000000000004">
      <c r="A74" s="7222"/>
      <c r="B74" s="245"/>
      <c r="C74" s="177" t="s">
        <v>232</v>
      </c>
      <c r="D74" s="671">
        <f t="shared" si="87"/>
        <v>0</v>
      </c>
      <c r="E74" s="671">
        <f t="shared" si="87"/>
        <v>0</v>
      </c>
      <c r="F74" s="671">
        <f t="shared" si="87"/>
        <v>0</v>
      </c>
      <c r="G74" s="671">
        <f t="shared" si="87"/>
        <v>0</v>
      </c>
      <c r="H74" s="671">
        <f t="shared" si="87"/>
        <v>0</v>
      </c>
      <c r="I74" s="671">
        <f t="shared" si="87"/>
        <v>0</v>
      </c>
      <c r="J74" s="671">
        <f t="shared" si="87"/>
        <v>0</v>
      </c>
      <c r="K74" s="671">
        <f t="shared" si="87"/>
        <v>0</v>
      </c>
      <c r="L74" s="671">
        <f t="shared" si="87"/>
        <v>0</v>
      </c>
      <c r="M74" s="671">
        <f t="shared" si="87"/>
        <v>0</v>
      </c>
      <c r="N74" s="671">
        <f t="shared" si="87"/>
        <v>0</v>
      </c>
      <c r="O74" s="671">
        <f t="shared" si="87"/>
        <v>0</v>
      </c>
      <c r="P74" s="671">
        <f t="shared" si="87"/>
        <v>0</v>
      </c>
      <c r="Q74" s="672">
        <f t="shared" si="87"/>
        <v>0</v>
      </c>
      <c r="R74" s="654"/>
      <c r="S74" s="683">
        <f t="shared" ref="S74:AB74" si="174">S36-S55</f>
        <v>0</v>
      </c>
      <c r="T74" s="671">
        <f t="shared" si="174"/>
        <v>0</v>
      </c>
      <c r="U74" s="671">
        <f t="shared" si="174"/>
        <v>0</v>
      </c>
      <c r="V74" s="671">
        <f t="shared" si="174"/>
        <v>0</v>
      </c>
      <c r="W74" s="671">
        <f t="shared" si="174"/>
        <v>0</v>
      </c>
      <c r="X74" s="671">
        <f t="shared" si="174"/>
        <v>0</v>
      </c>
      <c r="Y74" s="671">
        <f t="shared" si="174"/>
        <v>0</v>
      </c>
      <c r="Z74" s="671">
        <f t="shared" si="174"/>
        <v>0</v>
      </c>
      <c r="AA74" s="671">
        <f t="shared" si="174"/>
        <v>0</v>
      </c>
      <c r="AB74" s="671">
        <f t="shared" si="174"/>
        <v>0</v>
      </c>
      <c r="AC74" s="671">
        <f t="shared" si="150"/>
        <v>0</v>
      </c>
      <c r="AD74" s="671">
        <f t="shared" si="150"/>
        <v>0</v>
      </c>
      <c r="AE74" s="671">
        <f t="shared" si="150"/>
        <v>0</v>
      </c>
      <c r="AF74" s="672">
        <f t="shared" si="150"/>
        <v>0</v>
      </c>
      <c r="AG74" s="654"/>
      <c r="AH74" s="683">
        <f t="shared" ref="AH74:AT74" si="175">AH36-AH55</f>
        <v>0</v>
      </c>
      <c r="AI74" s="671">
        <f t="shared" si="175"/>
        <v>0</v>
      </c>
      <c r="AJ74" s="671">
        <f t="shared" si="175"/>
        <v>1</v>
      </c>
      <c r="AK74" s="671">
        <f t="shared" si="175"/>
        <v>0</v>
      </c>
      <c r="AL74" s="671">
        <f t="shared" si="175"/>
        <v>0</v>
      </c>
      <c r="AM74" s="671">
        <f t="shared" si="175"/>
        <v>-1</v>
      </c>
      <c r="AN74" s="671">
        <v>1</v>
      </c>
      <c r="AO74" s="671">
        <f t="shared" si="80"/>
        <v>0</v>
      </c>
      <c r="AP74" s="671">
        <f t="shared" si="80"/>
        <v>0</v>
      </c>
      <c r="AQ74" s="671">
        <f t="shared" si="80"/>
        <v>0</v>
      </c>
      <c r="AR74" s="671">
        <f t="shared" si="80"/>
        <v>0</v>
      </c>
      <c r="AS74" s="671">
        <v>0</v>
      </c>
      <c r="AT74" s="671">
        <f t="shared" si="175"/>
        <v>1</v>
      </c>
      <c r="AU74" s="672">
        <f t="shared" si="133"/>
        <v>8.3333333333333329E-2</v>
      </c>
      <c r="AV74" t="b">
        <v>1</v>
      </c>
      <c r="AX74" s="683">
        <v>0</v>
      </c>
      <c r="AY74" s="671">
        <f t="shared" si="90"/>
        <v>0</v>
      </c>
      <c r="AZ74" s="671">
        <f t="shared" ref="AZ74:BC74" si="176">AZ36-AZ55</f>
        <v>0</v>
      </c>
      <c r="BA74" s="671">
        <f t="shared" si="176"/>
        <v>0</v>
      </c>
      <c r="BB74" s="671">
        <f t="shared" si="176"/>
        <v>0</v>
      </c>
      <c r="BC74" s="671">
        <f t="shared" si="176"/>
        <v>-1</v>
      </c>
      <c r="BD74" s="671">
        <f t="shared" ref="BD74:BE74" si="177">BD36-BD55</f>
        <v>0</v>
      </c>
      <c r="BE74" s="671">
        <f t="shared" si="177"/>
        <v>0</v>
      </c>
      <c r="BF74" s="671">
        <f t="shared" ref="BF74:BG74" si="178">BF36-BF55</f>
        <v>0</v>
      </c>
      <c r="BG74" s="671">
        <f t="shared" si="178"/>
        <v>0</v>
      </c>
      <c r="BH74" s="671">
        <f t="shared" ref="BH74" si="179">BH36-BH55</f>
        <v>0</v>
      </c>
      <c r="BI74" s="671">
        <v>-1</v>
      </c>
      <c r="BJ74" s="671">
        <f t="shared" si="85"/>
        <v>-2</v>
      </c>
      <c r="BK74" s="672">
        <f t="shared" si="86"/>
        <v>-0.16665277893508876</v>
      </c>
      <c r="BL74" t="b">
        <v>1</v>
      </c>
      <c r="BN74" s="322">
        <f t="shared" si="129"/>
        <v>-1</v>
      </c>
      <c r="BO74" s="322">
        <f t="shared" si="138"/>
        <v>-0.2499861122684221</v>
      </c>
      <c r="BP74" s="322">
        <f t="shared" si="130"/>
        <v>-3</v>
      </c>
      <c r="BQ74" s="322">
        <f t="shared" si="139"/>
        <v>-1</v>
      </c>
      <c r="BR74">
        <f t="shared" si="140"/>
        <v>0</v>
      </c>
      <c r="BS74">
        <f t="shared" si="141"/>
        <v>-1</v>
      </c>
    </row>
    <row r="75" spans="1:71" x14ac:dyDescent="0.55000000000000004">
      <c r="A75" s="7222"/>
      <c r="B75" s="245"/>
      <c r="C75" s="178" t="s">
        <v>233</v>
      </c>
      <c r="D75" s="673">
        <f t="shared" si="87"/>
        <v>0</v>
      </c>
      <c r="E75" s="673">
        <f t="shared" si="87"/>
        <v>0</v>
      </c>
      <c r="F75" s="673">
        <f t="shared" si="87"/>
        <v>1</v>
      </c>
      <c r="G75" s="673">
        <f t="shared" si="87"/>
        <v>0</v>
      </c>
      <c r="H75" s="673">
        <f t="shared" si="87"/>
        <v>1</v>
      </c>
      <c r="I75" s="673">
        <f t="shared" si="87"/>
        <v>-1</v>
      </c>
      <c r="J75" s="673">
        <f t="shared" si="87"/>
        <v>1</v>
      </c>
      <c r="K75" s="673">
        <f t="shared" si="87"/>
        <v>-1</v>
      </c>
      <c r="L75" s="673">
        <f t="shared" si="87"/>
        <v>0</v>
      </c>
      <c r="M75" s="673">
        <f t="shared" si="87"/>
        <v>0</v>
      </c>
      <c r="N75" s="673">
        <f t="shared" si="87"/>
        <v>0</v>
      </c>
      <c r="O75" s="673">
        <f t="shared" si="87"/>
        <v>-1</v>
      </c>
      <c r="P75" s="673">
        <f t="shared" si="87"/>
        <v>0</v>
      </c>
      <c r="Q75" s="674">
        <f t="shared" si="87"/>
        <v>0</v>
      </c>
      <c r="R75" s="654"/>
      <c r="S75" s="684">
        <f t="shared" ref="S75:AF75" si="180">S37-S56</f>
        <v>1</v>
      </c>
      <c r="T75" s="673">
        <f t="shared" si="180"/>
        <v>0</v>
      </c>
      <c r="U75" s="673">
        <f t="shared" si="180"/>
        <v>-1</v>
      </c>
      <c r="V75" s="673">
        <f t="shared" si="180"/>
        <v>0</v>
      </c>
      <c r="W75" s="673">
        <f t="shared" si="180"/>
        <v>0</v>
      </c>
      <c r="X75" s="673">
        <f t="shared" si="180"/>
        <v>0</v>
      </c>
      <c r="Y75" s="673">
        <f t="shared" si="180"/>
        <v>0</v>
      </c>
      <c r="Z75" s="673">
        <f t="shared" si="180"/>
        <v>-1</v>
      </c>
      <c r="AA75" s="673">
        <f t="shared" si="180"/>
        <v>0</v>
      </c>
      <c r="AB75" s="673">
        <f t="shared" si="180"/>
        <v>0</v>
      </c>
      <c r="AC75" s="673">
        <f t="shared" si="180"/>
        <v>-1</v>
      </c>
      <c r="AD75" s="673">
        <f t="shared" si="180"/>
        <v>0</v>
      </c>
      <c r="AE75" s="673">
        <f t="shared" si="180"/>
        <v>-2</v>
      </c>
      <c r="AF75" s="674">
        <f t="shared" si="180"/>
        <v>-0.16666666666666669</v>
      </c>
      <c r="AG75" s="654"/>
      <c r="AH75" s="684">
        <f t="shared" ref="AH75:AT75" si="181">AH37-AH56</f>
        <v>-1</v>
      </c>
      <c r="AI75" s="673">
        <f t="shared" si="181"/>
        <v>0</v>
      </c>
      <c r="AJ75" s="673">
        <f t="shared" si="181"/>
        <v>1</v>
      </c>
      <c r="AK75" s="673">
        <f t="shared" si="181"/>
        <v>0</v>
      </c>
      <c r="AL75" s="673">
        <f t="shared" si="181"/>
        <v>1</v>
      </c>
      <c r="AM75" s="673">
        <f t="shared" si="181"/>
        <v>0</v>
      </c>
      <c r="AN75" s="673">
        <v>0</v>
      </c>
      <c r="AO75" s="673">
        <f t="shared" si="80"/>
        <v>0</v>
      </c>
      <c r="AP75" s="673">
        <f t="shared" si="80"/>
        <v>0</v>
      </c>
      <c r="AQ75" s="673">
        <f t="shared" si="80"/>
        <v>0</v>
      </c>
      <c r="AR75" s="673">
        <f t="shared" si="80"/>
        <v>-1</v>
      </c>
      <c r="AS75" s="673">
        <v>1</v>
      </c>
      <c r="AT75" s="673">
        <f t="shared" si="181"/>
        <v>1</v>
      </c>
      <c r="AU75" s="674">
        <f t="shared" si="133"/>
        <v>8.3333333333333329E-2</v>
      </c>
      <c r="AV75" t="b">
        <v>1</v>
      </c>
      <c r="AX75" s="684">
        <v>0</v>
      </c>
      <c r="AY75" s="673">
        <f t="shared" si="90"/>
        <v>-1</v>
      </c>
      <c r="AZ75" s="673">
        <f t="shared" ref="AZ75:BC75" si="182">AZ37-AZ56</f>
        <v>-1</v>
      </c>
      <c r="BA75" s="673">
        <f t="shared" si="182"/>
        <v>0</v>
      </c>
      <c r="BB75" s="673">
        <f t="shared" si="182"/>
        <v>0</v>
      </c>
      <c r="BC75" s="673">
        <f t="shared" si="182"/>
        <v>0</v>
      </c>
      <c r="BD75" s="673">
        <f t="shared" ref="BD75:BE75" si="183">BD37-BD56</f>
        <v>0</v>
      </c>
      <c r="BE75" s="673">
        <f t="shared" si="183"/>
        <v>0</v>
      </c>
      <c r="BF75" s="673">
        <f t="shared" ref="BF75:BG75" si="184">BF37-BF56</f>
        <v>0</v>
      </c>
      <c r="BG75" s="673">
        <f t="shared" si="184"/>
        <v>0</v>
      </c>
      <c r="BH75" s="673">
        <f t="shared" ref="BH75" si="185">BH37-BH56</f>
        <v>0</v>
      </c>
      <c r="BI75" s="673">
        <v>0</v>
      </c>
      <c r="BJ75" s="673">
        <f t="shared" si="85"/>
        <v>-2</v>
      </c>
      <c r="BK75" s="674">
        <f t="shared" si="86"/>
        <v>-0.16665277893508876</v>
      </c>
      <c r="BL75" t="b">
        <v>1</v>
      </c>
      <c r="BN75" s="322">
        <f t="shared" si="129"/>
        <v>-1</v>
      </c>
      <c r="BO75" s="322">
        <f t="shared" si="138"/>
        <v>-0.2499861122684221</v>
      </c>
      <c r="BP75" s="322">
        <f t="shared" si="130"/>
        <v>-3</v>
      </c>
      <c r="BQ75" s="322">
        <f t="shared" si="139"/>
        <v>0</v>
      </c>
      <c r="BR75">
        <f t="shared" si="140"/>
        <v>0</v>
      </c>
      <c r="BS75">
        <f t="shared" si="141"/>
        <v>0</v>
      </c>
    </row>
    <row r="76" spans="1:71" x14ac:dyDescent="0.55000000000000004">
      <c r="A76" s="7222"/>
      <c r="B76" s="245"/>
      <c r="C76" s="178" t="s">
        <v>234</v>
      </c>
      <c r="D76" s="673">
        <f t="shared" si="87"/>
        <v>0</v>
      </c>
      <c r="E76" s="673">
        <f t="shared" si="87"/>
        <v>1</v>
      </c>
      <c r="F76" s="673">
        <f t="shared" si="87"/>
        <v>0</v>
      </c>
      <c r="G76" s="673">
        <f t="shared" si="87"/>
        <v>1</v>
      </c>
      <c r="H76" s="673">
        <f t="shared" si="87"/>
        <v>0</v>
      </c>
      <c r="I76" s="673">
        <f t="shared" si="87"/>
        <v>1</v>
      </c>
      <c r="J76" s="673">
        <f t="shared" si="87"/>
        <v>-1</v>
      </c>
      <c r="K76" s="673">
        <f t="shared" si="87"/>
        <v>0</v>
      </c>
      <c r="L76" s="673">
        <f t="shared" si="87"/>
        <v>1</v>
      </c>
      <c r="M76" s="673">
        <f t="shared" si="87"/>
        <v>0</v>
      </c>
      <c r="N76" s="673">
        <f t="shared" si="87"/>
        <v>0</v>
      </c>
      <c r="O76" s="673">
        <f t="shared" si="87"/>
        <v>0</v>
      </c>
      <c r="P76" s="673">
        <f t="shared" si="87"/>
        <v>0.25</v>
      </c>
      <c r="Q76" s="674">
        <f t="shared" si="87"/>
        <v>0.25</v>
      </c>
      <c r="R76" s="654"/>
      <c r="S76" s="684">
        <f t="shared" ref="S76:AF76" si="186">S38-S57</f>
        <v>0</v>
      </c>
      <c r="T76" s="673">
        <f t="shared" si="186"/>
        <v>0</v>
      </c>
      <c r="U76" s="673">
        <f t="shared" si="186"/>
        <v>-1</v>
      </c>
      <c r="V76" s="673">
        <f t="shared" si="186"/>
        <v>1</v>
      </c>
      <c r="W76" s="673">
        <f t="shared" si="186"/>
        <v>0</v>
      </c>
      <c r="X76" s="673">
        <f t="shared" si="186"/>
        <v>0</v>
      </c>
      <c r="Y76" s="673">
        <f t="shared" si="186"/>
        <v>-1</v>
      </c>
      <c r="Z76" s="673">
        <f t="shared" si="186"/>
        <v>0</v>
      </c>
      <c r="AA76" s="673">
        <f t="shared" si="186"/>
        <v>0</v>
      </c>
      <c r="AB76" s="673">
        <f t="shared" si="186"/>
        <v>0</v>
      </c>
      <c r="AC76" s="673">
        <f t="shared" si="186"/>
        <v>0</v>
      </c>
      <c r="AD76" s="673">
        <f t="shared" si="186"/>
        <v>0</v>
      </c>
      <c r="AE76" s="673">
        <f t="shared" si="186"/>
        <v>-1</v>
      </c>
      <c r="AF76" s="674">
        <f t="shared" si="186"/>
        <v>-8.3333333333333329E-2</v>
      </c>
      <c r="AG76" s="654"/>
      <c r="AH76" s="684">
        <f t="shared" ref="AH76:AT76" si="187">AH38-AH57</f>
        <v>0</v>
      </c>
      <c r="AI76" s="673">
        <f t="shared" si="187"/>
        <v>0</v>
      </c>
      <c r="AJ76" s="673">
        <f t="shared" si="187"/>
        <v>0</v>
      </c>
      <c r="AK76" s="673">
        <f t="shared" si="187"/>
        <v>-1</v>
      </c>
      <c r="AL76" s="673">
        <f t="shared" si="187"/>
        <v>0</v>
      </c>
      <c r="AM76" s="673">
        <f t="shared" si="187"/>
        <v>0</v>
      </c>
      <c r="AN76" s="673">
        <v>0</v>
      </c>
      <c r="AO76" s="673">
        <f t="shared" si="80"/>
        <v>-1</v>
      </c>
      <c r="AP76" s="673">
        <f t="shared" si="80"/>
        <v>0</v>
      </c>
      <c r="AQ76" s="673">
        <f t="shared" si="80"/>
        <v>0</v>
      </c>
      <c r="AR76" s="673">
        <f t="shared" si="80"/>
        <v>0</v>
      </c>
      <c r="AS76" s="673">
        <v>0</v>
      </c>
      <c r="AT76" s="673">
        <f t="shared" si="187"/>
        <v>-2</v>
      </c>
      <c r="AU76" s="674">
        <f t="shared" si="133"/>
        <v>-0.16666666666666666</v>
      </c>
      <c r="AV76" t="b">
        <v>1</v>
      </c>
      <c r="AX76" s="684">
        <v>-1</v>
      </c>
      <c r="AY76" s="673">
        <f t="shared" si="90"/>
        <v>0</v>
      </c>
      <c r="AZ76" s="673">
        <f t="shared" ref="AZ76:BC76" si="188">AZ38-AZ57</f>
        <v>0</v>
      </c>
      <c r="BA76" s="673">
        <f t="shared" si="188"/>
        <v>0</v>
      </c>
      <c r="BB76" s="673">
        <f t="shared" si="188"/>
        <v>0</v>
      </c>
      <c r="BC76" s="673">
        <f t="shared" si="188"/>
        <v>0</v>
      </c>
      <c r="BD76" s="673">
        <f t="shared" ref="BD76:BE76" si="189">BD38-BD57</f>
        <v>0</v>
      </c>
      <c r="BE76" s="673">
        <f t="shared" si="189"/>
        <v>0</v>
      </c>
      <c r="BF76" s="673">
        <f t="shared" ref="BF76:BG76" si="190">BF38-BF57</f>
        <v>0</v>
      </c>
      <c r="BG76" s="673">
        <f t="shared" si="190"/>
        <v>0</v>
      </c>
      <c r="BH76" s="673">
        <f t="shared" ref="BH76" si="191">BH38-BH57</f>
        <v>0</v>
      </c>
      <c r="BI76" s="673">
        <v>0</v>
      </c>
      <c r="BJ76" s="673">
        <f t="shared" si="85"/>
        <v>-1</v>
      </c>
      <c r="BK76" s="674">
        <f t="shared" si="86"/>
        <v>-8.3326389467544379E-2</v>
      </c>
      <c r="BL76" t="b">
        <v>1</v>
      </c>
      <c r="BN76" s="322">
        <f t="shared" si="129"/>
        <v>0</v>
      </c>
      <c r="BO76" s="322">
        <f t="shared" si="138"/>
        <v>8.3340277199122278E-2</v>
      </c>
      <c r="BP76" s="322">
        <f t="shared" si="130"/>
        <v>1</v>
      </c>
      <c r="BQ76" s="322">
        <f t="shared" si="139"/>
        <v>0</v>
      </c>
      <c r="BR76">
        <f t="shared" si="140"/>
        <v>0</v>
      </c>
      <c r="BS76">
        <f t="shared" si="141"/>
        <v>0</v>
      </c>
    </row>
    <row r="77" spans="1:71" x14ac:dyDescent="0.55000000000000004">
      <c r="A77" s="7222"/>
      <c r="B77" s="245"/>
      <c r="C77" s="177" t="s">
        <v>235</v>
      </c>
      <c r="D77" s="671">
        <f t="shared" si="87"/>
        <v>0</v>
      </c>
      <c r="E77" s="671">
        <f t="shared" si="87"/>
        <v>0</v>
      </c>
      <c r="F77" s="671">
        <f t="shared" si="87"/>
        <v>0</v>
      </c>
      <c r="G77" s="671">
        <f t="shared" si="87"/>
        <v>1</v>
      </c>
      <c r="H77" s="671">
        <f t="shared" si="87"/>
        <v>0</v>
      </c>
      <c r="I77" s="671">
        <f t="shared" si="87"/>
        <v>0</v>
      </c>
      <c r="J77" s="671">
        <f t="shared" si="87"/>
        <v>0</v>
      </c>
      <c r="K77" s="671">
        <f t="shared" si="87"/>
        <v>0</v>
      </c>
      <c r="L77" s="671">
        <f t="shared" si="87"/>
        <v>0</v>
      </c>
      <c r="M77" s="671">
        <f t="shared" si="87"/>
        <v>0</v>
      </c>
      <c r="N77" s="671">
        <f t="shared" si="87"/>
        <v>0</v>
      </c>
      <c r="O77" s="671">
        <f t="shared" si="87"/>
        <v>0</v>
      </c>
      <c r="P77" s="671">
        <f t="shared" si="87"/>
        <v>8.3333333333333329E-2</v>
      </c>
      <c r="Q77" s="672">
        <f t="shared" si="87"/>
        <v>8.3333333333333329E-2</v>
      </c>
      <c r="R77" s="654"/>
      <c r="S77" s="683">
        <f t="shared" ref="S77:AF77" si="192">S39-S58</f>
        <v>-1</v>
      </c>
      <c r="T77" s="671">
        <f t="shared" si="192"/>
        <v>0</v>
      </c>
      <c r="U77" s="671">
        <f t="shared" si="192"/>
        <v>0</v>
      </c>
      <c r="V77" s="671">
        <f t="shared" si="192"/>
        <v>0</v>
      </c>
      <c r="W77" s="671">
        <f t="shared" si="192"/>
        <v>0</v>
      </c>
      <c r="X77" s="671">
        <f t="shared" si="192"/>
        <v>0</v>
      </c>
      <c r="Y77" s="671">
        <f t="shared" si="192"/>
        <v>0</v>
      </c>
      <c r="Z77" s="671">
        <f t="shared" si="192"/>
        <v>0</v>
      </c>
      <c r="AA77" s="671">
        <f t="shared" si="192"/>
        <v>0</v>
      </c>
      <c r="AB77" s="671">
        <f t="shared" si="192"/>
        <v>0</v>
      </c>
      <c r="AC77" s="671">
        <f t="shared" si="192"/>
        <v>0</v>
      </c>
      <c r="AD77" s="671">
        <f t="shared" si="192"/>
        <v>0</v>
      </c>
      <c r="AE77" s="671">
        <f t="shared" si="192"/>
        <v>-1</v>
      </c>
      <c r="AF77" s="672">
        <f t="shared" si="192"/>
        <v>-8.3333333333333329E-2</v>
      </c>
      <c r="AG77" s="654"/>
      <c r="AH77" s="683">
        <f t="shared" ref="AH77:AT77" si="193">AH39-AH58</f>
        <v>0</v>
      </c>
      <c r="AI77" s="671">
        <f t="shared" si="193"/>
        <v>0</v>
      </c>
      <c r="AJ77" s="671">
        <f t="shared" si="193"/>
        <v>0</v>
      </c>
      <c r="AK77" s="671">
        <f t="shared" si="193"/>
        <v>1</v>
      </c>
      <c r="AL77" s="671">
        <f t="shared" si="193"/>
        <v>-1</v>
      </c>
      <c r="AM77" s="671">
        <f t="shared" si="193"/>
        <v>0</v>
      </c>
      <c r="AN77" s="671">
        <v>0</v>
      </c>
      <c r="AO77" s="671">
        <f t="shared" si="80"/>
        <v>1</v>
      </c>
      <c r="AP77" s="671">
        <f t="shared" si="80"/>
        <v>0</v>
      </c>
      <c r="AQ77" s="671">
        <f t="shared" si="80"/>
        <v>0</v>
      </c>
      <c r="AR77" s="671">
        <f t="shared" si="80"/>
        <v>1</v>
      </c>
      <c r="AS77" s="671">
        <v>0</v>
      </c>
      <c r="AT77" s="671">
        <f t="shared" si="193"/>
        <v>2</v>
      </c>
      <c r="AU77" s="672">
        <f t="shared" si="133"/>
        <v>0.16666666666666666</v>
      </c>
      <c r="AV77" t="b">
        <v>1</v>
      </c>
      <c r="AX77" s="683">
        <v>-1</v>
      </c>
      <c r="AY77" s="671">
        <f t="shared" si="90"/>
        <v>0</v>
      </c>
      <c r="AZ77" s="671">
        <f t="shared" ref="AZ77:BC77" si="194">AZ39-AZ58</f>
        <v>-1</v>
      </c>
      <c r="BA77" s="671">
        <f t="shared" si="194"/>
        <v>0</v>
      </c>
      <c r="BB77" s="671">
        <f t="shared" si="194"/>
        <v>0</v>
      </c>
      <c r="BC77" s="671">
        <f t="shared" si="194"/>
        <v>-1</v>
      </c>
      <c r="BD77" s="671">
        <f t="shared" ref="BD77:BE77" si="195">BD39-BD58</f>
        <v>0</v>
      </c>
      <c r="BE77" s="671">
        <f t="shared" si="195"/>
        <v>0</v>
      </c>
      <c r="BF77" s="671">
        <f t="shared" ref="BF77:BG77" si="196">BF39-BF58</f>
        <v>0</v>
      </c>
      <c r="BG77" s="671">
        <f t="shared" si="196"/>
        <v>0</v>
      </c>
      <c r="BH77" s="671">
        <f t="shared" ref="BH77" si="197">BH39-BH58</f>
        <v>0</v>
      </c>
      <c r="BI77" s="671">
        <v>0</v>
      </c>
      <c r="BJ77" s="671">
        <f t="shared" si="85"/>
        <v>-3</v>
      </c>
      <c r="BK77" s="672">
        <f t="shared" si="86"/>
        <v>-0.24997916840263312</v>
      </c>
      <c r="BL77" t="b">
        <v>1</v>
      </c>
      <c r="BN77" s="322">
        <f t="shared" si="129"/>
        <v>0</v>
      </c>
      <c r="BO77" s="322">
        <f t="shared" si="138"/>
        <v>-0.41664583506929975</v>
      </c>
      <c r="BP77" s="322">
        <f t="shared" si="130"/>
        <v>-5</v>
      </c>
      <c r="BQ77" s="322">
        <f t="shared" si="139"/>
        <v>0</v>
      </c>
      <c r="BR77">
        <f t="shared" si="140"/>
        <v>0</v>
      </c>
      <c r="BS77">
        <f t="shared" si="141"/>
        <v>0</v>
      </c>
    </row>
    <row r="78" spans="1:71" ht="18" thickBot="1" x14ac:dyDescent="0.6">
      <c r="A78" s="7223"/>
      <c r="B78" s="246"/>
      <c r="C78" s="179" t="s">
        <v>236</v>
      </c>
      <c r="D78" s="675">
        <f t="shared" si="87"/>
        <v>0</v>
      </c>
      <c r="E78" s="675">
        <f t="shared" si="87"/>
        <v>0</v>
      </c>
      <c r="F78" s="675">
        <f t="shared" si="87"/>
        <v>0</v>
      </c>
      <c r="G78" s="675">
        <f t="shared" si="87"/>
        <v>0</v>
      </c>
      <c r="H78" s="675">
        <f t="shared" si="87"/>
        <v>0</v>
      </c>
      <c r="I78" s="675">
        <f t="shared" si="87"/>
        <v>-2</v>
      </c>
      <c r="J78" s="675">
        <f t="shared" si="87"/>
        <v>1</v>
      </c>
      <c r="K78" s="675">
        <f t="shared" si="87"/>
        <v>0</v>
      </c>
      <c r="L78" s="675">
        <f t="shared" si="87"/>
        <v>0</v>
      </c>
      <c r="M78" s="675">
        <f t="shared" si="87"/>
        <v>0</v>
      </c>
      <c r="N78" s="675">
        <f t="shared" si="87"/>
        <v>0</v>
      </c>
      <c r="O78" s="675">
        <f t="shared" si="87"/>
        <v>0</v>
      </c>
      <c r="P78" s="675">
        <f t="shared" si="87"/>
        <v>-8.3333333333333329E-2</v>
      </c>
      <c r="Q78" s="676">
        <f t="shared" si="87"/>
        <v>-8.3333333333333329E-2</v>
      </c>
      <c r="R78" s="654"/>
      <c r="S78" s="685">
        <f t="shared" ref="S78:AF78" si="198">S40-S59</f>
        <v>1</v>
      </c>
      <c r="T78" s="675">
        <f t="shared" si="198"/>
        <v>0</v>
      </c>
      <c r="U78" s="675">
        <f t="shared" si="198"/>
        <v>0</v>
      </c>
      <c r="V78" s="675">
        <f t="shared" si="198"/>
        <v>-1</v>
      </c>
      <c r="W78" s="675">
        <f t="shared" si="198"/>
        <v>0</v>
      </c>
      <c r="X78" s="675">
        <f t="shared" si="198"/>
        <v>0</v>
      </c>
      <c r="Y78" s="675">
        <f t="shared" si="198"/>
        <v>0</v>
      </c>
      <c r="Z78" s="675">
        <f t="shared" si="198"/>
        <v>0</v>
      </c>
      <c r="AA78" s="675">
        <f t="shared" si="198"/>
        <v>0</v>
      </c>
      <c r="AB78" s="675">
        <f t="shared" si="198"/>
        <v>-1</v>
      </c>
      <c r="AC78" s="675">
        <f t="shared" si="198"/>
        <v>1</v>
      </c>
      <c r="AD78" s="675">
        <f t="shared" si="198"/>
        <v>0</v>
      </c>
      <c r="AE78" s="675">
        <f t="shared" si="198"/>
        <v>0</v>
      </c>
      <c r="AF78" s="676">
        <f t="shared" si="198"/>
        <v>0</v>
      </c>
      <c r="AG78" s="654"/>
      <c r="AH78" s="685">
        <f t="shared" ref="AH78:AT78" si="199">AH40-AH59</f>
        <v>0</v>
      </c>
      <c r="AI78" s="675">
        <f t="shared" si="199"/>
        <v>0</v>
      </c>
      <c r="AJ78" s="675">
        <f t="shared" si="199"/>
        <v>0</v>
      </c>
      <c r="AK78" s="675">
        <f t="shared" si="199"/>
        <v>1</v>
      </c>
      <c r="AL78" s="675">
        <f t="shared" si="199"/>
        <v>0</v>
      </c>
      <c r="AM78" s="675">
        <f t="shared" si="199"/>
        <v>1</v>
      </c>
      <c r="AN78" s="675">
        <v>0</v>
      </c>
      <c r="AO78" s="675">
        <f t="shared" si="80"/>
        <v>0</v>
      </c>
      <c r="AP78" s="675">
        <f t="shared" si="80"/>
        <v>0</v>
      </c>
      <c r="AQ78" s="675">
        <f t="shared" si="80"/>
        <v>0</v>
      </c>
      <c r="AR78" s="675">
        <f t="shared" si="80"/>
        <v>0</v>
      </c>
      <c r="AS78" s="675">
        <v>-1</v>
      </c>
      <c r="AT78" s="675">
        <f t="shared" si="199"/>
        <v>2</v>
      </c>
      <c r="AU78" s="676">
        <f t="shared" si="133"/>
        <v>8.3333333333333329E-2</v>
      </c>
      <c r="AV78" t="b">
        <v>1</v>
      </c>
      <c r="AX78" s="685">
        <v>0</v>
      </c>
      <c r="AY78" s="675">
        <f t="shared" si="90"/>
        <v>0</v>
      </c>
      <c r="AZ78" s="675">
        <f t="shared" ref="AZ78:BC78" si="200">AZ40-AZ59</f>
        <v>0</v>
      </c>
      <c r="BA78" s="675">
        <f t="shared" si="200"/>
        <v>-2</v>
      </c>
      <c r="BB78" s="675">
        <f t="shared" si="200"/>
        <v>0</v>
      </c>
      <c r="BC78" s="675">
        <f t="shared" si="200"/>
        <v>0</v>
      </c>
      <c r="BD78" s="675">
        <f t="shared" ref="BD78:BE78" si="201">BD40-BD59</f>
        <v>0</v>
      </c>
      <c r="BE78" s="675">
        <f t="shared" si="201"/>
        <v>0</v>
      </c>
      <c r="BF78" s="675">
        <f t="shared" ref="BF78:BG78" si="202">BF40-BF59</f>
        <v>0</v>
      </c>
      <c r="BG78" s="675">
        <f t="shared" si="202"/>
        <v>-1</v>
      </c>
      <c r="BH78" s="675">
        <f t="shared" ref="BH78" si="203">BH40-BH59</f>
        <v>1</v>
      </c>
      <c r="BI78" s="675">
        <v>0</v>
      </c>
      <c r="BJ78" s="675">
        <f t="shared" si="85"/>
        <v>-2</v>
      </c>
      <c r="BK78" s="676">
        <f t="shared" si="86"/>
        <v>-0.16665277893508876</v>
      </c>
      <c r="BL78" t="b">
        <v>1</v>
      </c>
      <c r="BN78" s="322">
        <f t="shared" si="129"/>
        <v>1</v>
      </c>
      <c r="BO78" s="322">
        <f t="shared" si="138"/>
        <v>-0.2499861122684221</v>
      </c>
      <c r="BP78" s="322">
        <f t="shared" si="130"/>
        <v>-3</v>
      </c>
      <c r="BQ78" s="322">
        <f t="shared" si="139"/>
        <v>-1</v>
      </c>
      <c r="BR78">
        <f t="shared" si="140"/>
        <v>1</v>
      </c>
      <c r="BS78">
        <f t="shared" si="141"/>
        <v>0</v>
      </c>
    </row>
    <row r="79" spans="1:71" ht="3.65" customHeight="1" thickBot="1" x14ac:dyDescent="0.6"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70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  <c r="AD79" s="339"/>
      <c r="AE79" s="339"/>
      <c r="AF79" s="339"/>
      <c r="AG79" s="370"/>
      <c r="AH79" s="339"/>
      <c r="AI79" s="339"/>
      <c r="AJ79" s="339"/>
      <c r="AK79" s="339"/>
      <c r="AL79" s="339"/>
      <c r="AM79" s="339"/>
      <c r="AN79" s="339"/>
      <c r="AO79" s="339"/>
      <c r="AP79" s="339"/>
      <c r="AQ79" s="339"/>
      <c r="AR79" s="339"/>
      <c r="AS79" s="339"/>
      <c r="AT79" s="339"/>
      <c r="AU79" s="339"/>
      <c r="AX79" s="339"/>
      <c r="AY79" s="339"/>
      <c r="AZ79" s="339"/>
      <c r="BA79" s="339"/>
      <c r="BB79" s="339"/>
      <c r="BC79" s="339"/>
      <c r="BD79" s="339"/>
      <c r="BE79" s="339"/>
      <c r="BF79" s="339"/>
      <c r="BG79" s="339"/>
      <c r="BH79" s="339"/>
      <c r="BI79" s="339"/>
      <c r="BJ79" s="339"/>
      <c r="BK79" s="339"/>
      <c r="BN79" s="322">
        <f t="shared" si="129"/>
        <v>0</v>
      </c>
      <c r="BO79" s="322">
        <f t="shared" si="138"/>
        <v>0</v>
      </c>
      <c r="BP79" s="322">
        <f t="shared" si="130"/>
        <v>0</v>
      </c>
      <c r="BQ79" s="322">
        <f t="shared" si="139"/>
        <v>0</v>
      </c>
      <c r="BR79">
        <f t="shared" si="140"/>
        <v>0</v>
      </c>
      <c r="BS79">
        <f t="shared" si="141"/>
        <v>0</v>
      </c>
    </row>
    <row r="80" spans="1:71" x14ac:dyDescent="0.55000000000000004">
      <c r="A80" s="7221" t="s">
        <v>395</v>
      </c>
      <c r="B80" s="41" t="s">
        <v>259</v>
      </c>
      <c r="C80" s="16"/>
      <c r="D80" s="270">
        <f t="shared" ref="D80:O80" si="204">SUM(D81:D83)</f>
        <v>0</v>
      </c>
      <c r="E80" s="271">
        <f t="shared" si="204"/>
        <v>0</v>
      </c>
      <c r="F80" s="271">
        <f t="shared" si="204"/>
        <v>0</v>
      </c>
      <c r="G80" s="271">
        <f t="shared" si="204"/>
        <v>0</v>
      </c>
      <c r="H80" s="271">
        <f t="shared" si="204"/>
        <v>0</v>
      </c>
      <c r="I80" s="271">
        <f t="shared" si="204"/>
        <v>0</v>
      </c>
      <c r="J80" s="271">
        <f t="shared" si="204"/>
        <v>0</v>
      </c>
      <c r="K80" s="271">
        <f t="shared" si="204"/>
        <v>0</v>
      </c>
      <c r="L80" s="271">
        <f t="shared" si="204"/>
        <v>0</v>
      </c>
      <c r="M80" s="271">
        <f t="shared" si="204"/>
        <v>0</v>
      </c>
      <c r="N80" s="271">
        <f t="shared" si="204"/>
        <v>0</v>
      </c>
      <c r="O80" s="271">
        <f t="shared" si="204"/>
        <v>0</v>
      </c>
      <c r="P80" s="271">
        <f>SUM(D80:O80)</f>
        <v>0</v>
      </c>
      <c r="Q80" s="272">
        <f>P80/12</f>
        <v>0</v>
      </c>
      <c r="R80" s="370"/>
      <c r="S80" s="270">
        <f t="shared" ref="S80:AD80" si="205">SUM(S81:S83)</f>
        <v>0</v>
      </c>
      <c r="T80" s="271">
        <f t="shared" si="205"/>
        <v>0</v>
      </c>
      <c r="U80" s="271">
        <f t="shared" si="205"/>
        <v>0</v>
      </c>
      <c r="V80" s="271">
        <f t="shared" si="205"/>
        <v>0</v>
      </c>
      <c r="W80" s="271">
        <f t="shared" si="205"/>
        <v>0</v>
      </c>
      <c r="X80" s="271">
        <f t="shared" si="205"/>
        <v>0</v>
      </c>
      <c r="Y80" s="271">
        <f t="shared" si="205"/>
        <v>0</v>
      </c>
      <c r="Z80" s="271">
        <f t="shared" si="205"/>
        <v>0</v>
      </c>
      <c r="AA80" s="271">
        <f t="shared" si="205"/>
        <v>0</v>
      </c>
      <c r="AB80" s="271">
        <f t="shared" si="205"/>
        <v>0</v>
      </c>
      <c r="AC80" s="271">
        <f t="shared" si="205"/>
        <v>0</v>
      </c>
      <c r="AD80" s="271">
        <f t="shared" si="205"/>
        <v>0</v>
      </c>
      <c r="AE80" s="271">
        <f>SUM(S80:AD80)</f>
        <v>0</v>
      </c>
      <c r="AF80" s="272">
        <f>AE80/12</f>
        <v>0</v>
      </c>
      <c r="AG80" s="370"/>
      <c r="AH80" s="270">
        <f t="shared" ref="AH80:AM80" si="206">SUM(AH81:AH83)</f>
        <v>1050</v>
      </c>
      <c r="AI80" s="271">
        <f t="shared" si="206"/>
        <v>1050</v>
      </c>
      <c r="AJ80" s="271">
        <f t="shared" si="206"/>
        <v>1073</v>
      </c>
      <c r="AK80" s="271">
        <f t="shared" si="206"/>
        <v>1080</v>
      </c>
      <c r="AL80" s="271">
        <f t="shared" si="206"/>
        <v>1093</v>
      </c>
      <c r="AM80" s="271">
        <f t="shared" si="206"/>
        <v>1107</v>
      </c>
      <c r="AN80" s="271">
        <f>SUM(AN81:AN83)</f>
        <v>1108</v>
      </c>
      <c r="AO80" s="271">
        <v>1080</v>
      </c>
      <c r="AP80" s="271">
        <f>SUM(AP81:AP83)</f>
        <v>1116</v>
      </c>
      <c r="AQ80" s="271">
        <f>SUM(AQ81:AQ83)</f>
        <v>1116</v>
      </c>
      <c r="AR80" s="271">
        <v>1108</v>
      </c>
      <c r="AS80" s="271">
        <v>1123</v>
      </c>
      <c r="AT80" s="271">
        <f t="shared" ref="AT80:AT136" si="207">SUM(AH80:AS80)</f>
        <v>13104</v>
      </c>
      <c r="AU80" s="272">
        <f>SUM(AH80:AS80)/12</f>
        <v>1092</v>
      </c>
      <c r="AX80" s="270">
        <v>1110</v>
      </c>
      <c r="AY80" s="271">
        <v>1098</v>
      </c>
      <c r="AZ80" s="271">
        <v>1080</v>
      </c>
      <c r="BA80" s="271">
        <v>1074</v>
      </c>
      <c r="BB80" s="271">
        <v>1070</v>
      </c>
      <c r="BC80" s="271">
        <v>1052</v>
      </c>
      <c r="BD80" s="271">
        <v>1059</v>
      </c>
      <c r="BE80" s="271">
        <v>1058</v>
      </c>
      <c r="BF80" s="271">
        <v>1060</v>
      </c>
      <c r="BG80" s="271">
        <v>1057</v>
      </c>
      <c r="BH80" s="271">
        <v>1057</v>
      </c>
      <c r="BI80" s="271">
        <v>1049</v>
      </c>
      <c r="BJ80" s="271">
        <f t="shared" ref="BJ80:BJ136" si="208">SUM(AX80:BI80)</f>
        <v>12824</v>
      </c>
      <c r="BK80" s="272">
        <f t="shared" ref="BK80:BK136" si="209">SUM(AX80:BI80)/$A$1</f>
        <v>1068.5776185317891</v>
      </c>
      <c r="BN80" s="1522"/>
      <c r="BO80" s="1522"/>
      <c r="BP80" s="1522"/>
      <c r="BQ80" s="322">
        <f t="shared" si="139"/>
        <v>-8</v>
      </c>
      <c r="BR80">
        <f t="shared" si="140"/>
        <v>1057</v>
      </c>
      <c r="BS80">
        <f t="shared" si="141"/>
        <v>1049</v>
      </c>
    </row>
    <row r="81" spans="1:71" x14ac:dyDescent="0.55000000000000004">
      <c r="A81" s="7222"/>
      <c r="B81" s="42"/>
      <c r="C81" s="35" t="s">
        <v>260</v>
      </c>
      <c r="D81" s="273">
        <v>0</v>
      </c>
      <c r="E81" s="274">
        <v>0</v>
      </c>
      <c r="F81" s="274">
        <v>0</v>
      </c>
      <c r="G81" s="274">
        <v>0</v>
      </c>
      <c r="H81" s="274">
        <v>0</v>
      </c>
      <c r="I81" s="274">
        <v>0</v>
      </c>
      <c r="J81" s="274">
        <v>0</v>
      </c>
      <c r="K81" s="274">
        <v>0</v>
      </c>
      <c r="L81" s="274">
        <v>0</v>
      </c>
      <c r="M81" s="274">
        <v>0</v>
      </c>
      <c r="N81" s="274">
        <v>0</v>
      </c>
      <c r="O81" s="274">
        <v>0</v>
      </c>
      <c r="P81" s="274">
        <f t="shared" ref="P81:P98" si="210">SUM(D81:O81)</f>
        <v>0</v>
      </c>
      <c r="Q81" s="275">
        <f t="shared" ref="Q81:Q98" si="211">P81/12</f>
        <v>0</v>
      </c>
      <c r="R81" s="370">
        <v>0</v>
      </c>
      <c r="S81" s="273">
        <v>0</v>
      </c>
      <c r="T81" s="274">
        <v>0</v>
      </c>
      <c r="U81" s="274">
        <v>0</v>
      </c>
      <c r="V81" s="274">
        <v>0</v>
      </c>
      <c r="W81" s="274">
        <v>0</v>
      </c>
      <c r="X81" s="274">
        <v>0</v>
      </c>
      <c r="Y81" s="274">
        <v>0</v>
      </c>
      <c r="Z81" s="274">
        <v>0</v>
      </c>
      <c r="AA81" s="274">
        <v>0</v>
      </c>
      <c r="AB81" s="274">
        <v>0</v>
      </c>
      <c r="AC81" s="274">
        <v>0</v>
      </c>
      <c r="AD81" s="274">
        <v>0</v>
      </c>
      <c r="AE81" s="274">
        <f t="shared" ref="AE81:AE98" si="212">SUM(S81:AD81)</f>
        <v>0</v>
      </c>
      <c r="AF81" s="275">
        <f t="shared" ref="AF81:AF98" si="213">AE81/12</f>
        <v>0</v>
      </c>
      <c r="AG81" s="370"/>
      <c r="AH81" s="273">
        <v>8</v>
      </c>
      <c r="AI81" s="274">
        <v>8</v>
      </c>
      <c r="AJ81" s="274">
        <v>8</v>
      </c>
      <c r="AK81" s="274">
        <v>8</v>
      </c>
      <c r="AL81" s="274">
        <v>8</v>
      </c>
      <c r="AM81" s="274">
        <v>8</v>
      </c>
      <c r="AN81" s="274">
        <v>8</v>
      </c>
      <c r="AO81" s="274">
        <v>8</v>
      </c>
      <c r="AP81" s="274">
        <v>8</v>
      </c>
      <c r="AQ81" s="274">
        <v>8</v>
      </c>
      <c r="AR81" s="274">
        <v>8</v>
      </c>
      <c r="AS81" s="274">
        <v>8</v>
      </c>
      <c r="AT81" s="274">
        <f t="shared" si="207"/>
        <v>96</v>
      </c>
      <c r="AU81" s="275">
        <f t="shared" ref="AU81:AU136" si="214">SUM(AH81:AS81)/12</f>
        <v>8</v>
      </c>
      <c r="AX81" s="273">
        <v>8</v>
      </c>
      <c r="AY81" s="274">
        <v>8</v>
      </c>
      <c r="AZ81" s="274">
        <v>8</v>
      </c>
      <c r="BA81" s="274">
        <v>8</v>
      </c>
      <c r="BB81" s="274">
        <v>8</v>
      </c>
      <c r="BC81" s="274">
        <v>8</v>
      </c>
      <c r="BD81" s="274">
        <v>8</v>
      </c>
      <c r="BE81" s="274">
        <v>8</v>
      </c>
      <c r="BF81" s="274">
        <v>8</v>
      </c>
      <c r="BG81" s="274">
        <v>8</v>
      </c>
      <c r="BH81" s="274">
        <v>8</v>
      </c>
      <c r="BI81" s="274">
        <v>8</v>
      </c>
      <c r="BJ81" s="274">
        <f t="shared" si="208"/>
        <v>96</v>
      </c>
      <c r="BK81" s="275">
        <f t="shared" si="209"/>
        <v>7.9993333888842599</v>
      </c>
      <c r="BN81" s="1522"/>
      <c r="BO81" s="1522"/>
      <c r="BP81" s="1522"/>
      <c r="BQ81" s="322">
        <f t="shared" si="139"/>
        <v>0</v>
      </c>
      <c r="BR81">
        <f t="shared" si="140"/>
        <v>8</v>
      </c>
      <c r="BS81">
        <f t="shared" si="141"/>
        <v>8</v>
      </c>
    </row>
    <row r="82" spans="1:71" x14ac:dyDescent="0.55000000000000004">
      <c r="A82" s="7222"/>
      <c r="B82" s="42"/>
      <c r="C82" s="35" t="s">
        <v>262</v>
      </c>
      <c r="D82" s="273">
        <v>0</v>
      </c>
      <c r="E82" s="274">
        <v>0</v>
      </c>
      <c r="F82" s="274">
        <v>0</v>
      </c>
      <c r="G82" s="274">
        <v>0</v>
      </c>
      <c r="H82" s="274">
        <v>0</v>
      </c>
      <c r="I82" s="274">
        <v>0</v>
      </c>
      <c r="J82" s="274">
        <v>0</v>
      </c>
      <c r="K82" s="274">
        <v>0</v>
      </c>
      <c r="L82" s="274">
        <v>0</v>
      </c>
      <c r="M82" s="274">
        <v>0</v>
      </c>
      <c r="N82" s="274">
        <v>0</v>
      </c>
      <c r="O82" s="274">
        <v>0</v>
      </c>
      <c r="P82" s="274">
        <f t="shared" si="210"/>
        <v>0</v>
      </c>
      <c r="Q82" s="275">
        <f t="shared" si="211"/>
        <v>0</v>
      </c>
      <c r="R82" s="370">
        <v>0</v>
      </c>
      <c r="S82" s="273">
        <v>0</v>
      </c>
      <c r="T82" s="274">
        <v>0</v>
      </c>
      <c r="U82" s="274">
        <v>0</v>
      </c>
      <c r="V82" s="274">
        <v>0</v>
      </c>
      <c r="W82" s="274">
        <v>0</v>
      </c>
      <c r="X82" s="274">
        <v>0</v>
      </c>
      <c r="Y82" s="274">
        <v>0</v>
      </c>
      <c r="Z82" s="274">
        <v>0</v>
      </c>
      <c r="AA82" s="274">
        <v>0</v>
      </c>
      <c r="AB82" s="274">
        <v>0</v>
      </c>
      <c r="AC82" s="274">
        <v>0</v>
      </c>
      <c r="AD82" s="274">
        <v>0</v>
      </c>
      <c r="AE82" s="274">
        <f t="shared" si="212"/>
        <v>0</v>
      </c>
      <c r="AF82" s="275">
        <f t="shared" si="213"/>
        <v>0</v>
      </c>
      <c r="AG82" s="370"/>
      <c r="AH82" s="273">
        <v>1004</v>
      </c>
      <c r="AI82" s="274">
        <v>1004</v>
      </c>
      <c r="AJ82" s="274">
        <v>1027</v>
      </c>
      <c r="AK82" s="274">
        <v>1034</v>
      </c>
      <c r="AL82" s="274">
        <v>1051</v>
      </c>
      <c r="AM82" s="274">
        <v>1065</v>
      </c>
      <c r="AN82" s="274">
        <v>1066</v>
      </c>
      <c r="AO82" s="274">
        <v>1038</v>
      </c>
      <c r="AP82" s="274">
        <v>1074</v>
      </c>
      <c r="AQ82" s="274">
        <v>1074</v>
      </c>
      <c r="AR82" s="274">
        <f>AR80-AR81-AR83</f>
        <v>1066</v>
      </c>
      <c r="AS82" s="274">
        <f>AS80-AS81-AS83</f>
        <v>1081</v>
      </c>
      <c r="AT82" s="274">
        <f t="shared" si="207"/>
        <v>12584</v>
      </c>
      <c r="AU82" s="275">
        <f t="shared" si="214"/>
        <v>1048.6666666666667</v>
      </c>
      <c r="AX82" s="273">
        <v>1074</v>
      </c>
      <c r="AY82" s="274">
        <v>1062</v>
      </c>
      <c r="AZ82" s="274">
        <v>1051</v>
      </c>
      <c r="BA82" s="274">
        <v>1044</v>
      </c>
      <c r="BB82" s="274">
        <v>1040</v>
      </c>
      <c r="BC82" s="274">
        <v>1022</v>
      </c>
      <c r="BD82" s="274">
        <v>1029</v>
      </c>
      <c r="BE82" s="274">
        <v>1028</v>
      </c>
      <c r="BF82" s="274">
        <v>1024</v>
      </c>
      <c r="BG82" s="274">
        <v>1021</v>
      </c>
      <c r="BH82" s="274">
        <v>1021</v>
      </c>
      <c r="BI82" s="274">
        <v>1013</v>
      </c>
      <c r="BJ82" s="274">
        <f t="shared" si="208"/>
        <v>12429</v>
      </c>
      <c r="BK82" s="275">
        <f t="shared" si="209"/>
        <v>1035.6636946921089</v>
      </c>
      <c r="BN82" s="1522"/>
      <c r="BO82" s="1522"/>
      <c r="BP82" s="1522"/>
      <c r="BQ82" s="322">
        <f t="shared" si="139"/>
        <v>-8</v>
      </c>
      <c r="BR82">
        <f t="shared" si="140"/>
        <v>1021</v>
      </c>
      <c r="BS82">
        <f t="shared" si="141"/>
        <v>1013</v>
      </c>
    </row>
    <row r="83" spans="1:71" x14ac:dyDescent="0.55000000000000004">
      <c r="A83" s="7222"/>
      <c r="B83" s="42"/>
      <c r="C83" s="35" t="s">
        <v>261</v>
      </c>
      <c r="D83" s="273">
        <v>0</v>
      </c>
      <c r="E83" s="274">
        <v>0</v>
      </c>
      <c r="F83" s="274">
        <v>0</v>
      </c>
      <c r="G83" s="274">
        <v>0</v>
      </c>
      <c r="H83" s="274">
        <v>0</v>
      </c>
      <c r="I83" s="274">
        <v>0</v>
      </c>
      <c r="J83" s="274">
        <v>0</v>
      </c>
      <c r="K83" s="274">
        <v>0</v>
      </c>
      <c r="L83" s="274">
        <v>0</v>
      </c>
      <c r="M83" s="274">
        <v>0</v>
      </c>
      <c r="N83" s="274">
        <v>0</v>
      </c>
      <c r="O83" s="274">
        <v>0</v>
      </c>
      <c r="P83" s="274">
        <f t="shared" si="210"/>
        <v>0</v>
      </c>
      <c r="Q83" s="275">
        <f t="shared" si="211"/>
        <v>0</v>
      </c>
      <c r="R83" s="370">
        <v>0</v>
      </c>
      <c r="S83" s="273">
        <v>0</v>
      </c>
      <c r="T83" s="274">
        <v>0</v>
      </c>
      <c r="U83" s="274">
        <v>0</v>
      </c>
      <c r="V83" s="274">
        <v>0</v>
      </c>
      <c r="W83" s="274">
        <v>0</v>
      </c>
      <c r="X83" s="274">
        <v>0</v>
      </c>
      <c r="Y83" s="274">
        <v>0</v>
      </c>
      <c r="Z83" s="274">
        <v>0</v>
      </c>
      <c r="AA83" s="274">
        <v>0</v>
      </c>
      <c r="AB83" s="274">
        <v>0</v>
      </c>
      <c r="AC83" s="274">
        <v>0</v>
      </c>
      <c r="AD83" s="274">
        <v>0</v>
      </c>
      <c r="AE83" s="274">
        <f t="shared" si="212"/>
        <v>0</v>
      </c>
      <c r="AF83" s="275">
        <f t="shared" si="213"/>
        <v>0</v>
      </c>
      <c r="AG83" s="370"/>
      <c r="AH83" s="273">
        <v>38</v>
      </c>
      <c r="AI83" s="274">
        <v>38</v>
      </c>
      <c r="AJ83" s="274">
        <v>38</v>
      </c>
      <c r="AK83" s="274">
        <v>38</v>
      </c>
      <c r="AL83" s="274">
        <v>34</v>
      </c>
      <c r="AM83" s="274">
        <v>34</v>
      </c>
      <c r="AN83" s="274">
        <v>34</v>
      </c>
      <c r="AO83" s="274">
        <v>34</v>
      </c>
      <c r="AP83" s="274">
        <v>34</v>
      </c>
      <c r="AQ83" s="274">
        <v>34</v>
      </c>
      <c r="AR83" s="274">
        <v>34</v>
      </c>
      <c r="AS83" s="274">
        <v>34</v>
      </c>
      <c r="AT83" s="274">
        <f t="shared" si="207"/>
        <v>424</v>
      </c>
      <c r="AU83" s="275">
        <f t="shared" si="214"/>
        <v>35.333333333333336</v>
      </c>
      <c r="AX83" s="273">
        <v>28</v>
      </c>
      <c r="AY83" s="274">
        <v>28</v>
      </c>
      <c r="AZ83" s="274">
        <v>21</v>
      </c>
      <c r="BA83" s="274">
        <v>22</v>
      </c>
      <c r="BB83" s="274">
        <v>22</v>
      </c>
      <c r="BC83" s="274">
        <v>22</v>
      </c>
      <c r="BD83" s="274">
        <v>22</v>
      </c>
      <c r="BE83" s="274">
        <v>22</v>
      </c>
      <c r="BF83" s="274">
        <v>28</v>
      </c>
      <c r="BG83" s="274">
        <v>28</v>
      </c>
      <c r="BH83" s="274">
        <v>28</v>
      </c>
      <c r="BI83" s="274">
        <v>28</v>
      </c>
      <c r="BJ83" s="274">
        <f t="shared" si="208"/>
        <v>299</v>
      </c>
      <c r="BK83" s="275">
        <f t="shared" si="209"/>
        <v>24.914590450795767</v>
      </c>
      <c r="BN83" s="1522"/>
      <c r="BO83" s="1522"/>
      <c r="BP83" s="1522"/>
      <c r="BQ83" s="322">
        <f t="shared" si="139"/>
        <v>0</v>
      </c>
      <c r="BR83">
        <f t="shared" si="140"/>
        <v>28</v>
      </c>
      <c r="BS83">
        <f t="shared" si="141"/>
        <v>28</v>
      </c>
    </row>
    <row r="84" spans="1:71" x14ac:dyDescent="0.55000000000000004">
      <c r="A84" s="7222"/>
      <c r="B84" s="243" t="s">
        <v>222</v>
      </c>
      <c r="C84" s="107"/>
      <c r="D84" s="276">
        <f>D89+D90</f>
        <v>0</v>
      </c>
      <c r="E84" s="277">
        <f t="shared" ref="E84:O84" si="215">E89+E90</f>
        <v>0</v>
      </c>
      <c r="F84" s="277">
        <f t="shared" si="215"/>
        <v>0</v>
      </c>
      <c r="G84" s="277">
        <f t="shared" si="215"/>
        <v>0</v>
      </c>
      <c r="H84" s="277">
        <f t="shared" si="215"/>
        <v>0</v>
      </c>
      <c r="I84" s="277">
        <f t="shared" si="215"/>
        <v>0</v>
      </c>
      <c r="J84" s="277">
        <f t="shared" si="215"/>
        <v>0</v>
      </c>
      <c r="K84" s="277">
        <f t="shared" si="215"/>
        <v>0</v>
      </c>
      <c r="L84" s="277">
        <f t="shared" si="215"/>
        <v>0</v>
      </c>
      <c r="M84" s="277">
        <f t="shared" si="215"/>
        <v>0</v>
      </c>
      <c r="N84" s="277">
        <f t="shared" si="215"/>
        <v>0</v>
      </c>
      <c r="O84" s="277">
        <f t="shared" si="215"/>
        <v>0</v>
      </c>
      <c r="P84" s="277">
        <f t="shared" si="210"/>
        <v>0</v>
      </c>
      <c r="Q84" s="278">
        <f t="shared" si="211"/>
        <v>0</v>
      </c>
      <c r="R84" s="370">
        <v>0</v>
      </c>
      <c r="S84" s="276">
        <f>S89+S90</f>
        <v>0</v>
      </c>
      <c r="T84" s="277">
        <f t="shared" ref="T84:AD84" si="216">T89+T90</f>
        <v>0</v>
      </c>
      <c r="U84" s="277">
        <f t="shared" si="216"/>
        <v>0</v>
      </c>
      <c r="V84" s="277">
        <f t="shared" si="216"/>
        <v>0</v>
      </c>
      <c r="W84" s="277">
        <f t="shared" si="216"/>
        <v>0</v>
      </c>
      <c r="X84" s="277">
        <f t="shared" si="216"/>
        <v>0</v>
      </c>
      <c r="Y84" s="277">
        <f t="shared" si="216"/>
        <v>0</v>
      </c>
      <c r="Z84" s="277">
        <f t="shared" si="216"/>
        <v>0</v>
      </c>
      <c r="AA84" s="277">
        <f t="shared" si="216"/>
        <v>0</v>
      </c>
      <c r="AB84" s="277">
        <f t="shared" si="216"/>
        <v>0</v>
      </c>
      <c r="AC84" s="277">
        <f t="shared" si="216"/>
        <v>0</v>
      </c>
      <c r="AD84" s="277">
        <f t="shared" si="216"/>
        <v>0</v>
      </c>
      <c r="AE84" s="277">
        <f t="shared" si="212"/>
        <v>0</v>
      </c>
      <c r="AF84" s="278">
        <f t="shared" si="213"/>
        <v>0</v>
      </c>
      <c r="AG84" s="370"/>
      <c r="AH84" s="276">
        <f>AH89+AH90</f>
        <v>188</v>
      </c>
      <c r="AI84" s="277">
        <f t="shared" ref="AI84:AQ84" si="217">AI89+AI90</f>
        <v>188</v>
      </c>
      <c r="AJ84" s="277">
        <f t="shared" si="217"/>
        <v>199</v>
      </c>
      <c r="AK84" s="277">
        <f t="shared" si="217"/>
        <v>199</v>
      </c>
      <c r="AL84" s="277">
        <f t="shared" si="217"/>
        <v>208</v>
      </c>
      <c r="AM84" s="277">
        <f t="shared" si="217"/>
        <v>212</v>
      </c>
      <c r="AN84" s="277">
        <f t="shared" si="217"/>
        <v>212</v>
      </c>
      <c r="AO84" s="277">
        <f t="shared" si="217"/>
        <v>204</v>
      </c>
      <c r="AP84" s="277">
        <f t="shared" si="217"/>
        <v>215</v>
      </c>
      <c r="AQ84" s="277">
        <f t="shared" si="217"/>
        <v>215</v>
      </c>
      <c r="AR84" s="277">
        <v>212</v>
      </c>
      <c r="AS84" s="277">
        <v>218</v>
      </c>
      <c r="AT84" s="277">
        <f t="shared" si="207"/>
        <v>2470</v>
      </c>
      <c r="AU84" s="278">
        <f t="shared" si="214"/>
        <v>205.83333333333334</v>
      </c>
      <c r="AX84" s="276">
        <v>215</v>
      </c>
      <c r="AY84" s="277">
        <v>211</v>
      </c>
      <c r="AZ84" s="277">
        <v>204</v>
      </c>
      <c r="BA84" s="277">
        <v>206</v>
      </c>
      <c r="BB84" s="277">
        <v>206</v>
      </c>
      <c r="BC84" s="277">
        <v>202</v>
      </c>
      <c r="BD84" s="277">
        <v>202</v>
      </c>
      <c r="BE84" s="277">
        <v>202</v>
      </c>
      <c r="BF84" s="277">
        <v>204</v>
      </c>
      <c r="BG84" s="277">
        <v>204</v>
      </c>
      <c r="BH84" s="277">
        <v>204</v>
      </c>
      <c r="BI84" s="277">
        <v>200</v>
      </c>
      <c r="BJ84" s="277">
        <f t="shared" si="208"/>
        <v>2460</v>
      </c>
      <c r="BK84" s="278">
        <f t="shared" si="209"/>
        <v>204.98291809015916</v>
      </c>
      <c r="BN84" s="1522"/>
      <c r="BO84" s="1522"/>
      <c r="BP84" s="1522"/>
      <c r="BQ84" s="322">
        <f t="shared" si="139"/>
        <v>-4</v>
      </c>
      <c r="BR84">
        <f t="shared" si="140"/>
        <v>204</v>
      </c>
      <c r="BS84">
        <f t="shared" si="141"/>
        <v>200</v>
      </c>
    </row>
    <row r="85" spans="1:71" x14ac:dyDescent="0.55000000000000004">
      <c r="A85" s="7222"/>
      <c r="B85" s="235" t="s">
        <v>223</v>
      </c>
      <c r="C85" s="14"/>
      <c r="D85" s="279">
        <f>D91+D92</f>
        <v>0</v>
      </c>
      <c r="E85" s="280">
        <f t="shared" ref="E85:O85" si="218">E91+E92</f>
        <v>0</v>
      </c>
      <c r="F85" s="280">
        <f t="shared" si="218"/>
        <v>0</v>
      </c>
      <c r="G85" s="280">
        <f t="shared" si="218"/>
        <v>0</v>
      </c>
      <c r="H85" s="280">
        <f t="shared" si="218"/>
        <v>0</v>
      </c>
      <c r="I85" s="280">
        <f t="shared" si="218"/>
        <v>0</v>
      </c>
      <c r="J85" s="280">
        <f t="shared" si="218"/>
        <v>0</v>
      </c>
      <c r="K85" s="280">
        <f t="shared" si="218"/>
        <v>0</v>
      </c>
      <c r="L85" s="280">
        <f t="shared" si="218"/>
        <v>0</v>
      </c>
      <c r="M85" s="280">
        <f t="shared" si="218"/>
        <v>0</v>
      </c>
      <c r="N85" s="280">
        <f t="shared" si="218"/>
        <v>0</v>
      </c>
      <c r="O85" s="280">
        <f t="shared" si="218"/>
        <v>0</v>
      </c>
      <c r="P85" s="280">
        <f t="shared" si="210"/>
        <v>0</v>
      </c>
      <c r="Q85" s="281">
        <f t="shared" si="211"/>
        <v>0</v>
      </c>
      <c r="R85" s="370">
        <v>0</v>
      </c>
      <c r="S85" s="279">
        <f>S91+S92</f>
        <v>0</v>
      </c>
      <c r="T85" s="280">
        <f t="shared" ref="T85:AD85" si="219">T91+T92</f>
        <v>0</v>
      </c>
      <c r="U85" s="280">
        <f t="shared" si="219"/>
        <v>0</v>
      </c>
      <c r="V85" s="280">
        <f t="shared" si="219"/>
        <v>0</v>
      </c>
      <c r="W85" s="280">
        <f t="shared" si="219"/>
        <v>0</v>
      </c>
      <c r="X85" s="280">
        <f t="shared" si="219"/>
        <v>0</v>
      </c>
      <c r="Y85" s="280">
        <f t="shared" si="219"/>
        <v>0</v>
      </c>
      <c r="Z85" s="280">
        <f t="shared" si="219"/>
        <v>0</v>
      </c>
      <c r="AA85" s="280">
        <f t="shared" si="219"/>
        <v>0</v>
      </c>
      <c r="AB85" s="280">
        <f t="shared" si="219"/>
        <v>0</v>
      </c>
      <c r="AC85" s="280">
        <f t="shared" si="219"/>
        <v>0</v>
      </c>
      <c r="AD85" s="280">
        <f t="shared" si="219"/>
        <v>0</v>
      </c>
      <c r="AE85" s="280">
        <f t="shared" si="212"/>
        <v>0</v>
      </c>
      <c r="AF85" s="281">
        <f t="shared" si="213"/>
        <v>0</v>
      </c>
      <c r="AG85" s="370"/>
      <c r="AH85" s="279">
        <f>AH91+AH92</f>
        <v>174</v>
      </c>
      <c r="AI85" s="280">
        <f t="shared" ref="AI85:AQ85" si="220">AI91+AI92</f>
        <v>174</v>
      </c>
      <c r="AJ85" s="280">
        <f t="shared" si="220"/>
        <v>178</v>
      </c>
      <c r="AK85" s="280">
        <f t="shared" si="220"/>
        <v>179</v>
      </c>
      <c r="AL85" s="280">
        <f t="shared" si="220"/>
        <v>179</v>
      </c>
      <c r="AM85" s="280">
        <f t="shared" si="220"/>
        <v>186</v>
      </c>
      <c r="AN85" s="280">
        <f t="shared" si="220"/>
        <v>186</v>
      </c>
      <c r="AO85" s="280">
        <f t="shared" si="220"/>
        <v>182</v>
      </c>
      <c r="AP85" s="280">
        <f t="shared" si="220"/>
        <v>186</v>
      </c>
      <c r="AQ85" s="280">
        <f t="shared" si="220"/>
        <v>186</v>
      </c>
      <c r="AR85" s="280">
        <v>186</v>
      </c>
      <c r="AS85" s="280">
        <v>186</v>
      </c>
      <c r="AT85" s="280">
        <f t="shared" si="207"/>
        <v>2182</v>
      </c>
      <c r="AU85" s="281">
        <f t="shared" si="214"/>
        <v>181.83333333333334</v>
      </c>
      <c r="AX85" s="279">
        <v>186</v>
      </c>
      <c r="AY85" s="280">
        <v>186</v>
      </c>
      <c r="AZ85" s="280">
        <v>186</v>
      </c>
      <c r="BA85" s="280">
        <v>178</v>
      </c>
      <c r="BB85" s="280">
        <v>174</v>
      </c>
      <c r="BC85" s="280">
        <v>174</v>
      </c>
      <c r="BD85" s="280">
        <v>174</v>
      </c>
      <c r="BE85" s="280">
        <v>173</v>
      </c>
      <c r="BF85" s="280">
        <v>173</v>
      </c>
      <c r="BG85" s="280">
        <v>173</v>
      </c>
      <c r="BH85" s="280">
        <v>173</v>
      </c>
      <c r="BI85" s="280">
        <v>173</v>
      </c>
      <c r="BJ85" s="280">
        <f t="shared" si="208"/>
        <v>2123</v>
      </c>
      <c r="BK85" s="281">
        <f t="shared" si="209"/>
        <v>176.90192483959672</v>
      </c>
      <c r="BN85" s="1522"/>
      <c r="BO85" s="1522"/>
      <c r="BP85" s="1522"/>
      <c r="BQ85" s="322">
        <f t="shared" si="139"/>
        <v>0</v>
      </c>
      <c r="BR85">
        <f t="shared" si="140"/>
        <v>173</v>
      </c>
      <c r="BS85">
        <f t="shared" si="141"/>
        <v>173</v>
      </c>
    </row>
    <row r="86" spans="1:71" x14ac:dyDescent="0.55000000000000004">
      <c r="A86" s="7222"/>
      <c r="B86" s="235" t="s">
        <v>224</v>
      </c>
      <c r="C86" s="14"/>
      <c r="D86" s="279">
        <f>D93+D94</f>
        <v>0</v>
      </c>
      <c r="E86" s="280">
        <f t="shared" ref="E86:O86" si="221">E93+E94</f>
        <v>0</v>
      </c>
      <c r="F86" s="280">
        <f t="shared" si="221"/>
        <v>0</v>
      </c>
      <c r="G86" s="280">
        <f t="shared" si="221"/>
        <v>0</v>
      </c>
      <c r="H86" s="280">
        <f t="shared" si="221"/>
        <v>0</v>
      </c>
      <c r="I86" s="280">
        <f t="shared" si="221"/>
        <v>0</v>
      </c>
      <c r="J86" s="280">
        <f t="shared" si="221"/>
        <v>0</v>
      </c>
      <c r="K86" s="280">
        <f t="shared" si="221"/>
        <v>0</v>
      </c>
      <c r="L86" s="280">
        <f t="shared" si="221"/>
        <v>0</v>
      </c>
      <c r="M86" s="280">
        <f t="shared" si="221"/>
        <v>0</v>
      </c>
      <c r="N86" s="280">
        <f t="shared" si="221"/>
        <v>0</v>
      </c>
      <c r="O86" s="280">
        <f t="shared" si="221"/>
        <v>0</v>
      </c>
      <c r="P86" s="280">
        <f t="shared" si="210"/>
        <v>0</v>
      </c>
      <c r="Q86" s="281">
        <f t="shared" si="211"/>
        <v>0</v>
      </c>
      <c r="R86" s="370">
        <v>0</v>
      </c>
      <c r="S86" s="279">
        <f>S93+S94</f>
        <v>0</v>
      </c>
      <c r="T86" s="280">
        <f t="shared" ref="T86:AD86" si="222">T93+T94</f>
        <v>0</v>
      </c>
      <c r="U86" s="280">
        <f t="shared" si="222"/>
        <v>0</v>
      </c>
      <c r="V86" s="280">
        <f t="shared" si="222"/>
        <v>0</v>
      </c>
      <c r="W86" s="280">
        <f t="shared" si="222"/>
        <v>0</v>
      </c>
      <c r="X86" s="280">
        <f t="shared" si="222"/>
        <v>0</v>
      </c>
      <c r="Y86" s="280">
        <f t="shared" si="222"/>
        <v>0</v>
      </c>
      <c r="Z86" s="280">
        <f t="shared" si="222"/>
        <v>0</v>
      </c>
      <c r="AA86" s="280">
        <f t="shared" si="222"/>
        <v>0</v>
      </c>
      <c r="AB86" s="280">
        <f t="shared" si="222"/>
        <v>0</v>
      </c>
      <c r="AC86" s="280">
        <f t="shared" si="222"/>
        <v>0</v>
      </c>
      <c r="AD86" s="280">
        <f t="shared" si="222"/>
        <v>0</v>
      </c>
      <c r="AE86" s="280">
        <f t="shared" si="212"/>
        <v>0</v>
      </c>
      <c r="AF86" s="281">
        <f t="shared" si="213"/>
        <v>0</v>
      </c>
      <c r="AG86" s="370"/>
      <c r="AH86" s="279">
        <f>AH93+AH94</f>
        <v>218</v>
      </c>
      <c r="AI86" s="280">
        <f t="shared" ref="AI86:AN86" si="223">AI93+AI94</f>
        <v>218</v>
      </c>
      <c r="AJ86" s="280">
        <f t="shared" si="223"/>
        <v>222</v>
      </c>
      <c r="AK86" s="280">
        <f t="shared" si="223"/>
        <v>222</v>
      </c>
      <c r="AL86" s="280">
        <f t="shared" si="223"/>
        <v>230</v>
      </c>
      <c r="AM86" s="280">
        <f t="shared" si="223"/>
        <v>230</v>
      </c>
      <c r="AN86" s="280">
        <f t="shared" si="223"/>
        <v>235</v>
      </c>
      <c r="AO86" s="280">
        <f>AO93+AO94</f>
        <v>240</v>
      </c>
      <c r="AP86" s="280">
        <f>AP93+AP94</f>
        <v>235</v>
      </c>
      <c r="AQ86" s="280">
        <f>AQ93+AQ94</f>
        <v>235</v>
      </c>
      <c r="AR86" s="280">
        <v>235</v>
      </c>
      <c r="AS86" s="280">
        <v>238</v>
      </c>
      <c r="AT86" s="280">
        <f t="shared" si="207"/>
        <v>2758</v>
      </c>
      <c r="AU86" s="281">
        <f t="shared" si="214"/>
        <v>229.83333333333334</v>
      </c>
      <c r="AX86" s="279">
        <v>235</v>
      </c>
      <c r="AY86" s="280">
        <v>231</v>
      </c>
      <c r="AZ86" s="280">
        <v>227</v>
      </c>
      <c r="BA86" s="280">
        <v>233</v>
      </c>
      <c r="BB86" s="280">
        <v>233</v>
      </c>
      <c r="BC86" s="280">
        <v>222</v>
      </c>
      <c r="BD86" s="280">
        <v>229</v>
      </c>
      <c r="BE86" s="280">
        <v>229</v>
      </c>
      <c r="BF86" s="280">
        <v>229</v>
      </c>
      <c r="BG86" s="280">
        <v>229</v>
      </c>
      <c r="BH86" s="280">
        <v>225</v>
      </c>
      <c r="BI86" s="280">
        <v>221</v>
      </c>
      <c r="BJ86" s="280">
        <f t="shared" si="208"/>
        <v>2743</v>
      </c>
      <c r="BK86" s="281">
        <f t="shared" si="209"/>
        <v>228.56428630947423</v>
      </c>
      <c r="BN86" s="1522"/>
      <c r="BO86" s="1522"/>
      <c r="BP86" s="1522"/>
      <c r="BQ86" s="322">
        <f t="shared" si="139"/>
        <v>-4</v>
      </c>
      <c r="BR86">
        <f t="shared" si="140"/>
        <v>225</v>
      </c>
      <c r="BS86">
        <f t="shared" si="141"/>
        <v>221</v>
      </c>
    </row>
    <row r="87" spans="1:71" x14ac:dyDescent="0.55000000000000004">
      <c r="A87" s="7222"/>
      <c r="B87" s="235" t="s">
        <v>225</v>
      </c>
      <c r="C87" s="14"/>
      <c r="D87" s="279">
        <f>D95+D96</f>
        <v>0</v>
      </c>
      <c r="E87" s="280">
        <f t="shared" ref="E87:O87" si="224">E95+E96</f>
        <v>0</v>
      </c>
      <c r="F87" s="280">
        <f t="shared" si="224"/>
        <v>0</v>
      </c>
      <c r="G87" s="280">
        <f t="shared" si="224"/>
        <v>0</v>
      </c>
      <c r="H87" s="280">
        <f t="shared" si="224"/>
        <v>0</v>
      </c>
      <c r="I87" s="280">
        <f t="shared" si="224"/>
        <v>0</v>
      </c>
      <c r="J87" s="280">
        <f t="shared" si="224"/>
        <v>0</v>
      </c>
      <c r="K87" s="280">
        <f t="shared" si="224"/>
        <v>0</v>
      </c>
      <c r="L87" s="280">
        <f t="shared" si="224"/>
        <v>0</v>
      </c>
      <c r="M87" s="280">
        <f t="shared" si="224"/>
        <v>0</v>
      </c>
      <c r="N87" s="280">
        <f t="shared" si="224"/>
        <v>0</v>
      </c>
      <c r="O87" s="280">
        <f t="shared" si="224"/>
        <v>0</v>
      </c>
      <c r="P87" s="280">
        <f t="shared" si="210"/>
        <v>0</v>
      </c>
      <c r="Q87" s="281">
        <f t="shared" si="211"/>
        <v>0</v>
      </c>
      <c r="R87" s="370">
        <v>0</v>
      </c>
      <c r="S87" s="279">
        <f>S95+S96</f>
        <v>0</v>
      </c>
      <c r="T87" s="280">
        <f t="shared" ref="T87:AD87" si="225">T95+T96</f>
        <v>0</v>
      </c>
      <c r="U87" s="280">
        <f t="shared" si="225"/>
        <v>0</v>
      </c>
      <c r="V87" s="280">
        <f t="shared" si="225"/>
        <v>0</v>
      </c>
      <c r="W87" s="280">
        <f t="shared" si="225"/>
        <v>0</v>
      </c>
      <c r="X87" s="280">
        <f t="shared" si="225"/>
        <v>0</v>
      </c>
      <c r="Y87" s="280">
        <f t="shared" si="225"/>
        <v>0</v>
      </c>
      <c r="Z87" s="280">
        <f t="shared" si="225"/>
        <v>0</v>
      </c>
      <c r="AA87" s="280">
        <f t="shared" si="225"/>
        <v>0</v>
      </c>
      <c r="AB87" s="280">
        <f t="shared" si="225"/>
        <v>0</v>
      </c>
      <c r="AC87" s="280">
        <f t="shared" si="225"/>
        <v>0</v>
      </c>
      <c r="AD87" s="280">
        <f t="shared" si="225"/>
        <v>0</v>
      </c>
      <c r="AE87" s="280">
        <f t="shared" si="212"/>
        <v>0</v>
      </c>
      <c r="AF87" s="281">
        <f t="shared" si="213"/>
        <v>0</v>
      </c>
      <c r="AG87" s="370"/>
      <c r="AH87" s="279">
        <f>AH95+AH96</f>
        <v>250</v>
      </c>
      <c r="AI87" s="280">
        <f t="shared" ref="AI87:AQ87" si="226">AI95+AI96</f>
        <v>250</v>
      </c>
      <c r="AJ87" s="280">
        <f t="shared" si="226"/>
        <v>254</v>
      </c>
      <c r="AK87" s="280">
        <f t="shared" si="226"/>
        <v>254</v>
      </c>
      <c r="AL87" s="280">
        <f t="shared" si="226"/>
        <v>254</v>
      </c>
      <c r="AM87" s="280">
        <f t="shared" si="226"/>
        <v>254</v>
      </c>
      <c r="AN87" s="280">
        <f t="shared" si="226"/>
        <v>250</v>
      </c>
      <c r="AO87" s="280">
        <f t="shared" si="226"/>
        <v>235</v>
      </c>
      <c r="AP87" s="280">
        <f t="shared" si="226"/>
        <v>251</v>
      </c>
      <c r="AQ87" s="280">
        <f t="shared" si="226"/>
        <v>251</v>
      </c>
      <c r="AR87" s="280">
        <v>250</v>
      </c>
      <c r="AS87" s="280">
        <v>251</v>
      </c>
      <c r="AT87" s="280">
        <f t="shared" si="207"/>
        <v>3004</v>
      </c>
      <c r="AU87" s="281">
        <f t="shared" si="214"/>
        <v>250.33333333333334</v>
      </c>
      <c r="AX87" s="279">
        <v>247</v>
      </c>
      <c r="AY87" s="280">
        <v>243</v>
      </c>
      <c r="AZ87" s="280">
        <v>239</v>
      </c>
      <c r="BA87" s="280">
        <v>239</v>
      </c>
      <c r="BB87" s="280">
        <v>239</v>
      </c>
      <c r="BC87" s="280">
        <v>239</v>
      </c>
      <c r="BD87" s="280">
        <v>239</v>
      </c>
      <c r="BE87" s="280">
        <v>239</v>
      </c>
      <c r="BF87" s="280">
        <v>239</v>
      </c>
      <c r="BG87" s="280">
        <v>239</v>
      </c>
      <c r="BH87" s="280">
        <v>239</v>
      </c>
      <c r="BI87" s="280">
        <v>239</v>
      </c>
      <c r="BJ87" s="280">
        <f t="shared" si="208"/>
        <v>2880</v>
      </c>
      <c r="BK87" s="281">
        <f t="shared" si="209"/>
        <v>239.98000166652781</v>
      </c>
      <c r="BN87" s="1522"/>
      <c r="BO87" s="1522"/>
      <c r="BP87" s="1522"/>
      <c r="BQ87" s="322">
        <f t="shared" si="139"/>
        <v>0</v>
      </c>
      <c r="BR87">
        <f t="shared" si="140"/>
        <v>239</v>
      </c>
      <c r="BS87">
        <f t="shared" si="141"/>
        <v>239</v>
      </c>
    </row>
    <row r="88" spans="1:71" x14ac:dyDescent="0.55000000000000004">
      <c r="A88" s="7222"/>
      <c r="B88" s="236" t="s">
        <v>226</v>
      </c>
      <c r="C88" s="29"/>
      <c r="D88" s="282">
        <f>D97+D98</f>
        <v>0</v>
      </c>
      <c r="E88" s="283">
        <f t="shared" ref="E88:O88" si="227">E97+E98</f>
        <v>0</v>
      </c>
      <c r="F88" s="283">
        <f t="shared" si="227"/>
        <v>0</v>
      </c>
      <c r="G88" s="283">
        <f t="shared" si="227"/>
        <v>0</v>
      </c>
      <c r="H88" s="283">
        <f t="shared" si="227"/>
        <v>0</v>
      </c>
      <c r="I88" s="283">
        <f t="shared" si="227"/>
        <v>0</v>
      </c>
      <c r="J88" s="283">
        <f t="shared" si="227"/>
        <v>0</v>
      </c>
      <c r="K88" s="283">
        <f t="shared" si="227"/>
        <v>0</v>
      </c>
      <c r="L88" s="283">
        <f t="shared" si="227"/>
        <v>0</v>
      </c>
      <c r="M88" s="283">
        <f t="shared" si="227"/>
        <v>0</v>
      </c>
      <c r="N88" s="283">
        <f t="shared" si="227"/>
        <v>0</v>
      </c>
      <c r="O88" s="283">
        <f t="shared" si="227"/>
        <v>0</v>
      </c>
      <c r="P88" s="283">
        <f t="shared" si="210"/>
        <v>0</v>
      </c>
      <c r="Q88" s="284">
        <f t="shared" si="211"/>
        <v>0</v>
      </c>
      <c r="R88" s="370">
        <v>0</v>
      </c>
      <c r="S88" s="282">
        <f>S97+S98</f>
        <v>0</v>
      </c>
      <c r="T88" s="283">
        <f t="shared" ref="T88:AD88" si="228">T97+T98</f>
        <v>0</v>
      </c>
      <c r="U88" s="283">
        <f t="shared" si="228"/>
        <v>0</v>
      </c>
      <c r="V88" s="283">
        <f t="shared" si="228"/>
        <v>0</v>
      </c>
      <c r="W88" s="283">
        <f t="shared" si="228"/>
        <v>0</v>
      </c>
      <c r="X88" s="283">
        <f t="shared" si="228"/>
        <v>0</v>
      </c>
      <c r="Y88" s="283">
        <f t="shared" si="228"/>
        <v>0</v>
      </c>
      <c r="Z88" s="283">
        <f t="shared" si="228"/>
        <v>0</v>
      </c>
      <c r="AA88" s="283">
        <f t="shared" si="228"/>
        <v>0</v>
      </c>
      <c r="AB88" s="283">
        <f t="shared" si="228"/>
        <v>0</v>
      </c>
      <c r="AC88" s="283">
        <f t="shared" si="228"/>
        <v>0</v>
      </c>
      <c r="AD88" s="283">
        <f t="shared" si="228"/>
        <v>0</v>
      </c>
      <c r="AE88" s="283">
        <f t="shared" si="212"/>
        <v>0</v>
      </c>
      <c r="AF88" s="284">
        <f t="shared" si="213"/>
        <v>0</v>
      </c>
      <c r="AG88" s="370"/>
      <c r="AH88" s="282">
        <f>AH97+AH98</f>
        <v>220</v>
      </c>
      <c r="AI88" s="283">
        <f t="shared" ref="AI88:AQ88" si="229">AI97+AI98</f>
        <v>220</v>
      </c>
      <c r="AJ88" s="283">
        <f t="shared" si="229"/>
        <v>220</v>
      </c>
      <c r="AK88" s="283">
        <f t="shared" si="229"/>
        <v>226</v>
      </c>
      <c r="AL88" s="283">
        <f t="shared" si="229"/>
        <v>222</v>
      </c>
      <c r="AM88" s="283">
        <f t="shared" si="229"/>
        <v>225</v>
      </c>
      <c r="AN88" s="283">
        <f t="shared" si="229"/>
        <v>225</v>
      </c>
      <c r="AO88" s="283">
        <f t="shared" si="229"/>
        <v>219</v>
      </c>
      <c r="AP88" s="283">
        <f t="shared" si="229"/>
        <v>229</v>
      </c>
      <c r="AQ88" s="283">
        <f t="shared" si="229"/>
        <v>229</v>
      </c>
      <c r="AR88" s="283">
        <v>225</v>
      </c>
      <c r="AS88" s="283">
        <v>230</v>
      </c>
      <c r="AT88" s="283">
        <f t="shared" si="207"/>
        <v>2690</v>
      </c>
      <c r="AU88" s="284">
        <f t="shared" si="214"/>
        <v>224.16666666666666</v>
      </c>
      <c r="AX88" s="282">
        <v>227</v>
      </c>
      <c r="AY88" s="283">
        <v>227</v>
      </c>
      <c r="AZ88" s="283">
        <v>224</v>
      </c>
      <c r="BA88" s="283">
        <v>218</v>
      </c>
      <c r="BB88" s="283">
        <v>218</v>
      </c>
      <c r="BC88" s="283">
        <v>215</v>
      </c>
      <c r="BD88" s="283">
        <v>215</v>
      </c>
      <c r="BE88" s="283">
        <v>215</v>
      </c>
      <c r="BF88" s="283">
        <v>215</v>
      </c>
      <c r="BG88" s="283">
        <v>212</v>
      </c>
      <c r="BH88" s="283">
        <v>216</v>
      </c>
      <c r="BI88" s="283">
        <v>216</v>
      </c>
      <c r="BJ88" s="283">
        <f t="shared" si="208"/>
        <v>2618</v>
      </c>
      <c r="BK88" s="284">
        <f t="shared" si="209"/>
        <v>218.14848762603117</v>
      </c>
      <c r="BN88" s="1522"/>
      <c r="BO88" s="1522"/>
      <c r="BP88" s="1522"/>
      <c r="BQ88" s="322">
        <f t="shared" si="139"/>
        <v>0</v>
      </c>
      <c r="BR88">
        <f t="shared" si="140"/>
        <v>216</v>
      </c>
      <c r="BS88">
        <f t="shared" si="141"/>
        <v>216</v>
      </c>
    </row>
    <row r="89" spans="1:71" x14ac:dyDescent="0.55000000000000004">
      <c r="A89" s="7222"/>
      <c r="B89" s="244"/>
      <c r="C89" s="176" t="s">
        <v>227</v>
      </c>
      <c r="D89" s="333">
        <v>0</v>
      </c>
      <c r="E89" s="333">
        <v>0</v>
      </c>
      <c r="F89" s="333">
        <v>0</v>
      </c>
      <c r="G89" s="333">
        <v>0</v>
      </c>
      <c r="H89" s="333">
        <v>0</v>
      </c>
      <c r="I89" s="333">
        <v>0</v>
      </c>
      <c r="J89" s="333">
        <v>0</v>
      </c>
      <c r="K89" s="333">
        <v>0</v>
      </c>
      <c r="L89" s="333">
        <v>0</v>
      </c>
      <c r="M89" s="333">
        <v>0</v>
      </c>
      <c r="N89" s="333">
        <v>0</v>
      </c>
      <c r="O89" s="333">
        <v>0</v>
      </c>
      <c r="P89" s="333">
        <f t="shared" si="210"/>
        <v>0</v>
      </c>
      <c r="Q89" s="334">
        <f t="shared" si="211"/>
        <v>0</v>
      </c>
      <c r="R89" s="370">
        <v>0</v>
      </c>
      <c r="S89" s="335">
        <v>0</v>
      </c>
      <c r="T89" s="333">
        <v>0</v>
      </c>
      <c r="U89" s="333">
        <v>0</v>
      </c>
      <c r="V89" s="333">
        <v>0</v>
      </c>
      <c r="W89" s="333">
        <v>0</v>
      </c>
      <c r="X89" s="333">
        <v>0</v>
      </c>
      <c r="Y89" s="333">
        <v>0</v>
      </c>
      <c r="Z89" s="333">
        <v>0</v>
      </c>
      <c r="AA89" s="333">
        <v>0</v>
      </c>
      <c r="AB89" s="333">
        <v>0</v>
      </c>
      <c r="AC89" s="333">
        <v>0</v>
      </c>
      <c r="AD89" s="333">
        <v>0</v>
      </c>
      <c r="AE89" s="333">
        <f t="shared" si="212"/>
        <v>0</v>
      </c>
      <c r="AF89" s="334">
        <f t="shared" si="213"/>
        <v>0</v>
      </c>
      <c r="AG89" s="370"/>
      <c r="AH89" s="335">
        <v>93</v>
      </c>
      <c r="AI89" s="333">
        <v>93</v>
      </c>
      <c r="AJ89" s="333">
        <v>101</v>
      </c>
      <c r="AK89" s="333">
        <v>101</v>
      </c>
      <c r="AL89" s="333">
        <v>105</v>
      </c>
      <c r="AM89" s="333">
        <v>109</v>
      </c>
      <c r="AN89" s="333">
        <v>109</v>
      </c>
      <c r="AO89" s="333">
        <v>101</v>
      </c>
      <c r="AP89" s="333">
        <v>112</v>
      </c>
      <c r="AQ89" s="333">
        <v>112</v>
      </c>
      <c r="AR89" s="333">
        <v>109</v>
      </c>
      <c r="AS89" s="333">
        <v>112</v>
      </c>
      <c r="AT89" s="333">
        <f t="shared" si="207"/>
        <v>1257</v>
      </c>
      <c r="AU89" s="334">
        <f t="shared" si="214"/>
        <v>104.75</v>
      </c>
      <c r="AX89" s="335">
        <v>112</v>
      </c>
      <c r="AY89" s="333">
        <v>108</v>
      </c>
      <c r="AZ89" s="333">
        <v>104</v>
      </c>
      <c r="BA89" s="333">
        <v>102</v>
      </c>
      <c r="BB89" s="333">
        <v>102</v>
      </c>
      <c r="BC89" s="333">
        <v>98</v>
      </c>
      <c r="BD89" s="333">
        <v>98</v>
      </c>
      <c r="BE89" s="333">
        <v>98</v>
      </c>
      <c r="BF89" s="333">
        <v>100</v>
      </c>
      <c r="BG89" s="333">
        <v>100</v>
      </c>
      <c r="BH89" s="333">
        <v>100</v>
      </c>
      <c r="BI89" s="333">
        <v>96</v>
      </c>
      <c r="BJ89" s="333">
        <f t="shared" si="208"/>
        <v>1218</v>
      </c>
      <c r="BK89" s="334">
        <f t="shared" si="209"/>
        <v>101.49154237146905</v>
      </c>
      <c r="BN89" s="1522"/>
      <c r="BO89" s="1522"/>
      <c r="BP89" s="1522"/>
      <c r="BQ89" s="322">
        <f t="shared" si="139"/>
        <v>-4</v>
      </c>
      <c r="BR89">
        <f t="shared" si="140"/>
        <v>100</v>
      </c>
      <c r="BS89">
        <f t="shared" si="141"/>
        <v>96</v>
      </c>
    </row>
    <row r="90" spans="1:71" x14ac:dyDescent="0.55000000000000004">
      <c r="A90" s="7222"/>
      <c r="B90" s="245"/>
      <c r="C90" s="177" t="s">
        <v>228</v>
      </c>
      <c r="D90" s="301">
        <v>0</v>
      </c>
      <c r="E90" s="301">
        <v>0</v>
      </c>
      <c r="F90" s="301">
        <v>0</v>
      </c>
      <c r="G90" s="301">
        <v>0</v>
      </c>
      <c r="H90" s="301">
        <v>0</v>
      </c>
      <c r="I90" s="301">
        <v>0</v>
      </c>
      <c r="J90" s="301">
        <v>0</v>
      </c>
      <c r="K90" s="301">
        <v>0</v>
      </c>
      <c r="L90" s="301">
        <v>0</v>
      </c>
      <c r="M90" s="301">
        <v>0</v>
      </c>
      <c r="N90" s="301">
        <v>0</v>
      </c>
      <c r="O90" s="301">
        <v>0</v>
      </c>
      <c r="P90" s="301">
        <f t="shared" si="210"/>
        <v>0</v>
      </c>
      <c r="Q90" s="302">
        <f t="shared" si="211"/>
        <v>0</v>
      </c>
      <c r="R90" s="370">
        <v>0</v>
      </c>
      <c r="S90" s="336">
        <v>0</v>
      </c>
      <c r="T90" s="301">
        <v>0</v>
      </c>
      <c r="U90" s="301">
        <v>0</v>
      </c>
      <c r="V90" s="301">
        <v>0</v>
      </c>
      <c r="W90" s="301">
        <v>0</v>
      </c>
      <c r="X90" s="301">
        <v>0</v>
      </c>
      <c r="Y90" s="301">
        <v>0</v>
      </c>
      <c r="Z90" s="301">
        <v>0</v>
      </c>
      <c r="AA90" s="301">
        <v>0</v>
      </c>
      <c r="AB90" s="301">
        <v>0</v>
      </c>
      <c r="AC90" s="301">
        <v>0</v>
      </c>
      <c r="AD90" s="301">
        <v>0</v>
      </c>
      <c r="AE90" s="301">
        <f t="shared" si="212"/>
        <v>0</v>
      </c>
      <c r="AF90" s="302">
        <f t="shared" si="213"/>
        <v>0</v>
      </c>
      <c r="AG90" s="370"/>
      <c r="AH90" s="336">
        <v>95</v>
      </c>
      <c r="AI90" s="301">
        <v>95</v>
      </c>
      <c r="AJ90" s="301">
        <v>98</v>
      </c>
      <c r="AK90" s="301">
        <v>98</v>
      </c>
      <c r="AL90" s="301">
        <v>103</v>
      </c>
      <c r="AM90" s="301">
        <v>103</v>
      </c>
      <c r="AN90" s="301">
        <v>103</v>
      </c>
      <c r="AO90" s="301">
        <v>103</v>
      </c>
      <c r="AP90" s="301">
        <v>103</v>
      </c>
      <c r="AQ90" s="301">
        <v>103</v>
      </c>
      <c r="AR90" s="301">
        <v>103</v>
      </c>
      <c r="AS90" s="301">
        <v>106</v>
      </c>
      <c r="AT90" s="301">
        <f t="shared" si="207"/>
        <v>1213</v>
      </c>
      <c r="AU90" s="302">
        <f t="shared" si="214"/>
        <v>101.08333333333333</v>
      </c>
      <c r="AX90" s="336">
        <v>103</v>
      </c>
      <c r="AY90" s="301">
        <v>103</v>
      </c>
      <c r="AZ90" s="301">
        <v>100</v>
      </c>
      <c r="BA90" s="301">
        <v>104</v>
      </c>
      <c r="BB90" s="301">
        <v>104</v>
      </c>
      <c r="BC90" s="301">
        <v>104</v>
      </c>
      <c r="BD90" s="301">
        <v>104</v>
      </c>
      <c r="BE90" s="301">
        <v>104</v>
      </c>
      <c r="BF90" s="301">
        <v>104</v>
      </c>
      <c r="BG90" s="301">
        <v>104</v>
      </c>
      <c r="BH90" s="301">
        <v>104</v>
      </c>
      <c r="BI90" s="301">
        <v>104</v>
      </c>
      <c r="BJ90" s="301">
        <f t="shared" si="208"/>
        <v>1242</v>
      </c>
      <c r="BK90" s="302">
        <f t="shared" si="209"/>
        <v>103.49137571869011</v>
      </c>
      <c r="BN90" s="1522"/>
      <c r="BO90" s="1522"/>
      <c r="BP90" s="1522"/>
      <c r="BQ90" s="322">
        <f t="shared" si="139"/>
        <v>0</v>
      </c>
      <c r="BR90">
        <f t="shared" si="140"/>
        <v>104</v>
      </c>
      <c r="BS90">
        <f t="shared" si="141"/>
        <v>104</v>
      </c>
    </row>
    <row r="91" spans="1:71" x14ac:dyDescent="0.55000000000000004">
      <c r="A91" s="7222"/>
      <c r="B91" s="245"/>
      <c r="C91" s="178" t="s">
        <v>229</v>
      </c>
      <c r="D91" s="304">
        <v>0</v>
      </c>
      <c r="E91" s="304">
        <v>0</v>
      </c>
      <c r="F91" s="304">
        <v>0</v>
      </c>
      <c r="G91" s="304">
        <v>0</v>
      </c>
      <c r="H91" s="304">
        <v>0</v>
      </c>
      <c r="I91" s="304">
        <v>0</v>
      </c>
      <c r="J91" s="304">
        <v>0</v>
      </c>
      <c r="K91" s="304">
        <v>0</v>
      </c>
      <c r="L91" s="304">
        <v>0</v>
      </c>
      <c r="M91" s="304">
        <v>0</v>
      </c>
      <c r="N91" s="304">
        <v>0</v>
      </c>
      <c r="O91" s="304">
        <v>0</v>
      </c>
      <c r="P91" s="304">
        <f t="shared" si="210"/>
        <v>0</v>
      </c>
      <c r="Q91" s="305">
        <f t="shared" si="211"/>
        <v>0</v>
      </c>
      <c r="R91" s="370">
        <v>0</v>
      </c>
      <c r="S91" s="337">
        <v>0</v>
      </c>
      <c r="T91" s="304">
        <v>0</v>
      </c>
      <c r="U91" s="304">
        <v>0</v>
      </c>
      <c r="V91" s="304">
        <v>0</v>
      </c>
      <c r="W91" s="304">
        <v>0</v>
      </c>
      <c r="X91" s="304">
        <v>0</v>
      </c>
      <c r="Y91" s="304">
        <v>0</v>
      </c>
      <c r="Z91" s="304">
        <v>0</v>
      </c>
      <c r="AA91" s="304">
        <v>0</v>
      </c>
      <c r="AB91" s="304">
        <v>0</v>
      </c>
      <c r="AC91" s="304">
        <v>0</v>
      </c>
      <c r="AD91" s="304">
        <v>0</v>
      </c>
      <c r="AE91" s="304">
        <f t="shared" si="212"/>
        <v>0</v>
      </c>
      <c r="AF91" s="305">
        <f t="shared" si="213"/>
        <v>0</v>
      </c>
      <c r="AG91" s="370"/>
      <c r="AH91" s="337">
        <v>74</v>
      </c>
      <c r="AI91" s="304">
        <v>74</v>
      </c>
      <c r="AJ91" s="304">
        <v>74</v>
      </c>
      <c r="AK91" s="304">
        <v>75</v>
      </c>
      <c r="AL91" s="304">
        <v>75</v>
      </c>
      <c r="AM91" s="304">
        <v>82</v>
      </c>
      <c r="AN91" s="304">
        <v>82</v>
      </c>
      <c r="AO91" s="304">
        <v>78</v>
      </c>
      <c r="AP91" s="304">
        <v>82</v>
      </c>
      <c r="AQ91" s="304">
        <v>82</v>
      </c>
      <c r="AR91" s="304">
        <v>82</v>
      </c>
      <c r="AS91" s="304">
        <v>82</v>
      </c>
      <c r="AT91" s="304">
        <f t="shared" si="207"/>
        <v>942</v>
      </c>
      <c r="AU91" s="305">
        <f t="shared" si="214"/>
        <v>78.5</v>
      </c>
      <c r="AX91" s="337">
        <v>82</v>
      </c>
      <c r="AY91" s="304">
        <v>82</v>
      </c>
      <c r="AZ91" s="304">
        <v>82</v>
      </c>
      <c r="BA91" s="304">
        <v>74</v>
      </c>
      <c r="BB91" s="304">
        <v>74</v>
      </c>
      <c r="BC91" s="304">
        <v>74</v>
      </c>
      <c r="BD91" s="304">
        <v>74</v>
      </c>
      <c r="BE91" s="304">
        <v>71</v>
      </c>
      <c r="BF91" s="304">
        <v>71</v>
      </c>
      <c r="BG91" s="304">
        <v>71</v>
      </c>
      <c r="BH91" s="304">
        <v>71</v>
      </c>
      <c r="BI91" s="304">
        <v>71</v>
      </c>
      <c r="BJ91" s="304">
        <f t="shared" si="208"/>
        <v>897</v>
      </c>
      <c r="BK91" s="305">
        <f t="shared" si="209"/>
        <v>74.743771352387299</v>
      </c>
      <c r="BN91" s="1522"/>
      <c r="BO91" s="1522"/>
      <c r="BP91" s="1522"/>
      <c r="BQ91" s="322">
        <f t="shared" si="139"/>
        <v>0</v>
      </c>
      <c r="BR91">
        <f t="shared" si="140"/>
        <v>71</v>
      </c>
      <c r="BS91">
        <f t="shared" si="141"/>
        <v>71</v>
      </c>
    </row>
    <row r="92" spans="1:71" x14ac:dyDescent="0.55000000000000004">
      <c r="A92" s="7222"/>
      <c r="B92" s="245"/>
      <c r="C92" s="178" t="s">
        <v>230</v>
      </c>
      <c r="D92" s="304">
        <v>0</v>
      </c>
      <c r="E92" s="304">
        <v>0</v>
      </c>
      <c r="F92" s="304">
        <v>0</v>
      </c>
      <c r="G92" s="304">
        <v>0</v>
      </c>
      <c r="H92" s="304">
        <v>0</v>
      </c>
      <c r="I92" s="304">
        <v>0</v>
      </c>
      <c r="J92" s="304">
        <v>0</v>
      </c>
      <c r="K92" s="304">
        <v>0</v>
      </c>
      <c r="L92" s="304">
        <v>0</v>
      </c>
      <c r="M92" s="304">
        <v>0</v>
      </c>
      <c r="N92" s="304">
        <v>0</v>
      </c>
      <c r="O92" s="304">
        <v>0</v>
      </c>
      <c r="P92" s="304">
        <f t="shared" si="210"/>
        <v>0</v>
      </c>
      <c r="Q92" s="305">
        <f t="shared" si="211"/>
        <v>0</v>
      </c>
      <c r="R92" s="370">
        <v>0</v>
      </c>
      <c r="S92" s="337">
        <v>0</v>
      </c>
      <c r="T92" s="304">
        <v>0</v>
      </c>
      <c r="U92" s="304">
        <v>0</v>
      </c>
      <c r="V92" s="304">
        <v>0</v>
      </c>
      <c r="W92" s="304">
        <v>0</v>
      </c>
      <c r="X92" s="304">
        <v>0</v>
      </c>
      <c r="Y92" s="304">
        <v>0</v>
      </c>
      <c r="Z92" s="304">
        <v>0</v>
      </c>
      <c r="AA92" s="304">
        <v>0</v>
      </c>
      <c r="AB92" s="304">
        <v>0</v>
      </c>
      <c r="AC92" s="304">
        <v>0</v>
      </c>
      <c r="AD92" s="304">
        <v>0</v>
      </c>
      <c r="AE92" s="304">
        <f t="shared" si="212"/>
        <v>0</v>
      </c>
      <c r="AF92" s="305">
        <f t="shared" si="213"/>
        <v>0</v>
      </c>
      <c r="AG92" s="370"/>
      <c r="AH92" s="337">
        <v>100</v>
      </c>
      <c r="AI92" s="304">
        <v>100</v>
      </c>
      <c r="AJ92" s="304">
        <v>104</v>
      </c>
      <c r="AK92" s="304">
        <v>104</v>
      </c>
      <c r="AL92" s="304">
        <v>104</v>
      </c>
      <c r="AM92" s="304">
        <v>104</v>
      </c>
      <c r="AN92" s="304">
        <v>104</v>
      </c>
      <c r="AO92" s="304">
        <v>104</v>
      </c>
      <c r="AP92" s="304">
        <v>104</v>
      </c>
      <c r="AQ92" s="304">
        <v>104</v>
      </c>
      <c r="AR92" s="304">
        <v>104</v>
      </c>
      <c r="AS92" s="304">
        <v>104</v>
      </c>
      <c r="AT92" s="304">
        <f t="shared" si="207"/>
        <v>1240</v>
      </c>
      <c r="AU92" s="305">
        <f t="shared" si="214"/>
        <v>103.33333333333333</v>
      </c>
      <c r="AX92" s="337">
        <v>104</v>
      </c>
      <c r="AY92" s="304">
        <v>104</v>
      </c>
      <c r="AZ92" s="304">
        <v>104</v>
      </c>
      <c r="BA92" s="304">
        <v>104</v>
      </c>
      <c r="BB92" s="304">
        <v>100</v>
      </c>
      <c r="BC92" s="304">
        <v>100</v>
      </c>
      <c r="BD92" s="304">
        <v>100</v>
      </c>
      <c r="BE92" s="304">
        <v>102</v>
      </c>
      <c r="BF92" s="304">
        <v>102</v>
      </c>
      <c r="BG92" s="304">
        <v>102</v>
      </c>
      <c r="BH92" s="304">
        <v>102</v>
      </c>
      <c r="BI92" s="304">
        <v>102</v>
      </c>
      <c r="BJ92" s="304">
        <f t="shared" si="208"/>
        <v>1226</v>
      </c>
      <c r="BK92" s="305">
        <f t="shared" si="209"/>
        <v>102.1581534872094</v>
      </c>
      <c r="BN92" s="1522"/>
      <c r="BO92" s="1522"/>
      <c r="BP92" s="1522"/>
      <c r="BQ92" s="322">
        <f t="shared" si="139"/>
        <v>0</v>
      </c>
      <c r="BR92">
        <f t="shared" si="140"/>
        <v>102</v>
      </c>
      <c r="BS92">
        <f t="shared" si="141"/>
        <v>102</v>
      </c>
    </row>
    <row r="93" spans="1:71" x14ac:dyDescent="0.55000000000000004">
      <c r="A93" s="7222"/>
      <c r="B93" s="245"/>
      <c r="C93" s="177" t="s">
        <v>231</v>
      </c>
      <c r="D93" s="301">
        <v>0</v>
      </c>
      <c r="E93" s="301">
        <v>0</v>
      </c>
      <c r="F93" s="301">
        <v>0</v>
      </c>
      <c r="G93" s="301">
        <v>0</v>
      </c>
      <c r="H93" s="301">
        <v>0</v>
      </c>
      <c r="I93" s="301">
        <v>0</v>
      </c>
      <c r="J93" s="301">
        <v>0</v>
      </c>
      <c r="K93" s="301">
        <v>0</v>
      </c>
      <c r="L93" s="301">
        <v>0</v>
      </c>
      <c r="M93" s="301">
        <v>0</v>
      </c>
      <c r="N93" s="301">
        <v>0</v>
      </c>
      <c r="O93" s="301">
        <v>0</v>
      </c>
      <c r="P93" s="301">
        <f t="shared" si="210"/>
        <v>0</v>
      </c>
      <c r="Q93" s="302">
        <f t="shared" si="211"/>
        <v>0</v>
      </c>
      <c r="R93" s="370">
        <v>0</v>
      </c>
      <c r="S93" s="336">
        <v>0</v>
      </c>
      <c r="T93" s="301">
        <v>0</v>
      </c>
      <c r="U93" s="301">
        <v>0</v>
      </c>
      <c r="V93" s="301">
        <v>0</v>
      </c>
      <c r="W93" s="301">
        <v>0</v>
      </c>
      <c r="X93" s="301">
        <v>0</v>
      </c>
      <c r="Y93" s="301">
        <v>0</v>
      </c>
      <c r="Z93" s="301">
        <v>0</v>
      </c>
      <c r="AA93" s="301">
        <v>0</v>
      </c>
      <c r="AB93" s="301">
        <v>0</v>
      </c>
      <c r="AC93" s="301">
        <v>0</v>
      </c>
      <c r="AD93" s="301">
        <v>0</v>
      </c>
      <c r="AE93" s="301">
        <f t="shared" si="212"/>
        <v>0</v>
      </c>
      <c r="AF93" s="302">
        <f t="shared" si="213"/>
        <v>0</v>
      </c>
      <c r="AG93" s="370"/>
      <c r="AH93" s="336">
        <v>131</v>
      </c>
      <c r="AI93" s="301">
        <v>131</v>
      </c>
      <c r="AJ93" s="301">
        <v>131</v>
      </c>
      <c r="AK93" s="301">
        <v>131</v>
      </c>
      <c r="AL93" s="301">
        <v>139</v>
      </c>
      <c r="AM93" s="301">
        <v>139</v>
      </c>
      <c r="AN93" s="301">
        <v>143</v>
      </c>
      <c r="AO93" s="301">
        <v>150</v>
      </c>
      <c r="AP93" s="301">
        <v>143</v>
      </c>
      <c r="AQ93" s="301">
        <v>143</v>
      </c>
      <c r="AR93" s="301">
        <v>143</v>
      </c>
      <c r="AS93" s="301">
        <v>146</v>
      </c>
      <c r="AT93" s="301">
        <f t="shared" si="207"/>
        <v>1670</v>
      </c>
      <c r="AU93" s="302">
        <f t="shared" si="214"/>
        <v>139.16666666666666</v>
      </c>
      <c r="AX93" s="336">
        <v>143</v>
      </c>
      <c r="AY93" s="301">
        <v>139</v>
      </c>
      <c r="AZ93" s="301">
        <v>135</v>
      </c>
      <c r="BA93" s="301">
        <v>139</v>
      </c>
      <c r="BB93" s="301">
        <v>139</v>
      </c>
      <c r="BC93" s="301">
        <v>132</v>
      </c>
      <c r="BD93" s="301">
        <v>139</v>
      </c>
      <c r="BE93" s="301">
        <v>139</v>
      </c>
      <c r="BF93" s="301">
        <v>139</v>
      </c>
      <c r="BG93" s="301">
        <v>139</v>
      </c>
      <c r="BH93" s="301">
        <v>135</v>
      </c>
      <c r="BI93" s="301">
        <v>135</v>
      </c>
      <c r="BJ93" s="301">
        <f t="shared" si="208"/>
        <v>1653</v>
      </c>
      <c r="BK93" s="302">
        <f t="shared" si="209"/>
        <v>137.73852178985086</v>
      </c>
      <c r="BN93" s="1522"/>
      <c r="BO93" s="1522"/>
      <c r="BP93" s="1522"/>
      <c r="BQ93" s="322">
        <f t="shared" si="139"/>
        <v>0</v>
      </c>
      <c r="BR93">
        <f t="shared" si="140"/>
        <v>135</v>
      </c>
      <c r="BS93">
        <f t="shared" si="141"/>
        <v>135</v>
      </c>
    </row>
    <row r="94" spans="1:71" x14ac:dyDescent="0.55000000000000004">
      <c r="A94" s="7222"/>
      <c r="B94" s="245"/>
      <c r="C94" s="177" t="s">
        <v>232</v>
      </c>
      <c r="D94" s="301">
        <v>0</v>
      </c>
      <c r="E94" s="301">
        <v>0</v>
      </c>
      <c r="F94" s="301">
        <v>0</v>
      </c>
      <c r="G94" s="301">
        <v>0</v>
      </c>
      <c r="H94" s="301">
        <v>0</v>
      </c>
      <c r="I94" s="301">
        <v>0</v>
      </c>
      <c r="J94" s="301">
        <v>0</v>
      </c>
      <c r="K94" s="301">
        <v>0</v>
      </c>
      <c r="L94" s="301">
        <v>0</v>
      </c>
      <c r="M94" s="301">
        <v>0</v>
      </c>
      <c r="N94" s="301">
        <v>0</v>
      </c>
      <c r="O94" s="301">
        <v>0</v>
      </c>
      <c r="P94" s="301">
        <f t="shared" si="210"/>
        <v>0</v>
      </c>
      <c r="Q94" s="302">
        <f t="shared" si="211"/>
        <v>0</v>
      </c>
      <c r="R94" s="370">
        <v>0</v>
      </c>
      <c r="S94" s="336">
        <v>0</v>
      </c>
      <c r="T94" s="301">
        <v>0</v>
      </c>
      <c r="U94" s="301">
        <v>0</v>
      </c>
      <c r="V94" s="301">
        <v>0</v>
      </c>
      <c r="W94" s="301">
        <v>0</v>
      </c>
      <c r="X94" s="301">
        <v>0</v>
      </c>
      <c r="Y94" s="301">
        <v>0</v>
      </c>
      <c r="Z94" s="301">
        <v>0</v>
      </c>
      <c r="AA94" s="301">
        <v>0</v>
      </c>
      <c r="AB94" s="301">
        <v>0</v>
      </c>
      <c r="AC94" s="301">
        <v>0</v>
      </c>
      <c r="AD94" s="301">
        <v>0</v>
      </c>
      <c r="AE94" s="301">
        <f t="shared" si="212"/>
        <v>0</v>
      </c>
      <c r="AF94" s="302">
        <f t="shared" si="213"/>
        <v>0</v>
      </c>
      <c r="AG94" s="370"/>
      <c r="AH94" s="336">
        <v>87</v>
      </c>
      <c r="AI94" s="301">
        <v>87</v>
      </c>
      <c r="AJ94" s="301">
        <v>91</v>
      </c>
      <c r="AK94" s="301">
        <v>91</v>
      </c>
      <c r="AL94" s="301">
        <v>91</v>
      </c>
      <c r="AM94" s="301">
        <v>91</v>
      </c>
      <c r="AN94" s="301">
        <v>92</v>
      </c>
      <c r="AO94" s="301">
        <v>90</v>
      </c>
      <c r="AP94" s="301">
        <v>92</v>
      </c>
      <c r="AQ94" s="301">
        <v>92</v>
      </c>
      <c r="AR94" s="301">
        <v>92</v>
      </c>
      <c r="AS94" s="301">
        <v>92</v>
      </c>
      <c r="AT94" s="301">
        <f t="shared" si="207"/>
        <v>1088</v>
      </c>
      <c r="AU94" s="302">
        <f t="shared" si="214"/>
        <v>90.666666666666671</v>
      </c>
      <c r="AX94" s="336">
        <v>92</v>
      </c>
      <c r="AY94" s="301">
        <v>92</v>
      </c>
      <c r="AZ94" s="301">
        <v>92</v>
      </c>
      <c r="BA94" s="301">
        <v>94</v>
      </c>
      <c r="BB94" s="301">
        <v>94</v>
      </c>
      <c r="BC94" s="301">
        <v>90</v>
      </c>
      <c r="BD94" s="301">
        <v>90</v>
      </c>
      <c r="BE94" s="301">
        <v>90</v>
      </c>
      <c r="BF94" s="301">
        <v>90</v>
      </c>
      <c r="BG94" s="301">
        <v>90</v>
      </c>
      <c r="BH94" s="301">
        <v>90</v>
      </c>
      <c r="BI94" s="301">
        <v>86</v>
      </c>
      <c r="BJ94" s="301">
        <f t="shared" si="208"/>
        <v>1090</v>
      </c>
      <c r="BK94" s="302">
        <f t="shared" si="209"/>
        <v>90.825764519623363</v>
      </c>
      <c r="BN94" s="1522"/>
      <c r="BO94" s="1522"/>
      <c r="BP94" s="1522"/>
      <c r="BQ94" s="322">
        <f t="shared" si="139"/>
        <v>-4</v>
      </c>
      <c r="BR94">
        <f t="shared" si="140"/>
        <v>90</v>
      </c>
      <c r="BS94">
        <f t="shared" si="141"/>
        <v>86</v>
      </c>
    </row>
    <row r="95" spans="1:71" x14ac:dyDescent="0.55000000000000004">
      <c r="A95" s="7222"/>
      <c r="B95" s="245"/>
      <c r="C95" s="178" t="s">
        <v>233</v>
      </c>
      <c r="D95" s="304">
        <v>0</v>
      </c>
      <c r="E95" s="304">
        <v>0</v>
      </c>
      <c r="F95" s="304">
        <v>0</v>
      </c>
      <c r="G95" s="304">
        <v>0</v>
      </c>
      <c r="H95" s="304">
        <v>0</v>
      </c>
      <c r="I95" s="304">
        <v>0</v>
      </c>
      <c r="J95" s="304">
        <v>0</v>
      </c>
      <c r="K95" s="304">
        <v>0</v>
      </c>
      <c r="L95" s="304">
        <v>0</v>
      </c>
      <c r="M95" s="304">
        <v>0</v>
      </c>
      <c r="N95" s="304">
        <v>0</v>
      </c>
      <c r="O95" s="304">
        <v>0</v>
      </c>
      <c r="P95" s="304">
        <f t="shared" si="210"/>
        <v>0</v>
      </c>
      <c r="Q95" s="305">
        <f t="shared" si="211"/>
        <v>0</v>
      </c>
      <c r="R95" s="370">
        <v>0</v>
      </c>
      <c r="S95" s="337">
        <v>0</v>
      </c>
      <c r="T95" s="304">
        <v>0</v>
      </c>
      <c r="U95" s="304">
        <v>0</v>
      </c>
      <c r="V95" s="304">
        <v>0</v>
      </c>
      <c r="W95" s="304">
        <v>0</v>
      </c>
      <c r="X95" s="304">
        <v>0</v>
      </c>
      <c r="Y95" s="304">
        <v>0</v>
      </c>
      <c r="Z95" s="304">
        <v>0</v>
      </c>
      <c r="AA95" s="304">
        <v>0</v>
      </c>
      <c r="AB95" s="304">
        <v>0</v>
      </c>
      <c r="AC95" s="304">
        <v>0</v>
      </c>
      <c r="AD95" s="304">
        <v>0</v>
      </c>
      <c r="AE95" s="304">
        <f t="shared" si="212"/>
        <v>0</v>
      </c>
      <c r="AF95" s="305">
        <f t="shared" si="213"/>
        <v>0</v>
      </c>
      <c r="AG95" s="370"/>
      <c r="AH95" s="337">
        <v>119</v>
      </c>
      <c r="AI95" s="304">
        <v>119</v>
      </c>
      <c r="AJ95" s="304">
        <v>123</v>
      </c>
      <c r="AK95" s="304">
        <v>123</v>
      </c>
      <c r="AL95" s="304">
        <v>127</v>
      </c>
      <c r="AM95" s="304">
        <v>127</v>
      </c>
      <c r="AN95" s="304">
        <v>123</v>
      </c>
      <c r="AO95" s="304">
        <v>118</v>
      </c>
      <c r="AP95" s="304">
        <v>127</v>
      </c>
      <c r="AQ95" s="304">
        <v>127</v>
      </c>
      <c r="AR95" s="304">
        <v>123</v>
      </c>
      <c r="AS95" s="304">
        <v>127</v>
      </c>
      <c r="AT95" s="304">
        <f t="shared" si="207"/>
        <v>1483</v>
      </c>
      <c r="AU95" s="305">
        <f t="shared" si="214"/>
        <v>123.58333333333333</v>
      </c>
      <c r="AX95" s="337">
        <v>127</v>
      </c>
      <c r="AY95" s="304">
        <v>123</v>
      </c>
      <c r="AZ95" s="304">
        <v>119</v>
      </c>
      <c r="BA95" s="304">
        <v>119</v>
      </c>
      <c r="BB95" s="304">
        <v>119</v>
      </c>
      <c r="BC95" s="304">
        <v>119</v>
      </c>
      <c r="BD95" s="304">
        <v>119</v>
      </c>
      <c r="BE95" s="304">
        <v>119</v>
      </c>
      <c r="BF95" s="304">
        <v>119</v>
      </c>
      <c r="BG95" s="304">
        <v>119</v>
      </c>
      <c r="BH95" s="304">
        <v>119</v>
      </c>
      <c r="BI95" s="304">
        <v>119</v>
      </c>
      <c r="BJ95" s="304">
        <f t="shared" si="208"/>
        <v>1440</v>
      </c>
      <c r="BK95" s="305">
        <f t="shared" si="209"/>
        <v>119.99000083326391</v>
      </c>
      <c r="BN95" s="1522"/>
      <c r="BO95" s="1522"/>
      <c r="BP95" s="1522"/>
      <c r="BQ95" s="322">
        <f t="shared" si="139"/>
        <v>0</v>
      </c>
      <c r="BR95">
        <f t="shared" si="140"/>
        <v>119</v>
      </c>
      <c r="BS95">
        <f t="shared" si="141"/>
        <v>119</v>
      </c>
    </row>
    <row r="96" spans="1:71" x14ac:dyDescent="0.55000000000000004">
      <c r="A96" s="7222"/>
      <c r="B96" s="245"/>
      <c r="C96" s="178" t="s">
        <v>234</v>
      </c>
      <c r="D96" s="304">
        <v>0</v>
      </c>
      <c r="E96" s="304">
        <v>0</v>
      </c>
      <c r="F96" s="304">
        <v>0</v>
      </c>
      <c r="G96" s="304">
        <v>0</v>
      </c>
      <c r="H96" s="304">
        <v>0</v>
      </c>
      <c r="I96" s="304">
        <v>0</v>
      </c>
      <c r="J96" s="304">
        <v>0</v>
      </c>
      <c r="K96" s="304">
        <v>0</v>
      </c>
      <c r="L96" s="304">
        <v>0</v>
      </c>
      <c r="M96" s="304">
        <v>0</v>
      </c>
      <c r="N96" s="304">
        <v>0</v>
      </c>
      <c r="O96" s="304">
        <v>0</v>
      </c>
      <c r="P96" s="304">
        <f t="shared" si="210"/>
        <v>0</v>
      </c>
      <c r="Q96" s="305">
        <f t="shared" si="211"/>
        <v>0</v>
      </c>
      <c r="R96" s="370">
        <v>0</v>
      </c>
      <c r="S96" s="337">
        <v>0</v>
      </c>
      <c r="T96" s="304">
        <v>0</v>
      </c>
      <c r="U96" s="304">
        <v>0</v>
      </c>
      <c r="V96" s="304">
        <v>0</v>
      </c>
      <c r="W96" s="304">
        <v>0</v>
      </c>
      <c r="X96" s="304">
        <v>0</v>
      </c>
      <c r="Y96" s="304">
        <v>0</v>
      </c>
      <c r="Z96" s="304">
        <v>0</v>
      </c>
      <c r="AA96" s="304">
        <v>0</v>
      </c>
      <c r="AB96" s="304">
        <v>0</v>
      </c>
      <c r="AC96" s="304">
        <v>0</v>
      </c>
      <c r="AD96" s="304">
        <v>0</v>
      </c>
      <c r="AE96" s="304">
        <f t="shared" si="212"/>
        <v>0</v>
      </c>
      <c r="AF96" s="305">
        <f t="shared" si="213"/>
        <v>0</v>
      </c>
      <c r="AG96" s="370"/>
      <c r="AH96" s="337">
        <v>131</v>
      </c>
      <c r="AI96" s="304">
        <v>131</v>
      </c>
      <c r="AJ96" s="304">
        <v>131</v>
      </c>
      <c r="AK96" s="304">
        <v>131</v>
      </c>
      <c r="AL96" s="304">
        <v>127</v>
      </c>
      <c r="AM96" s="304">
        <v>127</v>
      </c>
      <c r="AN96" s="304">
        <v>127</v>
      </c>
      <c r="AO96" s="304">
        <v>117</v>
      </c>
      <c r="AP96" s="304">
        <v>124</v>
      </c>
      <c r="AQ96" s="304">
        <v>124</v>
      </c>
      <c r="AR96" s="304">
        <v>127</v>
      </c>
      <c r="AS96" s="304">
        <v>124</v>
      </c>
      <c r="AT96" s="304">
        <f t="shared" si="207"/>
        <v>1521</v>
      </c>
      <c r="AU96" s="305">
        <f t="shared" si="214"/>
        <v>126.75</v>
      </c>
      <c r="AX96" s="337">
        <v>120</v>
      </c>
      <c r="AY96" s="304">
        <v>120</v>
      </c>
      <c r="AZ96" s="304">
        <v>120</v>
      </c>
      <c r="BA96" s="304">
        <v>120</v>
      </c>
      <c r="BB96" s="304">
        <v>120</v>
      </c>
      <c r="BC96" s="304">
        <v>120</v>
      </c>
      <c r="BD96" s="304">
        <v>120</v>
      </c>
      <c r="BE96" s="304">
        <v>120</v>
      </c>
      <c r="BF96" s="304">
        <v>120</v>
      </c>
      <c r="BG96" s="304">
        <v>120</v>
      </c>
      <c r="BH96" s="304">
        <v>120</v>
      </c>
      <c r="BI96" s="304">
        <v>120</v>
      </c>
      <c r="BJ96" s="304">
        <f t="shared" si="208"/>
        <v>1440</v>
      </c>
      <c r="BK96" s="305">
        <f t="shared" si="209"/>
        <v>119.99000083326391</v>
      </c>
      <c r="BN96" s="1522"/>
      <c r="BO96" s="1522"/>
      <c r="BP96" s="1522"/>
      <c r="BQ96" s="322">
        <f t="shared" si="139"/>
        <v>0</v>
      </c>
      <c r="BR96">
        <f t="shared" si="140"/>
        <v>120</v>
      </c>
      <c r="BS96">
        <f t="shared" si="141"/>
        <v>120</v>
      </c>
    </row>
    <row r="97" spans="1:71" x14ac:dyDescent="0.55000000000000004">
      <c r="A97" s="7222"/>
      <c r="B97" s="245"/>
      <c r="C97" s="177" t="s">
        <v>235</v>
      </c>
      <c r="D97" s="301">
        <v>0</v>
      </c>
      <c r="E97" s="301">
        <v>0</v>
      </c>
      <c r="F97" s="301">
        <v>0</v>
      </c>
      <c r="G97" s="301">
        <v>0</v>
      </c>
      <c r="H97" s="301">
        <v>0</v>
      </c>
      <c r="I97" s="301">
        <v>0</v>
      </c>
      <c r="J97" s="301">
        <v>0</v>
      </c>
      <c r="K97" s="301">
        <v>0</v>
      </c>
      <c r="L97" s="301">
        <v>0</v>
      </c>
      <c r="M97" s="301">
        <v>0</v>
      </c>
      <c r="N97" s="301">
        <v>0</v>
      </c>
      <c r="O97" s="301">
        <v>0</v>
      </c>
      <c r="P97" s="301">
        <f t="shared" si="210"/>
        <v>0</v>
      </c>
      <c r="Q97" s="302">
        <f t="shared" si="211"/>
        <v>0</v>
      </c>
      <c r="R97" s="370">
        <v>0</v>
      </c>
      <c r="S97" s="336">
        <v>0</v>
      </c>
      <c r="T97" s="301">
        <v>0</v>
      </c>
      <c r="U97" s="301">
        <v>0</v>
      </c>
      <c r="V97" s="301">
        <v>0</v>
      </c>
      <c r="W97" s="301">
        <v>0</v>
      </c>
      <c r="X97" s="301">
        <v>0</v>
      </c>
      <c r="Y97" s="301">
        <v>0</v>
      </c>
      <c r="Z97" s="301">
        <v>0</v>
      </c>
      <c r="AA97" s="301">
        <v>0</v>
      </c>
      <c r="AB97" s="301">
        <v>0</v>
      </c>
      <c r="AC97" s="301">
        <v>0</v>
      </c>
      <c r="AD97" s="301">
        <v>0</v>
      </c>
      <c r="AE97" s="301">
        <f t="shared" si="212"/>
        <v>0</v>
      </c>
      <c r="AF97" s="302">
        <f t="shared" si="213"/>
        <v>0</v>
      </c>
      <c r="AG97" s="370"/>
      <c r="AH97" s="336">
        <v>110</v>
      </c>
      <c r="AI97" s="301">
        <v>110</v>
      </c>
      <c r="AJ97" s="301">
        <v>110</v>
      </c>
      <c r="AK97" s="301">
        <v>113</v>
      </c>
      <c r="AL97" s="301">
        <v>109</v>
      </c>
      <c r="AM97" s="301">
        <v>109</v>
      </c>
      <c r="AN97" s="301">
        <v>109</v>
      </c>
      <c r="AO97" s="301">
        <v>103</v>
      </c>
      <c r="AP97" s="301">
        <v>113</v>
      </c>
      <c r="AQ97" s="301">
        <v>113</v>
      </c>
      <c r="AR97" s="301">
        <v>109</v>
      </c>
      <c r="AS97" s="301">
        <v>117</v>
      </c>
      <c r="AT97" s="301">
        <f t="shared" si="207"/>
        <v>1325</v>
      </c>
      <c r="AU97" s="302">
        <f t="shared" si="214"/>
        <v>110.41666666666667</v>
      </c>
      <c r="AX97" s="336">
        <v>114</v>
      </c>
      <c r="AY97" s="301">
        <v>114</v>
      </c>
      <c r="AZ97" s="301">
        <v>111</v>
      </c>
      <c r="BA97" s="301">
        <v>111</v>
      </c>
      <c r="BB97" s="301">
        <v>111</v>
      </c>
      <c r="BC97" s="301">
        <v>108</v>
      </c>
      <c r="BD97" s="301">
        <v>108</v>
      </c>
      <c r="BE97" s="301">
        <v>108</v>
      </c>
      <c r="BF97" s="301">
        <v>108</v>
      </c>
      <c r="BG97" s="301">
        <v>108</v>
      </c>
      <c r="BH97" s="301">
        <v>108</v>
      </c>
      <c r="BI97" s="301">
        <v>108</v>
      </c>
      <c r="BJ97" s="301">
        <f t="shared" si="208"/>
        <v>1317</v>
      </c>
      <c r="BK97" s="302">
        <f t="shared" si="209"/>
        <v>109.74085492875594</v>
      </c>
      <c r="BN97" s="1522"/>
      <c r="BO97" s="1522"/>
      <c r="BP97" s="1522"/>
      <c r="BQ97" s="322">
        <f t="shared" si="139"/>
        <v>0</v>
      </c>
      <c r="BR97">
        <f t="shared" si="140"/>
        <v>108</v>
      </c>
      <c r="BS97">
        <f t="shared" si="141"/>
        <v>108</v>
      </c>
    </row>
    <row r="98" spans="1:71" ht="18" thickBot="1" x14ac:dyDescent="0.6">
      <c r="A98" s="7223"/>
      <c r="B98" s="246"/>
      <c r="C98" s="179" t="s">
        <v>236</v>
      </c>
      <c r="D98" s="307">
        <v>0</v>
      </c>
      <c r="E98" s="307">
        <v>0</v>
      </c>
      <c r="F98" s="307">
        <v>0</v>
      </c>
      <c r="G98" s="307">
        <v>0</v>
      </c>
      <c r="H98" s="307">
        <v>0</v>
      </c>
      <c r="I98" s="307">
        <v>0</v>
      </c>
      <c r="J98" s="307">
        <v>0</v>
      </c>
      <c r="K98" s="307">
        <v>0</v>
      </c>
      <c r="L98" s="307">
        <v>0</v>
      </c>
      <c r="M98" s="307">
        <v>0</v>
      </c>
      <c r="N98" s="307">
        <v>0</v>
      </c>
      <c r="O98" s="307">
        <v>0</v>
      </c>
      <c r="P98" s="307">
        <f t="shared" si="210"/>
        <v>0</v>
      </c>
      <c r="Q98" s="308">
        <f t="shared" si="211"/>
        <v>0</v>
      </c>
      <c r="R98" s="370">
        <v>0</v>
      </c>
      <c r="S98" s="338">
        <v>0</v>
      </c>
      <c r="T98" s="307">
        <v>0</v>
      </c>
      <c r="U98" s="307">
        <v>0</v>
      </c>
      <c r="V98" s="307">
        <v>0</v>
      </c>
      <c r="W98" s="307">
        <v>0</v>
      </c>
      <c r="X98" s="307">
        <v>0</v>
      </c>
      <c r="Y98" s="307">
        <v>0</v>
      </c>
      <c r="Z98" s="307">
        <v>0</v>
      </c>
      <c r="AA98" s="307">
        <v>0</v>
      </c>
      <c r="AB98" s="307">
        <v>0</v>
      </c>
      <c r="AC98" s="307">
        <v>0</v>
      </c>
      <c r="AD98" s="307">
        <v>0</v>
      </c>
      <c r="AE98" s="307">
        <f t="shared" si="212"/>
        <v>0</v>
      </c>
      <c r="AF98" s="308">
        <f t="shared" si="213"/>
        <v>0</v>
      </c>
      <c r="AG98" s="370"/>
      <c r="AH98" s="338">
        <v>110</v>
      </c>
      <c r="AI98" s="307">
        <v>110</v>
      </c>
      <c r="AJ98" s="307">
        <v>110</v>
      </c>
      <c r="AK98" s="307">
        <v>113</v>
      </c>
      <c r="AL98" s="307">
        <v>113</v>
      </c>
      <c r="AM98" s="307">
        <v>116</v>
      </c>
      <c r="AN98" s="1144">
        <v>116</v>
      </c>
      <c r="AO98" s="1144">
        <v>116</v>
      </c>
      <c r="AP98" s="1144">
        <v>116</v>
      </c>
      <c r="AQ98" s="307">
        <v>116</v>
      </c>
      <c r="AR98" s="1144">
        <v>116</v>
      </c>
      <c r="AS98" s="1144">
        <v>113</v>
      </c>
      <c r="AT98" s="307">
        <f t="shared" si="207"/>
        <v>1365</v>
      </c>
      <c r="AU98" s="308">
        <f t="shared" si="214"/>
        <v>113.75</v>
      </c>
      <c r="AX98" s="338">
        <v>113</v>
      </c>
      <c r="AY98" s="307">
        <v>113</v>
      </c>
      <c r="AZ98" s="307">
        <v>113</v>
      </c>
      <c r="BA98" s="307">
        <v>107</v>
      </c>
      <c r="BB98" s="307">
        <v>107</v>
      </c>
      <c r="BC98" s="307">
        <v>107</v>
      </c>
      <c r="BD98" s="1144">
        <v>107</v>
      </c>
      <c r="BE98" s="1144">
        <v>107</v>
      </c>
      <c r="BF98" s="1144">
        <v>107</v>
      </c>
      <c r="BG98" s="307">
        <v>104</v>
      </c>
      <c r="BH98" s="1144">
        <v>108</v>
      </c>
      <c r="BI98" s="1144">
        <v>108</v>
      </c>
      <c r="BJ98" s="307">
        <f t="shared" si="208"/>
        <v>1301</v>
      </c>
      <c r="BK98" s="308">
        <f t="shared" si="209"/>
        <v>108.40763269727523</v>
      </c>
      <c r="BN98" s="1522"/>
      <c r="BO98" s="1522"/>
      <c r="BP98" s="1522"/>
      <c r="BQ98" s="322">
        <f t="shared" si="139"/>
        <v>0</v>
      </c>
      <c r="BR98">
        <f t="shared" si="140"/>
        <v>108</v>
      </c>
      <c r="BS98">
        <f t="shared" si="141"/>
        <v>108</v>
      </c>
    </row>
    <row r="99" spans="1:71" x14ac:dyDescent="0.55000000000000004">
      <c r="A99" s="7221" t="s">
        <v>401</v>
      </c>
      <c r="B99" s="41" t="s">
        <v>259</v>
      </c>
      <c r="C99" s="16"/>
      <c r="D99" s="270">
        <f t="shared" ref="D99:O99" si="230">SUM(D100:D102)</f>
        <v>0</v>
      </c>
      <c r="E99" s="271">
        <f t="shared" si="230"/>
        <v>0</v>
      </c>
      <c r="F99" s="271">
        <f t="shared" si="230"/>
        <v>0</v>
      </c>
      <c r="G99" s="271">
        <f t="shared" si="230"/>
        <v>0</v>
      </c>
      <c r="H99" s="271">
        <f t="shared" si="230"/>
        <v>0</v>
      </c>
      <c r="I99" s="271">
        <f t="shared" si="230"/>
        <v>0</v>
      </c>
      <c r="J99" s="271">
        <f t="shared" si="230"/>
        <v>0</v>
      </c>
      <c r="K99" s="271">
        <f t="shared" si="230"/>
        <v>0</v>
      </c>
      <c r="L99" s="271">
        <f t="shared" si="230"/>
        <v>0</v>
      </c>
      <c r="M99" s="271">
        <f t="shared" si="230"/>
        <v>0</v>
      </c>
      <c r="N99" s="271">
        <f t="shared" si="230"/>
        <v>0</v>
      </c>
      <c r="O99" s="271">
        <f t="shared" si="230"/>
        <v>0</v>
      </c>
      <c r="P99" s="271">
        <f t="shared" ref="P99:P136" si="231">AVERAGE(D99:O99)</f>
        <v>0</v>
      </c>
      <c r="Q99" s="272">
        <f t="shared" ref="Q99:Q136" si="232">P99</f>
        <v>0</v>
      </c>
      <c r="R99" s="370">
        <v>0</v>
      </c>
      <c r="S99" s="270">
        <f t="shared" ref="S99:AD99" si="233">SUM(S100:S102)</f>
        <v>0</v>
      </c>
      <c r="T99" s="271">
        <f t="shared" si="233"/>
        <v>0</v>
      </c>
      <c r="U99" s="271">
        <f t="shared" si="233"/>
        <v>0</v>
      </c>
      <c r="V99" s="271">
        <f t="shared" si="233"/>
        <v>0</v>
      </c>
      <c r="W99" s="271">
        <f t="shared" si="233"/>
        <v>0</v>
      </c>
      <c r="X99" s="271">
        <f t="shared" si="233"/>
        <v>0</v>
      </c>
      <c r="Y99" s="271">
        <f t="shared" si="233"/>
        <v>0</v>
      </c>
      <c r="Z99" s="271">
        <f t="shared" si="233"/>
        <v>0</v>
      </c>
      <c r="AA99" s="271">
        <f t="shared" si="233"/>
        <v>0</v>
      </c>
      <c r="AB99" s="271">
        <f t="shared" si="233"/>
        <v>0</v>
      </c>
      <c r="AC99" s="271">
        <f t="shared" si="233"/>
        <v>0</v>
      </c>
      <c r="AD99" s="271">
        <f t="shared" si="233"/>
        <v>0</v>
      </c>
      <c r="AE99" s="271">
        <f>SUM(S99:AD99)</f>
        <v>0</v>
      </c>
      <c r="AF99" s="272">
        <f>AE99/12</f>
        <v>0</v>
      </c>
      <c r="AG99" s="370"/>
      <c r="AH99" s="270">
        <f t="shared" ref="AH99:AS99" si="234">SUM(AH100:AH102)</f>
        <v>68</v>
      </c>
      <c r="AI99" s="271">
        <f t="shared" si="234"/>
        <v>72</v>
      </c>
      <c r="AJ99" s="271">
        <f t="shared" si="234"/>
        <v>67</v>
      </c>
      <c r="AK99" s="271">
        <f t="shared" si="234"/>
        <v>59</v>
      </c>
      <c r="AL99" s="271">
        <f t="shared" si="234"/>
        <v>61</v>
      </c>
      <c r="AM99" s="271">
        <f>SUM(AM100:AM102)</f>
        <v>66</v>
      </c>
      <c r="AN99" s="1138">
        <f t="shared" si="234"/>
        <v>0</v>
      </c>
      <c r="AO99" s="1139">
        <f t="shared" si="234"/>
        <v>0</v>
      </c>
      <c r="AP99" s="1138">
        <f t="shared" si="234"/>
        <v>0</v>
      </c>
      <c r="AQ99" s="1138">
        <f t="shared" si="234"/>
        <v>0</v>
      </c>
      <c r="AR99" s="1138">
        <v>0</v>
      </c>
      <c r="AS99" s="1138">
        <f t="shared" si="234"/>
        <v>0</v>
      </c>
      <c r="AT99" s="271">
        <f t="shared" si="207"/>
        <v>393</v>
      </c>
      <c r="AU99" s="272">
        <f t="shared" si="214"/>
        <v>32.75</v>
      </c>
      <c r="AV99" t="b">
        <v>1</v>
      </c>
      <c r="AX99" s="2140">
        <v>56</v>
      </c>
      <c r="AY99" s="271">
        <v>68</v>
      </c>
      <c r="AZ99" s="271">
        <f>SUM(AZ100:AZ102)</f>
        <v>49</v>
      </c>
      <c r="BA99" s="271">
        <v>48</v>
      </c>
      <c r="BB99" s="271">
        <v>47</v>
      </c>
      <c r="BC99" s="271">
        <v>43</v>
      </c>
      <c r="BD99" s="271">
        <v>44</v>
      </c>
      <c r="BE99" s="271">
        <v>55</v>
      </c>
      <c r="BF99" s="271">
        <v>49</v>
      </c>
      <c r="BG99" s="271">
        <v>52</v>
      </c>
      <c r="BH99" s="271">
        <v>54</v>
      </c>
      <c r="BI99" s="271">
        <v>43</v>
      </c>
      <c r="BJ99" s="271">
        <f t="shared" si="208"/>
        <v>608</v>
      </c>
      <c r="BK99" s="272">
        <f t="shared" si="209"/>
        <v>50.662444796266982</v>
      </c>
      <c r="BL99" t="b">
        <v>1</v>
      </c>
      <c r="BN99" s="1522"/>
      <c r="BO99" s="1522"/>
      <c r="BP99" s="1522"/>
      <c r="BQ99" s="322">
        <f t="shared" si="139"/>
        <v>-11</v>
      </c>
      <c r="BR99">
        <f t="shared" si="140"/>
        <v>54</v>
      </c>
      <c r="BS99">
        <f t="shared" si="141"/>
        <v>43</v>
      </c>
    </row>
    <row r="100" spans="1:71" x14ac:dyDescent="0.55000000000000004">
      <c r="A100" s="7222"/>
      <c r="B100" s="42"/>
      <c r="C100" s="35" t="s">
        <v>260</v>
      </c>
      <c r="D100" s="273">
        <v>0</v>
      </c>
      <c r="E100" s="274">
        <v>0</v>
      </c>
      <c r="F100" s="274">
        <v>0</v>
      </c>
      <c r="G100" s="274">
        <v>0</v>
      </c>
      <c r="H100" s="274">
        <v>0</v>
      </c>
      <c r="I100" s="274">
        <v>0</v>
      </c>
      <c r="J100" s="274">
        <v>0</v>
      </c>
      <c r="K100" s="274">
        <v>0</v>
      </c>
      <c r="L100" s="274">
        <v>0</v>
      </c>
      <c r="M100" s="274">
        <v>0</v>
      </c>
      <c r="N100" s="274">
        <v>0</v>
      </c>
      <c r="O100" s="274">
        <v>0</v>
      </c>
      <c r="P100" s="274">
        <f t="shared" si="231"/>
        <v>0</v>
      </c>
      <c r="Q100" s="275">
        <f t="shared" si="232"/>
        <v>0</v>
      </c>
      <c r="R100" s="370">
        <v>0</v>
      </c>
      <c r="S100" s="273">
        <v>0</v>
      </c>
      <c r="T100" s="274">
        <v>0</v>
      </c>
      <c r="U100" s="274">
        <v>0</v>
      </c>
      <c r="V100" s="274">
        <v>0</v>
      </c>
      <c r="W100" s="274">
        <v>0</v>
      </c>
      <c r="X100" s="274">
        <v>0</v>
      </c>
      <c r="Y100" s="274">
        <v>0</v>
      </c>
      <c r="Z100" s="274">
        <v>0</v>
      </c>
      <c r="AA100" s="274">
        <v>0</v>
      </c>
      <c r="AB100" s="274">
        <v>0</v>
      </c>
      <c r="AC100" s="274">
        <v>0</v>
      </c>
      <c r="AD100" s="274">
        <v>0</v>
      </c>
      <c r="AE100" s="274">
        <f t="shared" ref="AE100:AE117" si="235">SUM(S100:AD100)</f>
        <v>0</v>
      </c>
      <c r="AF100" s="275">
        <f t="shared" ref="AF100:AF117" si="236">AE100/12</f>
        <v>0</v>
      </c>
      <c r="AG100" s="370"/>
      <c r="AH100" s="273">
        <v>0</v>
      </c>
      <c r="AI100" s="274">
        <v>1</v>
      </c>
      <c r="AJ100" s="274">
        <v>0</v>
      </c>
      <c r="AK100" s="274">
        <v>0</v>
      </c>
      <c r="AL100" s="274">
        <v>0</v>
      </c>
      <c r="AM100" s="274">
        <v>0</v>
      </c>
      <c r="AN100" s="1139"/>
      <c r="AO100" s="1139"/>
      <c r="AP100" s="1139"/>
      <c r="AQ100" s="1139"/>
      <c r="AR100" s="1139"/>
      <c r="AS100" s="1139"/>
      <c r="AT100" s="274">
        <f t="shared" si="207"/>
        <v>1</v>
      </c>
      <c r="AU100" s="275">
        <f t="shared" si="214"/>
        <v>8.3333333333333329E-2</v>
      </c>
      <c r="AV100" t="b">
        <v>1</v>
      </c>
      <c r="AX100" s="2141">
        <v>1</v>
      </c>
      <c r="AY100" s="274">
        <v>0</v>
      </c>
      <c r="AZ100" s="274">
        <v>0</v>
      </c>
      <c r="BA100" s="274">
        <v>0</v>
      </c>
      <c r="BB100" s="274" t="s">
        <v>483</v>
      </c>
      <c r="BC100" s="274" t="s">
        <v>482</v>
      </c>
      <c r="BD100" s="274">
        <v>1</v>
      </c>
      <c r="BE100" s="274">
        <v>1</v>
      </c>
      <c r="BF100" s="274" t="s">
        <v>482</v>
      </c>
      <c r="BG100" s="274" t="s">
        <v>482</v>
      </c>
      <c r="BH100" s="274" t="s">
        <v>482</v>
      </c>
      <c r="BI100" s="274" t="s">
        <v>482</v>
      </c>
      <c r="BJ100" s="274">
        <f t="shared" si="208"/>
        <v>3</v>
      </c>
      <c r="BK100" s="275">
        <f t="shared" si="209"/>
        <v>0.24997916840263312</v>
      </c>
      <c r="BL100" t="b">
        <v>1</v>
      </c>
      <c r="BN100" s="1522"/>
      <c r="BO100" s="1522"/>
      <c r="BP100" s="1522"/>
      <c r="BQ100" s="322" t="e">
        <f t="shared" si="139"/>
        <v>#VALUE!</v>
      </c>
      <c r="BR100" t="str">
        <f t="shared" si="140"/>
        <v>-</v>
      </c>
      <c r="BS100" t="str">
        <f t="shared" si="141"/>
        <v>-</v>
      </c>
    </row>
    <row r="101" spans="1:71" x14ac:dyDescent="0.55000000000000004">
      <c r="A101" s="7222"/>
      <c r="B101" s="42"/>
      <c r="C101" s="35" t="s">
        <v>262</v>
      </c>
      <c r="D101" s="273">
        <v>0</v>
      </c>
      <c r="E101" s="274">
        <v>0</v>
      </c>
      <c r="F101" s="274">
        <v>0</v>
      </c>
      <c r="G101" s="274">
        <v>0</v>
      </c>
      <c r="H101" s="274">
        <v>0</v>
      </c>
      <c r="I101" s="274">
        <v>0</v>
      </c>
      <c r="J101" s="274">
        <v>0</v>
      </c>
      <c r="K101" s="274">
        <v>0</v>
      </c>
      <c r="L101" s="274">
        <v>0</v>
      </c>
      <c r="M101" s="274">
        <v>0</v>
      </c>
      <c r="N101" s="274">
        <v>0</v>
      </c>
      <c r="O101" s="274">
        <v>0</v>
      </c>
      <c r="P101" s="274">
        <f t="shared" si="231"/>
        <v>0</v>
      </c>
      <c r="Q101" s="275">
        <f t="shared" si="232"/>
        <v>0</v>
      </c>
      <c r="R101" s="370">
        <v>0</v>
      </c>
      <c r="S101" s="273">
        <v>0</v>
      </c>
      <c r="T101" s="274">
        <v>0</v>
      </c>
      <c r="U101" s="274">
        <v>0</v>
      </c>
      <c r="V101" s="274">
        <v>0</v>
      </c>
      <c r="W101" s="274">
        <v>0</v>
      </c>
      <c r="X101" s="274">
        <v>0</v>
      </c>
      <c r="Y101" s="274">
        <v>0</v>
      </c>
      <c r="Z101" s="274">
        <v>0</v>
      </c>
      <c r="AA101" s="274">
        <v>0</v>
      </c>
      <c r="AB101" s="274">
        <v>0</v>
      </c>
      <c r="AC101" s="274">
        <v>0</v>
      </c>
      <c r="AD101" s="274">
        <v>0</v>
      </c>
      <c r="AE101" s="274">
        <f t="shared" si="235"/>
        <v>0</v>
      </c>
      <c r="AF101" s="275">
        <f t="shared" si="236"/>
        <v>0</v>
      </c>
      <c r="AG101" s="370"/>
      <c r="AH101" s="273">
        <v>64</v>
      </c>
      <c r="AI101" s="274">
        <v>67</v>
      </c>
      <c r="AJ101" s="274">
        <v>63</v>
      </c>
      <c r="AK101" s="274">
        <v>55</v>
      </c>
      <c r="AL101" s="274">
        <v>58</v>
      </c>
      <c r="AM101" s="274">
        <v>64</v>
      </c>
      <c r="AN101" s="1139"/>
      <c r="AO101" s="1139"/>
      <c r="AP101" s="1139"/>
      <c r="AQ101" s="1139"/>
      <c r="AR101" s="1139"/>
      <c r="AS101" s="1139"/>
      <c r="AT101" s="274">
        <f t="shared" si="207"/>
        <v>371</v>
      </c>
      <c r="AU101" s="275">
        <f t="shared" si="214"/>
        <v>30.916666666666668</v>
      </c>
      <c r="AV101" t="b">
        <v>1</v>
      </c>
      <c r="AX101" s="2141">
        <v>55</v>
      </c>
      <c r="AY101" s="274">
        <v>66</v>
      </c>
      <c r="AZ101" s="274">
        <v>48</v>
      </c>
      <c r="BA101" s="274">
        <v>48</v>
      </c>
      <c r="BB101" s="274">
        <v>46</v>
      </c>
      <c r="BC101" s="274">
        <v>42</v>
      </c>
      <c r="BD101" s="274">
        <v>42</v>
      </c>
      <c r="BE101" s="274">
        <v>54</v>
      </c>
      <c r="BF101" s="274">
        <v>49</v>
      </c>
      <c r="BG101" s="274">
        <v>51</v>
      </c>
      <c r="BH101" s="274">
        <v>53</v>
      </c>
      <c r="BI101" s="274">
        <v>41</v>
      </c>
      <c r="BJ101" s="274">
        <f t="shared" si="208"/>
        <v>595</v>
      </c>
      <c r="BK101" s="275">
        <f t="shared" si="209"/>
        <v>49.579201733188903</v>
      </c>
      <c r="BL101" t="b">
        <v>1</v>
      </c>
      <c r="BN101" s="1522"/>
      <c r="BO101" s="1522"/>
      <c r="BP101" s="1522"/>
      <c r="BQ101" s="322">
        <f t="shared" si="139"/>
        <v>-12</v>
      </c>
      <c r="BR101">
        <f t="shared" si="140"/>
        <v>53</v>
      </c>
      <c r="BS101">
        <f t="shared" si="141"/>
        <v>41</v>
      </c>
    </row>
    <row r="102" spans="1:71" x14ac:dyDescent="0.55000000000000004">
      <c r="A102" s="7222"/>
      <c r="B102" s="42"/>
      <c r="C102" s="35" t="s">
        <v>261</v>
      </c>
      <c r="D102" s="273">
        <v>0</v>
      </c>
      <c r="E102" s="274">
        <v>0</v>
      </c>
      <c r="F102" s="274">
        <v>0</v>
      </c>
      <c r="G102" s="274">
        <v>0</v>
      </c>
      <c r="H102" s="274">
        <v>0</v>
      </c>
      <c r="I102" s="274">
        <v>0</v>
      </c>
      <c r="J102" s="274">
        <v>0</v>
      </c>
      <c r="K102" s="274">
        <v>0</v>
      </c>
      <c r="L102" s="274">
        <v>0</v>
      </c>
      <c r="M102" s="274">
        <v>0</v>
      </c>
      <c r="N102" s="274">
        <v>0</v>
      </c>
      <c r="O102" s="274">
        <v>0</v>
      </c>
      <c r="P102" s="274">
        <f t="shared" si="231"/>
        <v>0</v>
      </c>
      <c r="Q102" s="275">
        <f t="shared" si="232"/>
        <v>0</v>
      </c>
      <c r="R102" s="370">
        <v>0</v>
      </c>
      <c r="S102" s="273">
        <v>0</v>
      </c>
      <c r="T102" s="274">
        <v>0</v>
      </c>
      <c r="U102" s="274">
        <v>0</v>
      </c>
      <c r="V102" s="274">
        <v>0</v>
      </c>
      <c r="W102" s="274">
        <v>0</v>
      </c>
      <c r="X102" s="274">
        <v>0</v>
      </c>
      <c r="Y102" s="274">
        <v>0</v>
      </c>
      <c r="Z102" s="274">
        <v>0</v>
      </c>
      <c r="AA102" s="274">
        <v>0</v>
      </c>
      <c r="AB102" s="274">
        <v>0</v>
      </c>
      <c r="AC102" s="274">
        <v>0</v>
      </c>
      <c r="AD102" s="274">
        <v>0</v>
      </c>
      <c r="AE102" s="274">
        <f t="shared" si="235"/>
        <v>0</v>
      </c>
      <c r="AF102" s="275">
        <f t="shared" si="236"/>
        <v>0</v>
      </c>
      <c r="AG102" s="370"/>
      <c r="AH102" s="273">
        <v>4</v>
      </c>
      <c r="AI102" s="274">
        <v>4</v>
      </c>
      <c r="AJ102" s="274">
        <v>4</v>
      </c>
      <c r="AK102" s="274">
        <v>4</v>
      </c>
      <c r="AL102" s="274">
        <v>3</v>
      </c>
      <c r="AM102" s="274">
        <v>2</v>
      </c>
      <c r="AN102" s="1139"/>
      <c r="AO102" s="1139"/>
      <c r="AP102" s="1139"/>
      <c r="AQ102" s="1139"/>
      <c r="AR102" s="1139"/>
      <c r="AS102" s="1139"/>
      <c r="AT102" s="274">
        <f t="shared" si="207"/>
        <v>21</v>
      </c>
      <c r="AU102" s="275">
        <f t="shared" si="214"/>
        <v>1.75</v>
      </c>
      <c r="AV102" t="b">
        <v>1</v>
      </c>
      <c r="AX102" s="2141">
        <v>0</v>
      </c>
      <c r="AY102" s="274">
        <v>2</v>
      </c>
      <c r="AZ102" s="274">
        <v>1</v>
      </c>
      <c r="BA102" s="274">
        <v>0</v>
      </c>
      <c r="BB102" s="274">
        <v>1</v>
      </c>
      <c r="BC102" s="274">
        <v>1</v>
      </c>
      <c r="BD102" s="274">
        <v>1</v>
      </c>
      <c r="BE102" s="274">
        <v>0</v>
      </c>
      <c r="BF102" s="274" t="s">
        <v>482</v>
      </c>
      <c r="BG102" s="274">
        <v>1</v>
      </c>
      <c r="BH102" s="274">
        <v>1</v>
      </c>
      <c r="BI102" s="274">
        <v>2</v>
      </c>
      <c r="BJ102" s="274">
        <f t="shared" si="208"/>
        <v>10</v>
      </c>
      <c r="BK102" s="275">
        <f t="shared" si="209"/>
        <v>0.83326389467544371</v>
      </c>
      <c r="BL102" t="b">
        <v>1</v>
      </c>
      <c r="BN102" s="1522"/>
      <c r="BO102" s="1522"/>
      <c r="BP102" s="1522"/>
      <c r="BQ102" s="322">
        <f t="shared" si="139"/>
        <v>1</v>
      </c>
      <c r="BR102">
        <f t="shared" si="140"/>
        <v>1</v>
      </c>
      <c r="BS102">
        <f t="shared" si="141"/>
        <v>2</v>
      </c>
    </row>
    <row r="103" spans="1:71" x14ac:dyDescent="0.55000000000000004">
      <c r="A103" s="7222"/>
      <c r="B103" s="243" t="s">
        <v>222</v>
      </c>
      <c r="C103" s="107"/>
      <c r="D103" s="276">
        <f>D108+D109</f>
        <v>0</v>
      </c>
      <c r="E103" s="277">
        <f t="shared" ref="E103:O103" si="237">E108+E109</f>
        <v>0</v>
      </c>
      <c r="F103" s="277">
        <f t="shared" si="237"/>
        <v>0</v>
      </c>
      <c r="G103" s="277">
        <f t="shared" si="237"/>
        <v>0</v>
      </c>
      <c r="H103" s="277">
        <f t="shared" si="237"/>
        <v>0</v>
      </c>
      <c r="I103" s="277">
        <f t="shared" si="237"/>
        <v>0</v>
      </c>
      <c r="J103" s="277">
        <f t="shared" si="237"/>
        <v>0</v>
      </c>
      <c r="K103" s="277">
        <f t="shared" si="237"/>
        <v>0</v>
      </c>
      <c r="L103" s="277">
        <f t="shared" si="237"/>
        <v>0</v>
      </c>
      <c r="M103" s="277">
        <f t="shared" si="237"/>
        <v>0</v>
      </c>
      <c r="N103" s="277">
        <f t="shared" si="237"/>
        <v>0</v>
      </c>
      <c r="O103" s="277">
        <f t="shared" si="237"/>
        <v>0</v>
      </c>
      <c r="P103" s="277">
        <f t="shared" si="231"/>
        <v>0</v>
      </c>
      <c r="Q103" s="278">
        <f t="shared" si="232"/>
        <v>0</v>
      </c>
      <c r="R103" s="370">
        <v>0</v>
      </c>
      <c r="S103" s="276">
        <f>S108+S109</f>
        <v>0</v>
      </c>
      <c r="T103" s="277">
        <f t="shared" ref="T103:AD103" si="238">T108+T109</f>
        <v>0</v>
      </c>
      <c r="U103" s="277">
        <f t="shared" si="238"/>
        <v>0</v>
      </c>
      <c r="V103" s="277">
        <f t="shared" si="238"/>
        <v>0</v>
      </c>
      <c r="W103" s="277">
        <f t="shared" si="238"/>
        <v>0</v>
      </c>
      <c r="X103" s="277">
        <f t="shared" si="238"/>
        <v>0</v>
      </c>
      <c r="Y103" s="277">
        <f t="shared" si="238"/>
        <v>0</v>
      </c>
      <c r="Z103" s="277">
        <f t="shared" si="238"/>
        <v>0</v>
      </c>
      <c r="AA103" s="277">
        <f t="shared" si="238"/>
        <v>0</v>
      </c>
      <c r="AB103" s="277">
        <f t="shared" si="238"/>
        <v>0</v>
      </c>
      <c r="AC103" s="277">
        <f t="shared" si="238"/>
        <v>0</v>
      </c>
      <c r="AD103" s="277">
        <f t="shared" si="238"/>
        <v>0</v>
      </c>
      <c r="AE103" s="277">
        <f t="shared" si="235"/>
        <v>0</v>
      </c>
      <c r="AF103" s="278">
        <f t="shared" si="236"/>
        <v>0</v>
      </c>
      <c r="AG103" s="370"/>
      <c r="AH103" s="276">
        <f>AH108+AH109</f>
        <v>21</v>
      </c>
      <c r="AI103" s="277">
        <f t="shared" ref="AI103:AS103" si="239">AI108+AI109</f>
        <v>17</v>
      </c>
      <c r="AJ103" s="277">
        <f t="shared" si="239"/>
        <v>12</v>
      </c>
      <c r="AK103" s="277">
        <f t="shared" si="239"/>
        <v>3</v>
      </c>
      <c r="AL103" s="277">
        <f t="shared" si="239"/>
        <v>11</v>
      </c>
      <c r="AM103" s="277">
        <f t="shared" si="239"/>
        <v>9</v>
      </c>
      <c r="AN103" s="1140">
        <f t="shared" si="239"/>
        <v>0</v>
      </c>
      <c r="AO103" s="1140">
        <f t="shared" si="239"/>
        <v>0</v>
      </c>
      <c r="AP103" s="1140">
        <f t="shared" si="239"/>
        <v>0</v>
      </c>
      <c r="AQ103" s="1140">
        <f t="shared" si="239"/>
        <v>0</v>
      </c>
      <c r="AR103" s="1140">
        <v>0</v>
      </c>
      <c r="AS103" s="1140">
        <f t="shared" si="239"/>
        <v>0</v>
      </c>
      <c r="AT103" s="277">
        <f t="shared" si="207"/>
        <v>73</v>
      </c>
      <c r="AU103" s="278">
        <f t="shared" si="214"/>
        <v>6.083333333333333</v>
      </c>
      <c r="AV103" t="b">
        <v>1</v>
      </c>
      <c r="AX103" s="2133">
        <v>12</v>
      </c>
      <c r="AY103" s="277">
        <v>12</v>
      </c>
      <c r="AZ103" s="277">
        <v>7</v>
      </c>
      <c r="BA103" s="277">
        <v>7</v>
      </c>
      <c r="BB103" s="277">
        <v>8</v>
      </c>
      <c r="BC103" s="277">
        <v>5</v>
      </c>
      <c r="BD103" s="277">
        <v>4</v>
      </c>
      <c r="BE103" s="277">
        <v>8</v>
      </c>
      <c r="BF103" s="277">
        <v>7</v>
      </c>
      <c r="BG103" s="277">
        <v>8</v>
      </c>
      <c r="BH103" s="277">
        <v>8</v>
      </c>
      <c r="BI103" s="277">
        <v>7</v>
      </c>
      <c r="BJ103" s="277">
        <f t="shared" si="208"/>
        <v>93</v>
      </c>
      <c r="BK103" s="278">
        <f t="shared" si="209"/>
        <v>7.749354220481627</v>
      </c>
      <c r="BL103" t="b">
        <v>1</v>
      </c>
      <c r="BN103" s="1522"/>
      <c r="BO103" s="1522"/>
      <c r="BP103" s="1522"/>
      <c r="BQ103" s="322">
        <f t="shared" si="139"/>
        <v>-1</v>
      </c>
      <c r="BR103">
        <f t="shared" si="140"/>
        <v>8</v>
      </c>
      <c r="BS103">
        <f t="shared" si="141"/>
        <v>7</v>
      </c>
    </row>
    <row r="104" spans="1:71" x14ac:dyDescent="0.55000000000000004">
      <c r="A104" s="7222"/>
      <c r="B104" s="235" t="s">
        <v>223</v>
      </c>
      <c r="C104" s="14"/>
      <c r="D104" s="279">
        <f>D110+D111</f>
        <v>0</v>
      </c>
      <c r="E104" s="280">
        <f t="shared" ref="E104:O104" si="240">E110+E111</f>
        <v>0</v>
      </c>
      <c r="F104" s="280">
        <f t="shared" si="240"/>
        <v>0</v>
      </c>
      <c r="G104" s="280">
        <f t="shared" si="240"/>
        <v>0</v>
      </c>
      <c r="H104" s="280">
        <f t="shared" si="240"/>
        <v>0</v>
      </c>
      <c r="I104" s="280">
        <f t="shared" si="240"/>
        <v>0</v>
      </c>
      <c r="J104" s="280">
        <f t="shared" si="240"/>
        <v>0</v>
      </c>
      <c r="K104" s="280">
        <f t="shared" si="240"/>
        <v>0</v>
      </c>
      <c r="L104" s="280">
        <f t="shared" si="240"/>
        <v>0</v>
      </c>
      <c r="M104" s="280">
        <f t="shared" si="240"/>
        <v>0</v>
      </c>
      <c r="N104" s="280">
        <f t="shared" si="240"/>
        <v>0</v>
      </c>
      <c r="O104" s="280">
        <f t="shared" si="240"/>
        <v>0</v>
      </c>
      <c r="P104" s="280">
        <f t="shared" si="231"/>
        <v>0</v>
      </c>
      <c r="Q104" s="281">
        <f t="shared" si="232"/>
        <v>0</v>
      </c>
      <c r="R104" s="370">
        <v>0</v>
      </c>
      <c r="S104" s="279">
        <f>S110+S111</f>
        <v>0</v>
      </c>
      <c r="T104" s="280">
        <f t="shared" ref="T104:AD104" si="241">T110+T111</f>
        <v>0</v>
      </c>
      <c r="U104" s="280">
        <f t="shared" si="241"/>
        <v>0</v>
      </c>
      <c r="V104" s="280">
        <f t="shared" si="241"/>
        <v>0</v>
      </c>
      <c r="W104" s="280">
        <f t="shared" si="241"/>
        <v>0</v>
      </c>
      <c r="X104" s="280">
        <f t="shared" si="241"/>
        <v>0</v>
      </c>
      <c r="Y104" s="280">
        <f t="shared" si="241"/>
        <v>0</v>
      </c>
      <c r="Z104" s="280">
        <f t="shared" si="241"/>
        <v>0</v>
      </c>
      <c r="AA104" s="280">
        <f t="shared" si="241"/>
        <v>0</v>
      </c>
      <c r="AB104" s="280">
        <f t="shared" si="241"/>
        <v>0</v>
      </c>
      <c r="AC104" s="280">
        <f t="shared" si="241"/>
        <v>0</v>
      </c>
      <c r="AD104" s="280">
        <f t="shared" si="241"/>
        <v>0</v>
      </c>
      <c r="AE104" s="280">
        <f t="shared" si="235"/>
        <v>0</v>
      </c>
      <c r="AF104" s="281">
        <f t="shared" si="236"/>
        <v>0</v>
      </c>
      <c r="AG104" s="370"/>
      <c r="AH104" s="279">
        <f>AH110+AH111</f>
        <v>8</v>
      </c>
      <c r="AI104" s="280">
        <f t="shared" ref="AI104:AS104" si="242">AI110+AI111</f>
        <v>11</v>
      </c>
      <c r="AJ104" s="280">
        <f t="shared" si="242"/>
        <v>12</v>
      </c>
      <c r="AK104" s="280">
        <f t="shared" si="242"/>
        <v>7</v>
      </c>
      <c r="AL104" s="280">
        <f t="shared" si="242"/>
        <v>4</v>
      </c>
      <c r="AM104" s="280">
        <f t="shared" si="242"/>
        <v>12</v>
      </c>
      <c r="AN104" s="1139">
        <f t="shared" si="242"/>
        <v>0</v>
      </c>
      <c r="AO104" s="1139">
        <f t="shared" si="242"/>
        <v>0</v>
      </c>
      <c r="AP104" s="1139">
        <f t="shared" si="242"/>
        <v>0</v>
      </c>
      <c r="AQ104" s="1139">
        <f t="shared" si="242"/>
        <v>0</v>
      </c>
      <c r="AR104" s="1139">
        <v>0</v>
      </c>
      <c r="AS104" s="1139">
        <f t="shared" si="242"/>
        <v>0</v>
      </c>
      <c r="AT104" s="280">
        <f t="shared" si="207"/>
        <v>54</v>
      </c>
      <c r="AU104" s="281">
        <f t="shared" si="214"/>
        <v>4.5</v>
      </c>
      <c r="AV104" t="b">
        <v>1</v>
      </c>
      <c r="AX104" s="2134">
        <v>13</v>
      </c>
      <c r="AY104" s="280">
        <v>16</v>
      </c>
      <c r="AZ104" s="280">
        <v>13</v>
      </c>
      <c r="BA104" s="280">
        <v>14</v>
      </c>
      <c r="BB104" s="280">
        <v>12</v>
      </c>
      <c r="BC104" s="280">
        <v>10</v>
      </c>
      <c r="BD104" s="280">
        <v>13</v>
      </c>
      <c r="BE104" s="280">
        <v>11</v>
      </c>
      <c r="BF104" s="280">
        <v>9</v>
      </c>
      <c r="BG104" s="280">
        <v>8</v>
      </c>
      <c r="BH104" s="280">
        <v>6</v>
      </c>
      <c r="BI104" s="280">
        <v>6</v>
      </c>
      <c r="BJ104" s="280">
        <f t="shared" si="208"/>
        <v>131</v>
      </c>
      <c r="BK104" s="281">
        <f t="shared" si="209"/>
        <v>10.915757020248313</v>
      </c>
      <c r="BL104" t="b">
        <v>1</v>
      </c>
      <c r="BN104" s="1522"/>
      <c r="BO104" s="1522"/>
      <c r="BP104" s="1522"/>
      <c r="BQ104" s="322">
        <f t="shared" si="139"/>
        <v>0</v>
      </c>
      <c r="BR104">
        <f t="shared" si="140"/>
        <v>6</v>
      </c>
      <c r="BS104">
        <f t="shared" si="141"/>
        <v>6</v>
      </c>
    </row>
    <row r="105" spans="1:71" x14ac:dyDescent="0.55000000000000004">
      <c r="A105" s="7222"/>
      <c r="B105" s="235" t="s">
        <v>224</v>
      </c>
      <c r="C105" s="14"/>
      <c r="D105" s="279">
        <f>D112+D113</f>
        <v>0</v>
      </c>
      <c r="E105" s="280">
        <f t="shared" ref="E105:O105" si="243">E112+E113</f>
        <v>0</v>
      </c>
      <c r="F105" s="280">
        <f t="shared" si="243"/>
        <v>0</v>
      </c>
      <c r="G105" s="280">
        <f t="shared" si="243"/>
        <v>0</v>
      </c>
      <c r="H105" s="280">
        <f t="shared" si="243"/>
        <v>0</v>
      </c>
      <c r="I105" s="280">
        <f t="shared" si="243"/>
        <v>0</v>
      </c>
      <c r="J105" s="280">
        <f t="shared" si="243"/>
        <v>0</v>
      </c>
      <c r="K105" s="280">
        <f t="shared" si="243"/>
        <v>0</v>
      </c>
      <c r="L105" s="280">
        <f t="shared" si="243"/>
        <v>0</v>
      </c>
      <c r="M105" s="280">
        <f t="shared" si="243"/>
        <v>0</v>
      </c>
      <c r="N105" s="280">
        <f t="shared" si="243"/>
        <v>0</v>
      </c>
      <c r="O105" s="280">
        <f t="shared" si="243"/>
        <v>0</v>
      </c>
      <c r="P105" s="280">
        <f t="shared" si="231"/>
        <v>0</v>
      </c>
      <c r="Q105" s="281">
        <f t="shared" si="232"/>
        <v>0</v>
      </c>
      <c r="R105" s="370">
        <v>0</v>
      </c>
      <c r="S105" s="279">
        <f>S112+S113</f>
        <v>0</v>
      </c>
      <c r="T105" s="280">
        <f t="shared" ref="T105:AD105" si="244">T112+T113</f>
        <v>0</v>
      </c>
      <c r="U105" s="280">
        <f t="shared" si="244"/>
        <v>0</v>
      </c>
      <c r="V105" s="280">
        <f t="shared" si="244"/>
        <v>0</v>
      </c>
      <c r="W105" s="280">
        <f t="shared" si="244"/>
        <v>0</v>
      </c>
      <c r="X105" s="280">
        <f t="shared" si="244"/>
        <v>0</v>
      </c>
      <c r="Y105" s="280">
        <f t="shared" si="244"/>
        <v>0</v>
      </c>
      <c r="Z105" s="280">
        <f t="shared" si="244"/>
        <v>0</v>
      </c>
      <c r="AA105" s="280">
        <f t="shared" si="244"/>
        <v>0</v>
      </c>
      <c r="AB105" s="280">
        <f t="shared" si="244"/>
        <v>0</v>
      </c>
      <c r="AC105" s="280">
        <f t="shared" si="244"/>
        <v>0</v>
      </c>
      <c r="AD105" s="280">
        <f t="shared" si="244"/>
        <v>0</v>
      </c>
      <c r="AE105" s="280">
        <f t="shared" si="235"/>
        <v>0</v>
      </c>
      <c r="AF105" s="281">
        <f t="shared" si="236"/>
        <v>0</v>
      </c>
      <c r="AG105" s="370"/>
      <c r="AH105" s="279">
        <f>AH112+AH113</f>
        <v>6</v>
      </c>
      <c r="AI105" s="280">
        <f t="shared" ref="AI105:AS105" si="245">AI112+AI113</f>
        <v>7</v>
      </c>
      <c r="AJ105" s="280">
        <f t="shared" si="245"/>
        <v>7</v>
      </c>
      <c r="AK105" s="280">
        <f t="shared" si="245"/>
        <v>9</v>
      </c>
      <c r="AL105" s="280">
        <f t="shared" si="245"/>
        <v>11</v>
      </c>
      <c r="AM105" s="280">
        <f t="shared" si="245"/>
        <v>6</v>
      </c>
      <c r="AN105" s="1139">
        <f t="shared" si="245"/>
        <v>0</v>
      </c>
      <c r="AO105" s="1139">
        <f t="shared" si="245"/>
        <v>0</v>
      </c>
      <c r="AP105" s="1139">
        <f t="shared" si="245"/>
        <v>0</v>
      </c>
      <c r="AQ105" s="1139">
        <f t="shared" si="245"/>
        <v>0</v>
      </c>
      <c r="AR105" s="1139">
        <v>0</v>
      </c>
      <c r="AS105" s="1139">
        <f t="shared" si="245"/>
        <v>0</v>
      </c>
      <c r="AT105" s="280">
        <f t="shared" si="207"/>
        <v>46</v>
      </c>
      <c r="AU105" s="281">
        <f t="shared" si="214"/>
        <v>3.8333333333333335</v>
      </c>
      <c r="AV105" t="b">
        <v>1</v>
      </c>
      <c r="AX105" s="2134">
        <v>10</v>
      </c>
      <c r="AY105" s="280">
        <v>10</v>
      </c>
      <c r="AZ105" s="280">
        <v>6</v>
      </c>
      <c r="BA105" s="280">
        <v>8</v>
      </c>
      <c r="BB105" s="280">
        <v>7</v>
      </c>
      <c r="BC105" s="280">
        <v>8</v>
      </c>
      <c r="BD105" s="280">
        <v>6</v>
      </c>
      <c r="BE105" s="280">
        <v>10</v>
      </c>
      <c r="BF105" s="280">
        <v>9</v>
      </c>
      <c r="BG105" s="280">
        <v>10</v>
      </c>
      <c r="BH105" s="280">
        <v>11</v>
      </c>
      <c r="BI105" s="280">
        <v>4</v>
      </c>
      <c r="BJ105" s="280">
        <f t="shared" si="208"/>
        <v>99</v>
      </c>
      <c r="BK105" s="281">
        <f t="shared" si="209"/>
        <v>8.2493125572868937</v>
      </c>
      <c r="BL105" t="b">
        <v>1</v>
      </c>
      <c r="BN105" s="1522"/>
      <c r="BO105" s="1522"/>
      <c r="BP105" s="1522"/>
      <c r="BQ105" s="322">
        <f t="shared" si="139"/>
        <v>-7</v>
      </c>
      <c r="BR105">
        <f t="shared" si="140"/>
        <v>11</v>
      </c>
      <c r="BS105">
        <f t="shared" si="141"/>
        <v>4</v>
      </c>
    </row>
    <row r="106" spans="1:71" x14ac:dyDescent="0.55000000000000004">
      <c r="A106" s="7222"/>
      <c r="B106" s="235" t="s">
        <v>225</v>
      </c>
      <c r="C106" s="14"/>
      <c r="D106" s="279">
        <f>D114+D115</f>
        <v>0</v>
      </c>
      <c r="E106" s="280">
        <f t="shared" ref="E106:O106" si="246">E114+E115</f>
        <v>0</v>
      </c>
      <c r="F106" s="280">
        <f t="shared" si="246"/>
        <v>0</v>
      </c>
      <c r="G106" s="280">
        <f t="shared" si="246"/>
        <v>0</v>
      </c>
      <c r="H106" s="280">
        <f t="shared" si="246"/>
        <v>0</v>
      </c>
      <c r="I106" s="280">
        <f t="shared" si="246"/>
        <v>0</v>
      </c>
      <c r="J106" s="280">
        <f t="shared" si="246"/>
        <v>0</v>
      </c>
      <c r="K106" s="280">
        <f t="shared" si="246"/>
        <v>0</v>
      </c>
      <c r="L106" s="280">
        <f t="shared" si="246"/>
        <v>0</v>
      </c>
      <c r="M106" s="280">
        <f t="shared" si="246"/>
        <v>0</v>
      </c>
      <c r="N106" s="280">
        <f t="shared" si="246"/>
        <v>0</v>
      </c>
      <c r="O106" s="280">
        <f t="shared" si="246"/>
        <v>0</v>
      </c>
      <c r="P106" s="280">
        <f t="shared" si="231"/>
        <v>0</v>
      </c>
      <c r="Q106" s="281">
        <f t="shared" si="232"/>
        <v>0</v>
      </c>
      <c r="R106" s="370">
        <v>0</v>
      </c>
      <c r="S106" s="279">
        <f>S114+S115</f>
        <v>0</v>
      </c>
      <c r="T106" s="280">
        <f t="shared" ref="T106:AD106" si="247">T114+T115</f>
        <v>0</v>
      </c>
      <c r="U106" s="280">
        <f t="shared" si="247"/>
        <v>0</v>
      </c>
      <c r="V106" s="280">
        <f t="shared" si="247"/>
        <v>0</v>
      </c>
      <c r="W106" s="280">
        <f t="shared" si="247"/>
        <v>0</v>
      </c>
      <c r="X106" s="280">
        <f t="shared" si="247"/>
        <v>0</v>
      </c>
      <c r="Y106" s="280">
        <f t="shared" si="247"/>
        <v>0</v>
      </c>
      <c r="Z106" s="280">
        <f t="shared" si="247"/>
        <v>0</v>
      </c>
      <c r="AA106" s="280">
        <f t="shared" si="247"/>
        <v>0</v>
      </c>
      <c r="AB106" s="280">
        <f t="shared" si="247"/>
        <v>0</v>
      </c>
      <c r="AC106" s="280">
        <f t="shared" si="247"/>
        <v>0</v>
      </c>
      <c r="AD106" s="280">
        <f t="shared" si="247"/>
        <v>0</v>
      </c>
      <c r="AE106" s="280">
        <f t="shared" si="235"/>
        <v>0</v>
      </c>
      <c r="AF106" s="281">
        <f t="shared" si="236"/>
        <v>0</v>
      </c>
      <c r="AG106" s="370"/>
      <c r="AH106" s="279">
        <f>AH114+AH115</f>
        <v>17</v>
      </c>
      <c r="AI106" s="280">
        <f t="shared" ref="AI106:AS106" si="248">AI114+AI115</f>
        <v>18</v>
      </c>
      <c r="AJ106" s="280">
        <f t="shared" si="248"/>
        <v>16</v>
      </c>
      <c r="AK106" s="280">
        <f t="shared" si="248"/>
        <v>18</v>
      </c>
      <c r="AL106" s="280">
        <f t="shared" si="248"/>
        <v>16</v>
      </c>
      <c r="AM106" s="280">
        <f t="shared" si="248"/>
        <v>18</v>
      </c>
      <c r="AN106" s="1139">
        <f t="shared" si="248"/>
        <v>0</v>
      </c>
      <c r="AO106" s="1139">
        <f t="shared" si="248"/>
        <v>0</v>
      </c>
      <c r="AP106" s="1139">
        <f t="shared" si="248"/>
        <v>0</v>
      </c>
      <c r="AQ106" s="1139">
        <f t="shared" si="248"/>
        <v>0</v>
      </c>
      <c r="AR106" s="1139">
        <v>0</v>
      </c>
      <c r="AS106" s="1139">
        <f t="shared" si="248"/>
        <v>0</v>
      </c>
      <c r="AT106" s="280">
        <f t="shared" si="207"/>
        <v>103</v>
      </c>
      <c r="AU106" s="281">
        <f t="shared" si="214"/>
        <v>8.5833333333333339</v>
      </c>
      <c r="AV106" t="b">
        <v>1</v>
      </c>
      <c r="AX106" s="2134">
        <v>7</v>
      </c>
      <c r="AY106" s="280">
        <v>12</v>
      </c>
      <c r="AZ106" s="280">
        <v>12</v>
      </c>
      <c r="BA106" s="280">
        <v>12</v>
      </c>
      <c r="BB106" s="280">
        <v>9</v>
      </c>
      <c r="BC106" s="280">
        <v>11</v>
      </c>
      <c r="BD106" s="280">
        <v>11</v>
      </c>
      <c r="BE106" s="280">
        <v>14</v>
      </c>
      <c r="BF106" s="280">
        <v>13</v>
      </c>
      <c r="BG106" s="280">
        <v>16</v>
      </c>
      <c r="BH106" s="280">
        <v>19</v>
      </c>
      <c r="BI106" s="280">
        <v>14</v>
      </c>
      <c r="BJ106" s="280">
        <f t="shared" si="208"/>
        <v>150</v>
      </c>
      <c r="BK106" s="281">
        <f t="shared" si="209"/>
        <v>12.498958420131656</v>
      </c>
      <c r="BL106" t="b">
        <v>1</v>
      </c>
      <c r="BN106" s="1522"/>
      <c r="BO106" s="1522"/>
      <c r="BP106" s="1522"/>
      <c r="BQ106" s="322">
        <f t="shared" si="139"/>
        <v>-5</v>
      </c>
      <c r="BR106">
        <f t="shared" si="140"/>
        <v>19</v>
      </c>
      <c r="BS106">
        <f t="shared" si="141"/>
        <v>14</v>
      </c>
    </row>
    <row r="107" spans="1:71" x14ac:dyDescent="0.55000000000000004">
      <c r="A107" s="7222"/>
      <c r="B107" s="236" t="s">
        <v>226</v>
      </c>
      <c r="C107" s="29"/>
      <c r="D107" s="282">
        <f>D116+D117</f>
        <v>0</v>
      </c>
      <c r="E107" s="283">
        <f t="shared" ref="E107:O107" si="249">E116+E117</f>
        <v>0</v>
      </c>
      <c r="F107" s="283">
        <f t="shared" si="249"/>
        <v>0</v>
      </c>
      <c r="G107" s="283">
        <f t="shared" si="249"/>
        <v>0</v>
      </c>
      <c r="H107" s="283">
        <f t="shared" si="249"/>
        <v>0</v>
      </c>
      <c r="I107" s="283">
        <f t="shared" si="249"/>
        <v>0</v>
      </c>
      <c r="J107" s="283">
        <f t="shared" si="249"/>
        <v>0</v>
      </c>
      <c r="K107" s="283">
        <f t="shared" si="249"/>
        <v>0</v>
      </c>
      <c r="L107" s="283">
        <f t="shared" si="249"/>
        <v>0</v>
      </c>
      <c r="M107" s="283">
        <f t="shared" si="249"/>
        <v>0</v>
      </c>
      <c r="N107" s="283">
        <f t="shared" si="249"/>
        <v>0</v>
      </c>
      <c r="O107" s="283">
        <f t="shared" si="249"/>
        <v>0</v>
      </c>
      <c r="P107" s="283">
        <f t="shared" si="231"/>
        <v>0</v>
      </c>
      <c r="Q107" s="284">
        <f t="shared" si="232"/>
        <v>0</v>
      </c>
      <c r="R107" s="370">
        <v>0</v>
      </c>
      <c r="S107" s="282">
        <f>S116+S117</f>
        <v>0</v>
      </c>
      <c r="T107" s="283">
        <f t="shared" ref="T107:AD107" si="250">T116+T117</f>
        <v>0</v>
      </c>
      <c r="U107" s="283">
        <f t="shared" si="250"/>
        <v>0</v>
      </c>
      <c r="V107" s="283">
        <f t="shared" si="250"/>
        <v>0</v>
      </c>
      <c r="W107" s="283">
        <f t="shared" si="250"/>
        <v>0</v>
      </c>
      <c r="X107" s="283">
        <f t="shared" si="250"/>
        <v>0</v>
      </c>
      <c r="Y107" s="283">
        <f t="shared" si="250"/>
        <v>0</v>
      </c>
      <c r="Z107" s="283">
        <f t="shared" si="250"/>
        <v>0</v>
      </c>
      <c r="AA107" s="283">
        <f t="shared" si="250"/>
        <v>0</v>
      </c>
      <c r="AB107" s="283">
        <f t="shared" si="250"/>
        <v>0</v>
      </c>
      <c r="AC107" s="283">
        <f t="shared" si="250"/>
        <v>0</v>
      </c>
      <c r="AD107" s="283">
        <f t="shared" si="250"/>
        <v>0</v>
      </c>
      <c r="AE107" s="283">
        <f t="shared" si="235"/>
        <v>0</v>
      </c>
      <c r="AF107" s="284">
        <f t="shared" si="236"/>
        <v>0</v>
      </c>
      <c r="AG107" s="370"/>
      <c r="AH107" s="282">
        <f>AH116+AH117</f>
        <v>16</v>
      </c>
      <c r="AI107" s="283">
        <f t="shared" ref="AI107:AS107" si="251">AI116+AI117</f>
        <v>19</v>
      </c>
      <c r="AJ107" s="283">
        <f t="shared" si="251"/>
        <v>20</v>
      </c>
      <c r="AK107" s="283">
        <f t="shared" si="251"/>
        <v>22</v>
      </c>
      <c r="AL107" s="283">
        <f t="shared" si="251"/>
        <v>19</v>
      </c>
      <c r="AM107" s="283">
        <f t="shared" si="251"/>
        <v>21</v>
      </c>
      <c r="AN107" s="1141">
        <f t="shared" si="251"/>
        <v>0</v>
      </c>
      <c r="AO107" s="1141">
        <f t="shared" si="251"/>
        <v>0</v>
      </c>
      <c r="AP107" s="1141">
        <f t="shared" si="251"/>
        <v>0</v>
      </c>
      <c r="AQ107" s="1141">
        <f t="shared" si="251"/>
        <v>0</v>
      </c>
      <c r="AR107" s="1141">
        <v>0</v>
      </c>
      <c r="AS107" s="1141">
        <f t="shared" si="251"/>
        <v>0</v>
      </c>
      <c r="AT107" s="283">
        <f t="shared" si="207"/>
        <v>117</v>
      </c>
      <c r="AU107" s="284">
        <f t="shared" si="214"/>
        <v>9.75</v>
      </c>
      <c r="AV107" t="b">
        <v>1</v>
      </c>
      <c r="AX107" s="2135">
        <v>14</v>
      </c>
      <c r="AY107" s="283">
        <v>18</v>
      </c>
      <c r="AZ107" s="283">
        <v>11</v>
      </c>
      <c r="BA107" s="283">
        <v>7</v>
      </c>
      <c r="BB107" s="283">
        <v>11</v>
      </c>
      <c r="BC107" s="283">
        <v>9</v>
      </c>
      <c r="BD107" s="283">
        <v>10</v>
      </c>
      <c r="BE107" s="283">
        <v>12</v>
      </c>
      <c r="BF107" s="283">
        <v>11</v>
      </c>
      <c r="BG107" s="283">
        <v>10</v>
      </c>
      <c r="BH107" s="283">
        <v>10</v>
      </c>
      <c r="BI107" s="283">
        <v>12</v>
      </c>
      <c r="BJ107" s="283">
        <f t="shared" si="208"/>
        <v>135</v>
      </c>
      <c r="BK107" s="284">
        <f t="shared" si="209"/>
        <v>11.24906257811849</v>
      </c>
      <c r="BL107" t="b">
        <v>1</v>
      </c>
      <c r="BN107" s="1522"/>
      <c r="BO107" s="1522"/>
      <c r="BP107" s="1522"/>
      <c r="BQ107" s="322">
        <f t="shared" si="139"/>
        <v>2</v>
      </c>
      <c r="BR107">
        <f t="shared" si="140"/>
        <v>10</v>
      </c>
      <c r="BS107">
        <f t="shared" si="141"/>
        <v>12</v>
      </c>
    </row>
    <row r="108" spans="1:71" x14ac:dyDescent="0.55000000000000004">
      <c r="A108" s="7222"/>
      <c r="B108" s="244"/>
      <c r="C108" s="176" t="s">
        <v>227</v>
      </c>
      <c r="D108" s="333">
        <v>0</v>
      </c>
      <c r="E108" s="333">
        <v>0</v>
      </c>
      <c r="F108" s="333">
        <v>0</v>
      </c>
      <c r="G108" s="333">
        <v>0</v>
      </c>
      <c r="H108" s="333">
        <v>0</v>
      </c>
      <c r="I108" s="333">
        <v>0</v>
      </c>
      <c r="J108" s="333">
        <v>0</v>
      </c>
      <c r="K108" s="333">
        <v>0</v>
      </c>
      <c r="L108" s="333">
        <v>0</v>
      </c>
      <c r="M108" s="333">
        <v>0</v>
      </c>
      <c r="N108" s="333">
        <v>0</v>
      </c>
      <c r="O108" s="333">
        <v>0</v>
      </c>
      <c r="P108" s="333">
        <f t="shared" si="231"/>
        <v>0</v>
      </c>
      <c r="Q108" s="334">
        <f t="shared" si="232"/>
        <v>0</v>
      </c>
      <c r="R108" s="370">
        <v>0</v>
      </c>
      <c r="S108" s="335">
        <v>0</v>
      </c>
      <c r="T108" s="333">
        <v>0</v>
      </c>
      <c r="U108" s="333">
        <v>0</v>
      </c>
      <c r="V108" s="333">
        <v>0</v>
      </c>
      <c r="W108" s="333">
        <v>0</v>
      </c>
      <c r="X108" s="333">
        <v>0</v>
      </c>
      <c r="Y108" s="333">
        <v>0</v>
      </c>
      <c r="Z108" s="333">
        <v>0</v>
      </c>
      <c r="AA108" s="333">
        <v>0</v>
      </c>
      <c r="AB108" s="333">
        <v>0</v>
      </c>
      <c r="AC108" s="333">
        <v>0</v>
      </c>
      <c r="AD108" s="333">
        <v>0</v>
      </c>
      <c r="AE108" s="333">
        <f t="shared" si="235"/>
        <v>0</v>
      </c>
      <c r="AF108" s="334">
        <f t="shared" si="236"/>
        <v>0</v>
      </c>
      <c r="AG108" s="370"/>
      <c r="AH108" s="335">
        <v>9</v>
      </c>
      <c r="AI108" s="333">
        <v>8</v>
      </c>
      <c r="AJ108" s="333">
        <v>5</v>
      </c>
      <c r="AK108" s="333">
        <v>1</v>
      </c>
      <c r="AL108" s="333">
        <v>9</v>
      </c>
      <c r="AM108" s="333">
        <v>7</v>
      </c>
      <c r="AN108" s="1142"/>
      <c r="AO108" s="1142"/>
      <c r="AP108" s="1142"/>
      <c r="AQ108" s="1142"/>
      <c r="AR108" s="1142"/>
      <c r="AS108" s="1142"/>
      <c r="AT108" s="333">
        <f t="shared" si="207"/>
        <v>39</v>
      </c>
      <c r="AU108" s="334">
        <f t="shared" si="214"/>
        <v>3.25</v>
      </c>
      <c r="AV108" t="b">
        <v>1</v>
      </c>
      <c r="AX108" s="2136">
        <v>8</v>
      </c>
      <c r="AY108" s="333">
        <v>6</v>
      </c>
      <c r="AZ108" s="333">
        <v>4</v>
      </c>
      <c r="BA108" s="333">
        <v>3</v>
      </c>
      <c r="BB108" s="333">
        <v>3</v>
      </c>
      <c r="BC108" s="333">
        <v>2</v>
      </c>
      <c r="BD108" s="333">
        <v>0</v>
      </c>
      <c r="BE108" s="333">
        <v>5</v>
      </c>
      <c r="BF108" s="333">
        <v>3</v>
      </c>
      <c r="BG108" s="333">
        <v>4</v>
      </c>
      <c r="BH108" s="333">
        <v>4</v>
      </c>
      <c r="BI108" s="333">
        <v>2</v>
      </c>
      <c r="BJ108" s="333">
        <f t="shared" si="208"/>
        <v>44</v>
      </c>
      <c r="BK108" s="334">
        <f t="shared" si="209"/>
        <v>3.6663611365719526</v>
      </c>
      <c r="BL108" t="b">
        <v>1</v>
      </c>
      <c r="BN108" s="1522"/>
      <c r="BO108" s="1522"/>
      <c r="BP108" s="1522"/>
      <c r="BQ108" s="322">
        <f t="shared" si="139"/>
        <v>-2</v>
      </c>
      <c r="BR108">
        <f t="shared" si="140"/>
        <v>4</v>
      </c>
      <c r="BS108">
        <f t="shared" si="141"/>
        <v>2</v>
      </c>
    </row>
    <row r="109" spans="1:71" x14ac:dyDescent="0.55000000000000004">
      <c r="A109" s="7222"/>
      <c r="B109" s="245"/>
      <c r="C109" s="177" t="s">
        <v>228</v>
      </c>
      <c r="D109" s="301">
        <v>0</v>
      </c>
      <c r="E109" s="301">
        <v>0</v>
      </c>
      <c r="F109" s="301">
        <v>0</v>
      </c>
      <c r="G109" s="301">
        <v>0</v>
      </c>
      <c r="H109" s="301">
        <v>0</v>
      </c>
      <c r="I109" s="301">
        <v>0</v>
      </c>
      <c r="J109" s="301">
        <v>0</v>
      </c>
      <c r="K109" s="301">
        <v>0</v>
      </c>
      <c r="L109" s="301">
        <v>0</v>
      </c>
      <c r="M109" s="301">
        <v>0</v>
      </c>
      <c r="N109" s="301">
        <v>0</v>
      </c>
      <c r="O109" s="301">
        <v>0</v>
      </c>
      <c r="P109" s="301">
        <f t="shared" si="231"/>
        <v>0</v>
      </c>
      <c r="Q109" s="302">
        <f t="shared" si="232"/>
        <v>0</v>
      </c>
      <c r="R109" s="370">
        <v>0</v>
      </c>
      <c r="S109" s="336">
        <v>0</v>
      </c>
      <c r="T109" s="301">
        <v>0</v>
      </c>
      <c r="U109" s="301">
        <v>0</v>
      </c>
      <c r="V109" s="301">
        <v>0</v>
      </c>
      <c r="W109" s="301">
        <v>0</v>
      </c>
      <c r="X109" s="301">
        <v>0</v>
      </c>
      <c r="Y109" s="301">
        <v>0</v>
      </c>
      <c r="Z109" s="301">
        <v>0</v>
      </c>
      <c r="AA109" s="301">
        <v>0</v>
      </c>
      <c r="AB109" s="301">
        <v>0</v>
      </c>
      <c r="AC109" s="301">
        <v>0</v>
      </c>
      <c r="AD109" s="301">
        <v>0</v>
      </c>
      <c r="AE109" s="301">
        <f t="shared" si="235"/>
        <v>0</v>
      </c>
      <c r="AF109" s="302">
        <f t="shared" si="236"/>
        <v>0</v>
      </c>
      <c r="AG109" s="370"/>
      <c r="AH109" s="336">
        <v>12</v>
      </c>
      <c r="AI109" s="301">
        <v>9</v>
      </c>
      <c r="AJ109" s="301">
        <v>7</v>
      </c>
      <c r="AK109" s="301">
        <v>2</v>
      </c>
      <c r="AL109" s="301">
        <v>2</v>
      </c>
      <c r="AM109" s="301">
        <v>2</v>
      </c>
      <c r="AN109" s="1143"/>
      <c r="AO109" s="1143"/>
      <c r="AP109" s="1143"/>
      <c r="AQ109" s="1143"/>
      <c r="AR109" s="1143"/>
      <c r="AS109" s="1143"/>
      <c r="AT109" s="301">
        <f t="shared" si="207"/>
        <v>34</v>
      </c>
      <c r="AU109" s="302">
        <f t="shared" si="214"/>
        <v>2.8333333333333335</v>
      </c>
      <c r="AV109" t="b">
        <v>1</v>
      </c>
      <c r="AX109" s="2137">
        <v>4</v>
      </c>
      <c r="AY109" s="301">
        <v>6</v>
      </c>
      <c r="AZ109" s="301">
        <v>3</v>
      </c>
      <c r="BA109" s="301">
        <v>4</v>
      </c>
      <c r="BB109" s="301">
        <v>4</v>
      </c>
      <c r="BC109" s="301">
        <v>3</v>
      </c>
      <c r="BD109" s="301">
        <v>4</v>
      </c>
      <c r="BE109" s="301">
        <v>3</v>
      </c>
      <c r="BF109" s="301">
        <v>4</v>
      </c>
      <c r="BG109" s="301">
        <v>4</v>
      </c>
      <c r="BH109" s="301">
        <v>4</v>
      </c>
      <c r="BI109" s="301">
        <v>5</v>
      </c>
      <c r="BJ109" s="301">
        <f t="shared" si="208"/>
        <v>48</v>
      </c>
      <c r="BK109" s="302">
        <f t="shared" si="209"/>
        <v>3.99966669444213</v>
      </c>
      <c r="BL109" t="b">
        <v>1</v>
      </c>
      <c r="BN109" s="1522"/>
      <c r="BO109" s="1522"/>
      <c r="BP109" s="1522"/>
      <c r="BQ109" s="322">
        <f t="shared" si="139"/>
        <v>1</v>
      </c>
      <c r="BR109">
        <f t="shared" si="140"/>
        <v>4</v>
      </c>
      <c r="BS109">
        <f t="shared" si="141"/>
        <v>5</v>
      </c>
    </row>
    <row r="110" spans="1:71" x14ac:dyDescent="0.55000000000000004">
      <c r="A110" s="7222"/>
      <c r="B110" s="245"/>
      <c r="C110" s="178" t="s">
        <v>229</v>
      </c>
      <c r="D110" s="304">
        <v>0</v>
      </c>
      <c r="E110" s="304">
        <v>0</v>
      </c>
      <c r="F110" s="304">
        <v>0</v>
      </c>
      <c r="G110" s="304">
        <v>0</v>
      </c>
      <c r="H110" s="304">
        <v>0</v>
      </c>
      <c r="I110" s="304">
        <v>0</v>
      </c>
      <c r="J110" s="304">
        <v>0</v>
      </c>
      <c r="K110" s="304">
        <v>0</v>
      </c>
      <c r="L110" s="304">
        <v>0</v>
      </c>
      <c r="M110" s="304">
        <v>0</v>
      </c>
      <c r="N110" s="304">
        <v>0</v>
      </c>
      <c r="O110" s="304">
        <v>0</v>
      </c>
      <c r="P110" s="304">
        <f t="shared" si="231"/>
        <v>0</v>
      </c>
      <c r="Q110" s="305">
        <f t="shared" si="232"/>
        <v>0</v>
      </c>
      <c r="R110" s="370">
        <v>0</v>
      </c>
      <c r="S110" s="337">
        <v>0</v>
      </c>
      <c r="T110" s="304">
        <v>0</v>
      </c>
      <c r="U110" s="304">
        <v>0</v>
      </c>
      <c r="V110" s="304">
        <v>0</v>
      </c>
      <c r="W110" s="304">
        <v>0</v>
      </c>
      <c r="X110" s="304">
        <v>0</v>
      </c>
      <c r="Y110" s="304">
        <v>0</v>
      </c>
      <c r="Z110" s="304">
        <v>0</v>
      </c>
      <c r="AA110" s="304">
        <v>0</v>
      </c>
      <c r="AB110" s="304">
        <v>0</v>
      </c>
      <c r="AC110" s="304">
        <v>0</v>
      </c>
      <c r="AD110" s="304">
        <v>0</v>
      </c>
      <c r="AE110" s="304">
        <f t="shared" si="235"/>
        <v>0</v>
      </c>
      <c r="AF110" s="305">
        <f t="shared" si="236"/>
        <v>0</v>
      </c>
      <c r="AG110" s="370"/>
      <c r="AH110" s="337">
        <v>4</v>
      </c>
      <c r="AI110" s="304">
        <v>4</v>
      </c>
      <c r="AJ110" s="304">
        <v>3</v>
      </c>
      <c r="AK110" s="304">
        <v>1</v>
      </c>
      <c r="AL110" s="304">
        <v>0</v>
      </c>
      <c r="AM110" s="304">
        <v>6</v>
      </c>
      <c r="AN110" s="1143"/>
      <c r="AO110" s="1143"/>
      <c r="AP110" s="1143"/>
      <c r="AQ110" s="1143"/>
      <c r="AR110" s="1143"/>
      <c r="AS110" s="1143"/>
      <c r="AT110" s="304">
        <f t="shared" si="207"/>
        <v>18</v>
      </c>
      <c r="AU110" s="305">
        <f t="shared" si="214"/>
        <v>1.5</v>
      </c>
      <c r="AV110" t="b">
        <v>1</v>
      </c>
      <c r="AX110" s="2138">
        <v>8</v>
      </c>
      <c r="AY110" s="304">
        <v>9</v>
      </c>
      <c r="AZ110" s="304">
        <v>7</v>
      </c>
      <c r="BA110" s="304">
        <v>4</v>
      </c>
      <c r="BB110" s="304">
        <v>3</v>
      </c>
      <c r="BC110" s="304">
        <v>3</v>
      </c>
      <c r="BD110" s="304">
        <v>6</v>
      </c>
      <c r="BE110" s="304">
        <v>3</v>
      </c>
      <c r="BF110" s="304">
        <v>2</v>
      </c>
      <c r="BG110" s="304">
        <v>1</v>
      </c>
      <c r="BH110" s="304">
        <v>2</v>
      </c>
      <c r="BI110" s="304">
        <v>1</v>
      </c>
      <c r="BJ110" s="304">
        <f t="shared" si="208"/>
        <v>49</v>
      </c>
      <c r="BK110" s="305">
        <f t="shared" si="209"/>
        <v>4.082993083909674</v>
      </c>
      <c r="BL110" t="b">
        <v>1</v>
      </c>
      <c r="BN110" s="1522"/>
      <c r="BO110" s="1522"/>
      <c r="BP110" s="1522"/>
      <c r="BQ110" s="322">
        <f t="shared" si="139"/>
        <v>-1</v>
      </c>
      <c r="BR110">
        <f t="shared" si="140"/>
        <v>2</v>
      </c>
      <c r="BS110">
        <f t="shared" si="141"/>
        <v>1</v>
      </c>
    </row>
    <row r="111" spans="1:71" x14ac:dyDescent="0.55000000000000004">
      <c r="A111" s="7222"/>
      <c r="B111" s="245"/>
      <c r="C111" s="178" t="s">
        <v>230</v>
      </c>
      <c r="D111" s="304">
        <v>0</v>
      </c>
      <c r="E111" s="304">
        <v>0</v>
      </c>
      <c r="F111" s="304">
        <v>0</v>
      </c>
      <c r="G111" s="304">
        <v>0</v>
      </c>
      <c r="H111" s="304">
        <v>0</v>
      </c>
      <c r="I111" s="304">
        <v>0</v>
      </c>
      <c r="J111" s="304">
        <v>0</v>
      </c>
      <c r="K111" s="304">
        <v>0</v>
      </c>
      <c r="L111" s="304">
        <v>0</v>
      </c>
      <c r="M111" s="304">
        <v>0</v>
      </c>
      <c r="N111" s="304">
        <v>0</v>
      </c>
      <c r="O111" s="304">
        <v>0</v>
      </c>
      <c r="P111" s="304">
        <f t="shared" si="231"/>
        <v>0</v>
      </c>
      <c r="Q111" s="305">
        <f t="shared" si="232"/>
        <v>0</v>
      </c>
      <c r="R111" s="370">
        <v>0</v>
      </c>
      <c r="S111" s="337">
        <v>0</v>
      </c>
      <c r="T111" s="304">
        <v>0</v>
      </c>
      <c r="U111" s="304">
        <v>0</v>
      </c>
      <c r="V111" s="304">
        <v>0</v>
      </c>
      <c r="W111" s="304">
        <v>0</v>
      </c>
      <c r="X111" s="304">
        <v>0</v>
      </c>
      <c r="Y111" s="304">
        <v>0</v>
      </c>
      <c r="Z111" s="304">
        <v>0</v>
      </c>
      <c r="AA111" s="304">
        <v>0</v>
      </c>
      <c r="AB111" s="304">
        <v>0</v>
      </c>
      <c r="AC111" s="304">
        <v>0</v>
      </c>
      <c r="AD111" s="304">
        <v>0</v>
      </c>
      <c r="AE111" s="304">
        <f t="shared" si="235"/>
        <v>0</v>
      </c>
      <c r="AF111" s="305">
        <f t="shared" si="236"/>
        <v>0</v>
      </c>
      <c r="AG111" s="370"/>
      <c r="AH111" s="337">
        <v>4</v>
      </c>
      <c r="AI111" s="304">
        <v>7</v>
      </c>
      <c r="AJ111" s="304">
        <v>9</v>
      </c>
      <c r="AK111" s="304">
        <v>6</v>
      </c>
      <c r="AL111" s="304">
        <v>4</v>
      </c>
      <c r="AM111" s="304">
        <v>6</v>
      </c>
      <c r="AN111" s="1143"/>
      <c r="AO111" s="1143"/>
      <c r="AP111" s="1143"/>
      <c r="AQ111" s="1143"/>
      <c r="AR111" s="1143"/>
      <c r="AS111" s="1143"/>
      <c r="AT111" s="304">
        <f t="shared" si="207"/>
        <v>36</v>
      </c>
      <c r="AU111" s="305">
        <f t="shared" si="214"/>
        <v>3</v>
      </c>
      <c r="AV111" t="b">
        <v>1</v>
      </c>
      <c r="AX111" s="2138">
        <v>5</v>
      </c>
      <c r="AY111" s="304">
        <v>7</v>
      </c>
      <c r="AZ111" s="304">
        <v>6</v>
      </c>
      <c r="BA111" s="304">
        <v>10</v>
      </c>
      <c r="BB111" s="304">
        <v>9</v>
      </c>
      <c r="BC111" s="304">
        <v>7</v>
      </c>
      <c r="BD111" s="304">
        <v>7</v>
      </c>
      <c r="BE111" s="304">
        <v>8</v>
      </c>
      <c r="BF111" s="304">
        <v>7</v>
      </c>
      <c r="BG111" s="304">
        <v>7</v>
      </c>
      <c r="BH111" s="304">
        <v>4</v>
      </c>
      <c r="BI111" s="304">
        <v>5</v>
      </c>
      <c r="BJ111" s="304">
        <f t="shared" si="208"/>
        <v>82</v>
      </c>
      <c r="BK111" s="305">
        <f t="shared" si="209"/>
        <v>6.8327639363386385</v>
      </c>
      <c r="BL111" t="b">
        <v>1</v>
      </c>
      <c r="BN111" s="1522"/>
      <c r="BO111" s="1522"/>
      <c r="BP111" s="1522"/>
      <c r="BQ111" s="322">
        <f t="shared" si="139"/>
        <v>1</v>
      </c>
      <c r="BR111">
        <f t="shared" si="140"/>
        <v>4</v>
      </c>
      <c r="BS111">
        <f t="shared" si="141"/>
        <v>5</v>
      </c>
    </row>
    <row r="112" spans="1:71" x14ac:dyDescent="0.55000000000000004">
      <c r="A112" s="7222"/>
      <c r="B112" s="245"/>
      <c r="C112" s="177" t="s">
        <v>231</v>
      </c>
      <c r="D112" s="301">
        <v>0</v>
      </c>
      <c r="E112" s="301">
        <v>0</v>
      </c>
      <c r="F112" s="301">
        <v>0</v>
      </c>
      <c r="G112" s="301">
        <v>0</v>
      </c>
      <c r="H112" s="301">
        <v>0</v>
      </c>
      <c r="I112" s="301">
        <v>0</v>
      </c>
      <c r="J112" s="301">
        <v>0</v>
      </c>
      <c r="K112" s="301">
        <v>0</v>
      </c>
      <c r="L112" s="301">
        <v>0</v>
      </c>
      <c r="M112" s="301">
        <v>0</v>
      </c>
      <c r="N112" s="301">
        <v>0</v>
      </c>
      <c r="O112" s="301">
        <v>0</v>
      </c>
      <c r="P112" s="301">
        <f t="shared" si="231"/>
        <v>0</v>
      </c>
      <c r="Q112" s="302">
        <f t="shared" si="232"/>
        <v>0</v>
      </c>
      <c r="R112" s="370">
        <v>0</v>
      </c>
      <c r="S112" s="336">
        <v>0</v>
      </c>
      <c r="T112" s="301">
        <v>0</v>
      </c>
      <c r="U112" s="301">
        <v>0</v>
      </c>
      <c r="V112" s="301">
        <v>0</v>
      </c>
      <c r="W112" s="301">
        <v>0</v>
      </c>
      <c r="X112" s="301">
        <v>0</v>
      </c>
      <c r="Y112" s="301">
        <v>0</v>
      </c>
      <c r="Z112" s="301">
        <v>0</v>
      </c>
      <c r="AA112" s="301">
        <v>0</v>
      </c>
      <c r="AB112" s="301">
        <v>0</v>
      </c>
      <c r="AC112" s="301">
        <v>0</v>
      </c>
      <c r="AD112" s="301">
        <v>0</v>
      </c>
      <c r="AE112" s="301">
        <f t="shared" si="235"/>
        <v>0</v>
      </c>
      <c r="AF112" s="302">
        <f t="shared" si="236"/>
        <v>0</v>
      </c>
      <c r="AG112" s="370"/>
      <c r="AH112" s="336">
        <v>6</v>
      </c>
      <c r="AI112" s="301">
        <v>3</v>
      </c>
      <c r="AJ112" s="301">
        <v>2</v>
      </c>
      <c r="AK112" s="301">
        <v>4</v>
      </c>
      <c r="AL112" s="301">
        <v>3</v>
      </c>
      <c r="AM112" s="301">
        <v>2</v>
      </c>
      <c r="AN112" s="1143"/>
      <c r="AO112" s="1143"/>
      <c r="AP112" s="1143"/>
      <c r="AQ112" s="1143"/>
      <c r="AR112" s="1143"/>
      <c r="AS112" s="1143"/>
      <c r="AT112" s="301">
        <f t="shared" si="207"/>
        <v>20</v>
      </c>
      <c r="AU112" s="302">
        <f t="shared" si="214"/>
        <v>1.6666666666666667</v>
      </c>
      <c r="AV112" t="b">
        <v>1</v>
      </c>
      <c r="AX112" s="2137">
        <v>8</v>
      </c>
      <c r="AY112" s="301">
        <v>7</v>
      </c>
      <c r="AZ112" s="301">
        <v>5</v>
      </c>
      <c r="BA112" s="301">
        <v>5</v>
      </c>
      <c r="BB112" s="301">
        <v>6</v>
      </c>
      <c r="BC112" s="301">
        <v>6</v>
      </c>
      <c r="BD112" s="301">
        <v>4</v>
      </c>
      <c r="BE112" s="301">
        <v>4</v>
      </c>
      <c r="BF112" s="301">
        <v>5</v>
      </c>
      <c r="BG112" s="301">
        <v>6</v>
      </c>
      <c r="BH112" s="301">
        <v>5</v>
      </c>
      <c r="BI112" s="301">
        <v>2</v>
      </c>
      <c r="BJ112" s="301">
        <f t="shared" si="208"/>
        <v>63</v>
      </c>
      <c r="BK112" s="302">
        <f t="shared" si="209"/>
        <v>5.2495625364552954</v>
      </c>
      <c r="BL112" t="b">
        <v>1</v>
      </c>
      <c r="BN112" s="1522"/>
      <c r="BO112" s="1522"/>
      <c r="BP112" s="1522"/>
      <c r="BQ112" s="322">
        <f t="shared" si="139"/>
        <v>-3</v>
      </c>
      <c r="BR112">
        <f t="shared" si="140"/>
        <v>5</v>
      </c>
      <c r="BS112">
        <f t="shared" si="141"/>
        <v>2</v>
      </c>
    </row>
    <row r="113" spans="1:71" x14ac:dyDescent="0.55000000000000004">
      <c r="A113" s="7222"/>
      <c r="B113" s="245"/>
      <c r="C113" s="177" t="s">
        <v>232</v>
      </c>
      <c r="D113" s="301">
        <v>0</v>
      </c>
      <c r="E113" s="301">
        <v>0</v>
      </c>
      <c r="F113" s="301">
        <v>0</v>
      </c>
      <c r="G113" s="301">
        <v>0</v>
      </c>
      <c r="H113" s="301">
        <v>0</v>
      </c>
      <c r="I113" s="301">
        <v>0</v>
      </c>
      <c r="J113" s="301">
        <v>0</v>
      </c>
      <c r="K113" s="301">
        <v>0</v>
      </c>
      <c r="L113" s="301">
        <v>0</v>
      </c>
      <c r="M113" s="301">
        <v>0</v>
      </c>
      <c r="N113" s="301">
        <v>0</v>
      </c>
      <c r="O113" s="301">
        <v>0</v>
      </c>
      <c r="P113" s="301">
        <f t="shared" si="231"/>
        <v>0</v>
      </c>
      <c r="Q113" s="302">
        <f t="shared" si="232"/>
        <v>0</v>
      </c>
      <c r="R113" s="370">
        <v>0</v>
      </c>
      <c r="S113" s="336">
        <v>0</v>
      </c>
      <c r="T113" s="301">
        <v>0</v>
      </c>
      <c r="U113" s="301">
        <v>0</v>
      </c>
      <c r="V113" s="301">
        <v>0</v>
      </c>
      <c r="W113" s="301">
        <v>0</v>
      </c>
      <c r="X113" s="301">
        <v>0</v>
      </c>
      <c r="Y113" s="301">
        <v>0</v>
      </c>
      <c r="Z113" s="301">
        <v>0</v>
      </c>
      <c r="AA113" s="301">
        <v>0</v>
      </c>
      <c r="AB113" s="301">
        <v>0</v>
      </c>
      <c r="AC113" s="301">
        <v>0</v>
      </c>
      <c r="AD113" s="301">
        <v>0</v>
      </c>
      <c r="AE113" s="301">
        <f t="shared" si="235"/>
        <v>0</v>
      </c>
      <c r="AF113" s="302">
        <f t="shared" si="236"/>
        <v>0</v>
      </c>
      <c r="AG113" s="370"/>
      <c r="AH113" s="336">
        <v>0</v>
      </c>
      <c r="AI113" s="301">
        <v>4</v>
      </c>
      <c r="AJ113" s="301">
        <v>5</v>
      </c>
      <c r="AK113" s="301">
        <v>5</v>
      </c>
      <c r="AL113" s="301">
        <v>8</v>
      </c>
      <c r="AM113" s="301">
        <v>4</v>
      </c>
      <c r="AN113" s="1143"/>
      <c r="AO113" s="1143"/>
      <c r="AP113" s="1143"/>
      <c r="AQ113" s="1143"/>
      <c r="AR113" s="1143"/>
      <c r="AS113" s="1143"/>
      <c r="AT113" s="301">
        <f t="shared" si="207"/>
        <v>26</v>
      </c>
      <c r="AU113" s="302">
        <f t="shared" si="214"/>
        <v>2.1666666666666665</v>
      </c>
      <c r="AV113" t="b">
        <v>1</v>
      </c>
      <c r="AX113" s="2137">
        <v>2</v>
      </c>
      <c r="AY113" s="301">
        <v>3</v>
      </c>
      <c r="AZ113" s="301">
        <v>1</v>
      </c>
      <c r="BA113" s="301">
        <v>3</v>
      </c>
      <c r="BB113" s="301">
        <v>1</v>
      </c>
      <c r="BC113" s="301">
        <v>2</v>
      </c>
      <c r="BD113" s="301">
        <v>2</v>
      </c>
      <c r="BE113" s="301">
        <v>6</v>
      </c>
      <c r="BF113" s="301">
        <v>4</v>
      </c>
      <c r="BG113" s="301">
        <v>4</v>
      </c>
      <c r="BH113" s="301">
        <v>6</v>
      </c>
      <c r="BI113" s="301">
        <v>2</v>
      </c>
      <c r="BJ113" s="301">
        <f t="shared" si="208"/>
        <v>36</v>
      </c>
      <c r="BK113" s="302">
        <f t="shared" si="209"/>
        <v>2.9997500208315975</v>
      </c>
      <c r="BL113" t="b">
        <v>1</v>
      </c>
      <c r="BN113" s="1522"/>
      <c r="BO113" s="1522"/>
      <c r="BP113" s="1522"/>
      <c r="BQ113" s="322">
        <f t="shared" si="139"/>
        <v>-4</v>
      </c>
      <c r="BR113">
        <f t="shared" si="140"/>
        <v>6</v>
      </c>
      <c r="BS113">
        <f t="shared" si="141"/>
        <v>2</v>
      </c>
    </row>
    <row r="114" spans="1:71" x14ac:dyDescent="0.55000000000000004">
      <c r="A114" s="7222"/>
      <c r="B114" s="245"/>
      <c r="C114" s="178" t="s">
        <v>233</v>
      </c>
      <c r="D114" s="304">
        <v>0</v>
      </c>
      <c r="E114" s="304">
        <v>0</v>
      </c>
      <c r="F114" s="304">
        <v>0</v>
      </c>
      <c r="G114" s="304">
        <v>0</v>
      </c>
      <c r="H114" s="304">
        <v>0</v>
      </c>
      <c r="I114" s="304">
        <v>0</v>
      </c>
      <c r="J114" s="304">
        <v>0</v>
      </c>
      <c r="K114" s="304">
        <v>0</v>
      </c>
      <c r="L114" s="304">
        <v>0</v>
      </c>
      <c r="M114" s="304">
        <v>0</v>
      </c>
      <c r="N114" s="304">
        <v>0</v>
      </c>
      <c r="O114" s="304">
        <v>0</v>
      </c>
      <c r="P114" s="304">
        <f t="shared" si="231"/>
        <v>0</v>
      </c>
      <c r="Q114" s="305">
        <f t="shared" si="232"/>
        <v>0</v>
      </c>
      <c r="R114" s="370">
        <v>0</v>
      </c>
      <c r="S114" s="337">
        <v>0</v>
      </c>
      <c r="T114" s="304">
        <v>0</v>
      </c>
      <c r="U114" s="304">
        <v>0</v>
      </c>
      <c r="V114" s="304">
        <v>0</v>
      </c>
      <c r="W114" s="304">
        <v>0</v>
      </c>
      <c r="X114" s="304">
        <v>0</v>
      </c>
      <c r="Y114" s="304">
        <v>0</v>
      </c>
      <c r="Z114" s="304">
        <v>0</v>
      </c>
      <c r="AA114" s="304">
        <v>0</v>
      </c>
      <c r="AB114" s="304">
        <v>0</v>
      </c>
      <c r="AC114" s="304">
        <v>0</v>
      </c>
      <c r="AD114" s="304">
        <v>0</v>
      </c>
      <c r="AE114" s="304">
        <f t="shared" si="235"/>
        <v>0</v>
      </c>
      <c r="AF114" s="305">
        <f t="shared" si="236"/>
        <v>0</v>
      </c>
      <c r="AG114" s="370"/>
      <c r="AH114" s="337">
        <v>6</v>
      </c>
      <c r="AI114" s="304">
        <v>8</v>
      </c>
      <c r="AJ114" s="304">
        <v>6</v>
      </c>
      <c r="AK114" s="304">
        <v>8</v>
      </c>
      <c r="AL114" s="304">
        <v>9</v>
      </c>
      <c r="AM114" s="304">
        <v>9</v>
      </c>
      <c r="AN114" s="1143"/>
      <c r="AO114" s="1143"/>
      <c r="AP114" s="1143"/>
      <c r="AQ114" s="1143"/>
      <c r="AR114" s="1143"/>
      <c r="AS114" s="1143"/>
      <c r="AT114" s="304">
        <f t="shared" si="207"/>
        <v>46</v>
      </c>
      <c r="AU114" s="305">
        <f t="shared" si="214"/>
        <v>3.8333333333333335</v>
      </c>
      <c r="AV114" t="b">
        <v>1</v>
      </c>
      <c r="AX114" s="2138">
        <v>2</v>
      </c>
      <c r="AY114" s="304">
        <v>7</v>
      </c>
      <c r="AZ114" s="304">
        <v>5</v>
      </c>
      <c r="BA114" s="304">
        <v>6</v>
      </c>
      <c r="BB114" s="304">
        <v>5</v>
      </c>
      <c r="BC114" s="304">
        <v>7</v>
      </c>
      <c r="BD114" s="304">
        <v>8</v>
      </c>
      <c r="BE114" s="304">
        <v>10</v>
      </c>
      <c r="BF114" s="304">
        <v>6</v>
      </c>
      <c r="BG114" s="304">
        <v>10</v>
      </c>
      <c r="BH114" s="304">
        <v>13</v>
      </c>
      <c r="BI114" s="304">
        <v>9</v>
      </c>
      <c r="BJ114" s="304">
        <f t="shared" si="208"/>
        <v>88</v>
      </c>
      <c r="BK114" s="305">
        <f t="shared" si="209"/>
        <v>7.3327222731439052</v>
      </c>
      <c r="BL114" t="b">
        <v>1</v>
      </c>
      <c r="BN114" s="1522"/>
      <c r="BO114" s="1522"/>
      <c r="BP114" s="1522"/>
      <c r="BQ114" s="322">
        <f t="shared" si="139"/>
        <v>-4</v>
      </c>
      <c r="BR114">
        <f t="shared" si="140"/>
        <v>13</v>
      </c>
      <c r="BS114">
        <f t="shared" si="141"/>
        <v>9</v>
      </c>
    </row>
    <row r="115" spans="1:71" x14ac:dyDescent="0.55000000000000004">
      <c r="A115" s="7222"/>
      <c r="B115" s="245"/>
      <c r="C115" s="178" t="s">
        <v>234</v>
      </c>
      <c r="D115" s="304">
        <v>0</v>
      </c>
      <c r="E115" s="304">
        <v>0</v>
      </c>
      <c r="F115" s="304">
        <v>0</v>
      </c>
      <c r="G115" s="304">
        <v>0</v>
      </c>
      <c r="H115" s="304">
        <v>0</v>
      </c>
      <c r="I115" s="304">
        <v>0</v>
      </c>
      <c r="J115" s="304">
        <v>0</v>
      </c>
      <c r="K115" s="304">
        <v>0</v>
      </c>
      <c r="L115" s="304">
        <v>0</v>
      </c>
      <c r="M115" s="304">
        <v>0</v>
      </c>
      <c r="N115" s="304">
        <v>0</v>
      </c>
      <c r="O115" s="304">
        <v>0</v>
      </c>
      <c r="P115" s="304">
        <f t="shared" si="231"/>
        <v>0</v>
      </c>
      <c r="Q115" s="305">
        <f t="shared" si="232"/>
        <v>0</v>
      </c>
      <c r="R115" s="370">
        <v>0</v>
      </c>
      <c r="S115" s="337">
        <v>0</v>
      </c>
      <c r="T115" s="304">
        <v>0</v>
      </c>
      <c r="U115" s="304">
        <v>0</v>
      </c>
      <c r="V115" s="304">
        <v>0</v>
      </c>
      <c r="W115" s="304">
        <v>0</v>
      </c>
      <c r="X115" s="304">
        <v>0</v>
      </c>
      <c r="Y115" s="304">
        <v>0</v>
      </c>
      <c r="Z115" s="304">
        <v>0</v>
      </c>
      <c r="AA115" s="304">
        <v>0</v>
      </c>
      <c r="AB115" s="304">
        <v>0</v>
      </c>
      <c r="AC115" s="304">
        <v>0</v>
      </c>
      <c r="AD115" s="304">
        <v>0</v>
      </c>
      <c r="AE115" s="304">
        <f t="shared" si="235"/>
        <v>0</v>
      </c>
      <c r="AF115" s="305">
        <f t="shared" si="236"/>
        <v>0</v>
      </c>
      <c r="AG115" s="370"/>
      <c r="AH115" s="337">
        <v>11</v>
      </c>
      <c r="AI115" s="304">
        <v>10</v>
      </c>
      <c r="AJ115" s="304">
        <v>10</v>
      </c>
      <c r="AK115" s="304">
        <v>10</v>
      </c>
      <c r="AL115" s="304">
        <v>7</v>
      </c>
      <c r="AM115" s="304">
        <v>9</v>
      </c>
      <c r="AN115" s="1143"/>
      <c r="AO115" s="1143"/>
      <c r="AP115" s="1143"/>
      <c r="AQ115" s="1143"/>
      <c r="AR115" s="1143"/>
      <c r="AS115" s="1143"/>
      <c r="AT115" s="304">
        <f t="shared" si="207"/>
        <v>57</v>
      </c>
      <c r="AU115" s="305">
        <f t="shared" si="214"/>
        <v>4.75</v>
      </c>
      <c r="AV115" t="b">
        <v>1</v>
      </c>
      <c r="AX115" s="2138">
        <v>5</v>
      </c>
      <c r="AY115" s="304">
        <v>5</v>
      </c>
      <c r="AZ115" s="304">
        <v>7</v>
      </c>
      <c r="BA115" s="304">
        <v>6</v>
      </c>
      <c r="BB115" s="304">
        <v>4</v>
      </c>
      <c r="BC115" s="304">
        <v>4</v>
      </c>
      <c r="BD115" s="304">
        <v>3</v>
      </c>
      <c r="BE115" s="304">
        <v>4</v>
      </c>
      <c r="BF115" s="304">
        <v>7</v>
      </c>
      <c r="BG115" s="304">
        <v>6</v>
      </c>
      <c r="BH115" s="304">
        <v>6</v>
      </c>
      <c r="BI115" s="304">
        <v>5</v>
      </c>
      <c r="BJ115" s="304">
        <f t="shared" si="208"/>
        <v>62</v>
      </c>
      <c r="BK115" s="305">
        <f t="shared" si="209"/>
        <v>5.1662361469877514</v>
      </c>
      <c r="BL115" t="b">
        <v>1</v>
      </c>
      <c r="BN115" s="1522"/>
      <c r="BO115" s="1522"/>
      <c r="BP115" s="1522"/>
      <c r="BQ115" s="322">
        <f t="shared" si="139"/>
        <v>-1</v>
      </c>
      <c r="BR115">
        <f t="shared" si="140"/>
        <v>6</v>
      </c>
      <c r="BS115">
        <f t="shared" si="141"/>
        <v>5</v>
      </c>
    </row>
    <row r="116" spans="1:71" x14ac:dyDescent="0.55000000000000004">
      <c r="A116" s="7222"/>
      <c r="B116" s="245"/>
      <c r="C116" s="177" t="s">
        <v>235</v>
      </c>
      <c r="D116" s="301">
        <v>0</v>
      </c>
      <c r="E116" s="301">
        <v>0</v>
      </c>
      <c r="F116" s="301">
        <v>0</v>
      </c>
      <c r="G116" s="301">
        <v>0</v>
      </c>
      <c r="H116" s="301">
        <v>0</v>
      </c>
      <c r="I116" s="301">
        <v>0</v>
      </c>
      <c r="J116" s="301">
        <v>0</v>
      </c>
      <c r="K116" s="301">
        <v>0</v>
      </c>
      <c r="L116" s="301">
        <v>0</v>
      </c>
      <c r="M116" s="301">
        <v>0</v>
      </c>
      <c r="N116" s="301">
        <v>0</v>
      </c>
      <c r="O116" s="301">
        <v>0</v>
      </c>
      <c r="P116" s="301">
        <f t="shared" si="231"/>
        <v>0</v>
      </c>
      <c r="Q116" s="302">
        <f t="shared" si="232"/>
        <v>0</v>
      </c>
      <c r="R116" s="370">
        <v>0</v>
      </c>
      <c r="S116" s="336">
        <v>0</v>
      </c>
      <c r="T116" s="301">
        <v>0</v>
      </c>
      <c r="U116" s="301">
        <v>0</v>
      </c>
      <c r="V116" s="301">
        <v>0</v>
      </c>
      <c r="W116" s="301">
        <v>0</v>
      </c>
      <c r="X116" s="301">
        <v>0</v>
      </c>
      <c r="Y116" s="301">
        <v>0</v>
      </c>
      <c r="Z116" s="301">
        <v>0</v>
      </c>
      <c r="AA116" s="301">
        <v>0</v>
      </c>
      <c r="AB116" s="301">
        <v>0</v>
      </c>
      <c r="AC116" s="301">
        <v>0</v>
      </c>
      <c r="AD116" s="301">
        <v>0</v>
      </c>
      <c r="AE116" s="301">
        <f t="shared" si="235"/>
        <v>0</v>
      </c>
      <c r="AF116" s="302">
        <f t="shared" si="236"/>
        <v>0</v>
      </c>
      <c r="AG116" s="370"/>
      <c r="AH116" s="336">
        <v>9</v>
      </c>
      <c r="AI116" s="301">
        <v>9</v>
      </c>
      <c r="AJ116" s="301">
        <v>10</v>
      </c>
      <c r="AK116" s="301">
        <v>9</v>
      </c>
      <c r="AL116" s="301">
        <v>8</v>
      </c>
      <c r="AM116" s="301">
        <v>9</v>
      </c>
      <c r="AN116" s="1143"/>
      <c r="AO116" s="1143"/>
      <c r="AP116" s="1143"/>
      <c r="AQ116" s="1143"/>
      <c r="AR116" s="1143"/>
      <c r="AS116" s="1143"/>
      <c r="AT116" s="301">
        <f t="shared" si="207"/>
        <v>54</v>
      </c>
      <c r="AU116" s="302">
        <f t="shared" si="214"/>
        <v>4.5</v>
      </c>
      <c r="AV116" t="b">
        <v>1</v>
      </c>
      <c r="AX116" s="2137">
        <v>6</v>
      </c>
      <c r="AY116" s="301">
        <v>7</v>
      </c>
      <c r="AZ116" s="301">
        <v>5</v>
      </c>
      <c r="BA116" s="301">
        <v>3</v>
      </c>
      <c r="BB116" s="301">
        <v>5</v>
      </c>
      <c r="BC116" s="301">
        <v>4</v>
      </c>
      <c r="BD116" s="301">
        <v>5</v>
      </c>
      <c r="BE116" s="301">
        <v>4</v>
      </c>
      <c r="BF116" s="301">
        <v>4</v>
      </c>
      <c r="BG116" s="301">
        <v>4</v>
      </c>
      <c r="BH116" s="301">
        <v>5</v>
      </c>
      <c r="BI116" s="301">
        <v>6</v>
      </c>
      <c r="BJ116" s="301">
        <f t="shared" si="208"/>
        <v>58</v>
      </c>
      <c r="BK116" s="302">
        <f t="shared" si="209"/>
        <v>4.8329305891175736</v>
      </c>
      <c r="BL116" t="b">
        <v>1</v>
      </c>
      <c r="BN116" s="1522"/>
      <c r="BO116" s="1522"/>
      <c r="BP116" s="1522"/>
      <c r="BQ116" s="322">
        <f t="shared" si="139"/>
        <v>1</v>
      </c>
      <c r="BR116">
        <f t="shared" si="140"/>
        <v>5</v>
      </c>
      <c r="BS116">
        <f t="shared" si="141"/>
        <v>6</v>
      </c>
    </row>
    <row r="117" spans="1:71" ht="18" thickBot="1" x14ac:dyDescent="0.6">
      <c r="A117" s="7223"/>
      <c r="B117" s="246"/>
      <c r="C117" s="179" t="s">
        <v>236</v>
      </c>
      <c r="D117" s="307">
        <v>0</v>
      </c>
      <c r="E117" s="307">
        <v>0</v>
      </c>
      <c r="F117" s="307">
        <v>0</v>
      </c>
      <c r="G117" s="307">
        <v>0</v>
      </c>
      <c r="H117" s="307">
        <v>0</v>
      </c>
      <c r="I117" s="307">
        <v>0</v>
      </c>
      <c r="J117" s="307">
        <v>0</v>
      </c>
      <c r="K117" s="307">
        <v>0</v>
      </c>
      <c r="L117" s="307">
        <v>0</v>
      </c>
      <c r="M117" s="307">
        <v>0</v>
      </c>
      <c r="N117" s="307">
        <v>0</v>
      </c>
      <c r="O117" s="307">
        <v>0</v>
      </c>
      <c r="P117" s="307">
        <f t="shared" si="231"/>
        <v>0</v>
      </c>
      <c r="Q117" s="308">
        <f t="shared" si="232"/>
        <v>0</v>
      </c>
      <c r="R117" s="370">
        <v>0</v>
      </c>
      <c r="S117" s="338">
        <v>0</v>
      </c>
      <c r="T117" s="307">
        <v>0</v>
      </c>
      <c r="U117" s="307">
        <v>0</v>
      </c>
      <c r="V117" s="307">
        <v>0</v>
      </c>
      <c r="W117" s="307">
        <v>0</v>
      </c>
      <c r="X117" s="307">
        <v>0</v>
      </c>
      <c r="Y117" s="307">
        <v>0</v>
      </c>
      <c r="Z117" s="307">
        <v>0</v>
      </c>
      <c r="AA117" s="307">
        <v>0</v>
      </c>
      <c r="AB117" s="307">
        <v>0</v>
      </c>
      <c r="AC117" s="307">
        <v>0</v>
      </c>
      <c r="AD117" s="307">
        <v>0</v>
      </c>
      <c r="AE117" s="307">
        <f t="shared" si="235"/>
        <v>0</v>
      </c>
      <c r="AF117" s="308">
        <f t="shared" si="236"/>
        <v>0</v>
      </c>
      <c r="AG117" s="370"/>
      <c r="AH117" s="338">
        <v>7</v>
      </c>
      <c r="AI117" s="307">
        <v>10</v>
      </c>
      <c r="AJ117" s="307">
        <v>10</v>
      </c>
      <c r="AK117" s="307">
        <v>13</v>
      </c>
      <c r="AL117" s="307">
        <v>11</v>
      </c>
      <c r="AM117" s="307">
        <v>12</v>
      </c>
      <c r="AN117" s="1137"/>
      <c r="AO117" s="1137"/>
      <c r="AP117" s="1137"/>
      <c r="AQ117" s="1137"/>
      <c r="AR117" s="1137"/>
      <c r="AS117" s="1137"/>
      <c r="AT117" s="307">
        <f t="shared" si="207"/>
        <v>63</v>
      </c>
      <c r="AU117" s="308">
        <f t="shared" si="214"/>
        <v>5.25</v>
      </c>
      <c r="AV117" t="b">
        <v>1</v>
      </c>
      <c r="AX117" s="2139">
        <v>8</v>
      </c>
      <c r="AY117" s="307">
        <v>11</v>
      </c>
      <c r="AZ117" s="307">
        <v>6</v>
      </c>
      <c r="BA117" s="307">
        <v>4</v>
      </c>
      <c r="BB117" s="307">
        <v>6</v>
      </c>
      <c r="BC117" s="307">
        <v>5</v>
      </c>
      <c r="BD117" s="307">
        <v>5</v>
      </c>
      <c r="BE117" s="307">
        <v>8</v>
      </c>
      <c r="BF117" s="307">
        <v>7</v>
      </c>
      <c r="BG117" s="307">
        <v>6</v>
      </c>
      <c r="BH117" s="307">
        <v>5</v>
      </c>
      <c r="BI117" s="307">
        <v>6</v>
      </c>
      <c r="BJ117" s="307">
        <f t="shared" si="208"/>
        <v>77</v>
      </c>
      <c r="BK117" s="308">
        <f t="shared" si="209"/>
        <v>6.4161319890009167</v>
      </c>
      <c r="BL117" t="b">
        <v>1</v>
      </c>
      <c r="BN117" s="1522"/>
      <c r="BO117" s="1522"/>
      <c r="BP117" s="1522"/>
      <c r="BQ117" s="322">
        <f t="shared" si="139"/>
        <v>1</v>
      </c>
      <c r="BR117">
        <f t="shared" si="140"/>
        <v>5</v>
      </c>
      <c r="BS117">
        <f t="shared" si="141"/>
        <v>6</v>
      </c>
    </row>
    <row r="118" spans="1:71" x14ac:dyDescent="0.55000000000000004">
      <c r="A118" s="7221" t="s">
        <v>402</v>
      </c>
      <c r="B118" s="41" t="s">
        <v>259</v>
      </c>
      <c r="C118" s="16"/>
      <c r="D118" s="270">
        <f t="shared" ref="D118:O118" si="252">SUM(D119:D121)</f>
        <v>0</v>
      </c>
      <c r="E118" s="271">
        <f t="shared" si="252"/>
        <v>0</v>
      </c>
      <c r="F118" s="271">
        <f t="shared" si="252"/>
        <v>0</v>
      </c>
      <c r="G118" s="271">
        <f t="shared" si="252"/>
        <v>0</v>
      </c>
      <c r="H118" s="271">
        <f t="shared" si="252"/>
        <v>0</v>
      </c>
      <c r="I118" s="271">
        <f t="shared" si="252"/>
        <v>0</v>
      </c>
      <c r="J118" s="271">
        <f t="shared" si="252"/>
        <v>0</v>
      </c>
      <c r="K118" s="271">
        <f t="shared" si="252"/>
        <v>0</v>
      </c>
      <c r="L118" s="271">
        <f t="shared" si="252"/>
        <v>0</v>
      </c>
      <c r="M118" s="271">
        <f t="shared" si="252"/>
        <v>0</v>
      </c>
      <c r="N118" s="271">
        <f t="shared" si="252"/>
        <v>0</v>
      </c>
      <c r="O118" s="271">
        <f t="shared" si="252"/>
        <v>0</v>
      </c>
      <c r="P118" s="271">
        <f t="shared" si="231"/>
        <v>0</v>
      </c>
      <c r="Q118" s="272">
        <f t="shared" si="232"/>
        <v>0</v>
      </c>
      <c r="R118" s="370">
        <v>0</v>
      </c>
      <c r="S118" s="270">
        <f t="shared" ref="S118:AD118" si="253">SUM(S119:S121)</f>
        <v>0</v>
      </c>
      <c r="T118" s="271">
        <f t="shared" si="253"/>
        <v>0</v>
      </c>
      <c r="U118" s="271">
        <f t="shared" si="253"/>
        <v>0</v>
      </c>
      <c r="V118" s="271">
        <f t="shared" si="253"/>
        <v>0</v>
      </c>
      <c r="W118" s="271">
        <f t="shared" si="253"/>
        <v>0</v>
      </c>
      <c r="X118" s="271">
        <f t="shared" si="253"/>
        <v>0</v>
      </c>
      <c r="Y118" s="271">
        <f t="shared" si="253"/>
        <v>0</v>
      </c>
      <c r="Z118" s="271">
        <f t="shared" si="253"/>
        <v>0</v>
      </c>
      <c r="AA118" s="271">
        <f t="shared" si="253"/>
        <v>0</v>
      </c>
      <c r="AB118" s="271">
        <f t="shared" si="253"/>
        <v>0</v>
      </c>
      <c r="AC118" s="271">
        <f t="shared" si="253"/>
        <v>0</v>
      </c>
      <c r="AD118" s="271">
        <f t="shared" si="253"/>
        <v>0</v>
      </c>
      <c r="AE118" s="271">
        <f>SUM(S118:AD118)</f>
        <v>0</v>
      </c>
      <c r="AF118" s="272">
        <f>AE118/12</f>
        <v>0</v>
      </c>
      <c r="AG118" s="370"/>
      <c r="AH118" s="270">
        <f t="shared" ref="AH118:AS118" si="254">SUM(AH119:AH121)</f>
        <v>47</v>
      </c>
      <c r="AI118" s="271">
        <f t="shared" si="254"/>
        <v>54</v>
      </c>
      <c r="AJ118" s="271">
        <f t="shared" si="254"/>
        <v>40</v>
      </c>
      <c r="AK118" s="271">
        <f t="shared" si="254"/>
        <v>58</v>
      </c>
      <c r="AL118" s="271">
        <f t="shared" si="254"/>
        <v>43</v>
      </c>
      <c r="AM118" s="271">
        <f t="shared" si="254"/>
        <v>38</v>
      </c>
      <c r="AN118" s="1138">
        <f t="shared" si="254"/>
        <v>0</v>
      </c>
      <c r="AO118" s="1138">
        <f t="shared" si="254"/>
        <v>0</v>
      </c>
      <c r="AP118" s="1138">
        <f t="shared" si="254"/>
        <v>0</v>
      </c>
      <c r="AQ118" s="1138">
        <f t="shared" si="254"/>
        <v>0</v>
      </c>
      <c r="AR118" s="1138">
        <v>0</v>
      </c>
      <c r="AS118" s="1138">
        <f t="shared" si="254"/>
        <v>0</v>
      </c>
      <c r="AT118" s="271">
        <f t="shared" si="207"/>
        <v>280</v>
      </c>
      <c r="AU118" s="272">
        <f t="shared" si="214"/>
        <v>23.333333333333332</v>
      </c>
      <c r="AV118" t="b">
        <v>1</v>
      </c>
      <c r="AX118" s="2142">
        <v>80</v>
      </c>
      <c r="AY118" s="271">
        <v>79</v>
      </c>
      <c r="AZ118" s="271">
        <v>76</v>
      </c>
      <c r="BA118" s="271">
        <v>73</v>
      </c>
      <c r="BB118" s="271">
        <v>64</v>
      </c>
      <c r="BC118" s="271">
        <v>58</v>
      </c>
      <c r="BD118" s="271">
        <v>58</v>
      </c>
      <c r="BE118" s="271">
        <v>57</v>
      </c>
      <c r="BF118" s="271">
        <v>55</v>
      </c>
      <c r="BG118" s="271">
        <v>50</v>
      </c>
      <c r="BH118" s="271">
        <v>52</v>
      </c>
      <c r="BI118" s="271">
        <v>60</v>
      </c>
      <c r="BJ118" s="271">
        <f t="shared" si="208"/>
        <v>762</v>
      </c>
      <c r="BK118" s="272">
        <f t="shared" si="209"/>
        <v>63.494708774268815</v>
      </c>
      <c r="BL118" t="b">
        <v>1</v>
      </c>
      <c r="BN118" s="1522"/>
      <c r="BO118" s="1522"/>
      <c r="BP118" s="1522"/>
      <c r="BQ118" s="322">
        <f t="shared" si="139"/>
        <v>8</v>
      </c>
      <c r="BR118">
        <f t="shared" si="140"/>
        <v>52</v>
      </c>
      <c r="BS118">
        <f t="shared" si="141"/>
        <v>60</v>
      </c>
    </row>
    <row r="119" spans="1:71" x14ac:dyDescent="0.55000000000000004">
      <c r="A119" s="7222"/>
      <c r="B119" s="42"/>
      <c r="C119" s="35" t="s">
        <v>260</v>
      </c>
      <c r="D119" s="273">
        <v>0</v>
      </c>
      <c r="E119" s="274">
        <v>0</v>
      </c>
      <c r="F119" s="274">
        <v>0</v>
      </c>
      <c r="G119" s="274">
        <v>0</v>
      </c>
      <c r="H119" s="274">
        <v>0</v>
      </c>
      <c r="I119" s="274">
        <v>0</v>
      </c>
      <c r="J119" s="274">
        <v>0</v>
      </c>
      <c r="K119" s="274">
        <v>0</v>
      </c>
      <c r="L119" s="274">
        <v>0</v>
      </c>
      <c r="M119" s="274">
        <v>0</v>
      </c>
      <c r="N119" s="274">
        <v>0</v>
      </c>
      <c r="O119" s="274">
        <v>0</v>
      </c>
      <c r="P119" s="274">
        <f t="shared" si="231"/>
        <v>0</v>
      </c>
      <c r="Q119" s="275">
        <f t="shared" si="232"/>
        <v>0</v>
      </c>
      <c r="R119" s="370">
        <v>0</v>
      </c>
      <c r="S119" s="273">
        <v>0</v>
      </c>
      <c r="T119" s="274">
        <v>0</v>
      </c>
      <c r="U119" s="274">
        <v>0</v>
      </c>
      <c r="V119" s="274">
        <v>0</v>
      </c>
      <c r="W119" s="274">
        <v>0</v>
      </c>
      <c r="X119" s="274">
        <v>0</v>
      </c>
      <c r="Y119" s="274">
        <v>0</v>
      </c>
      <c r="Z119" s="274">
        <v>0</v>
      </c>
      <c r="AA119" s="274">
        <v>0</v>
      </c>
      <c r="AB119" s="274">
        <v>0</v>
      </c>
      <c r="AC119" s="274">
        <v>0</v>
      </c>
      <c r="AD119" s="274">
        <v>0</v>
      </c>
      <c r="AE119" s="274">
        <f t="shared" ref="AE119:AE136" si="255">SUM(S119:AD119)</f>
        <v>0</v>
      </c>
      <c r="AF119" s="275">
        <f t="shared" ref="AF119:AF136" si="256">AE119/12</f>
        <v>0</v>
      </c>
      <c r="AG119" s="370"/>
      <c r="AH119" s="273">
        <v>0</v>
      </c>
      <c r="AI119" s="274">
        <v>0</v>
      </c>
      <c r="AJ119" s="274">
        <v>0</v>
      </c>
      <c r="AK119" s="274">
        <v>0</v>
      </c>
      <c r="AL119" s="274">
        <v>0</v>
      </c>
      <c r="AM119" s="274">
        <v>1</v>
      </c>
      <c r="AN119" s="1139"/>
      <c r="AO119" s="1139"/>
      <c r="AP119" s="1139"/>
      <c r="AQ119" s="1139"/>
      <c r="AR119" s="1139"/>
      <c r="AS119" s="1139"/>
      <c r="AT119" s="274">
        <f t="shared" si="207"/>
        <v>1</v>
      </c>
      <c r="AU119" s="275">
        <f t="shared" si="214"/>
        <v>8.3333333333333329E-2</v>
      </c>
      <c r="AV119" t="b">
        <v>1</v>
      </c>
      <c r="AX119" s="2152">
        <v>0</v>
      </c>
      <c r="AY119" s="274">
        <v>0</v>
      </c>
      <c r="AZ119" s="2215">
        <v>0</v>
      </c>
      <c r="BA119" s="274">
        <v>0</v>
      </c>
      <c r="BB119" s="274" t="s">
        <v>483</v>
      </c>
      <c r="BC119" s="274" t="s">
        <v>482</v>
      </c>
      <c r="BD119" s="274" t="s">
        <v>483</v>
      </c>
      <c r="BE119" s="274">
        <v>0</v>
      </c>
      <c r="BF119" s="274" t="s">
        <v>482</v>
      </c>
      <c r="BG119" s="274" t="s">
        <v>482</v>
      </c>
      <c r="BH119" s="274" t="s">
        <v>482</v>
      </c>
      <c r="BI119" s="274" t="s">
        <v>482</v>
      </c>
      <c r="BJ119" s="274">
        <f t="shared" si="208"/>
        <v>0</v>
      </c>
      <c r="BK119" s="275">
        <f t="shared" si="209"/>
        <v>0</v>
      </c>
      <c r="BL119" t="b">
        <v>1</v>
      </c>
      <c r="BN119" s="1522"/>
      <c r="BO119" s="1522"/>
      <c r="BP119" s="1522"/>
      <c r="BQ119" s="322" t="e">
        <f t="shared" si="139"/>
        <v>#VALUE!</v>
      </c>
      <c r="BR119" t="str">
        <f t="shared" si="140"/>
        <v>-</v>
      </c>
      <c r="BS119" t="str">
        <f t="shared" si="141"/>
        <v>-</v>
      </c>
    </row>
    <row r="120" spans="1:71" x14ac:dyDescent="0.55000000000000004">
      <c r="A120" s="7222"/>
      <c r="B120" s="42"/>
      <c r="C120" s="35" t="s">
        <v>262</v>
      </c>
      <c r="D120" s="273">
        <v>0</v>
      </c>
      <c r="E120" s="274">
        <v>0</v>
      </c>
      <c r="F120" s="274">
        <v>0</v>
      </c>
      <c r="G120" s="274">
        <v>0</v>
      </c>
      <c r="H120" s="274">
        <v>0</v>
      </c>
      <c r="I120" s="274">
        <v>0</v>
      </c>
      <c r="J120" s="274">
        <v>0</v>
      </c>
      <c r="K120" s="274">
        <v>0</v>
      </c>
      <c r="L120" s="274">
        <v>0</v>
      </c>
      <c r="M120" s="274">
        <v>0</v>
      </c>
      <c r="N120" s="274">
        <v>0</v>
      </c>
      <c r="O120" s="274">
        <v>0</v>
      </c>
      <c r="P120" s="274">
        <f t="shared" si="231"/>
        <v>0</v>
      </c>
      <c r="Q120" s="275">
        <f t="shared" si="232"/>
        <v>0</v>
      </c>
      <c r="R120" s="370">
        <v>0</v>
      </c>
      <c r="S120" s="273">
        <v>0</v>
      </c>
      <c r="T120" s="274">
        <v>0</v>
      </c>
      <c r="U120" s="274">
        <v>0</v>
      </c>
      <c r="V120" s="274">
        <v>0</v>
      </c>
      <c r="W120" s="274">
        <v>0</v>
      </c>
      <c r="X120" s="274">
        <v>0</v>
      </c>
      <c r="Y120" s="274">
        <v>0</v>
      </c>
      <c r="Z120" s="274">
        <v>0</v>
      </c>
      <c r="AA120" s="274">
        <v>0</v>
      </c>
      <c r="AB120" s="274">
        <v>0</v>
      </c>
      <c r="AC120" s="274">
        <v>0</v>
      </c>
      <c r="AD120" s="274">
        <v>0</v>
      </c>
      <c r="AE120" s="274">
        <f t="shared" si="255"/>
        <v>0</v>
      </c>
      <c r="AF120" s="275">
        <f t="shared" si="256"/>
        <v>0</v>
      </c>
      <c r="AG120" s="370"/>
      <c r="AH120" s="273">
        <v>46</v>
      </c>
      <c r="AI120" s="274">
        <v>54</v>
      </c>
      <c r="AJ120" s="274">
        <v>39</v>
      </c>
      <c r="AK120" s="274">
        <v>57</v>
      </c>
      <c r="AL120" s="274">
        <v>42</v>
      </c>
      <c r="AM120" s="274">
        <v>35</v>
      </c>
      <c r="AN120" s="1139"/>
      <c r="AO120" s="1139"/>
      <c r="AP120" s="1139"/>
      <c r="AQ120" s="1139"/>
      <c r="AR120" s="1139"/>
      <c r="AS120" s="1139"/>
      <c r="AT120" s="274">
        <f t="shared" si="207"/>
        <v>273</v>
      </c>
      <c r="AU120" s="275">
        <f t="shared" si="214"/>
        <v>22.75</v>
      </c>
      <c r="AV120" t="b">
        <v>1</v>
      </c>
      <c r="AX120" s="2152">
        <v>76</v>
      </c>
      <c r="AY120" s="274">
        <v>76</v>
      </c>
      <c r="AZ120" s="274">
        <v>75</v>
      </c>
      <c r="BA120" s="274">
        <v>70</v>
      </c>
      <c r="BB120" s="274">
        <v>61</v>
      </c>
      <c r="BC120" s="274">
        <v>56</v>
      </c>
      <c r="BD120" s="274">
        <v>56</v>
      </c>
      <c r="BE120" s="274">
        <v>56</v>
      </c>
      <c r="BF120" s="274">
        <v>52</v>
      </c>
      <c r="BG120" s="274">
        <v>47</v>
      </c>
      <c r="BH120" s="274">
        <v>50</v>
      </c>
      <c r="BI120" s="274">
        <v>57</v>
      </c>
      <c r="BJ120" s="274">
        <f t="shared" si="208"/>
        <v>732</v>
      </c>
      <c r="BK120" s="275">
        <f t="shared" si="209"/>
        <v>60.994917090242481</v>
      </c>
      <c r="BL120" t="b">
        <v>1</v>
      </c>
      <c r="BN120" s="1522"/>
      <c r="BO120" s="1522"/>
      <c r="BP120" s="1522"/>
      <c r="BQ120" s="322">
        <f t="shared" si="139"/>
        <v>7</v>
      </c>
      <c r="BR120">
        <f t="shared" si="140"/>
        <v>50</v>
      </c>
      <c r="BS120">
        <f t="shared" si="141"/>
        <v>57</v>
      </c>
    </row>
    <row r="121" spans="1:71" x14ac:dyDescent="0.55000000000000004">
      <c r="A121" s="7222"/>
      <c r="B121" s="42"/>
      <c r="C121" s="35" t="s">
        <v>261</v>
      </c>
      <c r="D121" s="273">
        <v>0</v>
      </c>
      <c r="E121" s="274">
        <v>0</v>
      </c>
      <c r="F121" s="274">
        <v>0</v>
      </c>
      <c r="G121" s="274">
        <v>0</v>
      </c>
      <c r="H121" s="274">
        <v>0</v>
      </c>
      <c r="I121" s="274">
        <v>0</v>
      </c>
      <c r="J121" s="274">
        <v>0</v>
      </c>
      <c r="K121" s="274">
        <v>0</v>
      </c>
      <c r="L121" s="274">
        <v>0</v>
      </c>
      <c r="M121" s="274">
        <v>0</v>
      </c>
      <c r="N121" s="274">
        <v>0</v>
      </c>
      <c r="O121" s="274">
        <v>0</v>
      </c>
      <c r="P121" s="274">
        <f t="shared" si="231"/>
        <v>0</v>
      </c>
      <c r="Q121" s="275">
        <f t="shared" si="232"/>
        <v>0</v>
      </c>
      <c r="R121" s="370">
        <v>0</v>
      </c>
      <c r="S121" s="273">
        <v>0</v>
      </c>
      <c r="T121" s="274">
        <v>0</v>
      </c>
      <c r="U121" s="274">
        <v>0</v>
      </c>
      <c r="V121" s="274">
        <v>0</v>
      </c>
      <c r="W121" s="274">
        <v>0</v>
      </c>
      <c r="X121" s="274">
        <v>0</v>
      </c>
      <c r="Y121" s="274">
        <v>0</v>
      </c>
      <c r="Z121" s="274">
        <v>0</v>
      </c>
      <c r="AA121" s="274">
        <v>0</v>
      </c>
      <c r="AB121" s="274">
        <v>0</v>
      </c>
      <c r="AC121" s="274">
        <v>0</v>
      </c>
      <c r="AD121" s="274">
        <v>0</v>
      </c>
      <c r="AE121" s="274">
        <f t="shared" si="255"/>
        <v>0</v>
      </c>
      <c r="AF121" s="275">
        <f t="shared" si="256"/>
        <v>0</v>
      </c>
      <c r="AG121" s="370"/>
      <c r="AH121" s="273">
        <v>1</v>
      </c>
      <c r="AI121" s="274">
        <v>0</v>
      </c>
      <c r="AJ121" s="274">
        <v>1</v>
      </c>
      <c r="AK121" s="274">
        <v>1</v>
      </c>
      <c r="AL121" s="274">
        <v>1</v>
      </c>
      <c r="AM121" s="274">
        <v>2</v>
      </c>
      <c r="AN121" s="1139"/>
      <c r="AO121" s="1139"/>
      <c r="AP121" s="1139"/>
      <c r="AQ121" s="1139"/>
      <c r="AR121" s="1139"/>
      <c r="AS121" s="1139"/>
      <c r="AT121" s="274">
        <f t="shared" si="207"/>
        <v>6</v>
      </c>
      <c r="AU121" s="275">
        <f t="shared" si="214"/>
        <v>0.5</v>
      </c>
      <c r="AV121" t="b">
        <v>1</v>
      </c>
      <c r="AX121" s="2152">
        <v>4</v>
      </c>
      <c r="AY121" s="274">
        <v>3</v>
      </c>
      <c r="AZ121" s="274">
        <v>1</v>
      </c>
      <c r="BA121" s="274">
        <v>3</v>
      </c>
      <c r="BB121" s="274">
        <v>3</v>
      </c>
      <c r="BC121" s="274">
        <v>2</v>
      </c>
      <c r="BD121" s="274">
        <v>2</v>
      </c>
      <c r="BE121" s="274">
        <v>1</v>
      </c>
      <c r="BF121" s="274">
        <v>3</v>
      </c>
      <c r="BG121" s="274">
        <v>3</v>
      </c>
      <c r="BH121" s="274">
        <v>2</v>
      </c>
      <c r="BI121" s="274">
        <v>3</v>
      </c>
      <c r="BJ121" s="274">
        <f t="shared" si="208"/>
        <v>30</v>
      </c>
      <c r="BK121" s="275">
        <f t="shared" si="209"/>
        <v>2.4997916840263312</v>
      </c>
      <c r="BL121" t="b">
        <v>1</v>
      </c>
      <c r="BN121" s="1522"/>
      <c r="BO121" s="1522"/>
      <c r="BP121" s="1522"/>
      <c r="BQ121" s="322">
        <f t="shared" si="139"/>
        <v>1</v>
      </c>
      <c r="BR121">
        <f t="shared" si="140"/>
        <v>2</v>
      </c>
      <c r="BS121">
        <f t="shared" si="141"/>
        <v>3</v>
      </c>
    </row>
    <row r="122" spans="1:71" x14ac:dyDescent="0.55000000000000004">
      <c r="A122" s="7222"/>
      <c r="B122" s="243" t="s">
        <v>222</v>
      </c>
      <c r="C122" s="107"/>
      <c r="D122" s="276">
        <f>D127+D128</f>
        <v>0</v>
      </c>
      <c r="E122" s="277">
        <f t="shared" ref="E122:O122" si="257">E127+E128</f>
        <v>0</v>
      </c>
      <c r="F122" s="277">
        <f t="shared" si="257"/>
        <v>0</v>
      </c>
      <c r="G122" s="277">
        <f t="shared" si="257"/>
        <v>0</v>
      </c>
      <c r="H122" s="277">
        <f t="shared" si="257"/>
        <v>0</v>
      </c>
      <c r="I122" s="277">
        <f t="shared" si="257"/>
        <v>0</v>
      </c>
      <c r="J122" s="277">
        <f t="shared" si="257"/>
        <v>0</v>
      </c>
      <c r="K122" s="277">
        <f t="shared" si="257"/>
        <v>0</v>
      </c>
      <c r="L122" s="277">
        <f t="shared" si="257"/>
        <v>0</v>
      </c>
      <c r="M122" s="277">
        <f t="shared" si="257"/>
        <v>0</v>
      </c>
      <c r="N122" s="277">
        <f t="shared" si="257"/>
        <v>0</v>
      </c>
      <c r="O122" s="277">
        <f t="shared" si="257"/>
        <v>0</v>
      </c>
      <c r="P122" s="277">
        <f t="shared" si="231"/>
        <v>0</v>
      </c>
      <c r="Q122" s="278">
        <f t="shared" si="232"/>
        <v>0</v>
      </c>
      <c r="R122" s="370">
        <v>0</v>
      </c>
      <c r="S122" s="276">
        <f>S127+S128</f>
        <v>0</v>
      </c>
      <c r="T122" s="277">
        <f t="shared" ref="T122:AD122" si="258">T127+T128</f>
        <v>0</v>
      </c>
      <c r="U122" s="277">
        <f t="shared" si="258"/>
        <v>0</v>
      </c>
      <c r="V122" s="277">
        <f t="shared" si="258"/>
        <v>0</v>
      </c>
      <c r="W122" s="277">
        <f t="shared" si="258"/>
        <v>0</v>
      </c>
      <c r="X122" s="277">
        <f t="shared" si="258"/>
        <v>0</v>
      </c>
      <c r="Y122" s="277">
        <f t="shared" si="258"/>
        <v>0</v>
      </c>
      <c r="Z122" s="277">
        <f t="shared" si="258"/>
        <v>0</v>
      </c>
      <c r="AA122" s="277">
        <f t="shared" si="258"/>
        <v>0</v>
      </c>
      <c r="AB122" s="277">
        <f t="shared" si="258"/>
        <v>0</v>
      </c>
      <c r="AC122" s="277">
        <f t="shared" si="258"/>
        <v>0</v>
      </c>
      <c r="AD122" s="277">
        <f t="shared" si="258"/>
        <v>0</v>
      </c>
      <c r="AE122" s="277">
        <f t="shared" si="255"/>
        <v>0</v>
      </c>
      <c r="AF122" s="278">
        <f t="shared" si="256"/>
        <v>0</v>
      </c>
      <c r="AG122" s="370"/>
      <c r="AH122" s="276">
        <f>AH127+AH128</f>
        <v>5</v>
      </c>
      <c r="AI122" s="277">
        <f t="shared" ref="AI122:AS122" si="259">AI127+AI128</f>
        <v>9</v>
      </c>
      <c r="AJ122" s="277">
        <f t="shared" si="259"/>
        <v>4</v>
      </c>
      <c r="AK122" s="277">
        <f t="shared" si="259"/>
        <v>12</v>
      </c>
      <c r="AL122" s="277">
        <f t="shared" si="259"/>
        <v>10</v>
      </c>
      <c r="AM122" s="277">
        <f t="shared" si="259"/>
        <v>9</v>
      </c>
      <c r="AN122" s="1140">
        <f t="shared" si="259"/>
        <v>0</v>
      </c>
      <c r="AO122" s="1140">
        <f t="shared" si="259"/>
        <v>0</v>
      </c>
      <c r="AP122" s="1140">
        <f t="shared" si="259"/>
        <v>0</v>
      </c>
      <c r="AQ122" s="1140">
        <f t="shared" si="259"/>
        <v>0</v>
      </c>
      <c r="AR122" s="1140">
        <v>0</v>
      </c>
      <c r="AS122" s="1140">
        <f t="shared" si="259"/>
        <v>0</v>
      </c>
      <c r="AT122" s="277">
        <f t="shared" si="207"/>
        <v>49</v>
      </c>
      <c r="AU122" s="278">
        <f t="shared" si="214"/>
        <v>4.083333333333333</v>
      </c>
      <c r="AV122" t="b">
        <v>1</v>
      </c>
      <c r="AX122" s="2133">
        <v>15</v>
      </c>
      <c r="AY122" s="277">
        <v>17</v>
      </c>
      <c r="AZ122" s="277">
        <v>14</v>
      </c>
      <c r="BA122" s="277">
        <v>9</v>
      </c>
      <c r="BB122" s="277">
        <v>10</v>
      </c>
      <c r="BC122" s="277">
        <v>8</v>
      </c>
      <c r="BD122" s="277">
        <v>10</v>
      </c>
      <c r="BE122" s="277">
        <v>9</v>
      </c>
      <c r="BF122" s="277">
        <v>7</v>
      </c>
      <c r="BG122" s="277">
        <v>7</v>
      </c>
      <c r="BH122" s="277">
        <v>7</v>
      </c>
      <c r="BI122" s="277">
        <v>5</v>
      </c>
      <c r="BJ122" s="277">
        <f t="shared" si="208"/>
        <v>118</v>
      </c>
      <c r="BK122" s="278">
        <f t="shared" si="209"/>
        <v>9.8325139571702369</v>
      </c>
      <c r="BL122" t="b">
        <v>1</v>
      </c>
      <c r="BN122" s="1522"/>
      <c r="BO122" s="1522"/>
      <c r="BP122" s="1522"/>
      <c r="BQ122" s="322">
        <f t="shared" si="139"/>
        <v>-2</v>
      </c>
      <c r="BR122">
        <f t="shared" si="140"/>
        <v>7</v>
      </c>
      <c r="BS122">
        <f t="shared" si="141"/>
        <v>5</v>
      </c>
    </row>
    <row r="123" spans="1:71" x14ac:dyDescent="0.55000000000000004">
      <c r="A123" s="7222"/>
      <c r="B123" s="235" t="s">
        <v>223</v>
      </c>
      <c r="C123" s="14"/>
      <c r="D123" s="279">
        <f>D129+D130</f>
        <v>0</v>
      </c>
      <c r="E123" s="280">
        <f t="shared" ref="E123:O123" si="260">E129+E130</f>
        <v>0</v>
      </c>
      <c r="F123" s="280">
        <f t="shared" si="260"/>
        <v>0</v>
      </c>
      <c r="G123" s="280">
        <f t="shared" si="260"/>
        <v>0</v>
      </c>
      <c r="H123" s="280">
        <f t="shared" si="260"/>
        <v>0</v>
      </c>
      <c r="I123" s="280">
        <f t="shared" si="260"/>
        <v>0</v>
      </c>
      <c r="J123" s="280">
        <f t="shared" si="260"/>
        <v>0</v>
      </c>
      <c r="K123" s="280">
        <f t="shared" si="260"/>
        <v>0</v>
      </c>
      <c r="L123" s="280">
        <f t="shared" si="260"/>
        <v>0</v>
      </c>
      <c r="M123" s="280">
        <f t="shared" si="260"/>
        <v>0</v>
      </c>
      <c r="N123" s="280">
        <f t="shared" si="260"/>
        <v>0</v>
      </c>
      <c r="O123" s="280">
        <f t="shared" si="260"/>
        <v>0</v>
      </c>
      <c r="P123" s="280">
        <f t="shared" si="231"/>
        <v>0</v>
      </c>
      <c r="Q123" s="281">
        <f t="shared" si="232"/>
        <v>0</v>
      </c>
      <c r="R123" s="370">
        <v>0</v>
      </c>
      <c r="S123" s="279">
        <f>S129+S130</f>
        <v>0</v>
      </c>
      <c r="T123" s="280">
        <f t="shared" ref="T123:AD123" si="261">T129+T130</f>
        <v>0</v>
      </c>
      <c r="U123" s="280">
        <f t="shared" si="261"/>
        <v>0</v>
      </c>
      <c r="V123" s="280">
        <f t="shared" si="261"/>
        <v>0</v>
      </c>
      <c r="W123" s="280">
        <f t="shared" si="261"/>
        <v>0</v>
      </c>
      <c r="X123" s="280">
        <f t="shared" si="261"/>
        <v>0</v>
      </c>
      <c r="Y123" s="280">
        <f t="shared" si="261"/>
        <v>0</v>
      </c>
      <c r="Z123" s="280">
        <f t="shared" si="261"/>
        <v>0</v>
      </c>
      <c r="AA123" s="280">
        <f t="shared" si="261"/>
        <v>0</v>
      </c>
      <c r="AB123" s="280">
        <f t="shared" si="261"/>
        <v>0</v>
      </c>
      <c r="AC123" s="280">
        <f t="shared" si="261"/>
        <v>0</v>
      </c>
      <c r="AD123" s="280">
        <f t="shared" si="261"/>
        <v>0</v>
      </c>
      <c r="AE123" s="280">
        <f t="shared" si="255"/>
        <v>0</v>
      </c>
      <c r="AF123" s="281">
        <f t="shared" si="256"/>
        <v>0</v>
      </c>
      <c r="AG123" s="370"/>
      <c r="AH123" s="279">
        <f>AH129+AH130</f>
        <v>11</v>
      </c>
      <c r="AI123" s="280">
        <f t="shared" ref="AI123:AS123" si="262">AI129+AI130</f>
        <v>13</v>
      </c>
      <c r="AJ123" s="280">
        <f t="shared" si="262"/>
        <v>10</v>
      </c>
      <c r="AK123" s="280">
        <f t="shared" si="262"/>
        <v>11</v>
      </c>
      <c r="AL123" s="280">
        <f t="shared" si="262"/>
        <v>11</v>
      </c>
      <c r="AM123" s="280">
        <f t="shared" si="262"/>
        <v>8</v>
      </c>
      <c r="AN123" s="1139">
        <f t="shared" si="262"/>
        <v>0</v>
      </c>
      <c r="AO123" s="1139">
        <f t="shared" si="262"/>
        <v>0</v>
      </c>
      <c r="AP123" s="1139">
        <f t="shared" si="262"/>
        <v>0</v>
      </c>
      <c r="AQ123" s="1139">
        <f t="shared" si="262"/>
        <v>0</v>
      </c>
      <c r="AR123" s="1139">
        <v>0</v>
      </c>
      <c r="AS123" s="1139">
        <f t="shared" si="262"/>
        <v>0</v>
      </c>
      <c r="AT123" s="280">
        <f t="shared" si="207"/>
        <v>64</v>
      </c>
      <c r="AU123" s="281">
        <f t="shared" si="214"/>
        <v>5.333333333333333</v>
      </c>
      <c r="AV123" t="b">
        <v>1</v>
      </c>
      <c r="AX123" s="2134">
        <v>9</v>
      </c>
      <c r="AY123" s="280">
        <v>9</v>
      </c>
      <c r="AZ123" s="280">
        <v>12</v>
      </c>
      <c r="BA123" s="280">
        <v>15</v>
      </c>
      <c r="BB123" s="280">
        <v>13</v>
      </c>
      <c r="BC123" s="280">
        <v>11</v>
      </c>
      <c r="BD123" s="280">
        <v>7</v>
      </c>
      <c r="BE123" s="280">
        <v>9</v>
      </c>
      <c r="BF123" s="280">
        <v>10</v>
      </c>
      <c r="BG123" s="280">
        <v>12</v>
      </c>
      <c r="BH123" s="280">
        <v>12</v>
      </c>
      <c r="BI123" s="280">
        <v>15</v>
      </c>
      <c r="BJ123" s="280">
        <f t="shared" si="208"/>
        <v>134</v>
      </c>
      <c r="BK123" s="281">
        <f t="shared" si="209"/>
        <v>11.165736188650946</v>
      </c>
      <c r="BL123" t="b">
        <v>1</v>
      </c>
      <c r="BN123" s="1522"/>
      <c r="BO123" s="1522"/>
      <c r="BP123" s="1522"/>
      <c r="BQ123" s="322">
        <f t="shared" si="139"/>
        <v>3</v>
      </c>
      <c r="BR123">
        <f t="shared" si="140"/>
        <v>12</v>
      </c>
      <c r="BS123">
        <f t="shared" si="141"/>
        <v>15</v>
      </c>
    </row>
    <row r="124" spans="1:71" x14ac:dyDescent="0.55000000000000004">
      <c r="A124" s="7222"/>
      <c r="B124" s="235" t="s">
        <v>224</v>
      </c>
      <c r="C124" s="14"/>
      <c r="D124" s="279">
        <f>D131+D132</f>
        <v>0</v>
      </c>
      <c r="E124" s="280">
        <f t="shared" ref="E124:O124" si="263">E131+E132</f>
        <v>0</v>
      </c>
      <c r="F124" s="280">
        <f t="shared" si="263"/>
        <v>0</v>
      </c>
      <c r="G124" s="280">
        <f t="shared" si="263"/>
        <v>0</v>
      </c>
      <c r="H124" s="280">
        <f t="shared" si="263"/>
        <v>0</v>
      </c>
      <c r="I124" s="280">
        <f t="shared" si="263"/>
        <v>0</v>
      </c>
      <c r="J124" s="280">
        <f t="shared" si="263"/>
        <v>0</v>
      </c>
      <c r="K124" s="280">
        <f t="shared" si="263"/>
        <v>0</v>
      </c>
      <c r="L124" s="280">
        <f t="shared" si="263"/>
        <v>0</v>
      </c>
      <c r="M124" s="280">
        <f t="shared" si="263"/>
        <v>0</v>
      </c>
      <c r="N124" s="280">
        <f t="shared" si="263"/>
        <v>0</v>
      </c>
      <c r="O124" s="280">
        <f t="shared" si="263"/>
        <v>0</v>
      </c>
      <c r="P124" s="280">
        <f t="shared" si="231"/>
        <v>0</v>
      </c>
      <c r="Q124" s="281">
        <f t="shared" si="232"/>
        <v>0</v>
      </c>
      <c r="R124" s="370">
        <v>0</v>
      </c>
      <c r="S124" s="279">
        <f>S131+S132</f>
        <v>0</v>
      </c>
      <c r="T124" s="280">
        <f t="shared" ref="T124:AD124" si="264">T131+T132</f>
        <v>0</v>
      </c>
      <c r="U124" s="280">
        <f t="shared" si="264"/>
        <v>0</v>
      </c>
      <c r="V124" s="280">
        <f t="shared" si="264"/>
        <v>0</v>
      </c>
      <c r="W124" s="280">
        <f t="shared" si="264"/>
        <v>0</v>
      </c>
      <c r="X124" s="280">
        <f t="shared" si="264"/>
        <v>0</v>
      </c>
      <c r="Y124" s="280">
        <f t="shared" si="264"/>
        <v>0</v>
      </c>
      <c r="Z124" s="280">
        <f t="shared" si="264"/>
        <v>0</v>
      </c>
      <c r="AA124" s="280">
        <f t="shared" si="264"/>
        <v>0</v>
      </c>
      <c r="AB124" s="280">
        <f t="shared" si="264"/>
        <v>0</v>
      </c>
      <c r="AC124" s="280">
        <f t="shared" si="264"/>
        <v>0</v>
      </c>
      <c r="AD124" s="280">
        <f t="shared" si="264"/>
        <v>0</v>
      </c>
      <c r="AE124" s="280">
        <f t="shared" si="255"/>
        <v>0</v>
      </c>
      <c r="AF124" s="281">
        <f t="shared" si="256"/>
        <v>0</v>
      </c>
      <c r="AG124" s="370"/>
      <c r="AH124" s="279">
        <f>AH131+AH132</f>
        <v>10</v>
      </c>
      <c r="AI124" s="280">
        <f t="shared" ref="AI124:AS124" si="265">AI131+AI132</f>
        <v>12</v>
      </c>
      <c r="AJ124" s="280">
        <f t="shared" si="265"/>
        <v>9</v>
      </c>
      <c r="AK124" s="280">
        <f t="shared" si="265"/>
        <v>14</v>
      </c>
      <c r="AL124" s="280">
        <f t="shared" si="265"/>
        <v>10</v>
      </c>
      <c r="AM124" s="280">
        <f t="shared" si="265"/>
        <v>9</v>
      </c>
      <c r="AN124" s="1139">
        <f t="shared" si="265"/>
        <v>0</v>
      </c>
      <c r="AO124" s="1139">
        <f t="shared" si="265"/>
        <v>0</v>
      </c>
      <c r="AP124" s="1139">
        <f t="shared" si="265"/>
        <v>0</v>
      </c>
      <c r="AQ124" s="1139">
        <f t="shared" si="265"/>
        <v>0</v>
      </c>
      <c r="AR124" s="1139">
        <v>0</v>
      </c>
      <c r="AS124" s="1139">
        <f t="shared" si="265"/>
        <v>0</v>
      </c>
      <c r="AT124" s="280">
        <f t="shared" si="207"/>
        <v>64</v>
      </c>
      <c r="AU124" s="281">
        <f t="shared" si="214"/>
        <v>5.333333333333333</v>
      </c>
      <c r="AV124" t="b">
        <v>1</v>
      </c>
      <c r="AX124" s="2134">
        <v>19</v>
      </c>
      <c r="AY124" s="280">
        <v>18</v>
      </c>
      <c r="AZ124" s="280">
        <v>16</v>
      </c>
      <c r="BA124" s="280">
        <v>12</v>
      </c>
      <c r="BB124" s="280">
        <v>12</v>
      </c>
      <c r="BC124" s="280">
        <v>9</v>
      </c>
      <c r="BD124" s="280">
        <v>13</v>
      </c>
      <c r="BE124" s="280">
        <v>10</v>
      </c>
      <c r="BF124" s="280">
        <v>10</v>
      </c>
      <c r="BG124" s="280">
        <v>5</v>
      </c>
      <c r="BH124" s="280">
        <v>6</v>
      </c>
      <c r="BI124" s="280">
        <v>11</v>
      </c>
      <c r="BJ124" s="280">
        <f t="shared" si="208"/>
        <v>141</v>
      </c>
      <c r="BK124" s="281">
        <f t="shared" si="209"/>
        <v>11.749020914923756</v>
      </c>
      <c r="BL124" t="b">
        <v>1</v>
      </c>
      <c r="BN124" s="1522"/>
      <c r="BO124" s="1522"/>
      <c r="BP124" s="1522"/>
      <c r="BQ124" s="322">
        <f t="shared" si="139"/>
        <v>5</v>
      </c>
      <c r="BR124">
        <f t="shared" si="140"/>
        <v>6</v>
      </c>
      <c r="BS124">
        <f t="shared" si="141"/>
        <v>11</v>
      </c>
    </row>
    <row r="125" spans="1:71" x14ac:dyDescent="0.55000000000000004">
      <c r="A125" s="7222"/>
      <c r="B125" s="235" t="s">
        <v>225</v>
      </c>
      <c r="C125" s="14"/>
      <c r="D125" s="279">
        <f>D133+D134</f>
        <v>0</v>
      </c>
      <c r="E125" s="280">
        <f t="shared" ref="E125:O125" si="266">E133+E134</f>
        <v>0</v>
      </c>
      <c r="F125" s="280">
        <f t="shared" si="266"/>
        <v>0</v>
      </c>
      <c r="G125" s="280">
        <f t="shared" si="266"/>
        <v>0</v>
      </c>
      <c r="H125" s="280">
        <f t="shared" si="266"/>
        <v>0</v>
      </c>
      <c r="I125" s="280">
        <f t="shared" si="266"/>
        <v>0</v>
      </c>
      <c r="J125" s="280">
        <f t="shared" si="266"/>
        <v>0</v>
      </c>
      <c r="K125" s="280">
        <f t="shared" si="266"/>
        <v>0</v>
      </c>
      <c r="L125" s="280">
        <f t="shared" si="266"/>
        <v>0</v>
      </c>
      <c r="M125" s="280">
        <f t="shared" si="266"/>
        <v>0</v>
      </c>
      <c r="N125" s="280">
        <f t="shared" si="266"/>
        <v>0</v>
      </c>
      <c r="O125" s="280">
        <f t="shared" si="266"/>
        <v>0</v>
      </c>
      <c r="P125" s="280">
        <f t="shared" si="231"/>
        <v>0</v>
      </c>
      <c r="Q125" s="281">
        <f t="shared" si="232"/>
        <v>0</v>
      </c>
      <c r="R125" s="370">
        <v>0</v>
      </c>
      <c r="S125" s="279">
        <f>S133+S134</f>
        <v>0</v>
      </c>
      <c r="T125" s="280">
        <f t="shared" ref="T125:AD125" si="267">T133+T134</f>
        <v>0</v>
      </c>
      <c r="U125" s="280">
        <f t="shared" si="267"/>
        <v>0</v>
      </c>
      <c r="V125" s="280">
        <f t="shared" si="267"/>
        <v>0</v>
      </c>
      <c r="W125" s="280">
        <f t="shared" si="267"/>
        <v>0</v>
      </c>
      <c r="X125" s="280">
        <f t="shared" si="267"/>
        <v>0</v>
      </c>
      <c r="Y125" s="280">
        <f t="shared" si="267"/>
        <v>0</v>
      </c>
      <c r="Z125" s="280">
        <f t="shared" si="267"/>
        <v>0</v>
      </c>
      <c r="AA125" s="280">
        <f t="shared" si="267"/>
        <v>0</v>
      </c>
      <c r="AB125" s="280">
        <f t="shared" si="267"/>
        <v>0</v>
      </c>
      <c r="AC125" s="280">
        <f t="shared" si="267"/>
        <v>0</v>
      </c>
      <c r="AD125" s="280">
        <f t="shared" si="267"/>
        <v>0</v>
      </c>
      <c r="AE125" s="280">
        <f t="shared" si="255"/>
        <v>0</v>
      </c>
      <c r="AF125" s="281">
        <f t="shared" si="256"/>
        <v>0</v>
      </c>
      <c r="AG125" s="370"/>
      <c r="AH125" s="279">
        <f>AH133+AH134</f>
        <v>12</v>
      </c>
      <c r="AI125" s="280">
        <f t="shared" ref="AI125:AS125" si="268">AI133+AI134</f>
        <v>11</v>
      </c>
      <c r="AJ125" s="280">
        <f t="shared" si="268"/>
        <v>7</v>
      </c>
      <c r="AK125" s="280">
        <f t="shared" si="268"/>
        <v>11</v>
      </c>
      <c r="AL125" s="280">
        <f t="shared" si="268"/>
        <v>7</v>
      </c>
      <c r="AM125" s="280">
        <f t="shared" si="268"/>
        <v>6</v>
      </c>
      <c r="AN125" s="1139">
        <f t="shared" si="268"/>
        <v>0</v>
      </c>
      <c r="AO125" s="1139">
        <f t="shared" si="268"/>
        <v>0</v>
      </c>
      <c r="AP125" s="1139">
        <f t="shared" si="268"/>
        <v>0</v>
      </c>
      <c r="AQ125" s="1139">
        <f t="shared" si="268"/>
        <v>0</v>
      </c>
      <c r="AR125" s="1139">
        <v>0</v>
      </c>
      <c r="AS125" s="1139">
        <f t="shared" si="268"/>
        <v>0</v>
      </c>
      <c r="AT125" s="280">
        <f t="shared" si="207"/>
        <v>54</v>
      </c>
      <c r="AU125" s="281">
        <f t="shared" si="214"/>
        <v>4.5</v>
      </c>
      <c r="AV125" t="b">
        <v>1</v>
      </c>
      <c r="AX125" s="2134">
        <v>16</v>
      </c>
      <c r="AY125" s="280">
        <v>18</v>
      </c>
      <c r="AZ125" s="280">
        <v>16</v>
      </c>
      <c r="BA125" s="280">
        <v>15</v>
      </c>
      <c r="BB125" s="280">
        <v>11</v>
      </c>
      <c r="BC125" s="280">
        <v>13</v>
      </c>
      <c r="BD125" s="280">
        <v>10</v>
      </c>
      <c r="BE125" s="280">
        <v>12</v>
      </c>
      <c r="BF125" s="280">
        <v>9</v>
      </c>
      <c r="BG125" s="280">
        <v>6</v>
      </c>
      <c r="BH125" s="280">
        <v>11</v>
      </c>
      <c r="BI125" s="280">
        <v>12</v>
      </c>
      <c r="BJ125" s="280">
        <f t="shared" si="208"/>
        <v>149</v>
      </c>
      <c r="BK125" s="281">
        <f t="shared" si="209"/>
        <v>12.415632030664112</v>
      </c>
      <c r="BL125" t="b">
        <v>1</v>
      </c>
      <c r="BN125" s="1522"/>
      <c r="BO125" s="1522"/>
      <c r="BP125" s="1522"/>
      <c r="BQ125" s="322">
        <f t="shared" si="139"/>
        <v>1</v>
      </c>
      <c r="BR125">
        <f t="shared" si="140"/>
        <v>11</v>
      </c>
      <c r="BS125">
        <f t="shared" si="141"/>
        <v>12</v>
      </c>
    </row>
    <row r="126" spans="1:71" x14ac:dyDescent="0.55000000000000004">
      <c r="A126" s="7222"/>
      <c r="B126" s="236" t="s">
        <v>226</v>
      </c>
      <c r="C126" s="29"/>
      <c r="D126" s="282">
        <f>D135+D136</f>
        <v>0</v>
      </c>
      <c r="E126" s="283">
        <f t="shared" ref="E126:O126" si="269">E135+E136</f>
        <v>0</v>
      </c>
      <c r="F126" s="283">
        <f t="shared" si="269"/>
        <v>0</v>
      </c>
      <c r="G126" s="283">
        <f t="shared" si="269"/>
        <v>0</v>
      </c>
      <c r="H126" s="283">
        <f t="shared" si="269"/>
        <v>0</v>
      </c>
      <c r="I126" s="283">
        <f t="shared" si="269"/>
        <v>0</v>
      </c>
      <c r="J126" s="283">
        <f t="shared" si="269"/>
        <v>0</v>
      </c>
      <c r="K126" s="283">
        <f t="shared" si="269"/>
        <v>0</v>
      </c>
      <c r="L126" s="283">
        <f t="shared" si="269"/>
        <v>0</v>
      </c>
      <c r="M126" s="283">
        <f t="shared" si="269"/>
        <v>0</v>
      </c>
      <c r="N126" s="283">
        <f t="shared" si="269"/>
        <v>0</v>
      </c>
      <c r="O126" s="283">
        <f t="shared" si="269"/>
        <v>0</v>
      </c>
      <c r="P126" s="283">
        <f t="shared" si="231"/>
        <v>0</v>
      </c>
      <c r="Q126" s="284">
        <f t="shared" si="232"/>
        <v>0</v>
      </c>
      <c r="R126" s="370">
        <v>0</v>
      </c>
      <c r="S126" s="282">
        <f>S135+S136</f>
        <v>0</v>
      </c>
      <c r="T126" s="283">
        <f t="shared" ref="T126:AD126" si="270">T135+T136</f>
        <v>0</v>
      </c>
      <c r="U126" s="283">
        <f t="shared" si="270"/>
        <v>0</v>
      </c>
      <c r="V126" s="283">
        <f t="shared" si="270"/>
        <v>0</v>
      </c>
      <c r="W126" s="283">
        <f t="shared" si="270"/>
        <v>0</v>
      </c>
      <c r="X126" s="283">
        <f t="shared" si="270"/>
        <v>0</v>
      </c>
      <c r="Y126" s="283">
        <f t="shared" si="270"/>
        <v>0</v>
      </c>
      <c r="Z126" s="283">
        <f t="shared" si="270"/>
        <v>0</v>
      </c>
      <c r="AA126" s="283">
        <f t="shared" si="270"/>
        <v>0</v>
      </c>
      <c r="AB126" s="283">
        <f t="shared" si="270"/>
        <v>0</v>
      </c>
      <c r="AC126" s="283">
        <f t="shared" si="270"/>
        <v>0</v>
      </c>
      <c r="AD126" s="283">
        <f t="shared" si="270"/>
        <v>0</v>
      </c>
      <c r="AE126" s="283">
        <f t="shared" si="255"/>
        <v>0</v>
      </c>
      <c r="AF126" s="284">
        <f t="shared" si="256"/>
        <v>0</v>
      </c>
      <c r="AG126" s="370"/>
      <c r="AH126" s="282">
        <f>AH135+AH136</f>
        <v>9</v>
      </c>
      <c r="AI126" s="283">
        <f t="shared" ref="AI126:AS126" si="271">AI135+AI136</f>
        <v>9</v>
      </c>
      <c r="AJ126" s="283">
        <f t="shared" si="271"/>
        <v>10</v>
      </c>
      <c r="AK126" s="283">
        <f t="shared" si="271"/>
        <v>10</v>
      </c>
      <c r="AL126" s="283">
        <f t="shared" si="271"/>
        <v>5</v>
      </c>
      <c r="AM126" s="283">
        <f t="shared" si="271"/>
        <v>6</v>
      </c>
      <c r="AN126" s="1141">
        <f t="shared" si="271"/>
        <v>0</v>
      </c>
      <c r="AO126" s="1141">
        <f t="shared" si="271"/>
        <v>0</v>
      </c>
      <c r="AP126" s="1141">
        <f t="shared" si="271"/>
        <v>0</v>
      </c>
      <c r="AQ126" s="1141">
        <f t="shared" si="271"/>
        <v>0</v>
      </c>
      <c r="AR126" s="1141">
        <v>0</v>
      </c>
      <c r="AS126" s="1141">
        <f t="shared" si="271"/>
        <v>0</v>
      </c>
      <c r="AT126" s="283">
        <f t="shared" si="207"/>
        <v>49</v>
      </c>
      <c r="AU126" s="284">
        <f t="shared" si="214"/>
        <v>4.083333333333333</v>
      </c>
      <c r="AV126" t="b">
        <v>1</v>
      </c>
      <c r="AX126" s="2135">
        <v>21</v>
      </c>
      <c r="AY126" s="283">
        <v>17</v>
      </c>
      <c r="AZ126" s="283">
        <v>18</v>
      </c>
      <c r="BA126" s="283">
        <v>22</v>
      </c>
      <c r="BB126" s="283">
        <v>18</v>
      </c>
      <c r="BC126" s="283">
        <v>17</v>
      </c>
      <c r="BD126" s="283">
        <v>18</v>
      </c>
      <c r="BE126" s="283">
        <v>17</v>
      </c>
      <c r="BF126" s="283">
        <v>19</v>
      </c>
      <c r="BG126" s="283">
        <v>20</v>
      </c>
      <c r="BH126" s="283">
        <v>16</v>
      </c>
      <c r="BI126" s="283">
        <v>17</v>
      </c>
      <c r="BJ126" s="283">
        <f t="shared" si="208"/>
        <v>220</v>
      </c>
      <c r="BK126" s="284">
        <f t="shared" si="209"/>
        <v>18.331805682859763</v>
      </c>
      <c r="BL126" t="b">
        <v>1</v>
      </c>
      <c r="BN126" s="1522"/>
      <c r="BO126" s="1522"/>
      <c r="BP126" s="1522"/>
      <c r="BQ126" s="322">
        <f t="shared" si="139"/>
        <v>1</v>
      </c>
      <c r="BR126">
        <f t="shared" si="140"/>
        <v>16</v>
      </c>
      <c r="BS126">
        <f t="shared" si="141"/>
        <v>17</v>
      </c>
    </row>
    <row r="127" spans="1:71" x14ac:dyDescent="0.55000000000000004">
      <c r="A127" s="7222"/>
      <c r="B127" s="244"/>
      <c r="C127" s="176" t="s">
        <v>227</v>
      </c>
      <c r="D127" s="333">
        <v>0</v>
      </c>
      <c r="E127" s="333">
        <v>0</v>
      </c>
      <c r="F127" s="333">
        <v>0</v>
      </c>
      <c r="G127" s="333">
        <v>0</v>
      </c>
      <c r="H127" s="333">
        <v>0</v>
      </c>
      <c r="I127" s="333">
        <v>0</v>
      </c>
      <c r="J127" s="333">
        <v>0</v>
      </c>
      <c r="K127" s="333">
        <v>0</v>
      </c>
      <c r="L127" s="333">
        <v>0</v>
      </c>
      <c r="M127" s="333">
        <v>0</v>
      </c>
      <c r="N127" s="333">
        <v>0</v>
      </c>
      <c r="O127" s="333">
        <v>0</v>
      </c>
      <c r="P127" s="333">
        <f t="shared" si="231"/>
        <v>0</v>
      </c>
      <c r="Q127" s="334">
        <f t="shared" si="232"/>
        <v>0</v>
      </c>
      <c r="R127" s="370">
        <v>0</v>
      </c>
      <c r="S127" s="335">
        <v>0</v>
      </c>
      <c r="T127" s="333">
        <v>0</v>
      </c>
      <c r="U127" s="333">
        <v>0</v>
      </c>
      <c r="V127" s="333">
        <v>0</v>
      </c>
      <c r="W127" s="333">
        <v>0</v>
      </c>
      <c r="X127" s="333">
        <v>0</v>
      </c>
      <c r="Y127" s="333">
        <v>0</v>
      </c>
      <c r="Z127" s="333">
        <v>0</v>
      </c>
      <c r="AA127" s="333">
        <v>0</v>
      </c>
      <c r="AB127" s="333">
        <v>0</v>
      </c>
      <c r="AC127" s="333">
        <v>0</v>
      </c>
      <c r="AD127" s="333">
        <v>0</v>
      </c>
      <c r="AE127" s="333">
        <f t="shared" si="255"/>
        <v>0</v>
      </c>
      <c r="AF127" s="334">
        <f t="shared" si="256"/>
        <v>0</v>
      </c>
      <c r="AG127" s="370"/>
      <c r="AH127" s="335">
        <v>4</v>
      </c>
      <c r="AI127" s="333">
        <v>4</v>
      </c>
      <c r="AJ127" s="333">
        <v>0</v>
      </c>
      <c r="AK127" s="333">
        <v>1</v>
      </c>
      <c r="AL127" s="333">
        <v>3</v>
      </c>
      <c r="AM127" s="333">
        <v>1</v>
      </c>
      <c r="AN127" s="1142"/>
      <c r="AO127" s="1142"/>
      <c r="AP127" s="1142"/>
      <c r="AQ127" s="1142"/>
      <c r="AR127" s="1142"/>
      <c r="AS127" s="1142"/>
      <c r="AT127" s="333">
        <f t="shared" si="207"/>
        <v>13</v>
      </c>
      <c r="AU127" s="334">
        <f t="shared" si="214"/>
        <v>1.0833333333333333</v>
      </c>
      <c r="AV127" t="b">
        <v>1</v>
      </c>
      <c r="AX127" s="2136">
        <v>6</v>
      </c>
      <c r="AY127" s="333">
        <v>8</v>
      </c>
      <c r="AZ127" s="333">
        <v>6</v>
      </c>
      <c r="BA127" s="333">
        <v>4</v>
      </c>
      <c r="BB127" s="333">
        <v>5</v>
      </c>
      <c r="BC127" s="333">
        <v>3</v>
      </c>
      <c r="BD127" s="333">
        <v>6</v>
      </c>
      <c r="BE127" s="333">
        <v>7</v>
      </c>
      <c r="BF127" s="333">
        <v>4</v>
      </c>
      <c r="BG127" s="333">
        <v>2</v>
      </c>
      <c r="BH127" s="333">
        <v>3</v>
      </c>
      <c r="BI127" s="333">
        <v>2</v>
      </c>
      <c r="BJ127" s="333">
        <f t="shared" si="208"/>
        <v>56</v>
      </c>
      <c r="BK127" s="334">
        <f t="shared" si="209"/>
        <v>4.6662778101824847</v>
      </c>
      <c r="BL127" t="b">
        <v>1</v>
      </c>
      <c r="BN127" s="1522"/>
      <c r="BO127" s="1522"/>
      <c r="BP127" s="1522"/>
      <c r="BQ127" s="322">
        <f t="shared" si="139"/>
        <v>-1</v>
      </c>
      <c r="BR127">
        <f t="shared" si="140"/>
        <v>3</v>
      </c>
      <c r="BS127">
        <f t="shared" si="141"/>
        <v>2</v>
      </c>
    </row>
    <row r="128" spans="1:71" x14ac:dyDescent="0.55000000000000004">
      <c r="A128" s="7222"/>
      <c r="B128" s="245"/>
      <c r="C128" s="177" t="s">
        <v>228</v>
      </c>
      <c r="D128" s="301">
        <v>0</v>
      </c>
      <c r="E128" s="301">
        <v>0</v>
      </c>
      <c r="F128" s="301">
        <v>0</v>
      </c>
      <c r="G128" s="301">
        <v>0</v>
      </c>
      <c r="H128" s="301">
        <v>0</v>
      </c>
      <c r="I128" s="301">
        <v>0</v>
      </c>
      <c r="J128" s="301">
        <v>0</v>
      </c>
      <c r="K128" s="301">
        <v>0</v>
      </c>
      <c r="L128" s="301">
        <v>0</v>
      </c>
      <c r="M128" s="301">
        <v>0</v>
      </c>
      <c r="N128" s="301">
        <v>0</v>
      </c>
      <c r="O128" s="301">
        <v>0</v>
      </c>
      <c r="P128" s="301">
        <f t="shared" si="231"/>
        <v>0</v>
      </c>
      <c r="Q128" s="302">
        <f t="shared" si="232"/>
        <v>0</v>
      </c>
      <c r="R128" s="370">
        <v>0</v>
      </c>
      <c r="S128" s="336">
        <v>0</v>
      </c>
      <c r="T128" s="301">
        <v>0</v>
      </c>
      <c r="U128" s="301">
        <v>0</v>
      </c>
      <c r="V128" s="301">
        <v>0</v>
      </c>
      <c r="W128" s="301">
        <v>0</v>
      </c>
      <c r="X128" s="301">
        <v>0</v>
      </c>
      <c r="Y128" s="301">
        <v>0</v>
      </c>
      <c r="Z128" s="301">
        <v>0</v>
      </c>
      <c r="AA128" s="301">
        <v>0</v>
      </c>
      <c r="AB128" s="301">
        <v>0</v>
      </c>
      <c r="AC128" s="301">
        <v>0</v>
      </c>
      <c r="AD128" s="301">
        <v>0</v>
      </c>
      <c r="AE128" s="301">
        <f t="shared" si="255"/>
        <v>0</v>
      </c>
      <c r="AF128" s="302">
        <f t="shared" si="256"/>
        <v>0</v>
      </c>
      <c r="AG128" s="370"/>
      <c r="AH128" s="336">
        <v>1</v>
      </c>
      <c r="AI128" s="301">
        <v>5</v>
      </c>
      <c r="AJ128" s="301">
        <v>4</v>
      </c>
      <c r="AK128" s="301">
        <v>11</v>
      </c>
      <c r="AL128" s="301">
        <v>7</v>
      </c>
      <c r="AM128" s="301">
        <v>8</v>
      </c>
      <c r="AN128" s="1143"/>
      <c r="AO128" s="1143"/>
      <c r="AP128" s="1143"/>
      <c r="AQ128" s="1143"/>
      <c r="AR128" s="1143"/>
      <c r="AS128" s="1143"/>
      <c r="AT128" s="301">
        <f t="shared" si="207"/>
        <v>36</v>
      </c>
      <c r="AU128" s="302">
        <f t="shared" si="214"/>
        <v>3</v>
      </c>
      <c r="AV128" t="b">
        <v>1</v>
      </c>
      <c r="AX128" s="2137">
        <v>9</v>
      </c>
      <c r="AY128" s="301">
        <v>9</v>
      </c>
      <c r="AZ128" s="301">
        <v>8</v>
      </c>
      <c r="BA128" s="301">
        <v>5</v>
      </c>
      <c r="BB128" s="301">
        <v>5</v>
      </c>
      <c r="BC128" s="301">
        <v>5</v>
      </c>
      <c r="BD128" s="301">
        <v>4</v>
      </c>
      <c r="BE128" s="301">
        <v>2</v>
      </c>
      <c r="BF128" s="301">
        <v>3</v>
      </c>
      <c r="BG128" s="301">
        <v>5</v>
      </c>
      <c r="BH128" s="301">
        <v>4</v>
      </c>
      <c r="BI128" s="301">
        <v>3</v>
      </c>
      <c r="BJ128" s="301">
        <f t="shared" si="208"/>
        <v>62</v>
      </c>
      <c r="BK128" s="302">
        <f t="shared" si="209"/>
        <v>5.1662361469877514</v>
      </c>
      <c r="BL128" t="b">
        <v>1</v>
      </c>
      <c r="BN128" s="1522"/>
      <c r="BO128" s="1522"/>
      <c r="BP128" s="1522"/>
      <c r="BQ128" s="322">
        <f t="shared" si="139"/>
        <v>-1</v>
      </c>
      <c r="BR128">
        <f t="shared" si="140"/>
        <v>4</v>
      </c>
      <c r="BS128">
        <f t="shared" si="141"/>
        <v>3</v>
      </c>
    </row>
    <row r="129" spans="1:71" x14ac:dyDescent="0.55000000000000004">
      <c r="A129" s="7222"/>
      <c r="B129" s="245"/>
      <c r="C129" s="178" t="s">
        <v>229</v>
      </c>
      <c r="D129" s="304">
        <v>0</v>
      </c>
      <c r="E129" s="304">
        <v>0</v>
      </c>
      <c r="F129" s="304">
        <v>0</v>
      </c>
      <c r="G129" s="304">
        <v>0</v>
      </c>
      <c r="H129" s="304">
        <v>0</v>
      </c>
      <c r="I129" s="304">
        <v>0</v>
      </c>
      <c r="J129" s="304">
        <v>0</v>
      </c>
      <c r="K129" s="304">
        <v>0</v>
      </c>
      <c r="L129" s="304">
        <v>0</v>
      </c>
      <c r="M129" s="304">
        <v>0</v>
      </c>
      <c r="N129" s="304">
        <v>0</v>
      </c>
      <c r="O129" s="304">
        <v>0</v>
      </c>
      <c r="P129" s="304">
        <f t="shared" si="231"/>
        <v>0</v>
      </c>
      <c r="Q129" s="305">
        <f t="shared" si="232"/>
        <v>0</v>
      </c>
      <c r="R129" s="370">
        <v>0</v>
      </c>
      <c r="S129" s="337">
        <v>0</v>
      </c>
      <c r="T129" s="304">
        <v>0</v>
      </c>
      <c r="U129" s="304">
        <v>0</v>
      </c>
      <c r="V129" s="304">
        <v>0</v>
      </c>
      <c r="W129" s="304">
        <v>0</v>
      </c>
      <c r="X129" s="304">
        <v>0</v>
      </c>
      <c r="Y129" s="304">
        <v>0</v>
      </c>
      <c r="Z129" s="304">
        <v>0</v>
      </c>
      <c r="AA129" s="304">
        <v>0</v>
      </c>
      <c r="AB129" s="304">
        <v>0</v>
      </c>
      <c r="AC129" s="304">
        <v>0</v>
      </c>
      <c r="AD129" s="304">
        <v>0</v>
      </c>
      <c r="AE129" s="304">
        <f t="shared" si="255"/>
        <v>0</v>
      </c>
      <c r="AF129" s="305">
        <f t="shared" si="256"/>
        <v>0</v>
      </c>
      <c r="AG129" s="370"/>
      <c r="AH129" s="337">
        <v>3</v>
      </c>
      <c r="AI129" s="304">
        <v>4</v>
      </c>
      <c r="AJ129" s="304">
        <v>5</v>
      </c>
      <c r="AK129" s="304">
        <v>5</v>
      </c>
      <c r="AL129" s="304">
        <v>6</v>
      </c>
      <c r="AM129" s="304">
        <v>3</v>
      </c>
      <c r="AN129" s="1143"/>
      <c r="AO129" s="1143"/>
      <c r="AP129" s="1143"/>
      <c r="AQ129" s="1143"/>
      <c r="AR129" s="1143"/>
      <c r="AS129" s="1143"/>
      <c r="AT129" s="304">
        <f t="shared" si="207"/>
        <v>26</v>
      </c>
      <c r="AU129" s="305">
        <f t="shared" si="214"/>
        <v>2.1666666666666665</v>
      </c>
      <c r="AV129" t="b">
        <v>1</v>
      </c>
      <c r="AX129" s="2138">
        <v>3</v>
      </c>
      <c r="AY129" s="304">
        <v>2</v>
      </c>
      <c r="AZ129" s="304">
        <v>2</v>
      </c>
      <c r="BA129" s="304">
        <v>6</v>
      </c>
      <c r="BB129" s="304">
        <v>5</v>
      </c>
      <c r="BC129" s="304">
        <v>3</v>
      </c>
      <c r="BD129" s="304">
        <v>3</v>
      </c>
      <c r="BE129" s="304">
        <v>2</v>
      </c>
      <c r="BF129" s="304">
        <v>4</v>
      </c>
      <c r="BG129" s="304">
        <v>3</v>
      </c>
      <c r="BH129" s="304">
        <v>4</v>
      </c>
      <c r="BI129" s="304">
        <v>6</v>
      </c>
      <c r="BJ129" s="304">
        <f t="shared" si="208"/>
        <v>43</v>
      </c>
      <c r="BK129" s="305">
        <f t="shared" si="209"/>
        <v>3.5830347471044082</v>
      </c>
      <c r="BL129" t="b">
        <v>1</v>
      </c>
      <c r="BN129" s="1522"/>
      <c r="BO129" s="1522"/>
      <c r="BP129" s="1522"/>
      <c r="BQ129" s="322">
        <f t="shared" si="139"/>
        <v>2</v>
      </c>
      <c r="BR129">
        <f t="shared" si="140"/>
        <v>4</v>
      </c>
      <c r="BS129">
        <f t="shared" si="141"/>
        <v>6</v>
      </c>
    </row>
    <row r="130" spans="1:71" x14ac:dyDescent="0.55000000000000004">
      <c r="A130" s="7222"/>
      <c r="B130" s="245"/>
      <c r="C130" s="178" t="s">
        <v>230</v>
      </c>
      <c r="D130" s="304">
        <v>0</v>
      </c>
      <c r="E130" s="304">
        <v>0</v>
      </c>
      <c r="F130" s="304">
        <v>0</v>
      </c>
      <c r="G130" s="304">
        <v>0</v>
      </c>
      <c r="H130" s="304">
        <v>0</v>
      </c>
      <c r="I130" s="304">
        <v>0</v>
      </c>
      <c r="J130" s="304">
        <v>0</v>
      </c>
      <c r="K130" s="304">
        <v>0</v>
      </c>
      <c r="L130" s="304">
        <v>0</v>
      </c>
      <c r="M130" s="304">
        <v>0</v>
      </c>
      <c r="N130" s="304">
        <v>0</v>
      </c>
      <c r="O130" s="304">
        <v>0</v>
      </c>
      <c r="P130" s="304">
        <f t="shared" si="231"/>
        <v>0</v>
      </c>
      <c r="Q130" s="305">
        <f t="shared" si="232"/>
        <v>0</v>
      </c>
      <c r="R130" s="370">
        <v>0</v>
      </c>
      <c r="S130" s="337">
        <v>0</v>
      </c>
      <c r="T130" s="304">
        <v>0</v>
      </c>
      <c r="U130" s="304">
        <v>0</v>
      </c>
      <c r="V130" s="304">
        <v>0</v>
      </c>
      <c r="W130" s="304">
        <v>0</v>
      </c>
      <c r="X130" s="304">
        <v>0</v>
      </c>
      <c r="Y130" s="304">
        <v>0</v>
      </c>
      <c r="Z130" s="304">
        <v>0</v>
      </c>
      <c r="AA130" s="304">
        <v>0</v>
      </c>
      <c r="AB130" s="304">
        <v>0</v>
      </c>
      <c r="AC130" s="304">
        <v>0</v>
      </c>
      <c r="AD130" s="304">
        <v>0</v>
      </c>
      <c r="AE130" s="304">
        <f t="shared" si="255"/>
        <v>0</v>
      </c>
      <c r="AF130" s="305">
        <f t="shared" si="256"/>
        <v>0</v>
      </c>
      <c r="AG130" s="370"/>
      <c r="AH130" s="337">
        <v>8</v>
      </c>
      <c r="AI130" s="304">
        <v>9</v>
      </c>
      <c r="AJ130" s="304">
        <v>5</v>
      </c>
      <c r="AK130" s="304">
        <v>6</v>
      </c>
      <c r="AL130" s="304">
        <v>5</v>
      </c>
      <c r="AM130" s="304">
        <v>5</v>
      </c>
      <c r="AN130" s="1143"/>
      <c r="AO130" s="1143"/>
      <c r="AP130" s="1143"/>
      <c r="AQ130" s="1143"/>
      <c r="AR130" s="1143"/>
      <c r="AS130" s="1143"/>
      <c r="AT130" s="304">
        <f t="shared" si="207"/>
        <v>38</v>
      </c>
      <c r="AU130" s="305">
        <f t="shared" si="214"/>
        <v>3.1666666666666665</v>
      </c>
      <c r="AV130" t="b">
        <v>1</v>
      </c>
      <c r="AX130" s="2138">
        <v>6</v>
      </c>
      <c r="AY130" s="304">
        <v>7</v>
      </c>
      <c r="AZ130" s="304">
        <v>10</v>
      </c>
      <c r="BA130" s="304">
        <v>9</v>
      </c>
      <c r="BB130" s="304">
        <v>8</v>
      </c>
      <c r="BC130" s="304">
        <v>8</v>
      </c>
      <c r="BD130" s="304">
        <v>4</v>
      </c>
      <c r="BE130" s="304">
        <v>7</v>
      </c>
      <c r="BF130" s="304">
        <v>6</v>
      </c>
      <c r="BG130" s="304">
        <v>9</v>
      </c>
      <c r="BH130" s="304">
        <v>8</v>
      </c>
      <c r="BI130" s="304">
        <v>9</v>
      </c>
      <c r="BJ130" s="304">
        <f t="shared" si="208"/>
        <v>91</v>
      </c>
      <c r="BK130" s="305">
        <f t="shared" si="209"/>
        <v>7.5827014415465381</v>
      </c>
      <c r="BL130" t="b">
        <v>1</v>
      </c>
      <c r="BN130" s="1522"/>
      <c r="BO130" s="1522"/>
      <c r="BP130" s="1522"/>
      <c r="BQ130" s="322">
        <f t="shared" si="139"/>
        <v>1</v>
      </c>
      <c r="BR130">
        <f t="shared" si="140"/>
        <v>8</v>
      </c>
      <c r="BS130">
        <f t="shared" si="141"/>
        <v>9</v>
      </c>
    </row>
    <row r="131" spans="1:71" x14ac:dyDescent="0.55000000000000004">
      <c r="A131" s="7222"/>
      <c r="B131" s="245"/>
      <c r="C131" s="177" t="s">
        <v>231</v>
      </c>
      <c r="D131" s="301">
        <v>0</v>
      </c>
      <c r="E131" s="301">
        <v>0</v>
      </c>
      <c r="F131" s="301">
        <v>0</v>
      </c>
      <c r="G131" s="301">
        <v>0</v>
      </c>
      <c r="H131" s="301">
        <v>0</v>
      </c>
      <c r="I131" s="301">
        <v>0</v>
      </c>
      <c r="J131" s="301">
        <v>0</v>
      </c>
      <c r="K131" s="301">
        <v>0</v>
      </c>
      <c r="L131" s="301">
        <v>0</v>
      </c>
      <c r="M131" s="301">
        <v>0</v>
      </c>
      <c r="N131" s="301">
        <v>0</v>
      </c>
      <c r="O131" s="301">
        <v>0</v>
      </c>
      <c r="P131" s="301">
        <f t="shared" si="231"/>
        <v>0</v>
      </c>
      <c r="Q131" s="302">
        <f t="shared" si="232"/>
        <v>0</v>
      </c>
      <c r="R131" s="370">
        <v>0</v>
      </c>
      <c r="S131" s="336">
        <v>0</v>
      </c>
      <c r="T131" s="301">
        <v>0</v>
      </c>
      <c r="U131" s="301">
        <v>0</v>
      </c>
      <c r="V131" s="301">
        <v>0</v>
      </c>
      <c r="W131" s="301">
        <v>0</v>
      </c>
      <c r="X131" s="301">
        <v>0</v>
      </c>
      <c r="Y131" s="301">
        <v>0</v>
      </c>
      <c r="Z131" s="301">
        <v>0</v>
      </c>
      <c r="AA131" s="301">
        <v>0</v>
      </c>
      <c r="AB131" s="301">
        <v>0</v>
      </c>
      <c r="AC131" s="301">
        <v>0</v>
      </c>
      <c r="AD131" s="301">
        <v>0</v>
      </c>
      <c r="AE131" s="301">
        <f t="shared" si="255"/>
        <v>0</v>
      </c>
      <c r="AF131" s="302">
        <f t="shared" si="256"/>
        <v>0</v>
      </c>
      <c r="AG131" s="370"/>
      <c r="AH131" s="336">
        <v>7</v>
      </c>
      <c r="AI131" s="301">
        <v>8</v>
      </c>
      <c r="AJ131" s="301">
        <v>9</v>
      </c>
      <c r="AK131" s="301">
        <v>13</v>
      </c>
      <c r="AL131" s="301">
        <v>7</v>
      </c>
      <c r="AM131" s="301">
        <v>6</v>
      </c>
      <c r="AN131" s="1143"/>
      <c r="AO131" s="1143"/>
      <c r="AP131" s="1143"/>
      <c r="AQ131" s="1143"/>
      <c r="AR131" s="1143"/>
      <c r="AS131" s="1143"/>
      <c r="AT131" s="301">
        <f t="shared" si="207"/>
        <v>50</v>
      </c>
      <c r="AU131" s="302">
        <f t="shared" si="214"/>
        <v>4.166666666666667</v>
      </c>
      <c r="AV131" t="b">
        <v>1</v>
      </c>
      <c r="AX131" s="2137">
        <v>12</v>
      </c>
      <c r="AY131" s="301">
        <v>12</v>
      </c>
      <c r="AZ131" s="301">
        <v>10</v>
      </c>
      <c r="BA131" s="301">
        <v>7</v>
      </c>
      <c r="BB131" s="301">
        <v>7</v>
      </c>
      <c r="BC131" s="301">
        <v>7</v>
      </c>
      <c r="BD131" s="301">
        <v>8</v>
      </c>
      <c r="BE131" s="301">
        <v>7</v>
      </c>
      <c r="BF131" s="301">
        <v>7</v>
      </c>
      <c r="BG131" s="301">
        <v>4</v>
      </c>
      <c r="BH131" s="301">
        <v>4</v>
      </c>
      <c r="BI131" s="301">
        <v>7</v>
      </c>
      <c r="BJ131" s="301">
        <f t="shared" si="208"/>
        <v>92</v>
      </c>
      <c r="BK131" s="302">
        <f t="shared" si="209"/>
        <v>7.6660278310140821</v>
      </c>
      <c r="BL131" t="b">
        <v>1</v>
      </c>
      <c r="BN131" s="1522"/>
      <c r="BO131" s="1522"/>
      <c r="BP131" s="1522"/>
      <c r="BQ131" s="322">
        <f t="shared" si="139"/>
        <v>3</v>
      </c>
      <c r="BR131">
        <f t="shared" si="140"/>
        <v>4</v>
      </c>
      <c r="BS131">
        <f t="shared" si="141"/>
        <v>7</v>
      </c>
    </row>
    <row r="132" spans="1:71" x14ac:dyDescent="0.55000000000000004">
      <c r="A132" s="7222"/>
      <c r="B132" s="245"/>
      <c r="C132" s="177" t="s">
        <v>232</v>
      </c>
      <c r="D132" s="301">
        <v>0</v>
      </c>
      <c r="E132" s="301">
        <v>0</v>
      </c>
      <c r="F132" s="301">
        <v>0</v>
      </c>
      <c r="G132" s="301">
        <v>0</v>
      </c>
      <c r="H132" s="301">
        <v>0</v>
      </c>
      <c r="I132" s="301">
        <v>0</v>
      </c>
      <c r="J132" s="301">
        <v>0</v>
      </c>
      <c r="K132" s="301">
        <v>0</v>
      </c>
      <c r="L132" s="301">
        <v>0</v>
      </c>
      <c r="M132" s="301">
        <v>0</v>
      </c>
      <c r="N132" s="301">
        <v>0</v>
      </c>
      <c r="O132" s="301">
        <v>0</v>
      </c>
      <c r="P132" s="301">
        <f t="shared" si="231"/>
        <v>0</v>
      </c>
      <c r="Q132" s="302">
        <f t="shared" si="232"/>
        <v>0</v>
      </c>
      <c r="R132" s="370">
        <v>0</v>
      </c>
      <c r="S132" s="336">
        <v>0</v>
      </c>
      <c r="T132" s="301">
        <v>0</v>
      </c>
      <c r="U132" s="301">
        <v>0</v>
      </c>
      <c r="V132" s="301">
        <v>0</v>
      </c>
      <c r="W132" s="301">
        <v>0</v>
      </c>
      <c r="X132" s="301">
        <v>0</v>
      </c>
      <c r="Y132" s="301">
        <v>0</v>
      </c>
      <c r="Z132" s="301">
        <v>0</v>
      </c>
      <c r="AA132" s="301">
        <v>0</v>
      </c>
      <c r="AB132" s="301">
        <v>0</v>
      </c>
      <c r="AC132" s="301">
        <v>0</v>
      </c>
      <c r="AD132" s="301">
        <v>0</v>
      </c>
      <c r="AE132" s="301">
        <f t="shared" si="255"/>
        <v>0</v>
      </c>
      <c r="AF132" s="302">
        <f t="shared" si="256"/>
        <v>0</v>
      </c>
      <c r="AG132" s="370"/>
      <c r="AH132" s="336">
        <v>3</v>
      </c>
      <c r="AI132" s="301">
        <v>4</v>
      </c>
      <c r="AJ132" s="301">
        <v>0</v>
      </c>
      <c r="AK132" s="301">
        <v>1</v>
      </c>
      <c r="AL132" s="301">
        <v>3</v>
      </c>
      <c r="AM132" s="301">
        <v>3</v>
      </c>
      <c r="AN132" s="1143"/>
      <c r="AO132" s="1143"/>
      <c r="AP132" s="1143"/>
      <c r="AQ132" s="1143"/>
      <c r="AR132" s="1143"/>
      <c r="AS132" s="1143"/>
      <c r="AT132" s="301">
        <f t="shared" si="207"/>
        <v>14</v>
      </c>
      <c r="AU132" s="302">
        <f t="shared" si="214"/>
        <v>1.1666666666666667</v>
      </c>
      <c r="AV132" t="b">
        <v>1</v>
      </c>
      <c r="AX132" s="2137">
        <v>7</v>
      </c>
      <c r="AY132" s="301">
        <v>6</v>
      </c>
      <c r="AZ132" s="301">
        <v>6</v>
      </c>
      <c r="BA132" s="301">
        <v>5</v>
      </c>
      <c r="BB132" s="301">
        <v>5</v>
      </c>
      <c r="BC132" s="301">
        <v>2</v>
      </c>
      <c r="BD132" s="301">
        <v>5</v>
      </c>
      <c r="BE132" s="301">
        <v>3</v>
      </c>
      <c r="BF132" s="301">
        <v>3</v>
      </c>
      <c r="BG132" s="301">
        <v>1</v>
      </c>
      <c r="BH132" s="301">
        <v>2</v>
      </c>
      <c r="BI132" s="301">
        <v>4</v>
      </c>
      <c r="BJ132" s="301">
        <f t="shared" si="208"/>
        <v>49</v>
      </c>
      <c r="BK132" s="302">
        <f t="shared" si="209"/>
        <v>4.082993083909674</v>
      </c>
      <c r="BL132" t="b">
        <v>1</v>
      </c>
      <c r="BN132" s="1522"/>
      <c r="BO132" s="1522"/>
      <c r="BP132" s="1522"/>
      <c r="BQ132" s="322">
        <f t="shared" ref="BQ132:BQ195" si="272">BS132-BR132</f>
        <v>2</v>
      </c>
      <c r="BR132">
        <f t="shared" ref="BR132:BR195" si="273">HLOOKUP($B$1,$AX$1:$BI$500,ROW(),0)</f>
        <v>2</v>
      </c>
      <c r="BS132">
        <f t="shared" ref="BS132:BS195" si="274">HLOOKUP($A$1,$AX$1:$BI$500,ROW(),0)</f>
        <v>4</v>
      </c>
    </row>
    <row r="133" spans="1:71" x14ac:dyDescent="0.55000000000000004">
      <c r="A133" s="7222"/>
      <c r="B133" s="245"/>
      <c r="C133" s="178" t="s">
        <v>233</v>
      </c>
      <c r="D133" s="304">
        <v>0</v>
      </c>
      <c r="E133" s="304">
        <v>0</v>
      </c>
      <c r="F133" s="304">
        <v>0</v>
      </c>
      <c r="G133" s="304">
        <v>0</v>
      </c>
      <c r="H133" s="304">
        <v>0</v>
      </c>
      <c r="I133" s="304">
        <v>0</v>
      </c>
      <c r="J133" s="304">
        <v>0</v>
      </c>
      <c r="K133" s="304">
        <v>0</v>
      </c>
      <c r="L133" s="304">
        <v>0</v>
      </c>
      <c r="M133" s="304">
        <v>0</v>
      </c>
      <c r="N133" s="304">
        <v>0</v>
      </c>
      <c r="O133" s="304">
        <v>0</v>
      </c>
      <c r="P133" s="304">
        <f t="shared" si="231"/>
        <v>0</v>
      </c>
      <c r="Q133" s="305">
        <f t="shared" si="232"/>
        <v>0</v>
      </c>
      <c r="R133" s="370">
        <v>0</v>
      </c>
      <c r="S133" s="337">
        <v>0</v>
      </c>
      <c r="T133" s="304">
        <v>0</v>
      </c>
      <c r="U133" s="304">
        <v>0</v>
      </c>
      <c r="V133" s="304">
        <v>0</v>
      </c>
      <c r="W133" s="304">
        <v>0</v>
      </c>
      <c r="X133" s="304">
        <v>0</v>
      </c>
      <c r="Y133" s="304">
        <v>0</v>
      </c>
      <c r="Z133" s="304">
        <v>0</v>
      </c>
      <c r="AA133" s="304">
        <v>0</v>
      </c>
      <c r="AB133" s="304">
        <v>0</v>
      </c>
      <c r="AC133" s="304">
        <v>0</v>
      </c>
      <c r="AD133" s="304">
        <v>0</v>
      </c>
      <c r="AE133" s="304">
        <f t="shared" si="255"/>
        <v>0</v>
      </c>
      <c r="AF133" s="305">
        <f t="shared" si="256"/>
        <v>0</v>
      </c>
      <c r="AG133" s="370"/>
      <c r="AH133" s="337">
        <v>8</v>
      </c>
      <c r="AI133" s="304">
        <v>7</v>
      </c>
      <c r="AJ133" s="304">
        <v>5</v>
      </c>
      <c r="AK133" s="304">
        <v>7</v>
      </c>
      <c r="AL133" s="304">
        <v>4</v>
      </c>
      <c r="AM133" s="304">
        <v>3</v>
      </c>
      <c r="AN133" s="1143"/>
      <c r="AO133" s="1143"/>
      <c r="AP133" s="1143"/>
      <c r="AQ133" s="1143"/>
      <c r="AR133" s="1143"/>
      <c r="AS133" s="1143"/>
      <c r="AT133" s="304">
        <f t="shared" si="207"/>
        <v>34</v>
      </c>
      <c r="AU133" s="305">
        <f t="shared" si="214"/>
        <v>2.8333333333333335</v>
      </c>
      <c r="AV133" t="b">
        <v>1</v>
      </c>
      <c r="AX133" s="2138">
        <v>9</v>
      </c>
      <c r="AY133" s="304">
        <v>9</v>
      </c>
      <c r="AZ133" s="304">
        <v>8</v>
      </c>
      <c r="BA133" s="304">
        <v>9</v>
      </c>
      <c r="BB133" s="304">
        <v>6</v>
      </c>
      <c r="BC133" s="304">
        <v>6</v>
      </c>
      <c r="BD133" s="304">
        <v>3</v>
      </c>
      <c r="BE133" s="304">
        <v>5</v>
      </c>
      <c r="BF133" s="304">
        <v>4</v>
      </c>
      <c r="BG133" s="304">
        <v>3</v>
      </c>
      <c r="BH133" s="304">
        <v>6</v>
      </c>
      <c r="BI133" s="304">
        <v>6</v>
      </c>
      <c r="BJ133" s="304">
        <f t="shared" si="208"/>
        <v>74</v>
      </c>
      <c r="BK133" s="305">
        <f t="shared" si="209"/>
        <v>6.1661528205982838</v>
      </c>
      <c r="BL133" t="b">
        <v>1</v>
      </c>
      <c r="BN133" s="1522"/>
      <c r="BO133" s="1522"/>
      <c r="BP133" s="1522"/>
      <c r="BQ133" s="322">
        <f t="shared" si="272"/>
        <v>0</v>
      </c>
      <c r="BR133">
        <f t="shared" si="273"/>
        <v>6</v>
      </c>
      <c r="BS133">
        <f t="shared" si="274"/>
        <v>6</v>
      </c>
    </row>
    <row r="134" spans="1:71" x14ac:dyDescent="0.55000000000000004">
      <c r="A134" s="7222"/>
      <c r="B134" s="245"/>
      <c r="C134" s="178" t="s">
        <v>234</v>
      </c>
      <c r="D134" s="304">
        <v>0</v>
      </c>
      <c r="E134" s="304">
        <v>0</v>
      </c>
      <c r="F134" s="304">
        <v>0</v>
      </c>
      <c r="G134" s="304">
        <v>0</v>
      </c>
      <c r="H134" s="304">
        <v>0</v>
      </c>
      <c r="I134" s="304">
        <v>0</v>
      </c>
      <c r="J134" s="304">
        <v>0</v>
      </c>
      <c r="K134" s="304">
        <v>0</v>
      </c>
      <c r="L134" s="304">
        <v>0</v>
      </c>
      <c r="M134" s="304">
        <v>0</v>
      </c>
      <c r="N134" s="304">
        <v>0</v>
      </c>
      <c r="O134" s="304">
        <v>0</v>
      </c>
      <c r="P134" s="304">
        <f t="shared" si="231"/>
        <v>0</v>
      </c>
      <c r="Q134" s="305">
        <f t="shared" si="232"/>
        <v>0</v>
      </c>
      <c r="R134" s="370">
        <v>0</v>
      </c>
      <c r="S134" s="337">
        <v>0</v>
      </c>
      <c r="T134" s="304">
        <v>0</v>
      </c>
      <c r="U134" s="304">
        <v>0</v>
      </c>
      <c r="V134" s="304">
        <v>0</v>
      </c>
      <c r="W134" s="304">
        <v>0</v>
      </c>
      <c r="X134" s="304">
        <v>0</v>
      </c>
      <c r="Y134" s="304">
        <v>0</v>
      </c>
      <c r="Z134" s="304">
        <v>0</v>
      </c>
      <c r="AA134" s="304">
        <v>0</v>
      </c>
      <c r="AB134" s="304">
        <v>0</v>
      </c>
      <c r="AC134" s="304">
        <v>0</v>
      </c>
      <c r="AD134" s="304">
        <v>0</v>
      </c>
      <c r="AE134" s="304">
        <f t="shared" si="255"/>
        <v>0</v>
      </c>
      <c r="AF134" s="305">
        <f t="shared" si="256"/>
        <v>0</v>
      </c>
      <c r="AG134" s="370"/>
      <c r="AH134" s="337">
        <v>4</v>
      </c>
      <c r="AI134" s="304">
        <v>4</v>
      </c>
      <c r="AJ134" s="304">
        <v>2</v>
      </c>
      <c r="AK134" s="304">
        <v>4</v>
      </c>
      <c r="AL134" s="304">
        <v>3</v>
      </c>
      <c r="AM134" s="304">
        <v>3</v>
      </c>
      <c r="AN134" s="1143"/>
      <c r="AO134" s="1143"/>
      <c r="AP134" s="1143"/>
      <c r="AQ134" s="1143"/>
      <c r="AR134" s="1143"/>
      <c r="AS134" s="1143"/>
      <c r="AT134" s="304">
        <f t="shared" si="207"/>
        <v>20</v>
      </c>
      <c r="AU134" s="305">
        <f t="shared" si="214"/>
        <v>1.6666666666666667</v>
      </c>
      <c r="AV134" t="b">
        <v>1</v>
      </c>
      <c r="AX134" s="2138">
        <v>7</v>
      </c>
      <c r="AY134" s="304">
        <v>9</v>
      </c>
      <c r="AZ134" s="304">
        <v>8</v>
      </c>
      <c r="BA134" s="304">
        <v>6</v>
      </c>
      <c r="BB134" s="304">
        <v>5</v>
      </c>
      <c r="BC134" s="304">
        <v>7</v>
      </c>
      <c r="BD134" s="304">
        <v>7</v>
      </c>
      <c r="BE134" s="304">
        <v>7</v>
      </c>
      <c r="BF134" s="304">
        <v>5</v>
      </c>
      <c r="BG134" s="304">
        <v>3</v>
      </c>
      <c r="BH134" s="304">
        <v>5</v>
      </c>
      <c r="BI134" s="304">
        <v>6</v>
      </c>
      <c r="BJ134" s="304">
        <f t="shared" si="208"/>
        <v>75</v>
      </c>
      <c r="BK134" s="305">
        <f t="shared" si="209"/>
        <v>6.2494792100658278</v>
      </c>
      <c r="BL134" t="b">
        <v>1</v>
      </c>
      <c r="BN134" s="1522"/>
      <c r="BO134" s="1522"/>
      <c r="BP134" s="1522"/>
      <c r="BQ134" s="322">
        <f t="shared" si="272"/>
        <v>1</v>
      </c>
      <c r="BR134">
        <f t="shared" si="273"/>
        <v>5</v>
      </c>
      <c r="BS134">
        <f t="shared" si="274"/>
        <v>6</v>
      </c>
    </row>
    <row r="135" spans="1:71" x14ac:dyDescent="0.55000000000000004">
      <c r="A135" s="7222"/>
      <c r="B135" s="245"/>
      <c r="C135" s="177" t="s">
        <v>235</v>
      </c>
      <c r="D135" s="301">
        <v>0</v>
      </c>
      <c r="E135" s="301">
        <v>0</v>
      </c>
      <c r="F135" s="301">
        <v>0</v>
      </c>
      <c r="G135" s="301">
        <v>0</v>
      </c>
      <c r="H135" s="301">
        <v>0</v>
      </c>
      <c r="I135" s="301">
        <v>0</v>
      </c>
      <c r="J135" s="301">
        <v>0</v>
      </c>
      <c r="K135" s="301">
        <v>0</v>
      </c>
      <c r="L135" s="301">
        <v>0</v>
      </c>
      <c r="M135" s="301">
        <v>0</v>
      </c>
      <c r="N135" s="301">
        <v>0</v>
      </c>
      <c r="O135" s="301">
        <v>0</v>
      </c>
      <c r="P135" s="301">
        <f t="shared" si="231"/>
        <v>0</v>
      </c>
      <c r="Q135" s="302">
        <f t="shared" si="232"/>
        <v>0</v>
      </c>
      <c r="R135" s="370">
        <v>0</v>
      </c>
      <c r="S135" s="336">
        <v>0</v>
      </c>
      <c r="T135" s="301">
        <v>0</v>
      </c>
      <c r="U135" s="301">
        <v>0</v>
      </c>
      <c r="V135" s="301">
        <v>0</v>
      </c>
      <c r="W135" s="301">
        <v>0</v>
      </c>
      <c r="X135" s="301">
        <v>0</v>
      </c>
      <c r="Y135" s="301">
        <v>0</v>
      </c>
      <c r="Z135" s="301">
        <v>0</v>
      </c>
      <c r="AA135" s="301">
        <v>0</v>
      </c>
      <c r="AB135" s="301">
        <v>0</v>
      </c>
      <c r="AC135" s="301">
        <v>0</v>
      </c>
      <c r="AD135" s="301">
        <v>0</v>
      </c>
      <c r="AE135" s="301">
        <f t="shared" si="255"/>
        <v>0</v>
      </c>
      <c r="AF135" s="302">
        <f t="shared" si="256"/>
        <v>0</v>
      </c>
      <c r="AG135" s="370"/>
      <c r="AH135" s="336">
        <v>4</v>
      </c>
      <c r="AI135" s="301">
        <v>5</v>
      </c>
      <c r="AJ135" s="301">
        <v>4</v>
      </c>
      <c r="AK135" s="301">
        <v>5</v>
      </c>
      <c r="AL135" s="301">
        <v>3</v>
      </c>
      <c r="AM135" s="301">
        <v>4</v>
      </c>
      <c r="AN135" s="1143"/>
      <c r="AO135" s="1143"/>
      <c r="AP135" s="1143"/>
      <c r="AQ135" s="1143"/>
      <c r="AR135" s="1143"/>
      <c r="AS135" s="1143"/>
      <c r="AT135" s="301">
        <f t="shared" si="207"/>
        <v>25</v>
      </c>
      <c r="AU135" s="302">
        <f t="shared" si="214"/>
        <v>2.0833333333333335</v>
      </c>
      <c r="AV135" t="b">
        <v>1</v>
      </c>
      <c r="AX135" s="2137">
        <v>15</v>
      </c>
      <c r="AY135" s="301">
        <v>10</v>
      </c>
      <c r="AZ135" s="301">
        <v>11</v>
      </c>
      <c r="BA135" s="301">
        <v>12</v>
      </c>
      <c r="BB135" s="301">
        <v>9</v>
      </c>
      <c r="BC135" s="301">
        <v>10</v>
      </c>
      <c r="BD135" s="301">
        <v>11</v>
      </c>
      <c r="BE135" s="301">
        <v>9</v>
      </c>
      <c r="BF135" s="301">
        <v>10</v>
      </c>
      <c r="BG135" s="301">
        <v>9</v>
      </c>
      <c r="BH135" s="301">
        <v>9</v>
      </c>
      <c r="BI135" s="301">
        <v>8</v>
      </c>
      <c r="BJ135" s="301">
        <f t="shared" si="208"/>
        <v>123</v>
      </c>
      <c r="BK135" s="302">
        <f t="shared" si="209"/>
        <v>10.249145904507959</v>
      </c>
      <c r="BL135" t="b">
        <v>1</v>
      </c>
      <c r="BN135" s="1522"/>
      <c r="BO135" s="1522"/>
      <c r="BP135" s="1522"/>
      <c r="BQ135" s="322">
        <f t="shared" si="272"/>
        <v>-1</v>
      </c>
      <c r="BR135">
        <f t="shared" si="273"/>
        <v>9</v>
      </c>
      <c r="BS135">
        <f t="shared" si="274"/>
        <v>8</v>
      </c>
    </row>
    <row r="136" spans="1:71" ht="18" thickBot="1" x14ac:dyDescent="0.6">
      <c r="A136" s="7223"/>
      <c r="B136" s="246"/>
      <c r="C136" s="179" t="s">
        <v>236</v>
      </c>
      <c r="D136" s="307">
        <v>0</v>
      </c>
      <c r="E136" s="307">
        <v>0</v>
      </c>
      <c r="F136" s="307">
        <v>0</v>
      </c>
      <c r="G136" s="307">
        <v>0</v>
      </c>
      <c r="H136" s="307">
        <v>0</v>
      </c>
      <c r="I136" s="307">
        <v>0</v>
      </c>
      <c r="J136" s="307">
        <v>0</v>
      </c>
      <c r="K136" s="307">
        <v>0</v>
      </c>
      <c r="L136" s="307">
        <v>0</v>
      </c>
      <c r="M136" s="307">
        <v>0</v>
      </c>
      <c r="N136" s="307">
        <v>0</v>
      </c>
      <c r="O136" s="307">
        <v>0</v>
      </c>
      <c r="P136" s="307">
        <f t="shared" si="231"/>
        <v>0</v>
      </c>
      <c r="Q136" s="308">
        <f t="shared" si="232"/>
        <v>0</v>
      </c>
      <c r="R136" s="370">
        <v>0</v>
      </c>
      <c r="S136" s="338">
        <v>0</v>
      </c>
      <c r="T136" s="307">
        <v>0</v>
      </c>
      <c r="U136" s="307">
        <v>0</v>
      </c>
      <c r="V136" s="307">
        <v>0</v>
      </c>
      <c r="W136" s="307">
        <v>0</v>
      </c>
      <c r="X136" s="307">
        <v>0</v>
      </c>
      <c r="Y136" s="307">
        <v>0</v>
      </c>
      <c r="Z136" s="307">
        <v>0</v>
      </c>
      <c r="AA136" s="307">
        <v>0</v>
      </c>
      <c r="AB136" s="307">
        <v>0</v>
      </c>
      <c r="AC136" s="307">
        <v>0</v>
      </c>
      <c r="AD136" s="307">
        <v>0</v>
      </c>
      <c r="AE136" s="307">
        <f t="shared" si="255"/>
        <v>0</v>
      </c>
      <c r="AF136" s="308">
        <f t="shared" si="256"/>
        <v>0</v>
      </c>
      <c r="AG136" s="370"/>
      <c r="AH136" s="338">
        <v>5</v>
      </c>
      <c r="AI136" s="307">
        <v>4</v>
      </c>
      <c r="AJ136" s="307">
        <v>6</v>
      </c>
      <c r="AK136" s="307">
        <v>5</v>
      </c>
      <c r="AL136" s="307">
        <v>2</v>
      </c>
      <c r="AM136" s="307">
        <v>2</v>
      </c>
      <c r="AN136" s="1143"/>
      <c r="AO136" s="1143"/>
      <c r="AP136" s="1143"/>
      <c r="AQ136" s="1143"/>
      <c r="AR136" s="1143"/>
      <c r="AS136" s="1143"/>
      <c r="AT136" s="307">
        <f t="shared" si="207"/>
        <v>24</v>
      </c>
      <c r="AU136" s="308">
        <f t="shared" si="214"/>
        <v>2</v>
      </c>
      <c r="AV136" t="b">
        <v>1</v>
      </c>
      <c r="AX136" s="2139">
        <v>6</v>
      </c>
      <c r="AY136" s="307">
        <v>7</v>
      </c>
      <c r="AZ136" s="307">
        <v>7</v>
      </c>
      <c r="BA136" s="307">
        <v>10</v>
      </c>
      <c r="BB136" s="307">
        <v>9</v>
      </c>
      <c r="BC136" s="307">
        <v>7</v>
      </c>
      <c r="BD136" s="307">
        <v>7</v>
      </c>
      <c r="BE136" s="307">
        <v>8</v>
      </c>
      <c r="BF136" s="307">
        <v>9</v>
      </c>
      <c r="BG136" s="307">
        <v>11</v>
      </c>
      <c r="BH136" s="307">
        <v>7</v>
      </c>
      <c r="BI136" s="307">
        <v>9</v>
      </c>
      <c r="BJ136" s="307">
        <f t="shared" si="208"/>
        <v>97</v>
      </c>
      <c r="BK136" s="308">
        <f t="shared" si="209"/>
        <v>8.0826597783518039</v>
      </c>
      <c r="BL136" t="b">
        <v>1</v>
      </c>
      <c r="BN136" s="1522"/>
      <c r="BO136" s="1522"/>
      <c r="BP136" s="1522"/>
      <c r="BQ136" s="322">
        <f t="shared" si="272"/>
        <v>2</v>
      </c>
      <c r="BR136">
        <f t="shared" si="273"/>
        <v>7</v>
      </c>
      <c r="BS136">
        <f t="shared" si="274"/>
        <v>9</v>
      </c>
    </row>
    <row r="137" spans="1:71" ht="6" customHeight="1" thickBot="1" x14ac:dyDescent="0.6"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70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70"/>
      <c r="AH137" s="339"/>
      <c r="AI137" s="339"/>
      <c r="AJ137" s="339"/>
      <c r="AK137" s="339"/>
      <c r="AL137" s="339"/>
      <c r="AM137" s="339"/>
      <c r="AN137" s="339"/>
      <c r="AO137" s="339"/>
      <c r="AP137" s="339"/>
      <c r="AQ137" s="339"/>
      <c r="AR137" s="339"/>
      <c r="AS137" s="339"/>
      <c r="AT137" s="339"/>
      <c r="AU137" s="339"/>
      <c r="AX137" s="339"/>
      <c r="AY137" s="339"/>
      <c r="AZ137" s="339"/>
      <c r="BA137" s="339"/>
      <c r="BB137" s="339"/>
      <c r="BC137" s="339"/>
      <c r="BD137" s="339"/>
      <c r="BE137" s="339"/>
      <c r="BF137" s="339"/>
      <c r="BG137" s="339"/>
      <c r="BH137" s="339"/>
      <c r="BI137" s="339"/>
      <c r="BJ137" s="339"/>
      <c r="BK137" s="339"/>
      <c r="BN137" s="322">
        <f>HLOOKUP($A$1,$AH$1:$AS$400,ROW(),0)-HLOOKUP($A$1,$S$1:$AD$400,ROW(),0)</f>
        <v>0</v>
      </c>
      <c r="BO137" s="322">
        <f t="shared" ref="BO137:BO200" si="275">BK137-AU137</f>
        <v>0</v>
      </c>
      <c r="BP137" s="322"/>
      <c r="BQ137" s="322">
        <f t="shared" si="272"/>
        <v>0</v>
      </c>
      <c r="BR137">
        <f t="shared" si="273"/>
        <v>0</v>
      </c>
      <c r="BS137">
        <f t="shared" si="274"/>
        <v>0</v>
      </c>
    </row>
    <row r="138" spans="1:71" x14ac:dyDescent="0.55000000000000004">
      <c r="A138" s="7221" t="s">
        <v>399</v>
      </c>
      <c r="B138" s="41" t="s">
        <v>259</v>
      </c>
      <c r="C138" s="16"/>
      <c r="D138" s="584">
        <v>59.988235294117644</v>
      </c>
      <c r="E138" s="585">
        <v>60.15234375</v>
      </c>
      <c r="F138" s="585">
        <v>55.945525291828794</v>
      </c>
      <c r="G138" s="585">
        <v>57.96551724137931</v>
      </c>
      <c r="H138" s="585">
        <v>56.423664122137403</v>
      </c>
      <c r="I138" s="585">
        <v>65.760617760617762</v>
      </c>
      <c r="J138" s="585">
        <v>53.087786259541986</v>
      </c>
      <c r="K138" s="585">
        <v>78.542307692307688</v>
      </c>
      <c r="L138" s="585">
        <v>49.152671755725194</v>
      </c>
      <c r="M138" s="585">
        <v>78.406130268199234</v>
      </c>
      <c r="N138" s="585">
        <v>57.160919540229884</v>
      </c>
      <c r="O138" s="585">
        <v>49.33984375</v>
      </c>
      <c r="P138" s="585">
        <f>SUM(D138:O138)</f>
        <v>721.92556272608499</v>
      </c>
      <c r="Q138" s="586">
        <f>SUM(D138:O138)/12</f>
        <v>60.160463560507083</v>
      </c>
      <c r="R138" s="370"/>
      <c r="S138" s="584">
        <v>53.772200772200769</v>
      </c>
      <c r="T138" s="585">
        <v>73.154440154440152</v>
      </c>
      <c r="U138" s="585">
        <v>59.074803149606296</v>
      </c>
      <c r="V138" s="585">
        <v>55.554263565891475</v>
      </c>
      <c r="W138" s="585">
        <v>61.236434108527135</v>
      </c>
      <c r="X138" s="585">
        <v>58.147859922178988</v>
      </c>
      <c r="Y138" s="585">
        <v>51.471042471042473</v>
      </c>
      <c r="Z138" s="585">
        <v>89.58754863813229</v>
      </c>
      <c r="AA138" s="585">
        <v>42.836575875486382</v>
      </c>
      <c r="AB138" s="585">
        <v>80.250980392156862</v>
      </c>
      <c r="AC138" s="585">
        <v>54.074803149606296</v>
      </c>
      <c r="AD138" s="585">
        <v>46.426877470355734</v>
      </c>
      <c r="AE138" s="585">
        <f>SUM(S138:AD138)</f>
        <v>725.58782966962485</v>
      </c>
      <c r="AF138" s="586">
        <f>AE138/12</f>
        <v>60.46565247246874</v>
      </c>
      <c r="AG138" s="370"/>
      <c r="AH138" s="2283">
        <v>91.407114624505923</v>
      </c>
      <c r="AI138" s="2284">
        <v>57.627450980392155</v>
      </c>
      <c r="AJ138" s="2284">
        <v>62.796812749003983</v>
      </c>
      <c r="AK138" s="2284">
        <v>60.773076923076921</v>
      </c>
      <c r="AL138" s="2284">
        <v>60.973282442748094</v>
      </c>
      <c r="AM138" s="2284">
        <v>54.270676691729321</v>
      </c>
      <c r="AN138" s="2284">
        <v>80.795539033457246</v>
      </c>
      <c r="AO138" s="2284">
        <v>59.992592592592594</v>
      </c>
      <c r="AP138" s="2284">
        <v>75.726937269372698</v>
      </c>
      <c r="AQ138" s="2284">
        <v>59.709558823529413</v>
      </c>
      <c r="AR138" s="2284">
        <v>55.306273062730625</v>
      </c>
      <c r="AS138" s="2284">
        <v>48.579335793357934</v>
      </c>
      <c r="AT138" s="585">
        <f>SUM(AH138:AS138)</f>
        <v>767.95865098649688</v>
      </c>
      <c r="AU138" s="586">
        <f>SUM(AH138:AS138)/12</f>
        <v>63.996554248874737</v>
      </c>
      <c r="AV138" s="926"/>
      <c r="AX138" s="2284">
        <v>43.860294117647058</v>
      </c>
      <c r="AY138" s="2284">
        <v>91.911764705882348</v>
      </c>
      <c r="AZ138" s="2284">
        <v>63.736059479553901</v>
      </c>
      <c r="BA138" s="2284">
        <v>85.328244274809165</v>
      </c>
      <c r="BB138" s="2284">
        <v>113.15891472868218</v>
      </c>
      <c r="BC138" s="2284">
        <v>70.233463035019454</v>
      </c>
      <c r="BD138" s="585">
        <v>114.78346456692914</v>
      </c>
      <c r="BE138" s="585">
        <v>69.224409448818903</v>
      </c>
      <c r="BF138" s="585">
        <v>91.090909090909093</v>
      </c>
      <c r="BG138" s="585">
        <v>71.604743083003953</v>
      </c>
      <c r="BH138" s="585">
        <v>54.198412698412696</v>
      </c>
      <c r="BI138" s="585">
        <v>46.966905681191399</v>
      </c>
      <c r="BJ138" s="585">
        <f>SUM(AX138:BI138)</f>
        <v>916.09758491085938</v>
      </c>
      <c r="BK138" s="586">
        <f>SUM(AX138:BI138)/$A$1</f>
        <v>76.335104150559076</v>
      </c>
      <c r="BL138" s="2191"/>
      <c r="BM138" s="2191"/>
      <c r="BN138" s="322">
        <f t="shared" ref="BN138:BN201" si="276">HLOOKUP($A$1,$AX$1:$BI$500,ROW(),0)-HLOOKUP($A$1,$AH$1:$AS$500,ROW(),0)</f>
        <v>-1.6124301121665354</v>
      </c>
      <c r="BO138" s="322">
        <f t="shared" si="275"/>
        <v>12.338549901684338</v>
      </c>
      <c r="BP138" s="322">
        <f t="shared" ref="BP138:BP169" si="277">BJ138-SUM(AH138:AS138)</f>
        <v>148.1389339243625</v>
      </c>
      <c r="BQ138" s="322">
        <f t="shared" si="272"/>
        <v>-7.231507017221297</v>
      </c>
      <c r="BR138">
        <f t="shared" si="273"/>
        <v>54.198412698412696</v>
      </c>
      <c r="BS138">
        <f t="shared" si="274"/>
        <v>46.966905681191399</v>
      </c>
    </row>
    <row r="139" spans="1:71" x14ac:dyDescent="0.55000000000000004">
      <c r="A139" s="7222"/>
      <c r="B139" s="42"/>
      <c r="C139" s="35" t="s">
        <v>260</v>
      </c>
      <c r="D139" s="273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>
        <f t="shared" ref="P139:P202" si="278">SUM(D139:O139)</f>
        <v>0</v>
      </c>
      <c r="Q139" s="275">
        <f t="shared" ref="Q139:Q202" si="279">SUM(D139:O139)/12</f>
        <v>0</v>
      </c>
      <c r="R139" s="370"/>
      <c r="S139" s="273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>
        <f t="shared" ref="AE139:AE202" si="280">SUM(S139:AD139)</f>
        <v>0</v>
      </c>
      <c r="AF139" s="275">
        <f t="shared" ref="AF139:AF202" si="281">AE139/12</f>
        <v>0</v>
      </c>
      <c r="AG139" s="370"/>
      <c r="AH139" s="757"/>
      <c r="AI139" s="758"/>
      <c r="AJ139" s="758"/>
      <c r="AK139" s="758"/>
      <c r="AL139" s="758"/>
      <c r="AM139" s="274"/>
      <c r="AN139" s="274"/>
      <c r="AO139" s="758"/>
      <c r="AP139" s="274"/>
      <c r="AQ139" s="274"/>
      <c r="AR139" s="758"/>
      <c r="AS139" s="758"/>
      <c r="AT139" s="274">
        <f t="shared" ref="AT139:AT202" si="282">SUM(AH139:AS139)</f>
        <v>0</v>
      </c>
      <c r="AU139" s="275">
        <f t="shared" ref="AU139:AU172" si="283">SUM(AH139:AS139)/12</f>
        <v>0</v>
      </c>
      <c r="AV139" s="926"/>
      <c r="AX139" s="758"/>
      <c r="AY139" s="758"/>
      <c r="AZ139" s="758"/>
      <c r="BA139" s="758"/>
      <c r="BB139" s="758"/>
      <c r="BC139" s="274"/>
      <c r="BD139" s="274"/>
      <c r="BE139" s="758"/>
      <c r="BF139" s="274"/>
      <c r="BG139" s="274"/>
      <c r="BH139" s="758"/>
      <c r="BI139" s="758"/>
      <c r="BJ139" s="274"/>
      <c r="BK139" s="275"/>
      <c r="BL139" s="926"/>
      <c r="BM139" s="926"/>
      <c r="BN139" s="322">
        <f t="shared" si="276"/>
        <v>0</v>
      </c>
      <c r="BO139" s="322">
        <f t="shared" si="275"/>
        <v>0</v>
      </c>
      <c r="BP139" s="322">
        <f t="shared" si="277"/>
        <v>0</v>
      </c>
      <c r="BQ139" s="322">
        <f t="shared" si="272"/>
        <v>0</v>
      </c>
      <c r="BR139">
        <f t="shared" si="273"/>
        <v>0</v>
      </c>
      <c r="BS139">
        <f t="shared" si="274"/>
        <v>0</v>
      </c>
    </row>
    <row r="140" spans="1:71" x14ac:dyDescent="0.55000000000000004">
      <c r="A140" s="7222"/>
      <c r="B140" s="42"/>
      <c r="C140" s="35" t="s">
        <v>262</v>
      </c>
      <c r="D140" s="273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>
        <f t="shared" si="278"/>
        <v>0</v>
      </c>
      <c r="Q140" s="275">
        <f t="shared" si="279"/>
        <v>0</v>
      </c>
      <c r="R140" s="370"/>
      <c r="S140" s="273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>
        <f t="shared" si="280"/>
        <v>0</v>
      </c>
      <c r="AF140" s="275">
        <f t="shared" si="281"/>
        <v>0</v>
      </c>
      <c r="AG140" s="370"/>
      <c r="AH140" s="757"/>
      <c r="AI140" s="758"/>
      <c r="AJ140" s="758"/>
      <c r="AK140" s="758"/>
      <c r="AL140" s="758"/>
      <c r="AM140" s="274"/>
      <c r="AN140" s="274"/>
      <c r="AO140" s="758"/>
      <c r="AP140" s="274"/>
      <c r="AQ140" s="274"/>
      <c r="AR140" s="758"/>
      <c r="AS140" s="758"/>
      <c r="AT140" s="274">
        <f t="shared" si="282"/>
        <v>0</v>
      </c>
      <c r="AU140" s="275">
        <f t="shared" si="283"/>
        <v>0</v>
      </c>
      <c r="AV140" s="926"/>
      <c r="AX140" s="758"/>
      <c r="AY140" s="758"/>
      <c r="AZ140" s="758"/>
      <c r="BA140" s="758"/>
      <c r="BB140" s="758"/>
      <c r="BC140" s="274"/>
      <c r="BD140" s="274"/>
      <c r="BE140" s="758"/>
      <c r="BF140" s="274"/>
      <c r="BG140" s="274"/>
      <c r="BH140" s="758"/>
      <c r="BI140" s="758"/>
      <c r="BJ140" s="274"/>
      <c r="BK140" s="275"/>
      <c r="BL140" s="926"/>
      <c r="BM140" s="926"/>
      <c r="BN140" s="322">
        <f t="shared" si="276"/>
        <v>0</v>
      </c>
      <c r="BO140" s="322">
        <f t="shared" si="275"/>
        <v>0</v>
      </c>
      <c r="BP140" s="322">
        <f t="shared" si="277"/>
        <v>0</v>
      </c>
      <c r="BQ140" s="322">
        <f t="shared" si="272"/>
        <v>0</v>
      </c>
      <c r="BR140">
        <f t="shared" si="273"/>
        <v>0</v>
      </c>
      <c r="BS140">
        <f t="shared" si="274"/>
        <v>0</v>
      </c>
    </row>
    <row r="141" spans="1:71" x14ac:dyDescent="0.55000000000000004">
      <c r="A141" s="7222"/>
      <c r="B141" s="42"/>
      <c r="C141" s="35" t="s">
        <v>261</v>
      </c>
      <c r="D141" s="273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>
        <f t="shared" si="278"/>
        <v>0</v>
      </c>
      <c r="Q141" s="275">
        <f t="shared" si="279"/>
        <v>0</v>
      </c>
      <c r="R141" s="370"/>
      <c r="S141" s="273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>
        <f t="shared" si="280"/>
        <v>0</v>
      </c>
      <c r="AF141" s="275">
        <f t="shared" si="281"/>
        <v>0</v>
      </c>
      <c r="AG141" s="370"/>
      <c r="AH141" s="757"/>
      <c r="AI141" s="758"/>
      <c r="AJ141" s="758"/>
      <c r="AK141" s="758"/>
      <c r="AL141" s="758"/>
      <c r="AM141" s="274"/>
      <c r="AN141" s="274"/>
      <c r="AO141" s="758"/>
      <c r="AP141" s="274"/>
      <c r="AQ141" s="274"/>
      <c r="AR141" s="758"/>
      <c r="AS141" s="758"/>
      <c r="AT141" s="274">
        <f t="shared" si="282"/>
        <v>0</v>
      </c>
      <c r="AU141" s="275">
        <f t="shared" si="283"/>
        <v>0</v>
      </c>
      <c r="AV141" s="926"/>
      <c r="AX141" s="758"/>
      <c r="AY141" s="758"/>
      <c r="AZ141" s="758"/>
      <c r="BA141" s="758"/>
      <c r="BB141" s="758"/>
      <c r="BC141" s="274"/>
      <c r="BD141" s="274"/>
      <c r="BE141" s="758"/>
      <c r="BF141" s="274"/>
      <c r="BG141" s="274"/>
      <c r="BH141" s="758"/>
      <c r="BI141" s="758"/>
      <c r="BJ141" s="274"/>
      <c r="BK141" s="275"/>
      <c r="BL141" s="926"/>
      <c r="BM141" s="926"/>
      <c r="BN141" s="322">
        <f t="shared" si="276"/>
        <v>0</v>
      </c>
      <c r="BO141" s="322">
        <f t="shared" si="275"/>
        <v>0</v>
      </c>
      <c r="BP141" s="322">
        <f t="shared" si="277"/>
        <v>0</v>
      </c>
      <c r="BQ141" s="322">
        <f t="shared" si="272"/>
        <v>0</v>
      </c>
      <c r="BR141">
        <f t="shared" si="273"/>
        <v>0</v>
      </c>
      <c r="BS141">
        <f t="shared" si="274"/>
        <v>0</v>
      </c>
    </row>
    <row r="142" spans="1:71" x14ac:dyDescent="0.55000000000000004">
      <c r="A142" s="7222"/>
      <c r="B142" s="243" t="s">
        <v>222</v>
      </c>
      <c r="C142" s="107"/>
      <c r="D142" s="576">
        <v>60.023809523809526</v>
      </c>
      <c r="E142" s="567">
        <v>56.883720930232556</v>
      </c>
      <c r="F142" s="567">
        <v>52.186046511627907</v>
      </c>
      <c r="G142" s="567">
        <v>50.955555555555556</v>
      </c>
      <c r="H142" s="567">
        <v>50.666666666666664</v>
      </c>
      <c r="I142" s="567">
        <v>57.116279069767444</v>
      </c>
      <c r="J142" s="567">
        <v>49.177777777777777</v>
      </c>
      <c r="K142" s="567">
        <v>72.75</v>
      </c>
      <c r="L142" s="567">
        <v>43.866666666666667</v>
      </c>
      <c r="M142" s="567">
        <v>73.11363636363636</v>
      </c>
      <c r="N142" s="567">
        <v>50.613636363636367</v>
      </c>
      <c r="O142" s="567">
        <v>44.418604651162788</v>
      </c>
      <c r="P142" s="567">
        <f t="shared" si="278"/>
        <v>661.77240008053968</v>
      </c>
      <c r="Q142" s="465">
        <f t="shared" si="279"/>
        <v>55.147700006711638</v>
      </c>
      <c r="R142" s="370"/>
      <c r="S142" s="576">
        <v>47.333333333333336</v>
      </c>
      <c r="T142" s="567">
        <v>64.444444444444443</v>
      </c>
      <c r="U142" s="567">
        <v>54.785714285714285</v>
      </c>
      <c r="V142" s="567">
        <v>51.75</v>
      </c>
      <c r="W142" s="567">
        <v>57.272727272727273</v>
      </c>
      <c r="X142" s="567">
        <v>54.348837209302324</v>
      </c>
      <c r="Y142" s="567">
        <v>46.130434782608695</v>
      </c>
      <c r="Z142" s="567">
        <v>77.195652173913047</v>
      </c>
      <c r="AA142" s="567">
        <v>36.847826086956523</v>
      </c>
      <c r="AB142" s="567">
        <v>71.466666666666669</v>
      </c>
      <c r="AC142" s="567">
        <v>49.955555555555556</v>
      </c>
      <c r="AD142" s="567">
        <v>41.02325581395349</v>
      </c>
      <c r="AE142" s="567">
        <f t="shared" si="280"/>
        <v>652.5544476251755</v>
      </c>
      <c r="AF142" s="465">
        <f t="shared" si="281"/>
        <v>54.379537302097958</v>
      </c>
      <c r="AG142" s="370"/>
      <c r="AH142" s="2288">
        <v>79.162790697674424</v>
      </c>
      <c r="AI142" s="2285">
        <v>48.717391304347828</v>
      </c>
      <c r="AJ142" s="2285">
        <v>56.333333333333336</v>
      </c>
      <c r="AK142" s="2285">
        <v>52.510204081632651</v>
      </c>
      <c r="AL142" s="2285">
        <v>52.816326530612244</v>
      </c>
      <c r="AM142" s="2285">
        <v>47.235294117647058</v>
      </c>
      <c r="AN142" s="2285">
        <v>71.807692307692307</v>
      </c>
      <c r="AO142" s="2285">
        <v>53.42307692307692</v>
      </c>
      <c r="AP142" s="2285">
        <v>68.25</v>
      </c>
      <c r="AQ142" s="2285">
        <v>52.245283018867923</v>
      </c>
      <c r="AR142" s="2285">
        <v>48.886792452830186</v>
      </c>
      <c r="AS142" s="2285">
        <v>43.452830188679243</v>
      </c>
      <c r="AT142" s="567">
        <f t="shared" si="282"/>
        <v>674.84101495639413</v>
      </c>
      <c r="AU142" s="465">
        <f t="shared" si="283"/>
        <v>56.236751246366175</v>
      </c>
      <c r="AV142" s="926"/>
      <c r="AX142" s="2285">
        <v>38.685185185185183</v>
      </c>
      <c r="AY142" s="2285">
        <v>77.129629629629633</v>
      </c>
      <c r="AZ142" s="2285">
        <v>52.924528301886795</v>
      </c>
      <c r="BA142" s="2285">
        <v>79.78</v>
      </c>
      <c r="BB142" s="2285">
        <v>106.16</v>
      </c>
      <c r="BC142" s="2285">
        <v>63.52</v>
      </c>
      <c r="BD142" s="1030">
        <v>103.20408163265306</v>
      </c>
      <c r="BE142" s="567">
        <v>61.510204081632651</v>
      </c>
      <c r="BF142" s="567">
        <v>81.204081632653057</v>
      </c>
      <c r="BG142" s="567">
        <v>61.142857142857146</v>
      </c>
      <c r="BH142" s="567">
        <v>48.306122448979593</v>
      </c>
      <c r="BI142" s="567">
        <v>43.46</v>
      </c>
      <c r="BJ142" s="567">
        <f t="shared" ref="BJ142:BJ172" si="284">SUM(AX142:BI142)</f>
        <v>817.02669005547705</v>
      </c>
      <c r="BK142" s="465">
        <f t="shared" ref="BK142:BK172" si="285">SUM(AX142:BI142)/$A$1</f>
        <v>68.079884180941349</v>
      </c>
      <c r="BL142" s="2191"/>
      <c r="BM142" s="1145"/>
      <c r="BN142" s="322">
        <f t="shared" si="276"/>
        <v>7.1698113207574465E-3</v>
      </c>
      <c r="BO142" s="322">
        <f t="shared" si="275"/>
        <v>11.843132934575173</v>
      </c>
      <c r="BP142" s="322">
        <f t="shared" si="277"/>
        <v>142.18567509908291</v>
      </c>
      <c r="BQ142" s="322">
        <f t="shared" si="272"/>
        <v>-4.8461224489795924</v>
      </c>
      <c r="BR142">
        <f t="shared" si="273"/>
        <v>48.306122448979593</v>
      </c>
      <c r="BS142">
        <f t="shared" si="274"/>
        <v>43.46</v>
      </c>
    </row>
    <row r="143" spans="1:71" x14ac:dyDescent="0.55000000000000004">
      <c r="A143" s="7222"/>
      <c r="B143" s="235" t="s">
        <v>223</v>
      </c>
      <c r="C143" s="14"/>
      <c r="D143" s="577">
        <v>57.674418604651166</v>
      </c>
      <c r="E143" s="568">
        <v>59.071428571428569</v>
      </c>
      <c r="F143" s="568">
        <v>51.428571428571431</v>
      </c>
      <c r="G143" s="568">
        <v>60.642857142857146</v>
      </c>
      <c r="H143" s="568">
        <v>59.023809523809526</v>
      </c>
      <c r="I143" s="568">
        <v>64.642857142857139</v>
      </c>
      <c r="J143" s="568">
        <v>53.904761904761905</v>
      </c>
      <c r="K143" s="568">
        <v>77.952380952380949</v>
      </c>
      <c r="L143" s="568">
        <v>51.232558139534881</v>
      </c>
      <c r="M143" s="568">
        <v>82.906976744186053</v>
      </c>
      <c r="N143" s="568">
        <v>57.651162790697676</v>
      </c>
      <c r="O143" s="568">
        <v>48.341463414634148</v>
      </c>
      <c r="P143" s="568">
        <f t="shared" si="278"/>
        <v>724.47324636037058</v>
      </c>
      <c r="Q143" s="569">
        <f t="shared" si="279"/>
        <v>60.372770530030884</v>
      </c>
      <c r="R143" s="370"/>
      <c r="S143" s="577">
        <v>57.536585365853661</v>
      </c>
      <c r="T143" s="568">
        <v>73</v>
      </c>
      <c r="U143" s="568">
        <v>58.512195121951223</v>
      </c>
      <c r="V143" s="568">
        <v>54.142857142857146</v>
      </c>
      <c r="W143" s="568">
        <v>62.571428571428569</v>
      </c>
      <c r="X143" s="568">
        <v>57.738095238095241</v>
      </c>
      <c r="Y143" s="568">
        <v>52.238095238095241</v>
      </c>
      <c r="Z143" s="568">
        <v>87.095238095238102</v>
      </c>
      <c r="AA143" s="568">
        <v>42.19047619047619</v>
      </c>
      <c r="AB143" s="568">
        <v>83.642857142857139</v>
      </c>
      <c r="AC143" s="568">
        <v>54.878048780487802</v>
      </c>
      <c r="AD143" s="568">
        <v>46.404761904761905</v>
      </c>
      <c r="AE143" s="568">
        <f t="shared" si="280"/>
        <v>729.95063879210215</v>
      </c>
      <c r="AF143" s="569">
        <f t="shared" si="281"/>
        <v>60.829219899341844</v>
      </c>
      <c r="AG143" s="370"/>
      <c r="AH143" s="2289">
        <v>91.095238095238102</v>
      </c>
      <c r="AI143" s="2286">
        <v>56.333333333333336</v>
      </c>
      <c r="AJ143" s="2286">
        <v>62.357142857142854</v>
      </c>
      <c r="AK143" s="2286">
        <v>62.047619047619051</v>
      </c>
      <c r="AL143" s="2286">
        <v>63.302325581395351</v>
      </c>
      <c r="AM143" s="2286">
        <v>54.395348837209305</v>
      </c>
      <c r="AN143" s="2286">
        <v>79.044444444444451</v>
      </c>
      <c r="AO143" s="2286">
        <v>59.31111111111111</v>
      </c>
      <c r="AP143" s="2286">
        <v>76.644444444444446</v>
      </c>
      <c r="AQ143" s="2286">
        <v>59.93333333333333</v>
      </c>
      <c r="AR143" s="2286">
        <v>57.333333333333336</v>
      </c>
      <c r="AS143" s="2286">
        <v>49.422222222222224</v>
      </c>
      <c r="AT143" s="568">
        <f t="shared" si="282"/>
        <v>771.21989664082685</v>
      </c>
      <c r="AU143" s="569">
        <f t="shared" si="283"/>
        <v>64.268324720068904</v>
      </c>
      <c r="AV143" s="926"/>
      <c r="AX143" s="2286">
        <v>46.777777777777779</v>
      </c>
      <c r="AY143" s="2286">
        <v>92.13333333333334</v>
      </c>
      <c r="AZ143" s="2286">
        <v>64.555555555555557</v>
      </c>
      <c r="BA143" s="2286">
        <v>95.088888888888889</v>
      </c>
      <c r="BB143" s="2286">
        <v>131.46511627906978</v>
      </c>
      <c r="BC143" s="2286">
        <v>76.904761904761898</v>
      </c>
      <c r="BD143" s="1031">
        <v>118.92857142857143</v>
      </c>
      <c r="BE143" s="568">
        <v>72.833333333333329</v>
      </c>
      <c r="BF143" s="568">
        <v>99.121951219512198</v>
      </c>
      <c r="BG143" s="568">
        <v>77.609756097560975</v>
      </c>
      <c r="BH143" s="568">
        <v>55.585365853658537</v>
      </c>
      <c r="BI143" s="568">
        <v>57.560975609756099</v>
      </c>
      <c r="BJ143" s="568">
        <f t="shared" si="284"/>
        <v>988.56538728177998</v>
      </c>
      <c r="BK143" s="569">
        <f t="shared" si="285"/>
        <v>82.373584474775441</v>
      </c>
      <c r="BL143" s="2191"/>
      <c r="BM143" s="1145"/>
      <c r="BN143" s="322">
        <f t="shared" si="276"/>
        <v>8.1387533875338747</v>
      </c>
      <c r="BO143" s="322">
        <f t="shared" si="275"/>
        <v>18.105259754706537</v>
      </c>
      <c r="BP143" s="322">
        <f t="shared" si="277"/>
        <v>217.34549064095313</v>
      </c>
      <c r="BQ143" s="322">
        <f t="shared" si="272"/>
        <v>1.9756097560975618</v>
      </c>
      <c r="BR143">
        <f t="shared" si="273"/>
        <v>55.585365853658537</v>
      </c>
      <c r="BS143">
        <f t="shared" si="274"/>
        <v>57.560975609756099</v>
      </c>
    </row>
    <row r="144" spans="1:71" x14ac:dyDescent="0.55000000000000004">
      <c r="A144" s="7222"/>
      <c r="B144" s="235" t="s">
        <v>224</v>
      </c>
      <c r="C144" s="14"/>
      <c r="D144" s="577">
        <v>61.92307692307692</v>
      </c>
      <c r="E144" s="568">
        <v>60.82692307692308</v>
      </c>
      <c r="F144" s="568">
        <v>60.384615384615387</v>
      </c>
      <c r="G144" s="568">
        <v>63.480769230769234</v>
      </c>
      <c r="H144" s="568">
        <v>62.53846153846154</v>
      </c>
      <c r="I144" s="568">
        <v>71.730769230769226</v>
      </c>
      <c r="J144" s="568">
        <v>57.283018867924525</v>
      </c>
      <c r="K144" s="568">
        <v>81.301886792452834</v>
      </c>
      <c r="L144" s="568">
        <v>56.150943396226417</v>
      </c>
      <c r="M144" s="568">
        <v>87.09615384615384</v>
      </c>
      <c r="N144" s="568">
        <v>65.211538461538467</v>
      </c>
      <c r="O144" s="568">
        <v>56.098039215686278</v>
      </c>
      <c r="P144" s="568">
        <f t="shared" si="278"/>
        <v>784.02619596459772</v>
      </c>
      <c r="Q144" s="569">
        <f t="shared" si="279"/>
        <v>65.335516330383143</v>
      </c>
      <c r="R144" s="370"/>
      <c r="S144" s="577">
        <v>61.705882352941174</v>
      </c>
      <c r="T144" s="568">
        <v>77.862745098039213</v>
      </c>
      <c r="U144" s="568">
        <v>67.215686274509807</v>
      </c>
      <c r="V144" s="568">
        <v>62.846153846153847</v>
      </c>
      <c r="W144" s="568">
        <v>63.269230769230766</v>
      </c>
      <c r="X144" s="568">
        <v>64.09615384615384</v>
      </c>
      <c r="Y144" s="568">
        <v>56.942307692307693</v>
      </c>
      <c r="Z144" s="568">
        <v>95.588235294117652</v>
      </c>
      <c r="AA144" s="568">
        <v>47.117647058823529</v>
      </c>
      <c r="AB144" s="568">
        <v>88.313725490196077</v>
      </c>
      <c r="AC144" s="568">
        <v>60.372549019607845</v>
      </c>
      <c r="AD144" s="568">
        <v>50.254901960784316</v>
      </c>
      <c r="AE144" s="568">
        <f t="shared" si="280"/>
        <v>795.58521870286575</v>
      </c>
      <c r="AF144" s="569">
        <f t="shared" si="281"/>
        <v>66.298768225238817</v>
      </c>
      <c r="AG144" s="370"/>
      <c r="AH144" s="2289">
        <v>98.215686274509807</v>
      </c>
      <c r="AI144" s="2286">
        <v>68.294117647058826</v>
      </c>
      <c r="AJ144" s="2286">
        <v>68.254901960784309</v>
      </c>
      <c r="AK144" s="2286">
        <v>67.40384615384616</v>
      </c>
      <c r="AL144" s="2286">
        <v>68.365384615384613</v>
      </c>
      <c r="AM144" s="2286">
        <v>58.685185185185183</v>
      </c>
      <c r="AN144" s="2286">
        <v>85.773584905660371</v>
      </c>
      <c r="AO144" s="2286">
        <v>66.581818181818178</v>
      </c>
      <c r="AP144" s="2286">
        <v>79.181818181818187</v>
      </c>
      <c r="AQ144" s="2286">
        <v>68.63636363636364</v>
      </c>
      <c r="AR144" s="2286">
        <v>59.163636363636364</v>
      </c>
      <c r="AS144" s="2286">
        <v>52.618181818181817</v>
      </c>
      <c r="AT144" s="568">
        <f t="shared" si="282"/>
        <v>841.17452492424752</v>
      </c>
      <c r="AU144" s="569">
        <f t="shared" si="283"/>
        <v>70.097877077020627</v>
      </c>
      <c r="AV144" s="926"/>
      <c r="AX144" s="2286">
        <v>48.803571428571431</v>
      </c>
      <c r="AY144" s="2286">
        <v>98.732142857142861</v>
      </c>
      <c r="AZ144" s="2286">
        <v>67.236363636363635</v>
      </c>
      <c r="BA144" s="2286">
        <v>89.037735849056602</v>
      </c>
      <c r="BB144" s="2286">
        <v>119.43396226415095</v>
      </c>
      <c r="BC144" s="2286">
        <v>77.924528301886795</v>
      </c>
      <c r="BD144" s="1031">
        <v>120.21153846153847</v>
      </c>
      <c r="BE144" s="568">
        <v>75.057692307692307</v>
      </c>
      <c r="BF144" s="568">
        <v>97.40384615384616</v>
      </c>
      <c r="BG144" s="568">
        <v>75.5</v>
      </c>
      <c r="BH144" s="568">
        <v>58.529411764705884</v>
      </c>
      <c r="BI144" s="568">
        <v>54.392156862745097</v>
      </c>
      <c r="BJ144" s="568">
        <f t="shared" si="284"/>
        <v>982.26294988770007</v>
      </c>
      <c r="BK144" s="569">
        <f t="shared" si="285"/>
        <v>81.848425121881519</v>
      </c>
      <c r="BL144" s="2191"/>
      <c r="BM144" s="1145"/>
      <c r="BN144" s="322">
        <f t="shared" si="276"/>
        <v>1.7739750445632794</v>
      </c>
      <c r="BO144" s="322">
        <f t="shared" si="275"/>
        <v>11.750548044860892</v>
      </c>
      <c r="BP144" s="322">
        <f t="shared" si="277"/>
        <v>141.08842496345255</v>
      </c>
      <c r="BQ144" s="322">
        <f t="shared" si="272"/>
        <v>-4.1372549019607874</v>
      </c>
      <c r="BR144">
        <f t="shared" si="273"/>
        <v>58.529411764705884</v>
      </c>
      <c r="BS144">
        <f t="shared" si="274"/>
        <v>54.392156862745097</v>
      </c>
    </row>
    <row r="145" spans="1:71" x14ac:dyDescent="0.55000000000000004">
      <c r="A145" s="7222"/>
      <c r="B145" s="235" t="s">
        <v>225</v>
      </c>
      <c r="C145" s="14"/>
      <c r="D145" s="577">
        <v>65.573770491803273</v>
      </c>
      <c r="E145" s="568">
        <v>65.967741935483872</v>
      </c>
      <c r="F145" s="568">
        <v>59.873015873015873</v>
      </c>
      <c r="G145" s="568">
        <v>61.046875</v>
      </c>
      <c r="H145" s="568">
        <v>58.430769230769229</v>
      </c>
      <c r="I145" s="568">
        <v>71.046153846153842</v>
      </c>
      <c r="J145" s="568">
        <v>55.646153846153844</v>
      </c>
      <c r="K145" s="568">
        <v>85.140625</v>
      </c>
      <c r="L145" s="568">
        <v>50.078125</v>
      </c>
      <c r="M145" s="568">
        <v>77.461538461538467</v>
      </c>
      <c r="N145" s="568">
        <v>60.476923076923079</v>
      </c>
      <c r="O145" s="568">
        <v>51.828125</v>
      </c>
      <c r="P145" s="568">
        <f t="shared" si="278"/>
        <v>762.56981676184148</v>
      </c>
      <c r="Q145" s="569">
        <f t="shared" si="279"/>
        <v>63.547484730153457</v>
      </c>
      <c r="R145" s="370"/>
      <c r="S145" s="577">
        <v>56.476923076923079</v>
      </c>
      <c r="T145" s="568">
        <v>80.061538461538461</v>
      </c>
      <c r="U145" s="568">
        <v>60.968253968253968</v>
      </c>
      <c r="V145" s="568">
        <v>57.640625</v>
      </c>
      <c r="W145" s="568">
        <v>64.140625</v>
      </c>
      <c r="X145" s="568">
        <v>61.3125</v>
      </c>
      <c r="Y145" s="568">
        <v>52</v>
      </c>
      <c r="Z145" s="568">
        <v>100.30645161290323</v>
      </c>
      <c r="AA145" s="568">
        <v>46.354838709677416</v>
      </c>
      <c r="AB145" s="568">
        <v>82.774193548387103</v>
      </c>
      <c r="AC145" s="568">
        <v>54.770491803278688</v>
      </c>
      <c r="AD145" s="568">
        <v>48.967213114754095</v>
      </c>
      <c r="AE145" s="568">
        <f t="shared" si="280"/>
        <v>765.77365429571614</v>
      </c>
      <c r="AF145" s="569">
        <f t="shared" si="281"/>
        <v>63.814471191309678</v>
      </c>
      <c r="AG145" s="370"/>
      <c r="AH145" s="2289">
        <v>103.80327868852459</v>
      </c>
      <c r="AI145" s="2286">
        <v>62.56666666666667</v>
      </c>
      <c r="AJ145" s="2286">
        <v>67.45</v>
      </c>
      <c r="AK145" s="2286">
        <v>65.147540983606561</v>
      </c>
      <c r="AL145" s="2286">
        <v>67.483333333333334</v>
      </c>
      <c r="AM145" s="2286">
        <v>59.704918032786885</v>
      </c>
      <c r="AN145" s="2286">
        <v>92.098360655737707</v>
      </c>
      <c r="AO145" s="2286">
        <v>65.45</v>
      </c>
      <c r="AP145" s="2286">
        <v>83.416666666666671</v>
      </c>
      <c r="AQ145" s="2286">
        <v>64.733333333333334</v>
      </c>
      <c r="AR145" s="2286">
        <v>61.067796610169495</v>
      </c>
      <c r="AS145" s="2286">
        <v>51.65</v>
      </c>
      <c r="AT145" s="568">
        <f t="shared" si="282"/>
        <v>844.57189497082527</v>
      </c>
      <c r="AU145" s="569">
        <f t="shared" si="283"/>
        <v>70.380991247568772</v>
      </c>
      <c r="AV145" s="926"/>
      <c r="AX145" s="2286">
        <v>44.779661016949156</v>
      </c>
      <c r="AY145" s="2286">
        <v>107.35593220338983</v>
      </c>
      <c r="AZ145" s="2286">
        <v>74.982758620689651</v>
      </c>
      <c r="BA145" s="2286">
        <v>94.578947368421055</v>
      </c>
      <c r="BB145" s="2286">
        <v>115.45614035087719</v>
      </c>
      <c r="BC145" s="2286">
        <v>76.280701754385959</v>
      </c>
      <c r="BD145" s="1031">
        <v>128.54385964912279</v>
      </c>
      <c r="BE145" s="568">
        <v>74.929824561403507</v>
      </c>
      <c r="BF145" s="568">
        <v>96.245614035087726</v>
      </c>
      <c r="BG145" s="568">
        <v>81.228070175438603</v>
      </c>
      <c r="BH145" s="568">
        <v>59.017543859649123</v>
      </c>
      <c r="BI145" s="568">
        <v>53.912280701754383</v>
      </c>
      <c r="BJ145" s="568">
        <f t="shared" si="284"/>
        <v>1007.311334297169</v>
      </c>
      <c r="BK145" s="569">
        <f t="shared" si="285"/>
        <v>83.93561655671769</v>
      </c>
      <c r="BL145" s="2191"/>
      <c r="BM145" s="1145"/>
      <c r="BN145" s="322">
        <f t="shared" si="276"/>
        <v>2.2622807017543849</v>
      </c>
      <c r="BO145" s="322">
        <f t="shared" si="275"/>
        <v>13.554625309148918</v>
      </c>
      <c r="BP145" s="322">
        <f t="shared" si="277"/>
        <v>162.7394393263437</v>
      </c>
      <c r="BQ145" s="322">
        <f t="shared" si="272"/>
        <v>-5.1052631578947398</v>
      </c>
      <c r="BR145">
        <f t="shared" si="273"/>
        <v>59.017543859649123</v>
      </c>
      <c r="BS145">
        <f t="shared" si="274"/>
        <v>53.912280701754383</v>
      </c>
    </row>
    <row r="146" spans="1:71" x14ac:dyDescent="0.55000000000000004">
      <c r="A146" s="7222"/>
      <c r="B146" s="236" t="s">
        <v>226</v>
      </c>
      <c r="C146" s="29"/>
      <c r="D146" s="578">
        <v>53.964912280701753</v>
      </c>
      <c r="E146" s="570">
        <v>56.473684210526315</v>
      </c>
      <c r="F146" s="570">
        <v>53.719298245614034</v>
      </c>
      <c r="G146" s="570">
        <v>53.120689655172413</v>
      </c>
      <c r="H146" s="570">
        <v>51.275862068965516</v>
      </c>
      <c r="I146" s="570">
        <v>61.631578947368418</v>
      </c>
      <c r="J146" s="570">
        <v>48.754385964912281</v>
      </c>
      <c r="K146" s="570">
        <v>73.473684210526315</v>
      </c>
      <c r="L146" s="570">
        <v>44.210526315789473</v>
      </c>
      <c r="M146" s="570">
        <v>72.245614035087726</v>
      </c>
      <c r="N146" s="570">
        <v>50.719298245614034</v>
      </c>
      <c r="O146" s="570">
        <v>44.929824561403507</v>
      </c>
      <c r="P146" s="570">
        <f t="shared" si="278"/>
        <v>664.5193587416818</v>
      </c>
      <c r="Q146" s="571">
        <f t="shared" si="279"/>
        <v>55.376613228473481</v>
      </c>
      <c r="R146" s="370"/>
      <c r="S146" s="578">
        <v>45.964912280701753</v>
      </c>
      <c r="T146" s="570">
        <v>68.05263157894737</v>
      </c>
      <c r="U146" s="570">
        <v>53.263157894736842</v>
      </c>
      <c r="V146" s="570">
        <v>50.446428571428569</v>
      </c>
      <c r="W146" s="570">
        <v>58.142857142857146</v>
      </c>
      <c r="X146" s="570">
        <v>52.232142857142854</v>
      </c>
      <c r="Y146" s="570">
        <v>49.607142857142854</v>
      </c>
      <c r="Z146" s="570">
        <v>84.303571428571431</v>
      </c>
      <c r="AA146" s="570">
        <v>40.446428571428569</v>
      </c>
      <c r="AB146" s="570">
        <v>74.527272727272731</v>
      </c>
      <c r="AC146" s="570">
        <v>50.303571428571431</v>
      </c>
      <c r="AD146" s="570">
        <v>44.339285714285715</v>
      </c>
      <c r="AE146" s="570">
        <f t="shared" si="280"/>
        <v>671.62940305308723</v>
      </c>
      <c r="AF146" s="571">
        <f t="shared" si="281"/>
        <v>55.969116921090603</v>
      </c>
      <c r="AG146" s="370"/>
      <c r="AH146" s="2290">
        <v>81.339285714285708</v>
      </c>
      <c r="AI146" s="2287">
        <v>50.910714285714285</v>
      </c>
      <c r="AJ146" s="2287">
        <v>58.017857142857146</v>
      </c>
      <c r="AK146" s="2287">
        <v>56.125</v>
      </c>
      <c r="AL146" s="2287">
        <v>52.775862068965516</v>
      </c>
      <c r="AM146" s="2287">
        <v>50.473684210526315</v>
      </c>
      <c r="AN146" s="2287">
        <v>73.775862068965523</v>
      </c>
      <c r="AO146" s="2287">
        <v>54.517241379310342</v>
      </c>
      <c r="AP146" s="2287">
        <v>70.576271186440678</v>
      </c>
      <c r="AQ146" s="2287">
        <v>52.813559322033896</v>
      </c>
      <c r="AR146" s="2287">
        <v>50.16949152542373</v>
      </c>
      <c r="AS146" s="2287">
        <v>45.603448275862071</v>
      </c>
      <c r="AT146" s="570">
        <f t="shared" si="282"/>
        <v>697.09827718038525</v>
      </c>
      <c r="AU146" s="571">
        <f t="shared" si="283"/>
        <v>58.091523098365435</v>
      </c>
      <c r="AV146" s="926"/>
      <c r="AX146" s="2287">
        <v>40.706896551724135</v>
      </c>
      <c r="AY146" s="2287">
        <v>83.206896551724142</v>
      </c>
      <c r="AZ146" s="2287">
        <v>58.413793103448278</v>
      </c>
      <c r="BA146" s="2287">
        <v>69.78947368421052</v>
      </c>
      <c r="BB146" s="2287">
        <v>96.781818181818181</v>
      </c>
      <c r="BC146" s="2287">
        <v>57.563636363636363</v>
      </c>
      <c r="BD146" s="1032">
        <v>102.31481481481481</v>
      </c>
      <c r="BE146" s="570">
        <v>61.777777777777779</v>
      </c>
      <c r="BF146" s="570">
        <v>82.444444444444443</v>
      </c>
      <c r="BG146" s="570">
        <v>62.629629629629633</v>
      </c>
      <c r="BH146" s="570">
        <v>49.314814814814817</v>
      </c>
      <c r="BI146" s="570">
        <v>45.129629629629626</v>
      </c>
      <c r="BJ146" s="570">
        <f t="shared" si="284"/>
        <v>810.07362554767292</v>
      </c>
      <c r="BK146" s="571">
        <f t="shared" si="285"/>
        <v>67.500510419771103</v>
      </c>
      <c r="BL146" s="2191"/>
      <c r="BM146" s="1145"/>
      <c r="BN146" s="322">
        <f t="shared" si="276"/>
        <v>-0.47381864623244496</v>
      </c>
      <c r="BO146" s="322">
        <f t="shared" si="275"/>
        <v>9.4089873214056681</v>
      </c>
      <c r="BP146" s="322">
        <f t="shared" si="277"/>
        <v>112.97534836728767</v>
      </c>
      <c r="BQ146" s="322">
        <f t="shared" si="272"/>
        <v>-4.1851851851851904</v>
      </c>
      <c r="BR146">
        <f t="shared" si="273"/>
        <v>49.314814814814817</v>
      </c>
      <c r="BS146">
        <f t="shared" si="274"/>
        <v>45.129629629629626</v>
      </c>
    </row>
    <row r="147" spans="1:71" x14ac:dyDescent="0.55000000000000004">
      <c r="A147" s="7222"/>
      <c r="B147" s="244"/>
      <c r="C147" s="176" t="s">
        <v>227</v>
      </c>
      <c r="D147" s="563">
        <v>65.888888888888886</v>
      </c>
      <c r="E147" s="563">
        <v>60.333333333333336</v>
      </c>
      <c r="F147" s="563">
        <v>57.555555555555557</v>
      </c>
      <c r="G147" s="563">
        <v>53</v>
      </c>
      <c r="H147" s="563">
        <v>51.65</v>
      </c>
      <c r="I147" s="563">
        <v>55.263157894736842</v>
      </c>
      <c r="J147" s="563">
        <v>52.1</v>
      </c>
      <c r="K147" s="563">
        <v>76.89473684210526</v>
      </c>
      <c r="L147" s="563">
        <v>47.25</v>
      </c>
      <c r="M147" s="563">
        <v>83.1</v>
      </c>
      <c r="N147" s="563">
        <v>53.55</v>
      </c>
      <c r="O147" s="563">
        <v>44.25</v>
      </c>
      <c r="P147" s="563">
        <f t="shared" si="278"/>
        <v>700.83567251461989</v>
      </c>
      <c r="Q147" s="572">
        <f t="shared" si="279"/>
        <v>58.402972709551655</v>
      </c>
      <c r="R147" s="370"/>
      <c r="S147" s="579">
        <v>50.666666666666664</v>
      </c>
      <c r="T147" s="563">
        <v>69.61904761904762</v>
      </c>
      <c r="U147" s="563">
        <v>63.631578947368418</v>
      </c>
      <c r="V147" s="563">
        <v>56.428571428571431</v>
      </c>
      <c r="W147" s="563">
        <v>61.095238095238095</v>
      </c>
      <c r="X147" s="563">
        <v>57.45</v>
      </c>
      <c r="Y147" s="563">
        <v>48.363636363636367</v>
      </c>
      <c r="Z147" s="563">
        <v>79.590909090909093</v>
      </c>
      <c r="AA147" s="563">
        <v>38.68181818181818</v>
      </c>
      <c r="AB147" s="563">
        <v>73.86363636363636</v>
      </c>
      <c r="AC147" s="563">
        <v>55.5</v>
      </c>
      <c r="AD147" s="563">
        <v>47.2</v>
      </c>
      <c r="AE147" s="563">
        <f t="shared" si="280"/>
        <v>702.09110275689216</v>
      </c>
      <c r="AF147" s="572">
        <f t="shared" si="281"/>
        <v>58.507591896407682</v>
      </c>
      <c r="AG147" s="370"/>
      <c r="AH147" s="2291">
        <v>79.349999999999994</v>
      </c>
      <c r="AI147" s="2292">
        <v>48.136363636363633</v>
      </c>
      <c r="AJ147" s="2292">
        <v>58.714285714285715</v>
      </c>
      <c r="AK147" s="2292">
        <v>55.166666666666664</v>
      </c>
      <c r="AL147" s="2292">
        <v>52.208333333333336</v>
      </c>
      <c r="AM147" s="2292">
        <v>45.64</v>
      </c>
      <c r="AN147" s="2299">
        <v>69.65384615384616</v>
      </c>
      <c r="AO147" s="2292">
        <v>50.07692307692308</v>
      </c>
      <c r="AP147" s="2292">
        <v>66.538461538461533</v>
      </c>
      <c r="AQ147" s="2292">
        <v>49.592592592592595</v>
      </c>
      <c r="AR147" s="2292">
        <v>46.925925925925924</v>
      </c>
      <c r="AS147" s="2292">
        <v>42.074074074074076</v>
      </c>
      <c r="AT147" s="563">
        <f t="shared" si="282"/>
        <v>664.07747271247285</v>
      </c>
      <c r="AU147" s="572">
        <f t="shared" si="283"/>
        <v>55.339789392706074</v>
      </c>
      <c r="AV147" s="926"/>
      <c r="AX147" s="2292">
        <v>38.074074074074076</v>
      </c>
      <c r="AY147" s="2292">
        <v>73.703703703703709</v>
      </c>
      <c r="AZ147" s="2292">
        <v>52.384615384615387</v>
      </c>
      <c r="BA147" s="2292">
        <v>83.56</v>
      </c>
      <c r="BB147" s="2292">
        <v>108.92</v>
      </c>
      <c r="BC147" s="2292">
        <v>66</v>
      </c>
      <c r="BD147" s="1087">
        <v>104.45833333333333</v>
      </c>
      <c r="BE147" s="563">
        <v>60.458333333333336</v>
      </c>
      <c r="BF147" s="563">
        <v>83.5</v>
      </c>
      <c r="BG147" s="563">
        <v>60.291666666666664</v>
      </c>
      <c r="BH147" s="563">
        <v>47.333333333333336</v>
      </c>
      <c r="BI147" s="563">
        <v>45.625</v>
      </c>
      <c r="BJ147" s="563">
        <f t="shared" si="284"/>
        <v>824.30905982905995</v>
      </c>
      <c r="BK147" s="572">
        <f t="shared" si="285"/>
        <v>68.686697760941584</v>
      </c>
      <c r="BL147" s="2191"/>
      <c r="BM147" s="1145"/>
      <c r="BN147" s="322">
        <f t="shared" si="276"/>
        <v>3.5509259259259238</v>
      </c>
      <c r="BO147" s="322">
        <f t="shared" si="275"/>
        <v>13.346908368235511</v>
      </c>
      <c r="BP147" s="322">
        <f t="shared" si="277"/>
        <v>160.23158711658709</v>
      </c>
      <c r="BQ147" s="322">
        <f t="shared" si="272"/>
        <v>-1.7083333333333357</v>
      </c>
      <c r="BR147">
        <f t="shared" si="273"/>
        <v>47.333333333333336</v>
      </c>
      <c r="BS147">
        <f t="shared" si="274"/>
        <v>45.625</v>
      </c>
    </row>
    <row r="148" spans="1:71" x14ac:dyDescent="0.55000000000000004">
      <c r="A148" s="7222"/>
      <c r="B148" s="245"/>
      <c r="C148" s="177" t="s">
        <v>228</v>
      </c>
      <c r="D148" s="564">
        <v>55.625</v>
      </c>
      <c r="E148" s="564">
        <v>54.4</v>
      </c>
      <c r="F148" s="564">
        <v>48.32</v>
      </c>
      <c r="G148" s="564">
        <v>49.32</v>
      </c>
      <c r="H148" s="564">
        <v>49.88</v>
      </c>
      <c r="I148" s="564">
        <v>58.583333333333336</v>
      </c>
      <c r="J148" s="564">
        <v>46.84</v>
      </c>
      <c r="K148" s="564">
        <v>69.599999999999994</v>
      </c>
      <c r="L148" s="564">
        <v>41.16</v>
      </c>
      <c r="M148" s="564">
        <v>64.791666666666671</v>
      </c>
      <c r="N148" s="564">
        <v>48.166666666666664</v>
      </c>
      <c r="O148" s="564">
        <v>44.565217391304351</v>
      </c>
      <c r="P148" s="564">
        <f t="shared" si="278"/>
        <v>631.25188405797098</v>
      </c>
      <c r="Q148" s="573">
        <f t="shared" si="279"/>
        <v>52.604323671497582</v>
      </c>
      <c r="R148" s="370"/>
      <c r="S148" s="580">
        <v>44.416666666666664</v>
      </c>
      <c r="T148" s="564">
        <v>59.916666666666664</v>
      </c>
      <c r="U148" s="564">
        <v>47.478260869565219</v>
      </c>
      <c r="V148" s="564">
        <v>47.478260869565219</v>
      </c>
      <c r="W148" s="564">
        <v>53.782608695652172</v>
      </c>
      <c r="X148" s="564">
        <v>51.652173913043477</v>
      </c>
      <c r="Y148" s="564">
        <v>44.083333333333336</v>
      </c>
      <c r="Z148" s="564">
        <v>75</v>
      </c>
      <c r="AA148" s="564">
        <v>35.166666666666664</v>
      </c>
      <c r="AB148" s="564">
        <v>69.173913043478265</v>
      </c>
      <c r="AC148" s="564">
        <v>44.652173913043477</v>
      </c>
      <c r="AD148" s="564">
        <v>35.652173913043477</v>
      </c>
      <c r="AE148" s="564">
        <f t="shared" si="280"/>
        <v>608.45289855072474</v>
      </c>
      <c r="AF148" s="573">
        <f t="shared" si="281"/>
        <v>50.704408212560395</v>
      </c>
      <c r="AG148" s="370"/>
      <c r="AH148" s="2293">
        <v>79</v>
      </c>
      <c r="AI148" s="2294">
        <v>49.25</v>
      </c>
      <c r="AJ148" s="2294">
        <v>53.952380952380949</v>
      </c>
      <c r="AK148" s="2294">
        <v>49.96</v>
      </c>
      <c r="AL148" s="2294">
        <v>53.4</v>
      </c>
      <c r="AM148" s="2294">
        <v>48.769230769230766</v>
      </c>
      <c r="AN148" s="2300">
        <v>73.961538461538467</v>
      </c>
      <c r="AO148" s="2294">
        <v>56.769230769230766</v>
      </c>
      <c r="AP148" s="2294">
        <v>69.961538461538467</v>
      </c>
      <c r="AQ148" s="2294">
        <v>55</v>
      </c>
      <c r="AR148" s="2294">
        <v>50.92307692307692</v>
      </c>
      <c r="AS148" s="2294">
        <v>44.884615384615387</v>
      </c>
      <c r="AT148" s="564">
        <f t="shared" si="282"/>
        <v>685.83161172161169</v>
      </c>
      <c r="AU148" s="573">
        <f t="shared" si="283"/>
        <v>57.15263431013431</v>
      </c>
      <c r="AV148" s="926"/>
      <c r="AX148" s="2294">
        <v>39.296296296296298</v>
      </c>
      <c r="AY148" s="2294">
        <v>80.555555555555557</v>
      </c>
      <c r="AZ148" s="2294">
        <v>53.444444444444443</v>
      </c>
      <c r="BA148" s="2294">
        <v>76</v>
      </c>
      <c r="BB148" s="2294">
        <v>103.4</v>
      </c>
      <c r="BC148" s="2294">
        <v>61.04</v>
      </c>
      <c r="BD148" s="1088">
        <v>102</v>
      </c>
      <c r="BE148" s="564">
        <v>62.52</v>
      </c>
      <c r="BF148" s="564">
        <v>79</v>
      </c>
      <c r="BG148" s="564">
        <v>61.96</v>
      </c>
      <c r="BH148" s="564">
        <v>49.24</v>
      </c>
      <c r="BI148" s="564">
        <v>41.46153846153846</v>
      </c>
      <c r="BJ148" s="564">
        <f t="shared" si="284"/>
        <v>809.91783475783484</v>
      </c>
      <c r="BK148" s="573">
        <f t="shared" si="285"/>
        <v>67.487528935741594</v>
      </c>
      <c r="BL148" s="2191"/>
      <c r="BM148" s="1145"/>
      <c r="BN148" s="322">
        <f t="shared" si="276"/>
        <v>-3.4230769230769269</v>
      </c>
      <c r="BO148" s="322">
        <f t="shared" si="275"/>
        <v>10.334894625607284</v>
      </c>
      <c r="BP148" s="322">
        <f t="shared" si="277"/>
        <v>124.08622303622315</v>
      </c>
      <c r="BQ148" s="322">
        <f t="shared" si="272"/>
        <v>-7.7784615384615421</v>
      </c>
      <c r="BR148">
        <f t="shared" si="273"/>
        <v>49.24</v>
      </c>
      <c r="BS148">
        <f t="shared" si="274"/>
        <v>41.46153846153846</v>
      </c>
    </row>
    <row r="149" spans="1:71" x14ac:dyDescent="0.55000000000000004">
      <c r="A149" s="7222"/>
      <c r="B149" s="245"/>
      <c r="C149" s="178" t="s">
        <v>229</v>
      </c>
      <c r="D149" s="565">
        <v>52.666666666666664</v>
      </c>
      <c r="E149" s="565">
        <v>59.411764705882355</v>
      </c>
      <c r="F149" s="565">
        <v>51.588235294117645</v>
      </c>
      <c r="G149" s="565">
        <v>63.941176470588232</v>
      </c>
      <c r="H149" s="565">
        <v>59.529411764705884</v>
      </c>
      <c r="I149" s="565">
        <v>65.294117647058826</v>
      </c>
      <c r="J149" s="565">
        <v>56.470588235294116</v>
      </c>
      <c r="K149" s="565">
        <v>80.882352941176464</v>
      </c>
      <c r="L149" s="565">
        <v>53.611111111111114</v>
      </c>
      <c r="M149" s="565">
        <v>87</v>
      </c>
      <c r="N149" s="565">
        <v>59.833333333333336</v>
      </c>
      <c r="O149" s="565">
        <v>52.5625</v>
      </c>
      <c r="P149" s="565">
        <f t="shared" si="278"/>
        <v>742.79125816993462</v>
      </c>
      <c r="Q149" s="574">
        <f t="shared" si="279"/>
        <v>61.899271514161221</v>
      </c>
      <c r="R149" s="370"/>
      <c r="S149" s="581">
        <v>61.3125</v>
      </c>
      <c r="T149" s="565">
        <v>73.875</v>
      </c>
      <c r="U149" s="565">
        <v>61.125</v>
      </c>
      <c r="V149" s="565">
        <v>51.117647058823529</v>
      </c>
      <c r="W149" s="565">
        <v>68.705882352941174</v>
      </c>
      <c r="X149" s="565">
        <v>59.058823529411768</v>
      </c>
      <c r="Y149" s="565">
        <v>55.117647058823529</v>
      </c>
      <c r="Z149" s="565">
        <v>88.764705882352942</v>
      </c>
      <c r="AA149" s="565">
        <v>44.705882352941174</v>
      </c>
      <c r="AB149" s="565">
        <v>90.588235294117652</v>
      </c>
      <c r="AC149" s="565">
        <v>59.882352941176471</v>
      </c>
      <c r="AD149" s="565">
        <v>48.882352941176471</v>
      </c>
      <c r="AE149" s="565">
        <f t="shared" si="280"/>
        <v>763.13602941176475</v>
      </c>
      <c r="AF149" s="574">
        <f t="shared" si="281"/>
        <v>63.594669117647065</v>
      </c>
      <c r="AG149" s="370"/>
      <c r="AH149" s="2295">
        <v>104.41176470588235</v>
      </c>
      <c r="AI149" s="2296">
        <v>63.294117647058826</v>
      </c>
      <c r="AJ149" s="2296">
        <v>71.294117647058826</v>
      </c>
      <c r="AK149" s="2296">
        <v>73.75</v>
      </c>
      <c r="AL149" s="2296">
        <v>69.235294117647058</v>
      </c>
      <c r="AM149" s="2296">
        <v>61.352941176470587</v>
      </c>
      <c r="AN149" s="2301">
        <v>84.736842105263165</v>
      </c>
      <c r="AO149" s="2296">
        <v>63.421052631578945</v>
      </c>
      <c r="AP149" s="2296">
        <v>82.21052631578948</v>
      </c>
      <c r="AQ149" s="2296">
        <v>65.15789473684211</v>
      </c>
      <c r="AR149" s="2296">
        <v>59.842105263157897</v>
      </c>
      <c r="AS149" s="2296">
        <v>50.842105263157897</v>
      </c>
      <c r="AT149" s="565">
        <f t="shared" si="282"/>
        <v>849.54876160990716</v>
      </c>
      <c r="AU149" s="574">
        <f t="shared" si="283"/>
        <v>70.79573013415893</v>
      </c>
      <c r="AV149" s="926"/>
      <c r="AX149" s="2296">
        <v>48.421052631578938</v>
      </c>
      <c r="AY149" s="2296">
        <v>92.736842105263165</v>
      </c>
      <c r="AZ149" s="2296">
        <v>66.315789473684205</v>
      </c>
      <c r="BA149" s="2296">
        <v>109.63157894736842</v>
      </c>
      <c r="BB149" s="2296">
        <v>158.23529411764707</v>
      </c>
      <c r="BC149" s="2296">
        <v>86.235294117647058</v>
      </c>
      <c r="BD149" s="1089">
        <v>135.76470588235293</v>
      </c>
      <c r="BE149" s="565">
        <v>79.117647058823536</v>
      </c>
      <c r="BF149" s="565">
        <v>117.25</v>
      </c>
      <c r="BG149" s="565">
        <v>89.25</v>
      </c>
      <c r="BH149" s="565">
        <v>62.5</v>
      </c>
      <c r="BI149" s="565">
        <v>67.125</v>
      </c>
      <c r="BJ149" s="565">
        <f t="shared" si="284"/>
        <v>1112.5832043343653</v>
      </c>
      <c r="BK149" s="574">
        <f t="shared" si="285"/>
        <v>92.707541399413827</v>
      </c>
      <c r="BL149" s="2191"/>
      <c r="BM149" s="1145"/>
      <c r="BN149" s="322">
        <f t="shared" si="276"/>
        <v>16.282894736842103</v>
      </c>
      <c r="BO149" s="322">
        <f t="shared" si="275"/>
        <v>21.911811265254897</v>
      </c>
      <c r="BP149" s="322">
        <f t="shared" si="277"/>
        <v>263.03444272445813</v>
      </c>
      <c r="BQ149" s="322">
        <f t="shared" si="272"/>
        <v>4.625</v>
      </c>
      <c r="BR149">
        <f t="shared" si="273"/>
        <v>62.5</v>
      </c>
      <c r="BS149">
        <f t="shared" si="274"/>
        <v>67.125</v>
      </c>
    </row>
    <row r="150" spans="1:71" x14ac:dyDescent="0.55000000000000004">
      <c r="A150" s="7222"/>
      <c r="B150" s="245"/>
      <c r="C150" s="178" t="s">
        <v>230</v>
      </c>
      <c r="D150" s="565">
        <v>61.28</v>
      </c>
      <c r="E150" s="565">
        <v>58.84</v>
      </c>
      <c r="F150" s="565">
        <v>51.32</v>
      </c>
      <c r="G150" s="565">
        <v>58.4</v>
      </c>
      <c r="H150" s="565">
        <v>58.68</v>
      </c>
      <c r="I150" s="565">
        <v>64.2</v>
      </c>
      <c r="J150" s="565">
        <v>52.16</v>
      </c>
      <c r="K150" s="565">
        <v>75.959999999999994</v>
      </c>
      <c r="L150" s="565">
        <v>49.52</v>
      </c>
      <c r="M150" s="565">
        <v>79.959999999999994</v>
      </c>
      <c r="N150" s="565">
        <v>56.08</v>
      </c>
      <c r="O150" s="565">
        <v>45.64</v>
      </c>
      <c r="P150" s="565">
        <f t="shared" si="278"/>
        <v>712.04000000000008</v>
      </c>
      <c r="Q150" s="574">
        <f t="shared" si="279"/>
        <v>59.336666666666673</v>
      </c>
      <c r="R150" s="370"/>
      <c r="S150" s="581">
        <v>55.12</v>
      </c>
      <c r="T150" s="565">
        <v>72.44</v>
      </c>
      <c r="U150" s="565">
        <v>56.84</v>
      </c>
      <c r="V150" s="565">
        <v>56.2</v>
      </c>
      <c r="W150" s="565">
        <v>58.4</v>
      </c>
      <c r="X150" s="565">
        <v>56.84</v>
      </c>
      <c r="Y150" s="565">
        <v>50.28</v>
      </c>
      <c r="Z150" s="565">
        <v>85.96</v>
      </c>
      <c r="AA150" s="565">
        <v>40.479999999999997</v>
      </c>
      <c r="AB150" s="565">
        <v>78.92</v>
      </c>
      <c r="AC150" s="565">
        <v>51.333333333333336</v>
      </c>
      <c r="AD150" s="565">
        <v>44.72</v>
      </c>
      <c r="AE150" s="565">
        <f t="shared" si="280"/>
        <v>707.5333333333333</v>
      </c>
      <c r="AF150" s="574">
        <f t="shared" si="281"/>
        <v>58.961111111111109</v>
      </c>
      <c r="AG150" s="370"/>
      <c r="AH150" s="2295">
        <v>82.04</v>
      </c>
      <c r="AI150" s="2296">
        <v>51.6</v>
      </c>
      <c r="AJ150" s="2296">
        <v>56.28</v>
      </c>
      <c r="AK150" s="2296">
        <v>54.846153846153847</v>
      </c>
      <c r="AL150" s="2296">
        <v>59.42307692307692</v>
      </c>
      <c r="AM150" s="2296">
        <v>49.846153846153847</v>
      </c>
      <c r="AN150" s="2301">
        <v>74.884615384615387</v>
      </c>
      <c r="AO150" s="2296">
        <v>56.307692307692307</v>
      </c>
      <c r="AP150" s="2296">
        <v>72.57692307692308</v>
      </c>
      <c r="AQ150" s="2296">
        <v>56.115384615384613</v>
      </c>
      <c r="AR150" s="2296">
        <v>55.5</v>
      </c>
      <c r="AS150" s="2296">
        <v>48.384615384615387</v>
      </c>
      <c r="AT150" s="565">
        <f t="shared" si="282"/>
        <v>717.80461538461543</v>
      </c>
      <c r="AU150" s="574">
        <f t="shared" si="283"/>
        <v>59.817051282051288</v>
      </c>
      <c r="AV150" s="926"/>
      <c r="AX150" s="2296">
        <v>45.57692307692308</v>
      </c>
      <c r="AY150" s="2296">
        <v>91.692307692307693</v>
      </c>
      <c r="AZ150" s="2296">
        <v>63.269230769230766</v>
      </c>
      <c r="BA150" s="2296">
        <v>84.461538461538467</v>
      </c>
      <c r="BB150" s="2296">
        <v>113.96153846153847</v>
      </c>
      <c r="BC150" s="2296">
        <v>70.56</v>
      </c>
      <c r="BD150" s="1089">
        <v>107.48</v>
      </c>
      <c r="BE150" s="565">
        <v>68.56</v>
      </c>
      <c r="BF150" s="565">
        <v>87.52</v>
      </c>
      <c r="BG150" s="565">
        <v>70.16</v>
      </c>
      <c r="BH150" s="565">
        <v>51.16</v>
      </c>
      <c r="BI150" s="565">
        <v>51.44</v>
      </c>
      <c r="BJ150" s="565">
        <f t="shared" si="284"/>
        <v>905.84153846153845</v>
      </c>
      <c r="BK150" s="574">
        <f t="shared" si="285"/>
        <v>75.480504829725731</v>
      </c>
      <c r="BL150" s="2191"/>
      <c r="BM150" s="1145"/>
      <c r="BN150" s="322">
        <f t="shared" si="276"/>
        <v>3.0553846153846109</v>
      </c>
      <c r="BO150" s="322">
        <f t="shared" si="275"/>
        <v>15.663453547674443</v>
      </c>
      <c r="BP150" s="322">
        <f t="shared" si="277"/>
        <v>188.03692307692302</v>
      </c>
      <c r="BQ150" s="322">
        <f t="shared" si="272"/>
        <v>0.28000000000000114</v>
      </c>
      <c r="BR150">
        <f t="shared" si="273"/>
        <v>51.16</v>
      </c>
      <c r="BS150">
        <f t="shared" si="274"/>
        <v>51.44</v>
      </c>
    </row>
    <row r="151" spans="1:71" x14ac:dyDescent="0.55000000000000004">
      <c r="A151" s="7222"/>
      <c r="B151" s="245"/>
      <c r="C151" s="177" t="s">
        <v>231</v>
      </c>
      <c r="D151" s="564">
        <v>63.516129032258064</v>
      </c>
      <c r="E151" s="564">
        <v>63.612903225806448</v>
      </c>
      <c r="F151" s="564">
        <v>62.87096774193548</v>
      </c>
      <c r="G151" s="564">
        <v>64.548387096774192</v>
      </c>
      <c r="H151" s="564">
        <v>64.258064516129039</v>
      </c>
      <c r="I151" s="564">
        <v>75.096774193548384</v>
      </c>
      <c r="J151" s="564">
        <v>59.84375</v>
      </c>
      <c r="K151" s="564">
        <v>82.21875</v>
      </c>
      <c r="L151" s="564">
        <v>58.09375</v>
      </c>
      <c r="M151" s="564">
        <v>94.387096774193552</v>
      </c>
      <c r="N151" s="564">
        <v>67.870967741935488</v>
      </c>
      <c r="O151" s="564">
        <v>59.633333333333333</v>
      </c>
      <c r="P151" s="564">
        <f t="shared" si="278"/>
        <v>815.95087365591394</v>
      </c>
      <c r="Q151" s="573">
        <f t="shared" si="279"/>
        <v>67.995906137992833</v>
      </c>
      <c r="R151" s="370"/>
      <c r="S151" s="580">
        <v>63.43333333333333</v>
      </c>
      <c r="T151" s="564">
        <v>82.166666666666671</v>
      </c>
      <c r="U151" s="564">
        <v>67.599999999999994</v>
      </c>
      <c r="V151" s="564">
        <v>63.70967741935484</v>
      </c>
      <c r="W151" s="564">
        <v>62.903225806451616</v>
      </c>
      <c r="X151" s="564">
        <v>64.58064516129032</v>
      </c>
      <c r="Y151" s="564">
        <v>60.677419354838712</v>
      </c>
      <c r="Z151" s="564">
        <v>92.63333333333334</v>
      </c>
      <c r="AA151" s="564">
        <v>48.1</v>
      </c>
      <c r="AB151" s="564">
        <v>90.833333333333329</v>
      </c>
      <c r="AC151" s="564">
        <v>63.033333333333331</v>
      </c>
      <c r="AD151" s="564">
        <v>53.633333333333333</v>
      </c>
      <c r="AE151" s="564">
        <f t="shared" si="280"/>
        <v>813.30430107526877</v>
      </c>
      <c r="AF151" s="573">
        <f t="shared" si="281"/>
        <v>67.775358422939064</v>
      </c>
      <c r="AG151" s="370"/>
      <c r="AH151" s="2293">
        <v>97.63333333333334</v>
      </c>
      <c r="AI151" s="2294">
        <v>68.63333333333334</v>
      </c>
      <c r="AJ151" s="2294">
        <v>69.433333333333337</v>
      </c>
      <c r="AK151" s="2294">
        <v>70.3</v>
      </c>
      <c r="AL151" s="2294">
        <v>69.86666666666666</v>
      </c>
      <c r="AM151" s="2294">
        <v>61.09375</v>
      </c>
      <c r="AN151" s="2300">
        <v>88.28125</v>
      </c>
      <c r="AO151" s="2294">
        <v>67.454545454545453</v>
      </c>
      <c r="AP151" s="2294">
        <v>81.181818181818187</v>
      </c>
      <c r="AQ151" s="2294">
        <v>68.63636363636364</v>
      </c>
      <c r="AR151" s="2294">
        <v>59.606060606060609</v>
      </c>
      <c r="AS151" s="2294">
        <v>55.515151515151516</v>
      </c>
      <c r="AT151" s="564">
        <f t="shared" si="282"/>
        <v>857.63560606060605</v>
      </c>
      <c r="AU151" s="573">
        <f t="shared" si="283"/>
        <v>71.469633838383842</v>
      </c>
      <c r="AV151" s="926"/>
      <c r="AX151" s="2294">
        <v>48.294117647058833</v>
      </c>
      <c r="AY151" s="2294">
        <v>98.411764705882348</v>
      </c>
      <c r="AZ151" s="2294">
        <v>67.878787878787875</v>
      </c>
      <c r="BA151" s="2294">
        <v>92.354838709677423</v>
      </c>
      <c r="BB151" s="2294">
        <v>126.54838709677419</v>
      </c>
      <c r="BC151" s="2294">
        <v>78.903225806451616</v>
      </c>
      <c r="BD151" s="1088">
        <v>121.45161290322581</v>
      </c>
      <c r="BE151" s="564">
        <v>76.612903225806448</v>
      </c>
      <c r="BF151" s="564">
        <v>102.87096774193549</v>
      </c>
      <c r="BG151" s="564">
        <v>77.032258064516128</v>
      </c>
      <c r="BH151" s="564">
        <v>59.666666666666664</v>
      </c>
      <c r="BI151" s="564">
        <v>55.93333333333333</v>
      </c>
      <c r="BJ151" s="564">
        <f t="shared" si="284"/>
        <v>1005.9588637801161</v>
      </c>
      <c r="BK151" s="573">
        <f t="shared" si="285"/>
        <v>83.822920071670367</v>
      </c>
      <c r="BL151" s="2191"/>
      <c r="BM151" s="1145"/>
      <c r="BN151" s="322">
        <f t="shared" si="276"/>
        <v>0.41818181818181444</v>
      </c>
      <c r="BO151" s="322">
        <f t="shared" si="275"/>
        <v>12.353286233286525</v>
      </c>
      <c r="BP151" s="322">
        <f t="shared" si="277"/>
        <v>148.32325771951002</v>
      </c>
      <c r="BQ151" s="322">
        <f t="shared" si="272"/>
        <v>-3.7333333333333343</v>
      </c>
      <c r="BR151">
        <f t="shared" si="273"/>
        <v>59.666666666666664</v>
      </c>
      <c r="BS151">
        <f t="shared" si="274"/>
        <v>55.93333333333333</v>
      </c>
    </row>
    <row r="152" spans="1:71" x14ac:dyDescent="0.55000000000000004">
      <c r="A152" s="7222"/>
      <c r="B152" s="245"/>
      <c r="C152" s="177" t="s">
        <v>232</v>
      </c>
      <c r="D152" s="564">
        <v>59.571428571428569</v>
      </c>
      <c r="E152" s="564">
        <v>56.714285714285715</v>
      </c>
      <c r="F152" s="564">
        <v>56.714285714285715</v>
      </c>
      <c r="G152" s="564">
        <v>61.904761904761905</v>
      </c>
      <c r="H152" s="564">
        <v>60</v>
      </c>
      <c r="I152" s="564">
        <v>66.761904761904759</v>
      </c>
      <c r="J152" s="564">
        <v>53.38095238095238</v>
      </c>
      <c r="K152" s="564">
        <v>79.904761904761898</v>
      </c>
      <c r="L152" s="564">
        <v>53.19047619047619</v>
      </c>
      <c r="M152" s="564">
        <v>76.333333333333329</v>
      </c>
      <c r="N152" s="564">
        <v>61.285714285714285</v>
      </c>
      <c r="O152" s="564">
        <v>51.047619047619051</v>
      </c>
      <c r="P152" s="564">
        <f t="shared" si="278"/>
        <v>736.80952380952385</v>
      </c>
      <c r="Q152" s="573">
        <f t="shared" si="279"/>
        <v>61.400793650793652</v>
      </c>
      <c r="R152" s="370"/>
      <c r="S152" s="580">
        <v>59.238095238095241</v>
      </c>
      <c r="T152" s="564">
        <v>71.714285714285708</v>
      </c>
      <c r="U152" s="564">
        <v>66.666666666666671</v>
      </c>
      <c r="V152" s="564">
        <v>61.571428571428569</v>
      </c>
      <c r="W152" s="564">
        <v>63.80952380952381</v>
      </c>
      <c r="X152" s="564">
        <v>63.38095238095238</v>
      </c>
      <c r="Y152" s="564">
        <v>51.428571428571431</v>
      </c>
      <c r="Z152" s="564">
        <v>99.80952380952381</v>
      </c>
      <c r="AA152" s="564">
        <v>45.714285714285715</v>
      </c>
      <c r="AB152" s="564">
        <v>84.714285714285708</v>
      </c>
      <c r="AC152" s="564">
        <v>56.571428571428569</v>
      </c>
      <c r="AD152" s="564">
        <v>45.428571428571431</v>
      </c>
      <c r="AE152" s="564">
        <f t="shared" si="280"/>
        <v>770.04761904761904</v>
      </c>
      <c r="AF152" s="573">
        <f t="shared" si="281"/>
        <v>64.170634920634924</v>
      </c>
      <c r="AG152" s="370"/>
      <c r="AH152" s="2293">
        <v>99.047619047619051</v>
      </c>
      <c r="AI152" s="2294">
        <v>67.80952380952381</v>
      </c>
      <c r="AJ152" s="2294">
        <v>66.571428571428569</v>
      </c>
      <c r="AK152" s="2294">
        <v>63.454545454545453</v>
      </c>
      <c r="AL152" s="2294">
        <v>66.318181818181813</v>
      </c>
      <c r="AM152" s="2294">
        <v>55.18181818181818</v>
      </c>
      <c r="AN152" s="2300">
        <v>81.952380952380949</v>
      </c>
      <c r="AO152" s="2294">
        <v>65.272727272727266</v>
      </c>
      <c r="AP152" s="2294">
        <v>76.181818181818187</v>
      </c>
      <c r="AQ152" s="2294">
        <v>68.63636363636364</v>
      </c>
      <c r="AR152" s="2294">
        <v>58.5</v>
      </c>
      <c r="AS152" s="2294">
        <v>48.272727272727273</v>
      </c>
      <c r="AT152" s="564">
        <f t="shared" si="282"/>
        <v>817.19913419913416</v>
      </c>
      <c r="AU152" s="573">
        <f t="shared" si="283"/>
        <v>68.099927849927852</v>
      </c>
      <c r="AV152" s="926"/>
      <c r="AX152" s="2294">
        <v>49.590909090909093</v>
      </c>
      <c r="AY152" s="2294">
        <v>99.227272727272734</v>
      </c>
      <c r="AZ152" s="2294">
        <v>66.272727272727266</v>
      </c>
      <c r="BA152" s="2294">
        <v>84.36363636363636</v>
      </c>
      <c r="BB152" s="2294">
        <v>109.40909090909091</v>
      </c>
      <c r="BC152" s="2294">
        <v>76.545454545454547</v>
      </c>
      <c r="BD152" s="1088">
        <v>118.38095238095238</v>
      </c>
      <c r="BE152" s="564">
        <v>72.761904761904759</v>
      </c>
      <c r="BF152" s="564">
        <v>89.333333333333329</v>
      </c>
      <c r="BG152" s="564">
        <v>73.238095238095241</v>
      </c>
      <c r="BH152" s="564">
        <v>56.904761904761905</v>
      </c>
      <c r="BI152" s="564">
        <v>52.19047619047619</v>
      </c>
      <c r="BJ152" s="564">
        <f t="shared" si="284"/>
        <v>948.21861471861484</v>
      </c>
      <c r="BK152" s="573">
        <f t="shared" si="285"/>
        <v>79.011633590418711</v>
      </c>
      <c r="BL152" s="2191"/>
      <c r="BM152" s="1145"/>
      <c r="BN152" s="322">
        <f t="shared" si="276"/>
        <v>3.9177489177489164</v>
      </c>
      <c r="BO152" s="322">
        <f t="shared" si="275"/>
        <v>10.911705740490859</v>
      </c>
      <c r="BP152" s="322">
        <f t="shared" si="277"/>
        <v>131.01948051948068</v>
      </c>
      <c r="BQ152" s="322">
        <f t="shared" si="272"/>
        <v>-4.7142857142857153</v>
      </c>
      <c r="BR152">
        <f t="shared" si="273"/>
        <v>56.904761904761905</v>
      </c>
      <c r="BS152">
        <f t="shared" si="274"/>
        <v>52.19047619047619</v>
      </c>
    </row>
    <row r="153" spans="1:71" x14ac:dyDescent="0.55000000000000004">
      <c r="A153" s="7222"/>
      <c r="B153" s="245"/>
      <c r="C153" s="178" t="s">
        <v>233</v>
      </c>
      <c r="D153" s="565">
        <v>65.645161290322577</v>
      </c>
      <c r="E153" s="565">
        <v>70.387096774193552</v>
      </c>
      <c r="F153" s="565">
        <v>60.84375</v>
      </c>
      <c r="G153" s="565">
        <v>61.84375</v>
      </c>
      <c r="H153" s="565">
        <v>60.454545454545453</v>
      </c>
      <c r="I153" s="565">
        <v>71.03125</v>
      </c>
      <c r="J153" s="565">
        <v>57.545454545454547</v>
      </c>
      <c r="K153" s="565">
        <v>83.96875</v>
      </c>
      <c r="L153" s="565">
        <v>50.28125</v>
      </c>
      <c r="M153" s="565">
        <v>80.25</v>
      </c>
      <c r="N153" s="565">
        <v>64.4375</v>
      </c>
      <c r="O153" s="565">
        <v>59.741935483870968</v>
      </c>
      <c r="P153" s="565">
        <f t="shared" si="278"/>
        <v>786.43044354838707</v>
      </c>
      <c r="Q153" s="574">
        <f t="shared" si="279"/>
        <v>65.535870295698928</v>
      </c>
      <c r="R153" s="370"/>
      <c r="S153" s="581">
        <v>58.625</v>
      </c>
      <c r="T153" s="565">
        <v>88.34375</v>
      </c>
      <c r="U153" s="565">
        <v>66.193548387096769</v>
      </c>
      <c r="V153" s="565">
        <v>64.451612903225808</v>
      </c>
      <c r="W153" s="565">
        <v>67.709677419354833</v>
      </c>
      <c r="X153" s="565">
        <v>63.70967741935484</v>
      </c>
      <c r="Y153" s="565">
        <v>55.516129032258064</v>
      </c>
      <c r="Z153" s="565">
        <v>113.26666666666667</v>
      </c>
      <c r="AA153" s="565">
        <v>48.1</v>
      </c>
      <c r="AB153" s="565">
        <v>86.4</v>
      </c>
      <c r="AC153" s="565">
        <v>61</v>
      </c>
      <c r="AD153" s="565">
        <v>53.827586206896555</v>
      </c>
      <c r="AE153" s="565">
        <f t="shared" si="280"/>
        <v>827.14364803485341</v>
      </c>
      <c r="AF153" s="574">
        <f t="shared" si="281"/>
        <v>68.928637336237784</v>
      </c>
      <c r="AG153" s="370"/>
      <c r="AH153" s="2295">
        <v>113.10344827586206</v>
      </c>
      <c r="AI153" s="2296">
        <v>72.5</v>
      </c>
      <c r="AJ153" s="2296">
        <v>74.821428571428569</v>
      </c>
      <c r="AK153" s="2296">
        <v>72.517241379310349</v>
      </c>
      <c r="AL153" s="2296">
        <v>76.275862068965523</v>
      </c>
      <c r="AM153" s="2296">
        <v>61.4</v>
      </c>
      <c r="AN153" s="2301">
        <v>99.966666666666669</v>
      </c>
      <c r="AO153" s="2296">
        <v>70.896551724137936</v>
      </c>
      <c r="AP153" s="2296">
        <v>85.833333333333329</v>
      </c>
      <c r="AQ153" s="2296">
        <v>69.466666666666669</v>
      </c>
      <c r="AR153" s="2296">
        <v>63.758620689655174</v>
      </c>
      <c r="AS153" s="2296">
        <v>55.8</v>
      </c>
      <c r="AT153" s="565">
        <f t="shared" si="282"/>
        <v>916.3398193760263</v>
      </c>
      <c r="AU153" s="574">
        <f t="shared" si="283"/>
        <v>76.361651614668858</v>
      </c>
      <c r="AV153" s="926"/>
      <c r="AX153" s="2296">
        <v>42.9</v>
      </c>
      <c r="AY153" s="2296">
        <v>111.86666666666666</v>
      </c>
      <c r="AZ153" s="2296">
        <v>77.58620689655173</v>
      </c>
      <c r="BA153" s="2296">
        <v>99.142857142857139</v>
      </c>
      <c r="BB153" s="2296">
        <v>123.42857142857143</v>
      </c>
      <c r="BC153" s="2296">
        <v>80.785714285714292</v>
      </c>
      <c r="BD153" s="1089">
        <v>141.60714285714286</v>
      </c>
      <c r="BE153" s="565">
        <v>79.107142857142861</v>
      </c>
      <c r="BF153" s="565">
        <v>100.96428571428571</v>
      </c>
      <c r="BG153" s="565">
        <v>88.571428571428569</v>
      </c>
      <c r="BH153" s="565">
        <v>59.714285714285715</v>
      </c>
      <c r="BI153" s="565">
        <v>53.214285714285715</v>
      </c>
      <c r="BJ153" s="565">
        <f t="shared" si="284"/>
        <v>1058.8885878489327</v>
      </c>
      <c r="BK153" s="574">
        <f t="shared" si="285"/>
        <v>88.233362873838246</v>
      </c>
      <c r="BL153" s="2191"/>
      <c r="BM153" s="1145"/>
      <c r="BN153" s="322">
        <f t="shared" si="276"/>
        <v>-2.5857142857142819</v>
      </c>
      <c r="BO153" s="322">
        <f t="shared" si="275"/>
        <v>11.871711259169388</v>
      </c>
      <c r="BP153" s="322">
        <f t="shared" si="277"/>
        <v>142.54876847290643</v>
      </c>
      <c r="BQ153" s="322">
        <f t="shared" si="272"/>
        <v>-6.5</v>
      </c>
      <c r="BR153">
        <f t="shared" si="273"/>
        <v>59.714285714285715</v>
      </c>
      <c r="BS153">
        <f t="shared" si="274"/>
        <v>53.214285714285715</v>
      </c>
    </row>
    <row r="154" spans="1:71" x14ac:dyDescent="0.55000000000000004">
      <c r="A154" s="7222"/>
      <c r="B154" s="245"/>
      <c r="C154" s="178" t="s">
        <v>234</v>
      </c>
      <c r="D154" s="565">
        <v>65.5</v>
      </c>
      <c r="E154" s="565">
        <v>61.548387096774192</v>
      </c>
      <c r="F154" s="565">
        <v>58.87096774193548</v>
      </c>
      <c r="G154" s="565">
        <v>60.25</v>
      </c>
      <c r="H154" s="565">
        <v>56.34375</v>
      </c>
      <c r="I154" s="565">
        <v>71.060606060606062</v>
      </c>
      <c r="J154" s="565">
        <v>53.6875</v>
      </c>
      <c r="K154" s="565">
        <v>86.3125</v>
      </c>
      <c r="L154" s="565">
        <v>49.875</v>
      </c>
      <c r="M154" s="565">
        <v>74.757575757575751</v>
      </c>
      <c r="N154" s="565">
        <v>56.636363636363633</v>
      </c>
      <c r="O154" s="565">
        <v>44.393939393939391</v>
      </c>
      <c r="P154" s="565">
        <f t="shared" si="278"/>
        <v>739.23658968719451</v>
      </c>
      <c r="Q154" s="574">
        <f t="shared" si="279"/>
        <v>61.603049140599545</v>
      </c>
      <c r="R154" s="370"/>
      <c r="S154" s="581">
        <v>54.393939393939391</v>
      </c>
      <c r="T154" s="565">
        <v>72.030303030303031</v>
      </c>
      <c r="U154" s="565">
        <v>55.90625</v>
      </c>
      <c r="V154" s="565">
        <v>51.242424242424242</v>
      </c>
      <c r="W154" s="565">
        <v>60.787878787878789</v>
      </c>
      <c r="X154" s="565">
        <v>59.060606060606062</v>
      </c>
      <c r="Y154" s="565">
        <v>48.59375</v>
      </c>
      <c r="Z154" s="565">
        <v>88.15625</v>
      </c>
      <c r="AA154" s="565">
        <v>44.71875</v>
      </c>
      <c r="AB154" s="565">
        <v>79.375</v>
      </c>
      <c r="AC154" s="565">
        <v>49.125</v>
      </c>
      <c r="AD154" s="565">
        <v>44.5625</v>
      </c>
      <c r="AE154" s="565">
        <f t="shared" si="280"/>
        <v>707.9526515151515</v>
      </c>
      <c r="AF154" s="574">
        <f t="shared" si="281"/>
        <v>58.996054292929294</v>
      </c>
      <c r="AG154" s="370"/>
      <c r="AH154" s="2295">
        <v>95.375</v>
      </c>
      <c r="AI154" s="2296">
        <v>53.875</v>
      </c>
      <c r="AJ154" s="2296">
        <v>61</v>
      </c>
      <c r="AK154" s="2296">
        <v>58.46875</v>
      </c>
      <c r="AL154" s="2296">
        <v>59.258064516129032</v>
      </c>
      <c r="AM154" s="2296">
        <v>58.064516129032256</v>
      </c>
      <c r="AN154" s="2301">
        <v>84.483870967741936</v>
      </c>
      <c r="AO154" s="2296">
        <v>60.354838709677416</v>
      </c>
      <c r="AP154" s="2296">
        <v>81</v>
      </c>
      <c r="AQ154" s="2296">
        <v>60</v>
      </c>
      <c r="AR154" s="2296">
        <v>58.466666666666669</v>
      </c>
      <c r="AS154" s="2296">
        <v>47.5</v>
      </c>
      <c r="AT154" s="565">
        <f t="shared" si="282"/>
        <v>777.84670698924731</v>
      </c>
      <c r="AU154" s="574">
        <f t="shared" si="283"/>
        <v>64.820558915770604</v>
      </c>
      <c r="AV154" s="926"/>
      <c r="AX154" s="2296">
        <v>46.724137931034484</v>
      </c>
      <c r="AY154" s="2296">
        <v>102.68965517241379</v>
      </c>
      <c r="AZ154" s="2296">
        <v>72.379310344827587</v>
      </c>
      <c r="BA154" s="2296">
        <v>90.172413793103445</v>
      </c>
      <c r="BB154" s="2296">
        <v>107.75862068965517</v>
      </c>
      <c r="BC154" s="2296">
        <v>71.931034482758619</v>
      </c>
      <c r="BD154" s="1089">
        <v>115.93103448275862</v>
      </c>
      <c r="BE154" s="565">
        <v>70.896551724137936</v>
      </c>
      <c r="BF154" s="565">
        <v>91.689655172413794</v>
      </c>
      <c r="BG154" s="565">
        <v>74.137931034482762</v>
      </c>
      <c r="BH154" s="565">
        <v>58.344827586206897</v>
      </c>
      <c r="BI154" s="565">
        <v>54.586206896551722</v>
      </c>
      <c r="BJ154" s="565">
        <f t="shared" si="284"/>
        <v>957.24137931034488</v>
      </c>
      <c r="BK154" s="574">
        <f t="shared" si="285"/>
        <v>79.763467986863176</v>
      </c>
      <c r="BL154" s="2191"/>
      <c r="BM154" s="1145"/>
      <c r="BN154" s="322">
        <f t="shared" si="276"/>
        <v>7.0862068965517224</v>
      </c>
      <c r="BO154" s="322">
        <f t="shared" si="275"/>
        <v>14.942909071092572</v>
      </c>
      <c r="BP154" s="322">
        <f t="shared" si="277"/>
        <v>179.39467232109757</v>
      </c>
      <c r="BQ154" s="322">
        <f t="shared" si="272"/>
        <v>-3.7586206896551744</v>
      </c>
      <c r="BR154">
        <f t="shared" si="273"/>
        <v>58.344827586206897</v>
      </c>
      <c r="BS154">
        <f t="shared" si="274"/>
        <v>54.586206896551722</v>
      </c>
    </row>
    <row r="155" spans="1:71" x14ac:dyDescent="0.55000000000000004">
      <c r="A155" s="7222"/>
      <c r="B155" s="245"/>
      <c r="C155" s="177" t="s">
        <v>235</v>
      </c>
      <c r="D155" s="564">
        <v>54.607142857142854</v>
      </c>
      <c r="E155" s="564">
        <v>57.714285714285715</v>
      </c>
      <c r="F155" s="564">
        <v>53</v>
      </c>
      <c r="G155" s="564">
        <v>52.724137931034484</v>
      </c>
      <c r="H155" s="564">
        <v>50.241379310344826</v>
      </c>
      <c r="I155" s="564">
        <v>59.206896551724135</v>
      </c>
      <c r="J155" s="564">
        <v>46.172413793103445</v>
      </c>
      <c r="K155" s="564">
        <v>79.58620689655173</v>
      </c>
      <c r="L155" s="564">
        <v>41.655172413793103</v>
      </c>
      <c r="M155" s="564">
        <v>70.379310344827587</v>
      </c>
      <c r="N155" s="564">
        <v>50.137931034482762</v>
      </c>
      <c r="O155" s="564">
        <v>42.827586206896555</v>
      </c>
      <c r="P155" s="564">
        <f t="shared" si="278"/>
        <v>658.25246305418716</v>
      </c>
      <c r="Q155" s="573">
        <f t="shared" si="279"/>
        <v>54.854371921182263</v>
      </c>
      <c r="R155" s="370"/>
      <c r="S155" s="580">
        <v>47.035714285714285</v>
      </c>
      <c r="T155" s="564">
        <v>68.892857142857139</v>
      </c>
      <c r="U155" s="564">
        <v>53.607142857142854</v>
      </c>
      <c r="V155" s="564">
        <v>51.035714285714285</v>
      </c>
      <c r="W155" s="564">
        <v>58.428571428571431</v>
      </c>
      <c r="X155" s="564">
        <v>52.785714285714285</v>
      </c>
      <c r="Y155" s="564">
        <v>50.678571428571431</v>
      </c>
      <c r="Z155" s="564">
        <v>88.5</v>
      </c>
      <c r="AA155" s="564">
        <v>40.428571428571431</v>
      </c>
      <c r="AB155" s="564">
        <v>75.035714285714292</v>
      </c>
      <c r="AC155" s="564">
        <v>50.214285714285715</v>
      </c>
      <c r="AD155" s="564">
        <v>44.071428571428569</v>
      </c>
      <c r="AE155" s="564">
        <f t="shared" si="280"/>
        <v>680.71428571428567</v>
      </c>
      <c r="AF155" s="573">
        <f t="shared" si="281"/>
        <v>56.726190476190474</v>
      </c>
      <c r="AG155" s="370"/>
      <c r="AH155" s="2293">
        <v>86.535714285714292</v>
      </c>
      <c r="AI155" s="2294">
        <v>51</v>
      </c>
      <c r="AJ155" s="2294">
        <v>57.75</v>
      </c>
      <c r="AK155" s="2294">
        <v>56.607142857142854</v>
      </c>
      <c r="AL155" s="2294">
        <v>52.379310344827587</v>
      </c>
      <c r="AM155" s="2294">
        <v>49.821428571428569</v>
      </c>
      <c r="AN155" s="2300">
        <v>75.821428571428569</v>
      </c>
      <c r="AO155" s="2294">
        <v>54.607142857142854</v>
      </c>
      <c r="AP155" s="2294">
        <v>69.551724137931032</v>
      </c>
      <c r="AQ155" s="2294">
        <v>52.655172413793103</v>
      </c>
      <c r="AR155" s="2294">
        <v>50.724137931034484</v>
      </c>
      <c r="AS155" s="2294">
        <v>46.724137931034484</v>
      </c>
      <c r="AT155" s="564">
        <f t="shared" si="282"/>
        <v>704.17733990147792</v>
      </c>
      <c r="AU155" s="573">
        <f t="shared" si="283"/>
        <v>58.681444991789824</v>
      </c>
      <c r="AV155" s="926"/>
      <c r="AX155" s="2294">
        <v>41.931034482758619</v>
      </c>
      <c r="AY155" s="2294">
        <v>83</v>
      </c>
      <c r="AZ155" s="2294">
        <v>57.862068965517238</v>
      </c>
      <c r="BA155" s="2294">
        <v>76.214285714285708</v>
      </c>
      <c r="BB155" s="2294">
        <v>100.46428571428571</v>
      </c>
      <c r="BC155" s="2294">
        <v>57.071428571428569</v>
      </c>
      <c r="BD155" s="1088">
        <v>107.96296296296296</v>
      </c>
      <c r="BE155" s="564">
        <v>61.703703703703702</v>
      </c>
      <c r="BF155" s="564">
        <v>86.037037037037038</v>
      </c>
      <c r="BG155" s="564">
        <v>61.703703703703702</v>
      </c>
      <c r="BH155" s="564">
        <v>48</v>
      </c>
      <c r="BI155" s="564">
        <v>46.703703703703702</v>
      </c>
      <c r="BJ155" s="564">
        <f t="shared" si="284"/>
        <v>828.65421455938701</v>
      </c>
      <c r="BK155" s="573">
        <f t="shared" si="285"/>
        <v>69.048763816297566</v>
      </c>
      <c r="BL155" s="2191"/>
      <c r="BM155" s="1145"/>
      <c r="BN155" s="322">
        <f t="shared" si="276"/>
        <v>-2.0434227330781596E-2</v>
      </c>
      <c r="BO155" s="322">
        <f t="shared" si="275"/>
        <v>10.367318824507741</v>
      </c>
      <c r="BP155" s="322">
        <f t="shared" si="277"/>
        <v>124.47687465790909</v>
      </c>
      <c r="BQ155" s="322">
        <f t="shared" si="272"/>
        <v>-1.2962962962962976</v>
      </c>
      <c r="BR155">
        <f t="shared" si="273"/>
        <v>48</v>
      </c>
      <c r="BS155">
        <f t="shared" si="274"/>
        <v>46.703703703703702</v>
      </c>
    </row>
    <row r="156" spans="1:71" ht="18" thickBot="1" x14ac:dyDescent="0.6">
      <c r="A156" s="7223"/>
      <c r="B156" s="246"/>
      <c r="C156" s="179" t="s">
        <v>236</v>
      </c>
      <c r="D156" s="566">
        <v>53.344827586206897</v>
      </c>
      <c r="E156" s="566">
        <v>55.275862068965516</v>
      </c>
      <c r="F156" s="566">
        <v>54.413793103448278</v>
      </c>
      <c r="G156" s="566">
        <v>53.517241379310342</v>
      </c>
      <c r="H156" s="566">
        <v>52.310344827586206</v>
      </c>
      <c r="I156" s="566">
        <v>64.142857142857139</v>
      </c>
      <c r="J156" s="566">
        <v>51.428571428571431</v>
      </c>
      <c r="K156" s="566">
        <v>67.142857142857139</v>
      </c>
      <c r="L156" s="566">
        <v>46.857142857142854</v>
      </c>
      <c r="M156" s="566">
        <v>74.178571428571431</v>
      </c>
      <c r="N156" s="566">
        <v>51.321428571428569</v>
      </c>
      <c r="O156" s="566">
        <v>47.107142857142854</v>
      </c>
      <c r="P156" s="566">
        <f t="shared" si="278"/>
        <v>671.04064039408865</v>
      </c>
      <c r="Q156" s="575">
        <f t="shared" si="279"/>
        <v>55.920053366174052</v>
      </c>
      <c r="R156" s="370"/>
      <c r="S156" s="582">
        <v>44.931034482758619</v>
      </c>
      <c r="T156" s="566">
        <v>67.241379310344826</v>
      </c>
      <c r="U156" s="566">
        <v>52.931034482758619</v>
      </c>
      <c r="V156" s="566">
        <v>49.857142857142854</v>
      </c>
      <c r="W156" s="566">
        <v>57.857142857142854</v>
      </c>
      <c r="X156" s="566">
        <v>51.678571428571431</v>
      </c>
      <c r="Y156" s="566">
        <v>48.535714285714285</v>
      </c>
      <c r="Z156" s="566">
        <v>80.107142857142861</v>
      </c>
      <c r="AA156" s="566">
        <v>40.464285714285715</v>
      </c>
      <c r="AB156" s="566">
        <v>74</v>
      </c>
      <c r="AC156" s="566">
        <v>50.392857142857146</v>
      </c>
      <c r="AD156" s="566">
        <v>44.607142857142854</v>
      </c>
      <c r="AE156" s="566">
        <f t="shared" si="280"/>
        <v>662.60344827586209</v>
      </c>
      <c r="AF156" s="575">
        <f t="shared" si="281"/>
        <v>55.21695402298851</v>
      </c>
      <c r="AG156" s="370"/>
      <c r="AH156" s="2297">
        <v>76.142857142857139</v>
      </c>
      <c r="AI156" s="2298">
        <v>50.821428571428569</v>
      </c>
      <c r="AJ156" s="2298">
        <v>58.285714285714285</v>
      </c>
      <c r="AK156" s="2298">
        <v>55.642857142857146</v>
      </c>
      <c r="AL156" s="2298">
        <v>53.172413793103445</v>
      </c>
      <c r="AM156" s="2298">
        <v>51.103448275862071</v>
      </c>
      <c r="AN156" s="2302">
        <v>71.86666666666666</v>
      </c>
      <c r="AO156" s="2298">
        <v>54.43333333333333</v>
      </c>
      <c r="AP156" s="2298">
        <v>71.566666666666663</v>
      </c>
      <c r="AQ156" s="2298">
        <v>52.966666666666669</v>
      </c>
      <c r="AR156" s="2298">
        <v>49.633333333333333</v>
      </c>
      <c r="AS156" s="2298">
        <v>44.482758620689658</v>
      </c>
      <c r="AT156" s="566">
        <f t="shared" si="282"/>
        <v>690.11814449917904</v>
      </c>
      <c r="AU156" s="575">
        <f t="shared" si="283"/>
        <v>57.509845374931587</v>
      </c>
      <c r="AV156" s="926"/>
      <c r="AX156" s="2298">
        <v>39.482758620689658</v>
      </c>
      <c r="AY156" s="2298">
        <v>83.41379310344827</v>
      </c>
      <c r="AZ156" s="2298">
        <v>58.96551724137931</v>
      </c>
      <c r="BA156" s="2298">
        <v>63.586206896551722</v>
      </c>
      <c r="BB156" s="2298">
        <v>92.962962962962962</v>
      </c>
      <c r="BC156" s="2298">
        <v>58.074074074074076</v>
      </c>
      <c r="BD156" s="1090">
        <v>96.666666666666671</v>
      </c>
      <c r="BE156" s="566">
        <v>61.851851851851855</v>
      </c>
      <c r="BF156" s="566">
        <v>78.851851851851848</v>
      </c>
      <c r="BG156" s="566">
        <v>63.555555555555557</v>
      </c>
      <c r="BH156" s="566">
        <v>50.629629629629626</v>
      </c>
      <c r="BI156" s="566">
        <v>43.555555555555557</v>
      </c>
      <c r="BJ156" s="566">
        <f t="shared" si="284"/>
        <v>791.59642401021711</v>
      </c>
      <c r="BK156" s="575">
        <f t="shared" si="285"/>
        <v>65.960871928190741</v>
      </c>
      <c r="BL156" s="2191"/>
      <c r="BM156" s="1145"/>
      <c r="BN156" s="322">
        <f t="shared" si="276"/>
        <v>-0.92720306513410122</v>
      </c>
      <c r="BO156" s="322">
        <f t="shared" si="275"/>
        <v>8.4510265532591546</v>
      </c>
      <c r="BP156" s="322">
        <f t="shared" si="277"/>
        <v>101.47827951103807</v>
      </c>
      <c r="BQ156" s="322">
        <f t="shared" si="272"/>
        <v>-7.0740740740740691</v>
      </c>
      <c r="BR156">
        <f t="shared" si="273"/>
        <v>50.629629629629626</v>
      </c>
      <c r="BS156">
        <f t="shared" si="274"/>
        <v>43.555555555555557</v>
      </c>
    </row>
    <row r="157" spans="1:71" x14ac:dyDescent="0.55000000000000004">
      <c r="A157" s="7221" t="s">
        <v>396</v>
      </c>
      <c r="B157" s="41" t="s">
        <v>569</v>
      </c>
      <c r="C157" s="16"/>
      <c r="D157" s="584">
        <v>15.498480243161094</v>
      </c>
      <c r="E157" s="585">
        <v>15.617647058823529</v>
      </c>
      <c r="F157" s="585">
        <v>14.884057971014492</v>
      </c>
      <c r="G157" s="585">
        <v>15.580844490216272</v>
      </c>
      <c r="H157" s="585">
        <v>14.842369477911646</v>
      </c>
      <c r="I157" s="585">
        <v>17.308943089430894</v>
      </c>
      <c r="J157" s="585">
        <v>13.936873747494991</v>
      </c>
      <c r="K157" s="585">
        <v>20.52361809045226</v>
      </c>
      <c r="L157" s="585">
        <v>12.890890890890891</v>
      </c>
      <c r="M157" s="585">
        <v>20.141732283464567</v>
      </c>
      <c r="N157" s="585">
        <v>14.400579150579151</v>
      </c>
      <c r="O157" s="585">
        <v>11.927289896128423</v>
      </c>
      <c r="P157" s="585">
        <f t="shared" si="278"/>
        <v>187.55332638956821</v>
      </c>
      <c r="Q157" s="586">
        <f t="shared" si="279"/>
        <v>15.62944386579735</v>
      </c>
      <c r="R157" s="370"/>
      <c r="S157" s="584">
        <v>13.482090997095838</v>
      </c>
      <c r="T157" s="585">
        <v>18.630285152409048</v>
      </c>
      <c r="U157" s="585">
        <v>14.90069513406157</v>
      </c>
      <c r="V157" s="585">
        <v>14.290129611166501</v>
      </c>
      <c r="W157" s="585">
        <v>15.596248766041461</v>
      </c>
      <c r="X157" s="585">
        <v>14.869651741293533</v>
      </c>
      <c r="Y157" s="585">
        <v>13.575356415478614</v>
      </c>
      <c r="Z157" s="585">
        <v>23.20967741935484</v>
      </c>
      <c r="AA157" s="585">
        <v>11.1880081300813</v>
      </c>
      <c r="AB157" s="585">
        <v>20.691607684529828</v>
      </c>
      <c r="AC157" s="585">
        <v>13.734999999999999</v>
      </c>
      <c r="AD157" s="585">
        <v>11.722554890219561</v>
      </c>
      <c r="AE157" s="585">
        <f t="shared" si="280"/>
        <v>185.89130594173207</v>
      </c>
      <c r="AF157" s="586">
        <f t="shared" si="281"/>
        <v>15.490942161811006</v>
      </c>
      <c r="AG157" s="370"/>
      <c r="AH157" s="584">
        <v>22.40891472868217</v>
      </c>
      <c r="AI157" s="585">
        <v>14.075670498084291</v>
      </c>
      <c r="AJ157" s="585">
        <v>15.040076335877863</v>
      </c>
      <c r="AK157" s="585">
        <v>14.739738805970148</v>
      </c>
      <c r="AL157" s="585">
        <v>14.642529789184234</v>
      </c>
      <c r="AM157" s="585">
        <v>13.41635687732342</v>
      </c>
      <c r="AN157" s="585">
        <v>20.012891344383057</v>
      </c>
      <c r="AO157" s="585">
        <v>14.998148148148148</v>
      </c>
      <c r="AP157" s="585">
        <v>18.605621033544878</v>
      </c>
      <c r="AQ157" s="585">
        <v>14.539838854073411</v>
      </c>
      <c r="AR157" s="585">
        <v>13.370205173951829</v>
      </c>
      <c r="AS157" s="585">
        <v>11.629858657243815</v>
      </c>
      <c r="AT157" s="585">
        <f t="shared" si="282"/>
        <v>187.47985024646727</v>
      </c>
      <c r="AU157" s="586">
        <f>SUM(AH157:AS157)/12</f>
        <v>15.623320853872272</v>
      </c>
      <c r="AX157" s="585">
        <v>10.474100087796312</v>
      </c>
      <c r="AY157" s="585">
        <v>22.381378692927484</v>
      </c>
      <c r="AZ157" s="585">
        <v>15.32171581769437</v>
      </c>
      <c r="BA157" s="585">
        <v>20.10431654676259</v>
      </c>
      <c r="BB157" s="585">
        <v>26.589253187613842</v>
      </c>
      <c r="BC157" s="585">
        <v>16.49908592321755</v>
      </c>
      <c r="BD157" s="585">
        <v>26.895756457564577</v>
      </c>
      <c r="BE157" s="585">
        <v>16.432710280373833</v>
      </c>
      <c r="BF157" s="585">
        <v>21.595704948646127</v>
      </c>
      <c r="BG157" s="585">
        <v>14.50945179584121</v>
      </c>
      <c r="BH157" s="585">
        <v>12.912181303116148</v>
      </c>
      <c r="BI157" s="585">
        <v>11.812903225806451</v>
      </c>
      <c r="BJ157" s="585">
        <f t="shared" si="284"/>
        <v>215.52855826736052</v>
      </c>
      <c r="BK157" s="586">
        <f t="shared" si="285"/>
        <v>17.959216587564413</v>
      </c>
      <c r="BL157" s="716"/>
      <c r="BN157" s="322">
        <f t="shared" si="276"/>
        <v>0.18304456856263585</v>
      </c>
      <c r="BO157" s="322">
        <f t="shared" si="275"/>
        <v>2.3358957336921407</v>
      </c>
      <c r="BP157" s="322">
        <f t="shared" si="277"/>
        <v>28.048708020893258</v>
      </c>
      <c r="BQ157" s="322">
        <f t="shared" si="272"/>
        <v>-1.0992780773096964</v>
      </c>
      <c r="BR157">
        <f t="shared" si="273"/>
        <v>12.912181303116148</v>
      </c>
      <c r="BS157">
        <f t="shared" si="274"/>
        <v>11.812903225806451</v>
      </c>
    </row>
    <row r="158" spans="1:71" x14ac:dyDescent="0.55000000000000004">
      <c r="A158" s="7222"/>
      <c r="B158" s="243" t="s">
        <v>222</v>
      </c>
      <c r="C158" s="107"/>
      <c r="D158" s="576">
        <v>15.278787878787879</v>
      </c>
      <c r="E158" s="567">
        <v>14.55952380952381</v>
      </c>
      <c r="F158" s="567">
        <v>13.937888198757763</v>
      </c>
      <c r="G158" s="567">
        <v>14.24223602484472</v>
      </c>
      <c r="H158" s="567">
        <v>13.987730061349692</v>
      </c>
      <c r="I158" s="567">
        <v>15.446540880503145</v>
      </c>
      <c r="J158" s="567">
        <v>13.745341614906833</v>
      </c>
      <c r="K158" s="567">
        <v>19.881987577639752</v>
      </c>
      <c r="L158" s="567">
        <v>12.260869565217391</v>
      </c>
      <c r="M158" s="567">
        <v>19.615853658536587</v>
      </c>
      <c r="N158" s="567">
        <v>13.918749999999999</v>
      </c>
      <c r="O158" s="567">
        <v>11.717791411042946</v>
      </c>
      <c r="P158" s="567">
        <f t="shared" si="278"/>
        <v>178.59330068111052</v>
      </c>
      <c r="Q158" s="465">
        <f t="shared" si="279"/>
        <v>14.882775056759209</v>
      </c>
      <c r="R158" s="370"/>
      <c r="S158" s="576">
        <v>13.229813664596273</v>
      </c>
      <c r="T158" s="567">
        <v>17.791411042944784</v>
      </c>
      <c r="U158" s="567">
        <v>14.471698113207546</v>
      </c>
      <c r="V158" s="567">
        <v>14.596153846153847</v>
      </c>
      <c r="W158" s="567">
        <v>16.258064516129032</v>
      </c>
      <c r="X158" s="567">
        <v>15.07741935483871</v>
      </c>
      <c r="Y158" s="567">
        <v>13.69032258064516</v>
      </c>
      <c r="Z158" s="567">
        <v>22.61783439490446</v>
      </c>
      <c r="AA158" s="567">
        <v>11.151315789473685</v>
      </c>
      <c r="AB158" s="567">
        <v>20.226415094339622</v>
      </c>
      <c r="AC158" s="567">
        <v>13.962732919254659</v>
      </c>
      <c r="AD158" s="567">
        <v>10.75609756097561</v>
      </c>
      <c r="AE158" s="567">
        <f t="shared" si="280"/>
        <v>183.82927887746337</v>
      </c>
      <c r="AF158" s="465">
        <f t="shared" si="281"/>
        <v>15.319106573121948</v>
      </c>
      <c r="AG158" s="370"/>
      <c r="AH158" s="2314">
        <v>20.172527318576634</v>
      </c>
      <c r="AI158" s="2315">
        <v>12.26021505376344</v>
      </c>
      <c r="AJ158" s="2315">
        <v>12.322916666666668</v>
      </c>
      <c r="AK158" s="2315">
        <v>12.607149675448644</v>
      </c>
      <c r="AL158" s="2315">
        <v>12.508838383838384</v>
      </c>
      <c r="AM158" s="2315">
        <v>11.40965101636985</v>
      </c>
      <c r="AN158" s="2315">
        <v>18.122643288084465</v>
      </c>
      <c r="AO158" s="2315">
        <v>13.610593098144767</v>
      </c>
      <c r="AP158" s="2315">
        <v>16.372981472038077</v>
      </c>
      <c r="AQ158" s="2315">
        <v>12.821428571428571</v>
      </c>
      <c r="AR158" s="2315">
        <v>11.93874256584537</v>
      </c>
      <c r="AS158" s="2315">
        <v>10.468181818181819</v>
      </c>
      <c r="AT158" s="567">
        <f t="shared" si="282"/>
        <v>164.6158689283867</v>
      </c>
      <c r="AU158" s="465">
        <f t="shared" si="283"/>
        <v>13.717989077365559</v>
      </c>
      <c r="AX158" s="567">
        <v>9.5396997497914917</v>
      </c>
      <c r="AY158" s="567">
        <v>19.209005947323703</v>
      </c>
      <c r="AZ158" s="567">
        <v>13.295956873315363</v>
      </c>
      <c r="BA158" s="567">
        <v>19.188395746648176</v>
      </c>
      <c r="BB158" s="567">
        <v>25.52797041146556</v>
      </c>
      <c r="BC158" s="2315">
        <v>15.286348501664817</v>
      </c>
      <c r="BD158" s="567">
        <v>24.3125</v>
      </c>
      <c r="BE158" s="567">
        <v>14.916764705882354</v>
      </c>
      <c r="BF158" s="567">
        <v>20.12778268118074</v>
      </c>
      <c r="BG158" s="567">
        <v>12.837697343088179</v>
      </c>
      <c r="BH158" s="567">
        <v>11.599278499278498</v>
      </c>
      <c r="BI158" s="567">
        <v>10.475257158743396</v>
      </c>
      <c r="BJ158" s="567">
        <f t="shared" si="284"/>
        <v>196.31665761838227</v>
      </c>
      <c r="BK158" s="465">
        <f t="shared" si="285"/>
        <v>16.358358271675883</v>
      </c>
      <c r="BL158" s="716"/>
      <c r="BN158" s="322">
        <f t="shared" si="276"/>
        <v>7.0753405615775478E-3</v>
      </c>
      <c r="BO158" s="322">
        <f t="shared" si="275"/>
        <v>2.640369194310324</v>
      </c>
      <c r="BP158" s="322">
        <f t="shared" si="277"/>
        <v>31.700788689995562</v>
      </c>
      <c r="BQ158" s="322">
        <f t="shared" si="272"/>
        <v>-1.1240213405351014</v>
      </c>
      <c r="BR158">
        <f t="shared" si="273"/>
        <v>11.599278499278498</v>
      </c>
      <c r="BS158">
        <f t="shared" si="274"/>
        <v>10.475257158743396</v>
      </c>
    </row>
    <row r="159" spans="1:71" x14ac:dyDescent="0.55000000000000004">
      <c r="A159" s="7222"/>
      <c r="B159" s="235" t="s">
        <v>223</v>
      </c>
      <c r="C159" s="14"/>
      <c r="D159" s="577">
        <v>14.25287356321839</v>
      </c>
      <c r="E159" s="568">
        <v>14.594117647058823</v>
      </c>
      <c r="F159" s="568">
        <v>13.170731707317072</v>
      </c>
      <c r="G159" s="568">
        <v>15.625766871165645</v>
      </c>
      <c r="H159" s="568">
        <v>14.58235294117647</v>
      </c>
      <c r="I159" s="568">
        <v>16.065088757396449</v>
      </c>
      <c r="J159" s="568">
        <v>13.31764705882353</v>
      </c>
      <c r="K159" s="568">
        <v>19.146198830409357</v>
      </c>
      <c r="L159" s="568">
        <v>13.351515151515152</v>
      </c>
      <c r="M159" s="568">
        <v>20.847953216374268</v>
      </c>
      <c r="N159" s="568">
        <v>13.926966292134832</v>
      </c>
      <c r="O159" s="568">
        <v>10.950276243093922</v>
      </c>
      <c r="P159" s="568">
        <f t="shared" si="278"/>
        <v>179.83148827968392</v>
      </c>
      <c r="Q159" s="569">
        <f t="shared" si="279"/>
        <v>14.985957356640327</v>
      </c>
      <c r="R159" s="370"/>
      <c r="S159" s="577">
        <v>13.17877094972067</v>
      </c>
      <c r="T159" s="568">
        <v>16.90960451977401</v>
      </c>
      <c r="U159" s="568">
        <v>13.787356321839081</v>
      </c>
      <c r="V159" s="568">
        <v>12.920454545454545</v>
      </c>
      <c r="W159" s="568">
        <v>15.017142857142858</v>
      </c>
      <c r="X159" s="568">
        <v>14.017341040462428</v>
      </c>
      <c r="Y159" s="568">
        <v>12.682080924855491</v>
      </c>
      <c r="Z159" s="568">
        <v>21.267441860465116</v>
      </c>
      <c r="AA159" s="568">
        <v>10.362573099415204</v>
      </c>
      <c r="AB159" s="568">
        <v>20.189655172413794</v>
      </c>
      <c r="AC159" s="568">
        <v>12.931034482758621</v>
      </c>
      <c r="AD159" s="568">
        <v>11.137142857142857</v>
      </c>
      <c r="AE159" s="568">
        <f t="shared" si="280"/>
        <v>174.40059863144469</v>
      </c>
      <c r="AF159" s="569">
        <f t="shared" si="281"/>
        <v>14.533383219287058</v>
      </c>
      <c r="AG159" s="370"/>
      <c r="AH159" s="2316">
        <v>21.741646396108052</v>
      </c>
      <c r="AI159" s="2317">
        <v>13.187701462930821</v>
      </c>
      <c r="AJ159" s="2317">
        <v>14.767188693659282</v>
      </c>
      <c r="AK159" s="2317">
        <v>14.258830620855937</v>
      </c>
      <c r="AL159" s="2317">
        <v>14.378977272727273</v>
      </c>
      <c r="AM159" s="2317">
        <v>12.832035053554041</v>
      </c>
      <c r="AN159" s="2317">
        <v>19.504475084663767</v>
      </c>
      <c r="AO159" s="2317">
        <v>14.762820512820513</v>
      </c>
      <c r="AP159" s="2317">
        <v>18.663443396226413</v>
      </c>
      <c r="AQ159" s="2317">
        <v>14.78306208559373</v>
      </c>
      <c r="AR159" s="2317">
        <v>13.977678571428571</v>
      </c>
      <c r="AS159" s="2317">
        <v>12.070812365204889</v>
      </c>
      <c r="AT159" s="568">
        <f t="shared" si="282"/>
        <v>184.92867151577329</v>
      </c>
      <c r="AU159" s="569">
        <f t="shared" si="283"/>
        <v>15.41072262631444</v>
      </c>
      <c r="AX159" s="568">
        <v>11.511409151596066</v>
      </c>
      <c r="AY159" s="568">
        <v>22.991949685534593</v>
      </c>
      <c r="AZ159" s="568">
        <v>15.72768974145121</v>
      </c>
      <c r="BA159" s="568">
        <v>24.083666333666336</v>
      </c>
      <c r="BB159" s="568">
        <v>32.080863566683696</v>
      </c>
      <c r="BC159" s="2317">
        <v>18.336440129449841</v>
      </c>
      <c r="BD159" s="568">
        <v>29.040697674418606</v>
      </c>
      <c r="BE159" s="568">
        <v>17.287055016181228</v>
      </c>
      <c r="BF159" s="568">
        <v>23.128025889967638</v>
      </c>
      <c r="BG159" s="568">
        <v>15.245576923076923</v>
      </c>
      <c r="BH159" s="568">
        <v>12.699685534591195</v>
      </c>
      <c r="BI159" s="568">
        <v>12.983371768418497</v>
      </c>
      <c r="BJ159" s="568">
        <f t="shared" si="284"/>
        <v>235.11643141503581</v>
      </c>
      <c r="BK159" s="569">
        <f t="shared" si="285"/>
        <v>19.59140333430846</v>
      </c>
      <c r="BL159" s="716"/>
      <c r="BN159" s="322">
        <f t="shared" si="276"/>
        <v>0.91255940321360818</v>
      </c>
      <c r="BO159" s="322">
        <f t="shared" si="275"/>
        <v>4.1806807079940196</v>
      </c>
      <c r="BP159" s="322">
        <f t="shared" si="277"/>
        <v>50.187759899262517</v>
      </c>
      <c r="BQ159" s="322">
        <f t="shared" si="272"/>
        <v>0.28368623382730185</v>
      </c>
      <c r="BR159">
        <f t="shared" si="273"/>
        <v>12.699685534591195</v>
      </c>
      <c r="BS159">
        <f t="shared" si="274"/>
        <v>12.983371768418497</v>
      </c>
    </row>
    <row r="160" spans="1:71" x14ac:dyDescent="0.55000000000000004">
      <c r="A160" s="7222"/>
      <c r="B160" s="235" t="s">
        <v>224</v>
      </c>
      <c r="C160" s="14"/>
      <c r="D160" s="577">
        <v>15.784313725490197</v>
      </c>
      <c r="E160" s="568">
        <v>15.280193236714975</v>
      </c>
      <c r="F160" s="568">
        <v>14.811320754716981</v>
      </c>
      <c r="G160" s="568">
        <v>15.719047619047618</v>
      </c>
      <c r="H160" s="568">
        <v>15.634615384615385</v>
      </c>
      <c r="I160" s="568">
        <v>18.019323671497585</v>
      </c>
      <c r="J160" s="568">
        <v>14.457142857142857</v>
      </c>
      <c r="K160" s="568">
        <v>20.135514018691588</v>
      </c>
      <c r="L160" s="568">
        <v>13.651376146788991</v>
      </c>
      <c r="M160" s="568">
        <v>19.951541850220263</v>
      </c>
      <c r="N160" s="568">
        <v>14.807860262008735</v>
      </c>
      <c r="O160" s="568">
        <v>12.331896551724139</v>
      </c>
      <c r="P160" s="568">
        <f t="shared" si="278"/>
        <v>190.58414607865933</v>
      </c>
      <c r="Q160" s="569">
        <f t="shared" si="279"/>
        <v>15.882012173221611</v>
      </c>
      <c r="R160" s="370"/>
      <c r="S160" s="577">
        <v>14.112107623318385</v>
      </c>
      <c r="T160" s="568">
        <v>18.05</v>
      </c>
      <c r="U160" s="568">
        <v>15.303571428571429</v>
      </c>
      <c r="V160" s="568">
        <v>14.72072072072072</v>
      </c>
      <c r="W160" s="568">
        <v>14.886877828054299</v>
      </c>
      <c r="X160" s="568">
        <v>15.288990825688073</v>
      </c>
      <c r="Y160" s="568">
        <v>13.901408450704226</v>
      </c>
      <c r="Z160" s="568">
        <v>22.887323943661972</v>
      </c>
      <c r="AA160" s="568">
        <v>11.022935779816514</v>
      </c>
      <c r="AB160" s="568">
        <v>20.851851851851851</v>
      </c>
      <c r="AC160" s="568">
        <v>14.188940092165899</v>
      </c>
      <c r="AD160" s="568">
        <v>11.811059907834101</v>
      </c>
      <c r="AE160" s="568">
        <f t="shared" si="280"/>
        <v>187.02578845238747</v>
      </c>
      <c r="AF160" s="569">
        <f t="shared" si="281"/>
        <v>15.58548237103229</v>
      </c>
      <c r="AG160" s="370"/>
      <c r="AH160" s="2316">
        <v>22.484660033167494</v>
      </c>
      <c r="AI160" s="2317">
        <v>15.514598540145986</v>
      </c>
      <c r="AJ160" s="2317">
        <v>15.567192691029899</v>
      </c>
      <c r="AK160" s="2317">
        <v>15.410541586073501</v>
      </c>
      <c r="AL160" s="2317">
        <v>15.56313966304519</v>
      </c>
      <c r="AM160" s="2317">
        <v>13.685921717171716</v>
      </c>
      <c r="AN160" s="2317">
        <v>18.628121878121878</v>
      </c>
      <c r="AO160" s="2317">
        <v>15.397777777777778</v>
      </c>
      <c r="AP160" s="2317">
        <v>18.181972038263432</v>
      </c>
      <c r="AQ160" s="2317">
        <v>15.621432648401825</v>
      </c>
      <c r="AR160" s="2317">
        <v>13.34839527027027</v>
      </c>
      <c r="AS160" s="2317">
        <v>11.863446286950253</v>
      </c>
      <c r="AT160" s="568">
        <f t="shared" si="282"/>
        <v>191.26720013041921</v>
      </c>
      <c r="AU160" s="569">
        <f t="shared" si="283"/>
        <v>15.938933344201601</v>
      </c>
      <c r="AX160" s="568">
        <v>11.171008637503483</v>
      </c>
      <c r="AY160" s="568">
        <v>22.828695776255707</v>
      </c>
      <c r="AZ160" s="568">
        <v>15.250960307298335</v>
      </c>
      <c r="BA160" s="568">
        <v>19.479877265591551</v>
      </c>
      <c r="BB160" s="568">
        <v>25.946347517730494</v>
      </c>
      <c r="BC160" s="2317">
        <v>17.416126656848306</v>
      </c>
      <c r="BD160" s="568">
        <v>26.487288135593221</v>
      </c>
      <c r="BE160" s="568">
        <v>17.305706745835394</v>
      </c>
      <c r="BF160" s="568">
        <v>21.967601547388782</v>
      </c>
      <c r="BG160" s="568">
        <v>14.612635288195317</v>
      </c>
      <c r="BH160" s="568">
        <v>13.620652640618291</v>
      </c>
      <c r="BI160" s="568">
        <v>12.014835164835166</v>
      </c>
      <c r="BJ160" s="568">
        <f t="shared" si="284"/>
        <v>218.10173568369405</v>
      </c>
      <c r="BK160" s="569">
        <f t="shared" si="285"/>
        <v>18.173630171126909</v>
      </c>
      <c r="BL160" s="716"/>
      <c r="BN160" s="322">
        <f t="shared" si="276"/>
        <v>0.15138887788491218</v>
      </c>
      <c r="BO160" s="322">
        <f t="shared" si="275"/>
        <v>2.2346968269253082</v>
      </c>
      <c r="BP160" s="322">
        <f t="shared" si="277"/>
        <v>26.834535553274833</v>
      </c>
      <c r="BQ160" s="322">
        <f t="shared" si="272"/>
        <v>-1.6058174757831249</v>
      </c>
      <c r="BR160">
        <f t="shared" si="273"/>
        <v>13.620652640618291</v>
      </c>
      <c r="BS160">
        <f t="shared" si="274"/>
        <v>12.014835164835166</v>
      </c>
    </row>
    <row r="161" spans="1:71" x14ac:dyDescent="0.55000000000000004">
      <c r="A161" s="7222"/>
      <c r="B161" s="235" t="s">
        <v>225</v>
      </c>
      <c r="C161" s="14"/>
      <c r="D161" s="577">
        <v>16.597510373443985</v>
      </c>
      <c r="E161" s="568">
        <v>16.762295081967213</v>
      </c>
      <c r="F161" s="568">
        <v>16.258620689655171</v>
      </c>
      <c r="G161" s="568">
        <v>16.415966386554622</v>
      </c>
      <c r="H161" s="568">
        <v>15.376518218623481</v>
      </c>
      <c r="I161" s="568">
        <v>18.252964426877469</v>
      </c>
      <c r="J161" s="568">
        <v>13.752851711026617</v>
      </c>
      <c r="K161" s="568">
        <v>21.202334630350194</v>
      </c>
      <c r="L161" s="568">
        <v>12.279693486590038</v>
      </c>
      <c r="M161" s="568">
        <v>19.980158730158731</v>
      </c>
      <c r="N161" s="568">
        <v>15.236434108527131</v>
      </c>
      <c r="O161" s="568">
        <v>12.806949806949808</v>
      </c>
      <c r="P161" s="568">
        <f t="shared" si="278"/>
        <v>194.92229765072449</v>
      </c>
      <c r="Q161" s="569">
        <f t="shared" si="279"/>
        <v>16.243524804227039</v>
      </c>
      <c r="R161" s="370"/>
      <c r="S161" s="577">
        <v>14.33984375</v>
      </c>
      <c r="T161" s="568">
        <v>20.488188976377952</v>
      </c>
      <c r="U161" s="568">
        <v>15.242063492063492</v>
      </c>
      <c r="V161" s="568">
        <v>14.875</v>
      </c>
      <c r="W161" s="568">
        <v>16.225296442687746</v>
      </c>
      <c r="X161" s="568">
        <v>15.5098814229249</v>
      </c>
      <c r="Y161" s="568">
        <v>13.371428571428572</v>
      </c>
      <c r="Z161" s="568">
        <v>25.592592592592592</v>
      </c>
      <c r="AA161" s="568">
        <v>12.07563025210084</v>
      </c>
      <c r="AB161" s="568">
        <v>21.563025210084035</v>
      </c>
      <c r="AC161" s="568">
        <v>13.920833333333333</v>
      </c>
      <c r="AD161" s="568">
        <v>12.497907949790795</v>
      </c>
      <c r="AE161" s="568">
        <f t="shared" si="280"/>
        <v>195.70169199338426</v>
      </c>
      <c r="AF161" s="569">
        <f t="shared" si="281"/>
        <v>16.308474332782023</v>
      </c>
      <c r="AG161" s="370"/>
      <c r="AH161" s="2316">
        <v>25.874666666666666</v>
      </c>
      <c r="AI161" s="2317">
        <v>15.40994623655914</v>
      </c>
      <c r="AJ161" s="2317">
        <v>16.723140495867767</v>
      </c>
      <c r="AK161" s="2317">
        <v>16.358115431513344</v>
      </c>
      <c r="AL161" s="2317">
        <v>16.224153383266117</v>
      </c>
      <c r="AM161" s="2317">
        <v>15.11301652892562</v>
      </c>
      <c r="AN161" s="2317">
        <v>23.930925818603303</v>
      </c>
      <c r="AO161" s="2317">
        <v>16.707590902506155</v>
      </c>
      <c r="AP161" s="2317">
        <v>21.207627118644069</v>
      </c>
      <c r="AQ161" s="2317">
        <v>15.979000135482998</v>
      </c>
      <c r="AR161" s="2317">
        <v>14.467382888114596</v>
      </c>
      <c r="AS161" s="2317">
        <v>12.193824404761905</v>
      </c>
      <c r="AT161" s="568">
        <f t="shared" si="282"/>
        <v>210.18939001091167</v>
      </c>
      <c r="AU161" s="569">
        <f t="shared" si="283"/>
        <v>17.515782500909307</v>
      </c>
      <c r="AX161" s="568">
        <v>10.310368887270961</v>
      </c>
      <c r="AY161" s="568">
        <v>25.432064516129032</v>
      </c>
      <c r="AZ161" s="568">
        <v>17.673553719008265</v>
      </c>
      <c r="BA161" s="568">
        <v>22.090337969495398</v>
      </c>
      <c r="BB161" s="568">
        <v>27.20737704918033</v>
      </c>
      <c r="BC161" s="2317">
        <v>17.928745762711863</v>
      </c>
      <c r="BD161" s="568">
        <v>30.656903765690377</v>
      </c>
      <c r="BE161" s="568">
        <v>18.005234861346917</v>
      </c>
      <c r="BF161" s="568">
        <v>23.253465488759606</v>
      </c>
      <c r="BG161" s="568">
        <v>17.106721056721057</v>
      </c>
      <c r="BH161" s="568">
        <v>14.633777239709445</v>
      </c>
      <c r="BI161" s="568">
        <v>12.801826515730259</v>
      </c>
      <c r="BJ161" s="568">
        <f t="shared" si="284"/>
        <v>237.10037683175349</v>
      </c>
      <c r="BK161" s="569">
        <f t="shared" si="285"/>
        <v>19.756718342784225</v>
      </c>
      <c r="BL161" s="716"/>
      <c r="BN161" s="322">
        <f t="shared" si="276"/>
        <v>0.60800211096835355</v>
      </c>
      <c r="BO161" s="322">
        <f t="shared" si="275"/>
        <v>2.2409358418749186</v>
      </c>
      <c r="BP161" s="322">
        <f t="shared" si="277"/>
        <v>26.910986820841828</v>
      </c>
      <c r="BQ161" s="322">
        <f t="shared" si="272"/>
        <v>-1.8319507239791868</v>
      </c>
      <c r="BR161">
        <f t="shared" si="273"/>
        <v>14.633777239709445</v>
      </c>
      <c r="BS161">
        <f t="shared" si="274"/>
        <v>12.801826515730259</v>
      </c>
    </row>
    <row r="162" spans="1:71" x14ac:dyDescent="0.55000000000000004">
      <c r="A162" s="7222"/>
      <c r="B162" s="236" t="s">
        <v>226</v>
      </c>
      <c r="C162" s="29"/>
      <c r="D162" s="578">
        <v>15.152709359605911</v>
      </c>
      <c r="E162" s="570">
        <v>16.340101522842641</v>
      </c>
      <c r="F162" s="570">
        <v>15.543147208121827</v>
      </c>
      <c r="G162" s="570">
        <v>15.482412060301508</v>
      </c>
      <c r="H162" s="570">
        <v>14.298076923076923</v>
      </c>
      <c r="I162" s="570">
        <v>17.923469387755102</v>
      </c>
      <c r="J162" s="570">
        <v>14.324742268041238</v>
      </c>
      <c r="K162" s="570">
        <v>21.8125</v>
      </c>
      <c r="L162" s="570">
        <v>12.989690721649485</v>
      </c>
      <c r="M162" s="570">
        <v>20.386138613861387</v>
      </c>
      <c r="N162" s="570">
        <v>13.701421800947868</v>
      </c>
      <c r="O162" s="570">
        <v>11.433035714285714</v>
      </c>
      <c r="P162" s="570">
        <f t="shared" si="278"/>
        <v>189.38744558048958</v>
      </c>
      <c r="Q162" s="571">
        <f t="shared" si="279"/>
        <v>15.782287131707465</v>
      </c>
      <c r="R162" s="370"/>
      <c r="S162" s="578">
        <v>12.242990654205608</v>
      </c>
      <c r="T162" s="570">
        <v>19.108374384236452</v>
      </c>
      <c r="U162" s="570">
        <v>15.333333333333334</v>
      </c>
      <c r="V162" s="570">
        <v>14.054726368159203</v>
      </c>
      <c r="W162" s="570">
        <v>15.578947368421053</v>
      </c>
      <c r="X162" s="570">
        <v>14.199029126213592</v>
      </c>
      <c r="Y162" s="570">
        <v>14.173469387755102</v>
      </c>
      <c r="Z162" s="570">
        <v>22.806763285024154</v>
      </c>
      <c r="AA162" s="570">
        <v>11.048780487804878</v>
      </c>
      <c r="AB162" s="570">
        <v>20.292079207920793</v>
      </c>
      <c r="AC162" s="570">
        <v>13.54326923076923</v>
      </c>
      <c r="AD162" s="570">
        <v>11.995169082125605</v>
      </c>
      <c r="AE162" s="570">
        <f t="shared" si="280"/>
        <v>184.37693191596904</v>
      </c>
      <c r="AF162" s="571">
        <f t="shared" si="281"/>
        <v>15.364744326330753</v>
      </c>
      <c r="AG162" s="370"/>
      <c r="AH162" s="2318">
        <v>21.285046728971963</v>
      </c>
      <c r="AI162" s="2319">
        <v>13.707766990291262</v>
      </c>
      <c r="AJ162" s="2319">
        <v>15.545467032967032</v>
      </c>
      <c r="AK162" s="2319">
        <v>14.896926671459381</v>
      </c>
      <c r="AL162" s="2319">
        <v>14.507951482479784</v>
      </c>
      <c r="AM162" s="2319">
        <v>13.763873626373627</v>
      </c>
      <c r="AN162" s="2319">
        <v>19.83173076923077</v>
      </c>
      <c r="AO162" s="2319">
        <v>14.461123200535654</v>
      </c>
      <c r="AP162" s="2319">
        <v>18.679543989687399</v>
      </c>
      <c r="AQ162" s="2319">
        <v>13.429728725380899</v>
      </c>
      <c r="AR162" s="2319">
        <v>13.100039169604386</v>
      </c>
      <c r="AS162" s="2319">
        <v>11.399420160570919</v>
      </c>
      <c r="AT162" s="570">
        <f t="shared" si="282"/>
        <v>184.60861854755308</v>
      </c>
      <c r="AU162" s="571">
        <f t="shared" si="283"/>
        <v>15.384051545629424</v>
      </c>
      <c r="AX162" s="570">
        <v>10.107771260997067</v>
      </c>
      <c r="AY162" s="570">
        <v>21.209775653380618</v>
      </c>
      <c r="AZ162" s="570">
        <v>14.426449275362319</v>
      </c>
      <c r="BA162" s="570">
        <v>16.692188052315306</v>
      </c>
      <c r="BB162" s="570">
        <v>23.327673827673827</v>
      </c>
      <c r="BC162" s="2319">
        <v>13.898459167950694</v>
      </c>
      <c r="BD162" s="570">
        <v>24.126637554585152</v>
      </c>
      <c r="BE162" s="570">
        <v>14.841584941474217</v>
      </c>
      <c r="BF162" s="570">
        <v>19.690203761755484</v>
      </c>
      <c r="BG162" s="570">
        <v>12.895718727577133</v>
      </c>
      <c r="BH162" s="570">
        <v>11.995495495495495</v>
      </c>
      <c r="BI162" s="570">
        <v>10.987943492733621</v>
      </c>
      <c r="BJ162" s="570">
        <f t="shared" si="284"/>
        <v>194.19990121130095</v>
      </c>
      <c r="BK162" s="571">
        <f t="shared" si="285"/>
        <v>16.181976602891506</v>
      </c>
      <c r="BL162" s="716"/>
      <c r="BN162" s="322">
        <f t="shared" si="276"/>
        <v>-0.41147666783729875</v>
      </c>
      <c r="BO162" s="322">
        <f t="shared" si="275"/>
        <v>0.7979250572620824</v>
      </c>
      <c r="BP162" s="322">
        <f t="shared" si="277"/>
        <v>9.5912826637478759</v>
      </c>
      <c r="BQ162" s="322">
        <f t="shared" si="272"/>
        <v>-1.0075520027618747</v>
      </c>
      <c r="BR162">
        <f t="shared" si="273"/>
        <v>11.995495495495495</v>
      </c>
      <c r="BS162">
        <f t="shared" si="274"/>
        <v>10.987943492733621</v>
      </c>
    </row>
    <row r="163" spans="1:71" x14ac:dyDescent="0.55000000000000004">
      <c r="A163" s="7222"/>
      <c r="B163" s="244"/>
      <c r="C163" s="176" t="s">
        <v>227</v>
      </c>
      <c r="D163" s="563">
        <v>16.472222222222221</v>
      </c>
      <c r="E163" s="563">
        <v>15.514285714285714</v>
      </c>
      <c r="F163" s="563">
        <v>15.235294117647058</v>
      </c>
      <c r="G163" s="563">
        <v>15.142857142857142</v>
      </c>
      <c r="H163" s="563">
        <v>14.347222222222221</v>
      </c>
      <c r="I163" s="563">
        <v>15</v>
      </c>
      <c r="J163" s="563">
        <v>14.081081081081081</v>
      </c>
      <c r="K163" s="563">
        <v>19.223684210526315</v>
      </c>
      <c r="L163" s="563">
        <v>12.434210526315789</v>
      </c>
      <c r="M163" s="563">
        <v>21.307692307692307</v>
      </c>
      <c r="N163" s="563">
        <v>14.092105263157896</v>
      </c>
      <c r="O163" s="563">
        <v>11.20253164556962</v>
      </c>
      <c r="P163" s="563">
        <f t="shared" si="278"/>
        <v>184.05318645357733</v>
      </c>
      <c r="Q163" s="572">
        <f t="shared" si="279"/>
        <v>15.337765537798111</v>
      </c>
      <c r="R163" s="370"/>
      <c r="S163" s="579">
        <v>13.3</v>
      </c>
      <c r="T163" s="563">
        <v>18.049382716049383</v>
      </c>
      <c r="U163" s="563">
        <v>15.7012987012987</v>
      </c>
      <c r="V163" s="563">
        <v>15.192307692307692</v>
      </c>
      <c r="W163" s="563">
        <v>16.881578947368421</v>
      </c>
      <c r="X163" s="563">
        <v>15.118421052631579</v>
      </c>
      <c r="Y163" s="563">
        <v>14</v>
      </c>
      <c r="Z163" s="563">
        <v>22.448717948717949</v>
      </c>
      <c r="AA163" s="563">
        <v>11.197368421052632</v>
      </c>
      <c r="AB163" s="563">
        <v>21.381578947368421</v>
      </c>
      <c r="AC163" s="563">
        <v>15.857142857142858</v>
      </c>
      <c r="AD163" s="563">
        <v>11.8</v>
      </c>
      <c r="AE163" s="563">
        <f t="shared" si="280"/>
        <v>190.92779728393765</v>
      </c>
      <c r="AF163" s="572">
        <f t="shared" si="281"/>
        <v>15.91064977366147</v>
      </c>
      <c r="AG163" s="370"/>
      <c r="AH163" s="579">
        <v>18.453488372093023</v>
      </c>
      <c r="AI163" s="563">
        <v>11.387096774193548</v>
      </c>
      <c r="AJ163" s="563">
        <v>12.84375</v>
      </c>
      <c r="AK163" s="563">
        <v>13.649484536082474</v>
      </c>
      <c r="AL163" s="563">
        <v>12.656565656565656</v>
      </c>
      <c r="AM163" s="563">
        <v>11.186274509803921</v>
      </c>
      <c r="AN163" s="563">
        <v>17.754901960784313</v>
      </c>
      <c r="AO163" s="563">
        <v>12.891089108910892</v>
      </c>
      <c r="AP163" s="563">
        <v>15.585585585585585</v>
      </c>
      <c r="AQ163" s="563">
        <v>12.875</v>
      </c>
      <c r="AR163" s="563">
        <v>11.841121495327103</v>
      </c>
      <c r="AS163" s="563">
        <v>10.327272727272728</v>
      </c>
      <c r="AT163" s="563">
        <f t="shared" si="282"/>
        <v>161.45163072661927</v>
      </c>
      <c r="AU163" s="572">
        <f t="shared" si="283"/>
        <v>13.454302560551605</v>
      </c>
      <c r="AX163" s="563">
        <v>9.3454545454545457</v>
      </c>
      <c r="AY163" s="563">
        <v>18.09090909090909</v>
      </c>
      <c r="AZ163" s="563">
        <v>12.849056603773585</v>
      </c>
      <c r="BA163" s="563">
        <v>20.281553398058254</v>
      </c>
      <c r="BB163" s="563">
        <v>26.436893203883496</v>
      </c>
      <c r="BC163" s="563">
        <v>16.176470588235293</v>
      </c>
      <c r="BD163" s="563">
        <v>24.10576923076923</v>
      </c>
      <c r="BE163" s="563">
        <v>14.51</v>
      </c>
      <c r="BF163" s="563">
        <v>21.08080808080808</v>
      </c>
      <c r="BG163" s="563">
        <v>12.948979591836734</v>
      </c>
      <c r="BH163" s="563">
        <v>11.474747474747474</v>
      </c>
      <c r="BI163" s="563">
        <v>11.060606060606061</v>
      </c>
      <c r="BJ163" s="563">
        <f t="shared" si="284"/>
        <v>198.36124786908186</v>
      </c>
      <c r="BK163" s="572">
        <f t="shared" si="285"/>
        <v>16.528726595207221</v>
      </c>
      <c r="BL163" s="716"/>
      <c r="BN163" s="322">
        <f t="shared" si="276"/>
        <v>0.7333333333333325</v>
      </c>
      <c r="BO163" s="322">
        <f t="shared" si="275"/>
        <v>3.0744240346556158</v>
      </c>
      <c r="BP163" s="322">
        <f t="shared" si="277"/>
        <v>36.909617142462594</v>
      </c>
      <c r="BQ163" s="322">
        <f t="shared" si="272"/>
        <v>-0.41414141414141348</v>
      </c>
      <c r="BR163">
        <f t="shared" si="273"/>
        <v>11.474747474747474</v>
      </c>
      <c r="BS163">
        <f t="shared" si="274"/>
        <v>11.060606060606061</v>
      </c>
    </row>
    <row r="164" spans="1:71" x14ac:dyDescent="0.55000000000000004">
      <c r="A164" s="7222"/>
      <c r="B164" s="245"/>
      <c r="C164" s="177" t="s">
        <v>228</v>
      </c>
      <c r="D164" s="564">
        <v>14.35483870967742</v>
      </c>
      <c r="E164" s="564">
        <v>13.877551020408163</v>
      </c>
      <c r="F164" s="564">
        <v>12.989247311827956</v>
      </c>
      <c r="G164" s="564">
        <v>13.549450549450549</v>
      </c>
      <c r="H164" s="564">
        <v>13.703296703296703</v>
      </c>
      <c r="I164" s="564">
        <v>15.797752808988765</v>
      </c>
      <c r="J164" s="564">
        <v>13.459770114942529</v>
      </c>
      <c r="K164" s="564">
        <v>20.470588235294116</v>
      </c>
      <c r="L164" s="564">
        <v>12.105882352941176</v>
      </c>
      <c r="M164" s="564">
        <v>18.081395348837209</v>
      </c>
      <c r="N164" s="564">
        <v>13.761904761904763</v>
      </c>
      <c r="O164" s="564">
        <v>12.202380952380953</v>
      </c>
      <c r="P164" s="564">
        <f t="shared" si="278"/>
        <v>174.35405886995031</v>
      </c>
      <c r="Q164" s="573">
        <f t="shared" si="279"/>
        <v>14.529504905829192</v>
      </c>
      <c r="R164" s="370"/>
      <c r="S164" s="580">
        <v>13.160493827160494</v>
      </c>
      <c r="T164" s="564">
        <v>17.536585365853657</v>
      </c>
      <c r="U164" s="564">
        <v>13.317073170731707</v>
      </c>
      <c r="V164" s="564">
        <v>14</v>
      </c>
      <c r="W164" s="564">
        <v>15.658227848101266</v>
      </c>
      <c r="X164" s="564">
        <v>15.037974683544304</v>
      </c>
      <c r="Y164" s="564">
        <v>13.39240506329114</v>
      </c>
      <c r="Z164" s="564">
        <v>22.784810126582279</v>
      </c>
      <c r="AA164" s="564">
        <v>11.105263157894736</v>
      </c>
      <c r="AB164" s="564">
        <v>19.168674698795179</v>
      </c>
      <c r="AC164" s="564">
        <v>12.226190476190476</v>
      </c>
      <c r="AD164" s="564">
        <v>9.7619047619047628</v>
      </c>
      <c r="AE164" s="564">
        <f t="shared" si="280"/>
        <v>177.14960318005001</v>
      </c>
      <c r="AF164" s="573">
        <f t="shared" si="281"/>
        <v>14.762466931670835</v>
      </c>
      <c r="AG164" s="370"/>
      <c r="AH164" s="580">
        <v>21.891566265060241</v>
      </c>
      <c r="AI164" s="564">
        <v>13.133333333333333</v>
      </c>
      <c r="AJ164" s="564">
        <v>11.802083333333334</v>
      </c>
      <c r="AK164" s="564">
        <v>11.564814814814815</v>
      </c>
      <c r="AL164" s="564">
        <v>12.361111111111111</v>
      </c>
      <c r="AM164" s="564">
        <v>11.63302752293578</v>
      </c>
      <c r="AN164" s="564">
        <v>18.490384615384617</v>
      </c>
      <c r="AO164" s="564">
        <v>14.330097087378642</v>
      </c>
      <c r="AP164" s="564">
        <v>17.160377358490567</v>
      </c>
      <c r="AQ164" s="564">
        <v>12.767857142857142</v>
      </c>
      <c r="AR164" s="564">
        <v>12.036363636363637</v>
      </c>
      <c r="AS164" s="564">
        <v>10.609090909090909</v>
      </c>
      <c r="AT164" s="564">
        <f t="shared" si="282"/>
        <v>167.78010713015414</v>
      </c>
      <c r="AU164" s="573">
        <f t="shared" si="283"/>
        <v>13.981675594179512</v>
      </c>
      <c r="AX164" s="564">
        <v>9.7339449541284395</v>
      </c>
      <c r="AY164" s="564">
        <v>20.327102803738317</v>
      </c>
      <c r="AZ164" s="564">
        <v>13.742857142857142</v>
      </c>
      <c r="BA164" s="564">
        <v>18.095238095238095</v>
      </c>
      <c r="BB164" s="564">
        <v>24.61904761904762</v>
      </c>
      <c r="BC164" s="564">
        <v>14.39622641509434</v>
      </c>
      <c r="BD164" s="564">
        <v>24.51923076923077</v>
      </c>
      <c r="BE164" s="564">
        <v>15.323529411764707</v>
      </c>
      <c r="BF164" s="564">
        <v>19.174757281553401</v>
      </c>
      <c r="BG164" s="564">
        <v>12.726415094339623</v>
      </c>
      <c r="BH164" s="564">
        <v>11.723809523809523</v>
      </c>
      <c r="BI164" s="564">
        <v>9.8899082568807337</v>
      </c>
      <c r="BJ164" s="564">
        <f t="shared" si="284"/>
        <v>194.27206736768272</v>
      </c>
      <c r="BK164" s="573">
        <f t="shared" si="285"/>
        <v>16.187989948144548</v>
      </c>
      <c r="BL164" s="716"/>
      <c r="BN164" s="322">
        <f t="shared" si="276"/>
        <v>-0.71918265221017563</v>
      </c>
      <c r="BO164" s="322">
        <f t="shared" si="275"/>
        <v>2.2063143539650358</v>
      </c>
      <c r="BP164" s="322">
        <f t="shared" si="277"/>
        <v>26.491960237528588</v>
      </c>
      <c r="BQ164" s="322">
        <f t="shared" si="272"/>
        <v>-1.8339012669287893</v>
      </c>
      <c r="BR164">
        <f t="shared" si="273"/>
        <v>11.723809523809523</v>
      </c>
      <c r="BS164">
        <f t="shared" si="274"/>
        <v>9.8899082568807337</v>
      </c>
    </row>
    <row r="165" spans="1:71" x14ac:dyDescent="0.55000000000000004">
      <c r="A165" s="7222"/>
      <c r="B165" s="245"/>
      <c r="C165" s="178" t="s">
        <v>229</v>
      </c>
      <c r="D165" s="565">
        <v>13.542857142857143</v>
      </c>
      <c r="E165" s="565">
        <v>13.835616438356164</v>
      </c>
      <c r="F165" s="565">
        <v>12.528571428571428</v>
      </c>
      <c r="G165" s="565">
        <v>15.753623188405797</v>
      </c>
      <c r="H165" s="565">
        <v>14.253521126760564</v>
      </c>
      <c r="I165" s="565">
        <v>15.416666666666666</v>
      </c>
      <c r="J165" s="565">
        <v>12.972972972972974</v>
      </c>
      <c r="K165" s="565">
        <v>18.581081081081081</v>
      </c>
      <c r="L165" s="565">
        <v>13.219178082191782</v>
      </c>
      <c r="M165" s="565">
        <v>21.162162162162161</v>
      </c>
      <c r="N165" s="565">
        <v>13.987012987012987</v>
      </c>
      <c r="O165" s="565">
        <v>10.922077922077921</v>
      </c>
      <c r="P165" s="565">
        <f t="shared" si="278"/>
        <v>176.17534119911667</v>
      </c>
      <c r="Q165" s="574">
        <f t="shared" si="279"/>
        <v>14.681278433259722</v>
      </c>
      <c r="R165" s="370"/>
      <c r="S165" s="581">
        <v>12.74025974025974</v>
      </c>
      <c r="T165" s="565">
        <v>15.552631578947368</v>
      </c>
      <c r="U165" s="565">
        <v>13.397260273972602</v>
      </c>
      <c r="V165" s="565">
        <v>11.743243243243244</v>
      </c>
      <c r="W165" s="565">
        <v>16</v>
      </c>
      <c r="X165" s="565">
        <v>13.944444444444445</v>
      </c>
      <c r="Y165" s="565">
        <v>13.19718309859155</v>
      </c>
      <c r="Z165" s="565">
        <v>21.557142857142857</v>
      </c>
      <c r="AA165" s="565">
        <v>11.014492753623188</v>
      </c>
      <c r="AB165" s="565">
        <v>21.388888888888889</v>
      </c>
      <c r="AC165" s="565">
        <v>14.138888888888889</v>
      </c>
      <c r="AD165" s="565">
        <v>11.541666666666666</v>
      </c>
      <c r="AE165" s="565">
        <f t="shared" si="280"/>
        <v>176.21610243466941</v>
      </c>
      <c r="AF165" s="574">
        <f t="shared" si="281"/>
        <v>14.684675202889117</v>
      </c>
      <c r="AG165" s="370"/>
      <c r="AH165" s="581">
        <v>24.315068493150687</v>
      </c>
      <c r="AI165" s="565">
        <v>14.54054054054054</v>
      </c>
      <c r="AJ165" s="565">
        <v>15.74025974025974</v>
      </c>
      <c r="AK165" s="565">
        <v>14.936708860759493</v>
      </c>
      <c r="AL165" s="565">
        <v>14.7125</v>
      </c>
      <c r="AM165" s="565">
        <v>13.20253164556962</v>
      </c>
      <c r="AN165" s="565">
        <v>20.641025641025642</v>
      </c>
      <c r="AO165" s="565">
        <v>15.448717948717949</v>
      </c>
      <c r="AP165" s="565">
        <v>19.524999999999999</v>
      </c>
      <c r="AQ165" s="565">
        <v>15.670886075949367</v>
      </c>
      <c r="AR165" s="565">
        <v>14.2125</v>
      </c>
      <c r="AS165" s="565">
        <v>12.384615384615385</v>
      </c>
      <c r="AT165" s="565">
        <f t="shared" si="282"/>
        <v>195.33035433058845</v>
      </c>
      <c r="AU165" s="574">
        <f t="shared" si="283"/>
        <v>16.277529527549039</v>
      </c>
      <c r="AX165" s="565">
        <v>11.948051948051946</v>
      </c>
      <c r="AY165" s="565">
        <v>23.493333333333332</v>
      </c>
      <c r="AZ165" s="565">
        <v>16.363636363636363</v>
      </c>
      <c r="BA165" s="565">
        <v>27.051948051948052</v>
      </c>
      <c r="BB165" s="565">
        <v>35.39473684210526</v>
      </c>
      <c r="BC165" s="565">
        <v>19.546666666666667</v>
      </c>
      <c r="BD165" s="565">
        <v>32.055555555555557</v>
      </c>
      <c r="BE165" s="565">
        <v>17.933333333333334</v>
      </c>
      <c r="BF165" s="565">
        <v>25.013333333333335</v>
      </c>
      <c r="BG165" s="565">
        <v>16.52</v>
      </c>
      <c r="BH165" s="565">
        <v>13.333333333333334</v>
      </c>
      <c r="BI165" s="565">
        <v>13.948051948051948</v>
      </c>
      <c r="BJ165" s="565">
        <f t="shared" si="284"/>
        <v>252.60198070934911</v>
      </c>
      <c r="BK165" s="574">
        <f t="shared" si="285"/>
        <v>21.048411024860354</v>
      </c>
      <c r="BL165" s="716"/>
      <c r="BN165" s="322">
        <f t="shared" si="276"/>
        <v>1.5634365634365626</v>
      </c>
      <c r="BO165" s="322">
        <f t="shared" si="275"/>
        <v>4.7708814973113149</v>
      </c>
      <c r="BP165" s="322">
        <f t="shared" si="277"/>
        <v>57.271626378760658</v>
      </c>
      <c r="BQ165" s="322">
        <f t="shared" si="272"/>
        <v>0.61471861471861367</v>
      </c>
      <c r="BR165">
        <f t="shared" si="273"/>
        <v>13.333333333333334</v>
      </c>
      <c r="BS165">
        <f t="shared" si="274"/>
        <v>13.948051948051948</v>
      </c>
    </row>
    <row r="166" spans="1:71" x14ac:dyDescent="0.55000000000000004">
      <c r="A166" s="7222"/>
      <c r="B166" s="245"/>
      <c r="C166" s="178" t="s">
        <v>230</v>
      </c>
      <c r="D166" s="565">
        <v>14.73076923076923</v>
      </c>
      <c r="E166" s="565">
        <v>15.164948453608247</v>
      </c>
      <c r="F166" s="565">
        <v>13.648936170212766</v>
      </c>
      <c r="G166" s="565">
        <v>15.531914893617021</v>
      </c>
      <c r="H166" s="565">
        <v>14.818181818181818</v>
      </c>
      <c r="I166" s="565">
        <v>16.546391752577321</v>
      </c>
      <c r="J166" s="565">
        <v>13.583333333333334</v>
      </c>
      <c r="K166" s="565">
        <v>19.577319587628867</v>
      </c>
      <c r="L166" s="565">
        <v>13.456521739130435</v>
      </c>
      <c r="M166" s="565">
        <v>20.608247422680414</v>
      </c>
      <c r="N166" s="565">
        <v>13.881188118811881</v>
      </c>
      <c r="O166" s="565">
        <v>10.971153846153847</v>
      </c>
      <c r="P166" s="565">
        <f t="shared" si="278"/>
        <v>182.51890636670515</v>
      </c>
      <c r="Q166" s="574">
        <f t="shared" si="279"/>
        <v>15.209908863892096</v>
      </c>
      <c r="R166" s="370"/>
      <c r="S166" s="581">
        <v>13.509803921568627</v>
      </c>
      <c r="T166" s="565">
        <v>17.93069306930693</v>
      </c>
      <c r="U166" s="565">
        <v>14.069306930693068</v>
      </c>
      <c r="V166" s="565">
        <v>13.774509803921569</v>
      </c>
      <c r="W166" s="565">
        <v>14.313725490196079</v>
      </c>
      <c r="X166" s="565">
        <v>14.069306930693068</v>
      </c>
      <c r="Y166" s="565">
        <v>12.323529411764707</v>
      </c>
      <c r="Z166" s="565">
        <v>21.068627450980394</v>
      </c>
      <c r="AA166" s="565">
        <v>9.9215686274509807</v>
      </c>
      <c r="AB166" s="565">
        <v>19.343137254901961</v>
      </c>
      <c r="AC166" s="565">
        <v>12.078431372549019</v>
      </c>
      <c r="AD166" s="565">
        <v>10.854368932038835</v>
      </c>
      <c r="AE166" s="565">
        <f t="shared" si="280"/>
        <v>173.25700919606527</v>
      </c>
      <c r="AF166" s="574">
        <f t="shared" si="281"/>
        <v>14.438084099672105</v>
      </c>
      <c r="AG166" s="370"/>
      <c r="AH166" s="581">
        <v>19.168224299065422</v>
      </c>
      <c r="AI166" s="565">
        <v>11.834862385321101</v>
      </c>
      <c r="AJ166" s="565">
        <v>13.794117647058824</v>
      </c>
      <c r="AK166" s="565">
        <v>13.580952380952381</v>
      </c>
      <c r="AL166" s="565">
        <v>14.045454545454545</v>
      </c>
      <c r="AM166" s="565">
        <v>12.461538461538462</v>
      </c>
      <c r="AN166" s="565">
        <v>18.367924528301888</v>
      </c>
      <c r="AO166" s="565">
        <v>14.076923076923077</v>
      </c>
      <c r="AP166" s="565">
        <v>17.80188679245283</v>
      </c>
      <c r="AQ166" s="565">
        <v>13.895238095238096</v>
      </c>
      <c r="AR166" s="565">
        <v>13.742857142857142</v>
      </c>
      <c r="AS166" s="565">
        <v>11.757009345794392</v>
      </c>
      <c r="AT166" s="565">
        <f t="shared" si="282"/>
        <v>174.52698870095813</v>
      </c>
      <c r="AU166" s="574">
        <f t="shared" si="283"/>
        <v>14.543915725079843</v>
      </c>
      <c r="AX166" s="565">
        <v>11.074766355140186</v>
      </c>
      <c r="AY166" s="565">
        <v>22.490566037735849</v>
      </c>
      <c r="AZ166" s="565">
        <v>15.091743119266056</v>
      </c>
      <c r="BA166" s="565">
        <v>21.115384615384617</v>
      </c>
      <c r="BB166" s="565">
        <v>28.766990291262136</v>
      </c>
      <c r="BC166" s="565">
        <v>17.126213592233011</v>
      </c>
      <c r="BD166" s="565">
        <v>26.87</v>
      </c>
      <c r="BE166" s="565">
        <v>16.640776699029125</v>
      </c>
      <c r="BF166" s="565">
        <v>21.242718446601941</v>
      </c>
      <c r="BG166" s="565">
        <v>13.971153846153847</v>
      </c>
      <c r="BH166" s="565">
        <v>12.066037735849056</v>
      </c>
      <c r="BI166" s="565">
        <v>12.018691588785046</v>
      </c>
      <c r="BJ166" s="565">
        <f t="shared" si="284"/>
        <v>218.47504232744086</v>
      </c>
      <c r="BK166" s="574">
        <f t="shared" si="285"/>
        <v>18.204736465914579</v>
      </c>
      <c r="BL166" s="716"/>
      <c r="BN166" s="322">
        <f t="shared" si="276"/>
        <v>0.26168224299065379</v>
      </c>
      <c r="BO166" s="322">
        <f t="shared" si="275"/>
        <v>3.6608207408347351</v>
      </c>
      <c r="BP166" s="322">
        <f t="shared" si="277"/>
        <v>43.948053626482732</v>
      </c>
      <c r="BQ166" s="322">
        <f t="shared" si="272"/>
        <v>-4.7346147064009969E-2</v>
      </c>
      <c r="BR166">
        <f t="shared" si="273"/>
        <v>12.066037735849056</v>
      </c>
      <c r="BS166">
        <f t="shared" si="274"/>
        <v>12.018691588785046</v>
      </c>
    </row>
    <row r="167" spans="1:71" x14ac:dyDescent="0.55000000000000004">
      <c r="A167" s="7222"/>
      <c r="B167" s="245"/>
      <c r="C167" s="177" t="s">
        <v>231</v>
      </c>
      <c r="D167" s="564">
        <v>15.879032258064516</v>
      </c>
      <c r="E167" s="564">
        <v>15.053435114503817</v>
      </c>
      <c r="F167" s="564">
        <v>14.765151515151516</v>
      </c>
      <c r="G167" s="564">
        <v>15.392307692307693</v>
      </c>
      <c r="H167" s="564">
        <v>15.685039370078741</v>
      </c>
      <c r="I167" s="564">
        <v>18.1875</v>
      </c>
      <c r="J167" s="564">
        <v>14.9609375</v>
      </c>
      <c r="K167" s="564">
        <v>20.238461538461539</v>
      </c>
      <c r="L167" s="564">
        <v>14.083333333333334</v>
      </c>
      <c r="M167" s="564">
        <v>21.202898550724637</v>
      </c>
      <c r="N167" s="564">
        <v>15.028571428571428</v>
      </c>
      <c r="O167" s="564">
        <v>12.423611111111111</v>
      </c>
      <c r="P167" s="564">
        <f t="shared" si="278"/>
        <v>192.90027941230835</v>
      </c>
      <c r="Q167" s="573">
        <f t="shared" si="279"/>
        <v>16.07502328435903</v>
      </c>
      <c r="R167" s="370"/>
      <c r="S167" s="580">
        <v>14.096296296296297</v>
      </c>
      <c r="T167" s="564">
        <v>18.81679389312977</v>
      </c>
      <c r="U167" s="564">
        <v>14.911764705882353</v>
      </c>
      <c r="V167" s="564">
        <v>14.62962962962963</v>
      </c>
      <c r="W167" s="564">
        <v>14.552238805970148</v>
      </c>
      <c r="X167" s="564">
        <v>15.4</v>
      </c>
      <c r="Y167" s="564">
        <v>14.928571428571429</v>
      </c>
      <c r="Z167" s="564">
        <v>22.411290322580644</v>
      </c>
      <c r="AA167" s="564">
        <v>11.452380952380953</v>
      </c>
      <c r="AB167" s="564">
        <v>21.2890625</v>
      </c>
      <c r="AC167" s="564">
        <v>14.546153846153846</v>
      </c>
      <c r="AD167" s="564">
        <v>12.472868217054264</v>
      </c>
      <c r="AE167" s="564">
        <f t="shared" si="280"/>
        <v>189.50705059764937</v>
      </c>
      <c r="AF167" s="573">
        <f t="shared" si="281"/>
        <v>15.792254216470781</v>
      </c>
      <c r="AG167" s="370"/>
      <c r="AH167" s="580">
        <v>21.85820895522388</v>
      </c>
      <c r="AI167" s="564">
        <v>15.02919708029197</v>
      </c>
      <c r="AJ167" s="564">
        <v>14.878571428571428</v>
      </c>
      <c r="AK167" s="564">
        <v>14.957446808510639</v>
      </c>
      <c r="AL167" s="564">
        <v>14.356164383561644</v>
      </c>
      <c r="AM167" s="564">
        <v>13.576388888888889</v>
      </c>
      <c r="AN167" s="564">
        <v>18.344155844155843</v>
      </c>
      <c r="AO167" s="564">
        <v>14.84</v>
      </c>
      <c r="AP167" s="564">
        <v>17.741721854304636</v>
      </c>
      <c r="AQ167" s="564">
        <v>15.513698630136986</v>
      </c>
      <c r="AR167" s="564">
        <v>13.29054054054054</v>
      </c>
      <c r="AS167" s="564">
        <v>12.547945205479452</v>
      </c>
      <c r="AT167" s="564">
        <f t="shared" si="282"/>
        <v>186.93403961966595</v>
      </c>
      <c r="AU167" s="573">
        <f t="shared" si="283"/>
        <v>15.577836634972163</v>
      </c>
      <c r="AX167" s="564">
        <v>11.094594594594597</v>
      </c>
      <c r="AY167" s="564">
        <v>22.917808219178081</v>
      </c>
      <c r="AZ167" s="564">
        <v>15.774647887323944</v>
      </c>
      <c r="BA167" s="564">
        <v>20.02097902097902</v>
      </c>
      <c r="BB167" s="564">
        <v>27.822695035460992</v>
      </c>
      <c r="BC167" s="564">
        <v>17.471428571428572</v>
      </c>
      <c r="BD167" s="564">
        <v>26.32867132867133</v>
      </c>
      <c r="BE167" s="564">
        <v>16.843971631205672</v>
      </c>
      <c r="BF167" s="564">
        <v>22.617021276595743</v>
      </c>
      <c r="BG167" s="564">
        <v>14.70802919708029</v>
      </c>
      <c r="BH167" s="564">
        <v>13.182481751824817</v>
      </c>
      <c r="BI167" s="564">
        <v>11.985714285714286</v>
      </c>
      <c r="BJ167" s="564">
        <f t="shared" si="284"/>
        <v>220.76804280005737</v>
      </c>
      <c r="BK167" s="573">
        <f t="shared" si="285"/>
        <v>18.395803916345088</v>
      </c>
      <c r="BL167" s="716"/>
      <c r="BN167" s="322">
        <f t="shared" si="276"/>
        <v>-0.5622309197651667</v>
      </c>
      <c r="BO167" s="322">
        <f t="shared" si="275"/>
        <v>2.8179672813729244</v>
      </c>
      <c r="BP167" s="322">
        <f t="shared" si="277"/>
        <v>33.83400318039142</v>
      </c>
      <c r="BQ167" s="322">
        <f t="shared" si="272"/>
        <v>-1.196767466110531</v>
      </c>
      <c r="BR167">
        <f t="shared" si="273"/>
        <v>13.182481751824817</v>
      </c>
      <c r="BS167">
        <f t="shared" si="274"/>
        <v>11.985714285714286</v>
      </c>
    </row>
    <row r="168" spans="1:71" x14ac:dyDescent="0.55000000000000004">
      <c r="A168" s="7222"/>
      <c r="B168" s="245"/>
      <c r="C168" s="177" t="s">
        <v>232</v>
      </c>
      <c r="D168" s="564">
        <v>15.637499999999999</v>
      </c>
      <c r="E168" s="564">
        <v>15.671052631578947</v>
      </c>
      <c r="F168" s="564">
        <v>14.887499999999999</v>
      </c>
      <c r="G168" s="564">
        <v>16.25</v>
      </c>
      <c r="H168" s="564">
        <v>15.555555555555555</v>
      </c>
      <c r="I168" s="564">
        <v>17.746835443037973</v>
      </c>
      <c r="J168" s="564">
        <v>13.670731707317072</v>
      </c>
      <c r="K168" s="564">
        <v>19.976190476190474</v>
      </c>
      <c r="L168" s="564">
        <v>12.988372093023257</v>
      </c>
      <c r="M168" s="564">
        <v>18.011235955056179</v>
      </c>
      <c r="N168" s="564">
        <v>14.460674157303371</v>
      </c>
      <c r="O168" s="564">
        <v>12.181818181818182</v>
      </c>
      <c r="P168" s="564">
        <f t="shared" si="278"/>
        <v>187.03746620088103</v>
      </c>
      <c r="Q168" s="573">
        <f t="shared" si="279"/>
        <v>15.586455516740086</v>
      </c>
      <c r="R168" s="370"/>
      <c r="S168" s="580">
        <v>14.136363636363637</v>
      </c>
      <c r="T168" s="564">
        <v>16.921348314606742</v>
      </c>
      <c r="U168" s="564">
        <v>15.909090909090908</v>
      </c>
      <c r="V168" s="564">
        <v>14.862068965517242</v>
      </c>
      <c r="W168" s="564">
        <v>15.402298850574713</v>
      </c>
      <c r="X168" s="564">
        <v>15.125</v>
      </c>
      <c r="Y168" s="564">
        <v>12.413793103448276</v>
      </c>
      <c r="Z168" s="564">
        <v>23.55056179775281</v>
      </c>
      <c r="AA168" s="564">
        <v>10.434782608695652</v>
      </c>
      <c r="AB168" s="564">
        <v>20.21590909090909</v>
      </c>
      <c r="AC168" s="564">
        <v>13.655172413793103</v>
      </c>
      <c r="AD168" s="564">
        <v>10.840909090909092</v>
      </c>
      <c r="AE168" s="564">
        <f t="shared" si="280"/>
        <v>183.46729878166127</v>
      </c>
      <c r="AF168" s="573">
        <f t="shared" si="281"/>
        <v>15.288941565138439</v>
      </c>
      <c r="AG168" s="370"/>
      <c r="AH168" s="580">
        <v>23.111111111111111</v>
      </c>
      <c r="AI168" s="564">
        <v>16</v>
      </c>
      <c r="AJ168" s="564">
        <v>16.255813953488371</v>
      </c>
      <c r="AK168" s="564">
        <v>15.863636363636363</v>
      </c>
      <c r="AL168" s="564">
        <v>16.770114942528735</v>
      </c>
      <c r="AM168" s="564">
        <v>13.795454545454545</v>
      </c>
      <c r="AN168" s="564">
        <v>18.912087912087912</v>
      </c>
      <c r="AO168" s="564">
        <v>15.955555555555556</v>
      </c>
      <c r="AP168" s="564">
        <v>18.622222222222224</v>
      </c>
      <c r="AQ168" s="564">
        <v>15.729166666666666</v>
      </c>
      <c r="AR168" s="564">
        <v>13.40625</v>
      </c>
      <c r="AS168" s="564">
        <v>11.178947368421053</v>
      </c>
      <c r="AT168" s="564">
        <f t="shared" si="282"/>
        <v>195.60036064117256</v>
      </c>
      <c r="AU168" s="573">
        <f t="shared" si="283"/>
        <v>16.300030053431048</v>
      </c>
      <c r="AX168" s="564">
        <v>11.24742268041237</v>
      </c>
      <c r="AY168" s="564">
        <v>22.739583333333332</v>
      </c>
      <c r="AZ168" s="564">
        <v>14.727272727272727</v>
      </c>
      <c r="BA168" s="564">
        <v>18.938775510204081</v>
      </c>
      <c r="BB168" s="564">
        <v>24.07</v>
      </c>
      <c r="BC168" s="564">
        <v>17.36082474226804</v>
      </c>
      <c r="BD168" s="564">
        <v>26.731182795698924</v>
      </c>
      <c r="BE168" s="564">
        <v>17.767441860465116</v>
      </c>
      <c r="BF168" s="564">
        <v>21.31818181818182</v>
      </c>
      <c r="BG168" s="564">
        <v>14.517241379310345</v>
      </c>
      <c r="BH168" s="564">
        <v>14.058823529411764</v>
      </c>
      <c r="BI168" s="564">
        <v>12.043956043956044</v>
      </c>
      <c r="BJ168" s="564">
        <f t="shared" si="284"/>
        <v>215.52070642051456</v>
      </c>
      <c r="BK168" s="573">
        <f t="shared" si="285"/>
        <v>17.958562321516087</v>
      </c>
      <c r="BL168" s="716"/>
      <c r="BN168" s="322">
        <f t="shared" si="276"/>
        <v>0.86500867553499106</v>
      </c>
      <c r="BO168" s="322">
        <f t="shared" si="275"/>
        <v>1.6585322680850396</v>
      </c>
      <c r="BP168" s="322">
        <f t="shared" si="277"/>
        <v>19.920345779342</v>
      </c>
      <c r="BQ168" s="322">
        <f t="shared" si="272"/>
        <v>-2.0148674854557207</v>
      </c>
      <c r="BR168">
        <f t="shared" si="273"/>
        <v>14.058823529411764</v>
      </c>
      <c r="BS168">
        <f t="shared" si="274"/>
        <v>12.043956043956044</v>
      </c>
    </row>
    <row r="169" spans="1:71" x14ac:dyDescent="0.55000000000000004">
      <c r="A169" s="7222"/>
      <c r="B169" s="245"/>
      <c r="C169" s="178" t="s">
        <v>233</v>
      </c>
      <c r="D169" s="565">
        <v>16.680327868852459</v>
      </c>
      <c r="E169" s="565">
        <v>18.033057851239668</v>
      </c>
      <c r="F169" s="565">
        <v>17.383928571428573</v>
      </c>
      <c r="G169" s="565">
        <v>17.060344827586206</v>
      </c>
      <c r="H169" s="565">
        <v>17.347826086956523</v>
      </c>
      <c r="I169" s="565">
        <v>18.631147540983605</v>
      </c>
      <c r="J169" s="565">
        <v>15.192</v>
      </c>
      <c r="K169" s="565">
        <v>22.206611570247933</v>
      </c>
      <c r="L169" s="565">
        <v>12.5703125</v>
      </c>
      <c r="M169" s="565">
        <v>21.223140495867767</v>
      </c>
      <c r="N169" s="565">
        <v>16.629032258064516</v>
      </c>
      <c r="O169" s="565">
        <v>14.816000000000001</v>
      </c>
      <c r="P169" s="565">
        <f t="shared" si="278"/>
        <v>207.77372957122725</v>
      </c>
      <c r="Q169" s="574">
        <f t="shared" si="279"/>
        <v>17.314477464268936</v>
      </c>
      <c r="R169" s="370"/>
      <c r="S169" s="581">
        <v>14.65625</v>
      </c>
      <c r="T169" s="565">
        <v>22.0859375</v>
      </c>
      <c r="U169" s="565">
        <v>16.285714285714285</v>
      </c>
      <c r="V169" s="565">
        <v>16.243902439024389</v>
      </c>
      <c r="W169" s="565">
        <v>16.527559055118111</v>
      </c>
      <c r="X169" s="565">
        <v>15.674603174603174</v>
      </c>
      <c r="Y169" s="565">
        <v>14.46218487394958</v>
      </c>
      <c r="Z169" s="565">
        <v>29.042735042735043</v>
      </c>
      <c r="AA169" s="565">
        <v>12.439655172413794</v>
      </c>
      <c r="AB169" s="565">
        <v>22.153846153846153</v>
      </c>
      <c r="AC169" s="565">
        <v>14.865546218487395</v>
      </c>
      <c r="AD169" s="565">
        <v>13.341880341880342</v>
      </c>
      <c r="AE169" s="565">
        <f t="shared" si="280"/>
        <v>207.77981425777227</v>
      </c>
      <c r="AF169" s="574">
        <f t="shared" si="281"/>
        <v>17.314984521481023</v>
      </c>
      <c r="AG169" s="370"/>
      <c r="AH169" s="581">
        <v>27.333333333333332</v>
      </c>
      <c r="AI169" s="565">
        <v>16.916666666666668</v>
      </c>
      <c r="AJ169" s="565">
        <v>17.314049586776861</v>
      </c>
      <c r="AK169" s="565">
        <v>17.380165289256198</v>
      </c>
      <c r="AL169" s="565">
        <v>17.983739837398375</v>
      </c>
      <c r="AM169" s="565">
        <v>15.35</v>
      </c>
      <c r="AN169" s="565">
        <v>25.853448275862068</v>
      </c>
      <c r="AO169" s="565">
        <v>17.423728813559322</v>
      </c>
      <c r="AP169" s="565">
        <v>21.822033898305083</v>
      </c>
      <c r="AQ169" s="565">
        <v>17.081967213114755</v>
      </c>
      <c r="AR169" s="565">
        <v>14.674603174603174</v>
      </c>
      <c r="AS169" s="565">
        <v>13.078125</v>
      </c>
      <c r="AT169" s="565">
        <f t="shared" si="282"/>
        <v>222.21186108887582</v>
      </c>
      <c r="AU169" s="574">
        <f t="shared" si="283"/>
        <v>18.517655090739652</v>
      </c>
      <c r="AX169" s="565">
        <v>9.6044776119402986</v>
      </c>
      <c r="AY169" s="565">
        <v>26.847999999999999</v>
      </c>
      <c r="AZ169" s="565">
        <v>18</v>
      </c>
      <c r="BA169" s="565">
        <v>22.569105691056912</v>
      </c>
      <c r="BB169" s="565">
        <v>28.8</v>
      </c>
      <c r="BC169" s="565">
        <v>19.16949152542373</v>
      </c>
      <c r="BD169" s="565">
        <v>34.780701754385966</v>
      </c>
      <c r="BE169" s="565">
        <v>19.42982456140351</v>
      </c>
      <c r="BF169" s="565">
        <v>24.162393162393162</v>
      </c>
      <c r="BG169" s="565">
        <v>18.281818181818181</v>
      </c>
      <c r="BH169" s="565">
        <v>14.928571428571429</v>
      </c>
      <c r="BI169" s="565">
        <v>12.521008403361344</v>
      </c>
      <c r="BJ169" s="565">
        <f t="shared" si="284"/>
        <v>249.09539232035453</v>
      </c>
      <c r="BK169" s="574">
        <f t="shared" si="285"/>
        <v>20.756219675056624</v>
      </c>
      <c r="BL169" s="716"/>
      <c r="BN169" s="322">
        <f t="shared" si="276"/>
        <v>-0.55711659663865554</v>
      </c>
      <c r="BO169" s="322">
        <f t="shared" si="275"/>
        <v>2.2385645843169719</v>
      </c>
      <c r="BP169" s="322">
        <f t="shared" si="277"/>
        <v>26.883531231478713</v>
      </c>
      <c r="BQ169" s="322">
        <f t="shared" si="272"/>
        <v>-2.4075630252100844</v>
      </c>
      <c r="BR169">
        <f t="shared" si="273"/>
        <v>14.928571428571429</v>
      </c>
      <c r="BS169">
        <f t="shared" si="274"/>
        <v>12.521008403361344</v>
      </c>
    </row>
    <row r="170" spans="1:71" x14ac:dyDescent="0.55000000000000004">
      <c r="A170" s="7222"/>
      <c r="B170" s="245"/>
      <c r="C170" s="178" t="s">
        <v>234</v>
      </c>
      <c r="D170" s="565">
        <v>16.512605042016808</v>
      </c>
      <c r="E170" s="565">
        <v>15.512195121951219</v>
      </c>
      <c r="F170" s="565">
        <v>15.208333333333334</v>
      </c>
      <c r="G170" s="565">
        <v>15.803278688524591</v>
      </c>
      <c r="H170" s="565">
        <v>13.659090909090908</v>
      </c>
      <c r="I170" s="565">
        <v>17.900763358778626</v>
      </c>
      <c r="J170" s="565">
        <v>12.44927536231884</v>
      </c>
      <c r="K170" s="565">
        <v>20.308823529411764</v>
      </c>
      <c r="L170" s="565">
        <v>12</v>
      </c>
      <c r="M170" s="565">
        <v>18.832061068702291</v>
      </c>
      <c r="N170" s="565">
        <v>13.947761194029852</v>
      </c>
      <c r="O170" s="565">
        <v>10.932835820895523</v>
      </c>
      <c r="P170" s="565">
        <f t="shared" si="278"/>
        <v>183.06702342905376</v>
      </c>
      <c r="Q170" s="574">
        <f t="shared" si="279"/>
        <v>15.25558528575448</v>
      </c>
      <c r="R170" s="370"/>
      <c r="S170" s="581">
        <v>14.0234375</v>
      </c>
      <c r="T170" s="565">
        <v>18.865079365079364</v>
      </c>
      <c r="U170" s="565">
        <v>14.198412698412698</v>
      </c>
      <c r="V170" s="565">
        <v>13.528</v>
      </c>
      <c r="W170" s="565">
        <v>15.920634920634921</v>
      </c>
      <c r="X170" s="565">
        <v>15.346456692913385</v>
      </c>
      <c r="Y170" s="565">
        <v>12.341269841269842</v>
      </c>
      <c r="Z170" s="565">
        <v>22.388888888888889</v>
      </c>
      <c r="AA170" s="565">
        <v>11.729508196721312</v>
      </c>
      <c r="AB170" s="565">
        <v>20.991735537190081</v>
      </c>
      <c r="AC170" s="565">
        <v>12.991735537190083</v>
      </c>
      <c r="AD170" s="565">
        <v>11.688524590163935</v>
      </c>
      <c r="AE170" s="565">
        <f t="shared" si="280"/>
        <v>184.01368376846455</v>
      </c>
      <c r="AF170" s="574">
        <f t="shared" si="281"/>
        <v>15.334473647372045</v>
      </c>
      <c r="AG170" s="370"/>
      <c r="AH170" s="581">
        <v>24.416</v>
      </c>
      <c r="AI170" s="565">
        <v>13.903225806451612</v>
      </c>
      <c r="AJ170" s="565">
        <v>16.132231404958677</v>
      </c>
      <c r="AK170" s="565">
        <v>15.336065573770492</v>
      </c>
      <c r="AL170" s="565">
        <v>14.464566929133857</v>
      </c>
      <c r="AM170" s="565">
        <v>14.87603305785124</v>
      </c>
      <c r="AN170" s="565">
        <v>22.008403361344538</v>
      </c>
      <c r="AO170" s="565">
        <v>15.991452991452991</v>
      </c>
      <c r="AP170" s="565">
        <v>20.593220338983052</v>
      </c>
      <c r="AQ170" s="565">
        <v>14.87603305785124</v>
      </c>
      <c r="AR170" s="565">
        <v>14.260162601626016</v>
      </c>
      <c r="AS170" s="565">
        <v>11.30952380952381</v>
      </c>
      <c r="AT170" s="565">
        <f t="shared" si="282"/>
        <v>198.16691893294751</v>
      </c>
      <c r="AU170" s="574">
        <f t="shared" si="283"/>
        <v>16.513909911078958</v>
      </c>
      <c r="AX170" s="565">
        <v>11.016260162601625</v>
      </c>
      <c r="AY170" s="565">
        <v>24.016129032258064</v>
      </c>
      <c r="AZ170" s="565">
        <v>17.347107438016529</v>
      </c>
      <c r="BA170" s="565">
        <v>21.611570247933884</v>
      </c>
      <c r="BB170" s="565">
        <v>25.614754098360656</v>
      </c>
      <c r="BC170" s="565">
        <v>16.687999999999999</v>
      </c>
      <c r="BD170" s="565">
        <v>26.896000000000001</v>
      </c>
      <c r="BE170" s="565">
        <v>16.580645161290324</v>
      </c>
      <c r="BF170" s="565">
        <v>22.344537815126049</v>
      </c>
      <c r="BG170" s="565">
        <v>15.931623931623932</v>
      </c>
      <c r="BH170" s="565">
        <v>14.33898305084746</v>
      </c>
      <c r="BI170" s="565">
        <v>13.082644628099173</v>
      </c>
      <c r="BJ170" s="565">
        <f t="shared" si="284"/>
        <v>225.46825556615772</v>
      </c>
      <c r="BK170" s="574">
        <f t="shared" si="285"/>
        <v>18.787455675873488</v>
      </c>
      <c r="BL170" s="716"/>
      <c r="BN170" s="322">
        <f t="shared" si="276"/>
        <v>1.7731208185753626</v>
      </c>
      <c r="BO170" s="322">
        <f t="shared" si="275"/>
        <v>2.2735457647945303</v>
      </c>
      <c r="BP170" s="322">
        <f t="shared" ref="BP170:BP201" si="286">BJ170-SUM(AH170:AS170)</f>
        <v>27.301336633210212</v>
      </c>
      <c r="BQ170" s="322">
        <f t="shared" si="272"/>
        <v>-1.2563384227482874</v>
      </c>
      <c r="BR170">
        <f t="shared" si="273"/>
        <v>14.33898305084746</v>
      </c>
      <c r="BS170">
        <f t="shared" si="274"/>
        <v>13.082644628099173</v>
      </c>
    </row>
    <row r="171" spans="1:71" x14ac:dyDescent="0.55000000000000004">
      <c r="A171" s="7222"/>
      <c r="B171" s="245"/>
      <c r="C171" s="177" t="s">
        <v>235</v>
      </c>
      <c r="D171" s="564">
        <v>15.138613861386139</v>
      </c>
      <c r="E171" s="564">
        <v>16.659793814432991</v>
      </c>
      <c r="F171" s="564">
        <v>14.407766990291263</v>
      </c>
      <c r="G171" s="564">
        <v>15.138613861386139</v>
      </c>
      <c r="H171" s="564">
        <v>14.009615384615385</v>
      </c>
      <c r="I171" s="564">
        <v>17</v>
      </c>
      <c r="J171" s="564">
        <v>13.663265306122449</v>
      </c>
      <c r="K171" s="564">
        <v>23.793814432989691</v>
      </c>
      <c r="L171" s="564">
        <v>12.715789473684211</v>
      </c>
      <c r="M171" s="564">
        <v>21.260416666666668</v>
      </c>
      <c r="N171" s="564">
        <v>14.836734693877551</v>
      </c>
      <c r="O171" s="564">
        <v>11.394495412844037</v>
      </c>
      <c r="P171" s="564">
        <f t="shared" si="278"/>
        <v>190.01891989829653</v>
      </c>
      <c r="Q171" s="573">
        <f t="shared" si="279"/>
        <v>15.834909991524711</v>
      </c>
      <c r="R171" s="370"/>
      <c r="S171" s="580">
        <v>12.424528301886792</v>
      </c>
      <c r="T171" s="564">
        <v>19.484848484848484</v>
      </c>
      <c r="U171" s="564">
        <v>15.635416666666666</v>
      </c>
      <c r="V171" s="564">
        <v>14.148514851485148</v>
      </c>
      <c r="W171" s="564">
        <v>15.009174311926605</v>
      </c>
      <c r="X171" s="564">
        <v>14.211538461538462</v>
      </c>
      <c r="Y171" s="564">
        <v>14.19</v>
      </c>
      <c r="Z171" s="564">
        <v>24.058252427184467</v>
      </c>
      <c r="AA171" s="564">
        <v>11.207920792079207</v>
      </c>
      <c r="AB171" s="564">
        <v>21.222222222222221</v>
      </c>
      <c r="AC171" s="564">
        <v>13.784313725490197</v>
      </c>
      <c r="AD171" s="564">
        <v>12.098039215686274</v>
      </c>
      <c r="AE171" s="564">
        <f t="shared" si="280"/>
        <v>187.47476946101455</v>
      </c>
      <c r="AF171" s="573">
        <f t="shared" si="281"/>
        <v>15.622897455084546</v>
      </c>
      <c r="AG171" s="370"/>
      <c r="AH171" s="580">
        <v>22.644859813084111</v>
      </c>
      <c r="AI171" s="564">
        <v>13.6</v>
      </c>
      <c r="AJ171" s="564">
        <v>15.548076923076923</v>
      </c>
      <c r="AK171" s="564">
        <v>14.813084112149532</v>
      </c>
      <c r="AL171" s="564">
        <v>14.330188679245284</v>
      </c>
      <c r="AM171" s="564">
        <v>13.413461538461538</v>
      </c>
      <c r="AN171" s="564">
        <v>20.41346153846154</v>
      </c>
      <c r="AO171" s="564">
        <v>14.844660194174757</v>
      </c>
      <c r="AP171" s="564">
        <v>18.850467289719628</v>
      </c>
      <c r="AQ171" s="564">
        <v>13.278260869565218</v>
      </c>
      <c r="AR171" s="564">
        <v>13.252252252252251</v>
      </c>
      <c r="AS171" s="564">
        <v>11.483050847457626</v>
      </c>
      <c r="AT171" s="564">
        <f t="shared" si="282"/>
        <v>186.47182405764843</v>
      </c>
      <c r="AU171" s="573">
        <f t="shared" si="283"/>
        <v>15.539318671470703</v>
      </c>
      <c r="AX171" s="564">
        <v>9.806451612903226</v>
      </c>
      <c r="AY171" s="564">
        <v>20.22689075630252</v>
      </c>
      <c r="AZ171" s="564">
        <v>13.983333333333333</v>
      </c>
      <c r="BA171" s="564">
        <v>17.349593495934958</v>
      </c>
      <c r="BB171" s="564">
        <v>24.042735042735043</v>
      </c>
      <c r="BC171" s="564">
        <v>13.542372881355933</v>
      </c>
      <c r="BD171" s="564">
        <v>24.703389830508474</v>
      </c>
      <c r="BE171" s="564">
        <v>14.362068965517242</v>
      </c>
      <c r="BF171" s="564">
        <v>20.025862068965516</v>
      </c>
      <c r="BG171" s="564">
        <v>12.575221238938052</v>
      </c>
      <c r="BH171" s="564">
        <v>11.675675675675675</v>
      </c>
      <c r="BI171" s="564">
        <v>11.568807339449542</v>
      </c>
      <c r="BJ171" s="564">
        <f t="shared" si="284"/>
        <v>193.86240224161952</v>
      </c>
      <c r="BK171" s="573">
        <f t="shared" si="285"/>
        <v>16.153854032298934</v>
      </c>
      <c r="BL171" s="716"/>
      <c r="BN171" s="322">
        <f t="shared" si="276"/>
        <v>8.5756491991915595E-2</v>
      </c>
      <c r="BO171" s="322">
        <f t="shared" si="275"/>
        <v>0.61453536082823135</v>
      </c>
      <c r="BP171" s="322">
        <f t="shared" si="286"/>
        <v>7.3905781839710869</v>
      </c>
      <c r="BQ171" s="322">
        <f t="shared" si="272"/>
        <v>-0.10686833622613356</v>
      </c>
      <c r="BR171">
        <f t="shared" si="273"/>
        <v>11.675675675675675</v>
      </c>
      <c r="BS171">
        <f t="shared" si="274"/>
        <v>11.568807339449542</v>
      </c>
    </row>
    <row r="172" spans="1:71" ht="18" thickBot="1" x14ac:dyDescent="0.6">
      <c r="A172" s="7223"/>
      <c r="B172" s="246"/>
      <c r="C172" s="179" t="s">
        <v>236</v>
      </c>
      <c r="D172" s="566">
        <v>15.166666666666666</v>
      </c>
      <c r="E172" s="566">
        <v>16.03</v>
      </c>
      <c r="F172" s="566">
        <v>16.787234042553191</v>
      </c>
      <c r="G172" s="566">
        <v>15.836734693877551</v>
      </c>
      <c r="H172" s="566">
        <v>14.586538461538462</v>
      </c>
      <c r="I172" s="566">
        <v>18.905263157894737</v>
      </c>
      <c r="J172" s="566">
        <v>15</v>
      </c>
      <c r="K172" s="566">
        <v>19.789473684210527</v>
      </c>
      <c r="L172" s="566">
        <v>13.252525252525253</v>
      </c>
      <c r="M172" s="566">
        <v>19.59433962264151</v>
      </c>
      <c r="N172" s="566">
        <v>12.716814159292035</v>
      </c>
      <c r="O172" s="566">
        <v>11.469565217391304</v>
      </c>
      <c r="P172" s="566">
        <f t="shared" si="278"/>
        <v>189.13515495859124</v>
      </c>
      <c r="Q172" s="575">
        <f t="shared" si="279"/>
        <v>15.761262913215937</v>
      </c>
      <c r="R172" s="370"/>
      <c r="S172" s="582">
        <v>12.064814814814815</v>
      </c>
      <c r="T172" s="566">
        <v>18.75</v>
      </c>
      <c r="U172" s="566">
        <v>15.049019607843137</v>
      </c>
      <c r="V172" s="566">
        <v>13.96</v>
      </c>
      <c r="W172" s="566">
        <v>16.2</v>
      </c>
      <c r="X172" s="566">
        <v>14.186274509803921</v>
      </c>
      <c r="Y172" s="566">
        <v>14.15625</v>
      </c>
      <c r="Z172" s="566">
        <v>21.567307692307693</v>
      </c>
      <c r="AA172" s="566">
        <v>10.89423076923077</v>
      </c>
      <c r="AB172" s="566">
        <v>19.398058252427184</v>
      </c>
      <c r="AC172" s="566">
        <v>13.311320754716981</v>
      </c>
      <c r="AD172" s="566">
        <v>11.895238095238096</v>
      </c>
      <c r="AE172" s="566">
        <f t="shared" si="280"/>
        <v>181.43251449638257</v>
      </c>
      <c r="AF172" s="575">
        <f t="shared" si="281"/>
        <v>15.119376208031881</v>
      </c>
      <c r="AG172" s="370"/>
      <c r="AH172" s="582">
        <v>19.925233644859812</v>
      </c>
      <c r="AI172" s="566">
        <v>13.815533980582524</v>
      </c>
      <c r="AJ172" s="566">
        <v>15.542857142857143</v>
      </c>
      <c r="AK172" s="566">
        <v>14.98076923076923</v>
      </c>
      <c r="AL172" s="566">
        <v>14.685714285714285</v>
      </c>
      <c r="AM172" s="566">
        <v>14.114285714285714</v>
      </c>
      <c r="AN172" s="566">
        <v>19.25</v>
      </c>
      <c r="AO172" s="566">
        <v>14.077586206896552</v>
      </c>
      <c r="AP172" s="566">
        <v>18.508620689655171</v>
      </c>
      <c r="AQ172" s="566">
        <v>13.581196581196581</v>
      </c>
      <c r="AR172" s="566">
        <v>12.947826086956521</v>
      </c>
      <c r="AS172" s="566">
        <v>11.315789473684211</v>
      </c>
      <c r="AT172" s="566">
        <f t="shared" si="282"/>
        <v>182.74541303745778</v>
      </c>
      <c r="AU172" s="575">
        <f t="shared" si="283"/>
        <v>15.228784419788148</v>
      </c>
      <c r="AX172" s="566">
        <v>10.409090909090908</v>
      </c>
      <c r="AY172" s="566">
        <v>22.192660550458715</v>
      </c>
      <c r="AZ172" s="566">
        <v>14.869565217391305</v>
      </c>
      <c r="BA172" s="566">
        <v>16.034782608695654</v>
      </c>
      <c r="BB172" s="566">
        <v>22.612612612612612</v>
      </c>
      <c r="BC172" s="566">
        <v>14.254545454545454</v>
      </c>
      <c r="BD172" s="566">
        <v>23.513513513513512</v>
      </c>
      <c r="BE172" s="566">
        <v>15.321100917431192</v>
      </c>
      <c r="BF172" s="566">
        <v>19.354545454545455</v>
      </c>
      <c r="BG172" s="566">
        <v>13.216216216216216</v>
      </c>
      <c r="BH172" s="566">
        <v>12.315315315315315</v>
      </c>
      <c r="BI172" s="566">
        <v>10.407079646017699</v>
      </c>
      <c r="BJ172" s="566">
        <f t="shared" si="284"/>
        <v>194.50102841583401</v>
      </c>
      <c r="BK172" s="575">
        <f t="shared" si="285"/>
        <v>16.2070684456157</v>
      </c>
      <c r="BL172" s="716"/>
      <c r="BN172" s="322">
        <f t="shared" si="276"/>
        <v>-0.90870982766651132</v>
      </c>
      <c r="BO172" s="322">
        <f t="shared" si="275"/>
        <v>0.97828402582755203</v>
      </c>
      <c r="BP172" s="322">
        <f t="shared" si="286"/>
        <v>11.755615378376234</v>
      </c>
      <c r="BQ172" s="322">
        <f t="shared" si="272"/>
        <v>-1.9082356692976159</v>
      </c>
      <c r="BR172">
        <f t="shared" si="273"/>
        <v>12.315315315315315</v>
      </c>
      <c r="BS172">
        <f t="shared" si="274"/>
        <v>10.407079646017699</v>
      </c>
    </row>
    <row r="173" spans="1:71" ht="6" customHeight="1" thickBot="1" x14ac:dyDescent="0.6"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70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  <c r="AD173" s="339"/>
      <c r="AE173" s="339"/>
      <c r="AF173" s="339"/>
      <c r="AG173" s="370"/>
      <c r="AH173" s="583"/>
      <c r="AI173" s="583"/>
      <c r="AJ173" s="583"/>
      <c r="AK173" s="583"/>
      <c r="AL173" s="583"/>
      <c r="AM173" s="339"/>
      <c r="AN173" s="339"/>
      <c r="AO173" s="339"/>
      <c r="AP173" s="339"/>
      <c r="AQ173" s="339"/>
      <c r="AR173" s="339"/>
      <c r="AS173" s="339"/>
      <c r="AT173" s="339"/>
      <c r="AU173" s="339"/>
      <c r="AX173" s="583"/>
      <c r="AY173" s="583"/>
      <c r="AZ173" s="583"/>
      <c r="BA173" s="583"/>
      <c r="BB173" s="583"/>
      <c r="BC173" s="339"/>
      <c r="BD173" s="339"/>
      <c r="BE173" s="339"/>
      <c r="BF173" s="339"/>
      <c r="BG173" s="339"/>
      <c r="BH173" s="339"/>
      <c r="BI173" s="339"/>
      <c r="BJ173" s="339"/>
      <c r="BK173" s="339"/>
      <c r="BN173" s="322">
        <f t="shared" si="276"/>
        <v>0</v>
      </c>
      <c r="BO173" s="322">
        <f t="shared" si="275"/>
        <v>0</v>
      </c>
      <c r="BP173" s="322">
        <f t="shared" si="286"/>
        <v>0</v>
      </c>
      <c r="BQ173" s="322">
        <f t="shared" si="272"/>
        <v>0</v>
      </c>
      <c r="BR173">
        <f t="shared" si="273"/>
        <v>0</v>
      </c>
      <c r="BS173">
        <f t="shared" si="274"/>
        <v>0</v>
      </c>
    </row>
    <row r="174" spans="1:71" x14ac:dyDescent="0.55000000000000004">
      <c r="A174" s="7221" t="s">
        <v>404</v>
      </c>
      <c r="B174" s="41" t="s">
        <v>259</v>
      </c>
      <c r="C174" s="16"/>
      <c r="D174" s="584">
        <v>14.658823529411764</v>
      </c>
      <c r="E174" s="585">
        <v>10.8671875</v>
      </c>
      <c r="F174" s="585">
        <v>10.879377431906615</v>
      </c>
      <c r="G174" s="585">
        <v>10.494252873563218</v>
      </c>
      <c r="H174" s="585">
        <v>10.698473282442748</v>
      </c>
      <c r="I174" s="585">
        <v>11.030888030888031</v>
      </c>
      <c r="J174" s="585">
        <v>9.8931297709923669</v>
      </c>
      <c r="K174" s="585">
        <v>11.815384615384616</v>
      </c>
      <c r="L174" s="585">
        <v>9.4503816793893129</v>
      </c>
      <c r="M174" s="585">
        <v>9.452107279693486</v>
      </c>
      <c r="N174" s="585">
        <v>10.655172413793103</v>
      </c>
      <c r="O174" s="585">
        <v>9.8125</v>
      </c>
      <c r="P174" s="585">
        <f t="shared" si="278"/>
        <v>129.70767840746527</v>
      </c>
      <c r="Q174" s="586">
        <f t="shared" si="279"/>
        <v>10.808973200622106</v>
      </c>
      <c r="R174" s="370"/>
      <c r="S174" s="584">
        <v>11.687258687258687</v>
      </c>
      <c r="T174" s="585">
        <v>13.436293436293436</v>
      </c>
      <c r="U174" s="585">
        <v>12.4251968503937</v>
      </c>
      <c r="V174" s="585">
        <v>12.813953488372093</v>
      </c>
      <c r="W174" s="585">
        <v>11.224806201550388</v>
      </c>
      <c r="X174" s="585">
        <v>11.404669260700389</v>
      </c>
      <c r="Y174" s="585">
        <v>9.3243243243243246</v>
      </c>
      <c r="Z174" s="585">
        <v>14.124513618677042</v>
      </c>
      <c r="AA174" s="585">
        <v>8.6536964980544742</v>
      </c>
      <c r="AB174" s="585">
        <v>10.631372549019607</v>
      </c>
      <c r="AC174" s="585">
        <v>9.8740157480314963</v>
      </c>
      <c r="AD174" s="585">
        <v>8.233201581027668</v>
      </c>
      <c r="AE174" s="585">
        <f t="shared" si="280"/>
        <v>133.83330224370329</v>
      </c>
      <c r="AF174" s="586">
        <f t="shared" si="281"/>
        <v>11.152775186975274</v>
      </c>
      <c r="AG174" s="370"/>
      <c r="AH174" s="2283">
        <v>14.114624505928854</v>
      </c>
      <c r="AI174" s="2284">
        <v>10.905882352941177</v>
      </c>
      <c r="AJ174" s="2284">
        <v>13.067729083665339</v>
      </c>
      <c r="AK174" s="2284">
        <v>13.546153846153846</v>
      </c>
      <c r="AL174" s="2284">
        <v>13.652671755725191</v>
      </c>
      <c r="AM174" s="2284">
        <v>11.616541353383459</v>
      </c>
      <c r="AN174" s="2284">
        <v>14.788104089219331</v>
      </c>
      <c r="AO174" s="2284">
        <v>11.377777777777778</v>
      </c>
      <c r="AP174" s="2284">
        <v>12.047970479704796</v>
      </c>
      <c r="AQ174" s="2284">
        <v>11.996323529411764</v>
      </c>
      <c r="AR174" s="2284">
        <v>12.007380073800737</v>
      </c>
      <c r="AS174" s="2284">
        <v>10.77490774907749</v>
      </c>
      <c r="AT174" s="585">
        <f t="shared" si="282"/>
        <v>149.89606659678978</v>
      </c>
      <c r="AU174" s="586">
        <f>SUM(AH174:AS174)/12</f>
        <v>12.491338883065815</v>
      </c>
      <c r="AV174" s="926"/>
      <c r="AX174" s="2284">
        <v>9.1654411764705888</v>
      </c>
      <c r="AY174" s="2284">
        <v>18.084558823529413</v>
      </c>
      <c r="AZ174" s="2284">
        <v>13.921933085501859</v>
      </c>
      <c r="BA174" s="2284">
        <v>16.874045801526716</v>
      </c>
      <c r="BB174" s="2284">
        <v>29.313953488372093</v>
      </c>
      <c r="BC174" s="2284">
        <v>15.910505836575876</v>
      </c>
      <c r="BD174" s="1033">
        <v>22.527559055118111</v>
      </c>
      <c r="BE174" s="585">
        <v>15.15748031496063</v>
      </c>
      <c r="BF174" s="585">
        <v>15.691699604743082</v>
      </c>
      <c r="BG174" s="585">
        <v>10.928853754940711</v>
      </c>
      <c r="BH174" s="585">
        <v>11.21031746031746</v>
      </c>
      <c r="BI174" s="585">
        <v>5.53392167677882</v>
      </c>
      <c r="BJ174" s="585">
        <f t="shared" ref="BJ174:BJ211" si="287">SUM(AX174:BI174)</f>
        <v>184.32027007883539</v>
      </c>
      <c r="BK174" s="586">
        <f t="shared" ref="BK174:BK211" si="288">SUM(AX174:BI174)/$A$1</f>
        <v>15.358742611352005</v>
      </c>
      <c r="BN174" s="322">
        <f t="shared" si="276"/>
        <v>-5.2409860722986705</v>
      </c>
      <c r="BO174" s="322">
        <f t="shared" si="275"/>
        <v>2.8674037282861899</v>
      </c>
      <c r="BP174" s="322">
        <f t="shared" si="286"/>
        <v>34.424203482045613</v>
      </c>
      <c r="BQ174" s="322">
        <f t="shared" si="272"/>
        <v>-5.6763957835386405</v>
      </c>
      <c r="BR174">
        <f t="shared" si="273"/>
        <v>11.21031746031746</v>
      </c>
      <c r="BS174">
        <f t="shared" si="274"/>
        <v>5.53392167677882</v>
      </c>
    </row>
    <row r="175" spans="1:71" x14ac:dyDescent="0.55000000000000004">
      <c r="A175" s="7222"/>
      <c r="B175" s="42"/>
      <c r="C175" s="35" t="s">
        <v>260</v>
      </c>
      <c r="D175" s="273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>
        <f t="shared" si="278"/>
        <v>0</v>
      </c>
      <c r="Q175" s="275">
        <f t="shared" si="279"/>
        <v>0</v>
      </c>
      <c r="R175" s="370"/>
      <c r="S175" s="273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  <c r="AE175" s="274">
        <f t="shared" si="280"/>
        <v>0</v>
      </c>
      <c r="AF175" s="275">
        <f t="shared" si="281"/>
        <v>0</v>
      </c>
      <c r="AG175" s="370"/>
      <c r="AH175" s="757"/>
      <c r="AI175" s="758"/>
      <c r="AJ175" s="758"/>
      <c r="AK175" s="758"/>
      <c r="AL175" s="758"/>
      <c r="AM175" s="274"/>
      <c r="AN175" s="1034"/>
      <c r="AO175" s="274"/>
      <c r="AP175" s="274"/>
      <c r="AQ175" s="274"/>
      <c r="AR175" s="274"/>
      <c r="AS175" s="274"/>
      <c r="AT175" s="274">
        <f t="shared" si="282"/>
        <v>0</v>
      </c>
      <c r="AU175" s="275">
        <f t="shared" ref="AU175:AU211" si="289">SUM(AH175:AS175)/12</f>
        <v>0</v>
      </c>
      <c r="AV175" s="926"/>
      <c r="AX175" s="274"/>
      <c r="AY175" s="758"/>
      <c r="AZ175" s="758"/>
      <c r="BA175" s="758"/>
      <c r="BB175" s="758"/>
      <c r="BC175" s="274"/>
      <c r="BD175" s="1034"/>
      <c r="BE175" s="274"/>
      <c r="BF175" s="274"/>
      <c r="BG175" s="274"/>
      <c r="BH175" s="274"/>
      <c r="BI175" s="274"/>
      <c r="BJ175" s="274">
        <f t="shared" si="287"/>
        <v>0</v>
      </c>
      <c r="BK175" s="275">
        <f t="shared" si="288"/>
        <v>0</v>
      </c>
      <c r="BN175" s="322">
        <f t="shared" si="276"/>
        <v>0</v>
      </c>
      <c r="BO175" s="322">
        <f t="shared" si="275"/>
        <v>0</v>
      </c>
      <c r="BP175" s="322">
        <f t="shared" si="286"/>
        <v>0</v>
      </c>
      <c r="BQ175" s="322">
        <f t="shared" si="272"/>
        <v>0</v>
      </c>
      <c r="BR175">
        <f t="shared" si="273"/>
        <v>0</v>
      </c>
      <c r="BS175">
        <f t="shared" si="274"/>
        <v>0</v>
      </c>
    </row>
    <row r="176" spans="1:71" x14ac:dyDescent="0.55000000000000004">
      <c r="A176" s="7222"/>
      <c r="B176" s="42"/>
      <c r="C176" s="35" t="s">
        <v>262</v>
      </c>
      <c r="D176" s="273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>
        <f t="shared" si="278"/>
        <v>0</v>
      </c>
      <c r="Q176" s="275">
        <f t="shared" si="279"/>
        <v>0</v>
      </c>
      <c r="R176" s="370"/>
      <c r="S176" s="273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>
        <f t="shared" si="280"/>
        <v>0</v>
      </c>
      <c r="AF176" s="275">
        <f t="shared" si="281"/>
        <v>0</v>
      </c>
      <c r="AG176" s="370"/>
      <c r="AH176" s="757"/>
      <c r="AI176" s="758"/>
      <c r="AJ176" s="758"/>
      <c r="AK176" s="758"/>
      <c r="AL176" s="758"/>
      <c r="AM176" s="274"/>
      <c r="AN176" s="1034"/>
      <c r="AO176" s="274"/>
      <c r="AP176" s="274"/>
      <c r="AQ176" s="274"/>
      <c r="AR176" s="274"/>
      <c r="AS176" s="274"/>
      <c r="AT176" s="274">
        <f t="shared" si="282"/>
        <v>0</v>
      </c>
      <c r="AU176" s="275">
        <f t="shared" si="289"/>
        <v>0</v>
      </c>
      <c r="AV176" s="926"/>
      <c r="AX176" s="274"/>
      <c r="AY176" s="758"/>
      <c r="AZ176" s="758"/>
      <c r="BA176" s="758"/>
      <c r="BB176" s="758"/>
      <c r="BC176" s="274"/>
      <c r="BD176" s="1034"/>
      <c r="BE176" s="274"/>
      <c r="BF176" s="274"/>
      <c r="BG176" s="274"/>
      <c r="BH176" s="274"/>
      <c r="BI176" s="274"/>
      <c r="BJ176" s="274">
        <f t="shared" si="287"/>
        <v>0</v>
      </c>
      <c r="BK176" s="275">
        <f t="shared" si="288"/>
        <v>0</v>
      </c>
      <c r="BN176" s="322">
        <f t="shared" si="276"/>
        <v>0</v>
      </c>
      <c r="BO176" s="322">
        <f t="shared" si="275"/>
        <v>0</v>
      </c>
      <c r="BP176" s="322">
        <f t="shared" si="286"/>
        <v>0</v>
      </c>
      <c r="BQ176" s="322">
        <f t="shared" si="272"/>
        <v>0</v>
      </c>
      <c r="BR176">
        <f t="shared" si="273"/>
        <v>0</v>
      </c>
      <c r="BS176">
        <f t="shared" si="274"/>
        <v>0</v>
      </c>
    </row>
    <row r="177" spans="1:71" x14ac:dyDescent="0.55000000000000004">
      <c r="A177" s="7222"/>
      <c r="B177" s="42"/>
      <c r="C177" s="35" t="s">
        <v>261</v>
      </c>
      <c r="D177" s="273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>
        <f t="shared" si="278"/>
        <v>0</v>
      </c>
      <c r="Q177" s="275">
        <f t="shared" si="279"/>
        <v>0</v>
      </c>
      <c r="R177" s="370"/>
      <c r="S177" s="273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>
        <f t="shared" si="280"/>
        <v>0</v>
      </c>
      <c r="AF177" s="275">
        <f t="shared" si="281"/>
        <v>0</v>
      </c>
      <c r="AG177" s="370"/>
      <c r="AH177" s="757"/>
      <c r="AI177" s="758"/>
      <c r="AJ177" s="758"/>
      <c r="AK177" s="758"/>
      <c r="AL177" s="758"/>
      <c r="AM177" s="274"/>
      <c r="AN177" s="1034"/>
      <c r="AO177" s="274"/>
      <c r="AP177" s="274"/>
      <c r="AQ177" s="274"/>
      <c r="AR177" s="274"/>
      <c r="AS177" s="274"/>
      <c r="AT177" s="274">
        <f t="shared" si="282"/>
        <v>0</v>
      </c>
      <c r="AU177" s="275">
        <f t="shared" si="289"/>
        <v>0</v>
      </c>
      <c r="AV177" s="926"/>
      <c r="AX177" s="274"/>
      <c r="AY177" s="758"/>
      <c r="AZ177" s="758"/>
      <c r="BA177" s="758"/>
      <c r="BB177" s="758"/>
      <c r="BC177" s="274"/>
      <c r="BD177" s="1034"/>
      <c r="BE177" s="274"/>
      <c r="BF177" s="274"/>
      <c r="BG177" s="274"/>
      <c r="BH177" s="274"/>
      <c r="BI177" s="274"/>
      <c r="BJ177" s="274">
        <f t="shared" si="287"/>
        <v>0</v>
      </c>
      <c r="BK177" s="275">
        <f t="shared" si="288"/>
        <v>0</v>
      </c>
      <c r="BN177" s="322">
        <f t="shared" si="276"/>
        <v>0</v>
      </c>
      <c r="BO177" s="322">
        <f t="shared" si="275"/>
        <v>0</v>
      </c>
      <c r="BP177" s="322">
        <f t="shared" si="286"/>
        <v>0</v>
      </c>
      <c r="BQ177" s="322">
        <f t="shared" si="272"/>
        <v>0</v>
      </c>
      <c r="BR177">
        <f t="shared" si="273"/>
        <v>0</v>
      </c>
      <c r="BS177">
        <f t="shared" si="274"/>
        <v>0</v>
      </c>
    </row>
    <row r="178" spans="1:71" x14ac:dyDescent="0.55000000000000004">
      <c r="A178" s="7222"/>
      <c r="B178" s="243" t="s">
        <v>222</v>
      </c>
      <c r="C178" s="107"/>
      <c r="D178" s="576">
        <v>13.023809523809524</v>
      </c>
      <c r="E178" s="567">
        <v>9.9534883720930232</v>
      </c>
      <c r="F178" s="567">
        <v>9.3720930232558146</v>
      </c>
      <c r="G178" s="567">
        <v>8.8000000000000007</v>
      </c>
      <c r="H178" s="567">
        <v>9.1999999999999993</v>
      </c>
      <c r="I178" s="567">
        <v>10.883720930232558</v>
      </c>
      <c r="J178" s="567">
        <v>9.5777777777777775</v>
      </c>
      <c r="K178" s="567">
        <v>10.772727272727273</v>
      </c>
      <c r="L178" s="567">
        <v>8.6</v>
      </c>
      <c r="M178" s="567">
        <v>7.1590909090909092</v>
      </c>
      <c r="N178" s="567">
        <v>8.6590909090909083</v>
      </c>
      <c r="O178" s="567">
        <v>8.0930232558139537</v>
      </c>
      <c r="P178" s="567">
        <f t="shared" si="278"/>
        <v>114.09482197389175</v>
      </c>
      <c r="Q178" s="465">
        <f t="shared" si="279"/>
        <v>9.5079018311576462</v>
      </c>
      <c r="R178" s="370"/>
      <c r="S178" s="576">
        <v>9.4222222222222225</v>
      </c>
      <c r="T178" s="567">
        <v>10.71111111111111</v>
      </c>
      <c r="U178" s="567">
        <v>10.857142857142858</v>
      </c>
      <c r="V178" s="567">
        <v>11.954545454545455</v>
      </c>
      <c r="W178" s="567">
        <v>9.25</v>
      </c>
      <c r="X178" s="567">
        <v>9.4418604651162799</v>
      </c>
      <c r="Y178" s="567">
        <v>7.6956521739130439</v>
      </c>
      <c r="Z178" s="567">
        <v>10.782608695652174</v>
      </c>
      <c r="AA178" s="567">
        <v>5.8913043478260869</v>
      </c>
      <c r="AB178" s="567">
        <v>7.5777777777777775</v>
      </c>
      <c r="AC178" s="567">
        <v>6.3111111111111109</v>
      </c>
      <c r="AD178" s="567">
        <v>5.8837209302325579</v>
      </c>
      <c r="AE178" s="567">
        <f t="shared" si="280"/>
        <v>105.77905714665069</v>
      </c>
      <c r="AF178" s="465">
        <f t="shared" si="281"/>
        <v>8.8149214288875566</v>
      </c>
      <c r="AG178" s="370"/>
      <c r="AH178" s="2288">
        <v>9.6976744186046506</v>
      </c>
      <c r="AI178" s="2285">
        <v>7.6521739130434785</v>
      </c>
      <c r="AJ178" s="2285">
        <v>9.2857142857142865</v>
      </c>
      <c r="AK178" s="2285">
        <v>10.591836734693878</v>
      </c>
      <c r="AL178" s="2285">
        <v>10.081632653061224</v>
      </c>
      <c r="AM178" s="2285">
        <v>9.5294117647058822</v>
      </c>
      <c r="AN178" s="2285">
        <v>12.288461538461538</v>
      </c>
      <c r="AO178" s="2285">
        <v>10.057692307692308</v>
      </c>
      <c r="AP178" s="2285">
        <v>9.9615384615384617</v>
      </c>
      <c r="AQ178" s="2285">
        <v>8.7547169811320753</v>
      </c>
      <c r="AR178" s="2285">
        <v>9.8301886792452837</v>
      </c>
      <c r="AS178" s="2285">
        <v>8.7358490566037741</v>
      </c>
      <c r="AT178" s="567">
        <f t="shared" si="282"/>
        <v>116.46689079449683</v>
      </c>
      <c r="AU178" s="465">
        <f t="shared" si="289"/>
        <v>9.7055742328747368</v>
      </c>
      <c r="AV178" s="926"/>
      <c r="AX178" s="2285">
        <v>7.1851851851851851</v>
      </c>
      <c r="AY178" s="2285">
        <v>13.888888888888889</v>
      </c>
      <c r="AZ178" s="2285">
        <v>10.60377358490566</v>
      </c>
      <c r="BA178" s="2285">
        <v>13.78</v>
      </c>
      <c r="BB178" s="2285">
        <v>26.72</v>
      </c>
      <c r="BC178" s="2285">
        <v>12.84</v>
      </c>
      <c r="BD178" s="567">
        <v>18.653061224489797</v>
      </c>
      <c r="BE178" s="567">
        <v>11.428571428571429</v>
      </c>
      <c r="BF178" s="567">
        <v>11.693877551020408</v>
      </c>
      <c r="BG178" s="567">
        <v>7.7142857142857144</v>
      </c>
      <c r="BH178" s="567">
        <v>9.5510204081632661</v>
      </c>
      <c r="BI178" s="567">
        <v>8.48</v>
      </c>
      <c r="BJ178" s="567">
        <f t="shared" si="287"/>
        <v>152.53866398551034</v>
      </c>
      <c r="BK178" s="465">
        <f t="shared" si="288"/>
        <v>12.710496124115519</v>
      </c>
      <c r="BN178" s="322">
        <f t="shared" si="276"/>
        <v>-0.25584905660377366</v>
      </c>
      <c r="BO178" s="322">
        <f t="shared" si="275"/>
        <v>3.004921891240782</v>
      </c>
      <c r="BP178" s="322">
        <f t="shared" si="286"/>
        <v>36.071773191013506</v>
      </c>
      <c r="BQ178" s="322">
        <f t="shared" si="272"/>
        <v>-1.0710204081632657</v>
      </c>
      <c r="BR178">
        <f t="shared" si="273"/>
        <v>9.5510204081632661</v>
      </c>
      <c r="BS178">
        <f t="shared" si="274"/>
        <v>8.48</v>
      </c>
    </row>
    <row r="179" spans="1:71" x14ac:dyDescent="0.55000000000000004">
      <c r="A179" s="7222"/>
      <c r="B179" s="235" t="s">
        <v>223</v>
      </c>
      <c r="C179" s="14"/>
      <c r="D179" s="577">
        <v>15.44186046511628</v>
      </c>
      <c r="E179" s="568">
        <v>10.30952380952381</v>
      </c>
      <c r="F179" s="568">
        <v>10.738095238095237</v>
      </c>
      <c r="G179" s="568">
        <v>11.333333333333334</v>
      </c>
      <c r="H179" s="568">
        <v>10.595238095238095</v>
      </c>
      <c r="I179" s="568">
        <v>10.880952380952381</v>
      </c>
      <c r="J179" s="568">
        <v>10.428571428571429</v>
      </c>
      <c r="K179" s="568">
        <v>10.619047619047619</v>
      </c>
      <c r="L179" s="568">
        <v>10.511627906976743</v>
      </c>
      <c r="M179" s="568">
        <v>9.3488372093023262</v>
      </c>
      <c r="N179" s="568">
        <v>9.3720930232558146</v>
      </c>
      <c r="O179" s="568">
        <v>10.048780487804878</v>
      </c>
      <c r="P179" s="568">
        <f t="shared" si="278"/>
        <v>129.62796099721797</v>
      </c>
      <c r="Q179" s="569">
        <f t="shared" si="279"/>
        <v>10.802330083101497</v>
      </c>
      <c r="R179" s="370"/>
      <c r="S179" s="577">
        <v>12.560975609756097</v>
      </c>
      <c r="T179" s="568">
        <v>14.75609756097561</v>
      </c>
      <c r="U179" s="568">
        <v>14.146341463414634</v>
      </c>
      <c r="V179" s="568">
        <v>14.023809523809524</v>
      </c>
      <c r="W179" s="568">
        <v>12.738095238095237</v>
      </c>
      <c r="X179" s="568">
        <v>12.19047619047619</v>
      </c>
      <c r="Y179" s="568">
        <v>10.19047619047619</v>
      </c>
      <c r="Z179" s="568">
        <v>14.952380952380953</v>
      </c>
      <c r="AA179" s="568">
        <v>8.6666666666666661</v>
      </c>
      <c r="AB179" s="568">
        <v>12.166666666666666</v>
      </c>
      <c r="AC179" s="568">
        <v>9.7560975609756095</v>
      </c>
      <c r="AD179" s="568">
        <v>8.7142857142857135</v>
      </c>
      <c r="AE179" s="568">
        <f t="shared" si="280"/>
        <v>144.86236933797912</v>
      </c>
      <c r="AF179" s="569">
        <f t="shared" si="281"/>
        <v>12.071864111498259</v>
      </c>
      <c r="AG179" s="370"/>
      <c r="AH179" s="2289">
        <v>15.333333333333334</v>
      </c>
      <c r="AI179" s="2286">
        <v>11.119047619047619</v>
      </c>
      <c r="AJ179" s="2286">
        <v>12.738095238095237</v>
      </c>
      <c r="AK179" s="2286">
        <v>13.761904761904763</v>
      </c>
      <c r="AL179" s="2286">
        <v>14.209302325581396</v>
      </c>
      <c r="AM179" s="2286">
        <v>11.767441860465116</v>
      </c>
      <c r="AN179" s="2286">
        <v>15.4</v>
      </c>
      <c r="AO179" s="2286">
        <v>11.222222222222221</v>
      </c>
      <c r="AP179" s="2286">
        <v>11.066666666666666</v>
      </c>
      <c r="AQ179" s="2286">
        <v>11.133333333333333</v>
      </c>
      <c r="AR179" s="2286">
        <v>12.844444444444445</v>
      </c>
      <c r="AS179" s="2286">
        <v>11.4</v>
      </c>
      <c r="AT179" s="568">
        <f t="shared" si="282"/>
        <v>151.99579180509411</v>
      </c>
      <c r="AU179" s="569">
        <f t="shared" si="289"/>
        <v>12.666315983757842</v>
      </c>
      <c r="AV179" s="926"/>
      <c r="AX179" s="2286">
        <v>11.088888888888889</v>
      </c>
      <c r="AY179" s="2286">
        <v>20.444444444444443</v>
      </c>
      <c r="AZ179" s="2286">
        <v>15.133333333333333</v>
      </c>
      <c r="BA179" s="2286">
        <v>16.155555555555555</v>
      </c>
      <c r="BB179" s="2286">
        <v>33.325581395348834</v>
      </c>
      <c r="BC179" s="2286">
        <v>15.738095238095237</v>
      </c>
      <c r="BD179" s="568">
        <v>21.285714285714285</v>
      </c>
      <c r="BE179" s="568">
        <v>15.833333333333334</v>
      </c>
      <c r="BF179" s="568">
        <v>18.902439024390244</v>
      </c>
      <c r="BG179" s="568">
        <v>11.951219512195122</v>
      </c>
      <c r="BH179" s="568">
        <v>11.268292682926829</v>
      </c>
      <c r="BI179" s="568">
        <v>12.341463414634147</v>
      </c>
      <c r="BJ179" s="568">
        <f t="shared" si="287"/>
        <v>203.46836110886028</v>
      </c>
      <c r="BK179" s="569">
        <f t="shared" si="288"/>
        <v>16.954283902079851</v>
      </c>
      <c r="BN179" s="322">
        <f t="shared" si="276"/>
        <v>0.94146341463414629</v>
      </c>
      <c r="BO179" s="322">
        <f t="shared" si="275"/>
        <v>4.2879679183220087</v>
      </c>
      <c r="BP179" s="322">
        <f t="shared" si="286"/>
        <v>51.472569303766164</v>
      </c>
      <c r="BQ179" s="322">
        <f t="shared" si="272"/>
        <v>1.073170731707318</v>
      </c>
      <c r="BR179">
        <f t="shared" si="273"/>
        <v>11.268292682926829</v>
      </c>
      <c r="BS179">
        <f t="shared" si="274"/>
        <v>12.341463414634147</v>
      </c>
    </row>
    <row r="180" spans="1:71" x14ac:dyDescent="0.55000000000000004">
      <c r="A180" s="7222"/>
      <c r="B180" s="235" t="s">
        <v>224</v>
      </c>
      <c r="C180" s="14"/>
      <c r="D180" s="577">
        <v>15.48076923076923</v>
      </c>
      <c r="E180" s="568">
        <v>11.173076923076923</v>
      </c>
      <c r="F180" s="568">
        <v>12.461538461538462</v>
      </c>
      <c r="G180" s="568">
        <v>12.23076923076923</v>
      </c>
      <c r="H180" s="568">
        <v>11.692307692307692</v>
      </c>
      <c r="I180" s="568">
        <v>11.23076923076923</v>
      </c>
      <c r="J180" s="568">
        <v>10.39622641509434</v>
      </c>
      <c r="K180" s="568">
        <v>12.943396226415095</v>
      </c>
      <c r="L180" s="568">
        <v>11.452830188679245</v>
      </c>
      <c r="M180" s="568">
        <v>11.692307692307692</v>
      </c>
      <c r="N180" s="568">
        <v>13.615384615384615</v>
      </c>
      <c r="O180" s="568">
        <v>11.96078431372549</v>
      </c>
      <c r="P180" s="568">
        <f t="shared" si="278"/>
        <v>146.33016022083726</v>
      </c>
      <c r="Q180" s="569">
        <f t="shared" si="279"/>
        <v>12.194180018403104</v>
      </c>
      <c r="R180" s="370"/>
      <c r="S180" s="577">
        <v>13.941176470588236</v>
      </c>
      <c r="T180" s="568">
        <v>14.254901960784315</v>
      </c>
      <c r="U180" s="568">
        <v>14.058823529411764</v>
      </c>
      <c r="V180" s="568">
        <v>14.346153846153847</v>
      </c>
      <c r="W180" s="568">
        <v>12.75</v>
      </c>
      <c r="X180" s="568">
        <v>12.51923076923077</v>
      </c>
      <c r="Y180" s="568">
        <v>10.23076923076923</v>
      </c>
      <c r="Z180" s="568">
        <v>17.392156862745097</v>
      </c>
      <c r="AA180" s="568">
        <v>10.490196078431373</v>
      </c>
      <c r="AB180" s="568">
        <v>12.254901960784315</v>
      </c>
      <c r="AC180" s="568">
        <v>13.411764705882353</v>
      </c>
      <c r="AD180" s="568">
        <v>9.1764705882352935</v>
      </c>
      <c r="AE180" s="568">
        <f t="shared" si="280"/>
        <v>154.82654600301657</v>
      </c>
      <c r="AF180" s="569">
        <f t="shared" si="281"/>
        <v>12.902212166918048</v>
      </c>
      <c r="AG180" s="370"/>
      <c r="AH180" s="2289">
        <v>16.96078431372549</v>
      </c>
      <c r="AI180" s="2286">
        <v>14.117647058823529</v>
      </c>
      <c r="AJ180" s="2286">
        <v>14.372549019607844</v>
      </c>
      <c r="AK180" s="2286">
        <v>14.98076923076923</v>
      </c>
      <c r="AL180" s="2286">
        <v>16.51923076923077</v>
      </c>
      <c r="AM180" s="2286">
        <v>11.833333333333334</v>
      </c>
      <c r="AN180" s="2286">
        <v>16.622641509433961</v>
      </c>
      <c r="AO180" s="2286">
        <v>13.236363636363636</v>
      </c>
      <c r="AP180" s="2286">
        <v>14.945454545454545</v>
      </c>
      <c r="AQ180" s="2286">
        <v>14.818181818181818</v>
      </c>
      <c r="AR180" s="2286">
        <v>13.872727272727273</v>
      </c>
      <c r="AS180" s="2286">
        <v>13.2</v>
      </c>
      <c r="AT180" s="568">
        <f t="shared" si="282"/>
        <v>175.4796825076514</v>
      </c>
      <c r="AU180" s="569">
        <f t="shared" si="289"/>
        <v>14.623306875637617</v>
      </c>
      <c r="AV180" s="926"/>
      <c r="AX180" s="2286">
        <v>10.625</v>
      </c>
      <c r="AY180" s="2286">
        <v>20.696428571428573</v>
      </c>
      <c r="AZ180" s="2286">
        <v>15.236363636363636</v>
      </c>
      <c r="BA180" s="2286">
        <v>19.320754716981131</v>
      </c>
      <c r="BB180" s="2286">
        <v>33.301886792452834</v>
      </c>
      <c r="BC180" s="2286">
        <v>18.849056603773583</v>
      </c>
      <c r="BD180" s="568">
        <v>26.192307692307693</v>
      </c>
      <c r="BE180" s="568">
        <v>17.653846153846153</v>
      </c>
      <c r="BF180" s="568">
        <v>18.865384615384617</v>
      </c>
      <c r="BG180" s="568">
        <v>12.461538461538462</v>
      </c>
      <c r="BH180" s="568">
        <v>13.980392156862745</v>
      </c>
      <c r="BI180" s="568">
        <v>13.568627450980392</v>
      </c>
      <c r="BJ180" s="568">
        <f t="shared" si="287"/>
        <v>220.75158685191982</v>
      </c>
      <c r="BK180" s="569">
        <f t="shared" si="288"/>
        <v>18.39443270160152</v>
      </c>
      <c r="BN180" s="322">
        <f t="shared" si="276"/>
        <v>0.36862745098039262</v>
      </c>
      <c r="BO180" s="322">
        <f t="shared" si="275"/>
        <v>3.7711258259639031</v>
      </c>
      <c r="BP180" s="322">
        <f t="shared" si="286"/>
        <v>45.271904344268421</v>
      </c>
      <c r="BQ180" s="322">
        <f t="shared" si="272"/>
        <v>-0.41176470588235325</v>
      </c>
      <c r="BR180">
        <f t="shared" si="273"/>
        <v>13.980392156862745</v>
      </c>
      <c r="BS180">
        <f t="shared" si="274"/>
        <v>13.568627450980392</v>
      </c>
    </row>
    <row r="181" spans="1:71" x14ac:dyDescent="0.55000000000000004">
      <c r="A181" s="7222"/>
      <c r="B181" s="235" t="s">
        <v>225</v>
      </c>
      <c r="C181" s="14"/>
      <c r="D181" s="577">
        <v>16.295081967213115</v>
      </c>
      <c r="E181" s="568">
        <v>13.096774193548388</v>
      </c>
      <c r="F181" s="568">
        <v>12.301587301587302</v>
      </c>
      <c r="G181" s="568">
        <v>11.671875</v>
      </c>
      <c r="H181" s="568">
        <v>12.246153846153845</v>
      </c>
      <c r="I181" s="568">
        <v>12.984615384615385</v>
      </c>
      <c r="J181" s="568">
        <v>10.36923076923077</v>
      </c>
      <c r="K181" s="568">
        <v>13.734375</v>
      </c>
      <c r="L181" s="568">
        <v>9.546875</v>
      </c>
      <c r="M181" s="568">
        <v>10.261538461538462</v>
      </c>
      <c r="N181" s="568">
        <v>11.63076923076923</v>
      </c>
      <c r="O181" s="568">
        <v>11</v>
      </c>
      <c r="P181" s="568">
        <f t="shared" si="278"/>
        <v>145.13887615465649</v>
      </c>
      <c r="Q181" s="569">
        <f t="shared" si="279"/>
        <v>12.094906346221373</v>
      </c>
      <c r="R181" s="370"/>
      <c r="S181" s="577">
        <v>12.876923076923077</v>
      </c>
      <c r="T181" s="568">
        <v>16.692307692307693</v>
      </c>
      <c r="U181" s="568">
        <v>14.412698412698413</v>
      </c>
      <c r="V181" s="568">
        <v>13.8125</v>
      </c>
      <c r="W181" s="568">
        <v>12.96875</v>
      </c>
      <c r="X181" s="568">
        <v>13.71875</v>
      </c>
      <c r="Y181" s="568">
        <v>10.269841269841271</v>
      </c>
      <c r="Z181" s="568">
        <v>15.935483870967742</v>
      </c>
      <c r="AA181" s="568">
        <v>9.9032258064516121</v>
      </c>
      <c r="AB181" s="568">
        <v>11.5</v>
      </c>
      <c r="AC181" s="568">
        <v>11.590163934426229</v>
      </c>
      <c r="AD181" s="568">
        <v>9.8688524590163933</v>
      </c>
      <c r="AE181" s="568">
        <f t="shared" si="280"/>
        <v>153.54949652263244</v>
      </c>
      <c r="AF181" s="569">
        <f t="shared" si="281"/>
        <v>12.795791376886037</v>
      </c>
      <c r="AG181" s="370"/>
      <c r="AH181" s="2289">
        <v>16.655737704918032</v>
      </c>
      <c r="AI181" s="2286">
        <v>13.316666666666666</v>
      </c>
      <c r="AJ181" s="2286">
        <v>15.966666666666667</v>
      </c>
      <c r="AK181" s="2286">
        <v>16.475409836065573</v>
      </c>
      <c r="AL181" s="2286">
        <v>16.45</v>
      </c>
      <c r="AM181" s="2286">
        <v>14.377049180327869</v>
      </c>
      <c r="AN181" s="2286">
        <v>18.262295081967213</v>
      </c>
      <c r="AO181" s="2286">
        <v>13.2</v>
      </c>
      <c r="AP181" s="2286">
        <v>13.95</v>
      </c>
      <c r="AQ181" s="2286">
        <v>15.883333333333333</v>
      </c>
      <c r="AR181" s="2286">
        <v>14.338983050847459</v>
      </c>
      <c r="AS181" s="2286">
        <v>12.583333333333334</v>
      </c>
      <c r="AT181" s="568">
        <f t="shared" si="282"/>
        <v>181.45947485412614</v>
      </c>
      <c r="AU181" s="569">
        <f t="shared" si="289"/>
        <v>15.121622904510511</v>
      </c>
      <c r="AV181" s="926"/>
      <c r="AX181" s="2286">
        <v>9.9491525423728806</v>
      </c>
      <c r="AY181" s="2286">
        <v>20.64406779661017</v>
      </c>
      <c r="AZ181" s="2286">
        <v>16.224137931034484</v>
      </c>
      <c r="BA181" s="2286">
        <v>22.666666666666668</v>
      </c>
      <c r="BB181" s="2286">
        <v>31.894736842105264</v>
      </c>
      <c r="BC181" s="2286">
        <v>19.456140350877192</v>
      </c>
      <c r="BD181" s="568">
        <v>27.561403508771932</v>
      </c>
      <c r="BE181" s="568">
        <v>18.105263157894736</v>
      </c>
      <c r="BF181" s="568">
        <v>17.807017543859651</v>
      </c>
      <c r="BG181" s="568">
        <v>13.245614035087719</v>
      </c>
      <c r="BH181" s="568">
        <v>12.228070175438596</v>
      </c>
      <c r="BI181" s="568">
        <v>10.719298245614034</v>
      </c>
      <c r="BJ181" s="568">
        <f t="shared" si="287"/>
        <v>220.50156879633334</v>
      </c>
      <c r="BK181" s="569">
        <f t="shared" si="288"/>
        <v>18.373599599727804</v>
      </c>
      <c r="BN181" s="322">
        <f t="shared" si="276"/>
        <v>-1.8640350877192997</v>
      </c>
      <c r="BO181" s="322">
        <f t="shared" si="275"/>
        <v>3.2519766952172926</v>
      </c>
      <c r="BP181" s="322">
        <f t="shared" si="286"/>
        <v>39.042093942207202</v>
      </c>
      <c r="BQ181" s="322">
        <f t="shared" si="272"/>
        <v>-1.5087719298245617</v>
      </c>
      <c r="BR181">
        <f t="shared" si="273"/>
        <v>12.228070175438596</v>
      </c>
      <c r="BS181">
        <f t="shared" si="274"/>
        <v>10.719298245614034</v>
      </c>
    </row>
    <row r="182" spans="1:71" x14ac:dyDescent="0.55000000000000004">
      <c r="A182" s="7222"/>
      <c r="B182" s="236" t="s">
        <v>226</v>
      </c>
      <c r="C182" s="29"/>
      <c r="D182" s="578">
        <v>12.771929824561404</v>
      </c>
      <c r="E182" s="570">
        <v>9.2631578947368425</v>
      </c>
      <c r="F182" s="570">
        <v>9.1052631578947363</v>
      </c>
      <c r="G182" s="570">
        <v>8.3448275862068968</v>
      </c>
      <c r="H182" s="570">
        <v>9.3103448275862064</v>
      </c>
      <c r="I182" s="570">
        <v>8.8421052631578956</v>
      </c>
      <c r="J182" s="570">
        <v>8.7368421052631575</v>
      </c>
      <c r="K182" s="570">
        <v>10.298245614035087</v>
      </c>
      <c r="L182" s="570">
        <v>7.3508771929824563</v>
      </c>
      <c r="M182" s="570">
        <v>8.3333333333333339</v>
      </c>
      <c r="N182" s="570">
        <v>9.3508771929824555</v>
      </c>
      <c r="O182" s="570">
        <v>7.6842105263157894</v>
      </c>
      <c r="P182" s="570">
        <f t="shared" si="278"/>
        <v>109.39201451905625</v>
      </c>
      <c r="Q182" s="571">
        <f t="shared" si="279"/>
        <v>9.1160012099213539</v>
      </c>
      <c r="R182" s="370"/>
      <c r="S182" s="578">
        <v>9.473684210526315</v>
      </c>
      <c r="T182" s="570">
        <v>10.192982456140351</v>
      </c>
      <c r="U182" s="570">
        <v>8.6842105263157894</v>
      </c>
      <c r="V182" s="570">
        <v>10.017857142857142</v>
      </c>
      <c r="W182" s="570">
        <v>8.2321428571428577</v>
      </c>
      <c r="X182" s="570">
        <v>8.6428571428571423</v>
      </c>
      <c r="Y182" s="570">
        <v>8.1071428571428577</v>
      </c>
      <c r="Z182" s="570">
        <v>11.267857142857142</v>
      </c>
      <c r="AA182" s="570">
        <v>7.8571428571428568</v>
      </c>
      <c r="AB182" s="570">
        <v>9.4727272727272727</v>
      </c>
      <c r="AC182" s="570">
        <v>7.7321428571428568</v>
      </c>
      <c r="AD182" s="570">
        <v>7.0357142857142856</v>
      </c>
      <c r="AE182" s="570">
        <f t="shared" si="280"/>
        <v>106.71646160856687</v>
      </c>
      <c r="AF182" s="571">
        <f t="shared" si="281"/>
        <v>8.8930384673805722</v>
      </c>
      <c r="AG182" s="370"/>
      <c r="AH182" s="2290">
        <v>11.232142857142858</v>
      </c>
      <c r="AI182" s="2287">
        <v>7.9107142857142856</v>
      </c>
      <c r="AJ182" s="2287">
        <v>11.857142857142858</v>
      </c>
      <c r="AK182" s="2287">
        <v>11.446428571428571</v>
      </c>
      <c r="AL182" s="2287">
        <v>10.793103448275861</v>
      </c>
      <c r="AM182" s="2287">
        <v>10.210526315789474</v>
      </c>
      <c r="AN182" s="2287">
        <v>11.224137931034482</v>
      </c>
      <c r="AO182" s="2287">
        <v>9.0344827586206904</v>
      </c>
      <c r="AP182" s="2287">
        <v>10</v>
      </c>
      <c r="AQ182" s="2287">
        <v>8.9830508474576263</v>
      </c>
      <c r="AR182" s="2287">
        <v>9.2542372881355934</v>
      </c>
      <c r="AS182" s="2287">
        <v>7.9827586206896548</v>
      </c>
      <c r="AT182" s="570">
        <f t="shared" si="282"/>
        <v>119.92872578143196</v>
      </c>
      <c r="AU182" s="571">
        <f t="shared" si="289"/>
        <v>9.994060481785997</v>
      </c>
      <c r="AV182" s="926"/>
      <c r="AX182" s="2287">
        <v>7.3103448275862073</v>
      </c>
      <c r="AY182" s="2287">
        <v>15.03448275862069</v>
      </c>
      <c r="AZ182" s="2287">
        <v>12.46551724137931</v>
      </c>
      <c r="BA182" s="2287">
        <v>12.087719298245615</v>
      </c>
      <c r="BB182" s="2287">
        <v>22.018181818181819</v>
      </c>
      <c r="BC182" s="2287">
        <v>12.327272727272728</v>
      </c>
      <c r="BD182" s="570">
        <v>18.166666666666668</v>
      </c>
      <c r="BE182" s="570">
        <v>12.5</v>
      </c>
      <c r="BF182" s="570">
        <v>11.592592592592593</v>
      </c>
      <c r="BG182" s="570">
        <v>9.1481481481481488</v>
      </c>
      <c r="BH182" s="570">
        <v>8.981481481481481</v>
      </c>
      <c r="BI182" s="570">
        <v>8.3703703703703702</v>
      </c>
      <c r="BJ182" s="570">
        <f t="shared" si="287"/>
        <v>150.00277793054562</v>
      </c>
      <c r="BK182" s="571">
        <f t="shared" si="288"/>
        <v>12.499189895054215</v>
      </c>
      <c r="BN182" s="322">
        <f t="shared" si="276"/>
        <v>0.38761174968071543</v>
      </c>
      <c r="BO182" s="322">
        <f t="shared" si="275"/>
        <v>2.505129413268218</v>
      </c>
      <c r="BP182" s="322">
        <f t="shared" si="286"/>
        <v>30.074052149113655</v>
      </c>
      <c r="BQ182" s="322">
        <f t="shared" si="272"/>
        <v>-0.61111111111111072</v>
      </c>
      <c r="BR182">
        <f t="shared" si="273"/>
        <v>8.981481481481481</v>
      </c>
      <c r="BS182">
        <f t="shared" si="274"/>
        <v>8.3703703703703702</v>
      </c>
    </row>
    <row r="183" spans="1:71" x14ac:dyDescent="0.55000000000000004">
      <c r="A183" s="7222"/>
      <c r="B183" s="244"/>
      <c r="C183" s="176" t="s">
        <v>227</v>
      </c>
      <c r="D183" s="563">
        <v>14.944444444444445</v>
      </c>
      <c r="E183" s="563">
        <v>11.333333333333334</v>
      </c>
      <c r="F183" s="563">
        <v>10.722222222222221</v>
      </c>
      <c r="G183" s="563">
        <v>9.4499999999999993</v>
      </c>
      <c r="H183" s="563">
        <v>8.6</v>
      </c>
      <c r="I183" s="563">
        <v>11.947368421052632</v>
      </c>
      <c r="J183" s="563">
        <v>11.35</v>
      </c>
      <c r="K183" s="563">
        <v>11.473684210526315</v>
      </c>
      <c r="L183" s="563">
        <v>10.35</v>
      </c>
      <c r="M183" s="563">
        <v>7</v>
      </c>
      <c r="N183" s="563">
        <v>7.55</v>
      </c>
      <c r="O183" s="563">
        <v>7.65</v>
      </c>
      <c r="P183" s="563">
        <f t="shared" si="278"/>
        <v>122.37105263157895</v>
      </c>
      <c r="Q183" s="572">
        <f t="shared" si="279"/>
        <v>10.197587719298246</v>
      </c>
      <c r="R183" s="370"/>
      <c r="S183" s="579">
        <v>9</v>
      </c>
      <c r="T183" s="563">
        <v>10.380952380952381</v>
      </c>
      <c r="U183" s="563">
        <v>12.894736842105264</v>
      </c>
      <c r="V183" s="563">
        <v>13.571428571428571</v>
      </c>
      <c r="W183" s="563">
        <v>9.9523809523809526</v>
      </c>
      <c r="X183" s="563">
        <v>10.7</v>
      </c>
      <c r="Y183" s="563">
        <v>8.454545454545455</v>
      </c>
      <c r="Z183" s="563">
        <v>11.318181818181818</v>
      </c>
      <c r="AA183" s="563">
        <v>6</v>
      </c>
      <c r="AB183" s="563">
        <v>8.545454545454545</v>
      </c>
      <c r="AC183" s="563">
        <v>8.045454545454545</v>
      </c>
      <c r="AD183" s="563">
        <v>7.5</v>
      </c>
      <c r="AE183" s="563">
        <f t="shared" si="280"/>
        <v>116.36313511050352</v>
      </c>
      <c r="AF183" s="572">
        <f t="shared" si="281"/>
        <v>9.6969279258752934</v>
      </c>
      <c r="AG183" s="370"/>
      <c r="AH183" s="2291">
        <v>9.85</v>
      </c>
      <c r="AI183" s="2292">
        <v>8.6363636363636367</v>
      </c>
      <c r="AJ183" s="2292">
        <v>10.380952380952381</v>
      </c>
      <c r="AK183" s="2292">
        <v>11.125</v>
      </c>
      <c r="AL183" s="2292">
        <v>9.625</v>
      </c>
      <c r="AM183" s="2292">
        <v>9.56</v>
      </c>
      <c r="AN183" s="2292">
        <v>9.6538461538461533</v>
      </c>
      <c r="AO183" s="2292">
        <v>8.4230769230769234</v>
      </c>
      <c r="AP183" s="2292">
        <v>7</v>
      </c>
      <c r="AQ183" s="2292">
        <v>6.8518518518518512</v>
      </c>
      <c r="AR183" s="2292">
        <v>7.7407407407407414</v>
      </c>
      <c r="AS183" s="2292">
        <v>8.0740740740740744</v>
      </c>
      <c r="AT183" s="563">
        <f t="shared" si="282"/>
        <v>106.92090576090575</v>
      </c>
      <c r="AU183" s="572">
        <f t="shared" si="289"/>
        <v>8.9100754800754789</v>
      </c>
      <c r="AV183" s="926"/>
      <c r="AX183" s="2292">
        <v>7.1481481481481479</v>
      </c>
      <c r="AY183" s="2292">
        <v>12.333333333333334</v>
      </c>
      <c r="AZ183" s="2292">
        <v>10.23076923076923</v>
      </c>
      <c r="BA183" s="2292">
        <v>13.48</v>
      </c>
      <c r="BB183" s="2292">
        <v>26.72</v>
      </c>
      <c r="BC183" s="2292">
        <v>13.32</v>
      </c>
      <c r="BD183" s="1038">
        <v>19.416666666666668</v>
      </c>
      <c r="BE183" s="563">
        <v>10.5</v>
      </c>
      <c r="BF183" s="563">
        <v>11.833333333333334</v>
      </c>
      <c r="BG183" s="563">
        <v>7.416666666666667</v>
      </c>
      <c r="BH183" s="563">
        <v>8.875</v>
      </c>
      <c r="BI183" s="563">
        <v>8.0833333333333339</v>
      </c>
      <c r="BJ183" s="563">
        <f t="shared" si="287"/>
        <v>149.3572507122507</v>
      </c>
      <c r="BK183" s="572">
        <f t="shared" si="288"/>
        <v>12.445400442650671</v>
      </c>
      <c r="BN183" s="322">
        <f t="shared" si="276"/>
        <v>9.2592592592595224E-3</v>
      </c>
      <c r="BO183" s="322">
        <f t="shared" si="275"/>
        <v>3.5353249625751921</v>
      </c>
      <c r="BP183" s="322">
        <f t="shared" si="286"/>
        <v>42.43634495134495</v>
      </c>
      <c r="BQ183" s="322">
        <f t="shared" si="272"/>
        <v>-0.79166666666666607</v>
      </c>
      <c r="BR183">
        <f t="shared" si="273"/>
        <v>8.875</v>
      </c>
      <c r="BS183">
        <f t="shared" si="274"/>
        <v>8.0833333333333339</v>
      </c>
    </row>
    <row r="184" spans="1:71" x14ac:dyDescent="0.55000000000000004">
      <c r="A184" s="7222"/>
      <c r="B184" s="245"/>
      <c r="C184" s="177" t="s">
        <v>228</v>
      </c>
      <c r="D184" s="564">
        <v>11.583333333333334</v>
      </c>
      <c r="E184" s="564">
        <v>8.9600000000000009</v>
      </c>
      <c r="F184" s="564">
        <v>8.4</v>
      </c>
      <c r="G184" s="564">
        <v>8.2799999999999994</v>
      </c>
      <c r="H184" s="564">
        <v>9.68</v>
      </c>
      <c r="I184" s="564">
        <v>10.041666666666666</v>
      </c>
      <c r="J184" s="564">
        <v>8.16</v>
      </c>
      <c r="K184" s="564">
        <v>10.24</v>
      </c>
      <c r="L184" s="564">
        <v>7.2</v>
      </c>
      <c r="M184" s="564">
        <v>7.291666666666667</v>
      </c>
      <c r="N184" s="564">
        <v>9.5833333333333339</v>
      </c>
      <c r="O184" s="564">
        <v>8.4782608695652169</v>
      </c>
      <c r="P184" s="564">
        <f t="shared" si="278"/>
        <v>107.89826086956522</v>
      </c>
      <c r="Q184" s="573">
        <f t="shared" si="279"/>
        <v>8.9915217391304356</v>
      </c>
      <c r="R184" s="370"/>
      <c r="S184" s="580">
        <v>9.7916666666666661</v>
      </c>
      <c r="T184" s="564">
        <v>11</v>
      </c>
      <c r="U184" s="564">
        <v>9.1739130434782616</v>
      </c>
      <c r="V184" s="564">
        <v>10.478260869565217</v>
      </c>
      <c r="W184" s="564">
        <v>8.6086956521739122</v>
      </c>
      <c r="X184" s="564">
        <v>8.3478260869565215</v>
      </c>
      <c r="Y184" s="564">
        <v>7</v>
      </c>
      <c r="Z184" s="564">
        <v>10.291666666666666</v>
      </c>
      <c r="AA184" s="564">
        <v>5.791666666666667</v>
      </c>
      <c r="AB184" s="564">
        <v>6.6521739130434785</v>
      </c>
      <c r="AC184" s="564">
        <v>4.6521739130434785</v>
      </c>
      <c r="AD184" s="564">
        <v>4.4782608695652177</v>
      </c>
      <c r="AE184" s="564">
        <f t="shared" si="280"/>
        <v>96.266304347826107</v>
      </c>
      <c r="AF184" s="573">
        <f t="shared" si="281"/>
        <v>8.0221920289855095</v>
      </c>
      <c r="AG184" s="370"/>
      <c r="AH184" s="2293">
        <v>9.5652173913043477</v>
      </c>
      <c r="AI184" s="2294">
        <v>6.75</v>
      </c>
      <c r="AJ184" s="2294">
        <v>8.1904761904761898</v>
      </c>
      <c r="AK184" s="2294">
        <v>10.08</v>
      </c>
      <c r="AL184" s="2294">
        <v>10.52</v>
      </c>
      <c r="AM184" s="2294">
        <v>9.5</v>
      </c>
      <c r="AN184" s="2294">
        <v>14.923076923076923</v>
      </c>
      <c r="AO184" s="2294">
        <v>11.692307692307692</v>
      </c>
      <c r="AP184" s="2294">
        <v>12.923076923076922</v>
      </c>
      <c r="AQ184" s="2294">
        <v>10.73076923076923</v>
      </c>
      <c r="AR184" s="2294">
        <v>12</v>
      </c>
      <c r="AS184" s="2294">
        <v>9.4230769230769234</v>
      </c>
      <c r="AT184" s="564">
        <f t="shared" si="282"/>
        <v>126.29800127408822</v>
      </c>
      <c r="AU184" s="573">
        <f t="shared" si="289"/>
        <v>10.524833439507352</v>
      </c>
      <c r="AV184" s="926"/>
      <c r="AX184" s="2294">
        <v>7.2222222222222223</v>
      </c>
      <c r="AY184" s="2294">
        <v>15.444444444444445</v>
      </c>
      <c r="AZ184" s="2294">
        <v>10.962962962962964</v>
      </c>
      <c r="BA184" s="2294">
        <v>14.08</v>
      </c>
      <c r="BB184" s="2294">
        <v>26.72</v>
      </c>
      <c r="BC184" s="2294">
        <v>12.36</v>
      </c>
      <c r="BD184" s="1039">
        <v>17.920000000000002</v>
      </c>
      <c r="BE184" s="564">
        <v>12.32</v>
      </c>
      <c r="BF184" s="564">
        <v>11.56</v>
      </c>
      <c r="BG184" s="564">
        <v>8</v>
      </c>
      <c r="BH184" s="564">
        <v>10.199999999999999</v>
      </c>
      <c r="BI184" s="564">
        <v>8.8461538461538467</v>
      </c>
      <c r="BJ184" s="564">
        <f t="shared" si="287"/>
        <v>155.63578347578346</v>
      </c>
      <c r="BK184" s="573">
        <f t="shared" si="288"/>
        <v>12.96856790898954</v>
      </c>
      <c r="BN184" s="322">
        <f t="shared" si="276"/>
        <v>-0.57692307692307665</v>
      </c>
      <c r="BO184" s="322">
        <f t="shared" si="275"/>
        <v>2.4437344694821874</v>
      </c>
      <c r="BP184" s="322">
        <f t="shared" si="286"/>
        <v>29.337782201695234</v>
      </c>
      <c r="BQ184" s="322">
        <f t="shared" si="272"/>
        <v>-1.3538461538461526</v>
      </c>
      <c r="BR184">
        <f t="shared" si="273"/>
        <v>10.199999999999999</v>
      </c>
      <c r="BS184">
        <f t="shared" si="274"/>
        <v>8.8461538461538467</v>
      </c>
    </row>
    <row r="185" spans="1:71" x14ac:dyDescent="0.55000000000000004">
      <c r="A185" s="7222"/>
      <c r="B185" s="245"/>
      <c r="C185" s="178" t="s">
        <v>229</v>
      </c>
      <c r="D185" s="565">
        <v>13.333333333333334</v>
      </c>
      <c r="E185" s="565">
        <v>9.6470588235294112</v>
      </c>
      <c r="F185" s="565">
        <v>12.117647058823529</v>
      </c>
      <c r="G185" s="565">
        <v>13.176470588235293</v>
      </c>
      <c r="H185" s="565">
        <v>11.235294117647058</v>
      </c>
      <c r="I185" s="565">
        <v>11.176470588235293</v>
      </c>
      <c r="J185" s="565">
        <v>10.470588235294118</v>
      </c>
      <c r="K185" s="565">
        <v>10.176470588235293</v>
      </c>
      <c r="L185" s="565">
        <v>11.277777777777779</v>
      </c>
      <c r="M185" s="565">
        <v>10.222222222222221</v>
      </c>
      <c r="N185" s="565">
        <v>9.1111111111111107</v>
      </c>
      <c r="O185" s="565">
        <v>8</v>
      </c>
      <c r="P185" s="565">
        <f t="shared" si="278"/>
        <v>129.94444444444443</v>
      </c>
      <c r="Q185" s="574">
        <f t="shared" si="279"/>
        <v>10.828703703703702</v>
      </c>
      <c r="R185" s="370"/>
      <c r="S185" s="581">
        <v>14.4375</v>
      </c>
      <c r="T185" s="565">
        <v>14.875</v>
      </c>
      <c r="U185" s="565">
        <v>18.375</v>
      </c>
      <c r="V185" s="565">
        <v>16.647058823529413</v>
      </c>
      <c r="W185" s="565">
        <v>14.941176470588236</v>
      </c>
      <c r="X185" s="565">
        <v>11.941176470588236</v>
      </c>
      <c r="Y185" s="565">
        <v>10.764705882352942</v>
      </c>
      <c r="Z185" s="565">
        <v>15.176470588235293</v>
      </c>
      <c r="AA185" s="565">
        <v>9.4117647058823533</v>
      </c>
      <c r="AB185" s="565">
        <v>13.058823529411764</v>
      </c>
      <c r="AC185" s="565">
        <v>10.941176470588236</v>
      </c>
      <c r="AD185" s="565">
        <v>10.058823529411764</v>
      </c>
      <c r="AE185" s="565">
        <f t="shared" si="280"/>
        <v>160.62867647058823</v>
      </c>
      <c r="AF185" s="574">
        <f t="shared" si="281"/>
        <v>13.385723039215685</v>
      </c>
      <c r="AG185" s="370"/>
      <c r="AH185" s="2295">
        <v>17.411764705882351</v>
      </c>
      <c r="AI185" s="2296">
        <v>12.411764705882353</v>
      </c>
      <c r="AJ185" s="2296">
        <v>13.882352941176471</v>
      </c>
      <c r="AK185" s="2296">
        <v>15.8125</v>
      </c>
      <c r="AL185" s="2296">
        <v>15.176470588235293</v>
      </c>
      <c r="AM185" s="2296">
        <v>12.529411764705882</v>
      </c>
      <c r="AN185" s="2296">
        <v>15.947368421052632</v>
      </c>
      <c r="AO185" s="2296">
        <v>11.157894736842104</v>
      </c>
      <c r="AP185" s="2296">
        <v>10.473684210526315</v>
      </c>
      <c r="AQ185" s="2296">
        <v>10.894736842105264</v>
      </c>
      <c r="AR185" s="2296">
        <v>13.578947368421053</v>
      </c>
      <c r="AS185" s="2296">
        <v>11.052631578947368</v>
      </c>
      <c r="AT185" s="565">
        <f t="shared" si="282"/>
        <v>160.32952786377709</v>
      </c>
      <c r="AU185" s="574">
        <f t="shared" si="289"/>
        <v>13.360793988648091</v>
      </c>
      <c r="AV185" s="926"/>
      <c r="AX185" s="2296">
        <v>12.315789473684211</v>
      </c>
      <c r="AY185" s="2296">
        <v>21.210526315789473</v>
      </c>
      <c r="AZ185" s="2296">
        <v>14.947368421052632</v>
      </c>
      <c r="BA185" s="2296">
        <v>17.263157894736842</v>
      </c>
      <c r="BB185" s="2296">
        <v>37.411764705882355</v>
      </c>
      <c r="BC185" s="2296">
        <v>15.941176470588236</v>
      </c>
      <c r="BD185" s="1040">
        <v>21.882352941176471</v>
      </c>
      <c r="BE185" s="565">
        <v>16.058823529411764</v>
      </c>
      <c r="BF185" s="565">
        <v>20</v>
      </c>
      <c r="BG185" s="565">
        <v>11.8125</v>
      </c>
      <c r="BH185" s="565">
        <v>10.625</v>
      </c>
      <c r="BI185" s="565">
        <v>12.5625</v>
      </c>
      <c r="BJ185" s="565">
        <f t="shared" si="287"/>
        <v>212.03095975232196</v>
      </c>
      <c r="BK185" s="574">
        <f t="shared" si="288"/>
        <v>17.667774331499206</v>
      </c>
      <c r="BN185" s="322">
        <f t="shared" si="276"/>
        <v>1.5098684210526319</v>
      </c>
      <c r="BO185" s="322">
        <f t="shared" si="275"/>
        <v>4.3069803428511158</v>
      </c>
      <c r="BP185" s="322">
        <f t="shared" si="286"/>
        <v>51.701431888544874</v>
      </c>
      <c r="BQ185" s="322">
        <f t="shared" si="272"/>
        <v>1.9375</v>
      </c>
      <c r="BR185">
        <f t="shared" si="273"/>
        <v>10.625</v>
      </c>
      <c r="BS185">
        <f t="shared" si="274"/>
        <v>12.5625</v>
      </c>
    </row>
    <row r="186" spans="1:71" x14ac:dyDescent="0.55000000000000004">
      <c r="A186" s="7222"/>
      <c r="B186" s="245"/>
      <c r="C186" s="178" t="s">
        <v>230</v>
      </c>
      <c r="D186" s="565">
        <v>16.96</v>
      </c>
      <c r="E186" s="565">
        <v>10.76</v>
      </c>
      <c r="F186" s="565">
        <v>9.8000000000000007</v>
      </c>
      <c r="G186" s="565">
        <v>10.08</v>
      </c>
      <c r="H186" s="565">
        <v>10.16</v>
      </c>
      <c r="I186" s="565">
        <v>10.68</v>
      </c>
      <c r="J186" s="565">
        <v>10.4</v>
      </c>
      <c r="K186" s="565">
        <v>10.92</v>
      </c>
      <c r="L186" s="565">
        <v>9.9600000000000009</v>
      </c>
      <c r="M186" s="565">
        <v>8.7200000000000006</v>
      </c>
      <c r="N186" s="565">
        <v>9.56</v>
      </c>
      <c r="O186" s="565">
        <v>11.36</v>
      </c>
      <c r="P186" s="565">
        <f t="shared" si="278"/>
        <v>129.36000000000001</v>
      </c>
      <c r="Q186" s="574">
        <f t="shared" si="279"/>
        <v>10.780000000000001</v>
      </c>
      <c r="R186" s="370"/>
      <c r="S186" s="581">
        <v>11.36</v>
      </c>
      <c r="T186" s="565">
        <v>14.68</v>
      </c>
      <c r="U186" s="565">
        <v>11.44</v>
      </c>
      <c r="V186" s="565">
        <v>12.24</v>
      </c>
      <c r="W186" s="565">
        <v>11.24</v>
      </c>
      <c r="X186" s="565">
        <v>12.36</v>
      </c>
      <c r="Y186" s="565">
        <v>9.8000000000000007</v>
      </c>
      <c r="Z186" s="565">
        <v>14.8</v>
      </c>
      <c r="AA186" s="565">
        <v>8.16</v>
      </c>
      <c r="AB186" s="565">
        <v>11.56</v>
      </c>
      <c r="AC186" s="565">
        <v>8.9166666666666661</v>
      </c>
      <c r="AD186" s="565">
        <v>7.8</v>
      </c>
      <c r="AE186" s="565">
        <f t="shared" si="280"/>
        <v>134.35666666666665</v>
      </c>
      <c r="AF186" s="574">
        <f t="shared" si="281"/>
        <v>11.196388888888889</v>
      </c>
      <c r="AG186" s="370"/>
      <c r="AH186" s="2295">
        <v>13.92</v>
      </c>
      <c r="AI186" s="2296">
        <v>10.24</v>
      </c>
      <c r="AJ186" s="2296">
        <v>11.96</v>
      </c>
      <c r="AK186" s="2296">
        <v>12.5</v>
      </c>
      <c r="AL186" s="2296">
        <v>13.576923076923077</v>
      </c>
      <c r="AM186" s="2296">
        <v>11.26923076923077</v>
      </c>
      <c r="AN186" s="2296">
        <v>15</v>
      </c>
      <c r="AO186" s="2296">
        <v>11.26923076923077</v>
      </c>
      <c r="AP186" s="2296">
        <v>11.5</v>
      </c>
      <c r="AQ186" s="2296">
        <v>11.307692307692308</v>
      </c>
      <c r="AR186" s="2296">
        <v>12.307692307692308</v>
      </c>
      <c r="AS186" s="2296">
        <v>11.653846153846153</v>
      </c>
      <c r="AT186" s="565">
        <f t="shared" si="282"/>
        <v>146.50461538461542</v>
      </c>
      <c r="AU186" s="574">
        <f t="shared" si="289"/>
        <v>12.208717948717952</v>
      </c>
      <c r="AV186" s="926"/>
      <c r="AX186" s="2296">
        <v>10.192307692307692</v>
      </c>
      <c r="AY186" s="2296">
        <v>19.884615384615383</v>
      </c>
      <c r="AZ186" s="2296">
        <v>15.26923076923077</v>
      </c>
      <c r="BA186" s="2296">
        <v>15.346153846153847</v>
      </c>
      <c r="BB186" s="2296">
        <v>30.653846153846153</v>
      </c>
      <c r="BC186" s="2296">
        <v>15.6</v>
      </c>
      <c r="BD186" s="1040">
        <v>20.88</v>
      </c>
      <c r="BE186" s="565">
        <v>15.68</v>
      </c>
      <c r="BF186" s="565">
        <v>18.2</v>
      </c>
      <c r="BG186" s="565">
        <v>12.04</v>
      </c>
      <c r="BH186" s="565">
        <v>11.68</v>
      </c>
      <c r="BI186" s="565">
        <v>12.2</v>
      </c>
      <c r="BJ186" s="565">
        <f t="shared" si="287"/>
        <v>197.62615384615381</v>
      </c>
      <c r="BK186" s="574">
        <f t="shared" si="288"/>
        <v>16.467473864357455</v>
      </c>
      <c r="BN186" s="322">
        <f t="shared" si="276"/>
        <v>0.54615384615384599</v>
      </c>
      <c r="BO186" s="322">
        <f t="shared" si="275"/>
        <v>4.2587559156395027</v>
      </c>
      <c r="BP186" s="322">
        <f t="shared" si="286"/>
        <v>51.121538461538393</v>
      </c>
      <c r="BQ186" s="322">
        <f t="shared" si="272"/>
        <v>0.51999999999999957</v>
      </c>
      <c r="BR186">
        <f t="shared" si="273"/>
        <v>11.68</v>
      </c>
      <c r="BS186">
        <f t="shared" si="274"/>
        <v>12.2</v>
      </c>
    </row>
    <row r="187" spans="1:71" x14ac:dyDescent="0.55000000000000004">
      <c r="A187" s="7222"/>
      <c r="B187" s="245"/>
      <c r="C187" s="177" t="s">
        <v>231</v>
      </c>
      <c r="D187" s="564">
        <v>15.709677419354838</v>
      </c>
      <c r="E187" s="564">
        <v>11.64516129032258</v>
      </c>
      <c r="F187" s="564">
        <v>12.96774193548387</v>
      </c>
      <c r="G187" s="564">
        <v>11.806451612903226</v>
      </c>
      <c r="H187" s="564">
        <v>12.419354838709678</v>
      </c>
      <c r="I187" s="564">
        <v>11.903225806451612</v>
      </c>
      <c r="J187" s="564">
        <v>11.84375</v>
      </c>
      <c r="K187" s="564">
        <v>12.5</v>
      </c>
      <c r="L187" s="564">
        <v>11.9375</v>
      </c>
      <c r="M187" s="564">
        <v>11.580645161290322</v>
      </c>
      <c r="N187" s="564">
        <v>14.387096774193548</v>
      </c>
      <c r="O187" s="564">
        <v>12.3</v>
      </c>
      <c r="P187" s="564">
        <f t="shared" si="278"/>
        <v>151.00060483870968</v>
      </c>
      <c r="Q187" s="573">
        <f t="shared" si="279"/>
        <v>12.58338373655914</v>
      </c>
      <c r="R187" s="370"/>
      <c r="S187" s="580">
        <v>13.766666666666667</v>
      </c>
      <c r="T187" s="564">
        <v>13.333333333333334</v>
      </c>
      <c r="U187" s="564">
        <v>13.2</v>
      </c>
      <c r="V187" s="564">
        <v>14.129032258064516</v>
      </c>
      <c r="W187" s="564">
        <v>11.580645161290322</v>
      </c>
      <c r="X187" s="564">
        <v>12.064516129032258</v>
      </c>
      <c r="Y187" s="564">
        <v>10.225806451612904</v>
      </c>
      <c r="Z187" s="564">
        <v>15.333333333333334</v>
      </c>
      <c r="AA187" s="564">
        <v>9.2666666666666675</v>
      </c>
      <c r="AB187" s="564">
        <v>10.233333333333333</v>
      </c>
      <c r="AC187" s="564">
        <v>13.2</v>
      </c>
      <c r="AD187" s="564">
        <v>9.8000000000000007</v>
      </c>
      <c r="AE187" s="564">
        <f t="shared" si="280"/>
        <v>146.13333333333333</v>
      </c>
      <c r="AF187" s="573">
        <f t="shared" si="281"/>
        <v>12.177777777777777</v>
      </c>
      <c r="AG187" s="370"/>
      <c r="AH187" s="2293">
        <v>15.366666666666667</v>
      </c>
      <c r="AI187" s="2294">
        <v>14.033333333333333</v>
      </c>
      <c r="AJ187" s="2294">
        <v>13.5</v>
      </c>
      <c r="AK187" s="2294">
        <v>14.433333333333334</v>
      </c>
      <c r="AL187" s="2294">
        <v>16.966666666666665</v>
      </c>
      <c r="AM187" s="2294">
        <v>12.5625</v>
      </c>
      <c r="AN187" s="2294">
        <v>16.03125</v>
      </c>
      <c r="AO187" s="2294">
        <v>13.939393939393939</v>
      </c>
      <c r="AP187" s="2294">
        <v>14.606060606060604</v>
      </c>
      <c r="AQ187" s="2294">
        <v>14.303030303030305</v>
      </c>
      <c r="AR187" s="2294">
        <v>13.515151515151516</v>
      </c>
      <c r="AS187" s="2294">
        <v>13.030303030303031</v>
      </c>
      <c r="AT187" s="564">
        <f t="shared" si="282"/>
        <v>172.28768939393942</v>
      </c>
      <c r="AU187" s="573">
        <f t="shared" si="289"/>
        <v>14.357307449494952</v>
      </c>
      <c r="AV187" s="926"/>
      <c r="AX187" s="2294">
        <v>11.058823529411764</v>
      </c>
      <c r="AY187" s="2294">
        <v>19.5</v>
      </c>
      <c r="AZ187" s="2294">
        <v>14.303030303030303</v>
      </c>
      <c r="BA187" s="2294">
        <v>19.06451612903226</v>
      </c>
      <c r="BB187" s="2294">
        <v>34.935483870967744</v>
      </c>
      <c r="BC187" s="2294">
        <v>18.870967741935484</v>
      </c>
      <c r="BD187" s="1039">
        <v>25.870967741935484</v>
      </c>
      <c r="BE187" s="564">
        <v>16.903225806451612</v>
      </c>
      <c r="BF187" s="564">
        <v>18.129032258064516</v>
      </c>
      <c r="BG187" s="564">
        <v>12.03225806451613</v>
      </c>
      <c r="BH187" s="564">
        <v>13.9</v>
      </c>
      <c r="BI187" s="564">
        <v>13.433333333333334</v>
      </c>
      <c r="BJ187" s="564">
        <f t="shared" si="287"/>
        <v>218.00163877867863</v>
      </c>
      <c r="BK187" s="573">
        <f t="shared" si="288"/>
        <v>18.165289457435101</v>
      </c>
      <c r="BN187" s="322">
        <f t="shared" si="276"/>
        <v>0.40303030303030241</v>
      </c>
      <c r="BO187" s="322">
        <f t="shared" si="275"/>
        <v>3.807982007940149</v>
      </c>
      <c r="BP187" s="322">
        <f t="shared" si="286"/>
        <v>45.713949384739209</v>
      </c>
      <c r="BQ187" s="322">
        <f t="shared" si="272"/>
        <v>-0.46666666666666679</v>
      </c>
      <c r="BR187">
        <f t="shared" si="273"/>
        <v>13.9</v>
      </c>
      <c r="BS187">
        <f t="shared" si="274"/>
        <v>13.433333333333334</v>
      </c>
    </row>
    <row r="188" spans="1:71" x14ac:dyDescent="0.55000000000000004">
      <c r="A188" s="7222"/>
      <c r="B188" s="245"/>
      <c r="C188" s="177" t="s">
        <v>232</v>
      </c>
      <c r="D188" s="564">
        <v>15.142857142857142</v>
      </c>
      <c r="E188" s="564">
        <v>10.476190476190476</v>
      </c>
      <c r="F188" s="564">
        <v>11.714285714285714</v>
      </c>
      <c r="G188" s="564">
        <v>12.857142857142858</v>
      </c>
      <c r="H188" s="564">
        <v>10.619047619047619</v>
      </c>
      <c r="I188" s="564">
        <v>10.238095238095237</v>
      </c>
      <c r="J188" s="564">
        <v>8.1904761904761898</v>
      </c>
      <c r="K188" s="564">
        <v>13.619047619047619</v>
      </c>
      <c r="L188" s="564">
        <v>10.714285714285714</v>
      </c>
      <c r="M188" s="564">
        <v>11.857142857142858</v>
      </c>
      <c r="N188" s="564">
        <v>12.476190476190476</v>
      </c>
      <c r="O188" s="564">
        <v>11.476190476190476</v>
      </c>
      <c r="P188" s="564">
        <f t="shared" si="278"/>
        <v>139.38095238095238</v>
      </c>
      <c r="Q188" s="573">
        <f t="shared" si="279"/>
        <v>11.615079365079366</v>
      </c>
      <c r="R188" s="370"/>
      <c r="S188" s="580">
        <v>14.19047619047619</v>
      </c>
      <c r="T188" s="564">
        <v>15.571428571428571</v>
      </c>
      <c r="U188" s="564">
        <v>15.285714285714286</v>
      </c>
      <c r="V188" s="564">
        <v>14.666666666666666</v>
      </c>
      <c r="W188" s="564">
        <v>14.476190476190476</v>
      </c>
      <c r="X188" s="564">
        <v>13.19047619047619</v>
      </c>
      <c r="Y188" s="564">
        <v>10.238095238095237</v>
      </c>
      <c r="Z188" s="564">
        <v>20.333333333333332</v>
      </c>
      <c r="AA188" s="564">
        <v>12.238095238095237</v>
      </c>
      <c r="AB188" s="564">
        <v>15.142857142857142</v>
      </c>
      <c r="AC188" s="564">
        <v>13.714285714285714</v>
      </c>
      <c r="AD188" s="564">
        <v>8.2857142857142865</v>
      </c>
      <c r="AE188" s="564">
        <f t="shared" si="280"/>
        <v>167.33333333333331</v>
      </c>
      <c r="AF188" s="573">
        <f t="shared" si="281"/>
        <v>13.944444444444443</v>
      </c>
      <c r="AG188" s="370"/>
      <c r="AH188" s="2293">
        <v>19.238095238095237</v>
      </c>
      <c r="AI188" s="2294">
        <v>14.238095238095237</v>
      </c>
      <c r="AJ188" s="2294">
        <v>15.619047619047619</v>
      </c>
      <c r="AK188" s="2294">
        <v>15.727272727272727</v>
      </c>
      <c r="AL188" s="2294">
        <v>15.909090909090908</v>
      </c>
      <c r="AM188" s="2294">
        <v>10.772727272727273</v>
      </c>
      <c r="AN188" s="2294">
        <v>17.523809523809526</v>
      </c>
      <c r="AO188" s="2294">
        <v>12.181818181818182</v>
      </c>
      <c r="AP188" s="2294">
        <v>15.454545454545455</v>
      </c>
      <c r="AQ188" s="2294">
        <v>15.590909090909092</v>
      </c>
      <c r="AR188" s="2294">
        <v>14.409090909090908</v>
      </c>
      <c r="AS188" s="2294">
        <v>13.454545454545455</v>
      </c>
      <c r="AT188" s="564">
        <f t="shared" si="282"/>
        <v>180.11904761904765</v>
      </c>
      <c r="AU188" s="573">
        <f t="shared" si="289"/>
        <v>15.009920634920638</v>
      </c>
      <c r="AV188" s="926"/>
      <c r="AX188" s="2294">
        <v>9.954545454545455</v>
      </c>
      <c r="AY188" s="2294">
        <v>22.545454545454547</v>
      </c>
      <c r="AZ188" s="2294">
        <v>16.636363636363637</v>
      </c>
      <c r="BA188" s="2294">
        <v>19.681818181818183</v>
      </c>
      <c r="BB188" s="2294">
        <v>31</v>
      </c>
      <c r="BC188" s="2294">
        <v>18.818181818181817</v>
      </c>
      <c r="BD188" s="1039">
        <v>26.666666666666668</v>
      </c>
      <c r="BE188" s="564">
        <v>18.761904761904763</v>
      </c>
      <c r="BF188" s="564">
        <v>19.952380952380953</v>
      </c>
      <c r="BG188" s="564">
        <v>13.095238095238095</v>
      </c>
      <c r="BH188" s="564">
        <v>14.095238095238095</v>
      </c>
      <c r="BI188" s="564">
        <v>13.761904761904763</v>
      </c>
      <c r="BJ188" s="564">
        <f t="shared" si="287"/>
        <v>224.969696969697</v>
      </c>
      <c r="BK188" s="573">
        <f t="shared" si="288"/>
        <v>18.745912588092409</v>
      </c>
      <c r="BN188" s="322">
        <f t="shared" si="276"/>
        <v>0.30735930735930772</v>
      </c>
      <c r="BO188" s="322">
        <f t="shared" si="275"/>
        <v>3.7359919531717711</v>
      </c>
      <c r="BP188" s="322">
        <f t="shared" si="286"/>
        <v>44.850649350649348</v>
      </c>
      <c r="BQ188" s="322">
        <f t="shared" si="272"/>
        <v>-0.33333333333333215</v>
      </c>
      <c r="BR188">
        <f t="shared" si="273"/>
        <v>14.095238095238095</v>
      </c>
      <c r="BS188">
        <f t="shared" si="274"/>
        <v>13.761904761904763</v>
      </c>
    </row>
    <row r="189" spans="1:71" x14ac:dyDescent="0.55000000000000004">
      <c r="A189" s="7222"/>
      <c r="B189" s="245"/>
      <c r="C189" s="178" t="s">
        <v>233</v>
      </c>
      <c r="D189" s="565">
        <v>20.612903225806452</v>
      </c>
      <c r="E189" s="565">
        <v>15.903225806451612</v>
      </c>
      <c r="F189" s="565">
        <v>14.5</v>
      </c>
      <c r="G189" s="565">
        <v>14.59375</v>
      </c>
      <c r="H189" s="565">
        <v>16.393939393939394</v>
      </c>
      <c r="I189" s="565">
        <v>15.59375</v>
      </c>
      <c r="J189" s="565">
        <v>12.606060606060606</v>
      </c>
      <c r="K189" s="565">
        <v>16.03125</v>
      </c>
      <c r="L189" s="565">
        <v>11.375</v>
      </c>
      <c r="M189" s="565">
        <v>12.53125</v>
      </c>
      <c r="N189" s="565">
        <v>15.03125</v>
      </c>
      <c r="O189" s="565">
        <v>13.516129032258064</v>
      </c>
      <c r="P189" s="565">
        <f t="shared" si="278"/>
        <v>178.6885080645161</v>
      </c>
      <c r="Q189" s="574">
        <f t="shared" si="279"/>
        <v>14.890709005376342</v>
      </c>
      <c r="R189" s="370"/>
      <c r="S189" s="581">
        <v>14.28125</v>
      </c>
      <c r="T189" s="565">
        <v>19.09375</v>
      </c>
      <c r="U189" s="565">
        <v>17.93548387096774</v>
      </c>
      <c r="V189" s="565">
        <v>17.258064516129032</v>
      </c>
      <c r="W189" s="565">
        <v>14.96774193548387</v>
      </c>
      <c r="X189" s="565">
        <v>16.967741935483872</v>
      </c>
      <c r="Y189" s="565">
        <v>12.35483870967742</v>
      </c>
      <c r="Z189" s="565">
        <v>18.966666666666665</v>
      </c>
      <c r="AA189" s="565">
        <v>11.966666666666667</v>
      </c>
      <c r="AB189" s="565">
        <v>14.433333333333334</v>
      </c>
      <c r="AC189" s="565">
        <v>15.586206896551724</v>
      </c>
      <c r="AD189" s="565">
        <v>11.758620689655173</v>
      </c>
      <c r="AE189" s="565">
        <f t="shared" si="280"/>
        <v>185.57036522061549</v>
      </c>
      <c r="AF189" s="574">
        <f t="shared" si="281"/>
        <v>15.464197101717957</v>
      </c>
      <c r="AG189" s="370"/>
      <c r="AH189" s="2295">
        <v>19.379310344827587</v>
      </c>
      <c r="AI189" s="2296">
        <v>16.75</v>
      </c>
      <c r="AJ189" s="2296">
        <v>19.035714285714285</v>
      </c>
      <c r="AK189" s="2296">
        <v>20.620689655172413</v>
      </c>
      <c r="AL189" s="2296">
        <v>20.275862068965516</v>
      </c>
      <c r="AM189" s="2296">
        <v>17.166666666666668</v>
      </c>
      <c r="AN189" s="2296">
        <v>20.133333333333333</v>
      </c>
      <c r="AO189" s="2296">
        <v>17</v>
      </c>
      <c r="AP189" s="2296">
        <v>14.866666666666667</v>
      </c>
      <c r="AQ189" s="2296">
        <v>20.2</v>
      </c>
      <c r="AR189" s="2296">
        <v>16.827586206896552</v>
      </c>
      <c r="AS189" s="2296">
        <v>15.666666666666666</v>
      </c>
      <c r="AT189" s="565">
        <f t="shared" si="282"/>
        <v>217.92249589490967</v>
      </c>
      <c r="AU189" s="574">
        <f t="shared" si="289"/>
        <v>18.160207991242473</v>
      </c>
      <c r="AV189" s="926"/>
      <c r="AX189" s="2296">
        <v>10</v>
      </c>
      <c r="AY189" s="2296">
        <v>22.9</v>
      </c>
      <c r="AZ189" s="2296">
        <v>19.137931034482758</v>
      </c>
      <c r="BA189" s="2296">
        <v>27.892857142857142</v>
      </c>
      <c r="BB189" s="2296">
        <v>36.892857142857146</v>
      </c>
      <c r="BC189" s="2296">
        <v>24.142857142857142</v>
      </c>
      <c r="BD189" s="1040">
        <v>33.928571428571431</v>
      </c>
      <c r="BE189" s="565">
        <v>22.535714285714285</v>
      </c>
      <c r="BF189" s="565">
        <v>20</v>
      </c>
      <c r="BG189" s="565">
        <v>16.75</v>
      </c>
      <c r="BH189" s="565">
        <v>14.392857142857142</v>
      </c>
      <c r="BI189" s="565">
        <v>11.785714285714286</v>
      </c>
      <c r="BJ189" s="565">
        <f t="shared" si="287"/>
        <v>260.35935960591132</v>
      </c>
      <c r="BK189" s="574">
        <f t="shared" si="288"/>
        <v>21.694805400042608</v>
      </c>
      <c r="BN189" s="322">
        <f t="shared" si="276"/>
        <v>-3.8809523809523796</v>
      </c>
      <c r="BO189" s="322">
        <f t="shared" si="275"/>
        <v>3.5345974088001348</v>
      </c>
      <c r="BP189" s="322">
        <f t="shared" si="286"/>
        <v>42.436863711001649</v>
      </c>
      <c r="BQ189" s="322">
        <f t="shared" si="272"/>
        <v>-2.6071428571428559</v>
      </c>
      <c r="BR189">
        <f t="shared" si="273"/>
        <v>14.392857142857142</v>
      </c>
      <c r="BS189">
        <f t="shared" si="274"/>
        <v>11.785714285714286</v>
      </c>
    </row>
    <row r="190" spans="1:71" x14ac:dyDescent="0.55000000000000004">
      <c r="A190" s="7222"/>
      <c r="B190" s="245"/>
      <c r="C190" s="178" t="s">
        <v>234</v>
      </c>
      <c r="D190" s="565">
        <v>11.833333333333334</v>
      </c>
      <c r="E190" s="565">
        <v>10.290322580645162</v>
      </c>
      <c r="F190" s="565">
        <v>10.03225806451613</v>
      </c>
      <c r="G190" s="565">
        <v>8.75</v>
      </c>
      <c r="H190" s="565">
        <v>7.96875</v>
      </c>
      <c r="I190" s="565">
        <v>10.454545454545455</v>
      </c>
      <c r="J190" s="565">
        <v>8.0625</v>
      </c>
      <c r="K190" s="565">
        <v>11.4375</v>
      </c>
      <c r="L190" s="565">
        <v>7.71875</v>
      </c>
      <c r="M190" s="565">
        <v>8.0606060606060606</v>
      </c>
      <c r="N190" s="565">
        <v>8.3333333333333339</v>
      </c>
      <c r="O190" s="565">
        <v>8.6363636363636367</v>
      </c>
      <c r="P190" s="565">
        <f t="shared" si="278"/>
        <v>111.57826246334311</v>
      </c>
      <c r="Q190" s="574">
        <f t="shared" si="279"/>
        <v>9.2981885386119263</v>
      </c>
      <c r="R190" s="370"/>
      <c r="S190" s="581">
        <v>11.515151515151516</v>
      </c>
      <c r="T190" s="565">
        <v>14.363636363636363</v>
      </c>
      <c r="U190" s="565">
        <v>11</v>
      </c>
      <c r="V190" s="565">
        <v>10.575757575757576</v>
      </c>
      <c r="W190" s="565">
        <v>11.090909090909092</v>
      </c>
      <c r="X190" s="565">
        <v>10.666666666666666</v>
      </c>
      <c r="Y190" s="565">
        <v>8.25</v>
      </c>
      <c r="Z190" s="565">
        <v>13.09375</v>
      </c>
      <c r="AA190" s="565">
        <v>7.96875</v>
      </c>
      <c r="AB190" s="565">
        <v>8.75</v>
      </c>
      <c r="AC190" s="565">
        <v>7.96875</v>
      </c>
      <c r="AD190" s="565">
        <v>8.15625</v>
      </c>
      <c r="AE190" s="565">
        <f t="shared" si="280"/>
        <v>123.39962121212122</v>
      </c>
      <c r="AF190" s="574">
        <f t="shared" si="281"/>
        <v>10.283301767676768</v>
      </c>
      <c r="AG190" s="370"/>
      <c r="AH190" s="2295">
        <v>14.1875</v>
      </c>
      <c r="AI190" s="2296">
        <v>10.3125</v>
      </c>
      <c r="AJ190" s="2296">
        <v>13.28125</v>
      </c>
      <c r="AK190" s="2296">
        <v>12.71875</v>
      </c>
      <c r="AL190" s="2296">
        <v>12.870967741935484</v>
      </c>
      <c r="AM190" s="2296">
        <v>11.67741935483871</v>
      </c>
      <c r="AN190" s="2296">
        <v>16.451612903225808</v>
      </c>
      <c r="AO190" s="2296">
        <v>9.6451612903225801</v>
      </c>
      <c r="AP190" s="2296">
        <v>13.033333333333333</v>
      </c>
      <c r="AQ190" s="2296">
        <v>11.566666666666666</v>
      </c>
      <c r="AR190" s="2296">
        <v>11.933333333333334</v>
      </c>
      <c r="AS190" s="2296">
        <v>9.5</v>
      </c>
      <c r="AT190" s="565">
        <f t="shared" si="282"/>
        <v>147.17849462365589</v>
      </c>
      <c r="AU190" s="574">
        <f t="shared" si="289"/>
        <v>12.264874551971324</v>
      </c>
      <c r="AV190" s="926"/>
      <c r="AX190" s="2296">
        <v>9.8965517241379306</v>
      </c>
      <c r="AY190" s="2296">
        <v>18.310344827586206</v>
      </c>
      <c r="AZ190" s="2296">
        <v>13.310344827586206</v>
      </c>
      <c r="BA190" s="2296">
        <v>17.620689655172413</v>
      </c>
      <c r="BB190" s="2296">
        <v>27.068965517241381</v>
      </c>
      <c r="BC190" s="2296">
        <v>14.931034482758621</v>
      </c>
      <c r="BD190" s="1040">
        <v>21.413793103448278</v>
      </c>
      <c r="BE190" s="565">
        <v>13.827586206896552</v>
      </c>
      <c r="BF190" s="565">
        <v>15.689655172413794</v>
      </c>
      <c r="BG190" s="565">
        <v>9.862068965517242</v>
      </c>
      <c r="BH190" s="565">
        <v>10.137931034482758</v>
      </c>
      <c r="BI190" s="565">
        <v>9.6896551724137936</v>
      </c>
      <c r="BJ190" s="565">
        <f t="shared" si="287"/>
        <v>181.75862068965512</v>
      </c>
      <c r="BK190" s="574">
        <f t="shared" si="288"/>
        <v>15.145289616669871</v>
      </c>
      <c r="BN190" s="322">
        <f t="shared" si="276"/>
        <v>0.18965517241379359</v>
      </c>
      <c r="BO190" s="322">
        <f t="shared" si="275"/>
        <v>2.8804150646985462</v>
      </c>
      <c r="BP190" s="322">
        <f t="shared" si="286"/>
        <v>34.580126065999224</v>
      </c>
      <c r="BQ190" s="322">
        <f t="shared" si="272"/>
        <v>-0.44827586206896441</v>
      </c>
      <c r="BR190">
        <f t="shared" si="273"/>
        <v>10.137931034482758</v>
      </c>
      <c r="BS190">
        <f t="shared" si="274"/>
        <v>9.6896551724137936</v>
      </c>
    </row>
    <row r="191" spans="1:71" x14ac:dyDescent="0.55000000000000004">
      <c r="A191" s="7222"/>
      <c r="B191" s="245"/>
      <c r="C191" s="177" t="s">
        <v>235</v>
      </c>
      <c r="D191" s="564">
        <v>14.785714285714286</v>
      </c>
      <c r="E191" s="564">
        <v>10.285714285714286</v>
      </c>
      <c r="F191" s="564">
        <v>10.75</v>
      </c>
      <c r="G191" s="564">
        <v>9.0344827586206904</v>
      </c>
      <c r="H191" s="564">
        <v>11.620689655172415</v>
      </c>
      <c r="I191" s="564">
        <v>10.206896551724139</v>
      </c>
      <c r="J191" s="564">
        <v>10.758620689655173</v>
      </c>
      <c r="K191" s="564">
        <v>13.482758620689655</v>
      </c>
      <c r="L191" s="564">
        <v>8.5517241379310338</v>
      </c>
      <c r="M191" s="564">
        <v>10.413793103448276</v>
      </c>
      <c r="N191" s="564">
        <v>12.793103448275861</v>
      </c>
      <c r="O191" s="564">
        <v>8.7241379310344822</v>
      </c>
      <c r="P191" s="564">
        <f t="shared" si="278"/>
        <v>131.40763546798027</v>
      </c>
      <c r="Q191" s="573">
        <f t="shared" si="279"/>
        <v>10.950636288998355</v>
      </c>
      <c r="R191" s="370"/>
      <c r="S191" s="580">
        <v>12.714285714285714</v>
      </c>
      <c r="T191" s="564">
        <v>15.178571428571429</v>
      </c>
      <c r="U191" s="564">
        <v>10.5</v>
      </c>
      <c r="V191" s="564">
        <v>12.107142857142858</v>
      </c>
      <c r="W191" s="564">
        <v>10.035714285714286</v>
      </c>
      <c r="X191" s="564">
        <v>10.142857142857142</v>
      </c>
      <c r="Y191" s="564">
        <v>8.8928571428571423</v>
      </c>
      <c r="Z191" s="564">
        <v>14.607142857142858</v>
      </c>
      <c r="AA191" s="564">
        <v>8.3928571428571423</v>
      </c>
      <c r="AB191" s="564">
        <v>10.5</v>
      </c>
      <c r="AC191" s="564">
        <v>7.1785714285714288</v>
      </c>
      <c r="AD191" s="564">
        <v>6.5357142857142856</v>
      </c>
      <c r="AE191" s="564">
        <f t="shared" si="280"/>
        <v>126.78571428571429</v>
      </c>
      <c r="AF191" s="573">
        <f t="shared" si="281"/>
        <v>10.565476190476192</v>
      </c>
      <c r="AG191" s="370"/>
      <c r="AH191" s="2293">
        <v>13.964285714285714</v>
      </c>
      <c r="AI191" s="2294">
        <v>7.7857142857142856</v>
      </c>
      <c r="AJ191" s="2294">
        <v>13.178571428571429</v>
      </c>
      <c r="AK191" s="2294">
        <v>13.142857142857142</v>
      </c>
      <c r="AL191" s="2294">
        <v>11.413793103448276</v>
      </c>
      <c r="AM191" s="2294">
        <v>11.75</v>
      </c>
      <c r="AN191" s="2294">
        <v>12.535714285714286</v>
      </c>
      <c r="AO191" s="2294">
        <v>10.428571428571429</v>
      </c>
      <c r="AP191" s="2294">
        <v>9.7931034482758612</v>
      </c>
      <c r="AQ191" s="2294">
        <v>9.1034482758620694</v>
      </c>
      <c r="AR191" s="2294">
        <v>9.7931034482758612</v>
      </c>
      <c r="AS191" s="2294">
        <v>8</v>
      </c>
      <c r="AT191" s="564">
        <f t="shared" si="282"/>
        <v>130.88916256157634</v>
      </c>
      <c r="AU191" s="573">
        <f t="shared" si="289"/>
        <v>10.907430213464695</v>
      </c>
      <c r="AV191" s="926"/>
      <c r="AX191" s="2294">
        <v>7.7931034482758621</v>
      </c>
      <c r="AY191" s="2294">
        <v>17.655172413793103</v>
      </c>
      <c r="AZ191" s="2294">
        <v>13.03448275862069</v>
      </c>
      <c r="BA191" s="2294">
        <v>13.964285714285714</v>
      </c>
      <c r="BB191" s="2294">
        <v>23.071428571428573</v>
      </c>
      <c r="BC191" s="2294">
        <v>11</v>
      </c>
      <c r="BD191" s="1039">
        <v>19.518518518518519</v>
      </c>
      <c r="BE191" s="564">
        <v>12.666666666666666</v>
      </c>
      <c r="BF191" s="564">
        <v>12.962962962962964</v>
      </c>
      <c r="BG191" s="564">
        <v>9.0740740740740744</v>
      </c>
      <c r="BH191" s="564">
        <v>8.9259259259259256</v>
      </c>
      <c r="BI191" s="564">
        <v>8.1851851851851851</v>
      </c>
      <c r="BJ191" s="564">
        <f t="shared" si="287"/>
        <v>157.8518062397373</v>
      </c>
      <c r="BK191" s="573">
        <f t="shared" si="288"/>
        <v>13.153221084887702</v>
      </c>
      <c r="BN191" s="322">
        <f t="shared" si="276"/>
        <v>0.18518518518518512</v>
      </c>
      <c r="BO191" s="322">
        <f t="shared" si="275"/>
        <v>2.2457908714230079</v>
      </c>
      <c r="BP191" s="322">
        <f t="shared" si="286"/>
        <v>26.962643678160958</v>
      </c>
      <c r="BQ191" s="322">
        <f t="shared" si="272"/>
        <v>-0.74074074074074048</v>
      </c>
      <c r="BR191">
        <f t="shared" si="273"/>
        <v>8.9259259259259256</v>
      </c>
      <c r="BS191">
        <f t="shared" si="274"/>
        <v>8.1851851851851851</v>
      </c>
    </row>
    <row r="192" spans="1:71" ht="18" thickBot="1" x14ac:dyDescent="0.6">
      <c r="A192" s="7223"/>
      <c r="B192" s="246"/>
      <c r="C192" s="179" t="s">
        <v>236</v>
      </c>
      <c r="D192" s="566">
        <v>10.827586206896552</v>
      </c>
      <c r="E192" s="566">
        <v>8.2758620689655178</v>
      </c>
      <c r="F192" s="566">
        <v>7.5172413793103452</v>
      </c>
      <c r="G192" s="566">
        <v>7.6551724137931032</v>
      </c>
      <c r="H192" s="566">
        <v>7</v>
      </c>
      <c r="I192" s="566">
        <v>7.4285714285714288</v>
      </c>
      <c r="J192" s="566">
        <v>6.6428571428571432</v>
      </c>
      <c r="K192" s="566">
        <v>7</v>
      </c>
      <c r="L192" s="566">
        <v>6.1071428571428568</v>
      </c>
      <c r="M192" s="566">
        <v>6.1785714285714288</v>
      </c>
      <c r="N192" s="566">
        <v>5.7857142857142856</v>
      </c>
      <c r="O192" s="566">
        <v>6.6071428571428568</v>
      </c>
      <c r="P192" s="566">
        <f t="shared" si="278"/>
        <v>87.025862068965537</v>
      </c>
      <c r="Q192" s="575">
        <f t="shared" si="279"/>
        <v>7.2521551724137945</v>
      </c>
      <c r="R192" s="370"/>
      <c r="S192" s="582">
        <v>6.3448275862068968</v>
      </c>
      <c r="T192" s="566">
        <v>5.3793103448275863</v>
      </c>
      <c r="U192" s="566">
        <v>6.931034482758621</v>
      </c>
      <c r="V192" s="566">
        <v>7.9285714285714288</v>
      </c>
      <c r="W192" s="566">
        <v>6.4285714285714288</v>
      </c>
      <c r="X192" s="566">
        <v>7.1428571428571432</v>
      </c>
      <c r="Y192" s="566">
        <v>7.3214285714285712</v>
      </c>
      <c r="Z192" s="566">
        <v>7.9285714285714288</v>
      </c>
      <c r="AA192" s="566">
        <v>7.3214285714285712</v>
      </c>
      <c r="AB192" s="566">
        <v>8.4074074074074066</v>
      </c>
      <c r="AC192" s="566">
        <v>8.2857142857142865</v>
      </c>
      <c r="AD192" s="566">
        <v>7.5357142857142856</v>
      </c>
      <c r="AE192" s="566">
        <f t="shared" si="280"/>
        <v>86.955436964057668</v>
      </c>
      <c r="AF192" s="575">
        <f t="shared" si="281"/>
        <v>7.2462864136714726</v>
      </c>
      <c r="AG192" s="370"/>
      <c r="AH192" s="2297">
        <v>8.5</v>
      </c>
      <c r="AI192" s="2298">
        <v>8.0357142857142865</v>
      </c>
      <c r="AJ192" s="2298">
        <v>10.535714285714286</v>
      </c>
      <c r="AK192" s="2298">
        <v>9.75</v>
      </c>
      <c r="AL192" s="2298">
        <v>10.172413793103448</v>
      </c>
      <c r="AM192" s="2298">
        <v>8.7241379310344822</v>
      </c>
      <c r="AN192" s="2298">
        <v>10</v>
      </c>
      <c r="AO192" s="2298">
        <v>7.7333333333333334</v>
      </c>
      <c r="AP192" s="2298">
        <v>10.199999999999999</v>
      </c>
      <c r="AQ192" s="2298">
        <v>8.8666666666666671</v>
      </c>
      <c r="AR192" s="2298">
        <v>8.7333333333333325</v>
      </c>
      <c r="AS192" s="2298">
        <v>7.9655172413793105</v>
      </c>
      <c r="AT192" s="566">
        <f t="shared" si="282"/>
        <v>109.21683087027915</v>
      </c>
      <c r="AU192" s="575">
        <f t="shared" si="289"/>
        <v>9.1014025725232628</v>
      </c>
      <c r="AV192" s="926"/>
      <c r="AX192" s="2298">
        <v>6.8275862068965516</v>
      </c>
      <c r="AY192" s="2298">
        <v>12.413793103448276</v>
      </c>
      <c r="AZ192" s="2298">
        <v>11.896551724137931</v>
      </c>
      <c r="BA192" s="2298">
        <v>10.275862068965518</v>
      </c>
      <c r="BB192" s="2298">
        <v>20.925925925925927</v>
      </c>
      <c r="BC192" s="2298">
        <v>13.703703703703704</v>
      </c>
      <c r="BD192" s="1041">
        <v>16.814814814814813</v>
      </c>
      <c r="BE192" s="566">
        <v>12.333333333333334</v>
      </c>
      <c r="BF192" s="566">
        <v>10.222222222222221</v>
      </c>
      <c r="BG192" s="566">
        <v>9.2222222222222214</v>
      </c>
      <c r="BH192" s="566">
        <v>9.0370370370370363</v>
      </c>
      <c r="BI192" s="566">
        <v>8.5555555555555554</v>
      </c>
      <c r="BJ192" s="566">
        <f t="shared" si="287"/>
        <v>142.22860791826307</v>
      </c>
      <c r="BK192" s="575">
        <f t="shared" si="288"/>
        <v>11.851396376823853</v>
      </c>
      <c r="BN192" s="322">
        <f t="shared" si="276"/>
        <v>0.59003831417624486</v>
      </c>
      <c r="BO192" s="322">
        <f t="shared" si="275"/>
        <v>2.7499938043005905</v>
      </c>
      <c r="BP192" s="322">
        <f t="shared" si="286"/>
        <v>33.011777047983912</v>
      </c>
      <c r="BQ192" s="322">
        <f t="shared" si="272"/>
        <v>-0.48148148148148096</v>
      </c>
      <c r="BR192">
        <f t="shared" si="273"/>
        <v>9.0370370370370363</v>
      </c>
      <c r="BS192">
        <f t="shared" si="274"/>
        <v>8.5555555555555554</v>
      </c>
    </row>
    <row r="193" spans="1:71" x14ac:dyDescent="0.55000000000000004">
      <c r="A193" s="7221" t="s">
        <v>405</v>
      </c>
      <c r="B193" s="41" t="s">
        <v>569</v>
      </c>
      <c r="C193" s="16"/>
      <c r="D193" s="584">
        <v>3.7872340425531914</v>
      </c>
      <c r="E193" s="585">
        <v>2.8215010141987831</v>
      </c>
      <c r="F193" s="585">
        <v>2.8944099378881987</v>
      </c>
      <c r="G193" s="585">
        <v>2.8208032955715758</v>
      </c>
      <c r="H193" s="585">
        <v>2.8142570281124497</v>
      </c>
      <c r="I193" s="585">
        <v>2.9034552845528454</v>
      </c>
      <c r="J193" s="585">
        <v>2.597194388777555</v>
      </c>
      <c r="K193" s="585">
        <v>3.0874371859296481</v>
      </c>
      <c r="L193" s="585">
        <v>2.4784784784784786</v>
      </c>
      <c r="M193" s="585">
        <v>2.4281496062992125</v>
      </c>
      <c r="N193" s="585">
        <v>2.6843629343629343</v>
      </c>
      <c r="O193" s="585">
        <v>2.3720491029272899</v>
      </c>
      <c r="P193" s="585">
        <f t="shared" si="278"/>
        <v>33.689332299652165</v>
      </c>
      <c r="Q193" s="586">
        <f t="shared" si="279"/>
        <v>2.8074443583043469</v>
      </c>
      <c r="R193" s="370"/>
      <c r="S193" s="584">
        <v>2.9303000968054209</v>
      </c>
      <c r="T193" s="585">
        <v>3.4218289085545721</v>
      </c>
      <c r="U193" s="585">
        <v>3.134061569016882</v>
      </c>
      <c r="V193" s="585">
        <v>3.2961116650049851</v>
      </c>
      <c r="W193" s="585">
        <v>2.8588351431391907</v>
      </c>
      <c r="X193" s="585">
        <v>2.9164179104477612</v>
      </c>
      <c r="Y193" s="585">
        <v>2.4592668024439917</v>
      </c>
      <c r="Z193" s="585">
        <v>3.659274193548387</v>
      </c>
      <c r="AA193" s="585">
        <v>2.2601626016260163</v>
      </c>
      <c r="AB193" s="585">
        <v>2.7411526794742165</v>
      </c>
      <c r="AC193" s="585">
        <v>2.508</v>
      </c>
      <c r="AD193" s="585">
        <v>2.0788423153692617</v>
      </c>
      <c r="AE193" s="585">
        <f t="shared" si="280"/>
        <v>34.264253885430691</v>
      </c>
      <c r="AF193" s="586">
        <f t="shared" si="281"/>
        <v>2.8553544904525574</v>
      </c>
      <c r="AG193" s="370"/>
      <c r="AH193" s="584">
        <v>3.4602713178294575</v>
      </c>
      <c r="AI193" s="585">
        <v>2.6637931034482758</v>
      </c>
      <c r="AJ193" s="585">
        <v>3.1297709923664123</v>
      </c>
      <c r="AK193" s="585">
        <v>3.28544776119403</v>
      </c>
      <c r="AL193" s="585">
        <v>3.2786434463794683</v>
      </c>
      <c r="AM193" s="585">
        <v>2.8717472118959106</v>
      </c>
      <c r="AN193" s="585">
        <v>3.6629834254143647</v>
      </c>
      <c r="AO193" s="585">
        <v>2.8444444444444446</v>
      </c>
      <c r="AP193" s="585">
        <v>2.9601087941976427</v>
      </c>
      <c r="AQ193" s="585">
        <v>2.9212175470008952</v>
      </c>
      <c r="AR193" s="585">
        <v>2.9027653880463871</v>
      </c>
      <c r="AS193" s="585">
        <v>2.579505300353357</v>
      </c>
      <c r="AT193" s="585">
        <f t="shared" si="282"/>
        <v>36.560698732570643</v>
      </c>
      <c r="AU193" s="586">
        <f t="shared" si="289"/>
        <v>3.0467248943808869</v>
      </c>
      <c r="AV193" s="926"/>
      <c r="AX193" s="585">
        <v>2.1887620719929761</v>
      </c>
      <c r="AY193" s="585">
        <v>4.4037600716204119</v>
      </c>
      <c r="AZ193" s="585">
        <v>3.3467381590705987</v>
      </c>
      <c r="BA193" s="585">
        <v>3.9757194244604315</v>
      </c>
      <c r="BB193" s="585">
        <v>6.8879781420765029</v>
      </c>
      <c r="BC193" s="585">
        <v>3.7376599634369287</v>
      </c>
      <c r="BD193" s="585">
        <v>5.2785977859778601</v>
      </c>
      <c r="BE193" s="585">
        <v>3.5981308411214954</v>
      </c>
      <c r="BF193" s="585">
        <v>3.7077497665732961</v>
      </c>
      <c r="BG193" s="585">
        <v>2.6134215500945182</v>
      </c>
      <c r="BH193" s="585">
        <v>2.6694995278564684</v>
      </c>
      <c r="BI193" s="2380">
        <v>2.4746543778801842</v>
      </c>
      <c r="BJ193" s="585">
        <f t="shared" si="287"/>
        <v>44.882671682161664</v>
      </c>
      <c r="BK193" s="586">
        <f t="shared" si="288"/>
        <v>3.7399109809317279</v>
      </c>
      <c r="BL193" s="2191"/>
      <c r="BN193" s="322">
        <f t="shared" si="276"/>
        <v>-0.10485092247317285</v>
      </c>
      <c r="BO193" s="322">
        <f t="shared" si="275"/>
        <v>0.69318608655084102</v>
      </c>
      <c r="BP193" s="322">
        <f t="shared" si="286"/>
        <v>8.3219729495910215</v>
      </c>
      <c r="BQ193" s="322">
        <f t="shared" si="272"/>
        <v>-0.19484514997628422</v>
      </c>
      <c r="BR193">
        <f t="shared" si="273"/>
        <v>2.6694995278564684</v>
      </c>
      <c r="BS193">
        <f t="shared" si="274"/>
        <v>2.4746543778801842</v>
      </c>
    </row>
    <row r="194" spans="1:71" x14ac:dyDescent="0.55000000000000004">
      <c r="A194" s="7222"/>
      <c r="B194" s="42"/>
      <c r="C194" s="35" t="s">
        <v>260</v>
      </c>
      <c r="D194" s="273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>
        <f t="shared" si="278"/>
        <v>0</v>
      </c>
      <c r="Q194" s="275">
        <f t="shared" si="279"/>
        <v>0</v>
      </c>
      <c r="R194" s="370"/>
      <c r="S194" s="273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  <c r="AE194" s="274">
        <f t="shared" si="280"/>
        <v>0</v>
      </c>
      <c r="AF194" s="275">
        <f t="shared" si="281"/>
        <v>0</v>
      </c>
      <c r="AG194" s="370"/>
      <c r="AH194" s="757"/>
      <c r="AI194" s="758"/>
      <c r="AJ194" s="758"/>
      <c r="AK194" s="758"/>
      <c r="AL194" s="758"/>
      <c r="AM194" s="758"/>
      <c r="AN194" s="1034"/>
      <c r="AO194" s="274"/>
      <c r="AP194" s="758"/>
      <c r="AQ194" s="758"/>
      <c r="AR194" s="758"/>
      <c r="AS194" s="758"/>
      <c r="AT194" s="274">
        <f t="shared" si="282"/>
        <v>0</v>
      </c>
      <c r="AU194" s="275">
        <f t="shared" si="289"/>
        <v>0</v>
      </c>
      <c r="AV194" s="926"/>
      <c r="AX194" s="758"/>
      <c r="AY194" s="758"/>
      <c r="AZ194" s="758"/>
      <c r="BA194" s="758"/>
      <c r="BB194" s="758"/>
      <c r="BC194" s="758"/>
      <c r="BD194" s="758"/>
      <c r="BE194" s="274"/>
      <c r="BF194" s="274"/>
      <c r="BG194" s="274"/>
      <c r="BH194" s="274"/>
      <c r="BI194" s="2382"/>
      <c r="BJ194" s="274">
        <f t="shared" si="287"/>
        <v>0</v>
      </c>
      <c r="BK194" s="275">
        <f t="shared" si="288"/>
        <v>0</v>
      </c>
      <c r="BL194" s="926"/>
      <c r="BN194" s="322">
        <f t="shared" si="276"/>
        <v>0</v>
      </c>
      <c r="BO194" s="322">
        <f t="shared" si="275"/>
        <v>0</v>
      </c>
      <c r="BP194" s="322">
        <f t="shared" si="286"/>
        <v>0</v>
      </c>
      <c r="BQ194" s="322">
        <f t="shared" si="272"/>
        <v>0</v>
      </c>
      <c r="BR194">
        <f t="shared" si="273"/>
        <v>0</v>
      </c>
      <c r="BS194">
        <f t="shared" si="274"/>
        <v>0</v>
      </c>
    </row>
    <row r="195" spans="1:71" x14ac:dyDescent="0.55000000000000004">
      <c r="A195" s="7222"/>
      <c r="B195" s="42"/>
      <c r="C195" s="35" t="s">
        <v>262</v>
      </c>
      <c r="D195" s="273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>
        <f t="shared" si="278"/>
        <v>0</v>
      </c>
      <c r="Q195" s="275">
        <f t="shared" si="279"/>
        <v>0</v>
      </c>
      <c r="R195" s="370"/>
      <c r="S195" s="273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  <c r="AE195" s="274">
        <f t="shared" si="280"/>
        <v>0</v>
      </c>
      <c r="AF195" s="275">
        <f t="shared" si="281"/>
        <v>0</v>
      </c>
      <c r="AG195" s="370"/>
      <c r="AH195" s="757"/>
      <c r="AI195" s="758"/>
      <c r="AJ195" s="758"/>
      <c r="AK195" s="758"/>
      <c r="AL195" s="758"/>
      <c r="AM195" s="758"/>
      <c r="AN195" s="1034"/>
      <c r="AO195" s="274"/>
      <c r="AP195" s="758"/>
      <c r="AQ195" s="758"/>
      <c r="AR195" s="758"/>
      <c r="AS195" s="758"/>
      <c r="AT195" s="274">
        <f t="shared" si="282"/>
        <v>0</v>
      </c>
      <c r="AU195" s="275">
        <f t="shared" si="289"/>
        <v>0</v>
      </c>
      <c r="AX195" s="758"/>
      <c r="AY195" s="758"/>
      <c r="AZ195" s="758"/>
      <c r="BA195" s="758"/>
      <c r="BB195" s="758"/>
      <c r="BC195" s="758"/>
      <c r="BD195" s="758"/>
      <c r="BE195" s="274"/>
      <c r="BF195" s="274"/>
      <c r="BG195" s="274"/>
      <c r="BH195" s="274"/>
      <c r="BI195" s="2382"/>
      <c r="BJ195" s="274">
        <f t="shared" si="287"/>
        <v>0</v>
      </c>
      <c r="BK195" s="275">
        <f t="shared" si="288"/>
        <v>0</v>
      </c>
      <c r="BL195" s="926"/>
      <c r="BN195" s="322">
        <f t="shared" si="276"/>
        <v>0</v>
      </c>
      <c r="BO195" s="322">
        <f t="shared" si="275"/>
        <v>0</v>
      </c>
      <c r="BP195" s="322">
        <f t="shared" si="286"/>
        <v>0</v>
      </c>
      <c r="BQ195" s="322">
        <f t="shared" si="272"/>
        <v>0</v>
      </c>
      <c r="BR195">
        <f t="shared" si="273"/>
        <v>0</v>
      </c>
      <c r="BS195">
        <f t="shared" si="274"/>
        <v>0</v>
      </c>
    </row>
    <row r="196" spans="1:71" x14ac:dyDescent="0.55000000000000004">
      <c r="A196" s="7222"/>
      <c r="B196" s="42"/>
      <c r="C196" s="35" t="s">
        <v>261</v>
      </c>
      <c r="D196" s="273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>
        <f t="shared" si="278"/>
        <v>0</v>
      </c>
      <c r="Q196" s="275">
        <f t="shared" si="279"/>
        <v>0</v>
      </c>
      <c r="R196" s="370"/>
      <c r="S196" s="273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  <c r="AE196" s="274">
        <f t="shared" si="280"/>
        <v>0</v>
      </c>
      <c r="AF196" s="275">
        <f t="shared" si="281"/>
        <v>0</v>
      </c>
      <c r="AG196" s="370"/>
      <c r="AH196" s="757"/>
      <c r="AI196" s="758"/>
      <c r="AJ196" s="758"/>
      <c r="AK196" s="758"/>
      <c r="AL196" s="758"/>
      <c r="AM196" s="758"/>
      <c r="AN196" s="1034"/>
      <c r="AO196" s="274"/>
      <c r="AP196" s="758"/>
      <c r="AQ196" s="758"/>
      <c r="AR196" s="758"/>
      <c r="AS196" s="758"/>
      <c r="AT196" s="274">
        <f t="shared" si="282"/>
        <v>0</v>
      </c>
      <c r="AU196" s="275">
        <f t="shared" si="289"/>
        <v>0</v>
      </c>
      <c r="AX196" s="758"/>
      <c r="AY196" s="758"/>
      <c r="AZ196" s="758"/>
      <c r="BA196" s="758"/>
      <c r="BB196" s="758"/>
      <c r="BC196" s="758"/>
      <c r="BD196" s="758"/>
      <c r="BE196" s="274"/>
      <c r="BF196" s="274"/>
      <c r="BG196" s="274"/>
      <c r="BH196" s="274"/>
      <c r="BI196" s="2382"/>
      <c r="BJ196" s="274">
        <f t="shared" si="287"/>
        <v>0</v>
      </c>
      <c r="BK196" s="275">
        <f t="shared" si="288"/>
        <v>0</v>
      </c>
      <c r="BL196" s="926"/>
      <c r="BN196" s="322">
        <f t="shared" si="276"/>
        <v>0</v>
      </c>
      <c r="BO196" s="322">
        <f t="shared" si="275"/>
        <v>0</v>
      </c>
      <c r="BP196" s="322">
        <f t="shared" si="286"/>
        <v>0</v>
      </c>
      <c r="BQ196" s="322">
        <f t="shared" ref="BQ196:BQ211" si="290">BS196-BR196</f>
        <v>0</v>
      </c>
      <c r="BR196">
        <f t="shared" ref="BR196:BR211" si="291">HLOOKUP($B$1,$AX$1:$BI$500,ROW(),0)</f>
        <v>0</v>
      </c>
      <c r="BS196">
        <f t="shared" ref="BS196:BS211" si="292">HLOOKUP($A$1,$AX$1:$BI$500,ROW(),0)</f>
        <v>0</v>
      </c>
    </row>
    <row r="197" spans="1:71" x14ac:dyDescent="0.55000000000000004">
      <c r="A197" s="7222"/>
      <c r="B197" s="243" t="s">
        <v>222</v>
      </c>
      <c r="C197" s="107"/>
      <c r="D197" s="576">
        <v>3.315151515151515</v>
      </c>
      <c r="E197" s="567">
        <v>2.5476190476190474</v>
      </c>
      <c r="F197" s="567">
        <v>2.5031055900621118</v>
      </c>
      <c r="G197" s="567">
        <v>2.4596273291925468</v>
      </c>
      <c r="H197" s="567">
        <v>2.5398773006134969</v>
      </c>
      <c r="I197" s="567">
        <v>2.9433962264150941</v>
      </c>
      <c r="J197" s="567">
        <v>2.6770186335403725</v>
      </c>
      <c r="K197" s="567">
        <v>2.9440993788819876</v>
      </c>
      <c r="L197" s="567">
        <v>2.4037267080745344</v>
      </c>
      <c r="M197" s="567">
        <v>1.9207317073170731</v>
      </c>
      <c r="N197" s="567">
        <v>2.3812500000000001</v>
      </c>
      <c r="O197" s="567">
        <v>2.1349693251533743</v>
      </c>
      <c r="P197" s="567">
        <f t="shared" si="278"/>
        <v>30.770572762021153</v>
      </c>
      <c r="Q197" s="465">
        <f t="shared" si="279"/>
        <v>2.5642143968350961</v>
      </c>
      <c r="R197" s="370"/>
      <c r="S197" s="576">
        <v>2.6335403726708075</v>
      </c>
      <c r="T197" s="567">
        <v>2.9570552147239262</v>
      </c>
      <c r="U197" s="567">
        <v>2.8679245283018866</v>
      </c>
      <c r="V197" s="567">
        <v>3.3717948717948718</v>
      </c>
      <c r="W197" s="567">
        <v>2.6258064516129034</v>
      </c>
      <c r="X197" s="567">
        <v>2.6193548387096772</v>
      </c>
      <c r="Y197" s="567">
        <v>2.2838709677419353</v>
      </c>
      <c r="Z197" s="567">
        <v>3.1592356687898091</v>
      </c>
      <c r="AA197" s="567">
        <v>1.7828947368421053</v>
      </c>
      <c r="AB197" s="567">
        <v>2.1446540880503147</v>
      </c>
      <c r="AC197" s="567">
        <v>1.7639751552795031</v>
      </c>
      <c r="AD197" s="567">
        <v>1.5426829268292683</v>
      </c>
      <c r="AE197" s="567">
        <f t="shared" si="280"/>
        <v>29.752789821347012</v>
      </c>
      <c r="AF197" s="465">
        <f t="shared" si="281"/>
        <v>2.4793991517789178</v>
      </c>
      <c r="AG197" s="370"/>
      <c r="AH197" s="2320">
        <v>2.4706500420285797</v>
      </c>
      <c r="AI197" s="2321">
        <v>1.9215053763440859</v>
      </c>
      <c r="AJ197" s="2321">
        <v>2.03125</v>
      </c>
      <c r="AK197" s="2321">
        <v>2.5429553264604809</v>
      </c>
      <c r="AL197" s="2321">
        <v>2.3842592592592595</v>
      </c>
      <c r="AM197" s="2321">
        <v>2.30459615038676</v>
      </c>
      <c r="AN197" s="2321">
        <v>3.0957767722473606</v>
      </c>
      <c r="AO197" s="2321">
        <v>2.5598865711813898</v>
      </c>
      <c r="AP197" s="2321">
        <v>2.404725480197178</v>
      </c>
      <c r="AQ197" s="2321">
        <v>2.1349587912087911</v>
      </c>
      <c r="AR197" s="2321">
        <v>2.39481733220051</v>
      </c>
      <c r="AS197" s="2321">
        <v>2.1045454545454545</v>
      </c>
      <c r="AT197" s="2321">
        <f t="shared" si="282"/>
        <v>28.349926556059856</v>
      </c>
      <c r="AU197" s="2322">
        <f t="shared" si="289"/>
        <v>2.3624938796716548</v>
      </c>
      <c r="AV197" s="2323"/>
      <c r="AW197" s="2323"/>
      <c r="AX197" s="2321">
        <v>1.771768140116764</v>
      </c>
      <c r="AY197" s="2321">
        <v>3.4622344944774852</v>
      </c>
      <c r="AZ197" s="2321">
        <v>2.6642407906558851</v>
      </c>
      <c r="BA197" s="2321">
        <v>3.3121128062875638</v>
      </c>
      <c r="BB197" s="2321">
        <v>6.4236708275543224</v>
      </c>
      <c r="BC197" s="2321">
        <v>3.0899001109877915</v>
      </c>
      <c r="BD197" s="567">
        <v>4.3942307692307692</v>
      </c>
      <c r="BE197" s="2321">
        <v>2.7698039215686272</v>
      </c>
      <c r="BF197" s="2321">
        <v>2.8423065607531628</v>
      </c>
      <c r="BG197" s="2321">
        <v>1.8515594917212168</v>
      </c>
      <c r="BH197" s="2321">
        <v>2.2900432900432897</v>
      </c>
      <c r="BI197" s="2381">
        <v>2.0348438513576128</v>
      </c>
      <c r="BJ197" s="567">
        <f t="shared" si="287"/>
        <v>36.906715054754493</v>
      </c>
      <c r="BK197" s="465">
        <f t="shared" si="288"/>
        <v>3.0753033126201563</v>
      </c>
      <c r="BL197" s="2191"/>
      <c r="BN197" s="322">
        <f t="shared" si="276"/>
        <v>-6.9701603187841688E-2</v>
      </c>
      <c r="BO197" s="322">
        <f t="shared" si="275"/>
        <v>0.71280943294850152</v>
      </c>
      <c r="BP197" s="322">
        <f t="shared" si="286"/>
        <v>8.5567884986946368</v>
      </c>
      <c r="BQ197" s="322">
        <f t="shared" si="290"/>
        <v>-0.25519943868567685</v>
      </c>
      <c r="BR197">
        <f t="shared" si="291"/>
        <v>2.2900432900432897</v>
      </c>
      <c r="BS197">
        <f t="shared" si="292"/>
        <v>2.0348438513576128</v>
      </c>
    </row>
    <row r="198" spans="1:71" x14ac:dyDescent="0.55000000000000004">
      <c r="A198" s="7222"/>
      <c r="B198" s="235" t="s">
        <v>223</v>
      </c>
      <c r="C198" s="14"/>
      <c r="D198" s="577">
        <v>3.8160919540229883</v>
      </c>
      <c r="E198" s="568">
        <v>2.5470588235294116</v>
      </c>
      <c r="F198" s="568">
        <v>2.75</v>
      </c>
      <c r="G198" s="568">
        <v>2.9202453987730062</v>
      </c>
      <c r="H198" s="568">
        <v>2.6176470588235294</v>
      </c>
      <c r="I198" s="568">
        <v>2.7041420118343193</v>
      </c>
      <c r="J198" s="568">
        <v>2.5764705882352943</v>
      </c>
      <c r="K198" s="568">
        <v>2.6081871345029239</v>
      </c>
      <c r="L198" s="568">
        <v>2.7393939393939393</v>
      </c>
      <c r="M198" s="568">
        <v>2.3508771929824563</v>
      </c>
      <c r="N198" s="568">
        <v>2.2640449438202248</v>
      </c>
      <c r="O198" s="568">
        <v>2.2762430939226519</v>
      </c>
      <c r="P198" s="568">
        <f t="shared" si="278"/>
        <v>32.170402139840746</v>
      </c>
      <c r="Q198" s="569">
        <f t="shared" si="279"/>
        <v>2.680866844986729</v>
      </c>
      <c r="R198" s="370"/>
      <c r="S198" s="577">
        <v>2.8770949720670389</v>
      </c>
      <c r="T198" s="568">
        <v>3.4180790960451977</v>
      </c>
      <c r="U198" s="568">
        <v>3.3333333333333335</v>
      </c>
      <c r="V198" s="568">
        <v>3.3465909090909092</v>
      </c>
      <c r="W198" s="568">
        <v>3.0571428571428569</v>
      </c>
      <c r="X198" s="568">
        <v>2.9595375722543351</v>
      </c>
      <c r="Y198" s="568">
        <v>2.4739884393063583</v>
      </c>
      <c r="Z198" s="568">
        <v>3.6511627906976742</v>
      </c>
      <c r="AA198" s="568">
        <v>2.128654970760234</v>
      </c>
      <c r="AB198" s="568">
        <v>2.9367816091954024</v>
      </c>
      <c r="AC198" s="568">
        <v>2.2988505747126435</v>
      </c>
      <c r="AD198" s="568">
        <v>2.0914285714285716</v>
      </c>
      <c r="AE198" s="568">
        <f t="shared" si="280"/>
        <v>34.572645696034556</v>
      </c>
      <c r="AF198" s="569">
        <f t="shared" si="281"/>
        <v>2.8810538080028798</v>
      </c>
      <c r="AG198" s="370"/>
      <c r="AH198" s="2324">
        <v>3.6535654845730381</v>
      </c>
      <c r="AI198" s="2325">
        <v>2.5999876022811801</v>
      </c>
      <c r="AJ198" s="2325">
        <v>2.9981538069773364</v>
      </c>
      <c r="AK198" s="2325">
        <v>3.1488848704038581</v>
      </c>
      <c r="AL198" s="2325">
        <v>3.2170454545454543</v>
      </c>
      <c r="AM198" s="2325">
        <v>2.7567551119766311</v>
      </c>
      <c r="AN198" s="2325">
        <v>3.781930333817126</v>
      </c>
      <c r="AO198" s="2325">
        <v>2.7676282051282053</v>
      </c>
      <c r="AP198" s="2325">
        <v>2.654127358490566</v>
      </c>
      <c r="AQ198" s="2325">
        <v>2.7101265822784812</v>
      </c>
      <c r="AR198" s="2325">
        <v>3.1363095238095235</v>
      </c>
      <c r="AS198" s="2325">
        <v>2.7620416966211359</v>
      </c>
      <c r="AT198" s="2325">
        <f t="shared" si="282"/>
        <v>36.186556030902537</v>
      </c>
      <c r="AU198" s="2326">
        <f t="shared" si="289"/>
        <v>3.0155463359085446</v>
      </c>
      <c r="AV198" s="2323"/>
      <c r="AW198" s="2323"/>
      <c r="AX198" s="2325">
        <v>2.757798276489865</v>
      </c>
      <c r="AY198" s="2325">
        <v>5.1253459119496849</v>
      </c>
      <c r="AZ198" s="2325">
        <v>3.6652567615870368</v>
      </c>
      <c r="BA198" s="2325">
        <v>4.048139360639361</v>
      </c>
      <c r="BB198" s="2325">
        <v>8.0531425651507398</v>
      </c>
      <c r="BC198" s="2325">
        <v>3.6998705501618123</v>
      </c>
      <c r="BD198" s="568">
        <v>5.1976744186046515</v>
      </c>
      <c r="BE198" s="2325">
        <v>3.7229126213592236</v>
      </c>
      <c r="BF198" s="2325">
        <v>4.3420711974110038</v>
      </c>
      <c r="BG198" s="2325">
        <v>2.7071153846153848</v>
      </c>
      <c r="BH198" s="2325">
        <v>2.510691823899371</v>
      </c>
      <c r="BI198" s="2382">
        <v>2.7304284500546183</v>
      </c>
      <c r="BJ198" s="568">
        <f t="shared" si="287"/>
        <v>48.560447321922744</v>
      </c>
      <c r="BK198" s="569">
        <f t="shared" si="288"/>
        <v>4.0463667462647068</v>
      </c>
      <c r="BL198" s="2191"/>
      <c r="BN198" s="322">
        <f t="shared" si="276"/>
        <v>-3.1613246566517539E-2</v>
      </c>
      <c r="BO198" s="322">
        <f t="shared" si="275"/>
        <v>1.0308204103561622</v>
      </c>
      <c r="BP198" s="322">
        <f t="shared" si="286"/>
        <v>12.373891291020207</v>
      </c>
      <c r="BQ198" s="322">
        <f t="shared" si="290"/>
        <v>0.21973662615524736</v>
      </c>
      <c r="BR198">
        <f t="shared" si="291"/>
        <v>2.510691823899371</v>
      </c>
      <c r="BS198">
        <f t="shared" si="292"/>
        <v>2.7304284500546183</v>
      </c>
    </row>
    <row r="199" spans="1:71" x14ac:dyDescent="0.55000000000000004">
      <c r="A199" s="7222"/>
      <c r="B199" s="235" t="s">
        <v>224</v>
      </c>
      <c r="C199" s="14"/>
      <c r="D199" s="577">
        <v>3.9460784313725492</v>
      </c>
      <c r="E199" s="568">
        <v>2.8067632850241546</v>
      </c>
      <c r="F199" s="568">
        <v>3.0566037735849059</v>
      </c>
      <c r="G199" s="568">
        <v>3.0285714285714285</v>
      </c>
      <c r="H199" s="568">
        <v>2.9230769230769229</v>
      </c>
      <c r="I199" s="568">
        <v>2.8212560386473431</v>
      </c>
      <c r="J199" s="568">
        <v>2.6238095238095238</v>
      </c>
      <c r="K199" s="568">
        <v>3.2056074766355138</v>
      </c>
      <c r="L199" s="568">
        <v>2.7844036697247705</v>
      </c>
      <c r="M199" s="568">
        <v>2.6784140969162995</v>
      </c>
      <c r="N199" s="568">
        <v>3.0917030567685591</v>
      </c>
      <c r="O199" s="568">
        <v>2.6293103448275863</v>
      </c>
      <c r="P199" s="568">
        <f t="shared" si="278"/>
        <v>35.595598048959559</v>
      </c>
      <c r="Q199" s="569">
        <f t="shared" si="279"/>
        <v>2.9662998374132967</v>
      </c>
      <c r="R199" s="370"/>
      <c r="S199" s="577">
        <v>3.188340807174888</v>
      </c>
      <c r="T199" s="568">
        <v>3.3045454545454547</v>
      </c>
      <c r="U199" s="568">
        <v>3.2008928571428572</v>
      </c>
      <c r="V199" s="568">
        <v>3.3603603603603602</v>
      </c>
      <c r="W199" s="568">
        <v>3</v>
      </c>
      <c r="X199" s="568">
        <v>2.9862385321100917</v>
      </c>
      <c r="Y199" s="568">
        <v>2.4976525821596245</v>
      </c>
      <c r="Z199" s="568">
        <v>4.164319248826291</v>
      </c>
      <c r="AA199" s="568">
        <v>2.4541284403669725</v>
      </c>
      <c r="AB199" s="568">
        <v>2.8935185185185186</v>
      </c>
      <c r="AC199" s="568">
        <v>3.1520737327188941</v>
      </c>
      <c r="AD199" s="568">
        <v>2.1566820276497696</v>
      </c>
      <c r="AE199" s="568">
        <f t="shared" si="280"/>
        <v>36.358752561573723</v>
      </c>
      <c r="AF199" s="569">
        <f t="shared" si="281"/>
        <v>3.0298960467978104</v>
      </c>
      <c r="AG199" s="370"/>
      <c r="AH199" s="2324">
        <v>3.9645936981757877</v>
      </c>
      <c r="AI199" s="2325">
        <v>3.2162716312638402</v>
      </c>
      <c r="AJ199" s="2325">
        <v>3.353405315614618</v>
      </c>
      <c r="AK199" s="2325">
        <v>3.5013700838168922</v>
      </c>
      <c r="AL199" s="2325">
        <v>3.7546449378050699</v>
      </c>
      <c r="AM199" s="2325">
        <v>2.7424242424242422</v>
      </c>
      <c r="AN199" s="2325">
        <v>3.6875624375624376</v>
      </c>
      <c r="AO199" s="2325">
        <v>3.0222222222222221</v>
      </c>
      <c r="AP199" s="2325">
        <v>3.4849153789551135</v>
      </c>
      <c r="AQ199" s="2325">
        <v>3.4028966894977168</v>
      </c>
      <c r="AR199" s="2325">
        <v>3.1577984234234235</v>
      </c>
      <c r="AS199" s="2325">
        <v>3.0304974765681325</v>
      </c>
      <c r="AT199" s="2325">
        <f t="shared" si="282"/>
        <v>40.31860253732949</v>
      </c>
      <c r="AU199" s="2326">
        <f t="shared" si="289"/>
        <v>3.3598835447774573</v>
      </c>
      <c r="AV199" s="2323"/>
      <c r="AW199" s="2323"/>
      <c r="AX199" s="2325">
        <v>2.3991362496517135</v>
      </c>
      <c r="AY199" s="2325">
        <v>4.8538812785388128</v>
      </c>
      <c r="AZ199" s="2325">
        <v>3.5104566794707637</v>
      </c>
      <c r="BA199" s="2325">
        <v>4.2756172399029539</v>
      </c>
      <c r="BB199" s="2325">
        <v>7.2504255319148943</v>
      </c>
      <c r="BC199" s="2325">
        <v>4.2233063328424159</v>
      </c>
      <c r="BD199" s="568">
        <v>5.7711864406779663</v>
      </c>
      <c r="BE199" s="2325">
        <v>4.1488537027873988</v>
      </c>
      <c r="BF199" s="2325">
        <v>4.3735896196002582</v>
      </c>
      <c r="BG199" s="2325">
        <v>2.9417736387280815</v>
      </c>
      <c r="BH199" s="2325">
        <v>3.2703735508802061</v>
      </c>
      <c r="BI199" s="2382">
        <v>3.0271978021978021</v>
      </c>
      <c r="BJ199" s="568">
        <f>SUM(AX199:BI199)</f>
        <v>50.045798067193275</v>
      </c>
      <c r="BK199" s="569">
        <f t="shared" si="288"/>
        <v>4.1701356609610265</v>
      </c>
      <c r="BL199" s="2191"/>
      <c r="BN199" s="322">
        <f t="shared" si="276"/>
        <v>-3.2996743703304077E-3</v>
      </c>
      <c r="BO199" s="322">
        <f t="shared" si="275"/>
        <v>0.81025211618356918</v>
      </c>
      <c r="BP199" s="322">
        <f t="shared" si="286"/>
        <v>9.7271955298637849</v>
      </c>
      <c r="BQ199" s="322">
        <f t="shared" si="290"/>
        <v>-0.24317574868240399</v>
      </c>
      <c r="BR199">
        <f t="shared" si="291"/>
        <v>3.2703735508802061</v>
      </c>
      <c r="BS199">
        <f t="shared" si="292"/>
        <v>3.0271978021978021</v>
      </c>
    </row>
    <row r="200" spans="1:71" x14ac:dyDescent="0.55000000000000004">
      <c r="A200" s="7222"/>
      <c r="B200" s="235" t="s">
        <v>225</v>
      </c>
      <c r="C200" s="14"/>
      <c r="D200" s="577">
        <v>4.1244813278008294</v>
      </c>
      <c r="E200" s="568">
        <v>3.3278688524590163</v>
      </c>
      <c r="F200" s="568">
        <v>3.3405172413793105</v>
      </c>
      <c r="G200" s="568">
        <v>3.1386554621848739</v>
      </c>
      <c r="H200" s="568">
        <v>3.2226720647773281</v>
      </c>
      <c r="I200" s="568">
        <v>3.3359683794466402</v>
      </c>
      <c r="J200" s="568">
        <v>2.5627376425855513</v>
      </c>
      <c r="K200" s="568">
        <v>3.4202334630350193</v>
      </c>
      <c r="L200" s="568">
        <v>2.3409961685823757</v>
      </c>
      <c r="M200" s="568">
        <v>2.6468253968253967</v>
      </c>
      <c r="N200" s="568">
        <v>2.9302325581395348</v>
      </c>
      <c r="O200" s="568">
        <v>2.718146718146718</v>
      </c>
      <c r="P200" s="568">
        <f t="shared" si="278"/>
        <v>37.109335275362596</v>
      </c>
      <c r="Q200" s="569">
        <f t="shared" si="279"/>
        <v>3.0924446062802162</v>
      </c>
      <c r="R200" s="370"/>
      <c r="S200" s="577">
        <v>3.26953125</v>
      </c>
      <c r="T200" s="568">
        <v>4.271653543307087</v>
      </c>
      <c r="U200" s="568">
        <v>3.6031746031746033</v>
      </c>
      <c r="V200" s="568">
        <v>3.564516129032258</v>
      </c>
      <c r="W200" s="568">
        <v>3.2806324110671938</v>
      </c>
      <c r="X200" s="568">
        <v>3.4703557312252964</v>
      </c>
      <c r="Y200" s="568">
        <v>2.6408163265306124</v>
      </c>
      <c r="Z200" s="568">
        <v>4.0658436213991767</v>
      </c>
      <c r="AA200" s="568">
        <v>2.5798319327731094</v>
      </c>
      <c r="AB200" s="568">
        <v>2.9957983193277311</v>
      </c>
      <c r="AC200" s="568">
        <v>2.9458333333333333</v>
      </c>
      <c r="AD200" s="568">
        <v>2.518828451882845</v>
      </c>
      <c r="AE200" s="568">
        <f t="shared" si="280"/>
        <v>39.206815653053248</v>
      </c>
      <c r="AF200" s="569">
        <f t="shared" si="281"/>
        <v>3.2672346377544375</v>
      </c>
      <c r="AG200" s="370"/>
      <c r="AH200" s="2324">
        <v>4.1576666666666666</v>
      </c>
      <c r="AI200" s="2325">
        <v>3.2848118279569891</v>
      </c>
      <c r="AJ200" s="2325">
        <v>3.9586776859504136</v>
      </c>
      <c r="AK200" s="2325">
        <v>4.1391071670505353</v>
      </c>
      <c r="AL200" s="2325">
        <v>3.9611100441713081</v>
      </c>
      <c r="AM200" s="2325">
        <v>3.6417011019283745</v>
      </c>
      <c r="AN200" s="2325">
        <v>4.7463054187192117</v>
      </c>
      <c r="AO200" s="2325">
        <v>3.3667608286252353</v>
      </c>
      <c r="AP200" s="2325">
        <v>3.5466101694915255</v>
      </c>
      <c r="AQ200" s="2325">
        <v>3.9174908548977108</v>
      </c>
      <c r="AR200" s="2325">
        <v>3.391792489353465</v>
      </c>
      <c r="AS200" s="2325">
        <v>2.9668898809523809</v>
      </c>
      <c r="AT200" s="2325">
        <f t="shared" si="282"/>
        <v>45.078924135763813</v>
      </c>
      <c r="AU200" s="2326">
        <f t="shared" si="289"/>
        <v>3.756577011313651</v>
      </c>
      <c r="AV200" s="2323"/>
      <c r="AW200" s="2323"/>
      <c r="AX200" s="2325">
        <v>2.2860696517412933</v>
      </c>
      <c r="AY200" s="2325">
        <v>4.8891290322580652</v>
      </c>
      <c r="AZ200" s="2325">
        <v>3.81504132231405</v>
      </c>
      <c r="BA200" s="2325">
        <v>5.2863669959013642</v>
      </c>
      <c r="BB200" s="2325">
        <v>7.5213797814207641</v>
      </c>
      <c r="BC200" s="2325">
        <v>4.5964067796610166</v>
      </c>
      <c r="BD200" s="568">
        <v>6.5732217573221758</v>
      </c>
      <c r="BE200" s="2325">
        <v>4.3844793435200904</v>
      </c>
      <c r="BF200" s="2325">
        <v>4.3049270990447459</v>
      </c>
      <c r="BG200" s="2325">
        <v>3.3540404040404042</v>
      </c>
      <c r="BH200" s="2325">
        <v>3.0448698547215498</v>
      </c>
      <c r="BI200" s="2382">
        <v>2.5477116466421279</v>
      </c>
      <c r="BJ200" s="568">
        <f t="shared" si="287"/>
        <v>52.603643668587644</v>
      </c>
      <c r="BK200" s="569">
        <f t="shared" si="288"/>
        <v>4.3832716997406589</v>
      </c>
      <c r="BL200" s="2191"/>
      <c r="BN200" s="322">
        <f t="shared" si="276"/>
        <v>-0.41917823431025303</v>
      </c>
      <c r="BO200" s="322">
        <f t="shared" si="275"/>
        <v>0.62669468842700793</v>
      </c>
      <c r="BP200" s="322">
        <f t="shared" si="286"/>
        <v>7.5247195328238305</v>
      </c>
      <c r="BQ200" s="322">
        <f t="shared" si="290"/>
        <v>-0.4971582080794219</v>
      </c>
      <c r="BR200">
        <f t="shared" si="291"/>
        <v>3.0448698547215498</v>
      </c>
      <c r="BS200">
        <f t="shared" si="292"/>
        <v>2.5477116466421279</v>
      </c>
    </row>
    <row r="201" spans="1:71" x14ac:dyDescent="0.55000000000000004">
      <c r="A201" s="7222"/>
      <c r="B201" s="236" t="s">
        <v>226</v>
      </c>
      <c r="C201" s="29"/>
      <c r="D201" s="578">
        <v>3.5862068965517242</v>
      </c>
      <c r="E201" s="570">
        <v>2.6802030456852792</v>
      </c>
      <c r="F201" s="570">
        <v>2.6345177664974617</v>
      </c>
      <c r="G201" s="570">
        <v>2.4321608040201004</v>
      </c>
      <c r="H201" s="570">
        <v>2.5961538461538463</v>
      </c>
      <c r="I201" s="570">
        <v>2.5714285714285716</v>
      </c>
      <c r="J201" s="570">
        <v>2.5670103092783507</v>
      </c>
      <c r="K201" s="570">
        <v>3.0572916666666665</v>
      </c>
      <c r="L201" s="570">
        <v>2.1597938144329896</v>
      </c>
      <c r="M201" s="570">
        <v>2.3514851485148514</v>
      </c>
      <c r="N201" s="570">
        <v>2.5260663507109005</v>
      </c>
      <c r="O201" s="570">
        <v>1.9553571428571428</v>
      </c>
      <c r="P201" s="570">
        <f t="shared" si="278"/>
        <v>31.117675362797886</v>
      </c>
      <c r="Q201" s="571">
        <f t="shared" si="279"/>
        <v>2.5931396135664904</v>
      </c>
      <c r="R201" s="370"/>
      <c r="S201" s="578">
        <v>2.5233644859813085</v>
      </c>
      <c r="T201" s="570">
        <v>2.8620689655172415</v>
      </c>
      <c r="U201" s="570">
        <v>2.5</v>
      </c>
      <c r="V201" s="570">
        <v>2.7910447761194028</v>
      </c>
      <c r="W201" s="570">
        <v>2.2057416267942584</v>
      </c>
      <c r="X201" s="570">
        <v>2.349514563106796</v>
      </c>
      <c r="Y201" s="570">
        <v>2.3163265306122449</v>
      </c>
      <c r="Z201" s="570">
        <v>3.0483091787439616</v>
      </c>
      <c r="AA201" s="570">
        <v>2.1463414634146343</v>
      </c>
      <c r="AB201" s="570">
        <v>2.5792079207920793</v>
      </c>
      <c r="AC201" s="570">
        <v>2.0817307692307692</v>
      </c>
      <c r="AD201" s="570">
        <v>1.9033816425120773</v>
      </c>
      <c r="AE201" s="570">
        <f t="shared" si="280"/>
        <v>29.307031922824777</v>
      </c>
      <c r="AF201" s="571">
        <f t="shared" si="281"/>
        <v>2.4422526602353982</v>
      </c>
      <c r="AG201" s="370"/>
      <c r="AH201" s="2327">
        <v>2.9392523364485981</v>
      </c>
      <c r="AI201" s="2328">
        <v>2.130328247803976</v>
      </c>
      <c r="AJ201" s="2328">
        <v>3.1788003663003659</v>
      </c>
      <c r="AK201" s="2328">
        <v>3.0321261682242993</v>
      </c>
      <c r="AL201" s="2328">
        <v>2.9660826594788858</v>
      </c>
      <c r="AM201" s="2328">
        <v>2.7864926739926741</v>
      </c>
      <c r="AN201" s="2328">
        <v>3.0267857142857144</v>
      </c>
      <c r="AO201" s="2328">
        <v>2.4174757281553401</v>
      </c>
      <c r="AP201" s="2328">
        <v>2.6460683209796967</v>
      </c>
      <c r="AQ201" s="2328">
        <v>2.2845782237086585</v>
      </c>
      <c r="AR201" s="2328">
        <v>2.4184097140618883</v>
      </c>
      <c r="AS201" s="2328">
        <v>1.9962087421944692</v>
      </c>
      <c r="AT201" s="2328">
        <f t="shared" si="282"/>
        <v>31.822608895634566</v>
      </c>
      <c r="AU201" s="2329">
        <f t="shared" si="289"/>
        <v>2.651884074636214</v>
      </c>
      <c r="AV201" s="2323"/>
      <c r="AW201" s="2323"/>
      <c r="AX201" s="2328">
        <v>1.8112903225806452</v>
      </c>
      <c r="AY201" s="2328">
        <v>3.8026366509906717</v>
      </c>
      <c r="AZ201" s="2328">
        <v>3.0750000000000002</v>
      </c>
      <c r="BA201" s="2328">
        <v>2.8850830682219866</v>
      </c>
      <c r="BB201" s="2328">
        <v>5.3057288057288057</v>
      </c>
      <c r="BC201" s="2328">
        <v>2.9869029275808936</v>
      </c>
      <c r="BD201" s="570">
        <v>4.283842794759825</v>
      </c>
      <c r="BE201" s="2328">
        <v>3.0016608668142992</v>
      </c>
      <c r="BF201" s="2328">
        <v>2.763166144200627</v>
      </c>
      <c r="BG201" s="2328">
        <v>2.2056924180817985</v>
      </c>
      <c r="BH201" s="2328">
        <v>2.1846846846846848</v>
      </c>
      <c r="BI201" s="2383">
        <v>2.0358853616952182</v>
      </c>
      <c r="BJ201" s="570">
        <f t="shared" si="287"/>
        <v>36.341574045339456</v>
      </c>
      <c r="BK201" s="571">
        <f t="shared" si="288"/>
        <v>3.0282121527655579</v>
      </c>
      <c r="BL201" s="2191"/>
      <c r="BN201" s="322">
        <f t="shared" si="276"/>
        <v>3.9676619500748966E-2</v>
      </c>
      <c r="BO201" s="322">
        <f t="shared" ref="BO201:BO212" si="293">BK201-AU201</f>
        <v>0.37632807812934388</v>
      </c>
      <c r="BP201" s="322">
        <f t="shared" si="286"/>
        <v>4.5189651497048899</v>
      </c>
      <c r="BQ201" s="322">
        <f t="shared" si="290"/>
        <v>-0.14879932298946663</v>
      </c>
      <c r="BR201">
        <f t="shared" si="291"/>
        <v>2.1846846846846848</v>
      </c>
      <c r="BS201">
        <f t="shared" si="292"/>
        <v>2.0358853616952182</v>
      </c>
    </row>
    <row r="202" spans="1:71" x14ac:dyDescent="0.55000000000000004">
      <c r="A202" s="7222"/>
      <c r="B202" s="244"/>
      <c r="C202" s="176" t="s">
        <v>227</v>
      </c>
      <c r="D202" s="563">
        <v>3.7361111111111112</v>
      </c>
      <c r="E202" s="563">
        <v>2.9142857142857141</v>
      </c>
      <c r="F202" s="563">
        <v>2.8382352941176472</v>
      </c>
      <c r="G202" s="563">
        <v>2.7</v>
      </c>
      <c r="H202" s="563">
        <v>2.3888888888888888</v>
      </c>
      <c r="I202" s="563">
        <v>3.2428571428571429</v>
      </c>
      <c r="J202" s="563">
        <v>3.0675675675675675</v>
      </c>
      <c r="K202" s="563">
        <v>2.8684210526315788</v>
      </c>
      <c r="L202" s="563">
        <v>2.7236842105263159</v>
      </c>
      <c r="M202" s="563">
        <v>1.7948717948717949</v>
      </c>
      <c r="N202" s="563">
        <v>1.986842105263158</v>
      </c>
      <c r="O202" s="563">
        <v>1.9367088607594938</v>
      </c>
      <c r="P202" s="563">
        <f t="shared" si="278"/>
        <v>32.198473742880417</v>
      </c>
      <c r="Q202" s="572">
        <f t="shared" si="279"/>
        <v>2.6832061452400349</v>
      </c>
      <c r="R202" s="370"/>
      <c r="S202" s="579">
        <v>2.3624999999999998</v>
      </c>
      <c r="T202" s="563">
        <v>2.691358024691358</v>
      </c>
      <c r="U202" s="563">
        <v>3.1818181818181817</v>
      </c>
      <c r="V202" s="563">
        <v>3.6538461538461537</v>
      </c>
      <c r="W202" s="563">
        <v>2.75</v>
      </c>
      <c r="X202" s="563">
        <v>2.8157894736842106</v>
      </c>
      <c r="Y202" s="563">
        <v>2.4473684210526314</v>
      </c>
      <c r="Z202" s="563">
        <v>3.1923076923076925</v>
      </c>
      <c r="AA202" s="563">
        <v>1.736842105263158</v>
      </c>
      <c r="AB202" s="563">
        <v>2.4736842105263159</v>
      </c>
      <c r="AC202" s="563">
        <v>2.2987012987012987</v>
      </c>
      <c r="AD202" s="563">
        <v>1.875</v>
      </c>
      <c r="AE202" s="563">
        <f t="shared" si="280"/>
        <v>31.479215561890999</v>
      </c>
      <c r="AF202" s="572">
        <f t="shared" si="281"/>
        <v>2.6232679634909166</v>
      </c>
      <c r="AG202" s="370"/>
      <c r="AH202" s="2330">
        <v>2.2906976744186047</v>
      </c>
      <c r="AI202" s="2331">
        <v>2.043010752688172</v>
      </c>
      <c r="AJ202" s="2331">
        <v>2.2708333333333335</v>
      </c>
      <c r="AK202" s="2331">
        <v>2.7525773195876289</v>
      </c>
      <c r="AL202" s="2331">
        <v>2.3333333333333335</v>
      </c>
      <c r="AM202" s="2331">
        <v>2.3431372549019609</v>
      </c>
      <c r="AN202" s="2331">
        <v>2.4607843137254903</v>
      </c>
      <c r="AO202" s="2331">
        <v>2.1683168316831685</v>
      </c>
      <c r="AP202" s="2331">
        <v>1.6396396396396395</v>
      </c>
      <c r="AQ202" s="2331">
        <v>1.7788461538461535</v>
      </c>
      <c r="AR202" s="2331">
        <v>1.9532710280373835</v>
      </c>
      <c r="AS202" s="2331">
        <v>1.9818181818181819</v>
      </c>
      <c r="AT202" s="2331">
        <f t="shared" si="282"/>
        <v>26.01626581701305</v>
      </c>
      <c r="AU202" s="2332">
        <f t="shared" si="289"/>
        <v>2.168022151417754</v>
      </c>
      <c r="AV202" s="2323"/>
      <c r="AW202" s="2323"/>
      <c r="AX202" s="2331">
        <v>1.7545454545454546</v>
      </c>
      <c r="AY202" s="2331">
        <v>3.0272727272727273</v>
      </c>
      <c r="AZ202" s="2331">
        <v>2.5094339622641511</v>
      </c>
      <c r="BA202" s="2331">
        <v>3.2718446601941746</v>
      </c>
      <c r="BB202" s="2331">
        <v>6.4854368932038833</v>
      </c>
      <c r="BC202" s="2331">
        <v>3.2647058823529411</v>
      </c>
      <c r="BD202" s="563">
        <v>4.4807692307692308</v>
      </c>
      <c r="BE202" s="563">
        <v>2.52</v>
      </c>
      <c r="BF202" s="2331">
        <v>2.8787878787878789</v>
      </c>
      <c r="BG202" s="2331">
        <v>1.8163265306122449</v>
      </c>
      <c r="BH202" s="2331">
        <v>2.1515151515151514</v>
      </c>
      <c r="BI202" s="2384">
        <v>1.9595959595959596</v>
      </c>
      <c r="BJ202" s="563">
        <f t="shared" si="287"/>
        <v>36.120234331113792</v>
      </c>
      <c r="BK202" s="572">
        <f t="shared" si="288"/>
        <v>3.0097687135333548</v>
      </c>
      <c r="BL202" s="2191"/>
      <c r="BN202" s="322">
        <f t="shared" ref="BN202:BN211" si="294">HLOOKUP($A$1,$AX$1:$BI$500,ROW(),0)-HLOOKUP($A$1,$AH$1:$AS$500,ROW(),0)</f>
        <v>-2.2222222222222365E-2</v>
      </c>
      <c r="BO202" s="322">
        <f t="shared" si="293"/>
        <v>0.84174656211560084</v>
      </c>
      <c r="BP202" s="322">
        <f t="shared" ref="BP202:BP211" si="295">BJ202-SUM(AH202:AS202)</f>
        <v>10.103968514100742</v>
      </c>
      <c r="BQ202" s="322">
        <f t="shared" si="290"/>
        <v>-0.19191919191919182</v>
      </c>
      <c r="BR202">
        <f t="shared" si="291"/>
        <v>2.1515151515151514</v>
      </c>
      <c r="BS202">
        <f t="shared" si="292"/>
        <v>1.9595959595959596</v>
      </c>
    </row>
    <row r="203" spans="1:71" x14ac:dyDescent="0.55000000000000004">
      <c r="A203" s="7222"/>
      <c r="B203" s="245"/>
      <c r="C203" s="177" t="s">
        <v>228</v>
      </c>
      <c r="D203" s="564">
        <v>2.989247311827957</v>
      </c>
      <c r="E203" s="564">
        <v>2.2857142857142856</v>
      </c>
      <c r="F203" s="564">
        <v>2.2580645161290325</v>
      </c>
      <c r="G203" s="564">
        <v>2.2747252747252746</v>
      </c>
      <c r="H203" s="564">
        <v>2.6593406593406592</v>
      </c>
      <c r="I203" s="564">
        <v>2.707865168539326</v>
      </c>
      <c r="J203" s="564">
        <v>2.3448275862068964</v>
      </c>
      <c r="K203" s="564">
        <v>3.0117647058823529</v>
      </c>
      <c r="L203" s="564">
        <v>2.1176470588235294</v>
      </c>
      <c r="M203" s="564">
        <v>2.0348837209302326</v>
      </c>
      <c r="N203" s="564">
        <v>2.7380952380952381</v>
      </c>
      <c r="O203" s="564">
        <v>2.3214285714285716</v>
      </c>
      <c r="P203" s="564">
        <f t="shared" ref="P203:P211" si="296">SUM(D203:O203)</f>
        <v>29.743604097643356</v>
      </c>
      <c r="Q203" s="573">
        <f t="shared" ref="Q203:Q211" si="297">SUM(D203:O203)/12</f>
        <v>2.4786336748036129</v>
      </c>
      <c r="R203" s="370"/>
      <c r="S203" s="580">
        <v>2.9012345679012346</v>
      </c>
      <c r="T203" s="564">
        <v>3.2195121951219514</v>
      </c>
      <c r="U203" s="564">
        <v>2.5731707317073171</v>
      </c>
      <c r="V203" s="564">
        <v>3.0897435897435899</v>
      </c>
      <c r="W203" s="564">
        <v>2.5063291139240507</v>
      </c>
      <c r="X203" s="564">
        <v>2.4303797468354431</v>
      </c>
      <c r="Y203" s="564">
        <v>2.1265822784810124</v>
      </c>
      <c r="Z203" s="564">
        <v>3.1265822784810124</v>
      </c>
      <c r="AA203" s="564">
        <v>1.8289473684210527</v>
      </c>
      <c r="AB203" s="564">
        <v>1.8433734939759037</v>
      </c>
      <c r="AC203" s="564">
        <v>1.2738095238095237</v>
      </c>
      <c r="AD203" s="564">
        <v>1.2261904761904763</v>
      </c>
      <c r="AE203" s="564">
        <f t="shared" ref="AE203:AE211" si="298">SUM(S203:AD203)</f>
        <v>28.145855364592563</v>
      </c>
      <c r="AF203" s="573">
        <f t="shared" ref="AF203:AF211" si="299">AE203/12</f>
        <v>2.3454879470493801</v>
      </c>
      <c r="AG203" s="370"/>
      <c r="AH203" s="2333">
        <v>2.6506024096385543</v>
      </c>
      <c r="AI203" s="2334">
        <v>1.8</v>
      </c>
      <c r="AJ203" s="2334">
        <v>1.7916666666666667</v>
      </c>
      <c r="AK203" s="2334">
        <v>2.3333333333333335</v>
      </c>
      <c r="AL203" s="2334">
        <v>2.4351851851851851</v>
      </c>
      <c r="AM203" s="2334">
        <v>2.2660550458715596</v>
      </c>
      <c r="AN203" s="2334">
        <v>3.7307692307692308</v>
      </c>
      <c r="AO203" s="2334">
        <v>2.9514563106796117</v>
      </c>
      <c r="AP203" s="2334">
        <v>3.1698113207547163</v>
      </c>
      <c r="AQ203" s="2334">
        <v>2.4910714285714284</v>
      </c>
      <c r="AR203" s="2334">
        <v>2.8363636363636364</v>
      </c>
      <c r="AS203" s="2334">
        <v>2.2272727272727271</v>
      </c>
      <c r="AT203" s="2334">
        <f t="shared" ref="AT203:AT211" si="300">SUM(AH203:AS203)</f>
        <v>30.683587295106644</v>
      </c>
      <c r="AU203" s="2335">
        <f t="shared" si="289"/>
        <v>2.5569656079255538</v>
      </c>
      <c r="AV203" s="2323"/>
      <c r="AW203" s="2323"/>
      <c r="AX203" s="2334">
        <v>1.7889908256880733</v>
      </c>
      <c r="AY203" s="2334">
        <v>3.8971962616822431</v>
      </c>
      <c r="AZ203" s="2334">
        <v>2.8190476190476192</v>
      </c>
      <c r="BA203" s="2334">
        <v>3.3523809523809525</v>
      </c>
      <c r="BB203" s="2334">
        <v>6.3619047619047615</v>
      </c>
      <c r="BC203" s="2334">
        <v>2.9150943396226414</v>
      </c>
      <c r="BD203" s="564">
        <v>4.3076923076923075</v>
      </c>
      <c r="BE203" s="564">
        <v>3.0196078431372548</v>
      </c>
      <c r="BF203" s="2334">
        <v>2.8058252427184467</v>
      </c>
      <c r="BG203" s="2334">
        <v>1.8867924528301887</v>
      </c>
      <c r="BH203" s="2334">
        <v>2.4285714285714284</v>
      </c>
      <c r="BI203" s="2385">
        <v>2.1100917431192658</v>
      </c>
      <c r="BJ203" s="564">
        <f t="shared" si="287"/>
        <v>37.693195778395179</v>
      </c>
      <c r="BK203" s="573">
        <f t="shared" si="288"/>
        <v>3.140837911706956</v>
      </c>
      <c r="BL203" s="2191"/>
      <c r="BN203" s="322">
        <f t="shared" si="294"/>
        <v>-0.11718098415346123</v>
      </c>
      <c r="BO203" s="322">
        <f t="shared" si="293"/>
        <v>0.5838723037814022</v>
      </c>
      <c r="BP203" s="322">
        <f t="shared" si="295"/>
        <v>7.0096084832885346</v>
      </c>
      <c r="BQ203" s="322">
        <f t="shared" si="290"/>
        <v>-0.31847968545216254</v>
      </c>
      <c r="BR203">
        <f t="shared" si="291"/>
        <v>2.4285714285714284</v>
      </c>
      <c r="BS203">
        <f t="shared" si="292"/>
        <v>2.1100917431192658</v>
      </c>
    </row>
    <row r="204" spans="1:71" x14ac:dyDescent="0.55000000000000004">
      <c r="A204" s="7222"/>
      <c r="B204" s="245"/>
      <c r="C204" s="178" t="s">
        <v>229</v>
      </c>
      <c r="D204" s="565">
        <v>3.4285714285714284</v>
      </c>
      <c r="E204" s="565">
        <v>2.2465753424657535</v>
      </c>
      <c r="F204" s="565">
        <v>2.9428571428571431</v>
      </c>
      <c r="G204" s="565">
        <v>3.2463768115942031</v>
      </c>
      <c r="H204" s="565">
        <v>2.6901408450704225</v>
      </c>
      <c r="I204" s="565">
        <v>2.6388888888888888</v>
      </c>
      <c r="J204" s="565">
        <v>2.4054054054054053</v>
      </c>
      <c r="K204" s="565">
        <v>2.3378378378378377</v>
      </c>
      <c r="L204" s="565">
        <v>2.7808219178082192</v>
      </c>
      <c r="M204" s="565">
        <v>2.4864864864864864</v>
      </c>
      <c r="N204" s="565">
        <v>2.1298701298701297</v>
      </c>
      <c r="O204" s="565">
        <v>1.6623376623376624</v>
      </c>
      <c r="P204" s="565">
        <f t="shared" si="296"/>
        <v>30.996169899193582</v>
      </c>
      <c r="Q204" s="574">
        <f t="shared" si="297"/>
        <v>2.5830141582661317</v>
      </c>
      <c r="R204" s="370"/>
      <c r="S204" s="581">
        <v>3</v>
      </c>
      <c r="T204" s="565">
        <v>3.1315789473684212</v>
      </c>
      <c r="U204" s="565">
        <v>4.0273972602739727</v>
      </c>
      <c r="V204" s="565">
        <v>3.8243243243243241</v>
      </c>
      <c r="W204" s="565">
        <v>3.4794520547945207</v>
      </c>
      <c r="X204" s="565">
        <v>2.8194444444444446</v>
      </c>
      <c r="Y204" s="565">
        <v>2.5774647887323945</v>
      </c>
      <c r="Z204" s="565">
        <v>3.6857142857142855</v>
      </c>
      <c r="AA204" s="565">
        <v>2.318840579710145</v>
      </c>
      <c r="AB204" s="565">
        <v>3.0833333333333335</v>
      </c>
      <c r="AC204" s="565">
        <v>2.5833333333333335</v>
      </c>
      <c r="AD204" s="565">
        <v>2.375</v>
      </c>
      <c r="AE204" s="565">
        <f t="shared" si="298"/>
        <v>36.905883352029178</v>
      </c>
      <c r="AF204" s="574">
        <f t="shared" si="299"/>
        <v>3.075490279335765</v>
      </c>
      <c r="AG204" s="370"/>
      <c r="AH204" s="2336">
        <v>4.0547945205479454</v>
      </c>
      <c r="AI204" s="2337">
        <v>2.8513513513513513</v>
      </c>
      <c r="AJ204" s="2337">
        <v>3.0649350649350651</v>
      </c>
      <c r="AK204" s="2337">
        <v>3.2025316455696204</v>
      </c>
      <c r="AL204" s="2337">
        <v>3.2250000000000001</v>
      </c>
      <c r="AM204" s="2337">
        <v>2.6962025316455698</v>
      </c>
      <c r="AN204" s="2337">
        <v>3.8846153846153846</v>
      </c>
      <c r="AO204" s="2337">
        <v>2.7179487179487176</v>
      </c>
      <c r="AP204" s="2337">
        <v>2.4874999999999998</v>
      </c>
      <c r="AQ204" s="2337">
        <v>2.6202531645569622</v>
      </c>
      <c r="AR204" s="2337">
        <v>3.2250000000000001</v>
      </c>
      <c r="AS204" s="2337">
        <v>2.6923076923076925</v>
      </c>
      <c r="AT204" s="2337">
        <f t="shared" si="300"/>
        <v>36.72244007347831</v>
      </c>
      <c r="AU204" s="2338">
        <f t="shared" si="289"/>
        <v>3.060203339456526</v>
      </c>
      <c r="AV204" s="2323"/>
      <c r="AW204" s="2323"/>
      <c r="AX204" s="2337">
        <v>3.0389610389610389</v>
      </c>
      <c r="AY204" s="2337">
        <v>5.3733333333333331</v>
      </c>
      <c r="AZ204" s="2337">
        <v>3.6883116883116882</v>
      </c>
      <c r="BA204" s="2337">
        <v>4.2597402597402594</v>
      </c>
      <c r="BB204" s="2337">
        <v>8.3684210526315788</v>
      </c>
      <c r="BC204" s="2337">
        <v>3.6133333333333333</v>
      </c>
      <c r="BD204" s="565">
        <v>5.166666666666667</v>
      </c>
      <c r="BE204" s="565">
        <v>3.64</v>
      </c>
      <c r="BF204" s="2337">
        <v>4.2666666666666666</v>
      </c>
      <c r="BG204" s="2337">
        <v>2.52</v>
      </c>
      <c r="BH204" s="2337">
        <v>2.2666666666666666</v>
      </c>
      <c r="BI204" s="2385">
        <v>2.6103896103896105</v>
      </c>
      <c r="BJ204" s="565">
        <f t="shared" si="287"/>
        <v>48.812490316700845</v>
      </c>
      <c r="BK204" s="574">
        <f t="shared" si="288"/>
        <v>4.0673685790101528</v>
      </c>
      <c r="BL204" s="2191"/>
      <c r="BN204" s="322">
        <f t="shared" si="294"/>
        <v>-8.1918081918082031E-2</v>
      </c>
      <c r="BO204" s="322">
        <f t="shared" si="293"/>
        <v>1.0071652395536268</v>
      </c>
      <c r="BP204" s="322">
        <f t="shared" si="295"/>
        <v>12.090050243222535</v>
      </c>
      <c r="BQ204" s="322">
        <f t="shared" si="290"/>
        <v>0.34372294372294387</v>
      </c>
      <c r="BR204">
        <f t="shared" si="291"/>
        <v>2.2666666666666666</v>
      </c>
      <c r="BS204">
        <f t="shared" si="292"/>
        <v>2.6103896103896105</v>
      </c>
    </row>
    <row r="205" spans="1:71" x14ac:dyDescent="0.55000000000000004">
      <c r="A205" s="7222"/>
      <c r="B205" s="245"/>
      <c r="C205" s="178" t="s">
        <v>230</v>
      </c>
      <c r="D205" s="565">
        <v>4.0769230769230766</v>
      </c>
      <c r="E205" s="565">
        <v>2.7731958762886597</v>
      </c>
      <c r="F205" s="565">
        <v>2.6063829787234041</v>
      </c>
      <c r="G205" s="565">
        <v>2.6808510638297873</v>
      </c>
      <c r="H205" s="565">
        <v>2.5656565656565657</v>
      </c>
      <c r="I205" s="565">
        <v>2.7525773195876289</v>
      </c>
      <c r="J205" s="565">
        <v>2.7083333333333335</v>
      </c>
      <c r="K205" s="565">
        <v>2.8144329896907219</v>
      </c>
      <c r="L205" s="565">
        <v>2.7065217391304346</v>
      </c>
      <c r="M205" s="565">
        <v>2.2474226804123711</v>
      </c>
      <c r="N205" s="565">
        <v>2.3663366336633662</v>
      </c>
      <c r="O205" s="565">
        <v>2.7307692307692308</v>
      </c>
      <c r="P205" s="565">
        <f t="shared" si="296"/>
        <v>33.029403488008576</v>
      </c>
      <c r="Q205" s="574">
        <f t="shared" si="297"/>
        <v>2.7524502906673813</v>
      </c>
      <c r="R205" s="370"/>
      <c r="S205" s="581">
        <v>2.784313725490196</v>
      </c>
      <c r="T205" s="565">
        <v>3.6336633663366338</v>
      </c>
      <c r="U205" s="565">
        <v>2.8316831683168315</v>
      </c>
      <c r="V205" s="565">
        <v>3</v>
      </c>
      <c r="W205" s="565">
        <v>2.7549019607843137</v>
      </c>
      <c r="X205" s="565">
        <v>3.0594059405940595</v>
      </c>
      <c r="Y205" s="565">
        <v>2.4019607843137254</v>
      </c>
      <c r="Z205" s="565">
        <v>3.6274509803921569</v>
      </c>
      <c r="AA205" s="565">
        <v>2</v>
      </c>
      <c r="AB205" s="565">
        <v>2.8333333333333335</v>
      </c>
      <c r="AC205" s="565">
        <v>2.0980392156862746</v>
      </c>
      <c r="AD205" s="565">
        <v>1.8932038834951457</v>
      </c>
      <c r="AE205" s="565">
        <f t="shared" si="298"/>
        <v>32.917956358742671</v>
      </c>
      <c r="AF205" s="574">
        <f t="shared" si="299"/>
        <v>2.7431630298952228</v>
      </c>
      <c r="AG205" s="370"/>
      <c r="AH205" s="2336">
        <v>3.2523364485981308</v>
      </c>
      <c r="AI205" s="2337">
        <v>2.3486238532110093</v>
      </c>
      <c r="AJ205" s="2337">
        <v>2.9313725490196076</v>
      </c>
      <c r="AK205" s="2337">
        <v>3.0952380952380953</v>
      </c>
      <c r="AL205" s="2337">
        <v>3.209090909090909</v>
      </c>
      <c r="AM205" s="2337">
        <v>2.8173076923076925</v>
      </c>
      <c r="AN205" s="2337">
        <v>3.6792452830188678</v>
      </c>
      <c r="AO205" s="2337">
        <v>2.8173076923076925</v>
      </c>
      <c r="AP205" s="2337">
        <v>2.8207547169811322</v>
      </c>
      <c r="AQ205" s="2337">
        <v>2.8</v>
      </c>
      <c r="AR205" s="2337">
        <v>3.0476190476190474</v>
      </c>
      <c r="AS205" s="2337">
        <v>2.8317757009345796</v>
      </c>
      <c r="AT205" s="2337">
        <f t="shared" si="300"/>
        <v>35.650671988326764</v>
      </c>
      <c r="AU205" s="2338">
        <f t="shared" si="289"/>
        <v>2.9708893323605636</v>
      </c>
      <c r="AV205" s="2323"/>
      <c r="AW205" s="2323"/>
      <c r="AX205" s="2337">
        <v>2.4766355140186915</v>
      </c>
      <c r="AY205" s="2337">
        <v>4.8773584905660377</v>
      </c>
      <c r="AZ205" s="2337">
        <v>3.6422018348623855</v>
      </c>
      <c r="BA205" s="2337">
        <v>3.8365384615384617</v>
      </c>
      <c r="BB205" s="2337">
        <v>7.7378640776699026</v>
      </c>
      <c r="BC205" s="2337">
        <v>3.7864077669902914</v>
      </c>
      <c r="BD205" s="565">
        <v>5.22</v>
      </c>
      <c r="BE205" s="565">
        <v>3.8058252427184467</v>
      </c>
      <c r="BF205" s="2337">
        <v>4.4174757281553401</v>
      </c>
      <c r="BG205" s="2337">
        <v>2.8942307692307692</v>
      </c>
      <c r="BH205" s="2337">
        <v>2.7547169811320753</v>
      </c>
      <c r="BI205" s="2385">
        <v>2.8504672897196262</v>
      </c>
      <c r="BJ205" s="565">
        <f t="shared" si="287"/>
        <v>48.299722156602023</v>
      </c>
      <c r="BK205" s="574">
        <f t="shared" si="288"/>
        <v>4.0246414595952027</v>
      </c>
      <c r="BL205" s="2191"/>
      <c r="BN205" s="322">
        <f t="shared" si="294"/>
        <v>1.8691588785046509E-2</v>
      </c>
      <c r="BO205" s="322">
        <f t="shared" si="293"/>
        <v>1.0537521272346391</v>
      </c>
      <c r="BP205" s="322">
        <f t="shared" si="295"/>
        <v>12.649050168275259</v>
      </c>
      <c r="BQ205" s="322">
        <f t="shared" si="290"/>
        <v>9.5750308587550848E-2</v>
      </c>
      <c r="BR205">
        <f t="shared" si="291"/>
        <v>2.7547169811320753</v>
      </c>
      <c r="BS205">
        <f t="shared" si="292"/>
        <v>2.8504672897196262</v>
      </c>
    </row>
    <row r="206" spans="1:71" x14ac:dyDescent="0.55000000000000004">
      <c r="A206" s="7222"/>
      <c r="B206" s="245"/>
      <c r="C206" s="177" t="s">
        <v>231</v>
      </c>
      <c r="D206" s="564">
        <v>3.9274193548387095</v>
      </c>
      <c r="E206" s="564">
        <v>2.7557251908396947</v>
      </c>
      <c r="F206" s="564">
        <v>3.0454545454545454</v>
      </c>
      <c r="G206" s="564">
        <v>2.8153846153846156</v>
      </c>
      <c r="H206" s="564">
        <v>3.0314960629921259</v>
      </c>
      <c r="I206" s="564">
        <v>2.8828125</v>
      </c>
      <c r="J206" s="564">
        <v>2.9609375</v>
      </c>
      <c r="K206" s="564">
        <v>3.0769230769230771</v>
      </c>
      <c r="L206" s="564">
        <v>2.893939393939394</v>
      </c>
      <c r="M206" s="564">
        <v>2.6014492753623188</v>
      </c>
      <c r="N206" s="564">
        <v>3.1857142857142855</v>
      </c>
      <c r="O206" s="564">
        <v>2.5625</v>
      </c>
      <c r="P206" s="564">
        <f t="shared" si="296"/>
        <v>35.739755801448766</v>
      </c>
      <c r="Q206" s="573">
        <f t="shared" si="297"/>
        <v>2.9783129834540638</v>
      </c>
      <c r="R206" s="370"/>
      <c r="S206" s="580">
        <v>3.0592592592592593</v>
      </c>
      <c r="T206" s="564">
        <v>3.053435114503817</v>
      </c>
      <c r="U206" s="564">
        <v>2.9117647058823528</v>
      </c>
      <c r="V206" s="583">
        <v>3.2444444444444445</v>
      </c>
      <c r="W206" s="564">
        <v>2.6791044776119404</v>
      </c>
      <c r="X206" s="564">
        <v>2.8769230769230769</v>
      </c>
      <c r="Y206" s="564">
        <v>2.5158730158730158</v>
      </c>
      <c r="Z206" s="564">
        <v>3.7096774193548385</v>
      </c>
      <c r="AA206" s="564">
        <v>2.2063492063492065</v>
      </c>
      <c r="AB206" s="564">
        <v>2.3984375</v>
      </c>
      <c r="AC206" s="564">
        <v>3.046153846153846</v>
      </c>
      <c r="AD206" s="564">
        <v>2.2790697674418605</v>
      </c>
      <c r="AE206" s="564">
        <f t="shared" si="298"/>
        <v>33.980491833797657</v>
      </c>
      <c r="AF206" s="573">
        <f t="shared" si="299"/>
        <v>2.8317076528164713</v>
      </c>
      <c r="AG206" s="370"/>
      <c r="AH206" s="2333">
        <v>3.4402985074626864</v>
      </c>
      <c r="AI206" s="2334">
        <v>3.0729927007299271</v>
      </c>
      <c r="AJ206" s="2334">
        <v>2.8928571428571428</v>
      </c>
      <c r="AK206" s="2334">
        <v>3.0709219858156027</v>
      </c>
      <c r="AL206" s="2334">
        <v>3.4863013698630136</v>
      </c>
      <c r="AM206" s="2334">
        <v>2.7916666666666665</v>
      </c>
      <c r="AN206" s="2334">
        <v>3.331168831168831</v>
      </c>
      <c r="AO206" s="2334">
        <v>3.0666666666666669</v>
      </c>
      <c r="AP206" s="2334">
        <v>3.1920529801324498</v>
      </c>
      <c r="AQ206" s="2334">
        <v>3.2328767123287676</v>
      </c>
      <c r="AR206" s="2334">
        <v>3.0135135135135136</v>
      </c>
      <c r="AS206" s="2334">
        <v>2.9452054794520546</v>
      </c>
      <c r="AT206" s="2334">
        <f t="shared" si="300"/>
        <v>37.536522556657324</v>
      </c>
      <c r="AU206" s="2335">
        <f t="shared" si="289"/>
        <v>3.1280435463881102</v>
      </c>
      <c r="AV206" s="2323"/>
      <c r="AW206" s="2323"/>
      <c r="AX206" s="2334">
        <v>2.5405405405405403</v>
      </c>
      <c r="AY206" s="2334">
        <v>4.5410958904109586</v>
      </c>
      <c r="AZ206" s="2334">
        <v>3.323943661971831</v>
      </c>
      <c r="BA206" s="2334">
        <v>4.1328671328671325</v>
      </c>
      <c r="BB206" s="2334">
        <v>7.6808510638297873</v>
      </c>
      <c r="BC206" s="2334">
        <v>4.1785714285714288</v>
      </c>
      <c r="BD206" s="564">
        <v>5.6083916083916083</v>
      </c>
      <c r="BE206" s="564">
        <v>3.7163120567375887</v>
      </c>
      <c r="BF206" s="2334">
        <v>3.9858156028368796</v>
      </c>
      <c r="BG206" s="2334">
        <v>2.7226277372262775</v>
      </c>
      <c r="BH206" s="2334">
        <v>3.0583941605839415</v>
      </c>
      <c r="BI206" s="2385">
        <v>2.8785714285714286</v>
      </c>
      <c r="BJ206" s="564">
        <f t="shared" si="287"/>
        <v>48.367982312539397</v>
      </c>
      <c r="BK206" s="573">
        <f t="shared" si="288"/>
        <v>4.030329331933955</v>
      </c>
      <c r="BL206" s="2191"/>
      <c r="BN206" s="322">
        <f t="shared" si="294"/>
        <v>-6.6634050880626017E-2</v>
      </c>
      <c r="BO206" s="322">
        <f t="shared" si="293"/>
        <v>0.90228578554584482</v>
      </c>
      <c r="BP206" s="322">
        <f t="shared" si="295"/>
        <v>10.831459755882072</v>
      </c>
      <c r="BQ206" s="322">
        <f t="shared" si="290"/>
        <v>-0.17982273201251298</v>
      </c>
      <c r="BR206">
        <f t="shared" si="291"/>
        <v>3.0583941605839415</v>
      </c>
      <c r="BS206">
        <f t="shared" si="292"/>
        <v>2.8785714285714286</v>
      </c>
    </row>
    <row r="207" spans="1:71" x14ac:dyDescent="0.55000000000000004">
      <c r="A207" s="7222"/>
      <c r="B207" s="245"/>
      <c r="C207" s="177" t="s">
        <v>232</v>
      </c>
      <c r="D207" s="564">
        <v>3.9750000000000001</v>
      </c>
      <c r="E207" s="564">
        <v>2.8947368421052633</v>
      </c>
      <c r="F207" s="564">
        <v>3.0750000000000002</v>
      </c>
      <c r="G207" s="564">
        <v>3.375</v>
      </c>
      <c r="H207" s="564">
        <v>2.7530864197530862</v>
      </c>
      <c r="I207" s="564">
        <v>2.721518987341772</v>
      </c>
      <c r="J207" s="564">
        <v>2.0975609756097562</v>
      </c>
      <c r="K207" s="564">
        <v>3.4047619047619047</v>
      </c>
      <c r="L207" s="564">
        <v>2.6162790697674421</v>
      </c>
      <c r="M207" s="564">
        <v>2.797752808988764</v>
      </c>
      <c r="N207" s="564">
        <v>2.9438202247191012</v>
      </c>
      <c r="O207" s="564">
        <v>2.7386363636363638</v>
      </c>
      <c r="P207" s="564">
        <f t="shared" si="296"/>
        <v>35.393153596683455</v>
      </c>
      <c r="Q207" s="573">
        <f t="shared" si="297"/>
        <v>2.949429466390288</v>
      </c>
      <c r="R207" s="370"/>
      <c r="S207" s="580">
        <v>3.3863636363636362</v>
      </c>
      <c r="T207" s="564">
        <v>3.6741573033707864</v>
      </c>
      <c r="U207" s="564">
        <v>3.6477272727272729</v>
      </c>
      <c r="V207" s="564">
        <v>3.5402298850574714</v>
      </c>
      <c r="W207" s="564">
        <v>3.4942528735632186</v>
      </c>
      <c r="X207" s="564">
        <v>3.1477272727272729</v>
      </c>
      <c r="Y207" s="564">
        <v>2.4712643678160919</v>
      </c>
      <c r="Z207" s="564">
        <v>4.797752808988764</v>
      </c>
      <c r="AA207" s="564">
        <v>2.7934782608695654</v>
      </c>
      <c r="AB207" s="564">
        <v>3.6136363636363638</v>
      </c>
      <c r="AC207" s="564">
        <v>3.3103448275862069</v>
      </c>
      <c r="AD207" s="564">
        <v>1.9772727272727273</v>
      </c>
      <c r="AE207" s="564">
        <f t="shared" si="298"/>
        <v>39.854207599979382</v>
      </c>
      <c r="AF207" s="573">
        <f t="shared" si="299"/>
        <v>3.3211839666649485</v>
      </c>
      <c r="AG207" s="370"/>
      <c r="AH207" s="2333">
        <v>4.4888888888888889</v>
      </c>
      <c r="AI207" s="2334">
        <v>3.3595505617977528</v>
      </c>
      <c r="AJ207" s="2334">
        <v>3.8139534883720931</v>
      </c>
      <c r="AK207" s="2334">
        <v>3.9318181818181817</v>
      </c>
      <c r="AL207" s="2334">
        <v>4.0229885057471266</v>
      </c>
      <c r="AM207" s="2334">
        <v>2.6931818181818183</v>
      </c>
      <c r="AN207" s="2334">
        <v>4.0439560439560438</v>
      </c>
      <c r="AO207" s="2334">
        <v>2.9777777777777779</v>
      </c>
      <c r="AP207" s="2334">
        <v>3.7777777777777777</v>
      </c>
      <c r="AQ207" s="2334">
        <v>3.5729166666666665</v>
      </c>
      <c r="AR207" s="2334">
        <v>3.3020833333333335</v>
      </c>
      <c r="AS207" s="2334">
        <v>3.1157894736842104</v>
      </c>
      <c r="AT207" s="2334">
        <f t="shared" si="300"/>
        <v>43.100682518001669</v>
      </c>
      <c r="AU207" s="2335">
        <f t="shared" si="289"/>
        <v>3.5917235431668058</v>
      </c>
      <c r="AV207" s="2323"/>
      <c r="AW207" s="2323"/>
      <c r="AX207" s="2334">
        <v>2.2577319587628866</v>
      </c>
      <c r="AY207" s="2334">
        <v>5.166666666666667</v>
      </c>
      <c r="AZ207" s="2334">
        <v>3.6969696969696968</v>
      </c>
      <c r="BA207" s="2334">
        <v>4.4183673469387754</v>
      </c>
      <c r="BB207" s="2334">
        <v>6.82</v>
      </c>
      <c r="BC207" s="2334">
        <v>4.268041237113402</v>
      </c>
      <c r="BD207" s="564">
        <v>6.021505376344086</v>
      </c>
      <c r="BE207" s="564">
        <v>4.5813953488372094</v>
      </c>
      <c r="BF207" s="2334">
        <v>4.7613636363636367</v>
      </c>
      <c r="BG207" s="2334">
        <v>3.1609195402298851</v>
      </c>
      <c r="BH207" s="2334">
        <v>3.4823529411764707</v>
      </c>
      <c r="BI207" s="2385">
        <v>3.1758241758241756</v>
      </c>
      <c r="BJ207" s="564">
        <f t="shared" si="287"/>
        <v>51.811137925226888</v>
      </c>
      <c r="BK207" s="573">
        <f t="shared" si="288"/>
        <v>4.3172350575141145</v>
      </c>
      <c r="BL207" s="2191"/>
      <c r="BN207" s="322">
        <f t="shared" si="294"/>
        <v>6.0034702139965201E-2</v>
      </c>
      <c r="BO207" s="322">
        <f t="shared" si="293"/>
        <v>0.72551151434730876</v>
      </c>
      <c r="BP207" s="322">
        <f t="shared" si="295"/>
        <v>8.7104554072252185</v>
      </c>
      <c r="BQ207" s="322">
        <f t="shared" si="290"/>
        <v>-0.30652876535229501</v>
      </c>
      <c r="BR207">
        <f t="shared" si="291"/>
        <v>3.4823529411764707</v>
      </c>
      <c r="BS207">
        <f t="shared" si="292"/>
        <v>3.1758241758241756</v>
      </c>
    </row>
    <row r="208" spans="1:71" x14ac:dyDescent="0.55000000000000004">
      <c r="A208" s="7222"/>
      <c r="B208" s="245"/>
      <c r="C208" s="178" t="s">
        <v>233</v>
      </c>
      <c r="D208" s="565">
        <v>5.2377049180327866</v>
      </c>
      <c r="E208" s="565">
        <v>4.0743801652892566</v>
      </c>
      <c r="F208" s="565">
        <v>4.1428571428571432</v>
      </c>
      <c r="G208" s="565">
        <v>4.0258620689655169</v>
      </c>
      <c r="H208" s="565">
        <v>4.7043478260869565</v>
      </c>
      <c r="I208" s="565">
        <v>4.0901639344262293</v>
      </c>
      <c r="J208" s="565">
        <v>3.3279999999999998</v>
      </c>
      <c r="K208" s="565">
        <v>4.2396694214876032</v>
      </c>
      <c r="L208" s="565">
        <v>2.84375</v>
      </c>
      <c r="M208" s="565">
        <v>3.3140495867768593</v>
      </c>
      <c r="N208" s="565">
        <v>3.879032258064516</v>
      </c>
      <c r="O208" s="565">
        <v>3.3519999999999999</v>
      </c>
      <c r="P208" s="565">
        <f t="shared" si="296"/>
        <v>47.23181732198686</v>
      </c>
      <c r="Q208" s="574">
        <f t="shared" si="297"/>
        <v>3.9359847768322385</v>
      </c>
      <c r="R208" s="370"/>
      <c r="S208" s="581">
        <v>3.5703125</v>
      </c>
      <c r="T208" s="565">
        <v>4.7734375</v>
      </c>
      <c r="U208" s="565">
        <v>4.412698412698413</v>
      </c>
      <c r="V208" s="565">
        <v>4.3495934959349594</v>
      </c>
      <c r="W208" s="565">
        <v>3.6535433070866143</v>
      </c>
      <c r="X208" s="565">
        <v>4.1746031746031749</v>
      </c>
      <c r="Y208" s="565">
        <v>3.2184873949579833</v>
      </c>
      <c r="Z208" s="565">
        <v>4.8632478632478628</v>
      </c>
      <c r="AA208" s="565">
        <v>3.0948275862068964</v>
      </c>
      <c r="AB208" s="565">
        <v>3.700854700854701</v>
      </c>
      <c r="AC208" s="565">
        <v>3.7983193277310923</v>
      </c>
      <c r="AD208" s="565">
        <v>2.9145299145299144</v>
      </c>
      <c r="AE208" s="565">
        <f t="shared" si="298"/>
        <v>46.524455177851607</v>
      </c>
      <c r="AF208" s="574">
        <f t="shared" si="299"/>
        <v>3.8770379314876338</v>
      </c>
      <c r="AG208" s="370"/>
      <c r="AH208" s="2336">
        <v>4.6833333333333336</v>
      </c>
      <c r="AI208" s="2337">
        <v>3.9083333333333332</v>
      </c>
      <c r="AJ208" s="2337">
        <v>4.4049586776859506</v>
      </c>
      <c r="AK208" s="2337">
        <v>4.9421487603305785</v>
      </c>
      <c r="AL208" s="2337">
        <v>4.7804878048780486</v>
      </c>
      <c r="AM208" s="2337">
        <v>4.291666666666667</v>
      </c>
      <c r="AN208" s="2337">
        <v>5.2068965517241379</v>
      </c>
      <c r="AO208" s="2337">
        <v>4.1779661016949152</v>
      </c>
      <c r="AP208" s="2337">
        <v>3.7796610169491527</v>
      </c>
      <c r="AQ208" s="2337">
        <v>4.9672131147540988</v>
      </c>
      <c r="AR208" s="2337">
        <v>3.873015873015873</v>
      </c>
      <c r="AS208" s="2337">
        <v>3.671875</v>
      </c>
      <c r="AT208" s="2337">
        <f t="shared" si="300"/>
        <v>52.687556234366099</v>
      </c>
      <c r="AU208" s="2338">
        <f t="shared" si="289"/>
        <v>4.3906296861971752</v>
      </c>
      <c r="AV208" s="2323"/>
      <c r="AW208" s="2323"/>
      <c r="AX208" s="2337">
        <v>2.2388059701492535</v>
      </c>
      <c r="AY208" s="2337">
        <v>5.4960000000000004</v>
      </c>
      <c r="AZ208" s="2337">
        <v>4.4400000000000004</v>
      </c>
      <c r="BA208" s="2337">
        <v>6.3495934959349594</v>
      </c>
      <c r="BB208" s="2337">
        <v>8.6083333333333325</v>
      </c>
      <c r="BC208" s="2337">
        <v>5.7288135593220337</v>
      </c>
      <c r="BD208" s="565">
        <v>8.3333333333333339</v>
      </c>
      <c r="BE208" s="565">
        <v>5.5350877192982457</v>
      </c>
      <c r="BF208" s="2337">
        <v>4.7863247863247862</v>
      </c>
      <c r="BG208" s="2337">
        <v>4.2636363636363637</v>
      </c>
      <c r="BH208" s="2337">
        <v>3.5982142857142856</v>
      </c>
      <c r="BI208" s="2385">
        <v>2.7731092436974789</v>
      </c>
      <c r="BJ208" s="565">
        <f t="shared" si="287"/>
        <v>62.151252090744073</v>
      </c>
      <c r="BK208" s="574">
        <f t="shared" si="288"/>
        <v>5.1788394376088727</v>
      </c>
      <c r="BL208" s="2191"/>
      <c r="BN208" s="322">
        <f t="shared" si="294"/>
        <v>-0.89876575630252109</v>
      </c>
      <c r="BO208" s="322">
        <f t="shared" si="293"/>
        <v>0.78820975141169747</v>
      </c>
      <c r="BP208" s="322">
        <f t="shared" si="295"/>
        <v>9.4636958563779743</v>
      </c>
      <c r="BQ208" s="322">
        <f t="shared" si="290"/>
        <v>-0.82510504201680668</v>
      </c>
      <c r="BR208">
        <f t="shared" si="291"/>
        <v>3.5982142857142856</v>
      </c>
      <c r="BS208">
        <f t="shared" si="292"/>
        <v>2.7731092436974789</v>
      </c>
    </row>
    <row r="209" spans="1:92" x14ac:dyDescent="0.55000000000000004">
      <c r="A209" s="7222"/>
      <c r="B209" s="245"/>
      <c r="C209" s="178" t="s">
        <v>234</v>
      </c>
      <c r="D209" s="565">
        <v>2.9831932773109244</v>
      </c>
      <c r="E209" s="565">
        <v>2.5934959349593494</v>
      </c>
      <c r="F209" s="565">
        <v>2.5916666666666668</v>
      </c>
      <c r="G209" s="565">
        <v>2.2950819672131146</v>
      </c>
      <c r="H209" s="565">
        <v>1.9318181818181819</v>
      </c>
      <c r="I209" s="565">
        <v>2.6335877862595418</v>
      </c>
      <c r="J209" s="565">
        <v>1.8695652173913044</v>
      </c>
      <c r="K209" s="565">
        <v>2.6911764705882355</v>
      </c>
      <c r="L209" s="565">
        <v>1.8571428571428572</v>
      </c>
      <c r="M209" s="565">
        <v>2.0305343511450382</v>
      </c>
      <c r="N209" s="565">
        <v>2.0522388059701493</v>
      </c>
      <c r="O209" s="565">
        <v>2.1268656716417911</v>
      </c>
      <c r="P209" s="565">
        <f t="shared" si="296"/>
        <v>27.656367188107154</v>
      </c>
      <c r="Q209" s="574">
        <f t="shared" si="297"/>
        <v>2.3046972656755962</v>
      </c>
      <c r="R209" s="370"/>
      <c r="S209" s="581">
        <v>2.96875</v>
      </c>
      <c r="T209" s="565">
        <v>3.7619047619047619</v>
      </c>
      <c r="U209" s="565">
        <v>2.7936507936507935</v>
      </c>
      <c r="V209" s="565">
        <v>2.7919999999999998</v>
      </c>
      <c r="W209" s="565">
        <v>2.9047619047619047</v>
      </c>
      <c r="X209" s="565">
        <v>2.7716535433070866</v>
      </c>
      <c r="Y209" s="565">
        <v>2.0952380952380953</v>
      </c>
      <c r="Z209" s="565">
        <v>3.3253968253968256</v>
      </c>
      <c r="AA209" s="565">
        <v>2.0901639344262297</v>
      </c>
      <c r="AB209" s="565">
        <v>2.3140495867768593</v>
      </c>
      <c r="AC209" s="565">
        <v>2.1074380165289255</v>
      </c>
      <c r="AD209" s="565">
        <v>2.139344262295082</v>
      </c>
      <c r="AE209" s="565">
        <f t="shared" si="298"/>
        <v>32.06435172428656</v>
      </c>
      <c r="AF209" s="574">
        <f t="shared" si="299"/>
        <v>2.6720293103572135</v>
      </c>
      <c r="AG209" s="370"/>
      <c r="AH209" s="2336">
        <v>3.6320000000000001</v>
      </c>
      <c r="AI209" s="2337">
        <v>2.661290322580645</v>
      </c>
      <c r="AJ209" s="2337">
        <v>3.5123966942148761</v>
      </c>
      <c r="AK209" s="2337">
        <v>3.3360655737704916</v>
      </c>
      <c r="AL209" s="2337">
        <v>3.1417322834645671</v>
      </c>
      <c r="AM209" s="2337">
        <v>2.9917355371900825</v>
      </c>
      <c r="AN209" s="2337">
        <v>4.2857142857142856</v>
      </c>
      <c r="AO209" s="2337">
        <v>2.5555555555555554</v>
      </c>
      <c r="AP209" s="2337">
        <v>3.3135593220338984</v>
      </c>
      <c r="AQ209" s="2337">
        <v>2.8677685950413223</v>
      </c>
      <c r="AR209" s="2337">
        <v>2.910569105691057</v>
      </c>
      <c r="AS209" s="2337">
        <v>2.2619047619047619</v>
      </c>
      <c r="AT209" s="2337">
        <f t="shared" si="300"/>
        <v>37.470292037161542</v>
      </c>
      <c r="AU209" s="2338">
        <f t="shared" si="289"/>
        <v>3.1225243364301285</v>
      </c>
      <c r="AV209" s="2323"/>
      <c r="AW209" s="2323"/>
      <c r="AX209" s="2337">
        <v>2.3333333333333335</v>
      </c>
      <c r="AY209" s="2337">
        <v>4.282258064516129</v>
      </c>
      <c r="AZ209" s="2337">
        <v>3.1900826446280992</v>
      </c>
      <c r="BA209" s="2337">
        <v>4.223140495867769</v>
      </c>
      <c r="BB209" s="2337">
        <v>6.4344262295081966</v>
      </c>
      <c r="BC209" s="2337">
        <v>3.464</v>
      </c>
      <c r="BD209" s="565">
        <v>4.968</v>
      </c>
      <c r="BE209" s="565">
        <v>3.2338709677419355</v>
      </c>
      <c r="BF209" s="2337">
        <v>3.8235294117647061</v>
      </c>
      <c r="BG209" s="2337">
        <v>2.4444444444444446</v>
      </c>
      <c r="BH209" s="2337">
        <v>2.4915254237288136</v>
      </c>
      <c r="BI209" s="2385">
        <v>2.3223140495867769</v>
      </c>
      <c r="BJ209" s="565">
        <f t="shared" si="287"/>
        <v>43.2109250651202</v>
      </c>
      <c r="BK209" s="574">
        <f t="shared" si="288"/>
        <v>3.6006103712290809</v>
      </c>
      <c r="BL209" s="2191"/>
      <c r="BN209" s="322">
        <f t="shared" si="294"/>
        <v>6.0409287682015034E-2</v>
      </c>
      <c r="BO209" s="322">
        <f t="shared" si="293"/>
        <v>0.4780860347989524</v>
      </c>
      <c r="BP209" s="322">
        <f t="shared" si="295"/>
        <v>5.7406330279586584</v>
      </c>
      <c r="BQ209" s="322">
        <f t="shared" si="290"/>
        <v>-0.16921137414203669</v>
      </c>
      <c r="BR209">
        <f t="shared" si="291"/>
        <v>2.4915254237288136</v>
      </c>
      <c r="BS209">
        <f t="shared" si="292"/>
        <v>2.3223140495867769</v>
      </c>
    </row>
    <row r="210" spans="1:92" x14ac:dyDescent="0.55000000000000004">
      <c r="A210" s="7222"/>
      <c r="B210" s="245"/>
      <c r="C210" s="177" t="s">
        <v>235</v>
      </c>
      <c r="D210" s="564">
        <v>4.0990099009900991</v>
      </c>
      <c r="E210" s="564">
        <v>2.9690721649484537</v>
      </c>
      <c r="F210" s="564">
        <v>2.9223300970873787</v>
      </c>
      <c r="G210" s="564">
        <v>2.5940594059405941</v>
      </c>
      <c r="H210" s="564">
        <v>3.2403846153846154</v>
      </c>
      <c r="I210" s="564">
        <v>2.9306930693069306</v>
      </c>
      <c r="J210" s="564">
        <v>3.1836734693877551</v>
      </c>
      <c r="K210" s="564">
        <v>4.0309278350515463</v>
      </c>
      <c r="L210" s="564">
        <v>2.6105263157894738</v>
      </c>
      <c r="M210" s="564">
        <v>3.1458333333333335</v>
      </c>
      <c r="N210" s="564">
        <v>3.7857142857142856</v>
      </c>
      <c r="O210" s="564">
        <v>2.3211009174311927</v>
      </c>
      <c r="P210" s="564">
        <f t="shared" si="296"/>
        <v>37.83332541036566</v>
      </c>
      <c r="Q210" s="573">
        <f t="shared" si="297"/>
        <v>3.1527771175304715</v>
      </c>
      <c r="R210" s="370"/>
      <c r="S210" s="580">
        <v>3.358490566037736</v>
      </c>
      <c r="T210" s="564">
        <v>4.2929292929292933</v>
      </c>
      <c r="U210" s="564">
        <v>3.0625</v>
      </c>
      <c r="V210" s="564">
        <v>3.3564356435643563</v>
      </c>
      <c r="W210" s="564">
        <v>2.5779816513761467</v>
      </c>
      <c r="X210" s="564">
        <v>2.7307692307692308</v>
      </c>
      <c r="Y210" s="564">
        <v>2.4900000000000002</v>
      </c>
      <c r="Z210" s="564">
        <v>3.970873786407767</v>
      </c>
      <c r="AA210" s="564">
        <v>2.3267326732673266</v>
      </c>
      <c r="AB210" s="564">
        <v>2.9696969696969697</v>
      </c>
      <c r="AC210" s="564">
        <v>1.9705882352941178</v>
      </c>
      <c r="AD210" s="564">
        <v>1.7941176470588236</v>
      </c>
      <c r="AE210" s="564">
        <f t="shared" si="298"/>
        <v>34.901115696401767</v>
      </c>
      <c r="AF210" s="573">
        <f t="shared" si="299"/>
        <v>2.9084263080334805</v>
      </c>
      <c r="AG210" s="370"/>
      <c r="AH210" s="2333">
        <v>3.6542056074766354</v>
      </c>
      <c r="AI210" s="2334">
        <v>2.0761904761904764</v>
      </c>
      <c r="AJ210" s="2334">
        <v>3.5480769230769229</v>
      </c>
      <c r="AK210" s="2334">
        <v>3.4392523364485981</v>
      </c>
      <c r="AL210" s="2334">
        <v>3.1226415094339623</v>
      </c>
      <c r="AM210" s="2334">
        <v>3.1634615384615383</v>
      </c>
      <c r="AN210" s="2334">
        <v>3.375</v>
      </c>
      <c r="AO210" s="2334">
        <v>2.8349514563106797</v>
      </c>
      <c r="AP210" s="2334">
        <v>2.6542056074766354</v>
      </c>
      <c r="AQ210" s="2334">
        <v>2.2956521739130435</v>
      </c>
      <c r="AR210" s="2334">
        <v>2.5585585585585586</v>
      </c>
      <c r="AS210" s="2334">
        <v>1.9661016949152543</v>
      </c>
      <c r="AT210" s="2334">
        <f t="shared" si="300"/>
        <v>34.688297882262304</v>
      </c>
      <c r="AU210" s="2335">
        <f t="shared" si="289"/>
        <v>2.8906914901885252</v>
      </c>
      <c r="AV210" s="2323"/>
      <c r="AW210" s="2323"/>
      <c r="AX210" s="2334">
        <v>1.8225806451612903</v>
      </c>
      <c r="AY210" s="2334">
        <v>4.3025210084033612</v>
      </c>
      <c r="AZ210" s="2334">
        <v>3.15</v>
      </c>
      <c r="BA210" s="2334">
        <v>3.178861788617886</v>
      </c>
      <c r="BB210" s="2334">
        <v>5.5213675213675213</v>
      </c>
      <c r="BC210" s="2334">
        <v>2.6101694915254239</v>
      </c>
      <c r="BD210" s="564">
        <v>4.4661016949152543</v>
      </c>
      <c r="BE210" s="564">
        <v>2.9482758620689653</v>
      </c>
      <c r="BF210" s="2334">
        <v>3.0172413793103448</v>
      </c>
      <c r="BG210" s="2334">
        <v>2.168141592920354</v>
      </c>
      <c r="BH210" s="2334">
        <v>2.1711711711711712</v>
      </c>
      <c r="BI210" s="2385">
        <v>2.0275229357798166</v>
      </c>
      <c r="BJ210" s="564">
        <f t="shared" si="287"/>
        <v>37.38395509124139</v>
      </c>
      <c r="BK210" s="573">
        <f t="shared" si="288"/>
        <v>3.1150700017699684</v>
      </c>
      <c r="BL210" s="2191"/>
      <c r="BN210" s="322">
        <f t="shared" si="294"/>
        <v>6.1421240864562243E-2</v>
      </c>
      <c r="BO210" s="322">
        <f t="shared" si="293"/>
        <v>0.22437851158144317</v>
      </c>
      <c r="BP210" s="322">
        <f t="shared" si="295"/>
        <v>2.6956572089790853</v>
      </c>
      <c r="BQ210" s="322">
        <f t="shared" si="290"/>
        <v>-0.14364823539135463</v>
      </c>
      <c r="BR210">
        <f t="shared" si="291"/>
        <v>2.1711711711711712</v>
      </c>
      <c r="BS210">
        <f t="shared" si="292"/>
        <v>2.0275229357798166</v>
      </c>
    </row>
    <row r="211" spans="1:92" ht="18" thickBot="1" x14ac:dyDescent="0.6">
      <c r="A211" s="7223"/>
      <c r="B211" s="246"/>
      <c r="C211" s="179" t="s">
        <v>236</v>
      </c>
      <c r="D211" s="566">
        <v>3.0784313725490198</v>
      </c>
      <c r="E211" s="566">
        <v>2.4</v>
      </c>
      <c r="F211" s="566">
        <v>2.3191489361702127</v>
      </c>
      <c r="G211" s="566">
        <v>2.2653061224489797</v>
      </c>
      <c r="H211" s="566">
        <v>1.9519230769230769</v>
      </c>
      <c r="I211" s="566">
        <v>2.1894736842105265</v>
      </c>
      <c r="J211" s="566">
        <v>1.9375</v>
      </c>
      <c r="K211" s="566">
        <v>2.0631578947368423</v>
      </c>
      <c r="L211" s="566">
        <v>1.7272727272727273</v>
      </c>
      <c r="M211" s="566">
        <v>1.6320754716981132</v>
      </c>
      <c r="N211" s="566">
        <v>1.4336283185840708</v>
      </c>
      <c r="O211" s="566">
        <v>1.6086956521739131</v>
      </c>
      <c r="P211" s="566">
        <f t="shared" si="296"/>
        <v>24.606613256767481</v>
      </c>
      <c r="Q211" s="575">
        <f t="shared" si="297"/>
        <v>2.0505511047306233</v>
      </c>
      <c r="R211" s="370"/>
      <c r="S211" s="582">
        <v>1.7037037037037037</v>
      </c>
      <c r="T211" s="566">
        <v>1.5</v>
      </c>
      <c r="U211" s="566">
        <v>1.9705882352941178</v>
      </c>
      <c r="V211" s="566">
        <v>2.2200000000000002</v>
      </c>
      <c r="W211" s="566">
        <v>1.8</v>
      </c>
      <c r="X211" s="566">
        <v>1.9607843137254901</v>
      </c>
      <c r="Y211" s="566">
        <v>2.1354166666666665</v>
      </c>
      <c r="Z211" s="566">
        <v>2.1346153846153846</v>
      </c>
      <c r="AA211" s="566">
        <v>1.9711538461538463</v>
      </c>
      <c r="AB211" s="566">
        <v>2.203883495145631</v>
      </c>
      <c r="AC211" s="566">
        <v>2.1886792452830188</v>
      </c>
      <c r="AD211" s="566">
        <v>2.0095238095238095</v>
      </c>
      <c r="AE211" s="566">
        <f t="shared" si="298"/>
        <v>23.798348700111671</v>
      </c>
      <c r="AF211" s="575">
        <f t="shared" si="299"/>
        <v>1.983195725009306</v>
      </c>
      <c r="AG211" s="370"/>
      <c r="AH211" s="2339">
        <v>2.2242990654205608</v>
      </c>
      <c r="AI211" s="2340">
        <v>2.1844660194174756</v>
      </c>
      <c r="AJ211" s="2340">
        <v>2.8095238095238093</v>
      </c>
      <c r="AK211" s="2340">
        <v>2.625</v>
      </c>
      <c r="AL211" s="2340">
        <v>2.8095238095238093</v>
      </c>
      <c r="AM211" s="2340">
        <v>2.4095238095238094</v>
      </c>
      <c r="AN211" s="2340">
        <v>2.6785714285714284</v>
      </c>
      <c r="AO211" s="2340">
        <v>2</v>
      </c>
      <c r="AP211" s="2340">
        <v>2.6379310344827585</v>
      </c>
      <c r="AQ211" s="2340">
        <v>2.2735042735042734</v>
      </c>
      <c r="AR211" s="2340">
        <v>2.2782608695652176</v>
      </c>
      <c r="AS211" s="2340">
        <v>2.0263157894736841</v>
      </c>
      <c r="AT211" s="2340">
        <f t="shared" si="300"/>
        <v>28.956919909006828</v>
      </c>
      <c r="AU211" s="2341">
        <f t="shared" si="289"/>
        <v>2.4130766590839023</v>
      </c>
      <c r="AV211" s="2323"/>
      <c r="AW211" s="2323"/>
      <c r="AX211" s="2340">
        <v>1.8</v>
      </c>
      <c r="AY211" s="2340">
        <v>3.3027522935779818</v>
      </c>
      <c r="AZ211" s="2340">
        <v>3</v>
      </c>
      <c r="BA211" s="2340">
        <v>2.5913043478260871</v>
      </c>
      <c r="BB211" s="2340">
        <v>5.0900900900900901</v>
      </c>
      <c r="BC211" s="2340">
        <v>3.3636363636363638</v>
      </c>
      <c r="BD211" s="566">
        <v>4.0900900900900901</v>
      </c>
      <c r="BE211" s="566">
        <v>3.0550458715596331</v>
      </c>
      <c r="BF211" s="2340">
        <v>2.5090909090909093</v>
      </c>
      <c r="BG211" s="2340">
        <v>2.2432432432432434</v>
      </c>
      <c r="BH211" s="2340">
        <v>2.1981981981981984</v>
      </c>
      <c r="BI211" s="2386">
        <v>2.0442477876106193</v>
      </c>
      <c r="BJ211" s="566">
        <f t="shared" si="287"/>
        <v>35.287699194923221</v>
      </c>
      <c r="BK211" s="575">
        <f t="shared" si="288"/>
        <v>2.9403965665297243</v>
      </c>
      <c r="BL211" s="2191"/>
      <c r="BN211" s="322">
        <f t="shared" si="294"/>
        <v>1.7931998136935245E-2</v>
      </c>
      <c r="BO211" s="322">
        <f t="shared" si="293"/>
        <v>0.52731990744582191</v>
      </c>
      <c r="BP211" s="322">
        <f t="shared" si="295"/>
        <v>6.3307792859163925</v>
      </c>
      <c r="BQ211" s="322">
        <f t="shared" si="290"/>
        <v>-0.15395041058757908</v>
      </c>
      <c r="BR211">
        <f t="shared" si="291"/>
        <v>2.1981981981981984</v>
      </c>
      <c r="BS211">
        <f t="shared" si="292"/>
        <v>2.0442477876106193</v>
      </c>
    </row>
    <row r="212" spans="1:92" s="190" customFormat="1" ht="7.3" customHeight="1" x14ac:dyDescent="0.55000000000000004">
      <c r="B212" s="247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2342"/>
      <c r="AI212" s="2342"/>
      <c r="AJ212" s="2342"/>
      <c r="AK212" s="2342"/>
      <c r="AL212" s="2342"/>
      <c r="AM212" s="2342"/>
      <c r="AN212" s="2342"/>
      <c r="AO212" s="2342"/>
      <c r="AP212" s="2342"/>
      <c r="AQ212" s="2342"/>
      <c r="AR212" s="2342"/>
      <c r="AS212" s="2342"/>
      <c r="AT212" s="2342"/>
      <c r="AU212" s="2342"/>
      <c r="AV212" s="2343"/>
      <c r="AW212" s="2343"/>
      <c r="AX212" s="2342"/>
      <c r="AY212" s="2342"/>
      <c r="AZ212" s="2342"/>
      <c r="BA212" s="2342"/>
      <c r="BB212" s="2342"/>
      <c r="BC212" s="2342"/>
      <c r="BD212" s="341"/>
      <c r="BE212" s="341"/>
      <c r="BF212" s="341"/>
      <c r="BG212" s="341"/>
      <c r="BH212" s="341"/>
      <c r="BI212" s="341"/>
      <c r="BJ212" s="341"/>
      <c r="BK212" s="341"/>
      <c r="BN212" s="322">
        <f>AQ212-AB212</f>
        <v>0</v>
      </c>
      <c r="BO212" s="322">
        <f t="shared" si="293"/>
        <v>0</v>
      </c>
      <c r="BP212" s="322"/>
      <c r="BR212"/>
      <c r="BS212"/>
    </row>
    <row r="213" spans="1:92" s="189" customFormat="1" ht="10.3" hidden="1" customHeight="1" thickBot="1" x14ac:dyDescent="0.6">
      <c r="A213" s="187"/>
      <c r="B213" s="241"/>
      <c r="C213" s="188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71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  <c r="AE213" s="340"/>
      <c r="AF213" s="340"/>
      <c r="AG213" s="371"/>
      <c r="AH213" s="340"/>
      <c r="AI213" s="340"/>
      <c r="AJ213" s="340"/>
      <c r="AK213" s="340"/>
      <c r="AL213" s="340"/>
      <c r="AM213" s="340"/>
      <c r="AN213" s="340"/>
      <c r="AO213" s="340"/>
      <c r="AP213" s="340"/>
      <c r="AQ213" s="340"/>
      <c r="AR213" s="340"/>
      <c r="AS213" s="340"/>
      <c r="AT213" s="340"/>
      <c r="AU213" s="340"/>
      <c r="AX213" s="340"/>
      <c r="AY213" s="340"/>
      <c r="AZ213" s="340"/>
      <c r="BA213" s="340"/>
      <c r="BB213" s="340"/>
      <c r="BC213" s="340"/>
      <c r="BD213" s="340"/>
      <c r="BE213" s="340"/>
      <c r="BF213" s="340"/>
      <c r="BG213" s="340"/>
      <c r="BH213" s="340"/>
      <c r="BI213" s="340"/>
      <c r="BJ213" s="340"/>
      <c r="BK213" s="340"/>
    </row>
    <row r="214" spans="1:92" s="190" customFormat="1" ht="20.05" hidden="1" customHeight="1" x14ac:dyDescent="0.55000000000000004">
      <c r="A214" s="3"/>
      <c r="B214" s="240"/>
      <c r="C214" s="191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41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41"/>
      <c r="AH214" s="310"/>
      <c r="AI214" s="310"/>
      <c r="AJ214" s="310"/>
      <c r="AK214" s="310"/>
      <c r="AL214" s="310"/>
      <c r="AM214" s="799"/>
      <c r="AN214" s="310"/>
      <c r="AO214" s="310"/>
      <c r="AP214" s="310"/>
      <c r="AQ214" s="310"/>
      <c r="AR214" s="310"/>
      <c r="AS214" s="310"/>
      <c r="AT214" s="310"/>
      <c r="AU214" s="310"/>
      <c r="AX214" s="310"/>
      <c r="AY214" s="310"/>
      <c r="AZ214" s="310"/>
      <c r="BA214" s="310"/>
      <c r="BB214" s="310"/>
      <c r="BC214" s="799"/>
      <c r="BD214" s="310"/>
      <c r="BE214" s="310"/>
      <c r="BF214" s="310"/>
      <c r="BG214" s="310"/>
      <c r="BH214" s="310"/>
      <c r="BI214" s="310"/>
      <c r="BJ214" s="310"/>
      <c r="BK214" s="310"/>
      <c r="BN214" s="7538" t="s">
        <v>258</v>
      </c>
      <c r="BO214" s="7539"/>
      <c r="BP214" s="7540"/>
      <c r="BQ214" s="7541"/>
      <c r="BR214" s="7542"/>
      <c r="BS214" s="7543"/>
      <c r="BT214" s="7544"/>
      <c r="BU214" s="7542"/>
      <c r="BV214" s="7542"/>
      <c r="BW214" s="7544" t="s">
        <v>900</v>
      </c>
      <c r="BX214" s="7542"/>
      <c r="BY214" s="7542"/>
      <c r="CC214" s="1316" t="s">
        <v>1054</v>
      </c>
      <c r="CD214" s="1316"/>
      <c r="CE214" s="1316" t="s">
        <v>1055</v>
      </c>
      <c r="CF214" s="1316"/>
      <c r="CG214" s="1316" t="s">
        <v>901</v>
      </c>
      <c r="CH214" s="1316"/>
      <c r="CI214" s="1316" t="s">
        <v>902</v>
      </c>
      <c r="CJ214" s="1316"/>
      <c r="CK214" s="1316" t="s">
        <v>903</v>
      </c>
      <c r="CL214" s="1316"/>
      <c r="CM214" s="1316" t="s">
        <v>904</v>
      </c>
      <c r="CN214" s="1316"/>
    </row>
    <row r="215" spans="1:92" s="190" customFormat="1" ht="25.75" hidden="1" customHeight="1" thickBot="1" x14ac:dyDescent="0.6">
      <c r="A215" s="3" t="s">
        <v>839</v>
      </c>
      <c r="B215" s="240"/>
      <c r="C215" s="191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41"/>
      <c r="S215" s="110" t="s">
        <v>368</v>
      </c>
      <c r="T215" s="110" t="s">
        <v>369</v>
      </c>
      <c r="U215" s="110" t="s">
        <v>370</v>
      </c>
      <c r="V215" s="110" t="s">
        <v>371</v>
      </c>
      <c r="W215" s="110" t="s">
        <v>372</v>
      </c>
      <c r="X215" s="110" t="s">
        <v>373</v>
      </c>
      <c r="Y215" s="110" t="s">
        <v>374</v>
      </c>
      <c r="Z215" s="110" t="s">
        <v>375</v>
      </c>
      <c r="AA215" s="110" t="s">
        <v>376</v>
      </c>
      <c r="AB215" s="110" t="s">
        <v>377</v>
      </c>
      <c r="AC215" s="110" t="s">
        <v>378</v>
      </c>
      <c r="AD215" s="110" t="s">
        <v>379</v>
      </c>
      <c r="AE215" s="110" t="s">
        <v>412</v>
      </c>
      <c r="AF215" s="110" t="s">
        <v>367</v>
      </c>
      <c r="AG215" s="341"/>
      <c r="AH215" s="109" t="s">
        <v>524</v>
      </c>
      <c r="AI215" s="110" t="s">
        <v>3</v>
      </c>
      <c r="AJ215" s="110" t="s">
        <v>525</v>
      </c>
      <c r="AK215" s="110" t="s">
        <v>358</v>
      </c>
      <c r="AL215" s="110" t="s">
        <v>359</v>
      </c>
      <c r="AM215" s="110" t="s">
        <v>360</v>
      </c>
      <c r="AN215" s="110" t="s">
        <v>361</v>
      </c>
      <c r="AO215" s="110" t="s">
        <v>362</v>
      </c>
      <c r="AP215" s="110" t="s">
        <v>363</v>
      </c>
      <c r="AQ215" s="110" t="s">
        <v>364</v>
      </c>
      <c r="AR215" s="110" t="s">
        <v>365</v>
      </c>
      <c r="AS215" s="110" t="s">
        <v>366</v>
      </c>
      <c r="AT215" s="110" t="s">
        <v>413</v>
      </c>
      <c r="AU215" s="110" t="s">
        <v>367</v>
      </c>
      <c r="AX215" s="1003" t="s">
        <v>1020</v>
      </c>
      <c r="AY215" s="110" t="s">
        <v>1022</v>
      </c>
      <c r="AZ215" s="110" t="s">
        <v>1024</v>
      </c>
      <c r="BA215" s="110" t="s">
        <v>1025</v>
      </c>
      <c r="BB215" s="110" t="s">
        <v>1026</v>
      </c>
      <c r="BC215" s="110" t="s">
        <v>1027</v>
      </c>
      <c r="BD215" s="110" t="s">
        <v>1028</v>
      </c>
      <c r="BE215" s="110" t="s">
        <v>1029</v>
      </c>
      <c r="BF215" s="110" t="s">
        <v>1030</v>
      </c>
      <c r="BG215" s="110" t="s">
        <v>1031</v>
      </c>
      <c r="BH215" s="110" t="s">
        <v>1032</v>
      </c>
      <c r="BI215" s="110" t="s">
        <v>1033</v>
      </c>
      <c r="BJ215" s="110" t="s">
        <v>1036</v>
      </c>
      <c r="BK215" s="110" t="s">
        <v>367</v>
      </c>
      <c r="BN215" s="1310" t="s">
        <v>263</v>
      </c>
      <c r="BO215" s="1311" t="s">
        <v>264</v>
      </c>
      <c r="BP215" s="1312" t="s">
        <v>893</v>
      </c>
      <c r="BQ215" s="1313"/>
      <c r="BR215" s="1314"/>
      <c r="BS215" s="1315"/>
      <c r="BT215" s="1314"/>
      <c r="BU215" s="1314"/>
      <c r="BV215" s="1314"/>
      <c r="BW215" s="1314" t="s">
        <v>897</v>
      </c>
      <c r="BX215" s="1314" t="s">
        <v>898</v>
      </c>
      <c r="BY215" s="1314" t="s">
        <v>899</v>
      </c>
      <c r="CC215" s="1541" t="s">
        <v>940</v>
      </c>
      <c r="CD215" s="1542" t="s">
        <v>941</v>
      </c>
      <c r="CE215" s="1541" t="s">
        <v>940</v>
      </c>
      <c r="CF215" s="1542" t="s">
        <v>941</v>
      </c>
      <c r="CG215" s="1541" t="s">
        <v>940</v>
      </c>
      <c r="CH215" s="1542" t="s">
        <v>941</v>
      </c>
      <c r="CI215" s="1541" t="s">
        <v>940</v>
      </c>
      <c r="CJ215" s="1542" t="s">
        <v>941</v>
      </c>
      <c r="CK215" s="1543" t="s">
        <v>940</v>
      </c>
      <c r="CL215" s="1544" t="s">
        <v>941</v>
      </c>
      <c r="CM215" s="1543" t="s">
        <v>940</v>
      </c>
      <c r="CN215" s="1543" t="s">
        <v>941</v>
      </c>
    </row>
    <row r="216" spans="1:92" hidden="1" x14ac:dyDescent="0.55000000000000004">
      <c r="A216" s="7545" t="s">
        <v>840</v>
      </c>
      <c r="B216" s="41" t="s">
        <v>825</v>
      </c>
      <c r="C216" s="41"/>
      <c r="D216" s="584"/>
      <c r="E216" s="585"/>
      <c r="F216" s="585"/>
      <c r="G216" s="585"/>
      <c r="H216" s="585"/>
      <c r="I216" s="585"/>
      <c r="J216" s="585"/>
      <c r="K216" s="585"/>
      <c r="L216" s="585"/>
      <c r="M216" s="585"/>
      <c r="N216" s="585"/>
      <c r="O216" s="585"/>
      <c r="P216" s="585"/>
      <c r="Q216" s="586"/>
      <c r="R216" s="370"/>
      <c r="S216" s="584" t="s">
        <v>838</v>
      </c>
      <c r="T216" s="585">
        <v>60.75</v>
      </c>
      <c r="U216" s="585">
        <v>51.75</v>
      </c>
      <c r="V216" s="585">
        <v>41.5</v>
      </c>
      <c r="W216" s="585">
        <v>47.111111111111114</v>
      </c>
      <c r="X216" s="585">
        <v>42.099999999999994</v>
      </c>
      <c r="Y216" s="585">
        <v>38.4</v>
      </c>
      <c r="Z216" s="585">
        <v>62.461538461538467</v>
      </c>
      <c r="AA216" s="585">
        <v>33.307692307692307</v>
      </c>
      <c r="AB216" s="585">
        <v>53.5</v>
      </c>
      <c r="AC216" s="585">
        <v>40.769230769230766</v>
      </c>
      <c r="AD216" s="585">
        <v>35.733333333333334</v>
      </c>
      <c r="AE216" s="585">
        <v>507.38290598290598</v>
      </c>
      <c r="AF216" s="586">
        <v>45</v>
      </c>
      <c r="AG216" s="370"/>
      <c r="AH216" s="584"/>
      <c r="AI216" s="585">
        <v>61</v>
      </c>
      <c r="AJ216" s="585">
        <v>62</v>
      </c>
      <c r="AK216" s="585">
        <v>53.307692307692307</v>
      </c>
      <c r="AL216" s="585">
        <v>45.5625</v>
      </c>
      <c r="AM216" s="585">
        <v>40.090909090909093</v>
      </c>
      <c r="AN216" s="1033">
        <v>62.230769230769234</v>
      </c>
      <c r="AO216" s="585">
        <v>45.178571428571431</v>
      </c>
      <c r="AP216" s="585">
        <v>57.333333333333329</v>
      </c>
      <c r="AQ216" s="585">
        <v>43.70967741935484</v>
      </c>
      <c r="AR216" s="585">
        <v>42.677419354838712</v>
      </c>
      <c r="AS216" s="585">
        <v>38.875</v>
      </c>
      <c r="AT216" s="585">
        <f t="shared" ref="AT216:AT233" si="301">SUM(AH216:AS216)</f>
        <v>551.96587216546891</v>
      </c>
      <c r="AU216" s="586">
        <f t="shared" ref="AU216:AU233" si="302">SUM(AH216:AS216)/$A$1</f>
        <v>45.993323236852675</v>
      </c>
      <c r="AX216" s="584"/>
      <c r="AY216" s="585"/>
      <c r="AZ216" s="585"/>
      <c r="BA216" s="585"/>
      <c r="BB216" s="585"/>
      <c r="BC216" s="585"/>
      <c r="BD216" s="1033"/>
      <c r="BE216" s="585"/>
      <c r="BF216" s="585"/>
      <c r="BG216" s="585"/>
      <c r="BH216" s="585"/>
      <c r="BI216" s="585"/>
      <c r="BJ216" s="585">
        <f t="shared" ref="BJ216:BJ233" si="303">SUM(AX216:BI216)</f>
        <v>0</v>
      </c>
      <c r="BK216" s="586">
        <f t="shared" ref="BK216:BK233" si="304">SUM(AX216:BI216)/$A$1</f>
        <v>0</v>
      </c>
      <c r="BN216" s="1317"/>
      <c r="BO216" s="1318"/>
      <c r="BP216" s="1319"/>
      <c r="BQ216" s="1320"/>
      <c r="BR216" s="1321"/>
      <c r="BS216" s="1322"/>
      <c r="BT216" s="1321"/>
      <c r="BU216" s="1321"/>
      <c r="BV216" s="1321"/>
      <c r="BW216" s="1323"/>
      <c r="BX216" s="1323"/>
      <c r="BY216" s="1324"/>
      <c r="CB216" s="190"/>
      <c r="CC216" s="1543"/>
      <c r="CD216" s="1544"/>
      <c r="CE216" s="1543"/>
      <c r="CF216" s="1544"/>
      <c r="CG216" s="1543"/>
      <c r="CH216" s="1544"/>
      <c r="CI216" s="1543"/>
      <c r="CJ216" s="1544"/>
      <c r="CK216" s="1543"/>
      <c r="CL216" s="1544"/>
      <c r="CM216" s="1543"/>
      <c r="CN216" s="1543"/>
    </row>
    <row r="217" spans="1:92" hidden="1" x14ac:dyDescent="0.55000000000000004">
      <c r="A217" s="7546"/>
      <c r="B217" s="458"/>
      <c r="C217" s="1021" t="s">
        <v>826</v>
      </c>
      <c r="D217" s="273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5"/>
      <c r="R217" s="370"/>
      <c r="S217" s="273">
        <v>65.34375</v>
      </c>
      <c r="T217" s="274">
        <v>86.862745098039213</v>
      </c>
      <c r="U217" s="274">
        <v>70.28235294117647</v>
      </c>
      <c r="V217" s="274">
        <v>69.116</v>
      </c>
      <c r="W217" s="274">
        <v>73.07630522088354</v>
      </c>
      <c r="X217" s="274">
        <v>70.092741935483872</v>
      </c>
      <c r="Y217" s="274">
        <v>61.530364372469634</v>
      </c>
      <c r="Z217" s="274">
        <v>104.4430894308943</v>
      </c>
      <c r="AA217" s="274">
        <v>52.741803278688529</v>
      </c>
      <c r="AB217" s="274">
        <v>91.534979423868322</v>
      </c>
      <c r="AC217" s="274">
        <v>64.796680497925308</v>
      </c>
      <c r="AD217" s="274">
        <v>56.565957446808511</v>
      </c>
      <c r="AE217" s="274">
        <v>801.04301964623767</v>
      </c>
      <c r="AF217" s="275">
        <v>72.270124621084534</v>
      </c>
      <c r="AG217" s="370"/>
      <c r="AH217" s="757">
        <v>99.868592759897112</v>
      </c>
      <c r="AI217" s="758">
        <v>62.944444444444443</v>
      </c>
      <c r="AJ217" s="758">
        <v>69.532258064516128</v>
      </c>
      <c r="AK217" s="758">
        <v>70.408906882591097</v>
      </c>
      <c r="AL217" s="758">
        <v>71.367346938775512</v>
      </c>
      <c r="AM217" s="758">
        <v>63.360655737704917</v>
      </c>
      <c r="AN217" s="1034">
        <v>93.440329218106996</v>
      </c>
      <c r="AO217" s="758">
        <v>68.826446280991732</v>
      </c>
      <c r="AP217" s="758">
        <v>86.095435684647299</v>
      </c>
      <c r="AQ217" s="758">
        <v>69.738589211618262</v>
      </c>
      <c r="AR217" s="758">
        <v>64.38174273858921</v>
      </c>
      <c r="AS217" s="758">
        <v>56.389121338912133</v>
      </c>
      <c r="AT217" s="274">
        <f t="shared" si="301"/>
        <v>876.35386930079494</v>
      </c>
      <c r="AU217" s="1418">
        <f t="shared" si="302"/>
        <v>73.023403824747518</v>
      </c>
      <c r="AX217" s="757"/>
      <c r="AY217" s="758"/>
      <c r="AZ217" s="758"/>
      <c r="BA217" s="758"/>
      <c r="BB217" s="758"/>
      <c r="BC217" s="758"/>
      <c r="BD217" s="1034"/>
      <c r="BE217" s="758"/>
      <c r="BF217" s="758"/>
      <c r="BG217" s="758"/>
      <c r="BH217" s="758"/>
      <c r="BI217" s="758"/>
      <c r="BJ217" s="274">
        <f t="shared" si="303"/>
        <v>0</v>
      </c>
      <c r="BK217" s="1418">
        <f t="shared" si="304"/>
        <v>0</v>
      </c>
      <c r="BN217" s="1325"/>
      <c r="BO217" s="1326"/>
      <c r="BP217" s="1327"/>
      <c r="BQ217" s="1328"/>
      <c r="BR217" s="1329"/>
      <c r="BS217" s="1330"/>
      <c r="BT217" s="1329"/>
      <c r="BU217" s="1329"/>
      <c r="BV217" s="1329"/>
      <c r="BW217" s="1329"/>
      <c r="BX217" s="1329"/>
      <c r="BY217" s="1329"/>
      <c r="CB217" s="190"/>
      <c r="CC217" s="1543"/>
      <c r="CD217" s="1544"/>
      <c r="CE217" s="1543"/>
      <c r="CF217" s="1544"/>
      <c r="CG217" s="1543"/>
      <c r="CH217" s="1544"/>
      <c r="CI217" s="1543"/>
      <c r="CJ217" s="1544"/>
      <c r="CK217" s="1543"/>
      <c r="CL217" s="1544"/>
      <c r="CM217" s="1543"/>
      <c r="CN217" s="1543"/>
    </row>
    <row r="218" spans="1:92" hidden="1" x14ac:dyDescent="0.55000000000000004">
      <c r="A218" s="7546"/>
      <c r="B218" s="458"/>
      <c r="C218" s="1021" t="s">
        <v>827</v>
      </c>
      <c r="D218" s="273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5"/>
      <c r="R218" s="370"/>
      <c r="S218" s="273">
        <v>65.34375</v>
      </c>
      <c r="T218" s="274">
        <v>86.459459459459453</v>
      </c>
      <c r="U218" s="274">
        <v>69.996138996138995</v>
      </c>
      <c r="V218" s="274">
        <v>68.681102362204726</v>
      </c>
      <c r="W218" s="274">
        <v>72.170542635658919</v>
      </c>
      <c r="X218" s="274">
        <v>69.007751937984494</v>
      </c>
      <c r="Y218" s="274">
        <v>60.630350194552527</v>
      </c>
      <c r="Z218" s="274">
        <v>102.33590733590734</v>
      </c>
      <c r="AA218" s="274">
        <v>51.758754863813223</v>
      </c>
      <c r="AB218" s="274">
        <v>89.463035019455248</v>
      </c>
      <c r="AC218" s="274">
        <v>63.566929133858267</v>
      </c>
      <c r="AD218" s="274">
        <v>55.316000000000003</v>
      </c>
      <c r="AE218" s="274">
        <v>789.3859719390332</v>
      </c>
      <c r="AF218" s="275">
        <v>71.30441845354126</v>
      </c>
      <c r="AG218" s="370"/>
      <c r="AH218" s="757">
        <v>99.868592759897112</v>
      </c>
      <c r="AI218" s="758">
        <v>63.240543707522853</v>
      </c>
      <c r="AJ218" s="758">
        <v>69.583729083665332</v>
      </c>
      <c r="AK218" s="758">
        <v>69.836851520572452</v>
      </c>
      <c r="AL218" s="758">
        <v>69.997288535219568</v>
      </c>
      <c r="AM218" s="758">
        <v>61.590126259043835</v>
      </c>
      <c r="AN218" s="1034">
        <v>90.423791821561338</v>
      </c>
      <c r="AO218" s="758">
        <v>66.374074074074073</v>
      </c>
      <c r="AP218" s="758">
        <v>82.911439114391143</v>
      </c>
      <c r="AQ218" s="758">
        <v>66.772058823529406</v>
      </c>
      <c r="AR218" s="758">
        <v>61.908088235294116</v>
      </c>
      <c r="AS218" s="758">
        <v>54.321033210332104</v>
      </c>
      <c r="AT218" s="274">
        <f t="shared" si="301"/>
        <v>856.82761714510332</v>
      </c>
      <c r="AU218" s="1418">
        <f t="shared" si="302"/>
        <v>71.396351732780886</v>
      </c>
      <c r="AX218" s="757"/>
      <c r="AY218" s="758"/>
      <c r="AZ218" s="758"/>
      <c r="BA218" s="758"/>
      <c r="BB218" s="758"/>
      <c r="BC218" s="758"/>
      <c r="BD218" s="1034"/>
      <c r="BE218" s="758"/>
      <c r="BF218" s="758"/>
      <c r="BG218" s="758"/>
      <c r="BH218" s="758"/>
      <c r="BI218" s="758"/>
      <c r="BJ218" s="274">
        <f t="shared" si="303"/>
        <v>0</v>
      </c>
      <c r="BK218" s="1418">
        <f t="shared" si="304"/>
        <v>0</v>
      </c>
      <c r="BN218" s="1325"/>
      <c r="BO218" s="1326"/>
      <c r="BP218" s="1327"/>
      <c r="BQ218" s="1328"/>
      <c r="BR218" s="1329"/>
      <c r="BS218" s="1330"/>
      <c r="BT218" s="1329"/>
      <c r="BU218" s="1329"/>
      <c r="BV218" s="1329"/>
      <c r="BW218" s="1329"/>
      <c r="BX218" s="1329"/>
      <c r="BY218" s="1329"/>
      <c r="CC218" s="1543"/>
      <c r="CD218" s="1544"/>
      <c r="CE218" s="1543"/>
      <c r="CF218" s="1544"/>
      <c r="CG218" s="1543"/>
      <c r="CH218" s="1544"/>
      <c r="CI218" s="1543"/>
      <c r="CJ218" s="1544"/>
      <c r="CK218" s="1543"/>
      <c r="CL218" s="1544"/>
      <c r="CM218" s="1543"/>
      <c r="CN218" s="1543"/>
    </row>
    <row r="219" spans="1:92" hidden="1" x14ac:dyDescent="0.55000000000000004">
      <c r="A219" s="7546"/>
      <c r="B219" s="1156" t="s">
        <v>222</v>
      </c>
      <c r="C219" s="107"/>
      <c r="D219" s="576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465"/>
      <c r="R219" s="370"/>
      <c r="S219" s="576" t="s">
        <v>838</v>
      </c>
      <c r="T219" s="567">
        <v>52.5</v>
      </c>
      <c r="U219" s="567">
        <v>50.5</v>
      </c>
      <c r="V219" s="567">
        <v>41</v>
      </c>
      <c r="W219" s="567">
        <v>41.75</v>
      </c>
      <c r="X219" s="567">
        <v>37.25</v>
      </c>
      <c r="Y219" s="567">
        <v>37.5</v>
      </c>
      <c r="Z219" s="567">
        <v>61.285714285714285</v>
      </c>
      <c r="AA219" s="567">
        <v>31.142857142857142</v>
      </c>
      <c r="AB219" s="567">
        <v>48</v>
      </c>
      <c r="AC219" s="567">
        <v>40.666666666666664</v>
      </c>
      <c r="AD219" s="567">
        <v>31.5</v>
      </c>
      <c r="AE219" s="567">
        <v>473.09523809523813</v>
      </c>
      <c r="AF219" s="465">
        <v>42.549019607843135</v>
      </c>
      <c r="AG219" s="370"/>
      <c r="AH219" s="576" t="s">
        <v>838</v>
      </c>
      <c r="AI219" s="567">
        <v>61</v>
      </c>
      <c r="AJ219" s="567">
        <v>62</v>
      </c>
      <c r="AK219" s="567">
        <v>51.4</v>
      </c>
      <c r="AL219" s="567">
        <v>44.7</v>
      </c>
      <c r="AM219" s="567">
        <v>42.153846153846153</v>
      </c>
      <c r="AN219" s="1035">
        <v>64.214285714285708</v>
      </c>
      <c r="AO219" s="567">
        <v>46</v>
      </c>
      <c r="AP219" s="567">
        <v>58.714285714285708</v>
      </c>
      <c r="AQ219" s="567">
        <v>44.466666666666669</v>
      </c>
      <c r="AR219" s="567">
        <v>43.599999999999994</v>
      </c>
      <c r="AS219" s="567">
        <v>39.666666666666664</v>
      </c>
      <c r="AT219" s="567">
        <f t="shared" si="301"/>
        <v>557.91575091575089</v>
      </c>
      <c r="AU219" s="465">
        <f t="shared" si="302"/>
        <v>46.489105150883333</v>
      </c>
      <c r="AX219" s="576"/>
      <c r="AY219" s="567"/>
      <c r="AZ219" s="567"/>
      <c r="BA219" s="567"/>
      <c r="BB219" s="567"/>
      <c r="BC219" s="567"/>
      <c r="BD219" s="1035"/>
      <c r="BE219" s="567"/>
      <c r="BF219" s="567"/>
      <c r="BG219" s="567"/>
      <c r="BH219" s="567"/>
      <c r="BI219" s="567"/>
      <c r="BJ219" s="567">
        <f t="shared" si="303"/>
        <v>0</v>
      </c>
      <c r="BK219" s="465">
        <f t="shared" si="304"/>
        <v>0</v>
      </c>
      <c r="BN219" s="1331"/>
      <c r="BO219" s="1332"/>
      <c r="BP219" s="1333"/>
      <c r="BQ219" s="1334"/>
      <c r="BR219" s="1335"/>
      <c r="BS219" s="1336"/>
      <c r="BT219" s="1335"/>
      <c r="BU219" s="1335"/>
      <c r="BV219" s="1335"/>
      <c r="BW219" s="1337"/>
      <c r="BX219" s="1337"/>
      <c r="BY219" s="1338"/>
      <c r="CC219" s="1545"/>
      <c r="CD219" s="1546"/>
      <c r="CE219" s="1545"/>
      <c r="CF219" s="1546"/>
      <c r="CG219" s="1545"/>
      <c r="CH219" s="1546"/>
      <c r="CI219" s="1545"/>
      <c r="CJ219" s="1546"/>
      <c r="CK219" s="1545"/>
      <c r="CL219" s="1546"/>
      <c r="CM219" s="1545"/>
      <c r="CN219" s="1545"/>
    </row>
    <row r="220" spans="1:92" hidden="1" x14ac:dyDescent="0.55000000000000004">
      <c r="A220" s="7546"/>
      <c r="B220" s="1157" t="s">
        <v>223</v>
      </c>
      <c r="C220" s="14"/>
      <c r="D220" s="577"/>
      <c r="E220" s="568"/>
      <c r="F220" s="568"/>
      <c r="G220" s="568"/>
      <c r="H220" s="568"/>
      <c r="I220" s="568"/>
      <c r="J220" s="568"/>
      <c r="K220" s="568"/>
      <c r="L220" s="568"/>
      <c r="M220" s="568"/>
      <c r="N220" s="568"/>
      <c r="O220" s="568"/>
      <c r="P220" s="568"/>
      <c r="Q220" s="569"/>
      <c r="R220" s="370"/>
      <c r="S220" s="577" t="s">
        <v>838</v>
      </c>
      <c r="T220" s="568" t="s">
        <v>838</v>
      </c>
      <c r="U220" s="568" t="s">
        <v>838</v>
      </c>
      <c r="V220" s="568" t="s">
        <v>838</v>
      </c>
      <c r="W220" s="568">
        <v>50</v>
      </c>
      <c r="X220" s="568">
        <v>37</v>
      </c>
      <c r="Y220" s="568">
        <v>34</v>
      </c>
      <c r="Z220" s="568">
        <v>66</v>
      </c>
      <c r="AA220" s="568">
        <v>40</v>
      </c>
      <c r="AB220" s="568">
        <v>56</v>
      </c>
      <c r="AC220" s="568">
        <v>41</v>
      </c>
      <c r="AD220" s="568">
        <v>24</v>
      </c>
      <c r="AE220" s="568">
        <v>348</v>
      </c>
      <c r="AF220" s="569">
        <v>43.5</v>
      </c>
      <c r="AG220" s="370"/>
      <c r="AH220" s="577" t="s">
        <v>838</v>
      </c>
      <c r="AI220" s="568" t="s">
        <v>838</v>
      </c>
      <c r="AJ220" s="568" t="s">
        <v>838</v>
      </c>
      <c r="AK220" s="568">
        <v>53</v>
      </c>
      <c r="AL220" s="568">
        <v>59</v>
      </c>
      <c r="AM220" s="568">
        <v>48</v>
      </c>
      <c r="AN220" s="1036">
        <v>73.75</v>
      </c>
      <c r="AO220" s="568">
        <v>50.5</v>
      </c>
      <c r="AP220" s="568">
        <v>75.25</v>
      </c>
      <c r="AQ220" s="568">
        <v>51.25</v>
      </c>
      <c r="AR220" s="568">
        <v>52</v>
      </c>
      <c r="AS220" s="568">
        <v>46.8</v>
      </c>
      <c r="AT220" s="568">
        <f t="shared" si="301"/>
        <v>509.55</v>
      </c>
      <c r="AU220" s="569">
        <f t="shared" si="302"/>
        <v>42.458961753187239</v>
      </c>
      <c r="AX220" s="577"/>
      <c r="AY220" s="568"/>
      <c r="AZ220" s="568"/>
      <c r="BA220" s="568"/>
      <c r="BB220" s="568"/>
      <c r="BC220" s="568"/>
      <c r="BD220" s="1036"/>
      <c r="BE220" s="568"/>
      <c r="BF220" s="568"/>
      <c r="BG220" s="568"/>
      <c r="BH220" s="568"/>
      <c r="BI220" s="568"/>
      <c r="BJ220" s="568">
        <f t="shared" si="303"/>
        <v>0</v>
      </c>
      <c r="BK220" s="569">
        <f t="shared" si="304"/>
        <v>0</v>
      </c>
      <c r="BN220" s="1339"/>
      <c r="BO220" s="1340"/>
      <c r="BP220" s="1341"/>
      <c r="BQ220" s="1342"/>
      <c r="BR220" s="1343"/>
      <c r="BS220" s="1344"/>
      <c r="BT220" s="1343"/>
      <c r="BU220" s="1343"/>
      <c r="BV220" s="1343"/>
      <c r="BW220" s="1345"/>
      <c r="BX220" s="1345"/>
      <c r="BY220" s="1346"/>
      <c r="CC220" s="1543"/>
      <c r="CD220" s="1544"/>
      <c r="CE220" s="1543"/>
      <c r="CF220" s="1544"/>
      <c r="CG220" s="1543"/>
      <c r="CH220" s="1544"/>
      <c r="CI220" s="1543"/>
      <c r="CJ220" s="1544"/>
      <c r="CK220" s="1543"/>
      <c r="CL220" s="1544"/>
      <c r="CM220" s="1543"/>
      <c r="CN220" s="1543"/>
    </row>
    <row r="221" spans="1:92" hidden="1" x14ac:dyDescent="0.55000000000000004">
      <c r="A221" s="7546"/>
      <c r="B221" s="1157" t="s">
        <v>224</v>
      </c>
      <c r="C221" s="14"/>
      <c r="D221" s="577"/>
      <c r="E221" s="568"/>
      <c r="F221" s="568"/>
      <c r="G221" s="568"/>
      <c r="H221" s="568"/>
      <c r="I221" s="568"/>
      <c r="J221" s="568"/>
      <c r="K221" s="568"/>
      <c r="L221" s="568"/>
      <c r="M221" s="568"/>
      <c r="N221" s="568"/>
      <c r="O221" s="568"/>
      <c r="P221" s="568"/>
      <c r="Q221" s="569"/>
      <c r="R221" s="370"/>
      <c r="S221" s="577" t="s">
        <v>838</v>
      </c>
      <c r="T221" s="568" t="s">
        <v>838</v>
      </c>
      <c r="U221" s="568" t="s">
        <v>838</v>
      </c>
      <c r="V221" s="568" t="s">
        <v>838</v>
      </c>
      <c r="W221" s="568">
        <v>65</v>
      </c>
      <c r="X221" s="568">
        <v>54.5</v>
      </c>
      <c r="Y221" s="568">
        <v>48.5</v>
      </c>
      <c r="Z221" s="568">
        <v>76</v>
      </c>
      <c r="AA221" s="568">
        <v>42</v>
      </c>
      <c r="AB221" s="568">
        <v>60.5</v>
      </c>
      <c r="AC221" s="568">
        <v>49</v>
      </c>
      <c r="AD221" s="568">
        <v>50</v>
      </c>
      <c r="AE221" s="568">
        <v>445.5</v>
      </c>
      <c r="AF221" s="569">
        <v>55.066666666666663</v>
      </c>
      <c r="AG221" s="370"/>
      <c r="AH221" s="577" t="s">
        <v>838</v>
      </c>
      <c r="AI221" s="568" t="s">
        <v>838</v>
      </c>
      <c r="AJ221" s="568" t="s">
        <v>838</v>
      </c>
      <c r="AK221" s="568">
        <v>78</v>
      </c>
      <c r="AL221" s="568">
        <v>64</v>
      </c>
      <c r="AM221" s="568">
        <v>48</v>
      </c>
      <c r="AN221" s="1036">
        <v>55</v>
      </c>
      <c r="AO221" s="568">
        <v>49.2</v>
      </c>
      <c r="AP221" s="568">
        <v>58</v>
      </c>
      <c r="AQ221" s="568">
        <v>47.4</v>
      </c>
      <c r="AR221" s="568">
        <v>43</v>
      </c>
      <c r="AS221" s="568">
        <v>37.6</v>
      </c>
      <c r="AT221" s="568">
        <f t="shared" si="301"/>
        <v>480.2</v>
      </c>
      <c r="AU221" s="569">
        <f t="shared" si="302"/>
        <v>40.013332222314808</v>
      </c>
      <c r="AX221" s="577"/>
      <c r="AY221" s="568"/>
      <c r="AZ221" s="568"/>
      <c r="BA221" s="568"/>
      <c r="BB221" s="568"/>
      <c r="BC221" s="568"/>
      <c r="BD221" s="1036"/>
      <c r="BE221" s="568"/>
      <c r="BF221" s="568"/>
      <c r="BG221" s="568"/>
      <c r="BH221" s="568"/>
      <c r="BI221" s="568"/>
      <c r="BJ221" s="568">
        <f t="shared" si="303"/>
        <v>0</v>
      </c>
      <c r="BK221" s="569">
        <f t="shared" si="304"/>
        <v>0</v>
      </c>
      <c r="BN221" s="1339"/>
      <c r="BO221" s="1340"/>
      <c r="BP221" s="1341"/>
      <c r="BQ221" s="1342"/>
      <c r="BR221" s="1343"/>
      <c r="BS221" s="1344"/>
      <c r="BT221" s="1343"/>
      <c r="BU221" s="1343"/>
      <c r="BV221" s="1343"/>
      <c r="BW221" s="1345"/>
      <c r="BX221" s="1345"/>
      <c r="BY221" s="1346"/>
      <c r="CC221" s="1543"/>
      <c r="CD221" s="1544"/>
      <c r="CE221" s="1543"/>
      <c r="CF221" s="1544"/>
      <c r="CG221" s="1543"/>
      <c r="CH221" s="1544"/>
      <c r="CI221" s="1543"/>
      <c r="CJ221" s="1544"/>
      <c r="CK221" s="1543"/>
      <c r="CL221" s="1544"/>
      <c r="CM221" s="1543"/>
      <c r="CN221" s="1543"/>
    </row>
    <row r="222" spans="1:92" hidden="1" x14ac:dyDescent="0.55000000000000004">
      <c r="A222" s="7546"/>
      <c r="B222" s="1157" t="s">
        <v>225</v>
      </c>
      <c r="C222" s="14"/>
      <c r="D222" s="577"/>
      <c r="E222" s="568"/>
      <c r="F222" s="568"/>
      <c r="G222" s="568"/>
      <c r="H222" s="568"/>
      <c r="I222" s="568"/>
      <c r="J222" s="568"/>
      <c r="K222" s="568"/>
      <c r="L222" s="568"/>
      <c r="M222" s="568"/>
      <c r="N222" s="568"/>
      <c r="O222" s="568"/>
      <c r="P222" s="568"/>
      <c r="Q222" s="569"/>
      <c r="R222" s="370"/>
      <c r="S222" s="577" t="s">
        <v>838</v>
      </c>
      <c r="T222" s="568">
        <v>96</v>
      </c>
      <c r="U222" s="568">
        <v>63</v>
      </c>
      <c r="V222" s="568">
        <v>54</v>
      </c>
      <c r="W222" s="568">
        <v>51</v>
      </c>
      <c r="X222" s="568">
        <v>45</v>
      </c>
      <c r="Y222" s="568">
        <v>38.5</v>
      </c>
      <c r="Z222" s="568">
        <v>56.5</v>
      </c>
      <c r="AA222" s="568">
        <v>31</v>
      </c>
      <c r="AB222" s="568">
        <v>60.333333333333336</v>
      </c>
      <c r="AC222" s="568">
        <v>39.666666666666664</v>
      </c>
      <c r="AD222" s="568">
        <v>40.25</v>
      </c>
      <c r="AE222" s="568">
        <v>575.25</v>
      </c>
      <c r="AF222" s="569">
        <v>48.608695652173914</v>
      </c>
      <c r="AG222" s="370"/>
      <c r="AH222" s="577" t="s">
        <v>838</v>
      </c>
      <c r="AI222" s="568" t="s">
        <v>838</v>
      </c>
      <c r="AJ222" s="568" t="s">
        <v>838</v>
      </c>
      <c r="AK222" s="568">
        <v>48</v>
      </c>
      <c r="AL222" s="568">
        <v>50</v>
      </c>
      <c r="AM222" s="568">
        <v>38.5</v>
      </c>
      <c r="AN222" s="1036">
        <v>64</v>
      </c>
      <c r="AO222" s="568">
        <v>46.5</v>
      </c>
      <c r="AP222" s="568">
        <v>55.333333333333329</v>
      </c>
      <c r="AQ222" s="568">
        <v>48.666666666666664</v>
      </c>
      <c r="AR222" s="568">
        <v>41.666666666666671</v>
      </c>
      <c r="AS222" s="568">
        <v>34.333333333333329</v>
      </c>
      <c r="AT222" s="568">
        <f t="shared" si="301"/>
        <v>427</v>
      </c>
      <c r="AU222" s="569">
        <f t="shared" si="302"/>
        <v>35.580368302641446</v>
      </c>
      <c r="AX222" s="577"/>
      <c r="AY222" s="568"/>
      <c r="AZ222" s="568"/>
      <c r="BA222" s="568"/>
      <c r="BB222" s="568"/>
      <c r="BC222" s="568"/>
      <c r="BD222" s="1036"/>
      <c r="BE222" s="568"/>
      <c r="BF222" s="568"/>
      <c r="BG222" s="568"/>
      <c r="BH222" s="568"/>
      <c r="BI222" s="568"/>
      <c r="BJ222" s="568">
        <f t="shared" si="303"/>
        <v>0</v>
      </c>
      <c r="BK222" s="569">
        <f t="shared" si="304"/>
        <v>0</v>
      </c>
      <c r="BN222" s="1339"/>
      <c r="BO222" s="1340"/>
      <c r="BP222" s="1341"/>
      <c r="BQ222" s="1342"/>
      <c r="BR222" s="1343"/>
      <c r="BS222" s="1344"/>
      <c r="BT222" s="1343"/>
      <c r="BU222" s="1343"/>
      <c r="BV222" s="1343"/>
      <c r="BW222" s="1345"/>
      <c r="BX222" s="1345"/>
      <c r="BY222" s="1346"/>
      <c r="CC222" s="1543"/>
      <c r="CD222" s="1544"/>
      <c r="CE222" s="1543"/>
      <c r="CF222" s="1544"/>
      <c r="CG222" s="1543"/>
      <c r="CH222" s="1544"/>
      <c r="CI222" s="1543"/>
      <c r="CJ222" s="1544"/>
      <c r="CK222" s="1543"/>
      <c r="CL222" s="1544"/>
      <c r="CM222" s="1543"/>
      <c r="CN222" s="1543"/>
    </row>
    <row r="223" spans="1:92" hidden="1" x14ac:dyDescent="0.55000000000000004">
      <c r="A223" s="7546"/>
      <c r="B223" s="236" t="s">
        <v>226</v>
      </c>
      <c r="C223" s="29"/>
      <c r="D223" s="578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1"/>
      <c r="R223" s="370"/>
      <c r="S223" s="578" t="s">
        <v>838</v>
      </c>
      <c r="T223" s="570">
        <v>42</v>
      </c>
      <c r="U223" s="570">
        <v>43</v>
      </c>
      <c r="V223" s="570">
        <v>30</v>
      </c>
      <c r="W223" s="570">
        <v>40</v>
      </c>
      <c r="X223" s="570">
        <v>36</v>
      </c>
      <c r="Y223" s="570">
        <v>26</v>
      </c>
      <c r="Z223" s="570">
        <v>52</v>
      </c>
      <c r="AA223" s="570">
        <v>29</v>
      </c>
      <c r="AB223" s="570">
        <v>55</v>
      </c>
      <c r="AC223" s="570">
        <v>28</v>
      </c>
      <c r="AD223" s="570">
        <v>31</v>
      </c>
      <c r="AE223" s="570">
        <v>412</v>
      </c>
      <c r="AF223" s="571">
        <v>36.916666666666664</v>
      </c>
      <c r="AG223" s="370"/>
      <c r="AH223" s="578" t="s">
        <v>838</v>
      </c>
      <c r="AI223" s="570" t="s">
        <v>838</v>
      </c>
      <c r="AJ223" s="570" t="s">
        <v>838</v>
      </c>
      <c r="AK223" s="570" t="s">
        <v>838</v>
      </c>
      <c r="AL223" s="570">
        <v>25</v>
      </c>
      <c r="AM223" s="570">
        <v>8.5</v>
      </c>
      <c r="AN223" s="1037">
        <v>43.666666666666664</v>
      </c>
      <c r="AO223" s="570">
        <v>26.666666666666668</v>
      </c>
      <c r="AP223" s="570">
        <v>35.25</v>
      </c>
      <c r="AQ223" s="570">
        <v>25</v>
      </c>
      <c r="AR223" s="570">
        <v>30.25</v>
      </c>
      <c r="AS223" s="570">
        <v>31</v>
      </c>
      <c r="AT223" s="570">
        <f t="shared" si="301"/>
        <v>225.33333333333331</v>
      </c>
      <c r="AU223" s="571">
        <f t="shared" si="302"/>
        <v>18.776213093353331</v>
      </c>
      <c r="AX223" s="578"/>
      <c r="AY223" s="570"/>
      <c r="AZ223" s="570"/>
      <c r="BA223" s="570"/>
      <c r="BB223" s="570"/>
      <c r="BC223" s="570"/>
      <c r="BD223" s="1037"/>
      <c r="BE223" s="570"/>
      <c r="BF223" s="570"/>
      <c r="BG223" s="570"/>
      <c r="BH223" s="570"/>
      <c r="BI223" s="570"/>
      <c r="BJ223" s="570">
        <f t="shared" si="303"/>
        <v>0</v>
      </c>
      <c r="BK223" s="571">
        <f t="shared" si="304"/>
        <v>0</v>
      </c>
      <c r="BN223" s="1347"/>
      <c r="BO223" s="1348"/>
      <c r="BP223" s="1349"/>
      <c r="BQ223" s="1350"/>
      <c r="BR223" s="1351"/>
      <c r="BS223" s="1352"/>
      <c r="BT223" s="1351"/>
      <c r="BU223" s="1351"/>
      <c r="BV223" s="1351"/>
      <c r="BW223" s="1353"/>
      <c r="BX223" s="1353"/>
      <c r="BY223" s="1354"/>
      <c r="CC223" s="1547"/>
      <c r="CD223" s="1548"/>
      <c r="CE223" s="1547"/>
      <c r="CF223" s="1548"/>
      <c r="CG223" s="1547"/>
      <c r="CH223" s="1548"/>
      <c r="CI223" s="1547"/>
      <c r="CJ223" s="1548"/>
      <c r="CK223" s="1547"/>
      <c r="CL223" s="1548"/>
      <c r="CM223" s="1547"/>
      <c r="CN223" s="1547"/>
    </row>
    <row r="224" spans="1:92" hidden="1" x14ac:dyDescent="0.55000000000000004">
      <c r="A224" s="7546"/>
      <c r="B224" s="244"/>
      <c r="C224" s="192" t="s">
        <v>828</v>
      </c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72"/>
      <c r="R224" s="370"/>
      <c r="S224" s="579" t="s">
        <v>838</v>
      </c>
      <c r="T224" s="563">
        <v>62</v>
      </c>
      <c r="U224" s="563">
        <v>52</v>
      </c>
      <c r="V224" s="563">
        <v>43</v>
      </c>
      <c r="W224" s="563">
        <v>42.333333333333336</v>
      </c>
      <c r="X224" s="563">
        <v>41</v>
      </c>
      <c r="Y224" s="563">
        <v>35.666666666666671</v>
      </c>
      <c r="Z224" s="563">
        <v>60</v>
      </c>
      <c r="AA224" s="563">
        <v>31.2</v>
      </c>
      <c r="AB224" s="563">
        <v>53.8</v>
      </c>
      <c r="AC224" s="563">
        <v>44.4</v>
      </c>
      <c r="AD224" s="563">
        <v>34.200000000000003</v>
      </c>
      <c r="AE224" s="563">
        <v>499.59999999999997</v>
      </c>
      <c r="AF224" s="572">
        <v>44.108108108108105</v>
      </c>
      <c r="AG224" s="370"/>
      <c r="AH224" s="579"/>
      <c r="AI224" s="563">
        <v>62</v>
      </c>
      <c r="AJ224" s="563">
        <v>63.5</v>
      </c>
      <c r="AK224" s="563">
        <v>55</v>
      </c>
      <c r="AL224" s="563">
        <v>46.2</v>
      </c>
      <c r="AM224" s="563">
        <v>40.857142857142861</v>
      </c>
      <c r="AN224" s="1038">
        <v>64.625</v>
      </c>
      <c r="AO224" s="563">
        <v>43.5</v>
      </c>
      <c r="AP224" s="563">
        <v>54.875</v>
      </c>
      <c r="AQ224" s="563">
        <v>40.777777777777779</v>
      </c>
      <c r="AR224" s="563">
        <v>37.333333333333336</v>
      </c>
      <c r="AS224" s="563">
        <v>36.777777777777779</v>
      </c>
      <c r="AT224" s="563">
        <f t="shared" si="301"/>
        <v>545.44603174603174</v>
      </c>
      <c r="AU224" s="572">
        <f t="shared" si="302"/>
        <v>45.450048474796411</v>
      </c>
      <c r="AX224" s="579"/>
      <c r="AY224" s="563"/>
      <c r="AZ224" s="563"/>
      <c r="BA224" s="563"/>
      <c r="BB224" s="563"/>
      <c r="BC224" s="563"/>
      <c r="BD224" s="1038"/>
      <c r="BE224" s="563"/>
      <c r="BF224" s="563"/>
      <c r="BG224" s="563"/>
      <c r="BH224" s="563"/>
      <c r="BI224" s="563"/>
      <c r="BJ224" s="563">
        <f t="shared" si="303"/>
        <v>0</v>
      </c>
      <c r="BK224" s="572">
        <f t="shared" si="304"/>
        <v>0</v>
      </c>
      <c r="BN224" s="1355"/>
      <c r="BO224" s="1356"/>
      <c r="BP224" s="1357"/>
      <c r="BQ224" s="1358"/>
      <c r="BR224" s="1359"/>
      <c r="BS224" s="1360"/>
      <c r="BT224" s="1359"/>
      <c r="BU224" s="1359"/>
      <c r="BV224" s="1359"/>
      <c r="BW224" s="1361"/>
      <c r="BX224" s="1361"/>
      <c r="BY224" s="1362"/>
      <c r="CC224" s="1543"/>
      <c r="CD224" s="1544"/>
      <c r="CE224" s="1543"/>
      <c r="CF224" s="1544"/>
      <c r="CG224" s="1543"/>
      <c r="CH224" s="1544"/>
      <c r="CI224" s="1543"/>
      <c r="CJ224" s="1544"/>
      <c r="CK224" s="1543"/>
      <c r="CL224" s="1544"/>
      <c r="CM224" s="1543"/>
      <c r="CN224" s="1543"/>
    </row>
    <row r="225" spans="1:92" hidden="1" x14ac:dyDescent="0.55000000000000004">
      <c r="A225" s="7546"/>
      <c r="B225" s="1154"/>
      <c r="C225" s="193" t="s">
        <v>829</v>
      </c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4"/>
      <c r="P225" s="564"/>
      <c r="Q225" s="573"/>
      <c r="R225" s="370"/>
      <c r="S225" s="580" t="s">
        <v>838</v>
      </c>
      <c r="T225" s="564">
        <v>43</v>
      </c>
      <c r="U225" s="564">
        <v>49</v>
      </c>
      <c r="V225" s="564">
        <v>39</v>
      </c>
      <c r="W225" s="564">
        <v>40</v>
      </c>
      <c r="X225" s="564">
        <v>26</v>
      </c>
      <c r="Y225" s="564">
        <v>43</v>
      </c>
      <c r="Z225" s="564">
        <v>64.5</v>
      </c>
      <c r="AA225" s="564">
        <v>31</v>
      </c>
      <c r="AB225" s="564">
        <v>33.5</v>
      </c>
      <c r="AC225" s="564">
        <v>22</v>
      </c>
      <c r="AD225" s="564">
        <v>18</v>
      </c>
      <c r="AE225" s="564">
        <v>409</v>
      </c>
      <c r="AF225" s="573">
        <v>38.428571428571431</v>
      </c>
      <c r="AG225" s="370"/>
      <c r="AH225" s="580"/>
      <c r="AI225" s="564">
        <v>59</v>
      </c>
      <c r="AJ225" s="564">
        <v>59</v>
      </c>
      <c r="AK225" s="564">
        <v>47.8</v>
      </c>
      <c r="AL225" s="564">
        <v>43.199999999999996</v>
      </c>
      <c r="AM225" s="564">
        <v>43.666666666666671</v>
      </c>
      <c r="AN225" s="1039">
        <v>63.666666666666664</v>
      </c>
      <c r="AO225" s="564">
        <v>49.333333333333336</v>
      </c>
      <c r="AP225" s="564">
        <v>63.833333333333336</v>
      </c>
      <c r="AQ225" s="564">
        <v>50</v>
      </c>
      <c r="AR225" s="564">
        <v>53</v>
      </c>
      <c r="AS225" s="564">
        <v>44</v>
      </c>
      <c r="AT225" s="564">
        <f t="shared" si="301"/>
        <v>576.5</v>
      </c>
      <c r="AU225" s="573">
        <f t="shared" si="302"/>
        <v>48.037663528039332</v>
      </c>
      <c r="AX225" s="580"/>
      <c r="AY225" s="564"/>
      <c r="AZ225" s="564"/>
      <c r="BA225" s="564"/>
      <c r="BB225" s="564"/>
      <c r="BC225" s="564"/>
      <c r="BD225" s="1039"/>
      <c r="BE225" s="564"/>
      <c r="BF225" s="564"/>
      <c r="BG225" s="564"/>
      <c r="BH225" s="564"/>
      <c r="BI225" s="564"/>
      <c r="BJ225" s="564">
        <f t="shared" si="303"/>
        <v>0</v>
      </c>
      <c r="BK225" s="573">
        <f t="shared" si="304"/>
        <v>0</v>
      </c>
      <c r="BN225" s="1363"/>
      <c r="BO225" s="1316"/>
      <c r="BP225" s="1364"/>
      <c r="BQ225" s="1365"/>
      <c r="BR225" s="1366"/>
      <c r="BS225" s="1367"/>
      <c r="BT225" s="1366"/>
      <c r="BU225" s="1366"/>
      <c r="BV225" s="1366"/>
      <c r="BW225" s="1368"/>
      <c r="BX225" s="1368"/>
      <c r="BY225" s="1369"/>
      <c r="CC225" s="1543"/>
      <c r="CD225" s="1544"/>
      <c r="CE225" s="1543"/>
      <c r="CF225" s="1544"/>
      <c r="CG225" s="1543"/>
      <c r="CH225" s="1544"/>
      <c r="CI225" s="1543"/>
      <c r="CJ225" s="1544"/>
      <c r="CK225" s="1543"/>
      <c r="CL225" s="1544"/>
      <c r="CM225" s="1543"/>
      <c r="CN225" s="1543"/>
    </row>
    <row r="226" spans="1:92" hidden="1" x14ac:dyDescent="0.55000000000000004">
      <c r="A226" s="7546"/>
      <c r="B226" s="1154"/>
      <c r="C226" s="194" t="s">
        <v>830</v>
      </c>
      <c r="D226" s="565"/>
      <c r="E226" s="565"/>
      <c r="F226" s="565"/>
      <c r="G226" s="565"/>
      <c r="H226" s="565"/>
      <c r="I226" s="565"/>
      <c r="J226" s="565"/>
      <c r="K226" s="565"/>
      <c r="L226" s="565"/>
      <c r="M226" s="565"/>
      <c r="N226" s="565"/>
      <c r="O226" s="565"/>
      <c r="P226" s="565"/>
      <c r="Q226" s="574"/>
      <c r="R226" s="370"/>
      <c r="S226" s="581" t="s">
        <v>838</v>
      </c>
      <c r="T226" s="565" t="s">
        <v>838</v>
      </c>
      <c r="U226" s="565" t="s">
        <v>838</v>
      </c>
      <c r="V226" s="565" t="s">
        <v>838</v>
      </c>
      <c r="W226" s="565">
        <v>50</v>
      </c>
      <c r="X226" s="565">
        <v>37</v>
      </c>
      <c r="Y226" s="565">
        <v>34</v>
      </c>
      <c r="Z226" s="565">
        <v>66</v>
      </c>
      <c r="AA226" s="565">
        <v>40</v>
      </c>
      <c r="AB226" s="565">
        <v>56</v>
      </c>
      <c r="AC226" s="565">
        <v>41</v>
      </c>
      <c r="AD226" s="565">
        <v>24</v>
      </c>
      <c r="AE226" s="565">
        <v>348</v>
      </c>
      <c r="AF226" s="574">
        <v>43.5</v>
      </c>
      <c r="AG226" s="370"/>
      <c r="AH226" s="581"/>
      <c r="AI226" s="565" t="s">
        <v>838</v>
      </c>
      <c r="AJ226" s="565" t="s">
        <v>838</v>
      </c>
      <c r="AK226" s="565" t="s">
        <v>838</v>
      </c>
      <c r="AL226" s="565">
        <v>71</v>
      </c>
      <c r="AM226" s="565">
        <v>52</v>
      </c>
      <c r="AN226" s="1040">
        <v>71.333333333333329</v>
      </c>
      <c r="AO226" s="565">
        <v>49.666666666666664</v>
      </c>
      <c r="AP226" s="565">
        <v>73.333333333333343</v>
      </c>
      <c r="AQ226" s="565">
        <v>50.666666666666664</v>
      </c>
      <c r="AR226" s="565">
        <v>50.333333333333336</v>
      </c>
      <c r="AS226" s="565">
        <v>47.25</v>
      </c>
      <c r="AT226" s="565">
        <f t="shared" si="301"/>
        <v>465.58333333333331</v>
      </c>
      <c r="AU226" s="574">
        <f t="shared" si="302"/>
        <v>38.795378162930866</v>
      </c>
      <c r="AX226" s="581"/>
      <c r="AY226" s="565"/>
      <c r="AZ226" s="565"/>
      <c r="BA226" s="565"/>
      <c r="BB226" s="565"/>
      <c r="BC226" s="565"/>
      <c r="BD226" s="1040"/>
      <c r="BE226" s="565"/>
      <c r="BF226" s="565"/>
      <c r="BG226" s="565"/>
      <c r="BH226" s="565"/>
      <c r="BI226" s="565"/>
      <c r="BJ226" s="565">
        <f t="shared" si="303"/>
        <v>0</v>
      </c>
      <c r="BK226" s="574">
        <f t="shared" si="304"/>
        <v>0</v>
      </c>
      <c r="BN226" s="1370"/>
      <c r="BO226" s="1371"/>
      <c r="BP226" s="1372"/>
      <c r="BQ226" s="1373"/>
      <c r="BR226" s="1374"/>
      <c r="BS226" s="1375"/>
      <c r="BT226" s="1374"/>
      <c r="BU226" s="1374"/>
      <c r="BV226" s="1374"/>
      <c r="BW226" s="1376"/>
      <c r="BX226" s="1376"/>
      <c r="BY226" s="1377"/>
      <c r="CC226" s="1543"/>
      <c r="CD226" s="1544"/>
      <c r="CE226" s="1543"/>
      <c r="CF226" s="1544"/>
      <c r="CG226" s="1543"/>
      <c r="CH226" s="1544"/>
      <c r="CI226" s="1543"/>
      <c r="CJ226" s="1544"/>
      <c r="CK226" s="1543"/>
      <c r="CL226" s="1544"/>
      <c r="CM226" s="1543"/>
      <c r="CN226" s="1543"/>
    </row>
    <row r="227" spans="1:92" hidden="1" x14ac:dyDescent="0.55000000000000004">
      <c r="A227" s="7546"/>
      <c r="B227" s="1154"/>
      <c r="C227" s="194" t="s">
        <v>831</v>
      </c>
      <c r="D227" s="565"/>
      <c r="E227" s="565"/>
      <c r="F227" s="565"/>
      <c r="G227" s="565"/>
      <c r="H227" s="565"/>
      <c r="I227" s="565"/>
      <c r="J227" s="565"/>
      <c r="K227" s="565"/>
      <c r="L227" s="565"/>
      <c r="M227" s="565"/>
      <c r="N227" s="565"/>
      <c r="O227" s="565"/>
      <c r="P227" s="565"/>
      <c r="Q227" s="574"/>
      <c r="R227" s="370"/>
      <c r="S227" s="581" t="s">
        <v>838</v>
      </c>
      <c r="T227" s="565" t="s">
        <v>838</v>
      </c>
      <c r="U227" s="565" t="s">
        <v>838</v>
      </c>
      <c r="V227" s="565" t="s">
        <v>838</v>
      </c>
      <c r="W227" s="565" t="s">
        <v>838</v>
      </c>
      <c r="X227" s="565" t="s">
        <v>838</v>
      </c>
      <c r="Y227" s="565" t="s">
        <v>838</v>
      </c>
      <c r="Z227" s="565" t="s">
        <v>838</v>
      </c>
      <c r="AA227" s="565" t="s">
        <v>838</v>
      </c>
      <c r="AB227" s="565" t="s">
        <v>838</v>
      </c>
      <c r="AC227" s="565" t="s">
        <v>838</v>
      </c>
      <c r="AD227" s="565" t="s">
        <v>838</v>
      </c>
      <c r="AE227" s="565"/>
      <c r="AF227" s="574" t="s">
        <v>838</v>
      </c>
      <c r="AG227" s="370"/>
      <c r="AH227" s="581"/>
      <c r="AI227" s="565" t="s">
        <v>838</v>
      </c>
      <c r="AJ227" s="565" t="s">
        <v>838</v>
      </c>
      <c r="AK227" s="565">
        <v>53</v>
      </c>
      <c r="AL227" s="565">
        <v>47</v>
      </c>
      <c r="AM227" s="565">
        <v>44</v>
      </c>
      <c r="AN227" s="1040">
        <v>81</v>
      </c>
      <c r="AO227" s="565">
        <v>53</v>
      </c>
      <c r="AP227" s="565">
        <v>81</v>
      </c>
      <c r="AQ227" s="565">
        <v>53</v>
      </c>
      <c r="AR227" s="565">
        <v>57.000000000000007</v>
      </c>
      <c r="AS227" s="565">
        <v>45</v>
      </c>
      <c r="AT227" s="565">
        <f t="shared" si="301"/>
        <v>514</v>
      </c>
      <c r="AU227" s="574">
        <f t="shared" si="302"/>
        <v>42.82976418631781</v>
      </c>
      <c r="AX227" s="581"/>
      <c r="AY227" s="565"/>
      <c r="AZ227" s="565"/>
      <c r="BA227" s="565"/>
      <c r="BB227" s="565"/>
      <c r="BC227" s="565"/>
      <c r="BD227" s="1040"/>
      <c r="BE227" s="565"/>
      <c r="BF227" s="565"/>
      <c r="BG227" s="565"/>
      <c r="BH227" s="565"/>
      <c r="BI227" s="565"/>
      <c r="BJ227" s="565">
        <f t="shared" si="303"/>
        <v>0</v>
      </c>
      <c r="BK227" s="574">
        <f t="shared" si="304"/>
        <v>0</v>
      </c>
      <c r="BN227" s="1370"/>
      <c r="BO227" s="1371"/>
      <c r="BP227" s="1372"/>
      <c r="BQ227" s="1377"/>
      <c r="BR227" s="1377"/>
      <c r="BS227" s="1377"/>
      <c r="BT227" s="1377"/>
      <c r="BU227" s="1377"/>
      <c r="BV227" s="1377"/>
      <c r="BW227" s="1377"/>
      <c r="BX227" s="1377"/>
      <c r="BY227" s="1377"/>
      <c r="CC227" s="1543"/>
      <c r="CD227" s="1544"/>
      <c r="CE227" s="1543"/>
      <c r="CF227" s="1544"/>
      <c r="CG227" s="1543"/>
      <c r="CH227" s="1544"/>
      <c r="CI227" s="1543"/>
      <c r="CJ227" s="1544"/>
      <c r="CK227" s="1543"/>
      <c r="CL227" s="1544"/>
      <c r="CM227" s="1543"/>
      <c r="CN227" s="1543"/>
    </row>
    <row r="228" spans="1:92" hidden="1" x14ac:dyDescent="0.55000000000000004">
      <c r="A228" s="7546"/>
      <c r="B228" s="1154"/>
      <c r="C228" s="193" t="s">
        <v>832</v>
      </c>
      <c r="D228" s="564"/>
      <c r="E228" s="564"/>
      <c r="F228" s="564"/>
      <c r="G228" s="564"/>
      <c r="H228" s="564"/>
      <c r="I228" s="564"/>
      <c r="J228" s="564"/>
      <c r="K228" s="564"/>
      <c r="L228" s="564"/>
      <c r="M228" s="564"/>
      <c r="N228" s="564"/>
      <c r="O228" s="564"/>
      <c r="P228" s="564"/>
      <c r="Q228" s="573"/>
      <c r="R228" s="370"/>
      <c r="S228" s="580" t="s">
        <v>838</v>
      </c>
      <c r="T228" s="564" t="s">
        <v>838</v>
      </c>
      <c r="U228" s="564" t="s">
        <v>838</v>
      </c>
      <c r="V228" s="583" t="s">
        <v>838</v>
      </c>
      <c r="W228" s="564">
        <v>65</v>
      </c>
      <c r="X228" s="564">
        <v>54.5</v>
      </c>
      <c r="Y228" s="564">
        <v>48.5</v>
      </c>
      <c r="Z228" s="564">
        <v>76</v>
      </c>
      <c r="AA228" s="564">
        <v>42</v>
      </c>
      <c r="AB228" s="564">
        <v>60.5</v>
      </c>
      <c r="AC228" s="564">
        <v>49</v>
      </c>
      <c r="AD228" s="564">
        <v>50</v>
      </c>
      <c r="AE228" s="564">
        <v>445.5</v>
      </c>
      <c r="AF228" s="573">
        <v>55.066666666666663</v>
      </c>
      <c r="AG228" s="370"/>
      <c r="AH228" s="580"/>
      <c r="AI228" s="564" t="s">
        <v>838</v>
      </c>
      <c r="AJ228" s="564" t="s">
        <v>838</v>
      </c>
      <c r="AK228" s="564" t="s">
        <v>838</v>
      </c>
      <c r="AL228" s="564" t="s">
        <v>838</v>
      </c>
      <c r="AM228" s="564">
        <v>43</v>
      </c>
      <c r="AN228" s="1039">
        <v>50</v>
      </c>
      <c r="AO228" s="564">
        <v>47</v>
      </c>
      <c r="AP228" s="564">
        <v>50.333333333333336</v>
      </c>
      <c r="AQ228" s="564">
        <v>39</v>
      </c>
      <c r="AR228" s="564">
        <v>36.666666666666664</v>
      </c>
      <c r="AS228" s="564">
        <v>31.666666666666671</v>
      </c>
      <c r="AT228" s="564">
        <f t="shared" si="301"/>
        <v>297.66666666666669</v>
      </c>
      <c r="AU228" s="573">
        <f t="shared" si="302"/>
        <v>24.803488598172379</v>
      </c>
      <c r="AX228" s="580"/>
      <c r="AY228" s="564"/>
      <c r="AZ228" s="564"/>
      <c r="BA228" s="564"/>
      <c r="BB228" s="564"/>
      <c r="BC228" s="564"/>
      <c r="BD228" s="1039"/>
      <c r="BE228" s="564"/>
      <c r="BF228" s="564"/>
      <c r="BG228" s="564"/>
      <c r="BH228" s="564"/>
      <c r="BI228" s="564"/>
      <c r="BJ228" s="564">
        <f t="shared" si="303"/>
        <v>0</v>
      </c>
      <c r="BK228" s="573">
        <f t="shared" si="304"/>
        <v>0</v>
      </c>
      <c r="BN228" s="1363"/>
      <c r="BO228" s="1316"/>
      <c r="BP228" s="1364"/>
      <c r="BQ228" s="1369"/>
      <c r="BR228" s="1369"/>
      <c r="BS228" s="1369"/>
      <c r="BT228" s="1369"/>
      <c r="BU228" s="1369"/>
      <c r="BV228" s="1369"/>
      <c r="BW228" s="1369"/>
      <c r="BX228" s="1369"/>
      <c r="BY228" s="1369"/>
      <c r="CC228" s="1543"/>
      <c r="CD228" s="1544"/>
      <c r="CE228" s="1543"/>
      <c r="CF228" s="1544"/>
      <c r="CG228" s="1543"/>
      <c r="CH228" s="1544"/>
      <c r="CI228" s="1543"/>
      <c r="CJ228" s="1544"/>
      <c r="CK228" s="1543"/>
      <c r="CL228" s="1544"/>
      <c r="CM228" s="1543"/>
      <c r="CN228" s="1543"/>
    </row>
    <row r="229" spans="1:92" hidden="1" x14ac:dyDescent="0.55000000000000004">
      <c r="A229" s="7546"/>
      <c r="B229" s="1154"/>
      <c r="C229" s="193" t="s">
        <v>833</v>
      </c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4"/>
      <c r="P229" s="564"/>
      <c r="Q229" s="573"/>
      <c r="R229" s="370"/>
      <c r="S229" s="580" t="s">
        <v>838</v>
      </c>
      <c r="T229" s="564" t="s">
        <v>838</v>
      </c>
      <c r="U229" s="564" t="s">
        <v>838</v>
      </c>
      <c r="V229" s="564" t="s">
        <v>838</v>
      </c>
      <c r="W229" s="564" t="s">
        <v>838</v>
      </c>
      <c r="X229" s="564" t="s">
        <v>838</v>
      </c>
      <c r="Y229" s="564" t="s">
        <v>838</v>
      </c>
      <c r="Z229" s="564" t="s">
        <v>838</v>
      </c>
      <c r="AA229" s="564" t="s">
        <v>838</v>
      </c>
      <c r="AB229" s="564" t="s">
        <v>838</v>
      </c>
      <c r="AC229" s="564" t="s">
        <v>838</v>
      </c>
      <c r="AD229" s="564" t="s">
        <v>838</v>
      </c>
      <c r="AE229" s="564"/>
      <c r="AF229" s="573" t="s">
        <v>838</v>
      </c>
      <c r="AG229" s="370"/>
      <c r="AH229" s="580"/>
      <c r="AI229" s="564" t="s">
        <v>838</v>
      </c>
      <c r="AJ229" s="564" t="s">
        <v>838</v>
      </c>
      <c r="AK229" s="564">
        <v>78</v>
      </c>
      <c r="AL229" s="564">
        <v>64</v>
      </c>
      <c r="AM229" s="564">
        <v>58</v>
      </c>
      <c r="AN229" s="1039">
        <v>65</v>
      </c>
      <c r="AO229" s="564">
        <v>52.5</v>
      </c>
      <c r="AP229" s="564">
        <v>69.5</v>
      </c>
      <c r="AQ229" s="564">
        <v>60</v>
      </c>
      <c r="AR229" s="564">
        <v>52.5</v>
      </c>
      <c r="AS229" s="564">
        <v>46.5</v>
      </c>
      <c r="AT229" s="564">
        <f t="shared" si="301"/>
        <v>546</v>
      </c>
      <c r="AU229" s="573">
        <f t="shared" si="302"/>
        <v>45.496208649279232</v>
      </c>
      <c r="AX229" s="580"/>
      <c r="AY229" s="564"/>
      <c r="AZ229" s="564"/>
      <c r="BA229" s="564"/>
      <c r="BB229" s="564"/>
      <c r="BC229" s="564"/>
      <c r="BD229" s="1039"/>
      <c r="BE229" s="564"/>
      <c r="BF229" s="564"/>
      <c r="BG229" s="564"/>
      <c r="BH229" s="564"/>
      <c r="BI229" s="564"/>
      <c r="BJ229" s="564">
        <f t="shared" si="303"/>
        <v>0</v>
      </c>
      <c r="BK229" s="573">
        <f t="shared" si="304"/>
        <v>0</v>
      </c>
      <c r="BN229" s="1363"/>
      <c r="BO229" s="1316"/>
      <c r="BP229" s="1364"/>
      <c r="BQ229" s="1369"/>
      <c r="BR229" s="1369"/>
      <c r="BS229" s="1369"/>
      <c r="BT229" s="1369"/>
      <c r="BU229" s="1369"/>
      <c r="BV229" s="1369"/>
      <c r="BW229" s="1369"/>
      <c r="BX229" s="1369"/>
      <c r="BY229" s="1369"/>
      <c r="CC229" s="1543"/>
      <c r="CD229" s="1544"/>
      <c r="CE229" s="1543"/>
      <c r="CF229" s="1544"/>
      <c r="CG229" s="1543"/>
      <c r="CH229" s="1544"/>
      <c r="CI229" s="1543"/>
      <c r="CJ229" s="1544"/>
      <c r="CK229" s="1543"/>
      <c r="CL229" s="1544"/>
      <c r="CM229" s="1543"/>
      <c r="CN229" s="1543"/>
    </row>
    <row r="230" spans="1:92" hidden="1" x14ac:dyDescent="0.55000000000000004">
      <c r="A230" s="7546"/>
      <c r="B230" s="1154"/>
      <c r="C230" s="194" t="s">
        <v>834</v>
      </c>
      <c r="D230" s="565"/>
      <c r="E230" s="565"/>
      <c r="F230" s="565"/>
      <c r="G230" s="565"/>
      <c r="H230" s="565"/>
      <c r="I230" s="565"/>
      <c r="J230" s="565"/>
      <c r="K230" s="565"/>
      <c r="L230" s="565"/>
      <c r="M230" s="565"/>
      <c r="N230" s="565"/>
      <c r="O230" s="565"/>
      <c r="P230" s="565"/>
      <c r="Q230" s="574"/>
      <c r="R230" s="370"/>
      <c r="S230" s="581" t="s">
        <v>838</v>
      </c>
      <c r="T230" s="565">
        <v>96</v>
      </c>
      <c r="U230" s="565">
        <v>63</v>
      </c>
      <c r="V230" s="565">
        <v>54</v>
      </c>
      <c r="W230" s="565">
        <v>66</v>
      </c>
      <c r="X230" s="565">
        <v>55</v>
      </c>
      <c r="Y230" s="565">
        <v>58</v>
      </c>
      <c r="Z230" s="565">
        <v>83</v>
      </c>
      <c r="AA230" s="565">
        <v>47</v>
      </c>
      <c r="AB230" s="565">
        <v>76</v>
      </c>
      <c r="AC230" s="565">
        <v>52</v>
      </c>
      <c r="AD230" s="565">
        <v>46</v>
      </c>
      <c r="AE230" s="565">
        <v>696</v>
      </c>
      <c r="AF230" s="574">
        <v>61.066666666666663</v>
      </c>
      <c r="AG230" s="370"/>
      <c r="AH230" s="581"/>
      <c r="AI230" s="565" t="s">
        <v>838</v>
      </c>
      <c r="AJ230" s="565" t="s">
        <v>838</v>
      </c>
      <c r="AK230" s="565">
        <v>48</v>
      </c>
      <c r="AL230" s="565">
        <v>50</v>
      </c>
      <c r="AM230" s="565">
        <v>38.5</v>
      </c>
      <c r="AN230" s="1040">
        <v>64</v>
      </c>
      <c r="AO230" s="565">
        <v>46.5</v>
      </c>
      <c r="AP230" s="565">
        <v>55.333333333333329</v>
      </c>
      <c r="AQ230" s="565">
        <v>48.666666666666664</v>
      </c>
      <c r="AR230" s="565">
        <v>41.666666666666671</v>
      </c>
      <c r="AS230" s="565">
        <v>34.333333333333329</v>
      </c>
      <c r="AT230" s="565">
        <f t="shared" si="301"/>
        <v>427</v>
      </c>
      <c r="AU230" s="574">
        <f t="shared" si="302"/>
        <v>35.580368302641446</v>
      </c>
      <c r="AX230" s="581"/>
      <c r="AY230" s="565"/>
      <c r="AZ230" s="565"/>
      <c r="BA230" s="565"/>
      <c r="BB230" s="565"/>
      <c r="BC230" s="565"/>
      <c r="BD230" s="1040"/>
      <c r="BE230" s="565"/>
      <c r="BF230" s="565"/>
      <c r="BG230" s="565"/>
      <c r="BH230" s="565"/>
      <c r="BI230" s="565"/>
      <c r="BJ230" s="565">
        <f t="shared" si="303"/>
        <v>0</v>
      </c>
      <c r="BK230" s="574">
        <f t="shared" si="304"/>
        <v>0</v>
      </c>
      <c r="BN230" s="1370"/>
      <c r="BO230" s="1371"/>
      <c r="BP230" s="1372"/>
      <c r="BQ230" s="1377"/>
      <c r="BR230" s="1377"/>
      <c r="BS230" s="1377"/>
      <c r="BT230" s="1377"/>
      <c r="BU230" s="1377"/>
      <c r="BV230" s="1377"/>
      <c r="BW230" s="1377"/>
      <c r="BX230" s="1377"/>
      <c r="BY230" s="1377"/>
      <c r="CC230" s="1543"/>
      <c r="CD230" s="1544"/>
      <c r="CE230" s="1543"/>
      <c r="CF230" s="1544"/>
      <c r="CG230" s="1543"/>
      <c r="CH230" s="1544"/>
      <c r="CI230" s="1543"/>
      <c r="CJ230" s="1544"/>
      <c r="CK230" s="1543"/>
      <c r="CL230" s="1544"/>
      <c r="CM230" s="1543"/>
      <c r="CN230" s="1543"/>
    </row>
    <row r="231" spans="1:92" hidden="1" x14ac:dyDescent="0.55000000000000004">
      <c r="A231" s="7546"/>
      <c r="B231" s="1154"/>
      <c r="C231" s="194" t="s">
        <v>835</v>
      </c>
      <c r="D231" s="565"/>
      <c r="E231" s="565"/>
      <c r="F231" s="565"/>
      <c r="G231" s="565"/>
      <c r="H231" s="565"/>
      <c r="I231" s="565"/>
      <c r="J231" s="565"/>
      <c r="K231" s="565"/>
      <c r="L231" s="565"/>
      <c r="M231" s="565"/>
      <c r="N231" s="565"/>
      <c r="O231" s="565"/>
      <c r="P231" s="565"/>
      <c r="Q231" s="574"/>
      <c r="R231" s="370"/>
      <c r="S231" s="581" t="s">
        <v>838</v>
      </c>
      <c r="T231" s="565" t="s">
        <v>838</v>
      </c>
      <c r="U231" s="565" t="s">
        <v>838</v>
      </c>
      <c r="V231" s="565" t="s">
        <v>838</v>
      </c>
      <c r="W231" s="565">
        <v>36</v>
      </c>
      <c r="X231" s="565">
        <v>35</v>
      </c>
      <c r="Y231" s="565">
        <v>19</v>
      </c>
      <c r="Z231" s="565">
        <v>30</v>
      </c>
      <c r="AA231" s="565">
        <v>15</v>
      </c>
      <c r="AB231" s="565">
        <v>29</v>
      </c>
      <c r="AC231" s="565">
        <v>15</v>
      </c>
      <c r="AD231" s="565">
        <v>23</v>
      </c>
      <c r="AE231" s="565">
        <v>202</v>
      </c>
      <c r="AF231" s="574">
        <v>25.25</v>
      </c>
      <c r="AG231" s="370"/>
      <c r="AH231" s="581"/>
      <c r="AI231" s="565" t="s">
        <v>838</v>
      </c>
      <c r="AJ231" s="565" t="s">
        <v>838</v>
      </c>
      <c r="AK231" s="565" t="s">
        <v>838</v>
      </c>
      <c r="AL231" s="565" t="s">
        <v>838</v>
      </c>
      <c r="AM231" s="565" t="s">
        <v>838</v>
      </c>
      <c r="AN231" s="1040" t="s">
        <v>838</v>
      </c>
      <c r="AO231" s="565" t="s">
        <v>838</v>
      </c>
      <c r="AP231" s="565" t="s">
        <v>838</v>
      </c>
      <c r="AQ231" s="565"/>
      <c r="AR231" s="565" t="s">
        <v>838</v>
      </c>
      <c r="AS231" s="565" t="s">
        <v>838</v>
      </c>
      <c r="AT231" s="565">
        <f t="shared" si="301"/>
        <v>0</v>
      </c>
      <c r="AU231" s="574">
        <f t="shared" si="302"/>
        <v>0</v>
      </c>
      <c r="AX231" s="581"/>
      <c r="AY231" s="565"/>
      <c r="AZ231" s="565"/>
      <c r="BA231" s="565"/>
      <c r="BB231" s="565"/>
      <c r="BC231" s="565"/>
      <c r="BD231" s="1040"/>
      <c r="BE231" s="565"/>
      <c r="BF231" s="565"/>
      <c r="BG231" s="565"/>
      <c r="BH231" s="565"/>
      <c r="BI231" s="565"/>
      <c r="BJ231" s="565">
        <f t="shared" si="303"/>
        <v>0</v>
      </c>
      <c r="BK231" s="574">
        <f t="shared" si="304"/>
        <v>0</v>
      </c>
      <c r="BN231" s="1370"/>
      <c r="BO231" s="1371"/>
      <c r="BP231" s="1372"/>
      <c r="BQ231" s="1377"/>
      <c r="BR231" s="1377"/>
      <c r="BS231" s="1377"/>
      <c r="BT231" s="1377"/>
      <c r="BU231" s="1377"/>
      <c r="BV231" s="1377"/>
      <c r="BW231" s="1377"/>
      <c r="BX231" s="1377"/>
      <c r="BY231" s="1377"/>
      <c r="CC231" s="1543"/>
      <c r="CD231" s="1544"/>
      <c r="CE231" s="1543"/>
      <c r="CF231" s="1544"/>
      <c r="CG231" s="1543"/>
      <c r="CH231" s="1544"/>
      <c r="CI231" s="1543"/>
      <c r="CJ231" s="1544"/>
      <c r="CK231" s="1543"/>
      <c r="CL231" s="1544"/>
      <c r="CM231" s="1543"/>
      <c r="CN231" s="1543"/>
    </row>
    <row r="232" spans="1:92" hidden="1" x14ac:dyDescent="0.55000000000000004">
      <c r="A232" s="7546"/>
      <c r="B232" s="1154"/>
      <c r="C232" s="193" t="s">
        <v>836</v>
      </c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73"/>
      <c r="R232" s="370"/>
      <c r="S232" s="580" t="s">
        <v>838</v>
      </c>
      <c r="T232" s="564" t="s">
        <v>838</v>
      </c>
      <c r="U232" s="564" t="s">
        <v>838</v>
      </c>
      <c r="V232" s="564" t="s">
        <v>838</v>
      </c>
      <c r="W232" s="564" t="s">
        <v>838</v>
      </c>
      <c r="X232" s="564" t="s">
        <v>838</v>
      </c>
      <c r="Y232" s="564" t="s">
        <v>838</v>
      </c>
      <c r="Z232" s="564" t="s">
        <v>838</v>
      </c>
      <c r="AA232" s="564" t="s">
        <v>838</v>
      </c>
      <c r="AB232" s="564" t="s">
        <v>838</v>
      </c>
      <c r="AC232" s="564" t="s">
        <v>838</v>
      </c>
      <c r="AD232" s="564" t="s">
        <v>838</v>
      </c>
      <c r="AE232" s="564"/>
      <c r="AF232" s="573" t="s">
        <v>838</v>
      </c>
      <c r="AG232" s="370"/>
      <c r="AH232" s="580"/>
      <c r="AI232" s="564" t="s">
        <v>838</v>
      </c>
      <c r="AJ232" s="564" t="s">
        <v>838</v>
      </c>
      <c r="AK232" s="564" t="s">
        <v>838</v>
      </c>
      <c r="AL232" s="564">
        <v>15</v>
      </c>
      <c r="AM232" s="564">
        <v>7</v>
      </c>
      <c r="AN232" s="1039">
        <v>37</v>
      </c>
      <c r="AO232" s="564">
        <v>31</v>
      </c>
      <c r="AP232" s="564">
        <v>40</v>
      </c>
      <c r="AQ232" s="564">
        <v>19</v>
      </c>
      <c r="AR232" s="564">
        <v>31</v>
      </c>
      <c r="AS232" s="564">
        <v>26.333333333333332</v>
      </c>
      <c r="AT232" s="564">
        <f t="shared" si="301"/>
        <v>206.33333333333334</v>
      </c>
      <c r="AU232" s="573">
        <f t="shared" si="302"/>
        <v>17.193011693469991</v>
      </c>
      <c r="AX232" s="580"/>
      <c r="AY232" s="564"/>
      <c r="AZ232" s="564"/>
      <c r="BA232" s="564"/>
      <c r="BB232" s="564"/>
      <c r="BC232" s="564"/>
      <c r="BD232" s="1039"/>
      <c r="BE232" s="564"/>
      <c r="BF232" s="564"/>
      <c r="BG232" s="564"/>
      <c r="BH232" s="564"/>
      <c r="BI232" s="564"/>
      <c r="BJ232" s="564">
        <f t="shared" si="303"/>
        <v>0</v>
      </c>
      <c r="BK232" s="573">
        <f t="shared" si="304"/>
        <v>0</v>
      </c>
      <c r="BN232" s="1363"/>
      <c r="BO232" s="1316"/>
      <c r="BP232" s="1364"/>
      <c r="BQ232" s="1369"/>
      <c r="BR232" s="1369"/>
      <c r="BS232" s="1369"/>
      <c r="BT232" s="1369"/>
      <c r="BU232" s="1369"/>
      <c r="BV232" s="1369"/>
      <c r="BW232" s="1369"/>
      <c r="BX232" s="1369"/>
      <c r="BY232" s="1369"/>
      <c r="CC232" s="1543"/>
      <c r="CD232" s="1544"/>
      <c r="CE232" s="1543"/>
      <c r="CF232" s="1544"/>
      <c r="CG232" s="1543"/>
      <c r="CH232" s="1544"/>
      <c r="CI232" s="1543"/>
      <c r="CJ232" s="1544"/>
      <c r="CK232" s="1543"/>
      <c r="CL232" s="1544"/>
      <c r="CM232" s="1543"/>
      <c r="CN232" s="1543"/>
    </row>
    <row r="233" spans="1:92" ht="18" hidden="1" thickBot="1" x14ac:dyDescent="0.6">
      <c r="A233" s="7547"/>
      <c r="B233" s="1155"/>
      <c r="C233" s="195" t="s">
        <v>837</v>
      </c>
      <c r="D233" s="566"/>
      <c r="E233" s="566"/>
      <c r="F233" s="566"/>
      <c r="G233" s="566"/>
      <c r="H233" s="566"/>
      <c r="I233" s="566"/>
      <c r="J233" s="566"/>
      <c r="K233" s="566"/>
      <c r="L233" s="566"/>
      <c r="M233" s="566"/>
      <c r="N233" s="566"/>
      <c r="O233" s="566"/>
      <c r="P233" s="566"/>
      <c r="Q233" s="575"/>
      <c r="R233" s="370"/>
      <c r="S233" s="582" t="s">
        <v>838</v>
      </c>
      <c r="T233" s="566">
        <v>42</v>
      </c>
      <c r="U233" s="566">
        <v>43</v>
      </c>
      <c r="V233" s="566">
        <v>30</v>
      </c>
      <c r="W233" s="566">
        <v>40</v>
      </c>
      <c r="X233" s="566">
        <v>36</v>
      </c>
      <c r="Y233" s="566">
        <v>26</v>
      </c>
      <c r="Z233" s="566">
        <v>52</v>
      </c>
      <c r="AA233" s="566">
        <v>29</v>
      </c>
      <c r="AB233" s="566">
        <v>55</v>
      </c>
      <c r="AC233" s="566">
        <v>28</v>
      </c>
      <c r="AD233" s="566">
        <v>31</v>
      </c>
      <c r="AE233" s="566">
        <v>412</v>
      </c>
      <c r="AF233" s="575">
        <v>36.916666666666664</v>
      </c>
      <c r="AG233" s="370"/>
      <c r="AH233" s="582"/>
      <c r="AI233" s="566" t="s">
        <v>838</v>
      </c>
      <c r="AJ233" s="566" t="s">
        <v>838</v>
      </c>
      <c r="AK233" s="566" t="s">
        <v>838</v>
      </c>
      <c r="AL233" s="566">
        <v>35</v>
      </c>
      <c r="AM233" s="566">
        <v>10</v>
      </c>
      <c r="AN233" s="1041">
        <v>47</v>
      </c>
      <c r="AO233" s="566">
        <v>24.5</v>
      </c>
      <c r="AP233" s="566">
        <v>30.5</v>
      </c>
      <c r="AQ233" s="566">
        <v>31</v>
      </c>
      <c r="AR233" s="566">
        <v>29.5</v>
      </c>
      <c r="AS233" s="566">
        <v>45</v>
      </c>
      <c r="AT233" s="566">
        <f t="shared" si="301"/>
        <v>252.5</v>
      </c>
      <c r="AU233" s="575">
        <f t="shared" si="302"/>
        <v>21.039913340554953</v>
      </c>
      <c r="AX233" s="582"/>
      <c r="AY233" s="566"/>
      <c r="AZ233" s="566"/>
      <c r="BA233" s="566"/>
      <c r="BB233" s="566"/>
      <c r="BC233" s="566"/>
      <c r="BD233" s="1041"/>
      <c r="BE233" s="566"/>
      <c r="BF233" s="566"/>
      <c r="BG233" s="566"/>
      <c r="BH233" s="566"/>
      <c r="BI233" s="566"/>
      <c r="BJ233" s="566">
        <f t="shared" si="303"/>
        <v>0</v>
      </c>
      <c r="BK233" s="575">
        <f t="shared" si="304"/>
        <v>0</v>
      </c>
      <c r="BN233" s="1378"/>
      <c r="BO233" s="1379"/>
      <c r="BP233" s="1380"/>
      <c r="BQ233" s="1381"/>
      <c r="BR233" s="1381"/>
      <c r="BS233" s="1381"/>
      <c r="BT233" s="1381"/>
      <c r="BU233" s="1381"/>
      <c r="BV233" s="1381"/>
      <c r="BW233" s="1381"/>
      <c r="BX233" s="1381"/>
      <c r="BY233" s="1381"/>
      <c r="CC233" s="1543"/>
      <c r="CD233" s="1544"/>
      <c r="CE233" s="1543"/>
      <c r="CF233" s="1544"/>
      <c r="CG233" s="1543"/>
      <c r="CH233" s="1544"/>
      <c r="CI233" s="1543"/>
      <c r="CJ233" s="1544"/>
      <c r="CK233" s="1543"/>
      <c r="CL233" s="1544"/>
      <c r="CM233" s="1543"/>
      <c r="CN233" s="1543"/>
    </row>
    <row r="234" spans="1:92" s="190" customFormat="1" ht="7.3" customHeight="1" x14ac:dyDescent="0.55000000000000004">
      <c r="B234" s="247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X234" s="341"/>
      <c r="AY234" s="341"/>
      <c r="AZ234" s="341"/>
      <c r="BA234" s="341"/>
      <c r="BB234" s="341"/>
      <c r="BC234" s="341"/>
      <c r="BD234" s="341"/>
      <c r="BE234" s="341"/>
      <c r="BF234" s="341"/>
      <c r="BG234" s="341"/>
      <c r="BH234" s="341"/>
      <c r="BI234" s="341"/>
      <c r="BJ234" s="341"/>
      <c r="BK234" s="341"/>
      <c r="BN234" s="322">
        <f>AQ234-AB234</f>
        <v>0</v>
      </c>
      <c r="BO234" s="322">
        <f>AU234-AF234</f>
        <v>0</v>
      </c>
      <c r="BP234" s="322"/>
    </row>
    <row r="235" spans="1:92" s="189" customFormat="1" ht="10.3" customHeight="1" x14ac:dyDescent="0.55000000000000004">
      <c r="A235" s="187"/>
      <c r="B235" s="241"/>
      <c r="C235" s="188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71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  <c r="AE235" s="340"/>
      <c r="AF235" s="340"/>
      <c r="AG235" s="371"/>
      <c r="AH235" s="340"/>
      <c r="AI235" s="340"/>
      <c r="AJ235" s="340"/>
      <c r="AK235" s="340"/>
      <c r="AL235" s="340"/>
      <c r="AM235" s="340"/>
      <c r="AN235" s="340"/>
      <c r="AO235" s="340"/>
      <c r="AP235" s="340"/>
      <c r="AQ235" s="340"/>
      <c r="AR235" s="340"/>
      <c r="AS235" s="340"/>
      <c r="AT235" s="340"/>
      <c r="AU235" s="340"/>
      <c r="AX235" s="340"/>
      <c r="AY235" s="340"/>
      <c r="AZ235" s="340"/>
      <c r="BA235" s="340"/>
      <c r="BB235" s="340"/>
      <c r="BC235" s="340"/>
      <c r="BD235" s="340"/>
      <c r="BE235" s="340"/>
      <c r="BF235" s="340"/>
      <c r="BG235" s="340"/>
      <c r="BH235" s="340"/>
      <c r="BI235" s="340"/>
      <c r="BJ235" s="340"/>
      <c r="BK235" s="340"/>
    </row>
    <row r="236" spans="1:92" s="190" customFormat="1" ht="7.3" customHeight="1" x14ac:dyDescent="0.55000000000000004">
      <c r="B236" s="247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X236" s="341"/>
      <c r="AY236" s="341"/>
      <c r="AZ236" s="341"/>
      <c r="BA236" s="341"/>
      <c r="BB236" s="341"/>
      <c r="BC236" s="341"/>
      <c r="BD236" s="341"/>
      <c r="BE236" s="341"/>
      <c r="BF236" s="341"/>
      <c r="BG236" s="341"/>
      <c r="BH236" s="341"/>
      <c r="BI236" s="341"/>
      <c r="BJ236" s="341"/>
      <c r="BK236" s="341"/>
      <c r="BN236" s="322">
        <f>AQ236-AB236</f>
        <v>0</v>
      </c>
      <c r="BO236" s="322">
        <f>AU236-AF236</f>
        <v>0</v>
      </c>
      <c r="BP236" s="322"/>
    </row>
    <row r="237" spans="1:92" ht="18" thickBot="1" x14ac:dyDescent="0.6">
      <c r="D237" s="109" t="s">
        <v>380</v>
      </c>
      <c r="E237" s="110" t="s">
        <v>381</v>
      </c>
      <c r="F237" s="110" t="s">
        <v>382</v>
      </c>
      <c r="G237" s="110" t="s">
        <v>383</v>
      </c>
      <c r="H237" s="110" t="s">
        <v>384</v>
      </c>
      <c r="I237" s="110" t="s">
        <v>385</v>
      </c>
      <c r="J237" s="110" t="s">
        <v>386</v>
      </c>
      <c r="K237" s="110" t="s">
        <v>387</v>
      </c>
      <c r="L237" s="110" t="s">
        <v>388</v>
      </c>
      <c r="M237" s="110" t="s">
        <v>389</v>
      </c>
      <c r="N237" s="110" t="s">
        <v>390</v>
      </c>
      <c r="O237" s="110" t="s">
        <v>391</v>
      </c>
      <c r="P237" s="110" t="s">
        <v>411</v>
      </c>
      <c r="Q237" s="110" t="s">
        <v>367</v>
      </c>
      <c r="S237" s="110" t="s">
        <v>368</v>
      </c>
      <c r="T237" s="110" t="s">
        <v>369</v>
      </c>
      <c r="U237" s="110" t="s">
        <v>370</v>
      </c>
      <c r="V237" s="110" t="s">
        <v>371</v>
      </c>
      <c r="W237" s="110" t="s">
        <v>372</v>
      </c>
      <c r="X237" s="110" t="s">
        <v>373</v>
      </c>
      <c r="Y237" s="110" t="s">
        <v>374</v>
      </c>
      <c r="Z237" s="110" t="s">
        <v>375</v>
      </c>
      <c r="AA237" s="110" t="s">
        <v>376</v>
      </c>
      <c r="AB237" s="110" t="s">
        <v>377</v>
      </c>
      <c r="AC237" s="110" t="s">
        <v>378</v>
      </c>
      <c r="AD237" s="110" t="s">
        <v>379</v>
      </c>
      <c r="AE237" s="110" t="s">
        <v>412</v>
      </c>
      <c r="AF237" s="110" t="s">
        <v>367</v>
      </c>
      <c r="AH237" s="110" t="s">
        <v>2</v>
      </c>
      <c r="AI237" s="110" t="s">
        <v>3</v>
      </c>
      <c r="AJ237" s="110" t="s">
        <v>158</v>
      </c>
      <c r="AK237" s="110" t="s">
        <v>358</v>
      </c>
      <c r="AL237" s="110" t="s">
        <v>359</v>
      </c>
      <c r="AM237" s="110" t="s">
        <v>360</v>
      </c>
      <c r="AN237" s="110" t="s">
        <v>361</v>
      </c>
      <c r="AO237" s="110" t="s">
        <v>362</v>
      </c>
      <c r="AP237" s="110" t="s">
        <v>363</v>
      </c>
      <c r="AQ237" s="110" t="s">
        <v>364</v>
      </c>
      <c r="AR237" s="110" t="s">
        <v>365</v>
      </c>
      <c r="AS237" s="110" t="s">
        <v>366</v>
      </c>
      <c r="AT237" s="110" t="s">
        <v>413</v>
      </c>
      <c r="AU237" s="110" t="s">
        <v>367</v>
      </c>
      <c r="AX237" s="1003" t="s">
        <v>1020</v>
      </c>
      <c r="AY237" s="110" t="s">
        <v>1022</v>
      </c>
      <c r="AZ237" s="110" t="s">
        <v>1024</v>
      </c>
      <c r="BA237" s="110" t="s">
        <v>1025</v>
      </c>
      <c r="BB237" s="110" t="s">
        <v>1026</v>
      </c>
      <c r="BC237" s="110" t="s">
        <v>1027</v>
      </c>
      <c r="BD237" s="110" t="s">
        <v>1028</v>
      </c>
      <c r="BE237" s="110" t="s">
        <v>1029</v>
      </c>
      <c r="BF237" s="110" t="s">
        <v>1030</v>
      </c>
      <c r="BG237" s="110" t="s">
        <v>1031</v>
      </c>
      <c r="BH237" s="110" t="s">
        <v>1032</v>
      </c>
      <c r="BI237" s="110" t="s">
        <v>1033</v>
      </c>
      <c r="BJ237" s="110" t="s">
        <v>1036</v>
      </c>
      <c r="BK237" s="110" t="s">
        <v>367</v>
      </c>
      <c r="BN237" s="316" t="s">
        <v>464</v>
      </c>
      <c r="BO237" s="316" t="s">
        <v>465</v>
      </c>
      <c r="BP237" s="1133" t="s">
        <v>471</v>
      </c>
    </row>
    <row r="238" spans="1:92" x14ac:dyDescent="0.55000000000000004">
      <c r="A238" s="7535" t="s">
        <v>410</v>
      </c>
      <c r="B238" s="74" t="s">
        <v>266</v>
      </c>
      <c r="C238" s="27"/>
      <c r="D238" s="342">
        <f t="shared" ref="D238:O238" si="305">SUM(D239:D241)</f>
        <v>4178</v>
      </c>
      <c r="E238" s="343">
        <f t="shared" si="305"/>
        <v>4368</v>
      </c>
      <c r="F238" s="343">
        <f t="shared" si="305"/>
        <v>4492</v>
      </c>
      <c r="G238" s="343">
        <f t="shared" si="305"/>
        <v>4596</v>
      </c>
      <c r="H238" s="343">
        <f t="shared" si="305"/>
        <v>4733</v>
      </c>
      <c r="I238" s="343">
        <f t="shared" si="305"/>
        <v>4671</v>
      </c>
      <c r="J238" s="343">
        <f t="shared" si="305"/>
        <v>4580</v>
      </c>
      <c r="K238" s="343">
        <f t="shared" si="305"/>
        <v>4543</v>
      </c>
      <c r="L238" s="343">
        <f t="shared" si="305"/>
        <v>4228</v>
      </c>
      <c r="M238" s="343">
        <f t="shared" si="305"/>
        <v>4507</v>
      </c>
      <c r="N238" s="343">
        <f t="shared" si="305"/>
        <v>4300</v>
      </c>
      <c r="O238" s="343">
        <f t="shared" si="305"/>
        <v>3908</v>
      </c>
      <c r="P238" s="343">
        <f>SUM(D238:O238)</f>
        <v>53104</v>
      </c>
      <c r="Q238" s="344">
        <f>P238/12</f>
        <v>4425.333333333333</v>
      </c>
      <c r="R238" s="370"/>
      <c r="S238" s="342">
        <f>SUM(S239:S241)</f>
        <v>4157</v>
      </c>
      <c r="T238" s="343">
        <f t="shared" ref="T238:AD238" si="306">SUM(T239:T241)</f>
        <v>4353</v>
      </c>
      <c r="U238" s="343">
        <f t="shared" si="306"/>
        <v>4302</v>
      </c>
      <c r="V238" s="343">
        <f t="shared" si="306"/>
        <v>4043</v>
      </c>
      <c r="W238" s="343">
        <f t="shared" si="306"/>
        <v>3931</v>
      </c>
      <c r="X238" s="343">
        <f t="shared" si="306"/>
        <v>3752</v>
      </c>
      <c r="Y238" s="343">
        <f t="shared" si="306"/>
        <v>3672</v>
      </c>
      <c r="Z238" s="343">
        <f t="shared" si="306"/>
        <v>4062</v>
      </c>
      <c r="AA238" s="343">
        <f t="shared" si="306"/>
        <v>3709</v>
      </c>
      <c r="AB238" s="343">
        <f t="shared" si="306"/>
        <v>3943</v>
      </c>
      <c r="AC238" s="343">
        <f t="shared" si="306"/>
        <v>3737</v>
      </c>
      <c r="AD238" s="343">
        <f t="shared" si="306"/>
        <v>3417</v>
      </c>
      <c r="AE238" s="343">
        <f>SUM(S238:AD238)</f>
        <v>47078</v>
      </c>
      <c r="AF238" s="344">
        <f>AE238/12</f>
        <v>3923.1666666666665</v>
      </c>
      <c r="AG238" s="370"/>
      <c r="AH238" s="342">
        <f t="shared" ref="AH238:AM238" si="307">SUM(AH239:AH241)</f>
        <v>3912</v>
      </c>
      <c r="AI238" s="343">
        <f t="shared" si="307"/>
        <v>3575</v>
      </c>
      <c r="AJ238" s="343">
        <f t="shared" si="307"/>
        <v>3753</v>
      </c>
      <c r="AK238" s="343">
        <f t="shared" si="307"/>
        <v>3820</v>
      </c>
      <c r="AL238" s="343">
        <f t="shared" si="307"/>
        <v>3890</v>
      </c>
      <c r="AM238" s="343">
        <f t="shared" si="307"/>
        <v>3880</v>
      </c>
      <c r="AN238" s="343">
        <v>3850</v>
      </c>
      <c r="AO238" s="343">
        <f>SUM(AO239:AO241)</f>
        <v>3634</v>
      </c>
      <c r="AP238" s="343">
        <f>SUM(AP239:AP241)</f>
        <v>4016</v>
      </c>
      <c r="AQ238" s="343">
        <f>SUM(AQ239:AQ241)</f>
        <v>4071</v>
      </c>
      <c r="AR238" s="343">
        <v>4042</v>
      </c>
      <c r="AS238" s="343">
        <v>3760</v>
      </c>
      <c r="AT238" s="343">
        <f>SUM(AH238:AS238)</f>
        <v>46203</v>
      </c>
      <c r="AU238" s="344">
        <f>SUM(AH238:AS238)/12</f>
        <v>3850.25</v>
      </c>
      <c r="AW238" s="317"/>
      <c r="AX238" s="342">
        <v>3626</v>
      </c>
      <c r="AY238" s="343">
        <v>4346</v>
      </c>
      <c r="AZ238" s="343">
        <f>SUM(AZ239:AZ241)</f>
        <v>4087</v>
      </c>
      <c r="BA238" s="343">
        <v>4135</v>
      </c>
      <c r="BB238" s="343">
        <v>4505</v>
      </c>
      <c r="BC238" s="343">
        <f>SUM(BC239:BC241)</f>
        <v>4366</v>
      </c>
      <c r="BD238" s="343">
        <v>4327</v>
      </c>
      <c r="BE238" s="343">
        <v>4307</v>
      </c>
      <c r="BF238" s="343">
        <v>4355</v>
      </c>
      <c r="BG238" s="343">
        <v>4269</v>
      </c>
      <c r="BH238" s="343">
        <v>4174</v>
      </c>
      <c r="BI238" s="343">
        <v>4212</v>
      </c>
      <c r="BJ238" s="343">
        <f>SUM(AX238:BI238)</f>
        <v>50709</v>
      </c>
      <c r="BK238" s="344">
        <f>AVERAGE(AX238:BI238)</f>
        <v>4225.75</v>
      </c>
      <c r="BN238" s="322">
        <f t="shared" ref="BN238:BN243" si="308">HLOOKUP($A$1,$AX$1:$BI$500,ROW(),0)-HLOOKUP($A$1,$AH$1:$AS$500,ROW(),0)</f>
        <v>452</v>
      </c>
      <c r="BO238" s="322">
        <f t="shared" ref="BO238:BO301" si="309">BK238-AU238</f>
        <v>375.5</v>
      </c>
      <c r="BP238" s="322">
        <f t="shared" ref="BP238:BP301" si="310">BJ238-SUM(AH238:AS238)</f>
        <v>4506</v>
      </c>
      <c r="BQ238" s="322">
        <f t="shared" ref="BQ238" si="311">BS238-BR238</f>
        <v>38</v>
      </c>
      <c r="BR238" s="2265">
        <f t="shared" ref="BR238:BR301" si="312">HLOOKUP($B$1,$AX$1:$BI$500,ROW(),0)</f>
        <v>4174</v>
      </c>
      <c r="BS238" s="2265">
        <f t="shared" ref="BS238:BS301" si="313">HLOOKUP($A$1,$AX$1:$BI$500,ROW(),0)</f>
        <v>4212</v>
      </c>
    </row>
    <row r="239" spans="1:92" x14ac:dyDescent="0.55000000000000004">
      <c r="A239" s="7536"/>
      <c r="B239" s="248"/>
      <c r="C239" s="12" t="s">
        <v>278</v>
      </c>
      <c r="D239" s="345">
        <v>1034</v>
      </c>
      <c r="E239" s="295">
        <v>1265</v>
      </c>
      <c r="F239" s="295">
        <v>1101</v>
      </c>
      <c r="G239" s="295">
        <v>1163</v>
      </c>
      <c r="H239" s="295">
        <v>1176</v>
      </c>
      <c r="I239" s="295">
        <v>1152</v>
      </c>
      <c r="J239" s="295">
        <v>1052</v>
      </c>
      <c r="K239" s="295">
        <v>1201</v>
      </c>
      <c r="L239" s="295">
        <v>734</v>
      </c>
      <c r="M239" s="295">
        <v>1205</v>
      </c>
      <c r="N239" s="295">
        <v>752</v>
      </c>
      <c r="O239" s="295">
        <v>664</v>
      </c>
      <c r="P239" s="295">
        <f t="shared" ref="P239:P302" si="314">SUM(D239:O239)</f>
        <v>12499</v>
      </c>
      <c r="Q239" s="346">
        <f t="shared" ref="Q239:Q302" si="315">P239/12</f>
        <v>1041.5833333333333</v>
      </c>
      <c r="R239" s="370"/>
      <c r="S239" s="345">
        <v>752</v>
      </c>
      <c r="T239" s="295">
        <v>965</v>
      </c>
      <c r="U239" s="295">
        <v>697</v>
      </c>
      <c r="V239" s="295">
        <v>729</v>
      </c>
      <c r="W239" s="295">
        <v>770</v>
      </c>
      <c r="X239" s="295">
        <v>722</v>
      </c>
      <c r="Y239" s="295">
        <v>867</v>
      </c>
      <c r="Z239" s="295">
        <v>1913</v>
      </c>
      <c r="AA239" s="295">
        <v>752</v>
      </c>
      <c r="AB239" s="295">
        <v>1065</v>
      </c>
      <c r="AC239" s="295">
        <v>762</v>
      </c>
      <c r="AD239" s="295">
        <v>554</v>
      </c>
      <c r="AE239" s="295">
        <f t="shared" ref="AE239:AE302" si="316">SUM(S239:AD239)</f>
        <v>10548</v>
      </c>
      <c r="AF239" s="346">
        <f t="shared" ref="AF239:AF302" si="317">AE239/12</f>
        <v>879</v>
      </c>
      <c r="AG239" s="370"/>
      <c r="AH239" s="345">
        <v>954</v>
      </c>
      <c r="AI239" s="295">
        <v>687</v>
      </c>
      <c r="AJ239" s="295">
        <v>859</v>
      </c>
      <c r="AK239" s="295">
        <v>867</v>
      </c>
      <c r="AL239" s="295">
        <v>983</v>
      </c>
      <c r="AM239" s="295">
        <v>870</v>
      </c>
      <c r="AN239" s="295">
        <v>1052</v>
      </c>
      <c r="AO239" s="295">
        <v>814</v>
      </c>
      <c r="AP239" s="295">
        <v>916</v>
      </c>
      <c r="AQ239" s="295">
        <v>898</v>
      </c>
      <c r="AR239" s="295">
        <v>964</v>
      </c>
      <c r="AS239" s="295">
        <v>728</v>
      </c>
      <c r="AT239" s="295">
        <f t="shared" ref="AT239:AT301" si="318">SUM(AH239:AS239)</f>
        <v>10592</v>
      </c>
      <c r="AU239" s="346">
        <f t="shared" ref="AU239:AU302" si="319">SUM(AH239:AS239)/12</f>
        <v>882.66666666666663</v>
      </c>
      <c r="AX239" s="345">
        <v>730</v>
      </c>
      <c r="AY239" s="295">
        <v>1170</v>
      </c>
      <c r="AZ239" s="295">
        <v>831</v>
      </c>
      <c r="BA239" s="295">
        <v>1134</v>
      </c>
      <c r="BB239" s="295">
        <v>1748</v>
      </c>
      <c r="BC239" s="295">
        <v>1352</v>
      </c>
      <c r="BD239" s="295">
        <v>1511</v>
      </c>
      <c r="BE239" s="295">
        <v>1109</v>
      </c>
      <c r="BF239" s="295">
        <v>1266</v>
      </c>
      <c r="BG239" s="295">
        <v>1205</v>
      </c>
      <c r="BH239" s="295">
        <v>980</v>
      </c>
      <c r="BI239" s="295">
        <v>1095</v>
      </c>
      <c r="BJ239" s="295">
        <f t="shared" ref="BJ239:BJ301" si="320">SUM(AX239:BI239)</f>
        <v>14131</v>
      </c>
      <c r="BK239" s="346">
        <f t="shared" ref="BK239:BK302" si="321">AVERAGE(AX239:BI239)</f>
        <v>1177.5833333333333</v>
      </c>
      <c r="BN239" s="322">
        <f t="shared" si="308"/>
        <v>367</v>
      </c>
      <c r="BO239" s="322">
        <f t="shared" si="309"/>
        <v>294.91666666666663</v>
      </c>
      <c r="BP239" s="322">
        <f t="shared" si="310"/>
        <v>3539</v>
      </c>
      <c r="BQ239" s="322">
        <f t="shared" ref="BQ239:BQ302" si="322">BS239-BR239</f>
        <v>115</v>
      </c>
      <c r="BR239" s="2265">
        <f t="shared" si="312"/>
        <v>980</v>
      </c>
      <c r="BS239" s="2265">
        <f t="shared" si="313"/>
        <v>1095</v>
      </c>
    </row>
    <row r="240" spans="1:92" x14ac:dyDescent="0.55000000000000004">
      <c r="A240" s="7536"/>
      <c r="B240" s="248"/>
      <c r="C240" s="12" t="s">
        <v>277</v>
      </c>
      <c r="D240" s="345">
        <v>681</v>
      </c>
      <c r="E240" s="295">
        <v>835</v>
      </c>
      <c r="F240" s="295">
        <v>784</v>
      </c>
      <c r="G240" s="295">
        <v>922</v>
      </c>
      <c r="H240" s="295">
        <v>888</v>
      </c>
      <c r="I240" s="295">
        <v>985</v>
      </c>
      <c r="J240" s="295">
        <v>938</v>
      </c>
      <c r="K240" s="295">
        <v>957</v>
      </c>
      <c r="L240" s="295">
        <v>781</v>
      </c>
      <c r="M240" s="295">
        <v>900</v>
      </c>
      <c r="N240" s="295">
        <v>816</v>
      </c>
      <c r="O240" s="295">
        <v>686</v>
      </c>
      <c r="P240" s="295">
        <f t="shared" si="314"/>
        <v>10173</v>
      </c>
      <c r="Q240" s="346">
        <f t="shared" si="315"/>
        <v>847.75</v>
      </c>
      <c r="R240" s="370"/>
      <c r="S240" s="345">
        <v>732</v>
      </c>
      <c r="T240" s="295">
        <v>809</v>
      </c>
      <c r="U240" s="295">
        <v>737</v>
      </c>
      <c r="V240" s="295">
        <v>698</v>
      </c>
      <c r="W240" s="295">
        <v>722</v>
      </c>
      <c r="X240" s="295">
        <v>673</v>
      </c>
      <c r="Y240" s="295">
        <v>695</v>
      </c>
      <c r="Z240" s="295">
        <v>1077</v>
      </c>
      <c r="AA240" s="295">
        <v>732</v>
      </c>
      <c r="AB240" s="295">
        <v>844</v>
      </c>
      <c r="AC240" s="295">
        <v>717</v>
      </c>
      <c r="AD240" s="295">
        <v>687</v>
      </c>
      <c r="AE240" s="295">
        <f t="shared" si="316"/>
        <v>9123</v>
      </c>
      <c r="AF240" s="346">
        <f t="shared" si="317"/>
        <v>760.25</v>
      </c>
      <c r="AG240" s="370"/>
      <c r="AH240" s="345">
        <v>839</v>
      </c>
      <c r="AI240" s="295">
        <v>717</v>
      </c>
      <c r="AJ240" s="295">
        <v>797</v>
      </c>
      <c r="AK240" s="295">
        <v>769</v>
      </c>
      <c r="AL240" s="295">
        <v>735</v>
      </c>
      <c r="AM240" s="295">
        <v>741</v>
      </c>
      <c r="AN240" s="295">
        <v>789</v>
      </c>
      <c r="AO240" s="295">
        <v>739</v>
      </c>
      <c r="AP240" s="295">
        <v>773</v>
      </c>
      <c r="AQ240" s="295">
        <v>776</v>
      </c>
      <c r="AR240" s="295">
        <v>758</v>
      </c>
      <c r="AS240" s="295">
        <v>717</v>
      </c>
      <c r="AT240" s="295">
        <f t="shared" si="318"/>
        <v>9150</v>
      </c>
      <c r="AU240" s="346">
        <f t="shared" si="319"/>
        <v>762.5</v>
      </c>
      <c r="AX240" s="345">
        <v>707</v>
      </c>
      <c r="AY240" s="295">
        <v>835</v>
      </c>
      <c r="AZ240" s="295">
        <v>720</v>
      </c>
      <c r="BA240" s="295">
        <v>796</v>
      </c>
      <c r="BB240" s="295">
        <v>857</v>
      </c>
      <c r="BC240" s="295">
        <v>807</v>
      </c>
      <c r="BD240" s="295">
        <v>871</v>
      </c>
      <c r="BE240" s="295">
        <v>767</v>
      </c>
      <c r="BF240" s="295">
        <v>840</v>
      </c>
      <c r="BG240" s="295">
        <v>807</v>
      </c>
      <c r="BH240" s="295">
        <v>727</v>
      </c>
      <c r="BI240" s="295">
        <v>833</v>
      </c>
      <c r="BJ240" s="295">
        <f t="shared" si="320"/>
        <v>9567</v>
      </c>
      <c r="BK240" s="346">
        <f t="shared" si="321"/>
        <v>797.25</v>
      </c>
      <c r="BN240" s="322">
        <f t="shared" si="308"/>
        <v>116</v>
      </c>
      <c r="BO240" s="322">
        <f t="shared" si="309"/>
        <v>34.75</v>
      </c>
      <c r="BP240" s="322">
        <f t="shared" si="310"/>
        <v>417</v>
      </c>
      <c r="BQ240" s="322">
        <f t="shared" si="322"/>
        <v>106</v>
      </c>
      <c r="BR240" s="2265">
        <f t="shared" si="312"/>
        <v>727</v>
      </c>
      <c r="BS240" s="2265">
        <f t="shared" si="313"/>
        <v>833</v>
      </c>
    </row>
    <row r="241" spans="1:71" x14ac:dyDescent="0.55000000000000004">
      <c r="A241" s="7536"/>
      <c r="B241" s="248"/>
      <c r="C241" s="12" t="s">
        <v>276</v>
      </c>
      <c r="D241" s="345">
        <v>2463</v>
      </c>
      <c r="E241" s="295">
        <v>2268</v>
      </c>
      <c r="F241" s="295">
        <v>2607</v>
      </c>
      <c r="G241" s="295">
        <v>2511</v>
      </c>
      <c r="H241" s="295">
        <v>2669</v>
      </c>
      <c r="I241" s="295">
        <v>2534</v>
      </c>
      <c r="J241" s="295">
        <v>2590</v>
      </c>
      <c r="K241" s="295">
        <v>2385</v>
      </c>
      <c r="L241" s="295">
        <v>2713</v>
      </c>
      <c r="M241" s="295">
        <v>2402</v>
      </c>
      <c r="N241" s="295">
        <v>2732</v>
      </c>
      <c r="O241" s="295">
        <v>2558</v>
      </c>
      <c r="P241" s="295">
        <f t="shared" si="314"/>
        <v>30432</v>
      </c>
      <c r="Q241" s="346">
        <f t="shared" si="315"/>
        <v>2536</v>
      </c>
      <c r="R241" s="370"/>
      <c r="S241" s="345">
        <v>2673</v>
      </c>
      <c r="T241" s="295">
        <v>2579</v>
      </c>
      <c r="U241" s="295">
        <v>2868</v>
      </c>
      <c r="V241" s="295">
        <v>2616</v>
      </c>
      <c r="W241" s="295">
        <v>2439</v>
      </c>
      <c r="X241" s="295">
        <v>2357</v>
      </c>
      <c r="Y241" s="295">
        <v>2110</v>
      </c>
      <c r="Z241" s="295">
        <v>1072</v>
      </c>
      <c r="AA241" s="295">
        <v>2225</v>
      </c>
      <c r="AB241" s="295">
        <v>2034</v>
      </c>
      <c r="AC241" s="295">
        <v>2258</v>
      </c>
      <c r="AD241" s="295">
        <v>2176</v>
      </c>
      <c r="AE241" s="295">
        <f t="shared" si="316"/>
        <v>27407</v>
      </c>
      <c r="AF241" s="346">
        <f t="shared" si="317"/>
        <v>2283.9166666666665</v>
      </c>
      <c r="AG241" s="370"/>
      <c r="AH241" s="345">
        <v>2119</v>
      </c>
      <c r="AI241" s="295">
        <v>2171</v>
      </c>
      <c r="AJ241" s="295">
        <v>2097</v>
      </c>
      <c r="AK241" s="295">
        <v>2184</v>
      </c>
      <c r="AL241" s="295">
        <v>2172</v>
      </c>
      <c r="AM241" s="295">
        <v>2269</v>
      </c>
      <c r="AN241" s="295">
        <v>2009</v>
      </c>
      <c r="AO241" s="295">
        <v>2081</v>
      </c>
      <c r="AP241" s="295">
        <v>2327</v>
      </c>
      <c r="AQ241" s="295">
        <v>2397</v>
      </c>
      <c r="AR241" s="295">
        <v>2320</v>
      </c>
      <c r="AS241" s="295">
        <v>2315</v>
      </c>
      <c r="AT241" s="295">
        <f t="shared" si="318"/>
        <v>26461</v>
      </c>
      <c r="AU241" s="346">
        <f t="shared" si="319"/>
        <v>2205.0833333333335</v>
      </c>
      <c r="AX241" s="345">
        <v>2189</v>
      </c>
      <c r="AY241" s="295">
        <v>2341</v>
      </c>
      <c r="AZ241" s="295">
        <v>2536</v>
      </c>
      <c r="BA241" s="295">
        <v>2205</v>
      </c>
      <c r="BB241" s="295">
        <v>1900</v>
      </c>
      <c r="BC241" s="295">
        <v>2207</v>
      </c>
      <c r="BD241" s="295">
        <v>1945</v>
      </c>
      <c r="BE241" s="295">
        <v>2431</v>
      </c>
      <c r="BF241" s="295">
        <v>2249</v>
      </c>
      <c r="BG241" s="295">
        <v>2257</v>
      </c>
      <c r="BH241" s="295">
        <v>2467</v>
      </c>
      <c r="BI241" s="295">
        <v>2284</v>
      </c>
      <c r="BJ241" s="295">
        <f t="shared" si="320"/>
        <v>27011</v>
      </c>
      <c r="BK241" s="346">
        <f t="shared" si="321"/>
        <v>2250.9166666666665</v>
      </c>
      <c r="BN241" s="322">
        <f t="shared" si="308"/>
        <v>-31</v>
      </c>
      <c r="BO241" s="322">
        <f t="shared" si="309"/>
        <v>45.83333333333303</v>
      </c>
      <c r="BP241" s="322">
        <f t="shared" si="310"/>
        <v>550</v>
      </c>
      <c r="BQ241" s="322">
        <f t="shared" si="322"/>
        <v>-183</v>
      </c>
      <c r="BR241" s="2265">
        <f t="shared" si="312"/>
        <v>2467</v>
      </c>
      <c r="BS241" s="2265">
        <f t="shared" si="313"/>
        <v>2284</v>
      </c>
    </row>
    <row r="242" spans="1:71" x14ac:dyDescent="0.55000000000000004">
      <c r="A242" s="7536"/>
      <c r="B242" s="249" t="s">
        <v>222</v>
      </c>
      <c r="C242" s="100"/>
      <c r="D242" s="347">
        <f>D247+D248</f>
        <v>778</v>
      </c>
      <c r="E242" s="348">
        <f t="shared" ref="E242:O242" si="323">E247+E248</f>
        <v>843</v>
      </c>
      <c r="F242" s="348">
        <f t="shared" si="323"/>
        <v>850</v>
      </c>
      <c r="G242" s="348">
        <f t="shared" si="323"/>
        <v>895</v>
      </c>
      <c r="H242" s="348">
        <f t="shared" si="323"/>
        <v>910</v>
      </c>
      <c r="I242" s="348">
        <f t="shared" si="323"/>
        <v>935</v>
      </c>
      <c r="J242" s="348">
        <f t="shared" si="323"/>
        <v>880</v>
      </c>
      <c r="K242" s="348">
        <f t="shared" si="323"/>
        <v>919</v>
      </c>
      <c r="L242" s="348">
        <f t="shared" si="323"/>
        <v>818</v>
      </c>
      <c r="M242" s="348">
        <f t="shared" si="323"/>
        <v>876</v>
      </c>
      <c r="N242" s="348">
        <f t="shared" si="323"/>
        <v>824</v>
      </c>
      <c r="O242" s="348">
        <f t="shared" si="323"/>
        <v>758</v>
      </c>
      <c r="P242" s="348">
        <f t="shared" si="314"/>
        <v>10286</v>
      </c>
      <c r="Q242" s="349">
        <f t="shared" si="315"/>
        <v>857.16666666666663</v>
      </c>
      <c r="R242" s="370"/>
      <c r="S242" s="347">
        <f>S247+S248</f>
        <v>767</v>
      </c>
      <c r="T242" s="348">
        <f t="shared" ref="T242:AD242" si="324">T247+T248</f>
        <v>824</v>
      </c>
      <c r="U242" s="348">
        <f t="shared" si="324"/>
        <v>781</v>
      </c>
      <c r="V242" s="348">
        <f t="shared" si="324"/>
        <v>758</v>
      </c>
      <c r="W242" s="348">
        <f t="shared" si="324"/>
        <v>787</v>
      </c>
      <c r="X242" s="348">
        <f t="shared" si="324"/>
        <v>712</v>
      </c>
      <c r="Y242" s="348">
        <f t="shared" si="324"/>
        <v>718</v>
      </c>
      <c r="Z242" s="348">
        <f t="shared" si="324"/>
        <v>769</v>
      </c>
      <c r="AA242" s="348">
        <f t="shared" si="324"/>
        <v>698</v>
      </c>
      <c r="AB242" s="348">
        <f t="shared" si="324"/>
        <v>775</v>
      </c>
      <c r="AC242" s="348">
        <f t="shared" si="324"/>
        <v>682</v>
      </c>
      <c r="AD242" s="348">
        <f t="shared" si="324"/>
        <v>658</v>
      </c>
      <c r="AE242" s="348">
        <f t="shared" si="316"/>
        <v>8929</v>
      </c>
      <c r="AF242" s="349">
        <f t="shared" si="317"/>
        <v>744.08333333333337</v>
      </c>
      <c r="AG242" s="370"/>
      <c r="AH242" s="347">
        <f t="shared" ref="AH242:AM242" si="325">AH247+AH248</f>
        <v>767</v>
      </c>
      <c r="AI242" s="348">
        <f t="shared" si="325"/>
        <v>643</v>
      </c>
      <c r="AJ242" s="348">
        <f t="shared" si="325"/>
        <v>706</v>
      </c>
      <c r="AK242" s="348">
        <f t="shared" si="325"/>
        <v>734</v>
      </c>
      <c r="AL242" s="348">
        <f t="shared" si="325"/>
        <v>758</v>
      </c>
      <c r="AM242" s="348">
        <f t="shared" si="325"/>
        <v>744</v>
      </c>
      <c r="AN242" s="348">
        <v>792</v>
      </c>
      <c r="AO242" s="348">
        <f>AO247+AO248</f>
        <v>779</v>
      </c>
      <c r="AP242" s="348">
        <f>AP247+AP248</f>
        <v>800</v>
      </c>
      <c r="AQ242" s="348">
        <f>AQ247+AQ248</f>
        <v>797</v>
      </c>
      <c r="AR242" s="348">
        <v>794</v>
      </c>
      <c r="AS242" s="348">
        <v>737</v>
      </c>
      <c r="AT242" s="348">
        <f t="shared" si="318"/>
        <v>9051</v>
      </c>
      <c r="AU242" s="349">
        <f t="shared" si="319"/>
        <v>754.25</v>
      </c>
      <c r="AX242" s="347">
        <v>697</v>
      </c>
      <c r="AY242" s="348">
        <v>845</v>
      </c>
      <c r="AZ242" s="348">
        <f>AZ247+AZ248</f>
        <v>768</v>
      </c>
      <c r="BA242" s="348">
        <v>785</v>
      </c>
      <c r="BB242" s="348">
        <v>829</v>
      </c>
      <c r="BC242" s="348">
        <f>BC247+BC248</f>
        <v>774</v>
      </c>
      <c r="BD242" s="348">
        <v>817</v>
      </c>
      <c r="BE242" s="348">
        <v>796</v>
      </c>
      <c r="BF242" s="348">
        <v>844</v>
      </c>
      <c r="BG242" s="348">
        <v>798</v>
      </c>
      <c r="BH242" s="348">
        <v>790</v>
      </c>
      <c r="BI242" s="348">
        <v>810</v>
      </c>
      <c r="BJ242" s="348">
        <f t="shared" si="320"/>
        <v>9553</v>
      </c>
      <c r="BK242" s="349">
        <f t="shared" si="321"/>
        <v>796.08333333333337</v>
      </c>
      <c r="BN242" s="322">
        <f t="shared" si="308"/>
        <v>73</v>
      </c>
      <c r="BO242" s="322">
        <f t="shared" si="309"/>
        <v>41.833333333333371</v>
      </c>
      <c r="BP242" s="322">
        <f t="shared" si="310"/>
        <v>502</v>
      </c>
      <c r="BQ242" s="322">
        <f t="shared" si="322"/>
        <v>20</v>
      </c>
      <c r="BR242" s="2265">
        <f t="shared" si="312"/>
        <v>790</v>
      </c>
      <c r="BS242" s="2265">
        <f t="shared" si="313"/>
        <v>810</v>
      </c>
    </row>
    <row r="243" spans="1:71" x14ac:dyDescent="0.55000000000000004">
      <c r="A243" s="7536"/>
      <c r="B243" s="250" t="s">
        <v>223</v>
      </c>
      <c r="C243" s="14"/>
      <c r="D243" s="350">
        <f>D249</f>
        <v>644</v>
      </c>
      <c r="E243" s="280">
        <f t="shared" ref="E243:O243" si="326">E249</f>
        <v>713</v>
      </c>
      <c r="F243" s="280">
        <f t="shared" si="326"/>
        <v>674</v>
      </c>
      <c r="G243" s="280">
        <f t="shared" si="326"/>
        <v>670</v>
      </c>
      <c r="H243" s="280">
        <f t="shared" si="326"/>
        <v>709</v>
      </c>
      <c r="I243" s="280">
        <f t="shared" si="326"/>
        <v>687</v>
      </c>
      <c r="J243" s="280">
        <f t="shared" si="326"/>
        <v>635</v>
      </c>
      <c r="K243" s="280">
        <f t="shared" si="326"/>
        <v>638</v>
      </c>
      <c r="L243" s="280">
        <f t="shared" si="326"/>
        <v>600</v>
      </c>
      <c r="M243" s="280">
        <f t="shared" si="326"/>
        <v>619</v>
      </c>
      <c r="N243" s="280">
        <f t="shared" si="326"/>
        <v>603</v>
      </c>
      <c r="O243" s="280">
        <f t="shared" si="326"/>
        <v>568</v>
      </c>
      <c r="P243" s="280">
        <f t="shared" si="314"/>
        <v>7760</v>
      </c>
      <c r="Q243" s="351">
        <f t="shared" si="315"/>
        <v>646.66666666666663</v>
      </c>
      <c r="R243" s="370"/>
      <c r="S243" s="350">
        <f>S249</f>
        <v>584</v>
      </c>
      <c r="T243" s="280">
        <f t="shared" ref="T243:AD243" si="327">T249</f>
        <v>649</v>
      </c>
      <c r="U243" s="280">
        <f t="shared" si="327"/>
        <v>658</v>
      </c>
      <c r="V243" s="280">
        <f t="shared" si="327"/>
        <v>533</v>
      </c>
      <c r="W243" s="280">
        <f t="shared" si="327"/>
        <v>504</v>
      </c>
      <c r="X243" s="280">
        <f t="shared" si="327"/>
        <v>506</v>
      </c>
      <c r="Y243" s="280">
        <f t="shared" si="327"/>
        <v>451</v>
      </c>
      <c r="Z243" s="280">
        <f t="shared" si="327"/>
        <v>528</v>
      </c>
      <c r="AA243" s="280">
        <f t="shared" si="327"/>
        <v>453</v>
      </c>
      <c r="AB243" s="280">
        <f t="shared" si="327"/>
        <v>524</v>
      </c>
      <c r="AC243" s="280">
        <f t="shared" si="327"/>
        <v>543</v>
      </c>
      <c r="AD243" s="280">
        <f t="shared" si="327"/>
        <v>464</v>
      </c>
      <c r="AE243" s="280">
        <f t="shared" si="316"/>
        <v>6397</v>
      </c>
      <c r="AF243" s="351">
        <f t="shared" si="317"/>
        <v>533.08333333333337</v>
      </c>
      <c r="AG243" s="370"/>
      <c r="AH243" s="350">
        <f t="shared" ref="AH243:AM244" si="328">AH249</f>
        <v>550</v>
      </c>
      <c r="AI243" s="280">
        <f t="shared" si="328"/>
        <v>485</v>
      </c>
      <c r="AJ243" s="280">
        <f t="shared" si="328"/>
        <v>488</v>
      </c>
      <c r="AK243" s="280">
        <f t="shared" si="328"/>
        <v>468</v>
      </c>
      <c r="AL243" s="280">
        <f t="shared" si="328"/>
        <v>495</v>
      </c>
      <c r="AM243" s="280">
        <f t="shared" si="328"/>
        <v>474</v>
      </c>
      <c r="AN243" s="280">
        <v>478</v>
      </c>
      <c r="AO243" s="280">
        <f t="shared" ref="AO243:AQ244" si="329">AO249</f>
        <v>470</v>
      </c>
      <c r="AP243" s="280">
        <f t="shared" si="329"/>
        <v>482</v>
      </c>
      <c r="AQ243" s="280">
        <f t="shared" si="329"/>
        <v>545</v>
      </c>
      <c r="AR243" s="280">
        <v>496</v>
      </c>
      <c r="AS243" s="280">
        <v>436</v>
      </c>
      <c r="AT243" s="280">
        <f t="shared" si="318"/>
        <v>5867</v>
      </c>
      <c r="AU243" s="351">
        <f t="shared" si="319"/>
        <v>488.91666666666669</v>
      </c>
      <c r="AX243" s="350">
        <v>408</v>
      </c>
      <c r="AY243" s="280">
        <v>567</v>
      </c>
      <c r="AZ243" s="280">
        <f>AZ249</f>
        <v>531</v>
      </c>
      <c r="BA243" s="280">
        <v>467</v>
      </c>
      <c r="BB243" s="280">
        <v>536</v>
      </c>
      <c r="BC243" s="280">
        <f>BC249</f>
        <v>516</v>
      </c>
      <c r="BD243" s="280">
        <v>505</v>
      </c>
      <c r="BE243" s="280">
        <v>537</v>
      </c>
      <c r="BF243" s="280">
        <v>536</v>
      </c>
      <c r="BG243" s="280">
        <v>539</v>
      </c>
      <c r="BH243" s="280">
        <v>556</v>
      </c>
      <c r="BI243" s="280">
        <v>554</v>
      </c>
      <c r="BJ243" s="280">
        <f t="shared" si="320"/>
        <v>6252</v>
      </c>
      <c r="BK243" s="351">
        <f t="shared" si="321"/>
        <v>521</v>
      </c>
      <c r="BN243" s="322">
        <f t="shared" si="308"/>
        <v>118</v>
      </c>
      <c r="BO243" s="322">
        <f t="shared" si="309"/>
        <v>32.083333333333314</v>
      </c>
      <c r="BP243" s="322">
        <f t="shared" si="310"/>
        <v>385</v>
      </c>
      <c r="BQ243" s="322">
        <f t="shared" si="322"/>
        <v>-2</v>
      </c>
      <c r="BR243" s="2265">
        <f t="shared" si="312"/>
        <v>556</v>
      </c>
      <c r="BS243" s="2265">
        <f t="shared" si="313"/>
        <v>554</v>
      </c>
    </row>
    <row r="244" spans="1:71" x14ac:dyDescent="0.55000000000000004">
      <c r="A244" s="7536"/>
      <c r="B244" s="250" t="s">
        <v>224</v>
      </c>
      <c r="C244" s="14"/>
      <c r="D244" s="350">
        <f>D250</f>
        <v>628</v>
      </c>
      <c r="E244" s="280">
        <f t="shared" ref="E244:O244" si="330">E250</f>
        <v>679</v>
      </c>
      <c r="F244" s="280">
        <f t="shared" si="330"/>
        <v>674</v>
      </c>
      <c r="G244" s="280">
        <f t="shared" si="330"/>
        <v>721</v>
      </c>
      <c r="H244" s="280">
        <f t="shared" si="330"/>
        <v>770</v>
      </c>
      <c r="I244" s="280">
        <f t="shared" si="330"/>
        <v>748</v>
      </c>
      <c r="J244" s="280">
        <f t="shared" si="330"/>
        <v>759</v>
      </c>
      <c r="K244" s="280">
        <f t="shared" si="330"/>
        <v>761</v>
      </c>
      <c r="L244" s="280">
        <f t="shared" si="330"/>
        <v>659</v>
      </c>
      <c r="M244" s="280">
        <f t="shared" si="330"/>
        <v>717</v>
      </c>
      <c r="N244" s="280">
        <f t="shared" si="330"/>
        <v>666</v>
      </c>
      <c r="O244" s="280">
        <f t="shared" si="330"/>
        <v>612</v>
      </c>
      <c r="P244" s="280">
        <f t="shared" si="314"/>
        <v>8394</v>
      </c>
      <c r="Q244" s="351">
        <f t="shared" si="315"/>
        <v>699.5</v>
      </c>
      <c r="R244" s="370"/>
      <c r="S244" s="350">
        <f>S250</f>
        <v>692</v>
      </c>
      <c r="T244" s="280">
        <f t="shared" ref="T244:AD244" si="331">T250</f>
        <v>661</v>
      </c>
      <c r="U244" s="280">
        <f t="shared" si="331"/>
        <v>726</v>
      </c>
      <c r="V244" s="280">
        <f t="shared" si="331"/>
        <v>636</v>
      </c>
      <c r="W244" s="280">
        <f t="shared" si="331"/>
        <v>618</v>
      </c>
      <c r="X244" s="280">
        <f t="shared" si="331"/>
        <v>584</v>
      </c>
      <c r="Y244" s="280">
        <f t="shared" si="331"/>
        <v>576</v>
      </c>
      <c r="Z244" s="280">
        <f t="shared" si="331"/>
        <v>648</v>
      </c>
      <c r="AA244" s="280">
        <f t="shared" si="331"/>
        <v>593</v>
      </c>
      <c r="AB244" s="280">
        <f t="shared" si="331"/>
        <v>651</v>
      </c>
      <c r="AC244" s="280">
        <f t="shared" si="331"/>
        <v>593</v>
      </c>
      <c r="AD244" s="280">
        <f t="shared" si="331"/>
        <v>547</v>
      </c>
      <c r="AE244" s="280">
        <f t="shared" si="316"/>
        <v>7525</v>
      </c>
      <c r="AF244" s="351">
        <f t="shared" si="317"/>
        <v>627.08333333333337</v>
      </c>
      <c r="AG244" s="370"/>
      <c r="AH244" s="350">
        <f t="shared" si="328"/>
        <v>572</v>
      </c>
      <c r="AI244" s="280">
        <f t="shared" si="328"/>
        <v>517</v>
      </c>
      <c r="AJ244" s="280">
        <f t="shared" si="328"/>
        <v>544</v>
      </c>
      <c r="AK244" s="280">
        <f t="shared" si="328"/>
        <v>569</v>
      </c>
      <c r="AL244" s="280">
        <f t="shared" si="328"/>
        <v>612</v>
      </c>
      <c r="AM244" s="280">
        <f t="shared" si="328"/>
        <v>620</v>
      </c>
      <c r="AN244" s="280">
        <v>586</v>
      </c>
      <c r="AO244" s="280">
        <f t="shared" si="329"/>
        <v>560</v>
      </c>
      <c r="AP244" s="280">
        <f t="shared" si="329"/>
        <v>640</v>
      </c>
      <c r="AQ244" s="280">
        <f t="shared" si="329"/>
        <v>639</v>
      </c>
      <c r="AR244" s="280">
        <v>585</v>
      </c>
      <c r="AS244" s="280">
        <v>525</v>
      </c>
      <c r="AT244" s="280">
        <f t="shared" si="318"/>
        <v>6969</v>
      </c>
      <c r="AU244" s="351">
        <f t="shared" si="319"/>
        <v>580.75</v>
      </c>
      <c r="AX244" s="350">
        <v>521</v>
      </c>
      <c r="AY244" s="280">
        <v>664</v>
      </c>
      <c r="AZ244" s="280">
        <f>AZ250</f>
        <v>595</v>
      </c>
      <c r="BA244" s="280">
        <v>600</v>
      </c>
      <c r="BB244" s="280">
        <v>671</v>
      </c>
      <c r="BC244" s="280">
        <f>BC250</f>
        <v>630</v>
      </c>
      <c r="BD244" s="280">
        <v>628</v>
      </c>
      <c r="BE244" s="280">
        <v>642</v>
      </c>
      <c r="BF244" s="280">
        <v>616</v>
      </c>
      <c r="BG244" s="280">
        <v>592</v>
      </c>
      <c r="BH244" s="280">
        <v>588</v>
      </c>
      <c r="BI244" s="280">
        <v>611</v>
      </c>
      <c r="BJ244" s="280">
        <f t="shared" si="320"/>
        <v>7358</v>
      </c>
      <c r="BK244" s="351">
        <f t="shared" si="321"/>
        <v>613.16666666666663</v>
      </c>
      <c r="BN244" s="322">
        <f t="shared" ref="BN244:BN307" si="332">HLOOKUP($A$1,$AX$1:$BI$500,ROW(),0)-HLOOKUP($A$1,$AH$1:$AS$500,ROW(),0)</f>
        <v>86</v>
      </c>
      <c r="BO244" s="322">
        <f t="shared" si="309"/>
        <v>32.416666666666629</v>
      </c>
      <c r="BP244" s="322">
        <f t="shared" si="310"/>
        <v>389</v>
      </c>
      <c r="BQ244" s="322">
        <f t="shared" si="322"/>
        <v>23</v>
      </c>
      <c r="BR244" s="2265">
        <f t="shared" si="312"/>
        <v>588</v>
      </c>
      <c r="BS244" s="2265">
        <f t="shared" si="313"/>
        <v>611</v>
      </c>
    </row>
    <row r="245" spans="1:71" x14ac:dyDescent="0.55000000000000004">
      <c r="A245" s="7536"/>
      <c r="B245" s="250" t="s">
        <v>225</v>
      </c>
      <c r="C245" s="14"/>
      <c r="D245" s="350">
        <f>D251+D252</f>
        <v>973</v>
      </c>
      <c r="E245" s="280">
        <f t="shared" ref="E245:O245" si="333">E251+E252</f>
        <v>999</v>
      </c>
      <c r="F245" s="280">
        <f t="shared" si="333"/>
        <v>1106</v>
      </c>
      <c r="G245" s="280">
        <f t="shared" si="333"/>
        <v>1135</v>
      </c>
      <c r="H245" s="280">
        <f t="shared" si="333"/>
        <v>1114</v>
      </c>
      <c r="I245" s="280">
        <f t="shared" si="333"/>
        <v>1108</v>
      </c>
      <c r="J245" s="280">
        <f t="shared" si="333"/>
        <v>1119</v>
      </c>
      <c r="K245" s="280">
        <f t="shared" si="333"/>
        <v>1112</v>
      </c>
      <c r="L245" s="280">
        <f t="shared" si="333"/>
        <v>1080</v>
      </c>
      <c r="M245" s="280">
        <f t="shared" si="333"/>
        <v>1145</v>
      </c>
      <c r="N245" s="280">
        <f t="shared" si="333"/>
        <v>1088</v>
      </c>
      <c r="O245" s="280">
        <f t="shared" si="333"/>
        <v>899</v>
      </c>
      <c r="P245" s="280">
        <f t="shared" si="314"/>
        <v>12878</v>
      </c>
      <c r="Q245" s="351">
        <f t="shared" si="315"/>
        <v>1073.1666666666667</v>
      </c>
      <c r="R245" s="370"/>
      <c r="S245" s="350">
        <f>S251+S252</f>
        <v>963</v>
      </c>
      <c r="T245" s="280">
        <f t="shared" ref="T245:AD245" si="334">T251+T252</f>
        <v>1047</v>
      </c>
      <c r="U245" s="280">
        <f t="shared" si="334"/>
        <v>1006</v>
      </c>
      <c r="V245" s="280">
        <f t="shared" si="334"/>
        <v>1017</v>
      </c>
      <c r="W245" s="280">
        <f t="shared" si="334"/>
        <v>983</v>
      </c>
      <c r="X245" s="280">
        <f t="shared" si="334"/>
        <v>944</v>
      </c>
      <c r="Y245" s="280">
        <f t="shared" si="334"/>
        <v>956</v>
      </c>
      <c r="Z245" s="280">
        <f t="shared" si="334"/>
        <v>1058</v>
      </c>
      <c r="AA245" s="280">
        <f t="shared" si="334"/>
        <v>1032</v>
      </c>
      <c r="AB245" s="280">
        <f t="shared" si="334"/>
        <v>1020</v>
      </c>
      <c r="AC245" s="280">
        <f t="shared" si="334"/>
        <v>990</v>
      </c>
      <c r="AD245" s="280">
        <f t="shared" si="334"/>
        <v>901</v>
      </c>
      <c r="AE245" s="280">
        <f t="shared" si="316"/>
        <v>11917</v>
      </c>
      <c r="AF245" s="351">
        <f t="shared" si="317"/>
        <v>993.08333333333337</v>
      </c>
      <c r="AG245" s="370"/>
      <c r="AH245" s="350">
        <f t="shared" ref="AH245:AM245" si="335">AH251+AH252</f>
        <v>1024</v>
      </c>
      <c r="AI245" s="280">
        <f t="shared" si="335"/>
        <v>985</v>
      </c>
      <c r="AJ245" s="280">
        <f t="shared" si="335"/>
        <v>1022</v>
      </c>
      <c r="AK245" s="280">
        <f t="shared" si="335"/>
        <v>1031</v>
      </c>
      <c r="AL245" s="280">
        <f t="shared" si="335"/>
        <v>1042</v>
      </c>
      <c r="AM245" s="280">
        <f t="shared" si="335"/>
        <v>1025</v>
      </c>
      <c r="AN245" s="280">
        <v>1023</v>
      </c>
      <c r="AO245" s="280">
        <f>AO251+AO252</f>
        <v>950</v>
      </c>
      <c r="AP245" s="280">
        <f>AP251+AP252</f>
        <v>1097</v>
      </c>
      <c r="AQ245" s="280">
        <f>AQ251+AQ252</f>
        <v>1066</v>
      </c>
      <c r="AR245" s="280">
        <v>1135</v>
      </c>
      <c r="AS245" s="280">
        <v>1086</v>
      </c>
      <c r="AT245" s="280">
        <f t="shared" si="318"/>
        <v>12486</v>
      </c>
      <c r="AU245" s="351">
        <f t="shared" si="319"/>
        <v>1040.5</v>
      </c>
      <c r="AX245" s="350">
        <v>1089</v>
      </c>
      <c r="AY245" s="280">
        <v>1230</v>
      </c>
      <c r="AZ245" s="280">
        <f>AZ251+AZ252</f>
        <v>1195</v>
      </c>
      <c r="BA245" s="280">
        <v>1264</v>
      </c>
      <c r="BB245" s="280">
        <v>1394</v>
      </c>
      <c r="BC245" s="280">
        <f>BC251+BC252</f>
        <v>1401</v>
      </c>
      <c r="BD245" s="280">
        <v>1369</v>
      </c>
      <c r="BE245" s="280">
        <v>1312</v>
      </c>
      <c r="BF245" s="280">
        <v>1335</v>
      </c>
      <c r="BG245" s="280">
        <v>1313</v>
      </c>
      <c r="BH245" s="280">
        <v>1224</v>
      </c>
      <c r="BI245" s="280">
        <v>1269</v>
      </c>
      <c r="BJ245" s="280">
        <f t="shared" si="320"/>
        <v>15395</v>
      </c>
      <c r="BK245" s="351">
        <f t="shared" si="321"/>
        <v>1282.9166666666667</v>
      </c>
      <c r="BN245" s="322">
        <f t="shared" si="332"/>
        <v>183</v>
      </c>
      <c r="BO245" s="322">
        <f t="shared" si="309"/>
        <v>242.41666666666674</v>
      </c>
      <c r="BP245" s="322">
        <f t="shared" si="310"/>
        <v>2909</v>
      </c>
      <c r="BQ245" s="322">
        <f t="shared" si="322"/>
        <v>45</v>
      </c>
      <c r="BR245" s="2265">
        <f t="shared" si="312"/>
        <v>1224</v>
      </c>
      <c r="BS245" s="2265">
        <f t="shared" si="313"/>
        <v>1269</v>
      </c>
    </row>
    <row r="246" spans="1:71" x14ac:dyDescent="0.55000000000000004">
      <c r="A246" s="7536"/>
      <c r="B246" s="251" t="s">
        <v>226</v>
      </c>
      <c r="C246" s="103"/>
      <c r="D246" s="352">
        <f>D253+D254</f>
        <v>1155</v>
      </c>
      <c r="E246" s="353">
        <f t="shared" ref="E246:O246" si="336">E253+E254</f>
        <v>1134</v>
      </c>
      <c r="F246" s="353">
        <f t="shared" si="336"/>
        <v>1188</v>
      </c>
      <c r="G246" s="353">
        <f t="shared" si="336"/>
        <v>1175</v>
      </c>
      <c r="H246" s="353">
        <f t="shared" si="336"/>
        <v>1230</v>
      </c>
      <c r="I246" s="353">
        <f t="shared" si="336"/>
        <v>1193</v>
      </c>
      <c r="J246" s="353">
        <f t="shared" si="336"/>
        <v>1187</v>
      </c>
      <c r="K246" s="353">
        <f t="shared" si="336"/>
        <v>1113</v>
      </c>
      <c r="L246" s="353">
        <f t="shared" si="336"/>
        <v>1071</v>
      </c>
      <c r="M246" s="353">
        <f t="shared" si="336"/>
        <v>1150</v>
      </c>
      <c r="N246" s="353">
        <f t="shared" si="336"/>
        <v>1119</v>
      </c>
      <c r="O246" s="353">
        <f t="shared" si="336"/>
        <v>1071</v>
      </c>
      <c r="P246" s="353">
        <f t="shared" si="314"/>
        <v>13786</v>
      </c>
      <c r="Q246" s="354">
        <f t="shared" si="315"/>
        <v>1148.8333333333333</v>
      </c>
      <c r="R246" s="370"/>
      <c r="S246" s="352">
        <f>S253+S254</f>
        <v>1151</v>
      </c>
      <c r="T246" s="353">
        <f t="shared" ref="T246:AD246" si="337">T253+T254</f>
        <v>1172</v>
      </c>
      <c r="U246" s="353">
        <f t="shared" si="337"/>
        <v>1131</v>
      </c>
      <c r="V246" s="353">
        <f t="shared" si="337"/>
        <v>1099</v>
      </c>
      <c r="W246" s="353">
        <f t="shared" si="337"/>
        <v>1039</v>
      </c>
      <c r="X246" s="353">
        <f t="shared" si="337"/>
        <v>1006</v>
      </c>
      <c r="Y246" s="353">
        <f t="shared" si="337"/>
        <v>971</v>
      </c>
      <c r="Z246" s="353">
        <f t="shared" si="337"/>
        <v>1059</v>
      </c>
      <c r="AA246" s="353">
        <f t="shared" si="337"/>
        <v>933</v>
      </c>
      <c r="AB246" s="353">
        <f t="shared" si="337"/>
        <v>973</v>
      </c>
      <c r="AC246" s="353">
        <f t="shared" si="337"/>
        <v>929</v>
      </c>
      <c r="AD246" s="353">
        <f t="shared" si="337"/>
        <v>847</v>
      </c>
      <c r="AE246" s="353">
        <f t="shared" si="316"/>
        <v>12310</v>
      </c>
      <c r="AF246" s="354">
        <f t="shared" si="317"/>
        <v>1025.8333333333333</v>
      </c>
      <c r="AG246" s="370"/>
      <c r="AH246" s="352">
        <f t="shared" ref="AH246:AM246" si="338">AH253+AH254</f>
        <v>999</v>
      </c>
      <c r="AI246" s="353">
        <f t="shared" si="338"/>
        <v>945</v>
      </c>
      <c r="AJ246" s="353">
        <f t="shared" si="338"/>
        <v>993</v>
      </c>
      <c r="AK246" s="353">
        <f t="shared" si="338"/>
        <v>1018</v>
      </c>
      <c r="AL246" s="353">
        <f t="shared" si="338"/>
        <v>983</v>
      </c>
      <c r="AM246" s="353">
        <f t="shared" si="338"/>
        <v>1020</v>
      </c>
      <c r="AN246" s="353">
        <v>971</v>
      </c>
      <c r="AO246" s="353">
        <f>AO253+AO254</f>
        <v>875</v>
      </c>
      <c r="AP246" s="353">
        <f>AP253+AP254</f>
        <v>997</v>
      </c>
      <c r="AQ246" s="353">
        <f>AQ253+AQ254</f>
        <v>1024</v>
      </c>
      <c r="AR246" s="353">
        <v>1032</v>
      </c>
      <c r="AS246" s="353">
        <v>976</v>
      </c>
      <c r="AT246" s="353">
        <f t="shared" si="318"/>
        <v>11833</v>
      </c>
      <c r="AU246" s="354">
        <f t="shared" si="319"/>
        <v>986.08333333333337</v>
      </c>
      <c r="AX246" s="352">
        <v>911</v>
      </c>
      <c r="AY246" s="353">
        <v>1040</v>
      </c>
      <c r="AZ246" s="353">
        <f>AZ253+AZ254</f>
        <v>998</v>
      </c>
      <c r="BA246" s="353">
        <v>1019</v>
      </c>
      <c r="BB246" s="353">
        <v>1075</v>
      </c>
      <c r="BC246" s="353">
        <f>BC253+BC254</f>
        <v>1045</v>
      </c>
      <c r="BD246" s="353">
        <v>1008</v>
      </c>
      <c r="BE246" s="353">
        <v>1020</v>
      </c>
      <c r="BF246" s="353">
        <v>1024</v>
      </c>
      <c r="BG246" s="353">
        <v>1027</v>
      </c>
      <c r="BH246" s="353">
        <v>1016</v>
      </c>
      <c r="BI246" s="353">
        <v>968</v>
      </c>
      <c r="BJ246" s="353">
        <f t="shared" si="320"/>
        <v>12151</v>
      </c>
      <c r="BK246" s="354">
        <f t="shared" si="321"/>
        <v>1012.5833333333334</v>
      </c>
      <c r="BN246" s="322">
        <f t="shared" si="332"/>
        <v>-8</v>
      </c>
      <c r="BO246" s="322">
        <f t="shared" si="309"/>
        <v>26.5</v>
      </c>
      <c r="BP246" s="322">
        <f t="shared" si="310"/>
        <v>318</v>
      </c>
      <c r="BQ246" s="322">
        <f t="shared" si="322"/>
        <v>-48</v>
      </c>
      <c r="BR246" s="2265">
        <f t="shared" si="312"/>
        <v>1016</v>
      </c>
      <c r="BS246" s="2265">
        <f t="shared" si="313"/>
        <v>968</v>
      </c>
    </row>
    <row r="247" spans="1:71" s="172" customFormat="1" x14ac:dyDescent="0.55000000000000004">
      <c r="A247" s="7536"/>
      <c r="B247" s="252"/>
      <c r="C247" s="180" t="s">
        <v>242</v>
      </c>
      <c r="D247" s="355">
        <v>539</v>
      </c>
      <c r="E247" s="356">
        <v>599</v>
      </c>
      <c r="F247" s="356">
        <v>608</v>
      </c>
      <c r="G247" s="356">
        <v>628</v>
      </c>
      <c r="H247" s="356">
        <v>648</v>
      </c>
      <c r="I247" s="356">
        <v>664</v>
      </c>
      <c r="J247" s="356">
        <v>636</v>
      </c>
      <c r="K247" s="356">
        <v>674</v>
      </c>
      <c r="L247" s="356">
        <v>591</v>
      </c>
      <c r="M247" s="356">
        <v>643</v>
      </c>
      <c r="N247" s="356">
        <v>615</v>
      </c>
      <c r="O247" s="356">
        <v>563</v>
      </c>
      <c r="P247" s="356">
        <f t="shared" si="314"/>
        <v>7408</v>
      </c>
      <c r="Q247" s="357">
        <f t="shared" si="315"/>
        <v>617.33333333333337</v>
      </c>
      <c r="R247" s="372"/>
      <c r="S247" s="355">
        <v>571</v>
      </c>
      <c r="T247" s="356">
        <v>611</v>
      </c>
      <c r="U247" s="356">
        <v>570</v>
      </c>
      <c r="V247" s="356">
        <v>541</v>
      </c>
      <c r="W247" s="356">
        <v>573</v>
      </c>
      <c r="X247" s="356">
        <v>509</v>
      </c>
      <c r="Y247" s="356">
        <v>515</v>
      </c>
      <c r="Z247" s="356">
        <v>547</v>
      </c>
      <c r="AA247" s="356">
        <v>502</v>
      </c>
      <c r="AB247" s="356">
        <v>555</v>
      </c>
      <c r="AC247" s="356">
        <v>483</v>
      </c>
      <c r="AD247" s="356">
        <v>460</v>
      </c>
      <c r="AE247" s="356">
        <f t="shared" si="316"/>
        <v>6437</v>
      </c>
      <c r="AF247" s="357">
        <f t="shared" si="317"/>
        <v>536.41666666666663</v>
      </c>
      <c r="AG247" s="372"/>
      <c r="AH247" s="355">
        <v>532</v>
      </c>
      <c r="AI247" s="356">
        <v>458</v>
      </c>
      <c r="AJ247" s="356">
        <v>516</v>
      </c>
      <c r="AK247" s="356">
        <v>529</v>
      </c>
      <c r="AL247" s="356">
        <v>549</v>
      </c>
      <c r="AM247" s="356">
        <v>530</v>
      </c>
      <c r="AN247" s="356">
        <v>566</v>
      </c>
      <c r="AO247" s="356">
        <v>555</v>
      </c>
      <c r="AP247" s="356">
        <v>579</v>
      </c>
      <c r="AQ247" s="356">
        <v>579</v>
      </c>
      <c r="AR247" s="356">
        <v>563</v>
      </c>
      <c r="AS247" s="356">
        <v>535</v>
      </c>
      <c r="AT247" s="356">
        <f t="shared" si="318"/>
        <v>6491</v>
      </c>
      <c r="AU247" s="357">
        <f t="shared" si="319"/>
        <v>540.91666666666663</v>
      </c>
      <c r="AX247" s="355">
        <v>503</v>
      </c>
      <c r="AY247" s="356">
        <v>601</v>
      </c>
      <c r="AZ247" s="356">
        <v>549</v>
      </c>
      <c r="BA247" s="356">
        <v>556</v>
      </c>
      <c r="BB247" s="356">
        <v>589</v>
      </c>
      <c r="BC247" s="356">
        <v>554</v>
      </c>
      <c r="BD247" s="356">
        <v>817</v>
      </c>
      <c r="BE247" s="356">
        <v>796</v>
      </c>
      <c r="BF247" s="356">
        <v>844</v>
      </c>
      <c r="BG247" s="356">
        <v>798</v>
      </c>
      <c r="BH247" s="356">
        <v>790</v>
      </c>
      <c r="BI247" s="356">
        <v>810</v>
      </c>
      <c r="BJ247" s="356">
        <f t="shared" si="320"/>
        <v>8207</v>
      </c>
      <c r="BK247" s="357">
        <f t="shared" si="321"/>
        <v>683.91666666666663</v>
      </c>
      <c r="BN247" s="322">
        <f>HLOOKUP($A$1,$AX$1:$BI$500,ROW(),0)-HLOOKUP($A$1,$AH$1:$AS$500,ROW(),0)</f>
        <v>275</v>
      </c>
      <c r="BO247" s="322">
        <f>BK247-AU247</f>
        <v>143</v>
      </c>
      <c r="BP247" s="322">
        <f t="shared" si="310"/>
        <v>1716</v>
      </c>
      <c r="BQ247" s="322">
        <f t="shared" si="322"/>
        <v>20</v>
      </c>
      <c r="BR247" s="2265">
        <f t="shared" si="312"/>
        <v>790</v>
      </c>
      <c r="BS247" s="2265">
        <f t="shared" si="313"/>
        <v>810</v>
      </c>
    </row>
    <row r="248" spans="1:71" s="172" customFormat="1" x14ac:dyDescent="0.55000000000000004">
      <c r="A248" s="7536"/>
      <c r="B248" s="253"/>
      <c r="C248" s="181" t="s">
        <v>243</v>
      </c>
      <c r="D248" s="358">
        <v>239</v>
      </c>
      <c r="E248" s="359">
        <v>244</v>
      </c>
      <c r="F248" s="359">
        <v>242</v>
      </c>
      <c r="G248" s="359">
        <v>267</v>
      </c>
      <c r="H248" s="359">
        <v>262</v>
      </c>
      <c r="I248" s="359">
        <v>271</v>
      </c>
      <c r="J248" s="359">
        <v>244</v>
      </c>
      <c r="K248" s="359">
        <v>245</v>
      </c>
      <c r="L248" s="359">
        <v>227</v>
      </c>
      <c r="M248" s="359">
        <v>233</v>
      </c>
      <c r="N248" s="359">
        <v>209</v>
      </c>
      <c r="O248" s="359">
        <v>195</v>
      </c>
      <c r="P248" s="359">
        <f t="shared" si="314"/>
        <v>2878</v>
      </c>
      <c r="Q248" s="360">
        <f t="shared" si="315"/>
        <v>239.83333333333334</v>
      </c>
      <c r="R248" s="372"/>
      <c r="S248" s="358">
        <v>196</v>
      </c>
      <c r="T248" s="359">
        <v>213</v>
      </c>
      <c r="U248" s="359">
        <v>211</v>
      </c>
      <c r="V248" s="359">
        <v>217</v>
      </c>
      <c r="W248" s="359">
        <v>214</v>
      </c>
      <c r="X248" s="359">
        <v>203</v>
      </c>
      <c r="Y248" s="359">
        <v>203</v>
      </c>
      <c r="Z248" s="359">
        <v>222</v>
      </c>
      <c r="AA248" s="359">
        <v>196</v>
      </c>
      <c r="AB248" s="359">
        <v>220</v>
      </c>
      <c r="AC248" s="359">
        <v>199</v>
      </c>
      <c r="AD248" s="359">
        <v>198</v>
      </c>
      <c r="AE248" s="359">
        <f t="shared" si="316"/>
        <v>2492</v>
      </c>
      <c r="AF248" s="360">
        <f t="shared" si="317"/>
        <v>207.66666666666666</v>
      </c>
      <c r="AG248" s="372"/>
      <c r="AH248" s="358">
        <v>235</v>
      </c>
      <c r="AI248" s="359">
        <v>185</v>
      </c>
      <c r="AJ248" s="359">
        <v>190</v>
      </c>
      <c r="AK248" s="359">
        <v>205</v>
      </c>
      <c r="AL248" s="359">
        <v>209</v>
      </c>
      <c r="AM248" s="359">
        <v>214</v>
      </c>
      <c r="AN248" s="359">
        <v>226</v>
      </c>
      <c r="AO248" s="359">
        <v>224</v>
      </c>
      <c r="AP248" s="359">
        <v>221</v>
      </c>
      <c r="AQ248" s="359">
        <v>218</v>
      </c>
      <c r="AR248" s="359">
        <v>231</v>
      </c>
      <c r="AS248" s="359">
        <v>202</v>
      </c>
      <c r="AT248" s="359">
        <f t="shared" si="318"/>
        <v>2560</v>
      </c>
      <c r="AU248" s="360">
        <f t="shared" si="319"/>
        <v>213.33333333333334</v>
      </c>
      <c r="AX248" s="358">
        <v>194</v>
      </c>
      <c r="AY248" s="359">
        <v>244</v>
      </c>
      <c r="AZ248" s="359">
        <v>219</v>
      </c>
      <c r="BA248" s="359">
        <v>229</v>
      </c>
      <c r="BB248" s="359">
        <v>240</v>
      </c>
      <c r="BC248" s="359">
        <v>220</v>
      </c>
      <c r="BD248" s="2353">
        <v>0</v>
      </c>
      <c r="BE248" s="2353">
        <v>0</v>
      </c>
      <c r="BF248" s="2353">
        <v>0</v>
      </c>
      <c r="BG248" s="2353">
        <v>0</v>
      </c>
      <c r="BH248" s="2353">
        <v>0</v>
      </c>
      <c r="BI248" s="2353">
        <v>0</v>
      </c>
      <c r="BJ248" s="359">
        <f t="shared" si="320"/>
        <v>1346</v>
      </c>
      <c r="BK248" s="360">
        <f t="shared" si="321"/>
        <v>112.16666666666667</v>
      </c>
      <c r="BN248" s="322">
        <f t="shared" si="332"/>
        <v>-202</v>
      </c>
      <c r="BO248" s="322">
        <f t="shared" si="309"/>
        <v>-101.16666666666667</v>
      </c>
      <c r="BP248" s="322">
        <f t="shared" si="310"/>
        <v>-1214</v>
      </c>
      <c r="BQ248" s="322">
        <f>BS248-BR248</f>
        <v>0</v>
      </c>
      <c r="BR248" s="2265">
        <f>HLOOKUP($B$1,$AX$1:$BI$500,ROW(),0)</f>
        <v>0</v>
      </c>
      <c r="BS248" s="2265">
        <f>HLOOKUP($A$1,$AX$1:$BI$500,ROW(),0)</f>
        <v>0</v>
      </c>
    </row>
    <row r="249" spans="1:71" s="172" customFormat="1" x14ac:dyDescent="0.55000000000000004">
      <c r="A249" s="7536"/>
      <c r="B249" s="253"/>
      <c r="C249" s="173" t="s">
        <v>244</v>
      </c>
      <c r="D249" s="361">
        <v>644</v>
      </c>
      <c r="E249" s="362">
        <v>713</v>
      </c>
      <c r="F249" s="362">
        <v>674</v>
      </c>
      <c r="G249" s="362">
        <v>670</v>
      </c>
      <c r="H249" s="362">
        <v>709</v>
      </c>
      <c r="I249" s="362">
        <v>687</v>
      </c>
      <c r="J249" s="362">
        <v>635</v>
      </c>
      <c r="K249" s="362">
        <v>638</v>
      </c>
      <c r="L249" s="362">
        <v>600</v>
      </c>
      <c r="M249" s="362">
        <v>619</v>
      </c>
      <c r="N249" s="362">
        <v>603</v>
      </c>
      <c r="O249" s="362">
        <v>568</v>
      </c>
      <c r="P249" s="362">
        <f t="shared" si="314"/>
        <v>7760</v>
      </c>
      <c r="Q249" s="363">
        <f t="shared" si="315"/>
        <v>646.66666666666663</v>
      </c>
      <c r="R249" s="372"/>
      <c r="S249" s="361">
        <v>584</v>
      </c>
      <c r="T249" s="362">
        <v>649</v>
      </c>
      <c r="U249" s="362">
        <v>658</v>
      </c>
      <c r="V249" s="362">
        <v>533</v>
      </c>
      <c r="W249" s="362">
        <v>504</v>
      </c>
      <c r="X249" s="362">
        <v>506</v>
      </c>
      <c r="Y249" s="362">
        <v>451</v>
      </c>
      <c r="Z249" s="362">
        <v>528</v>
      </c>
      <c r="AA249" s="362">
        <v>453</v>
      </c>
      <c r="AB249" s="362">
        <v>524</v>
      </c>
      <c r="AC249" s="362">
        <v>543</v>
      </c>
      <c r="AD249" s="362">
        <v>464</v>
      </c>
      <c r="AE249" s="362">
        <f t="shared" si="316"/>
        <v>6397</v>
      </c>
      <c r="AF249" s="363">
        <f t="shared" si="317"/>
        <v>533.08333333333337</v>
      </c>
      <c r="AG249" s="372"/>
      <c r="AH249" s="361">
        <v>550</v>
      </c>
      <c r="AI249" s="362">
        <v>485</v>
      </c>
      <c r="AJ249" s="362">
        <v>488</v>
      </c>
      <c r="AK249" s="362">
        <v>468</v>
      </c>
      <c r="AL249" s="362">
        <v>495</v>
      </c>
      <c r="AM249" s="362">
        <v>474</v>
      </c>
      <c r="AN249" s="362">
        <v>478</v>
      </c>
      <c r="AO249" s="362">
        <v>470</v>
      </c>
      <c r="AP249" s="362">
        <v>482</v>
      </c>
      <c r="AQ249" s="362">
        <v>545</v>
      </c>
      <c r="AR249" s="362">
        <v>496</v>
      </c>
      <c r="AS249" s="362">
        <v>436</v>
      </c>
      <c r="AT249" s="362">
        <f t="shared" si="318"/>
        <v>5867</v>
      </c>
      <c r="AU249" s="363">
        <f t="shared" si="319"/>
        <v>488.91666666666669</v>
      </c>
      <c r="AX249" s="361">
        <v>408</v>
      </c>
      <c r="AY249" s="362">
        <v>567</v>
      </c>
      <c r="AZ249" s="362">
        <v>531</v>
      </c>
      <c r="BA249" s="362">
        <v>467</v>
      </c>
      <c r="BB249" s="362">
        <v>536</v>
      </c>
      <c r="BC249" s="362">
        <v>516</v>
      </c>
      <c r="BD249" s="362">
        <v>505</v>
      </c>
      <c r="BE249" s="362">
        <v>537</v>
      </c>
      <c r="BF249" s="362">
        <v>536</v>
      </c>
      <c r="BG249" s="362">
        <v>539</v>
      </c>
      <c r="BH249" s="362">
        <v>556</v>
      </c>
      <c r="BI249" s="362">
        <v>554</v>
      </c>
      <c r="BJ249" s="362">
        <f t="shared" si="320"/>
        <v>6252</v>
      </c>
      <c r="BK249" s="363">
        <f t="shared" si="321"/>
        <v>521</v>
      </c>
      <c r="BN249" s="322">
        <f t="shared" si="332"/>
        <v>118</v>
      </c>
      <c r="BO249" s="322">
        <f t="shared" si="309"/>
        <v>32.083333333333314</v>
      </c>
      <c r="BP249" s="322">
        <f t="shared" si="310"/>
        <v>385</v>
      </c>
      <c r="BQ249" s="322">
        <f t="shared" si="322"/>
        <v>-2</v>
      </c>
      <c r="BR249" s="2265">
        <f t="shared" si="312"/>
        <v>556</v>
      </c>
      <c r="BS249" s="2265">
        <f t="shared" si="313"/>
        <v>554</v>
      </c>
    </row>
    <row r="250" spans="1:71" s="172" customFormat="1" x14ac:dyDescent="0.55000000000000004">
      <c r="A250" s="7536"/>
      <c r="B250" s="253"/>
      <c r="C250" s="181" t="s">
        <v>245</v>
      </c>
      <c r="D250" s="358">
        <v>628</v>
      </c>
      <c r="E250" s="359">
        <v>679</v>
      </c>
      <c r="F250" s="359">
        <v>674</v>
      </c>
      <c r="G250" s="359">
        <v>721</v>
      </c>
      <c r="H250" s="359">
        <v>770</v>
      </c>
      <c r="I250" s="359">
        <v>748</v>
      </c>
      <c r="J250" s="359">
        <v>759</v>
      </c>
      <c r="K250" s="359">
        <v>761</v>
      </c>
      <c r="L250" s="359">
        <v>659</v>
      </c>
      <c r="M250" s="359">
        <v>717</v>
      </c>
      <c r="N250" s="359">
        <v>666</v>
      </c>
      <c r="O250" s="359">
        <v>612</v>
      </c>
      <c r="P250" s="359">
        <f t="shared" si="314"/>
        <v>8394</v>
      </c>
      <c r="Q250" s="360">
        <f t="shared" si="315"/>
        <v>699.5</v>
      </c>
      <c r="R250" s="372"/>
      <c r="S250" s="358">
        <v>692</v>
      </c>
      <c r="T250" s="359">
        <v>661</v>
      </c>
      <c r="U250" s="359">
        <v>726</v>
      </c>
      <c r="V250" s="359">
        <v>636</v>
      </c>
      <c r="W250" s="359">
        <v>618</v>
      </c>
      <c r="X250" s="359">
        <v>584</v>
      </c>
      <c r="Y250" s="359">
        <v>576</v>
      </c>
      <c r="Z250" s="359">
        <v>648</v>
      </c>
      <c r="AA250" s="359">
        <v>593</v>
      </c>
      <c r="AB250" s="359">
        <v>651</v>
      </c>
      <c r="AC250" s="359">
        <v>593</v>
      </c>
      <c r="AD250" s="359">
        <v>547</v>
      </c>
      <c r="AE250" s="359">
        <f t="shared" si="316"/>
        <v>7525</v>
      </c>
      <c r="AF250" s="360">
        <f t="shared" si="317"/>
        <v>627.08333333333337</v>
      </c>
      <c r="AG250" s="372"/>
      <c r="AH250" s="358">
        <v>572</v>
      </c>
      <c r="AI250" s="359">
        <v>517</v>
      </c>
      <c r="AJ250" s="359">
        <v>544</v>
      </c>
      <c r="AK250" s="359">
        <v>569</v>
      </c>
      <c r="AL250" s="359">
        <v>612</v>
      </c>
      <c r="AM250" s="359">
        <v>620</v>
      </c>
      <c r="AN250" s="359">
        <v>586</v>
      </c>
      <c r="AO250" s="359">
        <v>560</v>
      </c>
      <c r="AP250" s="359">
        <v>640</v>
      </c>
      <c r="AQ250" s="359">
        <v>639</v>
      </c>
      <c r="AR250" s="359">
        <v>585</v>
      </c>
      <c r="AS250" s="359">
        <v>525</v>
      </c>
      <c r="AT250" s="359">
        <f t="shared" si="318"/>
        <v>6969</v>
      </c>
      <c r="AU250" s="360">
        <f t="shared" si="319"/>
        <v>580.75</v>
      </c>
      <c r="AX250" s="358">
        <v>521</v>
      </c>
      <c r="AY250" s="359">
        <v>664</v>
      </c>
      <c r="AZ250" s="359">
        <v>595</v>
      </c>
      <c r="BA250" s="359">
        <v>600</v>
      </c>
      <c r="BB250" s="359">
        <v>671</v>
      </c>
      <c r="BC250" s="359">
        <v>630</v>
      </c>
      <c r="BD250" s="359">
        <v>628</v>
      </c>
      <c r="BE250" s="359">
        <v>642</v>
      </c>
      <c r="BF250" s="359">
        <v>616</v>
      </c>
      <c r="BG250" s="359">
        <v>592</v>
      </c>
      <c r="BH250" s="359">
        <v>588</v>
      </c>
      <c r="BI250" s="359">
        <v>611</v>
      </c>
      <c r="BJ250" s="359">
        <f t="shared" si="320"/>
        <v>7358</v>
      </c>
      <c r="BK250" s="360">
        <f t="shared" si="321"/>
        <v>613.16666666666663</v>
      </c>
      <c r="BN250" s="322">
        <f t="shared" si="332"/>
        <v>86</v>
      </c>
      <c r="BO250" s="322">
        <f>BK250-AU250</f>
        <v>32.416666666666629</v>
      </c>
      <c r="BP250" s="322">
        <f t="shared" si="310"/>
        <v>389</v>
      </c>
      <c r="BQ250" s="322">
        <f t="shared" si="322"/>
        <v>23</v>
      </c>
      <c r="BR250" s="2265">
        <f t="shared" si="312"/>
        <v>588</v>
      </c>
      <c r="BS250" s="2265">
        <f t="shared" si="313"/>
        <v>611</v>
      </c>
    </row>
    <row r="251" spans="1:71" s="172" customFormat="1" x14ac:dyDescent="0.55000000000000004">
      <c r="A251" s="7536"/>
      <c r="B251" s="253"/>
      <c r="C251" s="173" t="s">
        <v>246</v>
      </c>
      <c r="D251" s="361">
        <v>529</v>
      </c>
      <c r="E251" s="362">
        <v>550</v>
      </c>
      <c r="F251" s="362">
        <v>606</v>
      </c>
      <c r="G251" s="362">
        <v>623</v>
      </c>
      <c r="H251" s="362">
        <v>622</v>
      </c>
      <c r="I251" s="362">
        <v>621</v>
      </c>
      <c r="J251" s="362">
        <v>633</v>
      </c>
      <c r="K251" s="362">
        <v>627</v>
      </c>
      <c r="L251" s="362">
        <v>616</v>
      </c>
      <c r="M251" s="362">
        <v>642</v>
      </c>
      <c r="N251" s="362">
        <v>659</v>
      </c>
      <c r="O251" s="362">
        <v>563</v>
      </c>
      <c r="P251" s="362">
        <f t="shared" si="314"/>
        <v>7291</v>
      </c>
      <c r="Q251" s="363">
        <f t="shared" si="315"/>
        <v>607.58333333333337</v>
      </c>
      <c r="R251" s="372"/>
      <c r="S251" s="361">
        <v>538</v>
      </c>
      <c r="T251" s="362">
        <v>591</v>
      </c>
      <c r="U251" s="362">
        <v>587</v>
      </c>
      <c r="V251" s="362">
        <v>565</v>
      </c>
      <c r="W251" s="362">
        <v>540</v>
      </c>
      <c r="X251" s="362">
        <v>516</v>
      </c>
      <c r="Y251" s="362">
        <v>539</v>
      </c>
      <c r="Z251" s="362">
        <v>591</v>
      </c>
      <c r="AA251" s="362">
        <v>584</v>
      </c>
      <c r="AB251" s="362">
        <v>570</v>
      </c>
      <c r="AC251" s="362">
        <v>553</v>
      </c>
      <c r="AD251" s="362">
        <v>514</v>
      </c>
      <c r="AE251" s="362">
        <f t="shared" si="316"/>
        <v>6688</v>
      </c>
      <c r="AF251" s="363">
        <f t="shared" si="317"/>
        <v>557.33333333333337</v>
      </c>
      <c r="AG251" s="372"/>
      <c r="AH251" s="361">
        <v>584</v>
      </c>
      <c r="AI251" s="362">
        <v>529</v>
      </c>
      <c r="AJ251" s="362">
        <v>559</v>
      </c>
      <c r="AK251" s="362">
        <v>568</v>
      </c>
      <c r="AL251" s="362">
        <v>585</v>
      </c>
      <c r="AM251" s="362">
        <v>581</v>
      </c>
      <c r="AN251" s="362">
        <v>568</v>
      </c>
      <c r="AO251" s="362">
        <v>532</v>
      </c>
      <c r="AP251" s="362">
        <v>643</v>
      </c>
      <c r="AQ251" s="362">
        <v>633</v>
      </c>
      <c r="AR251" s="362">
        <v>677</v>
      </c>
      <c r="AS251" s="362">
        <v>660</v>
      </c>
      <c r="AT251" s="362">
        <f t="shared" si="318"/>
        <v>7119</v>
      </c>
      <c r="AU251" s="363">
        <f t="shared" si="319"/>
        <v>593.25</v>
      </c>
      <c r="AX251" s="361">
        <v>668</v>
      </c>
      <c r="AY251" s="362">
        <v>746</v>
      </c>
      <c r="AZ251" s="362">
        <v>740</v>
      </c>
      <c r="BA251" s="362">
        <v>779</v>
      </c>
      <c r="BB251" s="362">
        <v>851</v>
      </c>
      <c r="BC251" s="362">
        <v>879</v>
      </c>
      <c r="BD251" s="362">
        <v>858</v>
      </c>
      <c r="BE251" s="362">
        <v>804</v>
      </c>
      <c r="BF251" s="362">
        <v>782</v>
      </c>
      <c r="BG251" s="362">
        <v>773</v>
      </c>
      <c r="BH251" s="362">
        <v>708</v>
      </c>
      <c r="BI251" s="362">
        <v>741</v>
      </c>
      <c r="BJ251" s="362">
        <f t="shared" si="320"/>
        <v>9329</v>
      </c>
      <c r="BK251" s="363">
        <f t="shared" si="321"/>
        <v>777.41666666666663</v>
      </c>
      <c r="BN251" s="322">
        <f t="shared" si="332"/>
        <v>81</v>
      </c>
      <c r="BO251" s="322">
        <f t="shared" si="309"/>
        <v>184.16666666666663</v>
      </c>
      <c r="BP251" s="322">
        <f t="shared" si="310"/>
        <v>2210</v>
      </c>
      <c r="BQ251" s="322">
        <f t="shared" si="322"/>
        <v>33</v>
      </c>
      <c r="BR251" s="2265">
        <f t="shared" si="312"/>
        <v>708</v>
      </c>
      <c r="BS251" s="2265">
        <f t="shared" si="313"/>
        <v>741</v>
      </c>
    </row>
    <row r="252" spans="1:71" s="172" customFormat="1" x14ac:dyDescent="0.55000000000000004">
      <c r="A252" s="7536"/>
      <c r="B252" s="253"/>
      <c r="C252" s="173" t="s">
        <v>247</v>
      </c>
      <c r="D252" s="361">
        <v>444</v>
      </c>
      <c r="E252" s="362">
        <v>449</v>
      </c>
      <c r="F252" s="362">
        <v>500</v>
      </c>
      <c r="G252" s="362">
        <v>512</v>
      </c>
      <c r="H252" s="362">
        <v>492</v>
      </c>
      <c r="I252" s="362">
        <v>487</v>
      </c>
      <c r="J252" s="362">
        <v>486</v>
      </c>
      <c r="K252" s="362">
        <v>485</v>
      </c>
      <c r="L252" s="362">
        <v>464</v>
      </c>
      <c r="M252" s="362">
        <v>503</v>
      </c>
      <c r="N252" s="362">
        <v>429</v>
      </c>
      <c r="O252" s="362">
        <v>336</v>
      </c>
      <c r="P252" s="362">
        <f t="shared" si="314"/>
        <v>5587</v>
      </c>
      <c r="Q252" s="363">
        <f t="shared" si="315"/>
        <v>465.58333333333331</v>
      </c>
      <c r="R252" s="372"/>
      <c r="S252" s="361">
        <v>425</v>
      </c>
      <c r="T252" s="362">
        <v>456</v>
      </c>
      <c r="U252" s="362">
        <v>419</v>
      </c>
      <c r="V252" s="362">
        <v>452</v>
      </c>
      <c r="W252" s="362">
        <v>443</v>
      </c>
      <c r="X252" s="362">
        <v>428</v>
      </c>
      <c r="Y252" s="362">
        <v>417</v>
      </c>
      <c r="Z252" s="362">
        <v>467</v>
      </c>
      <c r="AA252" s="362">
        <v>448</v>
      </c>
      <c r="AB252" s="362">
        <v>450</v>
      </c>
      <c r="AC252" s="362">
        <v>437</v>
      </c>
      <c r="AD252" s="362">
        <v>387</v>
      </c>
      <c r="AE252" s="362">
        <f t="shared" si="316"/>
        <v>5229</v>
      </c>
      <c r="AF252" s="363">
        <f t="shared" si="317"/>
        <v>435.75</v>
      </c>
      <c r="AG252" s="372"/>
      <c r="AH252" s="361">
        <v>440</v>
      </c>
      <c r="AI252" s="362">
        <v>456</v>
      </c>
      <c r="AJ252" s="362">
        <v>463</v>
      </c>
      <c r="AK252" s="362">
        <v>463</v>
      </c>
      <c r="AL252" s="362">
        <v>457</v>
      </c>
      <c r="AM252" s="362">
        <v>444</v>
      </c>
      <c r="AN252" s="362">
        <v>455</v>
      </c>
      <c r="AO252" s="362">
        <v>418</v>
      </c>
      <c r="AP252" s="362">
        <v>454</v>
      </c>
      <c r="AQ252" s="362">
        <v>433</v>
      </c>
      <c r="AR252" s="362">
        <v>458</v>
      </c>
      <c r="AS252" s="362">
        <v>426</v>
      </c>
      <c r="AT252" s="362">
        <f t="shared" si="318"/>
        <v>5367</v>
      </c>
      <c r="AU252" s="363">
        <f t="shared" si="319"/>
        <v>447.25</v>
      </c>
      <c r="AX252" s="361">
        <v>421</v>
      </c>
      <c r="AY252" s="362">
        <v>484</v>
      </c>
      <c r="AZ252" s="362">
        <v>455</v>
      </c>
      <c r="BA252" s="362">
        <v>485</v>
      </c>
      <c r="BB252" s="362">
        <v>543</v>
      </c>
      <c r="BC252" s="362">
        <v>522</v>
      </c>
      <c r="BD252" s="362">
        <v>511</v>
      </c>
      <c r="BE252" s="362">
        <v>508</v>
      </c>
      <c r="BF252" s="362">
        <v>553</v>
      </c>
      <c r="BG252" s="362">
        <v>540</v>
      </c>
      <c r="BH252" s="362">
        <v>516</v>
      </c>
      <c r="BI252" s="362">
        <v>528</v>
      </c>
      <c r="BJ252" s="362">
        <f t="shared" si="320"/>
        <v>6066</v>
      </c>
      <c r="BK252" s="363">
        <f t="shared" si="321"/>
        <v>505.5</v>
      </c>
      <c r="BN252" s="322">
        <f t="shared" si="332"/>
        <v>102</v>
      </c>
      <c r="BO252" s="322">
        <f t="shared" si="309"/>
        <v>58.25</v>
      </c>
      <c r="BP252" s="322">
        <f t="shared" si="310"/>
        <v>699</v>
      </c>
      <c r="BQ252" s="322">
        <f t="shared" si="322"/>
        <v>12</v>
      </c>
      <c r="BR252" s="2265">
        <f t="shared" si="312"/>
        <v>516</v>
      </c>
      <c r="BS252" s="2265">
        <f t="shared" si="313"/>
        <v>528</v>
      </c>
    </row>
    <row r="253" spans="1:71" s="172" customFormat="1" x14ac:dyDescent="0.55000000000000004">
      <c r="A253" s="7536"/>
      <c r="B253" s="253"/>
      <c r="C253" s="181" t="s">
        <v>248</v>
      </c>
      <c r="D253" s="358">
        <v>581</v>
      </c>
      <c r="E253" s="359">
        <v>572</v>
      </c>
      <c r="F253" s="359">
        <v>608</v>
      </c>
      <c r="G253" s="359">
        <v>613</v>
      </c>
      <c r="H253" s="359">
        <v>641</v>
      </c>
      <c r="I253" s="359">
        <v>628</v>
      </c>
      <c r="J253" s="359">
        <v>623</v>
      </c>
      <c r="K253" s="359">
        <v>561</v>
      </c>
      <c r="L253" s="359">
        <v>542</v>
      </c>
      <c r="M253" s="359">
        <v>605</v>
      </c>
      <c r="N253" s="359">
        <v>600</v>
      </c>
      <c r="O253" s="359">
        <v>600</v>
      </c>
      <c r="P253" s="359">
        <f t="shared" si="314"/>
        <v>7174</v>
      </c>
      <c r="Q253" s="360">
        <f t="shared" si="315"/>
        <v>597.83333333333337</v>
      </c>
      <c r="R253" s="372"/>
      <c r="S253" s="358">
        <v>616</v>
      </c>
      <c r="T253" s="359">
        <v>616</v>
      </c>
      <c r="U253" s="359">
        <v>584</v>
      </c>
      <c r="V253" s="359">
        <v>569</v>
      </c>
      <c r="W253" s="359">
        <v>560</v>
      </c>
      <c r="X253" s="359">
        <v>537</v>
      </c>
      <c r="Y253" s="359">
        <v>564</v>
      </c>
      <c r="Z253" s="359">
        <v>585</v>
      </c>
      <c r="AA253" s="359">
        <v>521</v>
      </c>
      <c r="AB253" s="359">
        <v>571</v>
      </c>
      <c r="AC253" s="359">
        <v>549</v>
      </c>
      <c r="AD253" s="359">
        <v>494</v>
      </c>
      <c r="AE253" s="359">
        <f t="shared" si="316"/>
        <v>6766</v>
      </c>
      <c r="AF253" s="360">
        <f t="shared" si="317"/>
        <v>563.83333333333337</v>
      </c>
      <c r="AG253" s="372"/>
      <c r="AH253" s="358">
        <v>553</v>
      </c>
      <c r="AI253" s="359">
        <v>538</v>
      </c>
      <c r="AJ253" s="359">
        <v>550</v>
      </c>
      <c r="AK253" s="359">
        <v>572</v>
      </c>
      <c r="AL253" s="359">
        <v>567</v>
      </c>
      <c r="AM253" s="359">
        <v>572</v>
      </c>
      <c r="AN253" s="359">
        <v>541</v>
      </c>
      <c r="AO253" s="359">
        <v>476</v>
      </c>
      <c r="AP253" s="359">
        <v>559</v>
      </c>
      <c r="AQ253" s="359">
        <v>569</v>
      </c>
      <c r="AR253" s="359">
        <v>574</v>
      </c>
      <c r="AS253" s="359">
        <v>527</v>
      </c>
      <c r="AT253" s="359">
        <f t="shared" si="318"/>
        <v>6598</v>
      </c>
      <c r="AU253" s="360">
        <f t="shared" si="319"/>
        <v>549.83333333333337</v>
      </c>
      <c r="AX253" s="358">
        <v>522</v>
      </c>
      <c r="AY253" s="359">
        <v>586</v>
      </c>
      <c r="AZ253" s="359">
        <v>553</v>
      </c>
      <c r="BA253" s="359">
        <v>570</v>
      </c>
      <c r="BB253" s="359">
        <v>606</v>
      </c>
      <c r="BC253" s="359">
        <v>594</v>
      </c>
      <c r="BD253" s="359">
        <v>571</v>
      </c>
      <c r="BE253" s="359">
        <v>557</v>
      </c>
      <c r="BF253" s="359">
        <v>558</v>
      </c>
      <c r="BG253" s="359">
        <v>565</v>
      </c>
      <c r="BH253" s="359">
        <v>551</v>
      </c>
      <c r="BI253" s="359">
        <v>540</v>
      </c>
      <c r="BJ253" s="359">
        <f t="shared" si="320"/>
        <v>6773</v>
      </c>
      <c r="BK253" s="360">
        <f t="shared" si="321"/>
        <v>564.41666666666663</v>
      </c>
      <c r="BN253" s="322">
        <f t="shared" si="332"/>
        <v>13</v>
      </c>
      <c r="BO253" s="322">
        <f t="shared" si="309"/>
        <v>14.583333333333258</v>
      </c>
      <c r="BP253" s="322">
        <f t="shared" si="310"/>
        <v>175</v>
      </c>
      <c r="BQ253" s="322">
        <f t="shared" si="322"/>
        <v>-11</v>
      </c>
      <c r="BR253" s="2265">
        <f t="shared" si="312"/>
        <v>551</v>
      </c>
      <c r="BS253" s="2265">
        <f t="shared" si="313"/>
        <v>540</v>
      </c>
    </row>
    <row r="254" spans="1:71" s="172" customFormat="1" ht="18" thickBot="1" x14ac:dyDescent="0.6">
      <c r="A254" s="7536"/>
      <c r="B254" s="254"/>
      <c r="C254" s="182" t="s">
        <v>249</v>
      </c>
      <c r="D254" s="364">
        <v>574</v>
      </c>
      <c r="E254" s="365">
        <v>562</v>
      </c>
      <c r="F254" s="365">
        <v>580</v>
      </c>
      <c r="G254" s="365">
        <v>562</v>
      </c>
      <c r="H254" s="365">
        <v>589</v>
      </c>
      <c r="I254" s="365">
        <v>565</v>
      </c>
      <c r="J254" s="365">
        <v>564</v>
      </c>
      <c r="K254" s="365">
        <v>552</v>
      </c>
      <c r="L254" s="365">
        <v>529</v>
      </c>
      <c r="M254" s="365">
        <v>545</v>
      </c>
      <c r="N254" s="365">
        <v>519</v>
      </c>
      <c r="O254" s="365">
        <v>471</v>
      </c>
      <c r="P254" s="365">
        <f t="shared" si="314"/>
        <v>6612</v>
      </c>
      <c r="Q254" s="366">
        <f t="shared" si="315"/>
        <v>551</v>
      </c>
      <c r="R254" s="372"/>
      <c r="S254" s="364">
        <v>535</v>
      </c>
      <c r="T254" s="365">
        <v>556</v>
      </c>
      <c r="U254" s="365">
        <v>547</v>
      </c>
      <c r="V254" s="365">
        <v>530</v>
      </c>
      <c r="W254" s="365">
        <v>479</v>
      </c>
      <c r="X254" s="365">
        <v>469</v>
      </c>
      <c r="Y254" s="365">
        <v>407</v>
      </c>
      <c r="Z254" s="365">
        <v>474</v>
      </c>
      <c r="AA254" s="365">
        <v>412</v>
      </c>
      <c r="AB254" s="365">
        <v>402</v>
      </c>
      <c r="AC254" s="365">
        <v>380</v>
      </c>
      <c r="AD254" s="365">
        <v>353</v>
      </c>
      <c r="AE254" s="365">
        <f t="shared" si="316"/>
        <v>5544</v>
      </c>
      <c r="AF254" s="366">
        <f t="shared" si="317"/>
        <v>462</v>
      </c>
      <c r="AG254" s="372"/>
      <c r="AH254" s="364">
        <v>446</v>
      </c>
      <c r="AI254" s="365">
        <v>407</v>
      </c>
      <c r="AJ254" s="365">
        <v>443</v>
      </c>
      <c r="AK254" s="365">
        <v>446</v>
      </c>
      <c r="AL254" s="365">
        <v>416</v>
      </c>
      <c r="AM254" s="365">
        <v>448</v>
      </c>
      <c r="AN254" s="365">
        <v>430</v>
      </c>
      <c r="AO254" s="365">
        <v>399</v>
      </c>
      <c r="AP254" s="365">
        <v>438</v>
      </c>
      <c r="AQ254" s="365">
        <v>455</v>
      </c>
      <c r="AR254" s="365">
        <v>458</v>
      </c>
      <c r="AS254" s="365">
        <v>449</v>
      </c>
      <c r="AT254" s="365">
        <f t="shared" si="318"/>
        <v>5235</v>
      </c>
      <c r="AU254" s="366">
        <f t="shared" si="319"/>
        <v>436.25</v>
      </c>
      <c r="AX254" s="364">
        <v>389</v>
      </c>
      <c r="AY254" s="365">
        <v>454</v>
      </c>
      <c r="AZ254" s="365">
        <v>445</v>
      </c>
      <c r="BA254" s="365">
        <v>449</v>
      </c>
      <c r="BB254" s="365">
        <v>469</v>
      </c>
      <c r="BC254" s="365">
        <v>451</v>
      </c>
      <c r="BD254" s="365">
        <v>437</v>
      </c>
      <c r="BE254" s="365">
        <v>463</v>
      </c>
      <c r="BF254" s="365">
        <v>466</v>
      </c>
      <c r="BG254" s="365">
        <v>462</v>
      </c>
      <c r="BH254" s="365">
        <v>465</v>
      </c>
      <c r="BI254" s="365">
        <v>428</v>
      </c>
      <c r="BJ254" s="365">
        <f t="shared" si="320"/>
        <v>5378</v>
      </c>
      <c r="BK254" s="366">
        <f t="shared" si="321"/>
        <v>448.16666666666669</v>
      </c>
      <c r="BN254" s="322">
        <f t="shared" si="332"/>
        <v>-21</v>
      </c>
      <c r="BO254" s="322">
        <f t="shared" si="309"/>
        <v>11.916666666666686</v>
      </c>
      <c r="BP254" s="322">
        <f t="shared" si="310"/>
        <v>143</v>
      </c>
      <c r="BQ254" s="322">
        <f t="shared" si="322"/>
        <v>-37</v>
      </c>
      <c r="BR254" s="2265">
        <f t="shared" si="312"/>
        <v>465</v>
      </c>
      <c r="BS254" s="2265">
        <f t="shared" si="313"/>
        <v>428</v>
      </c>
    </row>
    <row r="255" spans="1:71" x14ac:dyDescent="0.55000000000000004">
      <c r="A255" s="7536"/>
      <c r="B255" s="74" t="s">
        <v>268</v>
      </c>
      <c r="C255" s="27"/>
      <c r="D255" s="342">
        <f t="shared" ref="D255:O255" si="339">SUM(D256:D258)</f>
        <v>960</v>
      </c>
      <c r="E255" s="343">
        <f t="shared" si="339"/>
        <v>1036</v>
      </c>
      <c r="F255" s="343">
        <f t="shared" si="339"/>
        <v>991</v>
      </c>
      <c r="G255" s="343">
        <f t="shared" si="339"/>
        <v>1098</v>
      </c>
      <c r="H255" s="343">
        <f t="shared" si="339"/>
        <v>1110</v>
      </c>
      <c r="I255" s="343">
        <f t="shared" si="339"/>
        <v>968</v>
      </c>
      <c r="J255" s="343">
        <f t="shared" si="339"/>
        <v>851</v>
      </c>
      <c r="K255" s="343">
        <f t="shared" si="339"/>
        <v>934</v>
      </c>
      <c r="L255" s="343">
        <f t="shared" si="339"/>
        <v>785</v>
      </c>
      <c r="M255" s="343">
        <f t="shared" si="339"/>
        <v>817</v>
      </c>
      <c r="N255" s="343">
        <f t="shared" si="339"/>
        <v>749</v>
      </c>
      <c r="O255" s="343">
        <f t="shared" si="339"/>
        <v>667</v>
      </c>
      <c r="P255" s="343">
        <f t="shared" si="314"/>
        <v>10966</v>
      </c>
      <c r="Q255" s="344">
        <f t="shared" si="315"/>
        <v>913.83333333333337</v>
      </c>
      <c r="R255" s="370"/>
      <c r="S255" s="342">
        <f>SUM(S256:S258)</f>
        <v>708</v>
      </c>
      <c r="T255" s="343">
        <f t="shared" ref="T255:AD255" si="340">SUM(T256:T258)</f>
        <v>826</v>
      </c>
      <c r="U255" s="343">
        <f t="shared" si="340"/>
        <v>793</v>
      </c>
      <c r="V255" s="343">
        <f t="shared" si="340"/>
        <v>720</v>
      </c>
      <c r="W255" s="343">
        <f t="shared" si="340"/>
        <v>816</v>
      </c>
      <c r="X255" s="343">
        <f t="shared" si="340"/>
        <v>716</v>
      </c>
      <c r="Y255" s="343">
        <f t="shared" si="340"/>
        <v>750</v>
      </c>
      <c r="Z255" s="343">
        <f t="shared" si="340"/>
        <v>881</v>
      </c>
      <c r="AA255" s="343">
        <f t="shared" si="340"/>
        <v>745</v>
      </c>
      <c r="AB255" s="343">
        <f t="shared" si="340"/>
        <v>813</v>
      </c>
      <c r="AC255" s="343">
        <f t="shared" si="340"/>
        <v>742</v>
      </c>
      <c r="AD255" s="343">
        <f t="shared" si="340"/>
        <v>596</v>
      </c>
      <c r="AE255" s="343">
        <f t="shared" si="316"/>
        <v>9106</v>
      </c>
      <c r="AF255" s="344">
        <f t="shared" si="317"/>
        <v>758.83333333333337</v>
      </c>
      <c r="AG255" s="370"/>
      <c r="AH255" s="342">
        <f t="shared" ref="AH255:AM255" si="341">SUM(AH256:AH258)</f>
        <v>939</v>
      </c>
      <c r="AI255" s="343">
        <f t="shared" si="341"/>
        <v>817</v>
      </c>
      <c r="AJ255" s="343">
        <f t="shared" si="341"/>
        <v>953</v>
      </c>
      <c r="AK255" s="343">
        <f t="shared" si="341"/>
        <v>922</v>
      </c>
      <c r="AL255" s="343">
        <f t="shared" si="341"/>
        <v>1022</v>
      </c>
      <c r="AM255" s="343">
        <f t="shared" si="341"/>
        <v>1008</v>
      </c>
      <c r="AN255" s="343">
        <v>1043</v>
      </c>
      <c r="AO255" s="343">
        <f>SUM(AO256:AO258)</f>
        <v>956</v>
      </c>
      <c r="AP255" s="343">
        <f>SUM(AP256:AP258)</f>
        <v>968</v>
      </c>
      <c r="AQ255" s="343">
        <f>SUM(AQ256:AQ258)</f>
        <v>1056</v>
      </c>
      <c r="AR255" s="343">
        <v>1114</v>
      </c>
      <c r="AS255" s="343">
        <v>983</v>
      </c>
      <c r="AT255" s="343">
        <f t="shared" si="318"/>
        <v>11781</v>
      </c>
      <c r="AU255" s="344">
        <f t="shared" si="319"/>
        <v>981.75</v>
      </c>
      <c r="AX255" s="342">
        <v>957</v>
      </c>
      <c r="AY255" s="343">
        <v>1142</v>
      </c>
      <c r="AZ255" s="343">
        <f>SUM(AZ256:AZ258)</f>
        <v>998</v>
      </c>
      <c r="BA255" s="343">
        <v>1020</v>
      </c>
      <c r="BB255" s="343">
        <v>1591</v>
      </c>
      <c r="BC255" s="343">
        <f>SUM(BC256:BC258)</f>
        <v>1325</v>
      </c>
      <c r="BD255" s="343">
        <v>1236</v>
      </c>
      <c r="BE255" s="343">
        <v>998</v>
      </c>
      <c r="BF255" s="343">
        <v>1083</v>
      </c>
      <c r="BG255" s="343">
        <v>989</v>
      </c>
      <c r="BH255" s="343">
        <v>975</v>
      </c>
      <c r="BI255" s="343">
        <v>1035</v>
      </c>
      <c r="BJ255" s="343">
        <f t="shared" si="320"/>
        <v>13349</v>
      </c>
      <c r="BK255" s="344">
        <f t="shared" si="321"/>
        <v>1112.4166666666667</v>
      </c>
      <c r="BN255" s="322">
        <f t="shared" si="332"/>
        <v>52</v>
      </c>
      <c r="BO255" s="322">
        <f t="shared" si="309"/>
        <v>130.66666666666674</v>
      </c>
      <c r="BP255" s="322">
        <f t="shared" si="310"/>
        <v>1568</v>
      </c>
      <c r="BQ255" s="322">
        <f t="shared" si="322"/>
        <v>60</v>
      </c>
      <c r="BR255" s="2265">
        <f t="shared" si="312"/>
        <v>975</v>
      </c>
      <c r="BS255" s="2265">
        <f t="shared" si="313"/>
        <v>1035</v>
      </c>
    </row>
    <row r="256" spans="1:71" x14ac:dyDescent="0.55000000000000004">
      <c r="A256" s="7536"/>
      <c r="B256" s="248"/>
      <c r="C256" s="12" t="s">
        <v>267</v>
      </c>
      <c r="D256" s="345">
        <v>165</v>
      </c>
      <c r="E256" s="295">
        <v>160</v>
      </c>
      <c r="F256" s="295">
        <v>183</v>
      </c>
      <c r="G256" s="295">
        <v>224</v>
      </c>
      <c r="H256" s="295">
        <v>245</v>
      </c>
      <c r="I256" s="295">
        <v>221</v>
      </c>
      <c r="J256" s="295">
        <v>143</v>
      </c>
      <c r="K256" s="295">
        <v>161</v>
      </c>
      <c r="L256" s="295">
        <v>120</v>
      </c>
      <c r="M256" s="295">
        <v>152</v>
      </c>
      <c r="N256" s="295">
        <v>110</v>
      </c>
      <c r="O256" s="295">
        <v>101</v>
      </c>
      <c r="P256" s="295">
        <f t="shared" si="314"/>
        <v>1985</v>
      </c>
      <c r="Q256" s="346">
        <f t="shared" si="315"/>
        <v>165.41666666666666</v>
      </c>
      <c r="R256" s="370"/>
      <c r="S256" s="345">
        <v>113</v>
      </c>
      <c r="T256" s="295">
        <v>141</v>
      </c>
      <c r="U256" s="295">
        <v>108</v>
      </c>
      <c r="V256" s="295">
        <v>101</v>
      </c>
      <c r="W256" s="295">
        <v>150</v>
      </c>
      <c r="X256" s="295">
        <v>119</v>
      </c>
      <c r="Y256" s="295">
        <v>92</v>
      </c>
      <c r="Z256" s="295">
        <v>149</v>
      </c>
      <c r="AA256" s="295">
        <v>122</v>
      </c>
      <c r="AB256" s="295">
        <v>134</v>
      </c>
      <c r="AC256" s="295">
        <v>128</v>
      </c>
      <c r="AD256" s="295">
        <v>82</v>
      </c>
      <c r="AE256" s="295">
        <f t="shared" si="316"/>
        <v>1439</v>
      </c>
      <c r="AF256" s="346">
        <f t="shared" si="317"/>
        <v>119.91666666666667</v>
      </c>
      <c r="AG256" s="370"/>
      <c r="AH256" s="345">
        <v>126</v>
      </c>
      <c r="AI256" s="295">
        <v>109</v>
      </c>
      <c r="AJ256" s="295">
        <v>120</v>
      </c>
      <c r="AK256" s="295">
        <v>115</v>
      </c>
      <c r="AL256" s="295">
        <v>164</v>
      </c>
      <c r="AM256" s="295">
        <v>133</v>
      </c>
      <c r="AN256" s="295">
        <v>129</v>
      </c>
      <c r="AO256" s="295">
        <v>183</v>
      </c>
      <c r="AP256" s="295">
        <v>183</v>
      </c>
      <c r="AQ256" s="295">
        <v>173</v>
      </c>
      <c r="AR256" s="295">
        <v>204</v>
      </c>
      <c r="AS256" s="295">
        <v>198</v>
      </c>
      <c r="AT256" s="295">
        <f t="shared" si="318"/>
        <v>1837</v>
      </c>
      <c r="AU256" s="346">
        <f t="shared" si="319"/>
        <v>153.08333333333334</v>
      </c>
      <c r="AX256" s="345">
        <v>194</v>
      </c>
      <c r="AY256" s="295">
        <v>265</v>
      </c>
      <c r="AZ256" s="295">
        <v>208</v>
      </c>
      <c r="BA256" s="295">
        <v>232</v>
      </c>
      <c r="BB256" s="295">
        <v>510</v>
      </c>
      <c r="BC256" s="295">
        <v>359</v>
      </c>
      <c r="BD256" s="295">
        <v>315</v>
      </c>
      <c r="BE256" s="295">
        <v>205</v>
      </c>
      <c r="BF256" s="295">
        <v>241</v>
      </c>
      <c r="BG256" s="295">
        <v>210</v>
      </c>
      <c r="BH256" s="295">
        <v>214</v>
      </c>
      <c r="BI256" s="295">
        <v>205</v>
      </c>
      <c r="BJ256" s="295">
        <f t="shared" si="320"/>
        <v>3158</v>
      </c>
      <c r="BK256" s="346">
        <f t="shared" si="321"/>
        <v>263.16666666666669</v>
      </c>
      <c r="BN256" s="322">
        <f t="shared" si="332"/>
        <v>7</v>
      </c>
      <c r="BO256" s="322">
        <f t="shared" si="309"/>
        <v>110.08333333333334</v>
      </c>
      <c r="BP256" s="322">
        <f t="shared" si="310"/>
        <v>1321</v>
      </c>
      <c r="BQ256" s="322">
        <f t="shared" si="322"/>
        <v>-9</v>
      </c>
      <c r="BR256" s="2265">
        <f t="shared" si="312"/>
        <v>214</v>
      </c>
      <c r="BS256" s="2265">
        <f t="shared" si="313"/>
        <v>205</v>
      </c>
    </row>
    <row r="257" spans="1:71" x14ac:dyDescent="0.55000000000000004">
      <c r="A257" s="7536"/>
      <c r="B257" s="248"/>
      <c r="C257" s="12" t="s">
        <v>280</v>
      </c>
      <c r="D257" s="345">
        <v>242</v>
      </c>
      <c r="E257" s="295">
        <v>224</v>
      </c>
      <c r="F257" s="295">
        <v>216</v>
      </c>
      <c r="G257" s="295">
        <v>280</v>
      </c>
      <c r="H257" s="295">
        <v>250</v>
      </c>
      <c r="I257" s="295">
        <v>231</v>
      </c>
      <c r="J257" s="295">
        <v>163</v>
      </c>
      <c r="K257" s="295">
        <v>210</v>
      </c>
      <c r="L257" s="295">
        <v>180</v>
      </c>
      <c r="M257" s="295">
        <v>163</v>
      </c>
      <c r="N257" s="295">
        <v>161</v>
      </c>
      <c r="O257" s="295">
        <v>133</v>
      </c>
      <c r="P257" s="295">
        <f t="shared" si="314"/>
        <v>2453</v>
      </c>
      <c r="Q257" s="346">
        <f t="shared" si="315"/>
        <v>204.41666666666666</v>
      </c>
      <c r="R257" s="370"/>
      <c r="S257" s="345">
        <v>126</v>
      </c>
      <c r="T257" s="295">
        <v>167</v>
      </c>
      <c r="U257" s="295">
        <v>169</v>
      </c>
      <c r="V257" s="295">
        <v>149</v>
      </c>
      <c r="W257" s="295">
        <v>181</v>
      </c>
      <c r="X257" s="295">
        <v>153</v>
      </c>
      <c r="Y257" s="295">
        <v>174</v>
      </c>
      <c r="Z257" s="295">
        <v>195</v>
      </c>
      <c r="AA257" s="295">
        <v>179</v>
      </c>
      <c r="AB257" s="295">
        <v>184</v>
      </c>
      <c r="AC257" s="295">
        <v>191</v>
      </c>
      <c r="AD257" s="295">
        <v>120</v>
      </c>
      <c r="AE257" s="295">
        <f t="shared" si="316"/>
        <v>1988</v>
      </c>
      <c r="AF257" s="346">
        <f t="shared" si="317"/>
        <v>165.66666666666666</v>
      </c>
      <c r="AG257" s="370"/>
      <c r="AH257" s="345">
        <v>214</v>
      </c>
      <c r="AI257" s="295">
        <v>170</v>
      </c>
      <c r="AJ257" s="295">
        <v>240</v>
      </c>
      <c r="AK257" s="295">
        <v>212</v>
      </c>
      <c r="AL257" s="295">
        <v>233</v>
      </c>
      <c r="AM257" s="295">
        <v>221</v>
      </c>
      <c r="AN257" s="295">
        <v>299</v>
      </c>
      <c r="AO257" s="295">
        <v>217</v>
      </c>
      <c r="AP257" s="295">
        <v>194</v>
      </c>
      <c r="AQ257" s="295">
        <v>280</v>
      </c>
      <c r="AR257" s="295">
        <v>268</v>
      </c>
      <c r="AS257" s="295">
        <v>228</v>
      </c>
      <c r="AT257" s="295">
        <f t="shared" si="318"/>
        <v>2776</v>
      </c>
      <c r="AU257" s="346">
        <f t="shared" si="319"/>
        <v>231.33333333333334</v>
      </c>
      <c r="AX257" s="345">
        <v>203</v>
      </c>
      <c r="AY257" s="295">
        <v>246</v>
      </c>
      <c r="AZ257" s="295">
        <v>232</v>
      </c>
      <c r="BA257" s="295">
        <v>225</v>
      </c>
      <c r="BB257" s="295">
        <v>360</v>
      </c>
      <c r="BC257" s="295">
        <v>297</v>
      </c>
      <c r="BD257" s="295">
        <v>288</v>
      </c>
      <c r="BE257" s="295">
        <v>237</v>
      </c>
      <c r="BF257" s="295">
        <v>270</v>
      </c>
      <c r="BG257" s="295">
        <v>226</v>
      </c>
      <c r="BH257" s="295">
        <v>221</v>
      </c>
      <c r="BI257" s="295">
        <v>218</v>
      </c>
      <c r="BJ257" s="295">
        <f t="shared" si="320"/>
        <v>3023</v>
      </c>
      <c r="BK257" s="346">
        <f t="shared" si="321"/>
        <v>251.91666666666666</v>
      </c>
      <c r="BN257" s="322">
        <f t="shared" si="332"/>
        <v>-10</v>
      </c>
      <c r="BO257" s="322">
        <f t="shared" si="309"/>
        <v>20.583333333333314</v>
      </c>
      <c r="BP257" s="322">
        <f t="shared" si="310"/>
        <v>247</v>
      </c>
      <c r="BQ257" s="322">
        <f t="shared" si="322"/>
        <v>-3</v>
      </c>
      <c r="BR257" s="2265">
        <f t="shared" si="312"/>
        <v>221</v>
      </c>
      <c r="BS257" s="2265">
        <f t="shared" si="313"/>
        <v>218</v>
      </c>
    </row>
    <row r="258" spans="1:71" x14ac:dyDescent="0.55000000000000004">
      <c r="A258" s="7536"/>
      <c r="B258" s="248"/>
      <c r="C258" s="12" t="s">
        <v>279</v>
      </c>
      <c r="D258" s="345">
        <v>553</v>
      </c>
      <c r="E258" s="295">
        <v>652</v>
      </c>
      <c r="F258" s="295">
        <v>592</v>
      </c>
      <c r="G258" s="295">
        <v>594</v>
      </c>
      <c r="H258" s="295">
        <v>615</v>
      </c>
      <c r="I258" s="295">
        <v>516</v>
      </c>
      <c r="J258" s="295">
        <v>545</v>
      </c>
      <c r="K258" s="295">
        <v>563</v>
      </c>
      <c r="L258" s="295">
        <v>485</v>
      </c>
      <c r="M258" s="295">
        <v>502</v>
      </c>
      <c r="N258" s="295">
        <v>478</v>
      </c>
      <c r="O258" s="295">
        <v>433</v>
      </c>
      <c r="P258" s="295">
        <f t="shared" si="314"/>
        <v>6528</v>
      </c>
      <c r="Q258" s="346">
        <f t="shared" si="315"/>
        <v>544</v>
      </c>
      <c r="R258" s="370"/>
      <c r="S258" s="345">
        <v>469</v>
      </c>
      <c r="T258" s="295">
        <v>518</v>
      </c>
      <c r="U258" s="295">
        <v>516</v>
      </c>
      <c r="V258" s="295">
        <v>470</v>
      </c>
      <c r="W258" s="295">
        <v>485</v>
      </c>
      <c r="X258" s="295">
        <v>444</v>
      </c>
      <c r="Y258" s="295">
        <v>484</v>
      </c>
      <c r="Z258" s="295">
        <v>537</v>
      </c>
      <c r="AA258" s="295">
        <v>444</v>
      </c>
      <c r="AB258" s="295">
        <v>495</v>
      </c>
      <c r="AC258" s="295">
        <v>423</v>
      </c>
      <c r="AD258" s="295">
        <v>394</v>
      </c>
      <c r="AE258" s="295">
        <f t="shared" si="316"/>
        <v>5679</v>
      </c>
      <c r="AF258" s="346">
        <f t="shared" si="317"/>
        <v>473.25</v>
      </c>
      <c r="AG258" s="370"/>
      <c r="AH258" s="345">
        <v>599</v>
      </c>
      <c r="AI258" s="295">
        <v>538</v>
      </c>
      <c r="AJ258" s="295">
        <v>593</v>
      </c>
      <c r="AK258" s="295">
        <v>595</v>
      </c>
      <c r="AL258" s="295">
        <v>625</v>
      </c>
      <c r="AM258" s="295">
        <v>654</v>
      </c>
      <c r="AN258" s="295">
        <v>615</v>
      </c>
      <c r="AO258" s="295">
        <v>556</v>
      </c>
      <c r="AP258" s="295">
        <v>591</v>
      </c>
      <c r="AQ258" s="295">
        <v>603</v>
      </c>
      <c r="AR258" s="295">
        <v>642</v>
      </c>
      <c r="AS258" s="295">
        <v>557</v>
      </c>
      <c r="AT258" s="295">
        <f t="shared" si="318"/>
        <v>7168</v>
      </c>
      <c r="AU258" s="346">
        <f t="shared" si="319"/>
        <v>597.33333333333337</v>
      </c>
      <c r="AX258" s="345">
        <v>560</v>
      </c>
      <c r="AY258" s="295">
        <v>631</v>
      </c>
      <c r="AZ258" s="295">
        <v>558</v>
      </c>
      <c r="BA258" s="295">
        <v>563</v>
      </c>
      <c r="BB258" s="295">
        <v>721</v>
      </c>
      <c r="BC258" s="295">
        <v>669</v>
      </c>
      <c r="BD258" s="295">
        <v>633</v>
      </c>
      <c r="BE258" s="295">
        <v>556</v>
      </c>
      <c r="BF258" s="295">
        <v>572</v>
      </c>
      <c r="BG258" s="295">
        <v>553</v>
      </c>
      <c r="BH258" s="295">
        <v>540</v>
      </c>
      <c r="BI258" s="295">
        <v>612</v>
      </c>
      <c r="BJ258" s="295">
        <f t="shared" si="320"/>
        <v>7168</v>
      </c>
      <c r="BK258" s="346">
        <f t="shared" si="321"/>
        <v>597.33333333333337</v>
      </c>
      <c r="BN258" s="322">
        <f t="shared" si="332"/>
        <v>55</v>
      </c>
      <c r="BO258" s="322">
        <f t="shared" si="309"/>
        <v>0</v>
      </c>
      <c r="BP258" s="322">
        <f t="shared" si="310"/>
        <v>0</v>
      </c>
      <c r="BQ258" s="322">
        <f t="shared" si="322"/>
        <v>72</v>
      </c>
      <c r="BR258" s="2265">
        <f t="shared" si="312"/>
        <v>540</v>
      </c>
      <c r="BS258" s="2265">
        <f t="shared" si="313"/>
        <v>612</v>
      </c>
    </row>
    <row r="259" spans="1:71" x14ac:dyDescent="0.55000000000000004">
      <c r="A259" s="7536"/>
      <c r="B259" s="249" t="s">
        <v>222</v>
      </c>
      <c r="C259" s="100"/>
      <c r="D259" s="347">
        <f>D264+D265</f>
        <v>172</v>
      </c>
      <c r="E259" s="348">
        <f t="shared" ref="E259:O259" si="342">E264+E265</f>
        <v>194</v>
      </c>
      <c r="F259" s="348">
        <f t="shared" si="342"/>
        <v>182</v>
      </c>
      <c r="G259" s="348">
        <f t="shared" si="342"/>
        <v>243</v>
      </c>
      <c r="H259" s="348">
        <f t="shared" si="342"/>
        <v>273</v>
      </c>
      <c r="I259" s="348">
        <f t="shared" si="342"/>
        <v>256</v>
      </c>
      <c r="J259" s="348">
        <f t="shared" si="342"/>
        <v>176</v>
      </c>
      <c r="K259" s="348">
        <f t="shared" si="342"/>
        <v>176</v>
      </c>
      <c r="L259" s="348">
        <f t="shared" si="342"/>
        <v>176</v>
      </c>
      <c r="M259" s="348">
        <f t="shared" si="342"/>
        <v>190</v>
      </c>
      <c r="N259" s="348">
        <f t="shared" si="342"/>
        <v>147</v>
      </c>
      <c r="O259" s="348">
        <f t="shared" si="342"/>
        <v>150</v>
      </c>
      <c r="P259" s="348">
        <f t="shared" si="314"/>
        <v>2335</v>
      </c>
      <c r="Q259" s="349">
        <f t="shared" si="315"/>
        <v>194.58333333333334</v>
      </c>
      <c r="R259" s="370"/>
      <c r="S259" s="347">
        <f>S264+S265</f>
        <v>145</v>
      </c>
      <c r="T259" s="348">
        <f t="shared" ref="T259:AD259" si="343">T264+T265</f>
        <v>178</v>
      </c>
      <c r="U259" s="348">
        <f t="shared" si="343"/>
        <v>156</v>
      </c>
      <c r="V259" s="348">
        <f t="shared" si="343"/>
        <v>133</v>
      </c>
      <c r="W259" s="348">
        <f t="shared" si="343"/>
        <v>154</v>
      </c>
      <c r="X259" s="348">
        <f t="shared" si="343"/>
        <v>137</v>
      </c>
      <c r="Y259" s="348">
        <f t="shared" si="343"/>
        <v>153</v>
      </c>
      <c r="Z259" s="348">
        <f t="shared" si="343"/>
        <v>220</v>
      </c>
      <c r="AA259" s="348">
        <f t="shared" si="343"/>
        <v>135</v>
      </c>
      <c r="AB259" s="348">
        <f t="shared" si="343"/>
        <v>145</v>
      </c>
      <c r="AC259" s="348">
        <f t="shared" si="343"/>
        <v>141</v>
      </c>
      <c r="AD259" s="348">
        <f t="shared" si="343"/>
        <v>113</v>
      </c>
      <c r="AE259" s="348">
        <f t="shared" si="316"/>
        <v>1810</v>
      </c>
      <c r="AF259" s="349">
        <f t="shared" si="317"/>
        <v>150.83333333333334</v>
      </c>
      <c r="AG259" s="370"/>
      <c r="AH259" s="347">
        <f t="shared" ref="AH259:AM259" si="344">AH264+AH265</f>
        <v>186</v>
      </c>
      <c r="AI259" s="348">
        <f t="shared" si="344"/>
        <v>124</v>
      </c>
      <c r="AJ259" s="348">
        <f t="shared" si="344"/>
        <v>163</v>
      </c>
      <c r="AK259" s="348">
        <f t="shared" si="344"/>
        <v>160</v>
      </c>
      <c r="AL259" s="348">
        <f t="shared" si="344"/>
        <v>187</v>
      </c>
      <c r="AM259" s="348">
        <f t="shared" si="344"/>
        <v>190</v>
      </c>
      <c r="AN259" s="348">
        <v>211</v>
      </c>
      <c r="AO259" s="348">
        <f>AO264+AO265</f>
        <v>182</v>
      </c>
      <c r="AP259" s="348">
        <f>AP264+AP265</f>
        <v>180</v>
      </c>
      <c r="AQ259" s="348">
        <f>AQ264+AQ265</f>
        <v>220</v>
      </c>
      <c r="AR259" s="348">
        <v>222</v>
      </c>
      <c r="AS259" s="348">
        <v>170</v>
      </c>
      <c r="AT259" s="348">
        <f t="shared" si="318"/>
        <v>2195</v>
      </c>
      <c r="AU259" s="349">
        <f t="shared" si="319"/>
        <v>182.91666666666666</v>
      </c>
      <c r="AX259" s="347">
        <v>173</v>
      </c>
      <c r="AY259" s="348">
        <v>210</v>
      </c>
      <c r="AZ259" s="348">
        <f>AZ264+AZ265</f>
        <v>178</v>
      </c>
      <c r="BA259" s="348">
        <v>178</v>
      </c>
      <c r="BB259" s="348">
        <v>288</v>
      </c>
      <c r="BC259" s="348">
        <f>BC264+BC265</f>
        <v>224</v>
      </c>
      <c r="BD259" s="348">
        <v>216</v>
      </c>
      <c r="BE259" s="348">
        <v>183</v>
      </c>
      <c r="BF259" s="348">
        <v>209</v>
      </c>
      <c r="BG259" s="348">
        <v>176</v>
      </c>
      <c r="BH259" s="348">
        <v>196</v>
      </c>
      <c r="BI259" s="348">
        <v>216</v>
      </c>
      <c r="BJ259" s="348">
        <f t="shared" si="320"/>
        <v>2447</v>
      </c>
      <c r="BK259" s="349">
        <f t="shared" si="321"/>
        <v>203.91666666666666</v>
      </c>
      <c r="BN259" s="322">
        <f t="shared" si="332"/>
        <v>46</v>
      </c>
      <c r="BO259" s="322">
        <f t="shared" si="309"/>
        <v>21</v>
      </c>
      <c r="BP259" s="322">
        <f t="shared" si="310"/>
        <v>252</v>
      </c>
      <c r="BQ259" s="322">
        <f t="shared" si="322"/>
        <v>20</v>
      </c>
      <c r="BR259" s="2265">
        <f t="shared" si="312"/>
        <v>196</v>
      </c>
      <c r="BS259" s="2265">
        <f t="shared" si="313"/>
        <v>216</v>
      </c>
    </row>
    <row r="260" spans="1:71" x14ac:dyDescent="0.55000000000000004">
      <c r="A260" s="7536"/>
      <c r="B260" s="250" t="s">
        <v>223</v>
      </c>
      <c r="C260" s="14"/>
      <c r="D260" s="350">
        <f>D266</f>
        <v>193</v>
      </c>
      <c r="E260" s="280">
        <f t="shared" ref="E260:O260" si="345">E266</f>
        <v>182</v>
      </c>
      <c r="F260" s="280">
        <f t="shared" si="345"/>
        <v>216</v>
      </c>
      <c r="G260" s="280">
        <f t="shared" si="345"/>
        <v>200</v>
      </c>
      <c r="H260" s="280">
        <f t="shared" si="345"/>
        <v>195</v>
      </c>
      <c r="I260" s="280">
        <f t="shared" si="345"/>
        <v>155</v>
      </c>
      <c r="J260" s="280">
        <f t="shared" si="345"/>
        <v>112</v>
      </c>
      <c r="K260" s="280">
        <f t="shared" si="345"/>
        <v>148</v>
      </c>
      <c r="L260" s="280">
        <f t="shared" si="345"/>
        <v>109</v>
      </c>
      <c r="M260" s="280">
        <f t="shared" si="345"/>
        <v>137</v>
      </c>
      <c r="N260" s="280">
        <f t="shared" si="345"/>
        <v>133</v>
      </c>
      <c r="O260" s="280">
        <f t="shared" si="345"/>
        <v>115</v>
      </c>
      <c r="P260" s="280">
        <f t="shared" si="314"/>
        <v>1895</v>
      </c>
      <c r="Q260" s="351">
        <f t="shared" si="315"/>
        <v>157.91666666666666</v>
      </c>
      <c r="R260" s="370"/>
      <c r="S260" s="350">
        <f>S266</f>
        <v>105</v>
      </c>
      <c r="T260" s="280">
        <f t="shared" ref="T260:AD260" si="346">T266</f>
        <v>138</v>
      </c>
      <c r="U260" s="280">
        <f t="shared" si="346"/>
        <v>109</v>
      </c>
      <c r="V260" s="280">
        <f t="shared" si="346"/>
        <v>80</v>
      </c>
      <c r="W260" s="280">
        <f t="shared" si="346"/>
        <v>98</v>
      </c>
      <c r="X260" s="280">
        <f t="shared" si="346"/>
        <v>77</v>
      </c>
      <c r="Y260" s="280">
        <f t="shared" si="346"/>
        <v>100</v>
      </c>
      <c r="Z260" s="280">
        <f t="shared" si="346"/>
        <v>107</v>
      </c>
      <c r="AA260" s="280">
        <f t="shared" si="346"/>
        <v>115</v>
      </c>
      <c r="AB260" s="280">
        <f t="shared" si="346"/>
        <v>105</v>
      </c>
      <c r="AC260" s="280">
        <f t="shared" si="346"/>
        <v>102</v>
      </c>
      <c r="AD260" s="280">
        <f t="shared" si="346"/>
        <v>84</v>
      </c>
      <c r="AE260" s="280">
        <f t="shared" si="316"/>
        <v>1220</v>
      </c>
      <c r="AF260" s="351">
        <f t="shared" si="317"/>
        <v>101.66666666666667</v>
      </c>
      <c r="AG260" s="370"/>
      <c r="AH260" s="350">
        <f t="shared" ref="AH260:AM261" si="347">AH266</f>
        <v>123</v>
      </c>
      <c r="AI260" s="280">
        <f t="shared" si="347"/>
        <v>107</v>
      </c>
      <c r="AJ260" s="280">
        <f t="shared" si="347"/>
        <v>126</v>
      </c>
      <c r="AK260" s="280">
        <f t="shared" si="347"/>
        <v>111</v>
      </c>
      <c r="AL260" s="280">
        <f t="shared" si="347"/>
        <v>115</v>
      </c>
      <c r="AM260" s="280">
        <f t="shared" si="347"/>
        <v>131</v>
      </c>
      <c r="AN260" s="280">
        <v>130</v>
      </c>
      <c r="AO260" s="280">
        <f t="shared" ref="AO260:AQ261" si="348">AO266</f>
        <v>147</v>
      </c>
      <c r="AP260" s="280">
        <f t="shared" si="348"/>
        <v>162</v>
      </c>
      <c r="AQ260" s="280">
        <f t="shared" si="348"/>
        <v>141</v>
      </c>
      <c r="AR260" s="280">
        <v>154</v>
      </c>
      <c r="AS260" s="280">
        <v>134</v>
      </c>
      <c r="AT260" s="280">
        <f t="shared" si="318"/>
        <v>1581</v>
      </c>
      <c r="AU260" s="351">
        <f t="shared" si="319"/>
        <v>131.75</v>
      </c>
      <c r="AX260" s="350">
        <v>118</v>
      </c>
      <c r="AY260" s="280">
        <v>145</v>
      </c>
      <c r="AZ260" s="280">
        <f>AZ266</f>
        <v>113</v>
      </c>
      <c r="BA260" s="280">
        <v>109</v>
      </c>
      <c r="BB260" s="280">
        <v>219</v>
      </c>
      <c r="BC260" s="280">
        <f>BC266</f>
        <v>169</v>
      </c>
      <c r="BD260" s="280">
        <v>154</v>
      </c>
      <c r="BE260" s="280">
        <v>152</v>
      </c>
      <c r="BF260" s="280">
        <v>158</v>
      </c>
      <c r="BG260" s="280">
        <v>145</v>
      </c>
      <c r="BH260" s="280">
        <v>136</v>
      </c>
      <c r="BI260" s="280">
        <v>143</v>
      </c>
      <c r="BJ260" s="280">
        <f t="shared" si="320"/>
        <v>1761</v>
      </c>
      <c r="BK260" s="351">
        <f t="shared" si="321"/>
        <v>146.75</v>
      </c>
      <c r="BN260" s="322">
        <f t="shared" si="332"/>
        <v>9</v>
      </c>
      <c r="BO260" s="322">
        <f t="shared" si="309"/>
        <v>15</v>
      </c>
      <c r="BP260" s="322">
        <f t="shared" si="310"/>
        <v>180</v>
      </c>
      <c r="BQ260" s="322">
        <f t="shared" si="322"/>
        <v>7</v>
      </c>
      <c r="BR260" s="2265">
        <f t="shared" si="312"/>
        <v>136</v>
      </c>
      <c r="BS260" s="2265">
        <f t="shared" si="313"/>
        <v>143</v>
      </c>
    </row>
    <row r="261" spans="1:71" x14ac:dyDescent="0.55000000000000004">
      <c r="A261" s="7536"/>
      <c r="B261" s="250" t="s">
        <v>224</v>
      </c>
      <c r="C261" s="14"/>
      <c r="D261" s="350">
        <f>D267</f>
        <v>161</v>
      </c>
      <c r="E261" s="280">
        <f t="shared" ref="E261:O261" si="349">E267</f>
        <v>174</v>
      </c>
      <c r="F261" s="280">
        <f t="shared" si="349"/>
        <v>131</v>
      </c>
      <c r="G261" s="280">
        <f t="shared" si="349"/>
        <v>201</v>
      </c>
      <c r="H261" s="280">
        <f t="shared" si="349"/>
        <v>185</v>
      </c>
      <c r="I261" s="280">
        <f t="shared" si="349"/>
        <v>145</v>
      </c>
      <c r="J261" s="280">
        <f t="shared" si="349"/>
        <v>122</v>
      </c>
      <c r="K261" s="280">
        <f t="shared" si="349"/>
        <v>122</v>
      </c>
      <c r="L261" s="280">
        <f t="shared" si="349"/>
        <v>84</v>
      </c>
      <c r="M261" s="280">
        <f t="shared" si="349"/>
        <v>82</v>
      </c>
      <c r="N261" s="280">
        <f t="shared" si="349"/>
        <v>65</v>
      </c>
      <c r="O261" s="280">
        <f t="shared" si="349"/>
        <v>76</v>
      </c>
      <c r="P261" s="280">
        <f t="shared" si="314"/>
        <v>1548</v>
      </c>
      <c r="Q261" s="351">
        <f t="shared" si="315"/>
        <v>129</v>
      </c>
      <c r="R261" s="370"/>
      <c r="S261" s="350">
        <f>S267</f>
        <v>73</v>
      </c>
      <c r="T261" s="280">
        <f t="shared" ref="T261:AD261" si="350">T267</f>
        <v>84</v>
      </c>
      <c r="U261" s="280">
        <f t="shared" si="350"/>
        <v>92</v>
      </c>
      <c r="V261" s="280">
        <f t="shared" si="350"/>
        <v>76</v>
      </c>
      <c r="W261" s="280">
        <f t="shared" si="350"/>
        <v>91</v>
      </c>
      <c r="X261" s="280">
        <f t="shared" si="350"/>
        <v>82</v>
      </c>
      <c r="Y261" s="280">
        <f t="shared" si="350"/>
        <v>117</v>
      </c>
      <c r="Z261" s="280">
        <f t="shared" si="350"/>
        <v>119</v>
      </c>
      <c r="AA261" s="280">
        <f t="shared" si="350"/>
        <v>98</v>
      </c>
      <c r="AB261" s="280">
        <f t="shared" si="350"/>
        <v>112</v>
      </c>
      <c r="AC261" s="280">
        <f t="shared" si="350"/>
        <v>121</v>
      </c>
      <c r="AD261" s="280">
        <f t="shared" si="350"/>
        <v>84</v>
      </c>
      <c r="AE261" s="280">
        <f t="shared" si="316"/>
        <v>1149</v>
      </c>
      <c r="AF261" s="351">
        <f t="shared" si="317"/>
        <v>95.75</v>
      </c>
      <c r="AG261" s="370"/>
      <c r="AH261" s="350">
        <f t="shared" si="347"/>
        <v>101</v>
      </c>
      <c r="AI261" s="280">
        <f t="shared" si="347"/>
        <v>107</v>
      </c>
      <c r="AJ261" s="280">
        <f t="shared" si="347"/>
        <v>128</v>
      </c>
      <c r="AK261" s="280">
        <f t="shared" si="347"/>
        <v>129</v>
      </c>
      <c r="AL261" s="280">
        <f t="shared" si="347"/>
        <v>155</v>
      </c>
      <c r="AM261" s="280">
        <f t="shared" si="347"/>
        <v>156</v>
      </c>
      <c r="AN261" s="280">
        <v>157</v>
      </c>
      <c r="AO261" s="280">
        <f t="shared" si="348"/>
        <v>161</v>
      </c>
      <c r="AP261" s="280">
        <f t="shared" si="348"/>
        <v>134</v>
      </c>
      <c r="AQ261" s="280">
        <f t="shared" si="348"/>
        <v>164</v>
      </c>
      <c r="AR261" s="280">
        <v>148</v>
      </c>
      <c r="AS261" s="280">
        <v>138</v>
      </c>
      <c r="AT261" s="280">
        <f t="shared" si="318"/>
        <v>1678</v>
      </c>
      <c r="AU261" s="351">
        <f t="shared" si="319"/>
        <v>139.83333333333334</v>
      </c>
      <c r="AX261" s="350">
        <v>129</v>
      </c>
      <c r="AY261" s="280">
        <v>176</v>
      </c>
      <c r="AZ261" s="280">
        <f>AZ267</f>
        <v>137</v>
      </c>
      <c r="BA261" s="280">
        <v>152</v>
      </c>
      <c r="BB261" s="280">
        <v>219</v>
      </c>
      <c r="BC261" s="280">
        <f>BC267</f>
        <v>194</v>
      </c>
      <c r="BD261" s="280">
        <v>182</v>
      </c>
      <c r="BE261" s="280">
        <v>152</v>
      </c>
      <c r="BF261" s="280">
        <v>164</v>
      </c>
      <c r="BG261" s="280">
        <v>147</v>
      </c>
      <c r="BH261" s="280">
        <v>123</v>
      </c>
      <c r="BI261" s="280">
        <v>148</v>
      </c>
      <c r="BJ261" s="280">
        <f t="shared" si="320"/>
        <v>1923</v>
      </c>
      <c r="BK261" s="351">
        <f t="shared" si="321"/>
        <v>160.25</v>
      </c>
      <c r="BN261" s="322">
        <f t="shared" si="332"/>
        <v>10</v>
      </c>
      <c r="BO261" s="322">
        <f t="shared" si="309"/>
        <v>20.416666666666657</v>
      </c>
      <c r="BP261" s="322">
        <f t="shared" si="310"/>
        <v>245</v>
      </c>
      <c r="BQ261" s="322">
        <f t="shared" si="322"/>
        <v>25</v>
      </c>
      <c r="BR261" s="2265">
        <f t="shared" si="312"/>
        <v>123</v>
      </c>
      <c r="BS261" s="2265">
        <f t="shared" si="313"/>
        <v>148</v>
      </c>
    </row>
    <row r="262" spans="1:71" x14ac:dyDescent="0.55000000000000004">
      <c r="A262" s="7536"/>
      <c r="B262" s="250" t="s">
        <v>225</v>
      </c>
      <c r="C262" s="14"/>
      <c r="D262" s="350">
        <f>D268+D269</f>
        <v>178</v>
      </c>
      <c r="E262" s="280">
        <f t="shared" ref="E262:O262" si="351">E268+E269</f>
        <v>215</v>
      </c>
      <c r="F262" s="280">
        <f t="shared" si="351"/>
        <v>217</v>
      </c>
      <c r="G262" s="280">
        <f t="shared" si="351"/>
        <v>221</v>
      </c>
      <c r="H262" s="280">
        <f t="shared" si="351"/>
        <v>207</v>
      </c>
      <c r="I262" s="280">
        <f t="shared" si="351"/>
        <v>184</v>
      </c>
      <c r="J262" s="280">
        <f t="shared" si="351"/>
        <v>228</v>
      </c>
      <c r="K262" s="280">
        <f t="shared" si="351"/>
        <v>263</v>
      </c>
      <c r="L262" s="280">
        <f t="shared" si="351"/>
        <v>209</v>
      </c>
      <c r="M262" s="280">
        <f t="shared" si="351"/>
        <v>199</v>
      </c>
      <c r="N262" s="280">
        <f t="shared" si="351"/>
        <v>187</v>
      </c>
      <c r="O262" s="280">
        <f t="shared" si="351"/>
        <v>135</v>
      </c>
      <c r="P262" s="280">
        <f t="shared" si="314"/>
        <v>2443</v>
      </c>
      <c r="Q262" s="351">
        <f t="shared" si="315"/>
        <v>203.58333333333334</v>
      </c>
      <c r="R262" s="370"/>
      <c r="S262" s="350">
        <f>S268+S269</f>
        <v>184</v>
      </c>
      <c r="T262" s="280">
        <f t="shared" ref="T262:AD262" si="352">T268+T269</f>
        <v>206</v>
      </c>
      <c r="U262" s="280">
        <f t="shared" si="352"/>
        <v>209</v>
      </c>
      <c r="V262" s="280">
        <f t="shared" si="352"/>
        <v>197</v>
      </c>
      <c r="W262" s="280">
        <f t="shared" si="352"/>
        <v>235</v>
      </c>
      <c r="X262" s="280">
        <f t="shared" si="352"/>
        <v>219</v>
      </c>
      <c r="Y262" s="280">
        <f t="shared" si="352"/>
        <v>194</v>
      </c>
      <c r="Z262" s="280">
        <f t="shared" si="352"/>
        <v>201</v>
      </c>
      <c r="AA262" s="280">
        <f t="shared" si="352"/>
        <v>217</v>
      </c>
      <c r="AB262" s="280">
        <f t="shared" si="352"/>
        <v>247</v>
      </c>
      <c r="AC262" s="280">
        <f t="shared" si="352"/>
        <v>179</v>
      </c>
      <c r="AD262" s="280">
        <f t="shared" si="352"/>
        <v>157</v>
      </c>
      <c r="AE262" s="280">
        <f t="shared" si="316"/>
        <v>2445</v>
      </c>
      <c r="AF262" s="351">
        <f t="shared" si="317"/>
        <v>203.75</v>
      </c>
      <c r="AG262" s="370"/>
      <c r="AH262" s="350">
        <f t="shared" ref="AH262:AM262" si="353">AH268+AH269</f>
        <v>255</v>
      </c>
      <c r="AI262" s="280">
        <f t="shared" si="353"/>
        <v>262</v>
      </c>
      <c r="AJ262" s="280">
        <f t="shared" si="353"/>
        <v>313</v>
      </c>
      <c r="AK262" s="280">
        <f t="shared" si="353"/>
        <v>284</v>
      </c>
      <c r="AL262" s="280">
        <f t="shared" si="353"/>
        <v>323</v>
      </c>
      <c r="AM262" s="280">
        <f t="shared" si="353"/>
        <v>297</v>
      </c>
      <c r="AN262" s="280">
        <v>281</v>
      </c>
      <c r="AO262" s="280">
        <f>AO268+AO269</f>
        <v>273</v>
      </c>
      <c r="AP262" s="280">
        <f>AP268+AP269</f>
        <v>291</v>
      </c>
      <c r="AQ262" s="280">
        <f>AQ268+AQ269</f>
        <v>289</v>
      </c>
      <c r="AR262" s="280">
        <v>329</v>
      </c>
      <c r="AS262" s="280">
        <v>300</v>
      </c>
      <c r="AT262" s="280">
        <f t="shared" si="318"/>
        <v>3497</v>
      </c>
      <c r="AU262" s="351">
        <f t="shared" si="319"/>
        <v>291.41666666666669</v>
      </c>
      <c r="AX262" s="350">
        <v>317</v>
      </c>
      <c r="AY262" s="280">
        <v>329</v>
      </c>
      <c r="AZ262" s="280">
        <f>AZ268+AZ269</f>
        <v>319</v>
      </c>
      <c r="BA262" s="280">
        <v>328</v>
      </c>
      <c r="BB262" s="280">
        <v>516</v>
      </c>
      <c r="BC262" s="280">
        <f>BC268+BC269</f>
        <v>461</v>
      </c>
      <c r="BD262" s="280">
        <v>407</v>
      </c>
      <c r="BE262" s="280">
        <v>299</v>
      </c>
      <c r="BF262" s="280">
        <v>330</v>
      </c>
      <c r="BG262" s="280">
        <v>322</v>
      </c>
      <c r="BH262" s="280">
        <v>299</v>
      </c>
      <c r="BI262" s="280">
        <v>312</v>
      </c>
      <c r="BJ262" s="280">
        <f t="shared" si="320"/>
        <v>4239</v>
      </c>
      <c r="BK262" s="351">
        <f t="shared" si="321"/>
        <v>353.25</v>
      </c>
      <c r="BN262" s="322">
        <f t="shared" si="332"/>
        <v>12</v>
      </c>
      <c r="BO262" s="322">
        <f t="shared" si="309"/>
        <v>61.833333333333314</v>
      </c>
      <c r="BP262" s="322">
        <f t="shared" si="310"/>
        <v>742</v>
      </c>
      <c r="BQ262" s="322">
        <f t="shared" si="322"/>
        <v>13</v>
      </c>
      <c r="BR262" s="2265">
        <f t="shared" si="312"/>
        <v>299</v>
      </c>
      <c r="BS262" s="2265">
        <f t="shared" si="313"/>
        <v>312</v>
      </c>
    </row>
    <row r="263" spans="1:71" x14ac:dyDescent="0.55000000000000004">
      <c r="A263" s="7536"/>
      <c r="B263" s="251" t="s">
        <v>226</v>
      </c>
      <c r="C263" s="103"/>
      <c r="D263" s="352">
        <f>D270+D271</f>
        <v>256</v>
      </c>
      <c r="E263" s="353">
        <f t="shared" ref="E263:O263" si="354">E270+E271</f>
        <v>271</v>
      </c>
      <c r="F263" s="353">
        <f t="shared" si="354"/>
        <v>245</v>
      </c>
      <c r="G263" s="353">
        <f t="shared" si="354"/>
        <v>233</v>
      </c>
      <c r="H263" s="353">
        <f t="shared" si="354"/>
        <v>250</v>
      </c>
      <c r="I263" s="353">
        <f t="shared" si="354"/>
        <v>228</v>
      </c>
      <c r="J263" s="353">
        <f t="shared" si="354"/>
        <v>213</v>
      </c>
      <c r="K263" s="353">
        <f t="shared" si="354"/>
        <v>225</v>
      </c>
      <c r="L263" s="353">
        <f t="shared" si="354"/>
        <v>207</v>
      </c>
      <c r="M263" s="353">
        <f t="shared" si="354"/>
        <v>209</v>
      </c>
      <c r="N263" s="353">
        <f t="shared" si="354"/>
        <v>217</v>
      </c>
      <c r="O263" s="353">
        <f t="shared" si="354"/>
        <v>191</v>
      </c>
      <c r="P263" s="353">
        <f t="shared" si="314"/>
        <v>2745</v>
      </c>
      <c r="Q263" s="354">
        <f t="shared" si="315"/>
        <v>228.75</v>
      </c>
      <c r="R263" s="370"/>
      <c r="S263" s="352">
        <f>S270+S271</f>
        <v>201</v>
      </c>
      <c r="T263" s="353">
        <f t="shared" ref="T263:AD263" si="355">T270+T271</f>
        <v>220</v>
      </c>
      <c r="U263" s="353">
        <f t="shared" si="355"/>
        <v>227</v>
      </c>
      <c r="V263" s="353">
        <f t="shared" si="355"/>
        <v>234</v>
      </c>
      <c r="W263" s="353">
        <f t="shared" si="355"/>
        <v>238</v>
      </c>
      <c r="X263" s="353">
        <f t="shared" si="355"/>
        <v>201</v>
      </c>
      <c r="Y263" s="353">
        <f t="shared" si="355"/>
        <v>186</v>
      </c>
      <c r="Z263" s="353">
        <f t="shared" si="355"/>
        <v>234</v>
      </c>
      <c r="AA263" s="353">
        <f t="shared" si="355"/>
        <v>180</v>
      </c>
      <c r="AB263" s="353">
        <f t="shared" si="355"/>
        <v>204</v>
      </c>
      <c r="AC263" s="353">
        <f t="shared" si="355"/>
        <v>199</v>
      </c>
      <c r="AD263" s="353">
        <f t="shared" si="355"/>
        <v>158</v>
      </c>
      <c r="AE263" s="353">
        <f t="shared" si="316"/>
        <v>2482</v>
      </c>
      <c r="AF263" s="354">
        <f t="shared" si="317"/>
        <v>206.83333333333334</v>
      </c>
      <c r="AG263" s="370"/>
      <c r="AH263" s="352">
        <f t="shared" ref="AH263:AM263" si="356">AH270+AH271</f>
        <v>274</v>
      </c>
      <c r="AI263" s="353">
        <f t="shared" si="356"/>
        <v>217</v>
      </c>
      <c r="AJ263" s="353">
        <f t="shared" si="356"/>
        <v>223</v>
      </c>
      <c r="AK263" s="353">
        <f t="shared" si="356"/>
        <v>238</v>
      </c>
      <c r="AL263" s="353">
        <f t="shared" si="356"/>
        <v>242</v>
      </c>
      <c r="AM263" s="353">
        <f t="shared" si="356"/>
        <v>235</v>
      </c>
      <c r="AN263" s="353">
        <v>264</v>
      </c>
      <c r="AO263" s="353">
        <f>AO270+AO271</f>
        <v>193</v>
      </c>
      <c r="AP263" s="353">
        <f>AP270+AP271</f>
        <v>201</v>
      </c>
      <c r="AQ263" s="353">
        <f>AQ270+AQ271</f>
        <v>242</v>
      </c>
      <c r="AR263" s="353">
        <v>261</v>
      </c>
      <c r="AS263" s="353">
        <v>241</v>
      </c>
      <c r="AT263" s="353">
        <f t="shared" si="318"/>
        <v>2831</v>
      </c>
      <c r="AU263" s="354">
        <f t="shared" si="319"/>
        <v>235.91666666666666</v>
      </c>
      <c r="AX263" s="352">
        <v>220</v>
      </c>
      <c r="AY263" s="353">
        <v>282</v>
      </c>
      <c r="AZ263" s="353">
        <f>AZ270+AZ271</f>
        <v>251</v>
      </c>
      <c r="BA263" s="353">
        <v>253</v>
      </c>
      <c r="BB263" s="353">
        <v>349</v>
      </c>
      <c r="BC263" s="353">
        <f>BC270+BC271</f>
        <v>277</v>
      </c>
      <c r="BD263" s="353">
        <v>277</v>
      </c>
      <c r="BE263" s="353">
        <v>212</v>
      </c>
      <c r="BF263" s="353">
        <v>222</v>
      </c>
      <c r="BG263" s="353">
        <v>199</v>
      </c>
      <c r="BH263" s="353">
        <v>221</v>
      </c>
      <c r="BI263" s="353">
        <v>216</v>
      </c>
      <c r="BJ263" s="353">
        <f t="shared" si="320"/>
        <v>2979</v>
      </c>
      <c r="BK263" s="354">
        <f t="shared" si="321"/>
        <v>248.25</v>
      </c>
      <c r="BN263" s="322">
        <f t="shared" si="332"/>
        <v>-25</v>
      </c>
      <c r="BO263" s="322">
        <f t="shared" si="309"/>
        <v>12.333333333333343</v>
      </c>
      <c r="BP263" s="322">
        <f t="shared" si="310"/>
        <v>148</v>
      </c>
      <c r="BQ263" s="322">
        <f t="shared" si="322"/>
        <v>-5</v>
      </c>
      <c r="BR263" s="2265">
        <f t="shared" si="312"/>
        <v>221</v>
      </c>
      <c r="BS263" s="2265">
        <f t="shared" si="313"/>
        <v>216</v>
      </c>
    </row>
    <row r="264" spans="1:71" s="172" customFormat="1" x14ac:dyDescent="0.55000000000000004">
      <c r="A264" s="7536"/>
      <c r="B264" s="252"/>
      <c r="C264" s="180" t="s">
        <v>242</v>
      </c>
      <c r="D264" s="355">
        <v>122</v>
      </c>
      <c r="E264" s="356">
        <v>145</v>
      </c>
      <c r="F264" s="356">
        <v>134</v>
      </c>
      <c r="G264" s="356">
        <v>191</v>
      </c>
      <c r="H264" s="356">
        <v>215</v>
      </c>
      <c r="I264" s="356">
        <v>207</v>
      </c>
      <c r="J264" s="356">
        <v>149</v>
      </c>
      <c r="K264" s="356">
        <v>137</v>
      </c>
      <c r="L264" s="356">
        <v>144</v>
      </c>
      <c r="M264" s="356">
        <v>151</v>
      </c>
      <c r="N264" s="356">
        <v>114</v>
      </c>
      <c r="O264" s="356">
        <v>126</v>
      </c>
      <c r="P264" s="356">
        <f t="shared" si="314"/>
        <v>1835</v>
      </c>
      <c r="Q264" s="357">
        <f t="shared" si="315"/>
        <v>152.91666666666666</v>
      </c>
      <c r="R264" s="372"/>
      <c r="S264" s="355">
        <v>120</v>
      </c>
      <c r="T264" s="356">
        <v>149</v>
      </c>
      <c r="U264" s="356">
        <v>120</v>
      </c>
      <c r="V264" s="356">
        <v>105</v>
      </c>
      <c r="W264" s="356">
        <v>120</v>
      </c>
      <c r="X264" s="356">
        <v>108</v>
      </c>
      <c r="Y264" s="356">
        <v>123</v>
      </c>
      <c r="Z264" s="356">
        <v>181</v>
      </c>
      <c r="AA264" s="356">
        <v>109</v>
      </c>
      <c r="AB264" s="356">
        <v>111</v>
      </c>
      <c r="AC264" s="356">
        <v>112</v>
      </c>
      <c r="AD264" s="356">
        <v>83</v>
      </c>
      <c r="AE264" s="356">
        <f t="shared" si="316"/>
        <v>1441</v>
      </c>
      <c r="AF264" s="357">
        <f t="shared" si="317"/>
        <v>120.08333333333333</v>
      </c>
      <c r="AG264" s="372"/>
      <c r="AH264" s="355">
        <v>144</v>
      </c>
      <c r="AI264" s="356">
        <v>91</v>
      </c>
      <c r="AJ264" s="356">
        <v>121</v>
      </c>
      <c r="AK264" s="356">
        <v>117</v>
      </c>
      <c r="AL264" s="356">
        <v>132</v>
      </c>
      <c r="AM264" s="356">
        <v>144</v>
      </c>
      <c r="AN264" s="356">
        <v>146</v>
      </c>
      <c r="AO264" s="356">
        <v>135</v>
      </c>
      <c r="AP264" s="356">
        <v>132</v>
      </c>
      <c r="AQ264" s="356">
        <v>173</v>
      </c>
      <c r="AR264" s="356">
        <v>168</v>
      </c>
      <c r="AS264" s="356">
        <v>122</v>
      </c>
      <c r="AT264" s="356">
        <f t="shared" si="318"/>
        <v>1625</v>
      </c>
      <c r="AU264" s="357">
        <f t="shared" si="319"/>
        <v>135.41666666666666</v>
      </c>
      <c r="AX264" s="355">
        <v>115</v>
      </c>
      <c r="AY264" s="356">
        <v>146</v>
      </c>
      <c r="AZ264" s="356">
        <v>121</v>
      </c>
      <c r="BA264" s="356">
        <v>122</v>
      </c>
      <c r="BB264" s="356">
        <v>206</v>
      </c>
      <c r="BC264" s="356">
        <v>161</v>
      </c>
      <c r="BD264" s="356">
        <v>216</v>
      </c>
      <c r="BE264" s="356">
        <v>183</v>
      </c>
      <c r="BF264" s="356">
        <v>209</v>
      </c>
      <c r="BG264" s="356">
        <v>176</v>
      </c>
      <c r="BH264" s="356">
        <v>196</v>
      </c>
      <c r="BI264" s="356">
        <v>216</v>
      </c>
      <c r="BJ264" s="356">
        <f t="shared" si="320"/>
        <v>2067</v>
      </c>
      <c r="BK264" s="357">
        <f t="shared" si="321"/>
        <v>172.25</v>
      </c>
      <c r="BN264" s="322">
        <f t="shared" si="332"/>
        <v>94</v>
      </c>
      <c r="BO264" s="322">
        <f t="shared" si="309"/>
        <v>36.833333333333343</v>
      </c>
      <c r="BP264" s="322">
        <f t="shared" si="310"/>
        <v>442</v>
      </c>
      <c r="BQ264" s="322">
        <f t="shared" si="322"/>
        <v>20</v>
      </c>
      <c r="BR264" s="2265">
        <f t="shared" si="312"/>
        <v>196</v>
      </c>
      <c r="BS264" s="2265">
        <f t="shared" si="313"/>
        <v>216</v>
      </c>
    </row>
    <row r="265" spans="1:71" s="172" customFormat="1" x14ac:dyDescent="0.55000000000000004">
      <c r="A265" s="7536"/>
      <c r="B265" s="253"/>
      <c r="C265" s="181" t="s">
        <v>243</v>
      </c>
      <c r="D265" s="358">
        <v>50</v>
      </c>
      <c r="E265" s="359">
        <v>49</v>
      </c>
      <c r="F265" s="359">
        <v>48</v>
      </c>
      <c r="G265" s="359">
        <v>52</v>
      </c>
      <c r="H265" s="359">
        <v>58</v>
      </c>
      <c r="I265" s="359">
        <v>49</v>
      </c>
      <c r="J265" s="359">
        <v>27</v>
      </c>
      <c r="K265" s="359">
        <v>39</v>
      </c>
      <c r="L265" s="359">
        <v>32</v>
      </c>
      <c r="M265" s="359">
        <v>39</v>
      </c>
      <c r="N265" s="359">
        <v>33</v>
      </c>
      <c r="O265" s="359">
        <v>24</v>
      </c>
      <c r="P265" s="359">
        <f t="shared" si="314"/>
        <v>500</v>
      </c>
      <c r="Q265" s="360">
        <f t="shared" si="315"/>
        <v>41.666666666666664</v>
      </c>
      <c r="R265" s="372"/>
      <c r="S265" s="358">
        <v>25</v>
      </c>
      <c r="T265" s="359">
        <v>29</v>
      </c>
      <c r="U265" s="359">
        <v>36</v>
      </c>
      <c r="V265" s="359">
        <v>28</v>
      </c>
      <c r="W265" s="359">
        <v>34</v>
      </c>
      <c r="X265" s="359">
        <v>29</v>
      </c>
      <c r="Y265" s="359">
        <v>30</v>
      </c>
      <c r="Z265" s="359">
        <v>39</v>
      </c>
      <c r="AA265" s="359">
        <v>26</v>
      </c>
      <c r="AB265" s="359">
        <v>34</v>
      </c>
      <c r="AC265" s="359">
        <v>29</v>
      </c>
      <c r="AD265" s="359">
        <v>30</v>
      </c>
      <c r="AE265" s="359">
        <f t="shared" si="316"/>
        <v>369</v>
      </c>
      <c r="AF265" s="360">
        <f t="shared" si="317"/>
        <v>30.75</v>
      </c>
      <c r="AG265" s="372"/>
      <c r="AH265" s="358">
        <v>42</v>
      </c>
      <c r="AI265" s="359">
        <v>33</v>
      </c>
      <c r="AJ265" s="359">
        <v>42</v>
      </c>
      <c r="AK265" s="359">
        <v>43</v>
      </c>
      <c r="AL265" s="359">
        <v>55</v>
      </c>
      <c r="AM265" s="359">
        <v>46</v>
      </c>
      <c r="AN265" s="359">
        <v>65</v>
      </c>
      <c r="AO265" s="359">
        <v>47</v>
      </c>
      <c r="AP265" s="359">
        <v>48</v>
      </c>
      <c r="AQ265" s="359">
        <v>47</v>
      </c>
      <c r="AR265" s="359">
        <v>54</v>
      </c>
      <c r="AS265" s="359">
        <v>48</v>
      </c>
      <c r="AT265" s="359">
        <f t="shared" si="318"/>
        <v>570</v>
      </c>
      <c r="AU265" s="360">
        <f t="shared" si="319"/>
        <v>47.5</v>
      </c>
      <c r="AX265" s="358">
        <v>58</v>
      </c>
      <c r="AY265" s="359">
        <v>64</v>
      </c>
      <c r="AZ265" s="359">
        <v>57</v>
      </c>
      <c r="BA265" s="359">
        <v>56</v>
      </c>
      <c r="BB265" s="359">
        <v>82</v>
      </c>
      <c r="BC265" s="359">
        <v>63</v>
      </c>
      <c r="BD265" s="2353">
        <v>0</v>
      </c>
      <c r="BE265" s="2353">
        <v>0</v>
      </c>
      <c r="BF265" s="2353">
        <v>0</v>
      </c>
      <c r="BG265" s="2353">
        <v>0</v>
      </c>
      <c r="BH265" s="2353">
        <v>0</v>
      </c>
      <c r="BI265" s="2353">
        <v>0</v>
      </c>
      <c r="BJ265" s="359">
        <f t="shared" si="320"/>
        <v>380</v>
      </c>
      <c r="BK265" s="360">
        <f t="shared" si="321"/>
        <v>31.666666666666668</v>
      </c>
      <c r="BN265" s="322">
        <f t="shared" si="332"/>
        <v>-48</v>
      </c>
      <c r="BO265" s="322">
        <f t="shared" si="309"/>
        <v>-15.833333333333332</v>
      </c>
      <c r="BP265" s="322">
        <f t="shared" si="310"/>
        <v>-190</v>
      </c>
      <c r="BQ265" s="322">
        <f t="shared" si="322"/>
        <v>0</v>
      </c>
      <c r="BR265" s="2265">
        <f t="shared" si="312"/>
        <v>0</v>
      </c>
      <c r="BS265" s="2265">
        <f t="shared" si="313"/>
        <v>0</v>
      </c>
    </row>
    <row r="266" spans="1:71" s="172" customFormat="1" x14ac:dyDescent="0.55000000000000004">
      <c r="A266" s="7536"/>
      <c r="B266" s="253"/>
      <c r="C266" s="173" t="s">
        <v>244</v>
      </c>
      <c r="D266" s="361">
        <v>193</v>
      </c>
      <c r="E266" s="362">
        <v>182</v>
      </c>
      <c r="F266" s="362">
        <v>216</v>
      </c>
      <c r="G266" s="362">
        <v>200</v>
      </c>
      <c r="H266" s="362">
        <v>195</v>
      </c>
      <c r="I266" s="362">
        <v>155</v>
      </c>
      <c r="J266" s="362">
        <v>112</v>
      </c>
      <c r="K266" s="362">
        <v>148</v>
      </c>
      <c r="L266" s="362">
        <v>109</v>
      </c>
      <c r="M266" s="362">
        <v>137</v>
      </c>
      <c r="N266" s="362">
        <v>133</v>
      </c>
      <c r="O266" s="362">
        <v>115</v>
      </c>
      <c r="P266" s="362">
        <f t="shared" si="314"/>
        <v>1895</v>
      </c>
      <c r="Q266" s="363">
        <f t="shared" si="315"/>
        <v>157.91666666666666</v>
      </c>
      <c r="R266" s="372"/>
      <c r="S266" s="361">
        <v>105</v>
      </c>
      <c r="T266" s="362">
        <v>138</v>
      </c>
      <c r="U266" s="362">
        <v>109</v>
      </c>
      <c r="V266" s="362">
        <v>80</v>
      </c>
      <c r="W266" s="362">
        <v>98</v>
      </c>
      <c r="X266" s="362">
        <v>77</v>
      </c>
      <c r="Y266" s="362">
        <v>100</v>
      </c>
      <c r="Z266" s="362">
        <v>107</v>
      </c>
      <c r="AA266" s="362">
        <v>115</v>
      </c>
      <c r="AB266" s="362">
        <v>105</v>
      </c>
      <c r="AC266" s="362">
        <v>102</v>
      </c>
      <c r="AD266" s="362">
        <v>84</v>
      </c>
      <c r="AE266" s="362">
        <f t="shared" si="316"/>
        <v>1220</v>
      </c>
      <c r="AF266" s="363">
        <f t="shared" si="317"/>
        <v>101.66666666666667</v>
      </c>
      <c r="AG266" s="372"/>
      <c r="AH266" s="361">
        <v>123</v>
      </c>
      <c r="AI266" s="362">
        <v>107</v>
      </c>
      <c r="AJ266" s="362">
        <v>126</v>
      </c>
      <c r="AK266" s="362">
        <v>111</v>
      </c>
      <c r="AL266" s="362">
        <v>115</v>
      </c>
      <c r="AM266" s="362">
        <v>131</v>
      </c>
      <c r="AN266" s="362">
        <v>130</v>
      </c>
      <c r="AO266" s="362">
        <v>147</v>
      </c>
      <c r="AP266" s="362">
        <v>162</v>
      </c>
      <c r="AQ266" s="362">
        <v>141</v>
      </c>
      <c r="AR266" s="362">
        <v>154</v>
      </c>
      <c r="AS266" s="362">
        <v>134</v>
      </c>
      <c r="AT266" s="362">
        <f t="shared" si="318"/>
        <v>1581</v>
      </c>
      <c r="AU266" s="363">
        <f t="shared" si="319"/>
        <v>131.75</v>
      </c>
      <c r="AX266" s="361">
        <v>118</v>
      </c>
      <c r="AY266" s="362">
        <v>145</v>
      </c>
      <c r="AZ266" s="362">
        <v>113</v>
      </c>
      <c r="BA266" s="362">
        <v>109</v>
      </c>
      <c r="BB266" s="362">
        <v>219</v>
      </c>
      <c r="BC266" s="362">
        <v>169</v>
      </c>
      <c r="BD266" s="362">
        <v>154</v>
      </c>
      <c r="BE266" s="362">
        <v>152</v>
      </c>
      <c r="BF266" s="362">
        <v>158</v>
      </c>
      <c r="BG266" s="362">
        <v>145</v>
      </c>
      <c r="BH266" s="362">
        <v>136</v>
      </c>
      <c r="BI266" s="362">
        <v>143</v>
      </c>
      <c r="BJ266" s="362">
        <f t="shared" si="320"/>
        <v>1761</v>
      </c>
      <c r="BK266" s="363">
        <f t="shared" si="321"/>
        <v>146.75</v>
      </c>
      <c r="BN266" s="322">
        <f t="shared" si="332"/>
        <v>9</v>
      </c>
      <c r="BO266" s="322">
        <f t="shared" si="309"/>
        <v>15</v>
      </c>
      <c r="BP266" s="322">
        <f t="shared" si="310"/>
        <v>180</v>
      </c>
      <c r="BQ266" s="322">
        <f t="shared" si="322"/>
        <v>7</v>
      </c>
      <c r="BR266" s="2265">
        <f t="shared" si="312"/>
        <v>136</v>
      </c>
      <c r="BS266" s="2265">
        <f t="shared" si="313"/>
        <v>143</v>
      </c>
    </row>
    <row r="267" spans="1:71" s="172" customFormat="1" x14ac:dyDescent="0.55000000000000004">
      <c r="A267" s="7536"/>
      <c r="B267" s="253"/>
      <c r="C267" s="181" t="s">
        <v>245</v>
      </c>
      <c r="D267" s="358">
        <v>161</v>
      </c>
      <c r="E267" s="359">
        <v>174</v>
      </c>
      <c r="F267" s="359">
        <v>131</v>
      </c>
      <c r="G267" s="359">
        <v>201</v>
      </c>
      <c r="H267" s="359">
        <v>185</v>
      </c>
      <c r="I267" s="359">
        <v>145</v>
      </c>
      <c r="J267" s="359">
        <v>122</v>
      </c>
      <c r="K267" s="359">
        <v>122</v>
      </c>
      <c r="L267" s="359">
        <v>84</v>
      </c>
      <c r="M267" s="359">
        <v>82</v>
      </c>
      <c r="N267" s="359">
        <v>65</v>
      </c>
      <c r="O267" s="359">
        <v>76</v>
      </c>
      <c r="P267" s="359">
        <f t="shared" si="314"/>
        <v>1548</v>
      </c>
      <c r="Q267" s="360">
        <f t="shared" si="315"/>
        <v>129</v>
      </c>
      <c r="R267" s="372"/>
      <c r="S267" s="358">
        <v>73</v>
      </c>
      <c r="T267" s="359">
        <v>84</v>
      </c>
      <c r="U267" s="359">
        <v>92</v>
      </c>
      <c r="V267" s="359">
        <v>76</v>
      </c>
      <c r="W267" s="359">
        <v>91</v>
      </c>
      <c r="X267" s="359">
        <v>82</v>
      </c>
      <c r="Y267" s="359">
        <v>117</v>
      </c>
      <c r="Z267" s="359">
        <v>119</v>
      </c>
      <c r="AA267" s="359">
        <v>98</v>
      </c>
      <c r="AB267" s="359">
        <v>112</v>
      </c>
      <c r="AC267" s="359">
        <v>121</v>
      </c>
      <c r="AD267" s="359">
        <v>84</v>
      </c>
      <c r="AE267" s="359">
        <f t="shared" si="316"/>
        <v>1149</v>
      </c>
      <c r="AF267" s="360">
        <f t="shared" si="317"/>
        <v>95.75</v>
      </c>
      <c r="AG267" s="372"/>
      <c r="AH267" s="358">
        <v>101</v>
      </c>
      <c r="AI267" s="359">
        <v>107</v>
      </c>
      <c r="AJ267" s="359">
        <v>128</v>
      </c>
      <c r="AK267" s="359">
        <v>129</v>
      </c>
      <c r="AL267" s="359">
        <v>155</v>
      </c>
      <c r="AM267" s="359">
        <v>156</v>
      </c>
      <c r="AN267" s="359">
        <v>157</v>
      </c>
      <c r="AO267" s="359">
        <v>161</v>
      </c>
      <c r="AP267" s="359">
        <v>134</v>
      </c>
      <c r="AQ267" s="359">
        <v>164</v>
      </c>
      <c r="AR267" s="359">
        <v>148</v>
      </c>
      <c r="AS267" s="359">
        <v>138</v>
      </c>
      <c r="AT267" s="359">
        <f t="shared" si="318"/>
        <v>1678</v>
      </c>
      <c r="AU267" s="360">
        <f t="shared" si="319"/>
        <v>139.83333333333334</v>
      </c>
      <c r="AX267" s="358">
        <v>129</v>
      </c>
      <c r="AY267" s="359">
        <v>176</v>
      </c>
      <c r="AZ267" s="359">
        <v>137</v>
      </c>
      <c r="BA267" s="359">
        <v>152</v>
      </c>
      <c r="BB267" s="359">
        <v>219</v>
      </c>
      <c r="BC267" s="359">
        <v>194</v>
      </c>
      <c r="BD267" s="359">
        <v>182</v>
      </c>
      <c r="BE267" s="359">
        <v>152</v>
      </c>
      <c r="BF267" s="359">
        <v>164</v>
      </c>
      <c r="BG267" s="359">
        <v>147</v>
      </c>
      <c r="BH267" s="359">
        <v>123</v>
      </c>
      <c r="BI267" s="359">
        <v>148</v>
      </c>
      <c r="BJ267" s="359">
        <f t="shared" si="320"/>
        <v>1923</v>
      </c>
      <c r="BK267" s="360">
        <f t="shared" si="321"/>
        <v>160.25</v>
      </c>
      <c r="BN267" s="322">
        <f t="shared" si="332"/>
        <v>10</v>
      </c>
      <c r="BO267" s="322">
        <f t="shared" si="309"/>
        <v>20.416666666666657</v>
      </c>
      <c r="BP267" s="322">
        <f t="shared" si="310"/>
        <v>245</v>
      </c>
      <c r="BQ267" s="322">
        <f t="shared" si="322"/>
        <v>25</v>
      </c>
      <c r="BR267" s="2265">
        <f t="shared" si="312"/>
        <v>123</v>
      </c>
      <c r="BS267" s="2265">
        <f t="shared" si="313"/>
        <v>148</v>
      </c>
    </row>
    <row r="268" spans="1:71" s="172" customFormat="1" x14ac:dyDescent="0.55000000000000004">
      <c r="A268" s="7536"/>
      <c r="B268" s="253"/>
      <c r="C268" s="173" t="s">
        <v>246</v>
      </c>
      <c r="D268" s="361">
        <v>96</v>
      </c>
      <c r="E268" s="362">
        <v>128</v>
      </c>
      <c r="F268" s="362">
        <v>124</v>
      </c>
      <c r="G268" s="362">
        <v>111</v>
      </c>
      <c r="H268" s="362">
        <v>105</v>
      </c>
      <c r="I268" s="362">
        <v>101</v>
      </c>
      <c r="J268" s="362">
        <v>143</v>
      </c>
      <c r="K268" s="362">
        <v>166</v>
      </c>
      <c r="L268" s="362">
        <v>135</v>
      </c>
      <c r="M268" s="362">
        <v>129</v>
      </c>
      <c r="N268" s="362">
        <v>112</v>
      </c>
      <c r="O268" s="362">
        <v>95</v>
      </c>
      <c r="P268" s="362">
        <f t="shared" si="314"/>
        <v>1445</v>
      </c>
      <c r="Q268" s="363">
        <f t="shared" si="315"/>
        <v>120.41666666666667</v>
      </c>
      <c r="R268" s="372"/>
      <c r="S268" s="361">
        <v>102</v>
      </c>
      <c r="T268" s="362">
        <v>132</v>
      </c>
      <c r="U268" s="362">
        <v>132</v>
      </c>
      <c r="V268" s="362">
        <v>108</v>
      </c>
      <c r="W268" s="362">
        <v>137</v>
      </c>
      <c r="X268" s="362">
        <v>108</v>
      </c>
      <c r="Y268" s="362">
        <v>103</v>
      </c>
      <c r="Z268" s="362">
        <v>114</v>
      </c>
      <c r="AA268" s="362">
        <v>127</v>
      </c>
      <c r="AB268" s="362">
        <v>114</v>
      </c>
      <c r="AC268" s="362">
        <v>103</v>
      </c>
      <c r="AD268" s="362">
        <v>90</v>
      </c>
      <c r="AE268" s="362">
        <f t="shared" si="316"/>
        <v>1370</v>
      </c>
      <c r="AF268" s="363">
        <f t="shared" si="317"/>
        <v>114.16666666666667</v>
      </c>
      <c r="AG268" s="372"/>
      <c r="AH268" s="361">
        <v>163</v>
      </c>
      <c r="AI268" s="362">
        <v>165</v>
      </c>
      <c r="AJ268" s="362">
        <v>207</v>
      </c>
      <c r="AK268" s="362">
        <v>198</v>
      </c>
      <c r="AL268" s="362">
        <v>229</v>
      </c>
      <c r="AM268" s="362">
        <v>202</v>
      </c>
      <c r="AN268" s="362">
        <v>183</v>
      </c>
      <c r="AO268" s="362">
        <v>166</v>
      </c>
      <c r="AP268" s="362">
        <v>197</v>
      </c>
      <c r="AQ268" s="362">
        <v>199</v>
      </c>
      <c r="AR268" s="362">
        <v>215</v>
      </c>
      <c r="AS268" s="362">
        <v>207</v>
      </c>
      <c r="AT268" s="362">
        <f t="shared" si="318"/>
        <v>2331</v>
      </c>
      <c r="AU268" s="363">
        <f t="shared" si="319"/>
        <v>194.25</v>
      </c>
      <c r="AX268" s="361">
        <v>211</v>
      </c>
      <c r="AY268" s="362">
        <v>215</v>
      </c>
      <c r="AZ268" s="362">
        <v>197</v>
      </c>
      <c r="BA268" s="362">
        <v>231</v>
      </c>
      <c r="BB268" s="362">
        <v>343</v>
      </c>
      <c r="BC268" s="362">
        <v>319</v>
      </c>
      <c r="BD268" s="362">
        <v>273</v>
      </c>
      <c r="BE268" s="362">
        <v>203</v>
      </c>
      <c r="BF268" s="362">
        <v>213</v>
      </c>
      <c r="BG268" s="362">
        <v>206</v>
      </c>
      <c r="BH268" s="362">
        <v>187</v>
      </c>
      <c r="BI268" s="362">
        <v>193</v>
      </c>
      <c r="BJ268" s="362">
        <f t="shared" si="320"/>
        <v>2791</v>
      </c>
      <c r="BK268" s="363">
        <f t="shared" si="321"/>
        <v>232.58333333333334</v>
      </c>
      <c r="BN268" s="322">
        <f t="shared" si="332"/>
        <v>-14</v>
      </c>
      <c r="BO268" s="322">
        <f t="shared" si="309"/>
        <v>38.333333333333343</v>
      </c>
      <c r="BP268" s="322">
        <f t="shared" si="310"/>
        <v>460</v>
      </c>
      <c r="BQ268" s="322">
        <f t="shared" si="322"/>
        <v>6</v>
      </c>
      <c r="BR268" s="2265">
        <f t="shared" si="312"/>
        <v>187</v>
      </c>
      <c r="BS268" s="2265">
        <f t="shared" si="313"/>
        <v>193</v>
      </c>
    </row>
    <row r="269" spans="1:71" s="172" customFormat="1" x14ac:dyDescent="0.55000000000000004">
      <c r="A269" s="7536"/>
      <c r="B269" s="253"/>
      <c r="C269" s="173" t="s">
        <v>247</v>
      </c>
      <c r="D269" s="361">
        <v>82</v>
      </c>
      <c r="E269" s="362">
        <v>87</v>
      </c>
      <c r="F269" s="362">
        <v>93</v>
      </c>
      <c r="G269" s="362">
        <v>110</v>
      </c>
      <c r="H269" s="362">
        <v>102</v>
      </c>
      <c r="I269" s="362">
        <v>83</v>
      </c>
      <c r="J269" s="362">
        <v>85</v>
      </c>
      <c r="K269" s="362">
        <v>97</v>
      </c>
      <c r="L269" s="362">
        <v>74</v>
      </c>
      <c r="M269" s="362">
        <v>70</v>
      </c>
      <c r="N269" s="362">
        <v>75</v>
      </c>
      <c r="O269" s="362">
        <v>40</v>
      </c>
      <c r="P269" s="362">
        <f t="shared" si="314"/>
        <v>998</v>
      </c>
      <c r="Q269" s="363">
        <f t="shared" si="315"/>
        <v>83.166666666666671</v>
      </c>
      <c r="R269" s="372"/>
      <c r="S269" s="361">
        <v>82</v>
      </c>
      <c r="T269" s="362">
        <v>74</v>
      </c>
      <c r="U269" s="362">
        <v>77</v>
      </c>
      <c r="V269" s="362">
        <v>89</v>
      </c>
      <c r="W269" s="362">
        <v>98</v>
      </c>
      <c r="X269" s="362">
        <v>111</v>
      </c>
      <c r="Y269" s="362">
        <v>91</v>
      </c>
      <c r="Z269" s="362">
        <v>87</v>
      </c>
      <c r="AA269" s="362">
        <v>90</v>
      </c>
      <c r="AB269" s="362">
        <v>133</v>
      </c>
      <c r="AC269" s="362">
        <v>76</v>
      </c>
      <c r="AD269" s="362">
        <v>67</v>
      </c>
      <c r="AE269" s="362">
        <f t="shared" si="316"/>
        <v>1075</v>
      </c>
      <c r="AF269" s="363">
        <f t="shared" si="317"/>
        <v>89.583333333333329</v>
      </c>
      <c r="AG269" s="372"/>
      <c r="AH269" s="361">
        <v>92</v>
      </c>
      <c r="AI269" s="362">
        <v>97</v>
      </c>
      <c r="AJ269" s="362">
        <v>106</v>
      </c>
      <c r="AK269" s="362">
        <v>86</v>
      </c>
      <c r="AL269" s="362">
        <v>94</v>
      </c>
      <c r="AM269" s="362">
        <v>95</v>
      </c>
      <c r="AN269" s="362">
        <v>98</v>
      </c>
      <c r="AO269" s="362">
        <v>107</v>
      </c>
      <c r="AP269" s="362">
        <v>94</v>
      </c>
      <c r="AQ269" s="362">
        <v>90</v>
      </c>
      <c r="AR269" s="362">
        <v>114</v>
      </c>
      <c r="AS269" s="362">
        <v>93</v>
      </c>
      <c r="AT269" s="362">
        <f t="shared" si="318"/>
        <v>1166</v>
      </c>
      <c r="AU269" s="363">
        <f t="shared" si="319"/>
        <v>97.166666666666671</v>
      </c>
      <c r="AX269" s="361">
        <v>106</v>
      </c>
      <c r="AY269" s="362">
        <v>114</v>
      </c>
      <c r="AZ269" s="362">
        <v>122</v>
      </c>
      <c r="BA269" s="362">
        <v>97</v>
      </c>
      <c r="BB269" s="362">
        <v>173</v>
      </c>
      <c r="BC269" s="362">
        <v>142</v>
      </c>
      <c r="BD269" s="362">
        <v>134</v>
      </c>
      <c r="BE269" s="362">
        <v>96</v>
      </c>
      <c r="BF269" s="362">
        <v>117</v>
      </c>
      <c r="BG269" s="362">
        <v>116</v>
      </c>
      <c r="BH269" s="362">
        <v>112</v>
      </c>
      <c r="BI269" s="362">
        <v>119</v>
      </c>
      <c r="BJ269" s="362">
        <f t="shared" si="320"/>
        <v>1448</v>
      </c>
      <c r="BK269" s="363">
        <f t="shared" si="321"/>
        <v>120.66666666666667</v>
      </c>
      <c r="BN269" s="322">
        <f t="shared" si="332"/>
        <v>26</v>
      </c>
      <c r="BO269" s="322">
        <f t="shared" si="309"/>
        <v>23.5</v>
      </c>
      <c r="BP269" s="322">
        <f t="shared" si="310"/>
        <v>282</v>
      </c>
      <c r="BQ269" s="322">
        <f t="shared" si="322"/>
        <v>7</v>
      </c>
      <c r="BR269" s="2265">
        <f t="shared" si="312"/>
        <v>112</v>
      </c>
      <c r="BS269" s="2265">
        <f t="shared" si="313"/>
        <v>119</v>
      </c>
    </row>
    <row r="270" spans="1:71" s="172" customFormat="1" x14ac:dyDescent="0.55000000000000004">
      <c r="A270" s="7536"/>
      <c r="B270" s="253"/>
      <c r="C270" s="181" t="s">
        <v>248</v>
      </c>
      <c r="D270" s="358">
        <v>125</v>
      </c>
      <c r="E270" s="359">
        <v>131</v>
      </c>
      <c r="F270" s="359">
        <v>114</v>
      </c>
      <c r="G270" s="359">
        <v>123</v>
      </c>
      <c r="H270" s="359">
        <v>124</v>
      </c>
      <c r="I270" s="359">
        <v>107</v>
      </c>
      <c r="J270" s="359">
        <v>109</v>
      </c>
      <c r="K270" s="359">
        <v>125</v>
      </c>
      <c r="L270" s="359">
        <v>105</v>
      </c>
      <c r="M270" s="359">
        <v>110</v>
      </c>
      <c r="N270" s="359">
        <v>122</v>
      </c>
      <c r="O270" s="359">
        <v>128</v>
      </c>
      <c r="P270" s="359">
        <f t="shared" si="314"/>
        <v>1423</v>
      </c>
      <c r="Q270" s="360">
        <f t="shared" si="315"/>
        <v>118.58333333333333</v>
      </c>
      <c r="R270" s="372"/>
      <c r="S270" s="358">
        <v>113</v>
      </c>
      <c r="T270" s="359">
        <v>136</v>
      </c>
      <c r="U270" s="359">
        <v>125</v>
      </c>
      <c r="V270" s="359">
        <v>142</v>
      </c>
      <c r="W270" s="359">
        <v>147</v>
      </c>
      <c r="X270" s="359">
        <v>134</v>
      </c>
      <c r="Y270" s="359">
        <v>112</v>
      </c>
      <c r="Z270" s="359">
        <v>146</v>
      </c>
      <c r="AA270" s="359">
        <v>130</v>
      </c>
      <c r="AB270" s="359">
        <v>131</v>
      </c>
      <c r="AC270" s="359">
        <v>131</v>
      </c>
      <c r="AD270" s="359">
        <v>96</v>
      </c>
      <c r="AE270" s="359">
        <f t="shared" si="316"/>
        <v>1543</v>
      </c>
      <c r="AF270" s="360">
        <f t="shared" si="317"/>
        <v>128.58333333333334</v>
      </c>
      <c r="AG270" s="372"/>
      <c r="AH270" s="358">
        <v>139</v>
      </c>
      <c r="AI270" s="359">
        <v>123</v>
      </c>
      <c r="AJ270" s="359">
        <v>116</v>
      </c>
      <c r="AK270" s="359">
        <v>132</v>
      </c>
      <c r="AL270" s="359">
        <v>157</v>
      </c>
      <c r="AM270" s="359">
        <v>142</v>
      </c>
      <c r="AN270" s="359">
        <v>157</v>
      </c>
      <c r="AO270" s="359">
        <v>112</v>
      </c>
      <c r="AP270" s="359">
        <v>120</v>
      </c>
      <c r="AQ270" s="359">
        <v>137</v>
      </c>
      <c r="AR270" s="359">
        <v>137</v>
      </c>
      <c r="AS270" s="359">
        <v>133</v>
      </c>
      <c r="AT270" s="359">
        <f t="shared" si="318"/>
        <v>1605</v>
      </c>
      <c r="AU270" s="360">
        <f t="shared" si="319"/>
        <v>133.75</v>
      </c>
      <c r="AX270" s="358">
        <v>125</v>
      </c>
      <c r="AY270" s="359">
        <v>152</v>
      </c>
      <c r="AZ270" s="359">
        <v>155</v>
      </c>
      <c r="BA270" s="359">
        <v>142</v>
      </c>
      <c r="BB270" s="359">
        <v>213</v>
      </c>
      <c r="BC270" s="359">
        <v>169</v>
      </c>
      <c r="BD270" s="359">
        <v>169</v>
      </c>
      <c r="BE270" s="359">
        <v>116</v>
      </c>
      <c r="BF270" s="359">
        <v>142</v>
      </c>
      <c r="BG270" s="359">
        <v>123</v>
      </c>
      <c r="BH270" s="359">
        <v>136</v>
      </c>
      <c r="BI270" s="359">
        <v>132</v>
      </c>
      <c r="BJ270" s="359">
        <f t="shared" si="320"/>
        <v>1774</v>
      </c>
      <c r="BK270" s="360">
        <f t="shared" si="321"/>
        <v>147.83333333333334</v>
      </c>
      <c r="BN270" s="322">
        <f t="shared" si="332"/>
        <v>-1</v>
      </c>
      <c r="BO270" s="322">
        <f t="shared" si="309"/>
        <v>14.083333333333343</v>
      </c>
      <c r="BP270" s="322">
        <f t="shared" si="310"/>
        <v>169</v>
      </c>
      <c r="BQ270" s="322">
        <f t="shared" si="322"/>
        <v>-4</v>
      </c>
      <c r="BR270" s="2265">
        <f t="shared" si="312"/>
        <v>136</v>
      </c>
      <c r="BS270" s="2265">
        <f t="shared" si="313"/>
        <v>132</v>
      </c>
    </row>
    <row r="271" spans="1:71" s="172" customFormat="1" ht="18" thickBot="1" x14ac:dyDescent="0.6">
      <c r="A271" s="7537"/>
      <c r="B271" s="255"/>
      <c r="C271" s="183" t="s">
        <v>249</v>
      </c>
      <c r="D271" s="367">
        <v>131</v>
      </c>
      <c r="E271" s="368">
        <v>140</v>
      </c>
      <c r="F271" s="368">
        <v>131</v>
      </c>
      <c r="G271" s="368">
        <v>110</v>
      </c>
      <c r="H271" s="368">
        <v>126</v>
      </c>
      <c r="I271" s="368">
        <v>121</v>
      </c>
      <c r="J271" s="368">
        <v>104</v>
      </c>
      <c r="K271" s="368">
        <v>100</v>
      </c>
      <c r="L271" s="368">
        <v>102</v>
      </c>
      <c r="M271" s="368">
        <v>99</v>
      </c>
      <c r="N271" s="368">
        <v>95</v>
      </c>
      <c r="O271" s="368">
        <v>63</v>
      </c>
      <c r="P271" s="368">
        <f t="shared" si="314"/>
        <v>1322</v>
      </c>
      <c r="Q271" s="369">
        <f t="shared" si="315"/>
        <v>110.16666666666667</v>
      </c>
      <c r="R271" s="372"/>
      <c r="S271" s="367">
        <v>88</v>
      </c>
      <c r="T271" s="368">
        <v>84</v>
      </c>
      <c r="U271" s="368">
        <v>102</v>
      </c>
      <c r="V271" s="368">
        <v>92</v>
      </c>
      <c r="W271" s="368">
        <v>91</v>
      </c>
      <c r="X271" s="368">
        <v>67</v>
      </c>
      <c r="Y271" s="368">
        <v>74</v>
      </c>
      <c r="Z271" s="368">
        <v>88</v>
      </c>
      <c r="AA271" s="368">
        <v>50</v>
      </c>
      <c r="AB271" s="368">
        <v>73</v>
      </c>
      <c r="AC271" s="368">
        <v>68</v>
      </c>
      <c r="AD271" s="368">
        <v>62</v>
      </c>
      <c r="AE271" s="368">
        <f t="shared" si="316"/>
        <v>939</v>
      </c>
      <c r="AF271" s="369">
        <f t="shared" si="317"/>
        <v>78.25</v>
      </c>
      <c r="AG271" s="372"/>
      <c r="AH271" s="367">
        <v>135</v>
      </c>
      <c r="AI271" s="368">
        <v>94</v>
      </c>
      <c r="AJ271" s="368">
        <v>107</v>
      </c>
      <c r="AK271" s="368">
        <v>106</v>
      </c>
      <c r="AL271" s="368">
        <v>85</v>
      </c>
      <c r="AM271" s="368">
        <v>93</v>
      </c>
      <c r="AN271" s="368">
        <v>107</v>
      </c>
      <c r="AO271" s="368">
        <v>81</v>
      </c>
      <c r="AP271" s="368">
        <v>81</v>
      </c>
      <c r="AQ271" s="368">
        <v>105</v>
      </c>
      <c r="AR271" s="368">
        <v>124</v>
      </c>
      <c r="AS271" s="368">
        <v>108</v>
      </c>
      <c r="AT271" s="368">
        <f t="shared" si="318"/>
        <v>1226</v>
      </c>
      <c r="AU271" s="369">
        <f t="shared" si="319"/>
        <v>102.16666666666667</v>
      </c>
      <c r="AX271" s="367">
        <v>95</v>
      </c>
      <c r="AY271" s="368">
        <v>130</v>
      </c>
      <c r="AZ271" s="368">
        <v>96</v>
      </c>
      <c r="BA271" s="368">
        <v>111</v>
      </c>
      <c r="BB271" s="368">
        <v>136</v>
      </c>
      <c r="BC271" s="365">
        <v>108</v>
      </c>
      <c r="BD271" s="368">
        <v>108</v>
      </c>
      <c r="BE271" s="368">
        <v>96</v>
      </c>
      <c r="BF271" s="368">
        <v>80</v>
      </c>
      <c r="BG271" s="368">
        <v>76</v>
      </c>
      <c r="BH271" s="368">
        <v>85</v>
      </c>
      <c r="BI271" s="368">
        <v>84</v>
      </c>
      <c r="BJ271" s="368">
        <f t="shared" si="320"/>
        <v>1205</v>
      </c>
      <c r="BK271" s="369">
        <f t="shared" si="321"/>
        <v>100.41666666666667</v>
      </c>
      <c r="BN271" s="322">
        <f t="shared" si="332"/>
        <v>-24</v>
      </c>
      <c r="BO271" s="322">
        <f t="shared" si="309"/>
        <v>-1.75</v>
      </c>
      <c r="BP271" s="322">
        <f t="shared" si="310"/>
        <v>-21</v>
      </c>
      <c r="BQ271" s="322">
        <f t="shared" si="322"/>
        <v>-1</v>
      </c>
      <c r="BR271" s="2265">
        <f t="shared" si="312"/>
        <v>85</v>
      </c>
      <c r="BS271" s="2265">
        <f t="shared" si="313"/>
        <v>84</v>
      </c>
    </row>
    <row r="272" spans="1:71" x14ac:dyDescent="0.55000000000000004">
      <c r="A272" s="7530" t="s">
        <v>397</v>
      </c>
      <c r="B272" s="74" t="s">
        <v>266</v>
      </c>
      <c r="C272" s="27"/>
      <c r="D272" s="342">
        <f t="shared" ref="D272:O272" si="357">SUM(D273:D275)</f>
        <v>759</v>
      </c>
      <c r="E272" s="343">
        <f t="shared" si="357"/>
        <v>834</v>
      </c>
      <c r="F272" s="343">
        <f t="shared" si="357"/>
        <v>808</v>
      </c>
      <c r="G272" s="343">
        <f t="shared" si="357"/>
        <v>823</v>
      </c>
      <c r="H272" s="343">
        <f t="shared" si="357"/>
        <v>828</v>
      </c>
      <c r="I272" s="343">
        <f t="shared" si="357"/>
        <v>729</v>
      </c>
      <c r="J272" s="343">
        <f t="shared" si="357"/>
        <v>703</v>
      </c>
      <c r="K272" s="343">
        <f t="shared" si="357"/>
        <v>737</v>
      </c>
      <c r="L272" s="343">
        <f t="shared" si="357"/>
        <v>633</v>
      </c>
      <c r="M272" s="343">
        <f t="shared" si="357"/>
        <v>945</v>
      </c>
      <c r="N272" s="343">
        <f t="shared" si="357"/>
        <v>830</v>
      </c>
      <c r="O272" s="343">
        <f t="shared" si="357"/>
        <v>699</v>
      </c>
      <c r="P272" s="343">
        <f t="shared" si="314"/>
        <v>9328</v>
      </c>
      <c r="Q272" s="344">
        <f t="shared" si="315"/>
        <v>777.33333333333337</v>
      </c>
      <c r="R272" s="370"/>
      <c r="S272" s="342">
        <f>SUM(S273:S275)</f>
        <v>976</v>
      </c>
      <c r="T272" s="343">
        <f t="shared" ref="T272:AD272" si="358">SUM(T273:T275)</f>
        <v>934</v>
      </c>
      <c r="U272" s="343">
        <f t="shared" si="358"/>
        <v>696</v>
      </c>
      <c r="V272" s="343">
        <f t="shared" si="358"/>
        <v>725</v>
      </c>
      <c r="W272" s="343">
        <f t="shared" si="358"/>
        <v>695</v>
      </c>
      <c r="X272" s="343">
        <f t="shared" si="358"/>
        <v>631</v>
      </c>
      <c r="Y272" s="343">
        <f t="shared" si="358"/>
        <v>697</v>
      </c>
      <c r="Z272" s="343">
        <f t="shared" si="358"/>
        <v>862</v>
      </c>
      <c r="AA272" s="343">
        <f t="shared" si="358"/>
        <v>512</v>
      </c>
      <c r="AB272" s="343">
        <f t="shared" si="358"/>
        <v>744</v>
      </c>
      <c r="AC272" s="343">
        <f t="shared" si="358"/>
        <v>589</v>
      </c>
      <c r="AD272" s="343">
        <f t="shared" si="358"/>
        <v>582</v>
      </c>
      <c r="AE272" s="343">
        <f t="shared" si="316"/>
        <v>8643</v>
      </c>
      <c r="AF272" s="344">
        <f t="shared" si="317"/>
        <v>720.25</v>
      </c>
      <c r="AG272" s="370"/>
      <c r="AH272" s="342">
        <f t="shared" ref="AH272:AM272" si="359">SUM(AH273:AH275)</f>
        <v>1080</v>
      </c>
      <c r="AI272" s="343">
        <f t="shared" si="359"/>
        <v>562</v>
      </c>
      <c r="AJ272" s="343">
        <f t="shared" si="359"/>
        <v>777</v>
      </c>
      <c r="AK272" s="343">
        <f t="shared" si="359"/>
        <v>669</v>
      </c>
      <c r="AL272" s="343">
        <f t="shared" si="359"/>
        <v>665</v>
      </c>
      <c r="AM272" s="343">
        <f t="shared" si="359"/>
        <v>607</v>
      </c>
      <c r="AN272" s="343">
        <v>585</v>
      </c>
      <c r="AO272" s="343">
        <f>SUM(AO273:AO275)</f>
        <v>545</v>
      </c>
      <c r="AP272" s="343">
        <f>SUM(AP273:AP275)</f>
        <v>842</v>
      </c>
      <c r="AQ272" s="343">
        <f>SUM(AQ273:AQ275)</f>
        <v>564</v>
      </c>
      <c r="AR272" s="343">
        <v>548</v>
      </c>
      <c r="AS272" s="343">
        <v>500</v>
      </c>
      <c r="AT272" s="343">
        <f t="shared" si="318"/>
        <v>7944</v>
      </c>
      <c r="AU272" s="344">
        <f t="shared" si="319"/>
        <v>662</v>
      </c>
      <c r="AX272" s="342">
        <v>590</v>
      </c>
      <c r="AY272" s="343">
        <v>1012</v>
      </c>
      <c r="AZ272" s="343">
        <f>SUM(AZ273:AZ275)</f>
        <v>494</v>
      </c>
      <c r="BA272" s="343">
        <v>658</v>
      </c>
      <c r="BB272" s="343">
        <v>694</v>
      </c>
      <c r="BC272" s="343">
        <f>SUM(BC273:BC275)</f>
        <v>508</v>
      </c>
      <c r="BD272" s="343">
        <v>573</v>
      </c>
      <c r="BE272" s="343">
        <v>577</v>
      </c>
      <c r="BF272" s="2404">
        <v>682</v>
      </c>
      <c r="BG272" s="343">
        <v>559</v>
      </c>
      <c r="BH272" s="343">
        <v>617</v>
      </c>
      <c r="BI272" s="343">
        <v>725</v>
      </c>
      <c r="BJ272" s="343">
        <f t="shared" si="320"/>
        <v>7689</v>
      </c>
      <c r="BK272" s="344">
        <f t="shared" si="321"/>
        <v>640.75</v>
      </c>
      <c r="BN272" s="322">
        <f t="shared" si="332"/>
        <v>225</v>
      </c>
      <c r="BO272" s="322">
        <f t="shared" si="309"/>
        <v>-21.25</v>
      </c>
      <c r="BP272" s="322">
        <f t="shared" si="310"/>
        <v>-255</v>
      </c>
      <c r="BQ272" s="322">
        <f t="shared" si="322"/>
        <v>108</v>
      </c>
      <c r="BR272" s="2265">
        <f t="shared" si="312"/>
        <v>617</v>
      </c>
      <c r="BS272" s="2265">
        <f t="shared" si="313"/>
        <v>725</v>
      </c>
    </row>
    <row r="273" spans="1:71" x14ac:dyDescent="0.55000000000000004">
      <c r="A273" s="7531"/>
      <c r="B273" s="248"/>
      <c r="C273" s="12" t="s">
        <v>278</v>
      </c>
      <c r="D273" s="345">
        <v>62</v>
      </c>
      <c r="E273" s="295">
        <v>94</v>
      </c>
      <c r="F273" s="295">
        <v>51</v>
      </c>
      <c r="G273" s="295">
        <v>62</v>
      </c>
      <c r="H273" s="295">
        <v>49</v>
      </c>
      <c r="I273" s="295">
        <v>44</v>
      </c>
      <c r="J273" s="295">
        <v>30</v>
      </c>
      <c r="K273" s="295">
        <v>68</v>
      </c>
      <c r="L273" s="295">
        <v>16</v>
      </c>
      <c r="M273" s="295">
        <v>58</v>
      </c>
      <c r="N273" s="295">
        <v>30</v>
      </c>
      <c r="O273" s="295">
        <v>14</v>
      </c>
      <c r="P273" s="295">
        <f t="shared" si="314"/>
        <v>578</v>
      </c>
      <c r="Q273" s="346">
        <f t="shared" si="315"/>
        <v>48.166666666666664</v>
      </c>
      <c r="R273" s="370"/>
      <c r="S273" s="345">
        <v>34</v>
      </c>
      <c r="T273" s="295">
        <v>51</v>
      </c>
      <c r="U273" s="295">
        <v>17</v>
      </c>
      <c r="V273" s="295">
        <v>27</v>
      </c>
      <c r="W273" s="295">
        <v>13</v>
      </c>
      <c r="X273" s="295">
        <v>18</v>
      </c>
      <c r="Y273" s="295">
        <v>33</v>
      </c>
      <c r="Z273" s="295">
        <v>145</v>
      </c>
      <c r="AA273" s="295">
        <v>19</v>
      </c>
      <c r="AB273" s="295">
        <v>47</v>
      </c>
      <c r="AC273" s="295">
        <v>24</v>
      </c>
      <c r="AD273" s="295">
        <v>18</v>
      </c>
      <c r="AE273" s="295">
        <f t="shared" si="316"/>
        <v>446</v>
      </c>
      <c r="AF273" s="346">
        <f t="shared" si="317"/>
        <v>37.166666666666664</v>
      </c>
      <c r="AG273" s="370"/>
      <c r="AH273" s="345">
        <v>88</v>
      </c>
      <c r="AI273" s="295">
        <v>22</v>
      </c>
      <c r="AJ273" s="295">
        <v>40</v>
      </c>
      <c r="AK273" s="295">
        <v>33</v>
      </c>
      <c r="AL273" s="295">
        <v>38</v>
      </c>
      <c r="AM273" s="295">
        <v>35</v>
      </c>
      <c r="AN273" s="295">
        <v>42</v>
      </c>
      <c r="AO273" s="295">
        <v>36</v>
      </c>
      <c r="AP273" s="295">
        <v>48</v>
      </c>
      <c r="AQ273" s="295">
        <v>20</v>
      </c>
      <c r="AR273" s="295">
        <v>45</v>
      </c>
      <c r="AS273" s="295">
        <v>25</v>
      </c>
      <c r="AT273" s="295">
        <f t="shared" si="318"/>
        <v>472</v>
      </c>
      <c r="AU273" s="346">
        <f t="shared" si="319"/>
        <v>39.333333333333336</v>
      </c>
      <c r="AX273" s="345">
        <v>28</v>
      </c>
      <c r="AY273" s="295">
        <v>50</v>
      </c>
      <c r="AZ273" s="295">
        <v>47</v>
      </c>
      <c r="BA273" s="295">
        <v>57</v>
      </c>
      <c r="BB273" s="295">
        <v>73</v>
      </c>
      <c r="BC273" s="295">
        <v>90</v>
      </c>
      <c r="BD273" s="295">
        <v>110</v>
      </c>
      <c r="BE273" s="295">
        <v>68</v>
      </c>
      <c r="BF273" s="295">
        <v>88</v>
      </c>
      <c r="BG273" s="295">
        <v>87</v>
      </c>
      <c r="BH273" s="295">
        <v>81</v>
      </c>
      <c r="BI273" s="295">
        <v>87</v>
      </c>
      <c r="BJ273" s="295">
        <f t="shared" si="320"/>
        <v>866</v>
      </c>
      <c r="BK273" s="346">
        <f t="shared" si="321"/>
        <v>72.166666666666671</v>
      </c>
      <c r="BN273" s="322">
        <f t="shared" si="332"/>
        <v>62</v>
      </c>
      <c r="BO273" s="322">
        <f t="shared" si="309"/>
        <v>32.833333333333336</v>
      </c>
      <c r="BP273" s="322">
        <f t="shared" si="310"/>
        <v>394</v>
      </c>
      <c r="BQ273" s="322">
        <f t="shared" si="322"/>
        <v>6</v>
      </c>
      <c r="BR273" s="2265">
        <f t="shared" si="312"/>
        <v>81</v>
      </c>
      <c r="BS273" s="2265">
        <f t="shared" si="313"/>
        <v>87</v>
      </c>
    </row>
    <row r="274" spans="1:71" x14ac:dyDescent="0.55000000000000004">
      <c r="A274" s="7531"/>
      <c r="B274" s="248"/>
      <c r="C274" s="12" t="s">
        <v>277</v>
      </c>
      <c r="D274" s="345">
        <v>74</v>
      </c>
      <c r="E274" s="295">
        <v>105</v>
      </c>
      <c r="F274" s="295">
        <v>86</v>
      </c>
      <c r="G274" s="295">
        <v>118</v>
      </c>
      <c r="H274" s="295">
        <v>92</v>
      </c>
      <c r="I274" s="295">
        <v>78</v>
      </c>
      <c r="J274" s="295">
        <v>67</v>
      </c>
      <c r="K274" s="295">
        <v>82</v>
      </c>
      <c r="L274" s="295">
        <v>45</v>
      </c>
      <c r="M274" s="295">
        <v>121</v>
      </c>
      <c r="N274" s="295">
        <v>122</v>
      </c>
      <c r="O274" s="295">
        <v>55</v>
      </c>
      <c r="P274" s="295">
        <f t="shared" si="314"/>
        <v>1045</v>
      </c>
      <c r="Q274" s="346">
        <f t="shared" si="315"/>
        <v>87.083333333333329</v>
      </c>
      <c r="R274" s="370"/>
      <c r="S274" s="345">
        <v>85</v>
      </c>
      <c r="T274" s="295">
        <v>108</v>
      </c>
      <c r="U274" s="295">
        <v>48</v>
      </c>
      <c r="V274" s="295">
        <v>78</v>
      </c>
      <c r="W274" s="295">
        <v>51</v>
      </c>
      <c r="X274" s="295">
        <v>51</v>
      </c>
      <c r="Y274" s="295">
        <v>59</v>
      </c>
      <c r="Z274" s="295">
        <v>275</v>
      </c>
      <c r="AA274" s="295">
        <v>42</v>
      </c>
      <c r="AB274" s="295">
        <v>100</v>
      </c>
      <c r="AC274" s="295">
        <v>52</v>
      </c>
      <c r="AD274" s="295">
        <v>52</v>
      </c>
      <c r="AE274" s="295">
        <f t="shared" si="316"/>
        <v>1001</v>
      </c>
      <c r="AF274" s="346">
        <f t="shared" si="317"/>
        <v>83.416666666666671</v>
      </c>
      <c r="AG274" s="370"/>
      <c r="AH274" s="345">
        <v>178</v>
      </c>
      <c r="AI274" s="295">
        <v>65</v>
      </c>
      <c r="AJ274" s="295">
        <v>101</v>
      </c>
      <c r="AK274" s="295">
        <v>80</v>
      </c>
      <c r="AL274" s="295">
        <v>447</v>
      </c>
      <c r="AM274" s="295">
        <v>63</v>
      </c>
      <c r="AN274" s="295">
        <v>64</v>
      </c>
      <c r="AO274" s="295">
        <v>57</v>
      </c>
      <c r="AP274" s="295">
        <v>98</v>
      </c>
      <c r="AQ274" s="295">
        <v>54</v>
      </c>
      <c r="AR274" s="295">
        <v>61</v>
      </c>
      <c r="AS274" s="295">
        <v>66</v>
      </c>
      <c r="AT274" s="295">
        <f t="shared" si="318"/>
        <v>1334</v>
      </c>
      <c r="AU274" s="346">
        <f t="shared" si="319"/>
        <v>111.16666666666667</v>
      </c>
      <c r="AX274" s="345">
        <v>56</v>
      </c>
      <c r="AY274" s="295">
        <v>93</v>
      </c>
      <c r="AZ274" s="295">
        <v>44</v>
      </c>
      <c r="BA274" s="295">
        <v>90</v>
      </c>
      <c r="BB274" s="295">
        <v>119</v>
      </c>
      <c r="BC274" s="295">
        <v>84</v>
      </c>
      <c r="BD274" s="295">
        <v>77</v>
      </c>
      <c r="BE274" s="295">
        <v>71</v>
      </c>
      <c r="BF274" s="295">
        <v>81</v>
      </c>
      <c r="BG274" s="295">
        <v>76</v>
      </c>
      <c r="BH274" s="295">
        <v>61</v>
      </c>
      <c r="BI274" s="295">
        <v>84</v>
      </c>
      <c r="BJ274" s="295">
        <f t="shared" si="320"/>
        <v>936</v>
      </c>
      <c r="BK274" s="346">
        <f t="shared" si="321"/>
        <v>78</v>
      </c>
      <c r="BN274" s="322">
        <f t="shared" si="332"/>
        <v>18</v>
      </c>
      <c r="BO274" s="322">
        <f t="shared" si="309"/>
        <v>-33.166666666666671</v>
      </c>
      <c r="BP274" s="322">
        <f t="shared" si="310"/>
        <v>-398</v>
      </c>
      <c r="BQ274" s="322">
        <f t="shared" si="322"/>
        <v>23</v>
      </c>
      <c r="BR274" s="2265">
        <f t="shared" si="312"/>
        <v>61</v>
      </c>
      <c r="BS274" s="2265">
        <f t="shared" si="313"/>
        <v>84</v>
      </c>
    </row>
    <row r="275" spans="1:71" x14ac:dyDescent="0.55000000000000004">
      <c r="A275" s="7531"/>
      <c r="B275" s="248"/>
      <c r="C275" s="12" t="s">
        <v>276</v>
      </c>
      <c r="D275" s="345">
        <v>623</v>
      </c>
      <c r="E275" s="295">
        <v>635</v>
      </c>
      <c r="F275" s="295">
        <v>671</v>
      </c>
      <c r="G275" s="295">
        <v>643</v>
      </c>
      <c r="H275" s="295">
        <v>687</v>
      </c>
      <c r="I275" s="295">
        <v>607</v>
      </c>
      <c r="J275" s="295">
        <v>606</v>
      </c>
      <c r="K275" s="295">
        <v>587</v>
      </c>
      <c r="L275" s="295">
        <v>572</v>
      </c>
      <c r="M275" s="295">
        <v>766</v>
      </c>
      <c r="N275" s="295">
        <v>678</v>
      </c>
      <c r="O275" s="295">
        <v>630</v>
      </c>
      <c r="P275" s="295">
        <f t="shared" si="314"/>
        <v>7705</v>
      </c>
      <c r="Q275" s="346">
        <f t="shared" si="315"/>
        <v>642.08333333333337</v>
      </c>
      <c r="R275" s="370"/>
      <c r="S275" s="345">
        <v>857</v>
      </c>
      <c r="T275" s="295">
        <v>775</v>
      </c>
      <c r="U275" s="295">
        <v>631</v>
      </c>
      <c r="V275" s="295">
        <v>620</v>
      </c>
      <c r="W275" s="295">
        <v>631</v>
      </c>
      <c r="X275" s="295">
        <v>562</v>
      </c>
      <c r="Y275" s="295">
        <v>605</v>
      </c>
      <c r="Z275" s="295">
        <v>442</v>
      </c>
      <c r="AA275" s="295">
        <v>451</v>
      </c>
      <c r="AB275" s="295">
        <v>597</v>
      </c>
      <c r="AC275" s="295">
        <v>513</v>
      </c>
      <c r="AD275" s="295">
        <v>512</v>
      </c>
      <c r="AE275" s="295">
        <f t="shared" si="316"/>
        <v>7196</v>
      </c>
      <c r="AF275" s="346">
        <f t="shared" si="317"/>
        <v>599.66666666666663</v>
      </c>
      <c r="AG275" s="370"/>
      <c r="AH275" s="345">
        <v>814</v>
      </c>
      <c r="AI275" s="295">
        <v>475</v>
      </c>
      <c r="AJ275" s="295">
        <v>636</v>
      </c>
      <c r="AK275" s="295">
        <v>556</v>
      </c>
      <c r="AL275" s="295">
        <v>180</v>
      </c>
      <c r="AM275" s="295">
        <v>509</v>
      </c>
      <c r="AN275" s="295">
        <v>479</v>
      </c>
      <c r="AO275" s="295">
        <v>452</v>
      </c>
      <c r="AP275" s="295">
        <v>696</v>
      </c>
      <c r="AQ275" s="295">
        <v>490</v>
      </c>
      <c r="AR275" s="295">
        <v>442</v>
      </c>
      <c r="AS275" s="295">
        <v>409</v>
      </c>
      <c r="AT275" s="295">
        <f t="shared" si="318"/>
        <v>6138</v>
      </c>
      <c r="AU275" s="346">
        <f t="shared" si="319"/>
        <v>511.5</v>
      </c>
      <c r="AX275" s="345">
        <v>506</v>
      </c>
      <c r="AY275" s="295">
        <v>869</v>
      </c>
      <c r="AZ275" s="295">
        <v>403</v>
      </c>
      <c r="BA275" s="295">
        <v>511</v>
      </c>
      <c r="BB275" s="295">
        <v>502</v>
      </c>
      <c r="BC275" s="295">
        <v>334</v>
      </c>
      <c r="BD275" s="295">
        <v>386</v>
      </c>
      <c r="BE275" s="295">
        <v>438</v>
      </c>
      <c r="BF275" s="295">
        <v>513</v>
      </c>
      <c r="BG275" s="295">
        <v>396</v>
      </c>
      <c r="BH275" s="295">
        <v>475</v>
      </c>
      <c r="BI275" s="295">
        <v>554</v>
      </c>
      <c r="BJ275" s="295">
        <f t="shared" si="320"/>
        <v>5887</v>
      </c>
      <c r="BK275" s="346">
        <f t="shared" si="321"/>
        <v>490.58333333333331</v>
      </c>
      <c r="BN275" s="322">
        <f t="shared" si="332"/>
        <v>145</v>
      </c>
      <c r="BO275" s="322">
        <f t="shared" si="309"/>
        <v>-20.916666666666686</v>
      </c>
      <c r="BP275" s="322">
        <f t="shared" si="310"/>
        <v>-251</v>
      </c>
      <c r="BQ275" s="322">
        <f t="shared" si="322"/>
        <v>79</v>
      </c>
      <c r="BR275" s="2265">
        <f t="shared" si="312"/>
        <v>475</v>
      </c>
      <c r="BS275" s="2265">
        <f t="shared" si="313"/>
        <v>554</v>
      </c>
    </row>
    <row r="276" spans="1:71" x14ac:dyDescent="0.55000000000000004">
      <c r="A276" s="7531"/>
      <c r="B276" s="249" t="s">
        <v>222</v>
      </c>
      <c r="C276" s="100"/>
      <c r="D276" s="347">
        <f>D281+D282</f>
        <v>154</v>
      </c>
      <c r="E276" s="348">
        <f t="shared" ref="E276:O276" si="360">E281+E282</f>
        <v>170</v>
      </c>
      <c r="F276" s="348">
        <f t="shared" si="360"/>
        <v>146</v>
      </c>
      <c r="G276" s="348">
        <f t="shared" si="360"/>
        <v>163</v>
      </c>
      <c r="H276" s="348">
        <f t="shared" si="360"/>
        <v>156</v>
      </c>
      <c r="I276" s="348">
        <f t="shared" si="360"/>
        <v>151</v>
      </c>
      <c r="J276" s="348">
        <f t="shared" si="360"/>
        <v>108</v>
      </c>
      <c r="K276" s="348">
        <f t="shared" si="360"/>
        <v>157</v>
      </c>
      <c r="L276" s="348">
        <f t="shared" si="360"/>
        <v>92</v>
      </c>
      <c r="M276" s="348">
        <f t="shared" si="360"/>
        <v>181</v>
      </c>
      <c r="N276" s="348">
        <f t="shared" si="360"/>
        <v>131</v>
      </c>
      <c r="O276" s="348">
        <f t="shared" si="360"/>
        <v>133</v>
      </c>
      <c r="P276" s="348">
        <f t="shared" si="314"/>
        <v>1742</v>
      </c>
      <c r="Q276" s="349">
        <f t="shared" si="315"/>
        <v>145.16666666666666</v>
      </c>
      <c r="R276" s="370"/>
      <c r="S276" s="347">
        <f>S281+S282</f>
        <v>174</v>
      </c>
      <c r="T276" s="348">
        <f t="shared" ref="T276:AD276" si="361">T281+T282</f>
        <v>183</v>
      </c>
      <c r="U276" s="348">
        <f t="shared" si="361"/>
        <v>123</v>
      </c>
      <c r="V276" s="348">
        <f t="shared" si="361"/>
        <v>144</v>
      </c>
      <c r="W276" s="348">
        <f t="shared" si="361"/>
        <v>152</v>
      </c>
      <c r="X276" s="348">
        <f t="shared" si="361"/>
        <v>101</v>
      </c>
      <c r="Y276" s="348">
        <f t="shared" si="361"/>
        <v>117</v>
      </c>
      <c r="Z276" s="348">
        <f t="shared" si="361"/>
        <v>132</v>
      </c>
      <c r="AA276" s="348">
        <f t="shared" si="361"/>
        <v>93</v>
      </c>
      <c r="AB276" s="348">
        <f t="shared" si="361"/>
        <v>141</v>
      </c>
      <c r="AC276" s="348">
        <f t="shared" si="361"/>
        <v>84</v>
      </c>
      <c r="AD276" s="348">
        <f t="shared" si="361"/>
        <v>119</v>
      </c>
      <c r="AE276" s="348">
        <f t="shared" si="316"/>
        <v>1563</v>
      </c>
      <c r="AF276" s="349">
        <f t="shared" si="317"/>
        <v>130.25</v>
      </c>
      <c r="AG276" s="370"/>
      <c r="AH276" s="347">
        <f t="shared" ref="AH276:AM276" si="362">AH281+AH282</f>
        <v>189</v>
      </c>
      <c r="AI276" s="348">
        <f t="shared" si="362"/>
        <v>62</v>
      </c>
      <c r="AJ276" s="348">
        <f t="shared" si="362"/>
        <v>164</v>
      </c>
      <c r="AK276" s="348">
        <f t="shared" si="362"/>
        <v>127</v>
      </c>
      <c r="AL276" s="348">
        <f t="shared" si="362"/>
        <v>121</v>
      </c>
      <c r="AM276" s="348">
        <f t="shared" si="362"/>
        <v>103</v>
      </c>
      <c r="AN276" s="348">
        <v>139</v>
      </c>
      <c r="AO276" s="348">
        <f>AO281+AO282</f>
        <v>86</v>
      </c>
      <c r="AP276" s="348">
        <f>AP281+AP282</f>
        <v>103</v>
      </c>
      <c r="AQ276" s="348">
        <f>AQ281+AQ282</f>
        <v>91</v>
      </c>
      <c r="AR276" s="348">
        <v>93</v>
      </c>
      <c r="AS276" s="348">
        <v>111</v>
      </c>
      <c r="AT276" s="348">
        <f t="shared" si="318"/>
        <v>1389</v>
      </c>
      <c r="AU276" s="349">
        <f t="shared" si="319"/>
        <v>115.75</v>
      </c>
      <c r="AX276" s="347">
        <v>119</v>
      </c>
      <c r="AY276" s="348">
        <v>201</v>
      </c>
      <c r="AZ276" s="348">
        <f>AZ281+AZ282</f>
        <v>83</v>
      </c>
      <c r="BA276" s="348">
        <v>135</v>
      </c>
      <c r="BB276" s="348">
        <v>288</v>
      </c>
      <c r="BC276" s="348">
        <f>BC281+BC282</f>
        <v>123</v>
      </c>
      <c r="BD276" s="348">
        <v>171</v>
      </c>
      <c r="BE276" s="348">
        <v>135</v>
      </c>
      <c r="BF276" s="348">
        <v>182</v>
      </c>
      <c r="BG276" s="348">
        <v>135</v>
      </c>
      <c r="BH276" s="348">
        <v>189</v>
      </c>
      <c r="BI276" s="348">
        <v>192</v>
      </c>
      <c r="BJ276" s="348">
        <f t="shared" si="320"/>
        <v>1953</v>
      </c>
      <c r="BK276" s="349">
        <f t="shared" si="321"/>
        <v>162.75</v>
      </c>
      <c r="BN276" s="322">
        <f t="shared" si="332"/>
        <v>81</v>
      </c>
      <c r="BO276" s="322">
        <f t="shared" si="309"/>
        <v>47</v>
      </c>
      <c r="BP276" s="322">
        <f t="shared" si="310"/>
        <v>564</v>
      </c>
      <c r="BQ276" s="322">
        <f t="shared" si="322"/>
        <v>3</v>
      </c>
      <c r="BR276" s="2265">
        <f t="shared" si="312"/>
        <v>189</v>
      </c>
      <c r="BS276" s="2265">
        <f t="shared" si="313"/>
        <v>192</v>
      </c>
    </row>
    <row r="277" spans="1:71" x14ac:dyDescent="0.55000000000000004">
      <c r="A277" s="7531"/>
      <c r="B277" s="250" t="s">
        <v>223</v>
      </c>
      <c r="C277" s="14"/>
      <c r="D277" s="350">
        <f>D283</f>
        <v>142</v>
      </c>
      <c r="E277" s="280">
        <f t="shared" ref="E277:O277" si="363">E283</f>
        <v>181</v>
      </c>
      <c r="F277" s="280">
        <f t="shared" si="363"/>
        <v>109</v>
      </c>
      <c r="G277" s="280">
        <f t="shared" si="363"/>
        <v>135</v>
      </c>
      <c r="H277" s="280">
        <f t="shared" si="363"/>
        <v>134</v>
      </c>
      <c r="I277" s="280">
        <f t="shared" si="363"/>
        <v>112</v>
      </c>
      <c r="J277" s="280">
        <f t="shared" si="363"/>
        <v>104</v>
      </c>
      <c r="K277" s="280">
        <f t="shared" si="363"/>
        <v>130</v>
      </c>
      <c r="L277" s="280">
        <f t="shared" si="363"/>
        <v>104</v>
      </c>
      <c r="M277" s="280">
        <f t="shared" si="363"/>
        <v>128</v>
      </c>
      <c r="N277" s="280">
        <f t="shared" si="363"/>
        <v>122</v>
      </c>
      <c r="O277" s="280">
        <f t="shared" si="363"/>
        <v>107</v>
      </c>
      <c r="P277" s="280">
        <f t="shared" si="314"/>
        <v>1508</v>
      </c>
      <c r="Q277" s="351">
        <f t="shared" si="315"/>
        <v>125.66666666666667</v>
      </c>
      <c r="R277" s="370"/>
      <c r="S277" s="350">
        <f>S283</f>
        <v>119</v>
      </c>
      <c r="T277" s="280">
        <f t="shared" ref="T277:AD277" si="364">T283</f>
        <v>154</v>
      </c>
      <c r="U277" s="280">
        <f t="shared" si="364"/>
        <v>100</v>
      </c>
      <c r="V277" s="280">
        <f t="shared" si="364"/>
        <v>52</v>
      </c>
      <c r="W277" s="280">
        <f t="shared" si="364"/>
        <v>111</v>
      </c>
      <c r="X277" s="280">
        <f t="shared" si="364"/>
        <v>108</v>
      </c>
      <c r="Y277" s="280">
        <f t="shared" si="364"/>
        <v>82</v>
      </c>
      <c r="Z277" s="280">
        <f t="shared" si="364"/>
        <v>127</v>
      </c>
      <c r="AA277" s="280">
        <f t="shared" si="364"/>
        <v>54</v>
      </c>
      <c r="AB277" s="280">
        <f t="shared" si="364"/>
        <v>127</v>
      </c>
      <c r="AC277" s="280">
        <f t="shared" si="364"/>
        <v>95</v>
      </c>
      <c r="AD277" s="280">
        <f t="shared" si="364"/>
        <v>58</v>
      </c>
      <c r="AE277" s="280">
        <f t="shared" si="316"/>
        <v>1187</v>
      </c>
      <c r="AF277" s="351">
        <f t="shared" si="317"/>
        <v>98.916666666666671</v>
      </c>
      <c r="AG277" s="370"/>
      <c r="AH277" s="350">
        <f t="shared" ref="AH277:AM278" si="365">AH283</f>
        <v>167</v>
      </c>
      <c r="AI277" s="280">
        <f t="shared" si="365"/>
        <v>66</v>
      </c>
      <c r="AJ277" s="280">
        <f t="shared" si="365"/>
        <v>121</v>
      </c>
      <c r="AK277" s="280">
        <f t="shared" si="365"/>
        <v>87</v>
      </c>
      <c r="AL277" s="280">
        <f t="shared" si="365"/>
        <v>101</v>
      </c>
      <c r="AM277" s="280">
        <f t="shared" si="365"/>
        <v>67</v>
      </c>
      <c r="AN277" s="280">
        <v>82</v>
      </c>
      <c r="AO277" s="280">
        <f t="shared" ref="AO277:AQ278" si="366">AO283</f>
        <v>76</v>
      </c>
      <c r="AP277" s="280">
        <f t="shared" si="366"/>
        <v>86</v>
      </c>
      <c r="AQ277" s="280">
        <f t="shared" si="366"/>
        <v>115</v>
      </c>
      <c r="AR277" s="280">
        <v>76</v>
      </c>
      <c r="AS277" s="280">
        <v>72</v>
      </c>
      <c r="AT277" s="280">
        <f t="shared" si="318"/>
        <v>1116</v>
      </c>
      <c r="AU277" s="351">
        <f t="shared" si="319"/>
        <v>93</v>
      </c>
      <c r="AX277" s="350">
        <v>59</v>
      </c>
      <c r="AY277" s="280">
        <v>185</v>
      </c>
      <c r="AZ277" s="280">
        <f>AZ283</f>
        <v>64</v>
      </c>
      <c r="BA277" s="280">
        <v>60</v>
      </c>
      <c r="BB277" s="280">
        <v>219</v>
      </c>
      <c r="BC277" s="280">
        <f>BC283</f>
        <v>46</v>
      </c>
      <c r="BD277" s="280">
        <v>56</v>
      </c>
      <c r="BE277" s="280">
        <v>86</v>
      </c>
      <c r="BF277" s="280">
        <v>51</v>
      </c>
      <c r="BG277" s="280">
        <v>70</v>
      </c>
      <c r="BH277" s="280">
        <v>74</v>
      </c>
      <c r="BI277" s="280">
        <v>70</v>
      </c>
      <c r="BJ277" s="280">
        <f t="shared" si="320"/>
        <v>1040</v>
      </c>
      <c r="BK277" s="351">
        <f t="shared" si="321"/>
        <v>86.666666666666671</v>
      </c>
      <c r="BN277" s="322">
        <f t="shared" si="332"/>
        <v>-2</v>
      </c>
      <c r="BO277" s="322">
        <f t="shared" si="309"/>
        <v>-6.3333333333333286</v>
      </c>
      <c r="BP277" s="322">
        <f t="shared" si="310"/>
        <v>-76</v>
      </c>
      <c r="BQ277" s="322">
        <f t="shared" si="322"/>
        <v>-4</v>
      </c>
      <c r="BR277" s="2265">
        <f t="shared" si="312"/>
        <v>74</v>
      </c>
      <c r="BS277" s="2265">
        <f t="shared" si="313"/>
        <v>70</v>
      </c>
    </row>
    <row r="278" spans="1:71" x14ac:dyDescent="0.55000000000000004">
      <c r="A278" s="7531"/>
      <c r="B278" s="250" t="s">
        <v>224</v>
      </c>
      <c r="C278" s="14"/>
      <c r="D278" s="350">
        <f>D284</f>
        <v>146</v>
      </c>
      <c r="E278" s="280">
        <f t="shared" ref="E278:O278" si="367">E284</f>
        <v>161</v>
      </c>
      <c r="F278" s="280">
        <f t="shared" si="367"/>
        <v>145</v>
      </c>
      <c r="G278" s="280">
        <f t="shared" si="367"/>
        <v>177</v>
      </c>
      <c r="H278" s="280">
        <f t="shared" si="367"/>
        <v>178</v>
      </c>
      <c r="I278" s="280">
        <f t="shared" si="367"/>
        <v>119</v>
      </c>
      <c r="J278" s="280">
        <f t="shared" si="367"/>
        <v>146</v>
      </c>
      <c r="K278" s="280">
        <f t="shared" si="367"/>
        <v>135</v>
      </c>
      <c r="L278" s="280">
        <f t="shared" si="367"/>
        <v>109</v>
      </c>
      <c r="M278" s="280">
        <f t="shared" si="367"/>
        <v>186</v>
      </c>
      <c r="N278" s="280">
        <f t="shared" si="367"/>
        <v>177</v>
      </c>
      <c r="O278" s="280">
        <f t="shared" si="367"/>
        <v>154</v>
      </c>
      <c r="P278" s="280">
        <f t="shared" si="314"/>
        <v>1833</v>
      </c>
      <c r="Q278" s="351">
        <f t="shared" si="315"/>
        <v>152.75</v>
      </c>
      <c r="R278" s="370"/>
      <c r="S278" s="350">
        <f>S284</f>
        <v>215</v>
      </c>
      <c r="T278" s="280">
        <f t="shared" ref="T278:AD278" si="368">T284</f>
        <v>158</v>
      </c>
      <c r="U278" s="280">
        <f t="shared" si="368"/>
        <v>176</v>
      </c>
      <c r="V278" s="280">
        <f t="shared" si="368"/>
        <v>171</v>
      </c>
      <c r="W278" s="280">
        <f t="shared" si="368"/>
        <v>142</v>
      </c>
      <c r="X278" s="280">
        <f t="shared" si="368"/>
        <v>114</v>
      </c>
      <c r="Y278" s="280">
        <f t="shared" si="368"/>
        <v>135</v>
      </c>
      <c r="Z278" s="280">
        <f t="shared" si="368"/>
        <v>169</v>
      </c>
      <c r="AA278" s="280">
        <f t="shared" si="368"/>
        <v>106</v>
      </c>
      <c r="AB278" s="280">
        <f t="shared" si="368"/>
        <v>148</v>
      </c>
      <c r="AC278" s="280">
        <f t="shared" si="368"/>
        <v>103</v>
      </c>
      <c r="AD278" s="280">
        <f t="shared" si="368"/>
        <v>121</v>
      </c>
      <c r="AE278" s="280">
        <f t="shared" si="316"/>
        <v>1758</v>
      </c>
      <c r="AF278" s="351">
        <f t="shared" si="317"/>
        <v>146.5</v>
      </c>
      <c r="AG278" s="370"/>
      <c r="AH278" s="350">
        <f t="shared" si="365"/>
        <v>174</v>
      </c>
      <c r="AI278" s="280">
        <f t="shared" si="365"/>
        <v>119</v>
      </c>
      <c r="AJ278" s="280">
        <f t="shared" si="365"/>
        <v>134</v>
      </c>
      <c r="AK278" s="280">
        <f t="shared" si="365"/>
        <v>121</v>
      </c>
      <c r="AL278" s="280">
        <f t="shared" si="365"/>
        <v>119</v>
      </c>
      <c r="AM278" s="280">
        <f t="shared" si="365"/>
        <v>110</v>
      </c>
      <c r="AN278" s="280">
        <v>87</v>
      </c>
      <c r="AO278" s="280">
        <f t="shared" si="366"/>
        <v>93</v>
      </c>
      <c r="AP278" s="280">
        <f t="shared" si="366"/>
        <v>153</v>
      </c>
      <c r="AQ278" s="280">
        <f t="shared" si="366"/>
        <v>90</v>
      </c>
      <c r="AR278" s="280">
        <v>76</v>
      </c>
      <c r="AS278" s="280">
        <v>87</v>
      </c>
      <c r="AT278" s="280">
        <f t="shared" si="318"/>
        <v>1363</v>
      </c>
      <c r="AU278" s="351">
        <f t="shared" si="319"/>
        <v>113.58333333333333</v>
      </c>
      <c r="AX278" s="350">
        <v>136</v>
      </c>
      <c r="AY278" s="280">
        <v>198</v>
      </c>
      <c r="AZ278" s="280">
        <f>AZ284</f>
        <v>90</v>
      </c>
      <c r="BA278" s="280">
        <v>122</v>
      </c>
      <c r="BB278" s="280">
        <v>219</v>
      </c>
      <c r="BC278" s="280">
        <f>BC284</f>
        <v>63</v>
      </c>
      <c r="BD278" s="280">
        <v>87</v>
      </c>
      <c r="BE278" s="280">
        <v>90</v>
      </c>
      <c r="BF278" s="280">
        <v>72</v>
      </c>
      <c r="BG278" s="280">
        <v>84</v>
      </c>
      <c r="BH278" s="280">
        <v>103</v>
      </c>
      <c r="BI278" s="280">
        <v>115</v>
      </c>
      <c r="BJ278" s="280">
        <f t="shared" si="320"/>
        <v>1379</v>
      </c>
      <c r="BK278" s="351">
        <f t="shared" si="321"/>
        <v>114.91666666666667</v>
      </c>
      <c r="BN278" s="322">
        <f t="shared" si="332"/>
        <v>28</v>
      </c>
      <c r="BO278" s="322">
        <f t="shared" si="309"/>
        <v>1.3333333333333428</v>
      </c>
      <c r="BP278" s="322">
        <f t="shared" si="310"/>
        <v>16</v>
      </c>
      <c r="BQ278" s="322">
        <f t="shared" si="322"/>
        <v>12</v>
      </c>
      <c r="BR278" s="2265">
        <f t="shared" si="312"/>
        <v>103</v>
      </c>
      <c r="BS278" s="2265">
        <f t="shared" si="313"/>
        <v>115</v>
      </c>
    </row>
    <row r="279" spans="1:71" x14ac:dyDescent="0.55000000000000004">
      <c r="A279" s="7531"/>
      <c r="B279" s="250" t="s">
        <v>225</v>
      </c>
      <c r="C279" s="14"/>
      <c r="D279" s="350">
        <f>D285+D286</f>
        <v>207</v>
      </c>
      <c r="E279" s="280">
        <f t="shared" ref="E279:O279" si="369">E285+E286</f>
        <v>218</v>
      </c>
      <c r="F279" s="280">
        <f t="shared" si="369"/>
        <v>259</v>
      </c>
      <c r="G279" s="280">
        <f t="shared" si="369"/>
        <v>218</v>
      </c>
      <c r="H279" s="280">
        <f t="shared" si="369"/>
        <v>201</v>
      </c>
      <c r="I279" s="280">
        <f t="shared" si="369"/>
        <v>219</v>
      </c>
      <c r="J279" s="280">
        <f t="shared" si="369"/>
        <v>215</v>
      </c>
      <c r="K279" s="280">
        <f t="shared" si="369"/>
        <v>215</v>
      </c>
      <c r="L279" s="280">
        <f t="shared" si="369"/>
        <v>206</v>
      </c>
      <c r="M279" s="280">
        <f t="shared" si="369"/>
        <v>261</v>
      </c>
      <c r="N279" s="280">
        <f t="shared" si="369"/>
        <v>236</v>
      </c>
      <c r="O279" s="280">
        <f t="shared" si="369"/>
        <v>153</v>
      </c>
      <c r="P279" s="280">
        <f t="shared" si="314"/>
        <v>2608</v>
      </c>
      <c r="Q279" s="351">
        <f t="shared" si="315"/>
        <v>217.33333333333334</v>
      </c>
      <c r="R279" s="370"/>
      <c r="S279" s="350">
        <f>S285+S286</f>
        <v>272</v>
      </c>
      <c r="T279" s="280">
        <f t="shared" ref="T279:AD279" si="370">T285+T286</f>
        <v>272</v>
      </c>
      <c r="U279" s="280">
        <f t="shared" si="370"/>
        <v>174</v>
      </c>
      <c r="V279" s="280">
        <f t="shared" si="370"/>
        <v>221</v>
      </c>
      <c r="W279" s="280">
        <f t="shared" si="370"/>
        <v>176</v>
      </c>
      <c r="X279" s="280">
        <f t="shared" si="370"/>
        <v>176</v>
      </c>
      <c r="Y279" s="280">
        <f t="shared" si="370"/>
        <v>198</v>
      </c>
      <c r="Z279" s="280">
        <f t="shared" si="370"/>
        <v>241</v>
      </c>
      <c r="AA279" s="280">
        <f t="shared" si="370"/>
        <v>171</v>
      </c>
      <c r="AB279" s="280">
        <f t="shared" si="370"/>
        <v>172</v>
      </c>
      <c r="AC279" s="280">
        <f t="shared" si="370"/>
        <v>182</v>
      </c>
      <c r="AD279" s="280">
        <f t="shared" si="370"/>
        <v>180</v>
      </c>
      <c r="AE279" s="280">
        <f t="shared" si="316"/>
        <v>2435</v>
      </c>
      <c r="AF279" s="351">
        <f t="shared" si="317"/>
        <v>202.91666666666666</v>
      </c>
      <c r="AG279" s="370"/>
      <c r="AH279" s="350">
        <f t="shared" ref="AH279:AM279" si="371">AH285+AH286</f>
        <v>291</v>
      </c>
      <c r="AI279" s="280">
        <f t="shared" si="371"/>
        <v>193</v>
      </c>
      <c r="AJ279" s="280">
        <f t="shared" si="371"/>
        <v>202</v>
      </c>
      <c r="AK279" s="280">
        <f t="shared" si="371"/>
        <v>200</v>
      </c>
      <c r="AL279" s="280">
        <f t="shared" si="371"/>
        <v>233</v>
      </c>
      <c r="AM279" s="280">
        <f t="shared" si="371"/>
        <v>192</v>
      </c>
      <c r="AN279" s="280">
        <v>196</v>
      </c>
      <c r="AO279" s="280">
        <f>AO285+AO286</f>
        <v>185</v>
      </c>
      <c r="AP279" s="280">
        <f>AP285+AP286</f>
        <v>298</v>
      </c>
      <c r="AQ279" s="280">
        <f>AQ285+AQ286</f>
        <v>174</v>
      </c>
      <c r="AR279" s="280">
        <v>228</v>
      </c>
      <c r="AS279" s="280">
        <v>170</v>
      </c>
      <c r="AT279" s="280">
        <f t="shared" si="318"/>
        <v>2562</v>
      </c>
      <c r="AU279" s="351">
        <f t="shared" si="319"/>
        <v>213.5</v>
      </c>
      <c r="AX279" s="350">
        <v>201</v>
      </c>
      <c r="AY279" s="280">
        <v>261</v>
      </c>
      <c r="AZ279" s="280">
        <f>AZ285+AZ286</f>
        <v>177</v>
      </c>
      <c r="BA279" s="280">
        <v>245</v>
      </c>
      <c r="BB279" s="280">
        <v>516</v>
      </c>
      <c r="BC279" s="280">
        <f>BC285+BC286</f>
        <v>205</v>
      </c>
      <c r="BD279" s="280">
        <v>182</v>
      </c>
      <c r="BE279" s="280">
        <v>161</v>
      </c>
      <c r="BF279" s="280">
        <v>267</v>
      </c>
      <c r="BG279" s="280">
        <v>186</v>
      </c>
      <c r="BH279" s="280">
        <v>163</v>
      </c>
      <c r="BI279" s="280">
        <v>255</v>
      </c>
      <c r="BJ279" s="280">
        <f t="shared" si="320"/>
        <v>2819</v>
      </c>
      <c r="BK279" s="351">
        <f t="shared" si="321"/>
        <v>234.91666666666666</v>
      </c>
      <c r="BN279" s="322">
        <f t="shared" si="332"/>
        <v>85</v>
      </c>
      <c r="BO279" s="322">
        <f t="shared" si="309"/>
        <v>21.416666666666657</v>
      </c>
      <c r="BP279" s="322">
        <f t="shared" si="310"/>
        <v>257</v>
      </c>
      <c r="BQ279" s="322">
        <f t="shared" si="322"/>
        <v>92</v>
      </c>
      <c r="BR279" s="2265">
        <f t="shared" si="312"/>
        <v>163</v>
      </c>
      <c r="BS279" s="2265">
        <f t="shared" si="313"/>
        <v>255</v>
      </c>
    </row>
    <row r="280" spans="1:71" x14ac:dyDescent="0.55000000000000004">
      <c r="A280" s="7531"/>
      <c r="B280" s="251" t="s">
        <v>226</v>
      </c>
      <c r="C280" s="103"/>
      <c r="D280" s="352">
        <f>D287+D288</f>
        <v>110</v>
      </c>
      <c r="E280" s="353">
        <f t="shared" ref="E280:O280" si="372">E287+E288</f>
        <v>104</v>
      </c>
      <c r="F280" s="353">
        <f t="shared" si="372"/>
        <v>149</v>
      </c>
      <c r="G280" s="353">
        <f t="shared" si="372"/>
        <v>130</v>
      </c>
      <c r="H280" s="353">
        <f t="shared" si="372"/>
        <v>159</v>
      </c>
      <c r="I280" s="353">
        <f t="shared" si="372"/>
        <v>128</v>
      </c>
      <c r="J280" s="353">
        <f t="shared" si="372"/>
        <v>130</v>
      </c>
      <c r="K280" s="353">
        <f t="shared" si="372"/>
        <v>100</v>
      </c>
      <c r="L280" s="353">
        <f t="shared" si="372"/>
        <v>122</v>
      </c>
      <c r="M280" s="353">
        <f t="shared" si="372"/>
        <v>189</v>
      </c>
      <c r="N280" s="353">
        <f t="shared" si="372"/>
        <v>164</v>
      </c>
      <c r="O280" s="353">
        <f t="shared" si="372"/>
        <v>152</v>
      </c>
      <c r="P280" s="353">
        <f t="shared" si="314"/>
        <v>1637</v>
      </c>
      <c r="Q280" s="354">
        <f t="shared" si="315"/>
        <v>136.41666666666666</v>
      </c>
      <c r="R280" s="370"/>
      <c r="S280" s="352">
        <f>S287+S288</f>
        <v>196</v>
      </c>
      <c r="T280" s="353">
        <f t="shared" ref="T280:AD280" si="373">T287+T288</f>
        <v>167</v>
      </c>
      <c r="U280" s="353">
        <f t="shared" si="373"/>
        <v>123</v>
      </c>
      <c r="V280" s="353">
        <f t="shared" si="373"/>
        <v>137</v>
      </c>
      <c r="W280" s="353">
        <f t="shared" si="373"/>
        <v>114</v>
      </c>
      <c r="X280" s="353">
        <f t="shared" si="373"/>
        <v>132</v>
      </c>
      <c r="Y280" s="353">
        <f t="shared" si="373"/>
        <v>165</v>
      </c>
      <c r="Z280" s="353">
        <f t="shared" si="373"/>
        <v>193</v>
      </c>
      <c r="AA280" s="353">
        <f t="shared" si="373"/>
        <v>88</v>
      </c>
      <c r="AB280" s="353">
        <f t="shared" si="373"/>
        <v>156</v>
      </c>
      <c r="AC280" s="353">
        <f t="shared" si="373"/>
        <v>125</v>
      </c>
      <c r="AD280" s="353">
        <f t="shared" si="373"/>
        <v>104</v>
      </c>
      <c r="AE280" s="353">
        <f t="shared" si="316"/>
        <v>1700</v>
      </c>
      <c r="AF280" s="354">
        <f t="shared" si="317"/>
        <v>141.66666666666666</v>
      </c>
      <c r="AG280" s="370"/>
      <c r="AH280" s="352">
        <f t="shared" ref="AH280:AM280" si="374">AH287+AH288</f>
        <v>259</v>
      </c>
      <c r="AI280" s="353">
        <f t="shared" si="374"/>
        <v>122</v>
      </c>
      <c r="AJ280" s="353">
        <f t="shared" si="374"/>
        <v>156</v>
      </c>
      <c r="AK280" s="353">
        <f t="shared" si="374"/>
        <v>134</v>
      </c>
      <c r="AL280" s="353">
        <f t="shared" si="374"/>
        <v>91</v>
      </c>
      <c r="AM280" s="353">
        <f t="shared" si="374"/>
        <v>135</v>
      </c>
      <c r="AN280" s="353">
        <v>81</v>
      </c>
      <c r="AO280" s="353">
        <f>AO287+AO288</f>
        <v>105</v>
      </c>
      <c r="AP280" s="353">
        <f>AP287+AP288</f>
        <v>202</v>
      </c>
      <c r="AQ280" s="353">
        <f>AQ287+AQ288</f>
        <v>92</v>
      </c>
      <c r="AR280" s="353">
        <v>75</v>
      </c>
      <c r="AS280" s="353">
        <v>60</v>
      </c>
      <c r="AT280" s="353">
        <f t="shared" si="318"/>
        <v>1512</v>
      </c>
      <c r="AU280" s="354">
        <f t="shared" si="319"/>
        <v>126</v>
      </c>
      <c r="AX280" s="352">
        <v>75</v>
      </c>
      <c r="AY280" s="353">
        <v>167</v>
      </c>
      <c r="AZ280" s="353">
        <f>AZ287+AZ288</f>
        <v>80</v>
      </c>
      <c r="BA280" s="353">
        <v>96</v>
      </c>
      <c r="BB280" s="353">
        <v>349</v>
      </c>
      <c r="BC280" s="353">
        <f>BC287+BC288</f>
        <v>71</v>
      </c>
      <c r="BD280" s="353">
        <v>77</v>
      </c>
      <c r="BE280" s="353">
        <v>105</v>
      </c>
      <c r="BF280" s="353">
        <v>110</v>
      </c>
      <c r="BG280" s="353">
        <v>84</v>
      </c>
      <c r="BH280" s="353">
        <v>88</v>
      </c>
      <c r="BI280" s="353">
        <v>93</v>
      </c>
      <c r="BJ280" s="353">
        <f t="shared" si="320"/>
        <v>1395</v>
      </c>
      <c r="BK280" s="354">
        <f t="shared" si="321"/>
        <v>116.25</v>
      </c>
      <c r="BN280" s="322">
        <f t="shared" si="332"/>
        <v>33</v>
      </c>
      <c r="BO280" s="322">
        <f t="shared" si="309"/>
        <v>-9.75</v>
      </c>
      <c r="BP280" s="322">
        <f t="shared" si="310"/>
        <v>-117</v>
      </c>
      <c r="BQ280" s="322">
        <f t="shared" si="322"/>
        <v>5</v>
      </c>
      <c r="BR280" s="2265">
        <f t="shared" si="312"/>
        <v>88</v>
      </c>
      <c r="BS280" s="2265">
        <f t="shared" si="313"/>
        <v>93</v>
      </c>
    </row>
    <row r="281" spans="1:71" s="172" customFormat="1" x14ac:dyDescent="0.55000000000000004">
      <c r="A281" s="7531"/>
      <c r="B281" s="252"/>
      <c r="C281" s="180" t="s">
        <v>242</v>
      </c>
      <c r="D281" s="355">
        <v>125</v>
      </c>
      <c r="E281" s="356">
        <v>135</v>
      </c>
      <c r="F281" s="356">
        <v>113</v>
      </c>
      <c r="G281" s="356">
        <v>111</v>
      </c>
      <c r="H281" s="356">
        <v>124</v>
      </c>
      <c r="I281" s="356">
        <v>112</v>
      </c>
      <c r="J281" s="356">
        <v>85</v>
      </c>
      <c r="K281" s="356">
        <v>124</v>
      </c>
      <c r="L281" s="356">
        <v>67</v>
      </c>
      <c r="M281" s="356">
        <v>137</v>
      </c>
      <c r="N281" s="356">
        <v>107</v>
      </c>
      <c r="O281" s="356">
        <v>104</v>
      </c>
      <c r="P281" s="356">
        <f t="shared" si="314"/>
        <v>1344</v>
      </c>
      <c r="Q281" s="357">
        <f t="shared" si="315"/>
        <v>112</v>
      </c>
      <c r="R281" s="372"/>
      <c r="S281" s="355">
        <v>133</v>
      </c>
      <c r="T281" s="356">
        <v>137</v>
      </c>
      <c r="U281" s="356">
        <v>87</v>
      </c>
      <c r="V281" s="356">
        <v>106</v>
      </c>
      <c r="W281" s="356">
        <v>116</v>
      </c>
      <c r="X281" s="356">
        <v>71</v>
      </c>
      <c r="Y281" s="356">
        <v>90</v>
      </c>
      <c r="Z281" s="356">
        <v>93</v>
      </c>
      <c r="AA281" s="356">
        <v>71</v>
      </c>
      <c r="AB281" s="356">
        <v>99</v>
      </c>
      <c r="AC281" s="356">
        <v>62</v>
      </c>
      <c r="AD281" s="356">
        <v>87</v>
      </c>
      <c r="AE281" s="356">
        <f t="shared" si="316"/>
        <v>1152</v>
      </c>
      <c r="AF281" s="357">
        <f t="shared" si="317"/>
        <v>96</v>
      </c>
      <c r="AG281" s="372"/>
      <c r="AH281" s="355">
        <v>135</v>
      </c>
      <c r="AI281" s="356">
        <v>55</v>
      </c>
      <c r="AJ281" s="356">
        <v>123</v>
      </c>
      <c r="AK281" s="356">
        <v>90</v>
      </c>
      <c r="AL281" s="356">
        <v>89</v>
      </c>
      <c r="AM281" s="356">
        <v>67</v>
      </c>
      <c r="AN281" s="356">
        <v>97</v>
      </c>
      <c r="AO281" s="356">
        <v>61</v>
      </c>
      <c r="AP281" s="356">
        <v>72</v>
      </c>
      <c r="AQ281" s="356">
        <v>56</v>
      </c>
      <c r="AR281" s="356">
        <v>51</v>
      </c>
      <c r="AS281" s="356">
        <v>89</v>
      </c>
      <c r="AT281" s="356">
        <f t="shared" si="318"/>
        <v>985</v>
      </c>
      <c r="AU281" s="357">
        <f t="shared" si="319"/>
        <v>82.083333333333329</v>
      </c>
      <c r="AX281" s="355">
        <v>89</v>
      </c>
      <c r="AY281" s="356">
        <v>138</v>
      </c>
      <c r="AZ281" s="356">
        <v>63</v>
      </c>
      <c r="BA281" s="356">
        <v>103</v>
      </c>
      <c r="BB281" s="356">
        <v>94</v>
      </c>
      <c r="BC281" s="356">
        <v>107</v>
      </c>
      <c r="BD281" s="356">
        <v>171</v>
      </c>
      <c r="BE281" s="356">
        <v>135</v>
      </c>
      <c r="BF281" s="356">
        <v>182</v>
      </c>
      <c r="BG281" s="356">
        <v>135</v>
      </c>
      <c r="BH281" s="356">
        <v>189</v>
      </c>
      <c r="BI281" s="356">
        <v>192</v>
      </c>
      <c r="BJ281" s="356">
        <f t="shared" si="320"/>
        <v>1598</v>
      </c>
      <c r="BK281" s="357">
        <f t="shared" si="321"/>
        <v>133.16666666666666</v>
      </c>
      <c r="BN281" s="322">
        <f t="shared" si="332"/>
        <v>103</v>
      </c>
      <c r="BO281" s="322">
        <f t="shared" si="309"/>
        <v>51.083333333333329</v>
      </c>
      <c r="BP281" s="322">
        <f t="shared" si="310"/>
        <v>613</v>
      </c>
      <c r="BQ281" s="322">
        <f t="shared" si="322"/>
        <v>3</v>
      </c>
      <c r="BR281" s="2265">
        <f t="shared" si="312"/>
        <v>189</v>
      </c>
      <c r="BS281" s="2265">
        <f t="shared" si="313"/>
        <v>192</v>
      </c>
    </row>
    <row r="282" spans="1:71" s="172" customFormat="1" x14ac:dyDescent="0.55000000000000004">
      <c r="A282" s="7531"/>
      <c r="B282" s="253"/>
      <c r="C282" s="181" t="s">
        <v>243</v>
      </c>
      <c r="D282" s="358">
        <v>29</v>
      </c>
      <c r="E282" s="359">
        <v>35</v>
      </c>
      <c r="F282" s="359">
        <v>33</v>
      </c>
      <c r="G282" s="359">
        <v>52</v>
      </c>
      <c r="H282" s="359">
        <v>32</v>
      </c>
      <c r="I282" s="359">
        <v>39</v>
      </c>
      <c r="J282" s="359">
        <v>23</v>
      </c>
      <c r="K282" s="359">
        <v>33</v>
      </c>
      <c r="L282" s="359">
        <v>25</v>
      </c>
      <c r="M282" s="359">
        <v>44</v>
      </c>
      <c r="N282" s="359">
        <v>24</v>
      </c>
      <c r="O282" s="359">
        <v>29</v>
      </c>
      <c r="P282" s="359">
        <f t="shared" si="314"/>
        <v>398</v>
      </c>
      <c r="Q282" s="360">
        <f t="shared" si="315"/>
        <v>33.166666666666664</v>
      </c>
      <c r="R282" s="372"/>
      <c r="S282" s="358">
        <v>41</v>
      </c>
      <c r="T282" s="359">
        <v>46</v>
      </c>
      <c r="U282" s="359">
        <v>36</v>
      </c>
      <c r="V282" s="359">
        <v>38</v>
      </c>
      <c r="W282" s="359">
        <v>36</v>
      </c>
      <c r="X282" s="359">
        <v>30</v>
      </c>
      <c r="Y282" s="359">
        <v>27</v>
      </c>
      <c r="Z282" s="359">
        <v>39</v>
      </c>
      <c r="AA282" s="359">
        <v>22</v>
      </c>
      <c r="AB282" s="359">
        <v>42</v>
      </c>
      <c r="AC282" s="359">
        <v>22</v>
      </c>
      <c r="AD282" s="359">
        <v>32</v>
      </c>
      <c r="AE282" s="359">
        <f t="shared" si="316"/>
        <v>411</v>
      </c>
      <c r="AF282" s="360">
        <f t="shared" si="317"/>
        <v>34.25</v>
      </c>
      <c r="AG282" s="372"/>
      <c r="AH282" s="358">
        <v>54</v>
      </c>
      <c r="AI282" s="359">
        <v>7</v>
      </c>
      <c r="AJ282" s="359">
        <v>41</v>
      </c>
      <c r="AK282" s="359">
        <v>37</v>
      </c>
      <c r="AL282" s="359">
        <v>32</v>
      </c>
      <c r="AM282" s="359">
        <v>36</v>
      </c>
      <c r="AN282" s="359">
        <v>42</v>
      </c>
      <c r="AO282" s="359">
        <v>25</v>
      </c>
      <c r="AP282" s="359">
        <v>31</v>
      </c>
      <c r="AQ282" s="359">
        <v>35</v>
      </c>
      <c r="AR282" s="359">
        <v>42</v>
      </c>
      <c r="AS282" s="359">
        <v>22</v>
      </c>
      <c r="AT282" s="359">
        <f t="shared" si="318"/>
        <v>404</v>
      </c>
      <c r="AU282" s="360">
        <f t="shared" si="319"/>
        <v>33.666666666666664</v>
      </c>
      <c r="AX282" s="358">
        <v>30</v>
      </c>
      <c r="AY282" s="359">
        <v>63</v>
      </c>
      <c r="AZ282" s="359">
        <v>20</v>
      </c>
      <c r="BA282" s="359">
        <v>32</v>
      </c>
      <c r="BB282" s="359">
        <v>34</v>
      </c>
      <c r="BC282" s="359">
        <v>16</v>
      </c>
      <c r="BD282" s="2353">
        <v>0</v>
      </c>
      <c r="BE282" s="2353">
        <v>0</v>
      </c>
      <c r="BF282" s="2353">
        <v>0</v>
      </c>
      <c r="BG282" s="2353">
        <v>0</v>
      </c>
      <c r="BH282" s="2353">
        <v>0</v>
      </c>
      <c r="BI282" s="2353">
        <v>0</v>
      </c>
      <c r="BJ282" s="359">
        <f t="shared" si="320"/>
        <v>195</v>
      </c>
      <c r="BK282" s="360">
        <f t="shared" si="321"/>
        <v>16.25</v>
      </c>
      <c r="BN282" s="322">
        <f t="shared" si="332"/>
        <v>-22</v>
      </c>
      <c r="BO282" s="322">
        <f t="shared" si="309"/>
        <v>-17.416666666666664</v>
      </c>
      <c r="BP282" s="322">
        <f t="shared" si="310"/>
        <v>-209</v>
      </c>
      <c r="BQ282" s="322">
        <f t="shared" si="322"/>
        <v>0</v>
      </c>
      <c r="BR282" s="2265">
        <f t="shared" si="312"/>
        <v>0</v>
      </c>
      <c r="BS282" s="2265">
        <f t="shared" si="313"/>
        <v>0</v>
      </c>
    </row>
    <row r="283" spans="1:71" s="172" customFormat="1" x14ac:dyDescent="0.55000000000000004">
      <c r="A283" s="7531"/>
      <c r="B283" s="253"/>
      <c r="C283" s="173" t="s">
        <v>244</v>
      </c>
      <c r="D283" s="361">
        <v>142</v>
      </c>
      <c r="E283" s="362">
        <v>181</v>
      </c>
      <c r="F283" s="362">
        <v>109</v>
      </c>
      <c r="G283" s="362">
        <v>135</v>
      </c>
      <c r="H283" s="362">
        <v>134</v>
      </c>
      <c r="I283" s="362">
        <v>112</v>
      </c>
      <c r="J283" s="362">
        <v>104</v>
      </c>
      <c r="K283" s="362">
        <v>130</v>
      </c>
      <c r="L283" s="362">
        <v>104</v>
      </c>
      <c r="M283" s="362">
        <v>128</v>
      </c>
      <c r="N283" s="362">
        <v>122</v>
      </c>
      <c r="O283" s="362">
        <v>107</v>
      </c>
      <c r="P283" s="362">
        <f t="shared" si="314"/>
        <v>1508</v>
      </c>
      <c r="Q283" s="363">
        <f t="shared" si="315"/>
        <v>125.66666666666667</v>
      </c>
      <c r="R283" s="372"/>
      <c r="S283" s="361">
        <v>119</v>
      </c>
      <c r="T283" s="362">
        <v>154</v>
      </c>
      <c r="U283" s="362">
        <v>100</v>
      </c>
      <c r="V283" s="362">
        <v>52</v>
      </c>
      <c r="W283" s="362">
        <v>111</v>
      </c>
      <c r="X283" s="362">
        <v>108</v>
      </c>
      <c r="Y283" s="362">
        <v>82</v>
      </c>
      <c r="Z283" s="362">
        <v>127</v>
      </c>
      <c r="AA283" s="362">
        <v>54</v>
      </c>
      <c r="AB283" s="362">
        <v>127</v>
      </c>
      <c r="AC283" s="362">
        <v>95</v>
      </c>
      <c r="AD283" s="362">
        <v>58</v>
      </c>
      <c r="AE283" s="362">
        <f t="shared" si="316"/>
        <v>1187</v>
      </c>
      <c r="AF283" s="363">
        <f t="shared" si="317"/>
        <v>98.916666666666671</v>
      </c>
      <c r="AG283" s="372"/>
      <c r="AH283" s="361">
        <v>167</v>
      </c>
      <c r="AI283" s="362">
        <v>66</v>
      </c>
      <c r="AJ283" s="362">
        <v>121</v>
      </c>
      <c r="AK283" s="362">
        <v>87</v>
      </c>
      <c r="AL283" s="362">
        <v>101</v>
      </c>
      <c r="AM283" s="362">
        <v>67</v>
      </c>
      <c r="AN283" s="362">
        <v>82</v>
      </c>
      <c r="AO283" s="362">
        <v>76</v>
      </c>
      <c r="AP283" s="362">
        <v>86</v>
      </c>
      <c r="AQ283" s="362">
        <v>115</v>
      </c>
      <c r="AR283" s="362">
        <v>76</v>
      </c>
      <c r="AS283" s="362">
        <v>72</v>
      </c>
      <c r="AT283" s="362">
        <f t="shared" si="318"/>
        <v>1116</v>
      </c>
      <c r="AU283" s="363">
        <f t="shared" si="319"/>
        <v>93</v>
      </c>
      <c r="AX283" s="361">
        <v>59</v>
      </c>
      <c r="AY283" s="362">
        <v>185</v>
      </c>
      <c r="AZ283" s="362">
        <v>64</v>
      </c>
      <c r="BA283" s="362">
        <v>60</v>
      </c>
      <c r="BB283" s="362">
        <v>106</v>
      </c>
      <c r="BC283" s="362">
        <v>46</v>
      </c>
      <c r="BD283" s="362">
        <v>56</v>
      </c>
      <c r="BE283" s="362">
        <v>86</v>
      </c>
      <c r="BF283" s="362">
        <v>51</v>
      </c>
      <c r="BG283" s="362">
        <v>70</v>
      </c>
      <c r="BH283" s="362">
        <v>74</v>
      </c>
      <c r="BI283" s="362">
        <v>70</v>
      </c>
      <c r="BJ283" s="362">
        <f t="shared" si="320"/>
        <v>927</v>
      </c>
      <c r="BK283" s="363">
        <f t="shared" si="321"/>
        <v>77.25</v>
      </c>
      <c r="BN283" s="322">
        <f t="shared" si="332"/>
        <v>-2</v>
      </c>
      <c r="BO283" s="322">
        <f t="shared" si="309"/>
        <v>-15.75</v>
      </c>
      <c r="BP283" s="322">
        <f t="shared" si="310"/>
        <v>-189</v>
      </c>
      <c r="BQ283" s="322">
        <f t="shared" si="322"/>
        <v>-4</v>
      </c>
      <c r="BR283" s="2265">
        <f t="shared" si="312"/>
        <v>74</v>
      </c>
      <c r="BS283" s="2265">
        <f t="shared" si="313"/>
        <v>70</v>
      </c>
    </row>
    <row r="284" spans="1:71" s="172" customFormat="1" x14ac:dyDescent="0.55000000000000004">
      <c r="A284" s="7531"/>
      <c r="B284" s="253"/>
      <c r="C284" s="181" t="s">
        <v>245</v>
      </c>
      <c r="D284" s="358">
        <v>146</v>
      </c>
      <c r="E284" s="359">
        <v>161</v>
      </c>
      <c r="F284" s="359">
        <v>145</v>
      </c>
      <c r="G284" s="359">
        <v>177</v>
      </c>
      <c r="H284" s="359">
        <v>178</v>
      </c>
      <c r="I284" s="359">
        <v>119</v>
      </c>
      <c r="J284" s="359">
        <v>146</v>
      </c>
      <c r="K284" s="359">
        <v>135</v>
      </c>
      <c r="L284" s="359">
        <v>109</v>
      </c>
      <c r="M284" s="359">
        <v>186</v>
      </c>
      <c r="N284" s="359">
        <v>177</v>
      </c>
      <c r="O284" s="359">
        <v>154</v>
      </c>
      <c r="P284" s="359">
        <f t="shared" si="314"/>
        <v>1833</v>
      </c>
      <c r="Q284" s="360">
        <f t="shared" si="315"/>
        <v>152.75</v>
      </c>
      <c r="R284" s="372"/>
      <c r="S284" s="358">
        <v>215</v>
      </c>
      <c r="T284" s="359">
        <v>158</v>
      </c>
      <c r="U284" s="359">
        <v>176</v>
      </c>
      <c r="V284" s="359">
        <v>171</v>
      </c>
      <c r="W284" s="359">
        <v>142</v>
      </c>
      <c r="X284" s="359">
        <v>114</v>
      </c>
      <c r="Y284" s="359">
        <v>135</v>
      </c>
      <c r="Z284" s="359">
        <v>169</v>
      </c>
      <c r="AA284" s="359">
        <v>106</v>
      </c>
      <c r="AB284" s="359">
        <v>148</v>
      </c>
      <c r="AC284" s="359">
        <v>103</v>
      </c>
      <c r="AD284" s="359">
        <v>121</v>
      </c>
      <c r="AE284" s="359">
        <f t="shared" si="316"/>
        <v>1758</v>
      </c>
      <c r="AF284" s="360">
        <f t="shared" si="317"/>
        <v>146.5</v>
      </c>
      <c r="AG284" s="372"/>
      <c r="AH284" s="358">
        <v>174</v>
      </c>
      <c r="AI284" s="359">
        <v>119</v>
      </c>
      <c r="AJ284" s="359">
        <v>134</v>
      </c>
      <c r="AK284" s="359">
        <v>121</v>
      </c>
      <c r="AL284" s="359">
        <v>119</v>
      </c>
      <c r="AM284" s="359">
        <v>110</v>
      </c>
      <c r="AN284" s="359">
        <v>87</v>
      </c>
      <c r="AO284" s="359">
        <v>93</v>
      </c>
      <c r="AP284" s="359">
        <v>153</v>
      </c>
      <c r="AQ284" s="359">
        <v>90</v>
      </c>
      <c r="AR284" s="359">
        <v>76</v>
      </c>
      <c r="AS284" s="359">
        <v>87</v>
      </c>
      <c r="AT284" s="359">
        <f t="shared" si="318"/>
        <v>1363</v>
      </c>
      <c r="AU284" s="360">
        <f t="shared" si="319"/>
        <v>113.58333333333333</v>
      </c>
      <c r="AX284" s="358">
        <v>136</v>
      </c>
      <c r="AY284" s="359">
        <v>198</v>
      </c>
      <c r="AZ284" s="359">
        <v>90</v>
      </c>
      <c r="BA284" s="359">
        <v>122</v>
      </c>
      <c r="BB284" s="359">
        <v>113</v>
      </c>
      <c r="BC284" s="359">
        <v>63</v>
      </c>
      <c r="BD284" s="359">
        <v>87</v>
      </c>
      <c r="BE284" s="359">
        <v>90</v>
      </c>
      <c r="BF284" s="359">
        <v>72</v>
      </c>
      <c r="BG284" s="359">
        <v>84</v>
      </c>
      <c r="BH284" s="359">
        <v>103</v>
      </c>
      <c r="BI284" s="359">
        <v>115</v>
      </c>
      <c r="BJ284" s="359">
        <f t="shared" si="320"/>
        <v>1273</v>
      </c>
      <c r="BK284" s="360">
        <f t="shared" si="321"/>
        <v>106.08333333333333</v>
      </c>
      <c r="BN284" s="322">
        <f t="shared" si="332"/>
        <v>28</v>
      </c>
      <c r="BO284" s="322">
        <f t="shared" si="309"/>
        <v>-7.5</v>
      </c>
      <c r="BP284" s="322">
        <f t="shared" si="310"/>
        <v>-90</v>
      </c>
      <c r="BQ284" s="322">
        <f t="shared" si="322"/>
        <v>12</v>
      </c>
      <c r="BR284" s="2265">
        <f t="shared" si="312"/>
        <v>103</v>
      </c>
      <c r="BS284" s="2265">
        <f t="shared" si="313"/>
        <v>115</v>
      </c>
    </row>
    <row r="285" spans="1:71" s="172" customFormat="1" x14ac:dyDescent="0.55000000000000004">
      <c r="A285" s="7531"/>
      <c r="B285" s="253"/>
      <c r="C285" s="173" t="s">
        <v>246</v>
      </c>
      <c r="D285" s="361">
        <v>121</v>
      </c>
      <c r="E285" s="362">
        <v>136</v>
      </c>
      <c r="F285" s="362">
        <v>162</v>
      </c>
      <c r="G285" s="362">
        <v>137</v>
      </c>
      <c r="H285" s="362">
        <v>126</v>
      </c>
      <c r="I285" s="362">
        <v>141</v>
      </c>
      <c r="J285" s="362">
        <v>131</v>
      </c>
      <c r="K285" s="362">
        <v>133</v>
      </c>
      <c r="L285" s="362">
        <v>129</v>
      </c>
      <c r="M285" s="362">
        <v>146</v>
      </c>
      <c r="N285" s="362">
        <v>179</v>
      </c>
      <c r="O285" s="362">
        <v>94</v>
      </c>
      <c r="P285" s="362">
        <f t="shared" si="314"/>
        <v>1635</v>
      </c>
      <c r="Q285" s="363">
        <f t="shared" si="315"/>
        <v>136.25</v>
      </c>
      <c r="R285" s="372"/>
      <c r="S285" s="361">
        <v>121</v>
      </c>
      <c r="T285" s="362">
        <v>177</v>
      </c>
      <c r="U285" s="362">
        <v>116</v>
      </c>
      <c r="V285" s="362">
        <v>107</v>
      </c>
      <c r="W285" s="362">
        <v>100</v>
      </c>
      <c r="X285" s="362">
        <v>104</v>
      </c>
      <c r="Y285" s="362">
        <v>133</v>
      </c>
      <c r="Z285" s="362">
        <v>141</v>
      </c>
      <c r="AA285" s="362">
        <v>99</v>
      </c>
      <c r="AB285" s="362">
        <v>101</v>
      </c>
      <c r="AC285" s="362">
        <v>107</v>
      </c>
      <c r="AD285" s="362">
        <v>115</v>
      </c>
      <c r="AE285" s="362">
        <f t="shared" si="316"/>
        <v>1421</v>
      </c>
      <c r="AF285" s="363">
        <f t="shared" si="317"/>
        <v>118.41666666666667</v>
      </c>
      <c r="AG285" s="372"/>
      <c r="AH285" s="361">
        <v>177</v>
      </c>
      <c r="AI285" s="362">
        <v>103</v>
      </c>
      <c r="AJ285" s="362">
        <v>124</v>
      </c>
      <c r="AK285" s="362">
        <v>124</v>
      </c>
      <c r="AL285" s="362">
        <v>159</v>
      </c>
      <c r="AM285" s="362">
        <v>116</v>
      </c>
      <c r="AN285" s="362">
        <v>111</v>
      </c>
      <c r="AO285" s="362">
        <v>122</v>
      </c>
      <c r="AP285" s="362">
        <v>194</v>
      </c>
      <c r="AQ285" s="362">
        <v>99</v>
      </c>
      <c r="AR285" s="362">
        <v>136</v>
      </c>
      <c r="AS285" s="362">
        <v>105</v>
      </c>
      <c r="AT285" s="362">
        <f t="shared" si="318"/>
        <v>1570</v>
      </c>
      <c r="AU285" s="363">
        <f t="shared" si="319"/>
        <v>130.83333333333334</v>
      </c>
      <c r="AX285" s="361">
        <v>119</v>
      </c>
      <c r="AY285" s="362">
        <v>151</v>
      </c>
      <c r="AZ285" s="362">
        <v>112</v>
      </c>
      <c r="BA285" s="362">
        <v>152</v>
      </c>
      <c r="BB285" s="362">
        <v>135</v>
      </c>
      <c r="BC285" s="362">
        <v>148</v>
      </c>
      <c r="BD285" s="362">
        <v>104</v>
      </c>
      <c r="BE285" s="362">
        <v>86</v>
      </c>
      <c r="BF285" s="362">
        <v>148</v>
      </c>
      <c r="BG285" s="362">
        <v>106</v>
      </c>
      <c r="BH285" s="362">
        <v>77</v>
      </c>
      <c r="BI285" s="362">
        <v>147</v>
      </c>
      <c r="BJ285" s="362">
        <f t="shared" si="320"/>
        <v>1485</v>
      </c>
      <c r="BK285" s="363">
        <f t="shared" si="321"/>
        <v>123.75</v>
      </c>
      <c r="BN285" s="322">
        <f t="shared" si="332"/>
        <v>42</v>
      </c>
      <c r="BO285" s="322">
        <f t="shared" si="309"/>
        <v>-7.0833333333333428</v>
      </c>
      <c r="BP285" s="322">
        <f t="shared" si="310"/>
        <v>-85</v>
      </c>
      <c r="BQ285" s="322">
        <f t="shared" si="322"/>
        <v>70</v>
      </c>
      <c r="BR285" s="2265">
        <f t="shared" si="312"/>
        <v>77</v>
      </c>
      <c r="BS285" s="2265">
        <f t="shared" si="313"/>
        <v>147</v>
      </c>
    </row>
    <row r="286" spans="1:71" s="172" customFormat="1" x14ac:dyDescent="0.55000000000000004">
      <c r="A286" s="7531"/>
      <c r="B286" s="253"/>
      <c r="C286" s="173" t="s">
        <v>247</v>
      </c>
      <c r="D286" s="361">
        <v>86</v>
      </c>
      <c r="E286" s="362">
        <v>82</v>
      </c>
      <c r="F286" s="362">
        <v>97</v>
      </c>
      <c r="G286" s="362">
        <v>81</v>
      </c>
      <c r="H286" s="362">
        <v>75</v>
      </c>
      <c r="I286" s="362">
        <v>78</v>
      </c>
      <c r="J286" s="362">
        <v>84</v>
      </c>
      <c r="K286" s="362">
        <v>82</v>
      </c>
      <c r="L286" s="362">
        <v>77</v>
      </c>
      <c r="M286" s="362">
        <v>115</v>
      </c>
      <c r="N286" s="362">
        <v>57</v>
      </c>
      <c r="O286" s="362">
        <v>59</v>
      </c>
      <c r="P286" s="362">
        <f t="shared" si="314"/>
        <v>973</v>
      </c>
      <c r="Q286" s="363">
        <f t="shared" si="315"/>
        <v>81.083333333333329</v>
      </c>
      <c r="R286" s="372"/>
      <c r="S286" s="361">
        <v>151</v>
      </c>
      <c r="T286" s="362">
        <v>95</v>
      </c>
      <c r="U286" s="362">
        <v>58</v>
      </c>
      <c r="V286" s="362">
        <v>114</v>
      </c>
      <c r="W286" s="362">
        <v>76</v>
      </c>
      <c r="X286" s="362">
        <v>72</v>
      </c>
      <c r="Y286" s="362">
        <v>65</v>
      </c>
      <c r="Z286" s="362">
        <v>100</v>
      </c>
      <c r="AA286" s="362">
        <v>72</v>
      </c>
      <c r="AB286" s="362">
        <v>71</v>
      </c>
      <c r="AC286" s="362">
        <v>75</v>
      </c>
      <c r="AD286" s="362">
        <v>65</v>
      </c>
      <c r="AE286" s="362">
        <f t="shared" si="316"/>
        <v>1014</v>
      </c>
      <c r="AF286" s="363">
        <f t="shared" si="317"/>
        <v>84.5</v>
      </c>
      <c r="AG286" s="372"/>
      <c r="AH286" s="361">
        <v>114</v>
      </c>
      <c r="AI286" s="362">
        <v>90</v>
      </c>
      <c r="AJ286" s="362">
        <v>78</v>
      </c>
      <c r="AK286" s="362">
        <v>76</v>
      </c>
      <c r="AL286" s="362">
        <v>74</v>
      </c>
      <c r="AM286" s="362">
        <v>76</v>
      </c>
      <c r="AN286" s="362">
        <v>85</v>
      </c>
      <c r="AO286" s="362">
        <v>63</v>
      </c>
      <c r="AP286" s="362">
        <v>104</v>
      </c>
      <c r="AQ286" s="362">
        <v>75</v>
      </c>
      <c r="AR286" s="362">
        <v>92</v>
      </c>
      <c r="AS286" s="362">
        <v>65</v>
      </c>
      <c r="AT286" s="362">
        <f t="shared" si="318"/>
        <v>992</v>
      </c>
      <c r="AU286" s="363">
        <f t="shared" si="319"/>
        <v>82.666666666666671</v>
      </c>
      <c r="AX286" s="361">
        <v>82</v>
      </c>
      <c r="AY286" s="362">
        <v>110</v>
      </c>
      <c r="AZ286" s="362">
        <v>65</v>
      </c>
      <c r="BA286" s="362">
        <v>93</v>
      </c>
      <c r="BB286" s="362">
        <v>104</v>
      </c>
      <c r="BC286" s="362">
        <v>57</v>
      </c>
      <c r="BD286" s="362">
        <v>78</v>
      </c>
      <c r="BE286" s="362">
        <v>75</v>
      </c>
      <c r="BF286" s="362">
        <v>119</v>
      </c>
      <c r="BG286" s="362">
        <v>80</v>
      </c>
      <c r="BH286" s="362">
        <v>86</v>
      </c>
      <c r="BI286" s="362">
        <v>108</v>
      </c>
      <c r="BJ286" s="362">
        <f t="shared" si="320"/>
        <v>1057</v>
      </c>
      <c r="BK286" s="363">
        <f t="shared" si="321"/>
        <v>88.083333333333329</v>
      </c>
      <c r="BN286" s="322">
        <f t="shared" si="332"/>
        <v>43</v>
      </c>
      <c r="BO286" s="322">
        <f t="shared" si="309"/>
        <v>5.4166666666666572</v>
      </c>
      <c r="BP286" s="322">
        <f t="shared" si="310"/>
        <v>65</v>
      </c>
      <c r="BQ286" s="322">
        <f t="shared" si="322"/>
        <v>22</v>
      </c>
      <c r="BR286" s="2265">
        <f t="shared" si="312"/>
        <v>86</v>
      </c>
      <c r="BS286" s="2265">
        <f t="shared" si="313"/>
        <v>108</v>
      </c>
    </row>
    <row r="287" spans="1:71" s="172" customFormat="1" x14ac:dyDescent="0.55000000000000004">
      <c r="A287" s="7531"/>
      <c r="B287" s="253"/>
      <c r="C287" s="181" t="s">
        <v>248</v>
      </c>
      <c r="D287" s="358">
        <v>50</v>
      </c>
      <c r="E287" s="359">
        <v>58</v>
      </c>
      <c r="F287" s="359">
        <v>91</v>
      </c>
      <c r="G287" s="359">
        <v>66</v>
      </c>
      <c r="H287" s="359">
        <v>84</v>
      </c>
      <c r="I287" s="359">
        <v>74</v>
      </c>
      <c r="J287" s="359">
        <v>68</v>
      </c>
      <c r="K287" s="359">
        <v>51</v>
      </c>
      <c r="L287" s="359">
        <v>75</v>
      </c>
      <c r="M287" s="359">
        <v>114</v>
      </c>
      <c r="N287" s="359">
        <v>90</v>
      </c>
      <c r="O287" s="359">
        <v>93</v>
      </c>
      <c r="P287" s="359">
        <f t="shared" si="314"/>
        <v>914</v>
      </c>
      <c r="Q287" s="360">
        <f t="shared" si="315"/>
        <v>76.166666666666671</v>
      </c>
      <c r="R287" s="372"/>
      <c r="S287" s="358">
        <v>93</v>
      </c>
      <c r="T287" s="359">
        <v>99</v>
      </c>
      <c r="U287" s="359">
        <v>78</v>
      </c>
      <c r="V287" s="359">
        <v>86</v>
      </c>
      <c r="W287" s="359">
        <v>83</v>
      </c>
      <c r="X287" s="359">
        <v>79</v>
      </c>
      <c r="Y287" s="359">
        <v>110</v>
      </c>
      <c r="Z287" s="359">
        <v>87</v>
      </c>
      <c r="AA287" s="359">
        <v>56</v>
      </c>
      <c r="AB287" s="359">
        <v>100</v>
      </c>
      <c r="AC287" s="359">
        <v>59</v>
      </c>
      <c r="AD287" s="359">
        <v>60</v>
      </c>
      <c r="AE287" s="359">
        <f t="shared" si="316"/>
        <v>990</v>
      </c>
      <c r="AF287" s="360">
        <f t="shared" si="317"/>
        <v>82.5</v>
      </c>
      <c r="AG287" s="372"/>
      <c r="AH287" s="358">
        <v>123</v>
      </c>
      <c r="AI287" s="359">
        <v>83</v>
      </c>
      <c r="AJ287" s="359">
        <v>87</v>
      </c>
      <c r="AK287" s="359">
        <v>93</v>
      </c>
      <c r="AL287" s="359">
        <v>61</v>
      </c>
      <c r="AM287" s="359">
        <v>64</v>
      </c>
      <c r="AN287" s="359">
        <v>50</v>
      </c>
      <c r="AO287" s="359">
        <v>63</v>
      </c>
      <c r="AP287" s="359">
        <v>141</v>
      </c>
      <c r="AQ287" s="359">
        <v>57</v>
      </c>
      <c r="AR287" s="359">
        <v>55</v>
      </c>
      <c r="AS287" s="359">
        <v>45</v>
      </c>
      <c r="AT287" s="359">
        <f t="shared" si="318"/>
        <v>922</v>
      </c>
      <c r="AU287" s="360">
        <f t="shared" si="319"/>
        <v>76.833333333333329</v>
      </c>
      <c r="AX287" s="358">
        <v>61</v>
      </c>
      <c r="AY287" s="359">
        <v>92</v>
      </c>
      <c r="AZ287" s="359">
        <v>44</v>
      </c>
      <c r="BA287" s="359">
        <v>63</v>
      </c>
      <c r="BB287" s="359">
        <v>71</v>
      </c>
      <c r="BC287" s="359">
        <v>49</v>
      </c>
      <c r="BD287" s="359">
        <v>44</v>
      </c>
      <c r="BE287" s="359">
        <v>53</v>
      </c>
      <c r="BF287" s="359">
        <v>84</v>
      </c>
      <c r="BG287" s="359">
        <v>70</v>
      </c>
      <c r="BH287" s="359">
        <v>65</v>
      </c>
      <c r="BI287" s="359">
        <v>75</v>
      </c>
      <c r="BJ287" s="359">
        <f t="shared" si="320"/>
        <v>771</v>
      </c>
      <c r="BK287" s="360">
        <f t="shared" si="321"/>
        <v>64.25</v>
      </c>
      <c r="BN287" s="322">
        <f t="shared" si="332"/>
        <v>30</v>
      </c>
      <c r="BO287" s="322">
        <f t="shared" si="309"/>
        <v>-12.583333333333329</v>
      </c>
      <c r="BP287" s="322">
        <f t="shared" si="310"/>
        <v>-151</v>
      </c>
      <c r="BQ287" s="322">
        <f t="shared" si="322"/>
        <v>10</v>
      </c>
      <c r="BR287" s="2265">
        <f t="shared" si="312"/>
        <v>65</v>
      </c>
      <c r="BS287" s="2265">
        <f t="shared" si="313"/>
        <v>75</v>
      </c>
    </row>
    <row r="288" spans="1:71" s="172" customFormat="1" ht="18" thickBot="1" x14ac:dyDescent="0.6">
      <c r="A288" s="7531"/>
      <c r="B288" s="254"/>
      <c r="C288" s="182" t="s">
        <v>249</v>
      </c>
      <c r="D288" s="364">
        <v>60</v>
      </c>
      <c r="E288" s="365">
        <v>46</v>
      </c>
      <c r="F288" s="365">
        <v>58</v>
      </c>
      <c r="G288" s="365">
        <v>64</v>
      </c>
      <c r="H288" s="365">
        <v>75</v>
      </c>
      <c r="I288" s="365">
        <v>54</v>
      </c>
      <c r="J288" s="365">
        <v>62</v>
      </c>
      <c r="K288" s="365">
        <v>49</v>
      </c>
      <c r="L288" s="365">
        <v>47</v>
      </c>
      <c r="M288" s="365">
        <v>75</v>
      </c>
      <c r="N288" s="365">
        <v>74</v>
      </c>
      <c r="O288" s="365">
        <v>59</v>
      </c>
      <c r="P288" s="365">
        <f t="shared" si="314"/>
        <v>723</v>
      </c>
      <c r="Q288" s="366">
        <f t="shared" si="315"/>
        <v>60.25</v>
      </c>
      <c r="R288" s="372"/>
      <c r="S288" s="364">
        <v>103</v>
      </c>
      <c r="T288" s="365">
        <v>68</v>
      </c>
      <c r="U288" s="365">
        <v>45</v>
      </c>
      <c r="V288" s="365">
        <v>51</v>
      </c>
      <c r="W288" s="365">
        <v>31</v>
      </c>
      <c r="X288" s="365">
        <v>53</v>
      </c>
      <c r="Y288" s="365">
        <v>55</v>
      </c>
      <c r="Z288" s="365">
        <v>106</v>
      </c>
      <c r="AA288" s="365">
        <v>32</v>
      </c>
      <c r="AB288" s="365">
        <v>56</v>
      </c>
      <c r="AC288" s="365">
        <v>66</v>
      </c>
      <c r="AD288" s="365">
        <v>44</v>
      </c>
      <c r="AE288" s="365">
        <f t="shared" si="316"/>
        <v>710</v>
      </c>
      <c r="AF288" s="366">
        <f t="shared" si="317"/>
        <v>59.166666666666664</v>
      </c>
      <c r="AG288" s="372"/>
      <c r="AH288" s="364">
        <v>136</v>
      </c>
      <c r="AI288" s="365">
        <v>39</v>
      </c>
      <c r="AJ288" s="365">
        <v>69</v>
      </c>
      <c r="AK288" s="365">
        <v>41</v>
      </c>
      <c r="AL288" s="365">
        <v>30</v>
      </c>
      <c r="AM288" s="365">
        <v>71</v>
      </c>
      <c r="AN288" s="365">
        <v>31</v>
      </c>
      <c r="AO288" s="365">
        <v>42</v>
      </c>
      <c r="AP288" s="365">
        <v>61</v>
      </c>
      <c r="AQ288" s="365">
        <v>35</v>
      </c>
      <c r="AR288" s="365">
        <v>20</v>
      </c>
      <c r="AS288" s="365">
        <v>15</v>
      </c>
      <c r="AT288" s="365">
        <f t="shared" si="318"/>
        <v>590</v>
      </c>
      <c r="AU288" s="366">
        <f t="shared" si="319"/>
        <v>49.166666666666664</v>
      </c>
      <c r="AX288" s="364">
        <v>14</v>
      </c>
      <c r="AY288" s="365">
        <v>75</v>
      </c>
      <c r="AZ288" s="365">
        <v>36</v>
      </c>
      <c r="BA288" s="365">
        <v>33</v>
      </c>
      <c r="BB288" s="365">
        <v>37</v>
      </c>
      <c r="BC288" s="365">
        <v>22</v>
      </c>
      <c r="BD288" s="365">
        <v>33</v>
      </c>
      <c r="BE288" s="365">
        <v>52</v>
      </c>
      <c r="BF288" s="365">
        <v>26</v>
      </c>
      <c r="BG288" s="365">
        <v>14</v>
      </c>
      <c r="BH288" s="365">
        <v>23</v>
      </c>
      <c r="BI288" s="365">
        <v>18</v>
      </c>
      <c r="BJ288" s="365">
        <f t="shared" si="320"/>
        <v>383</v>
      </c>
      <c r="BK288" s="366">
        <f t="shared" si="321"/>
        <v>31.916666666666668</v>
      </c>
      <c r="BN288" s="322">
        <f t="shared" si="332"/>
        <v>3</v>
      </c>
      <c r="BO288" s="322">
        <f t="shared" si="309"/>
        <v>-17.249999999999996</v>
      </c>
      <c r="BP288" s="322">
        <f t="shared" si="310"/>
        <v>-207</v>
      </c>
      <c r="BQ288" s="322">
        <f t="shared" si="322"/>
        <v>-5</v>
      </c>
      <c r="BR288" s="2265">
        <f t="shared" si="312"/>
        <v>23</v>
      </c>
      <c r="BS288" s="2265">
        <f t="shared" si="313"/>
        <v>18</v>
      </c>
    </row>
    <row r="289" spans="1:71" x14ac:dyDescent="0.55000000000000004">
      <c r="A289" s="7531"/>
      <c r="B289" s="74" t="s">
        <v>268</v>
      </c>
      <c r="C289" s="27"/>
      <c r="D289" s="342">
        <f t="shared" ref="D289:O289" si="375">SUM(D290:D292)</f>
        <v>555</v>
      </c>
      <c r="E289" s="343">
        <f t="shared" si="375"/>
        <v>545</v>
      </c>
      <c r="F289" s="343">
        <f t="shared" si="375"/>
        <v>532</v>
      </c>
      <c r="G289" s="343">
        <f t="shared" si="375"/>
        <v>593</v>
      </c>
      <c r="H289" s="343">
        <f t="shared" si="375"/>
        <v>568</v>
      </c>
      <c r="I289" s="343">
        <f t="shared" si="375"/>
        <v>437</v>
      </c>
      <c r="J289" s="343">
        <f t="shared" si="375"/>
        <v>521</v>
      </c>
      <c r="K289" s="343">
        <f t="shared" si="375"/>
        <v>570</v>
      </c>
      <c r="L289" s="343">
        <f t="shared" si="375"/>
        <v>441</v>
      </c>
      <c r="M289" s="343">
        <f t="shared" si="375"/>
        <v>497</v>
      </c>
      <c r="N289" s="343">
        <f t="shared" si="375"/>
        <v>443</v>
      </c>
      <c r="O289" s="343">
        <f t="shared" si="375"/>
        <v>407</v>
      </c>
      <c r="P289" s="343">
        <f t="shared" si="314"/>
        <v>6109</v>
      </c>
      <c r="Q289" s="344">
        <f t="shared" si="315"/>
        <v>509.08333333333331</v>
      </c>
      <c r="R289" s="370"/>
      <c r="S289" s="342">
        <f>SUM(S290:S292)</f>
        <v>477</v>
      </c>
      <c r="T289" s="343">
        <f t="shared" ref="T289:AD289" si="376">SUM(T290:T292)</f>
        <v>526</v>
      </c>
      <c r="U289" s="343">
        <f t="shared" si="376"/>
        <v>498</v>
      </c>
      <c r="V289" s="343">
        <f t="shared" si="376"/>
        <v>466</v>
      </c>
      <c r="W289" s="343">
        <f t="shared" si="376"/>
        <v>482</v>
      </c>
      <c r="X289" s="343">
        <f t="shared" si="376"/>
        <v>387</v>
      </c>
      <c r="Y289" s="343">
        <f t="shared" si="376"/>
        <v>453</v>
      </c>
      <c r="Z289" s="343">
        <f t="shared" si="376"/>
        <v>543</v>
      </c>
      <c r="AA289" s="343">
        <f t="shared" si="376"/>
        <v>417</v>
      </c>
      <c r="AB289" s="343">
        <f t="shared" si="376"/>
        <v>505</v>
      </c>
      <c r="AC289" s="343">
        <f t="shared" si="376"/>
        <v>417</v>
      </c>
      <c r="AD289" s="343">
        <f t="shared" si="376"/>
        <v>348</v>
      </c>
      <c r="AE289" s="343">
        <f t="shared" si="316"/>
        <v>5519</v>
      </c>
      <c r="AF289" s="344">
        <f t="shared" si="317"/>
        <v>459.91666666666669</v>
      </c>
      <c r="AG289" s="370"/>
      <c r="AH289" s="342">
        <f t="shared" ref="AH289:AM289" si="377">SUM(AH290:AH292)</f>
        <v>666</v>
      </c>
      <c r="AI289" s="343">
        <f t="shared" si="377"/>
        <v>459</v>
      </c>
      <c r="AJ289" s="343">
        <f t="shared" si="377"/>
        <v>592</v>
      </c>
      <c r="AK289" s="343">
        <f t="shared" si="377"/>
        <v>515</v>
      </c>
      <c r="AL289" s="343">
        <f t="shared" si="377"/>
        <v>607</v>
      </c>
      <c r="AM289" s="343">
        <f t="shared" si="377"/>
        <v>549</v>
      </c>
      <c r="AN289" s="343">
        <v>564</v>
      </c>
      <c r="AO289" s="343">
        <f>SUM(AO290:AO292)</f>
        <v>506</v>
      </c>
      <c r="AP289" s="343">
        <f>SUM(AP290:AP292)</f>
        <v>549</v>
      </c>
      <c r="AQ289" s="343">
        <f>SUM(AQ290:AQ292)</f>
        <v>602</v>
      </c>
      <c r="AR289" s="343">
        <v>600</v>
      </c>
      <c r="AS289" s="343">
        <v>486</v>
      </c>
      <c r="AT289" s="343">
        <f t="shared" si="318"/>
        <v>6695</v>
      </c>
      <c r="AU289" s="344">
        <f t="shared" si="319"/>
        <v>557.91666666666663</v>
      </c>
      <c r="AX289" s="342">
        <v>506</v>
      </c>
      <c r="AY289" s="343">
        <v>662</v>
      </c>
      <c r="AZ289" s="343">
        <f>SUM(AZ290:AZ292)</f>
        <v>505</v>
      </c>
      <c r="BA289" s="343">
        <v>563</v>
      </c>
      <c r="BB289" s="343">
        <v>563</v>
      </c>
      <c r="BC289" s="343">
        <f>SUM(BC290:BC292)</f>
        <v>536</v>
      </c>
      <c r="BD289" s="343">
        <v>626</v>
      </c>
      <c r="BE289" s="343">
        <v>459</v>
      </c>
      <c r="BF289" s="343">
        <v>601</v>
      </c>
      <c r="BG289" s="343">
        <v>488</v>
      </c>
      <c r="BH289" s="343">
        <v>510</v>
      </c>
      <c r="BI289" s="343">
        <v>575</v>
      </c>
      <c r="BJ289" s="343">
        <f t="shared" si="320"/>
        <v>6594</v>
      </c>
      <c r="BK289" s="344">
        <f t="shared" si="321"/>
        <v>549.5</v>
      </c>
      <c r="BN289" s="322">
        <f t="shared" si="332"/>
        <v>89</v>
      </c>
      <c r="BO289" s="322">
        <f t="shared" si="309"/>
        <v>-8.4166666666666288</v>
      </c>
      <c r="BP289" s="322">
        <f t="shared" si="310"/>
        <v>-101</v>
      </c>
      <c r="BQ289" s="322">
        <f t="shared" si="322"/>
        <v>65</v>
      </c>
      <c r="BR289" s="2265">
        <f t="shared" si="312"/>
        <v>510</v>
      </c>
      <c r="BS289" s="2265">
        <f t="shared" si="313"/>
        <v>575</v>
      </c>
    </row>
    <row r="290" spans="1:71" x14ac:dyDescent="0.55000000000000004">
      <c r="A290" s="7531"/>
      <c r="B290" s="248"/>
      <c r="C290" s="12" t="s">
        <v>267</v>
      </c>
      <c r="D290" s="345">
        <v>58</v>
      </c>
      <c r="E290" s="295">
        <v>33</v>
      </c>
      <c r="F290" s="295">
        <v>50</v>
      </c>
      <c r="G290" s="295">
        <v>70</v>
      </c>
      <c r="H290" s="295">
        <v>66</v>
      </c>
      <c r="I290" s="295">
        <v>43</v>
      </c>
      <c r="J290" s="295">
        <v>35</v>
      </c>
      <c r="K290" s="295">
        <v>56</v>
      </c>
      <c r="L290" s="295">
        <v>36</v>
      </c>
      <c r="M290" s="295">
        <v>46</v>
      </c>
      <c r="N290" s="295">
        <v>21</v>
      </c>
      <c r="O290" s="295">
        <v>25</v>
      </c>
      <c r="P290" s="295">
        <f t="shared" si="314"/>
        <v>539</v>
      </c>
      <c r="Q290" s="346">
        <f t="shared" si="315"/>
        <v>44.916666666666664</v>
      </c>
      <c r="R290" s="370"/>
      <c r="S290" s="345">
        <v>40</v>
      </c>
      <c r="T290" s="295">
        <v>48</v>
      </c>
      <c r="U290" s="295">
        <v>27</v>
      </c>
      <c r="V290" s="295">
        <v>24</v>
      </c>
      <c r="W290" s="295">
        <v>41</v>
      </c>
      <c r="X290" s="295">
        <v>30</v>
      </c>
      <c r="Y290" s="295">
        <v>30</v>
      </c>
      <c r="Z290" s="295">
        <v>54</v>
      </c>
      <c r="AA290" s="295">
        <v>44</v>
      </c>
      <c r="AB290" s="295">
        <v>45</v>
      </c>
      <c r="AC290" s="295">
        <v>42</v>
      </c>
      <c r="AD290" s="295">
        <v>24</v>
      </c>
      <c r="AE290" s="295">
        <f t="shared" si="316"/>
        <v>449</v>
      </c>
      <c r="AF290" s="346">
        <f t="shared" si="317"/>
        <v>37.416666666666664</v>
      </c>
      <c r="AG290" s="370"/>
      <c r="AH290" s="345">
        <v>57</v>
      </c>
      <c r="AI290" s="295">
        <v>23</v>
      </c>
      <c r="AJ290" s="295">
        <v>44</v>
      </c>
      <c r="AK290" s="295">
        <v>31</v>
      </c>
      <c r="AL290" s="295">
        <v>60</v>
      </c>
      <c r="AM290" s="295">
        <v>32</v>
      </c>
      <c r="AN290" s="295">
        <v>56</v>
      </c>
      <c r="AO290" s="295">
        <v>53</v>
      </c>
      <c r="AP290" s="295">
        <v>64</v>
      </c>
      <c r="AQ290" s="295">
        <v>42</v>
      </c>
      <c r="AR290" s="295">
        <v>56</v>
      </c>
      <c r="AS290" s="295">
        <v>47</v>
      </c>
      <c r="AT290" s="295">
        <f t="shared" si="318"/>
        <v>565</v>
      </c>
      <c r="AU290" s="346">
        <f t="shared" si="319"/>
        <v>47.083333333333336</v>
      </c>
      <c r="AX290" s="345">
        <v>43</v>
      </c>
      <c r="AY290" s="295">
        <v>97</v>
      </c>
      <c r="AZ290" s="295">
        <v>57</v>
      </c>
      <c r="BA290" s="295">
        <v>57</v>
      </c>
      <c r="BB290" s="295">
        <v>193</v>
      </c>
      <c r="BC290" s="295">
        <v>68</v>
      </c>
      <c r="BD290" s="295">
        <v>81</v>
      </c>
      <c r="BE290" s="295">
        <v>40</v>
      </c>
      <c r="BF290" s="295">
        <v>78</v>
      </c>
      <c r="BG290" s="295">
        <v>57</v>
      </c>
      <c r="BH290" s="295">
        <v>64</v>
      </c>
      <c r="BI290" s="295">
        <v>54</v>
      </c>
      <c r="BJ290" s="295">
        <f t="shared" si="320"/>
        <v>889</v>
      </c>
      <c r="BK290" s="346">
        <f t="shared" si="321"/>
        <v>74.083333333333329</v>
      </c>
      <c r="BN290" s="322">
        <f t="shared" si="332"/>
        <v>7</v>
      </c>
      <c r="BO290" s="322">
        <f t="shared" si="309"/>
        <v>26.999999999999993</v>
      </c>
      <c r="BP290" s="322">
        <f t="shared" si="310"/>
        <v>324</v>
      </c>
      <c r="BQ290" s="322">
        <f t="shared" si="322"/>
        <v>-10</v>
      </c>
      <c r="BR290" s="2265">
        <f t="shared" si="312"/>
        <v>64</v>
      </c>
      <c r="BS290" s="2265">
        <f t="shared" si="313"/>
        <v>54</v>
      </c>
    </row>
    <row r="291" spans="1:71" x14ac:dyDescent="0.55000000000000004">
      <c r="A291" s="7531"/>
      <c r="B291" s="248"/>
      <c r="C291" s="12" t="s">
        <v>280</v>
      </c>
      <c r="D291" s="345">
        <v>129</v>
      </c>
      <c r="E291" s="295">
        <v>113</v>
      </c>
      <c r="F291" s="295">
        <v>116</v>
      </c>
      <c r="G291" s="295">
        <v>140</v>
      </c>
      <c r="H291" s="295">
        <v>115</v>
      </c>
      <c r="I291" s="295">
        <v>94</v>
      </c>
      <c r="J291" s="295">
        <v>100</v>
      </c>
      <c r="K291" s="295">
        <v>109</v>
      </c>
      <c r="L291" s="295">
        <v>94</v>
      </c>
      <c r="M291" s="295">
        <v>91</v>
      </c>
      <c r="N291" s="295">
        <v>83</v>
      </c>
      <c r="O291" s="295">
        <v>89</v>
      </c>
      <c r="P291" s="295">
        <f t="shared" si="314"/>
        <v>1273</v>
      </c>
      <c r="Q291" s="346">
        <f t="shared" si="315"/>
        <v>106.08333333333333</v>
      </c>
      <c r="R291" s="370"/>
      <c r="S291" s="345">
        <v>78</v>
      </c>
      <c r="T291" s="295">
        <v>110</v>
      </c>
      <c r="U291" s="295">
        <v>97</v>
      </c>
      <c r="V291" s="295">
        <v>94</v>
      </c>
      <c r="W291" s="295">
        <v>96</v>
      </c>
      <c r="X291" s="295">
        <v>86</v>
      </c>
      <c r="Y291" s="295">
        <v>104</v>
      </c>
      <c r="Z291" s="295">
        <v>116</v>
      </c>
      <c r="AA291" s="295">
        <v>103</v>
      </c>
      <c r="AB291" s="295">
        <v>113</v>
      </c>
      <c r="AC291" s="295">
        <v>103</v>
      </c>
      <c r="AD291" s="295">
        <v>64</v>
      </c>
      <c r="AE291" s="295">
        <f t="shared" si="316"/>
        <v>1164</v>
      </c>
      <c r="AF291" s="346">
        <f t="shared" si="317"/>
        <v>97</v>
      </c>
      <c r="AG291" s="370"/>
      <c r="AH291" s="345">
        <v>146</v>
      </c>
      <c r="AI291" s="295">
        <v>93</v>
      </c>
      <c r="AJ291" s="295">
        <v>144</v>
      </c>
      <c r="AK291" s="295">
        <v>110</v>
      </c>
      <c r="AL291" s="295">
        <v>131</v>
      </c>
      <c r="AM291" s="295">
        <v>108</v>
      </c>
      <c r="AN291" s="295">
        <v>124</v>
      </c>
      <c r="AO291" s="295">
        <v>106</v>
      </c>
      <c r="AP291" s="295">
        <v>93</v>
      </c>
      <c r="AQ291" s="295">
        <v>166</v>
      </c>
      <c r="AR291" s="295">
        <v>143</v>
      </c>
      <c r="AS291" s="295">
        <v>98</v>
      </c>
      <c r="AT291" s="295">
        <f t="shared" si="318"/>
        <v>1462</v>
      </c>
      <c r="AU291" s="346">
        <f t="shared" si="319"/>
        <v>121.83333333333333</v>
      </c>
      <c r="AX291" s="345">
        <v>100</v>
      </c>
      <c r="AY291" s="295">
        <v>128</v>
      </c>
      <c r="AZ291" s="295">
        <v>123</v>
      </c>
      <c r="BA291" s="295">
        <v>129</v>
      </c>
      <c r="BB291" s="295">
        <v>229</v>
      </c>
      <c r="BC291" s="295">
        <v>115</v>
      </c>
      <c r="BD291" s="295">
        <v>147</v>
      </c>
      <c r="BE291" s="295">
        <v>105</v>
      </c>
      <c r="BF291" s="295">
        <v>148</v>
      </c>
      <c r="BG291" s="295">
        <v>105</v>
      </c>
      <c r="BH291" s="295">
        <v>113</v>
      </c>
      <c r="BI291" s="295">
        <v>121</v>
      </c>
      <c r="BJ291" s="295">
        <f t="shared" si="320"/>
        <v>1563</v>
      </c>
      <c r="BK291" s="346">
        <f t="shared" si="321"/>
        <v>130.25</v>
      </c>
      <c r="BN291" s="322">
        <f t="shared" si="332"/>
        <v>23</v>
      </c>
      <c r="BO291" s="322">
        <f t="shared" si="309"/>
        <v>8.4166666666666714</v>
      </c>
      <c r="BP291" s="322">
        <f t="shared" si="310"/>
        <v>101</v>
      </c>
      <c r="BQ291" s="322">
        <f t="shared" si="322"/>
        <v>8</v>
      </c>
      <c r="BR291" s="2265">
        <f t="shared" si="312"/>
        <v>113</v>
      </c>
      <c r="BS291" s="2265">
        <f t="shared" si="313"/>
        <v>121</v>
      </c>
    </row>
    <row r="292" spans="1:71" x14ac:dyDescent="0.55000000000000004">
      <c r="A292" s="7531"/>
      <c r="B292" s="248"/>
      <c r="C292" s="12" t="s">
        <v>279</v>
      </c>
      <c r="D292" s="345">
        <v>368</v>
      </c>
      <c r="E292" s="295">
        <v>399</v>
      </c>
      <c r="F292" s="295">
        <v>366</v>
      </c>
      <c r="G292" s="295">
        <v>383</v>
      </c>
      <c r="H292" s="295">
        <v>387</v>
      </c>
      <c r="I292" s="295">
        <v>300</v>
      </c>
      <c r="J292" s="295">
        <v>386</v>
      </c>
      <c r="K292" s="295">
        <v>405</v>
      </c>
      <c r="L292" s="295">
        <v>311</v>
      </c>
      <c r="M292" s="295">
        <v>360</v>
      </c>
      <c r="N292" s="295">
        <v>339</v>
      </c>
      <c r="O292" s="295">
        <v>293</v>
      </c>
      <c r="P292" s="295">
        <f t="shared" si="314"/>
        <v>4297</v>
      </c>
      <c r="Q292" s="346">
        <f t="shared" si="315"/>
        <v>358.08333333333331</v>
      </c>
      <c r="R292" s="370"/>
      <c r="S292" s="345">
        <v>359</v>
      </c>
      <c r="T292" s="295">
        <v>368</v>
      </c>
      <c r="U292" s="295">
        <v>374</v>
      </c>
      <c r="V292" s="295">
        <v>348</v>
      </c>
      <c r="W292" s="295">
        <v>345</v>
      </c>
      <c r="X292" s="295">
        <v>271</v>
      </c>
      <c r="Y292" s="295">
        <v>319</v>
      </c>
      <c r="Z292" s="295">
        <v>373</v>
      </c>
      <c r="AA292" s="295">
        <v>270</v>
      </c>
      <c r="AB292" s="295">
        <v>347</v>
      </c>
      <c r="AC292" s="295">
        <v>272</v>
      </c>
      <c r="AD292" s="295">
        <v>260</v>
      </c>
      <c r="AE292" s="295">
        <f t="shared" si="316"/>
        <v>3906</v>
      </c>
      <c r="AF292" s="346">
        <f t="shared" si="317"/>
        <v>325.5</v>
      </c>
      <c r="AG292" s="370"/>
      <c r="AH292" s="345">
        <v>463</v>
      </c>
      <c r="AI292" s="295">
        <v>343</v>
      </c>
      <c r="AJ292" s="295">
        <v>404</v>
      </c>
      <c r="AK292" s="295">
        <v>374</v>
      </c>
      <c r="AL292" s="295">
        <v>416</v>
      </c>
      <c r="AM292" s="295">
        <v>409</v>
      </c>
      <c r="AN292" s="295">
        <v>384</v>
      </c>
      <c r="AO292" s="295">
        <v>347</v>
      </c>
      <c r="AP292" s="295">
        <v>392</v>
      </c>
      <c r="AQ292" s="295">
        <v>394</v>
      </c>
      <c r="AR292" s="295">
        <v>401</v>
      </c>
      <c r="AS292" s="295">
        <v>341</v>
      </c>
      <c r="AT292" s="295">
        <f t="shared" si="318"/>
        <v>4668</v>
      </c>
      <c r="AU292" s="346">
        <f t="shared" si="319"/>
        <v>389</v>
      </c>
      <c r="AX292" s="345">
        <v>363</v>
      </c>
      <c r="AY292" s="295">
        <v>437</v>
      </c>
      <c r="AZ292" s="295">
        <v>325</v>
      </c>
      <c r="BA292" s="295">
        <v>377</v>
      </c>
      <c r="BB292" s="295">
        <v>528</v>
      </c>
      <c r="BC292" s="295">
        <v>353</v>
      </c>
      <c r="BD292" s="295">
        <v>398</v>
      </c>
      <c r="BE292" s="295">
        <v>314</v>
      </c>
      <c r="BF292" s="295">
        <v>375</v>
      </c>
      <c r="BG292" s="295">
        <v>326</v>
      </c>
      <c r="BH292" s="295">
        <v>333</v>
      </c>
      <c r="BI292" s="295">
        <v>400</v>
      </c>
      <c r="BJ292" s="295">
        <f t="shared" si="320"/>
        <v>4529</v>
      </c>
      <c r="BK292" s="346">
        <f t="shared" si="321"/>
        <v>377.41666666666669</v>
      </c>
      <c r="BN292" s="322">
        <f t="shared" si="332"/>
        <v>59</v>
      </c>
      <c r="BO292" s="322">
        <f t="shared" si="309"/>
        <v>-11.583333333333314</v>
      </c>
      <c r="BP292" s="322">
        <f t="shared" si="310"/>
        <v>-139</v>
      </c>
      <c r="BQ292" s="322">
        <f t="shared" si="322"/>
        <v>67</v>
      </c>
      <c r="BR292" s="2265">
        <f t="shared" si="312"/>
        <v>333</v>
      </c>
      <c r="BS292" s="2265">
        <f t="shared" si="313"/>
        <v>400</v>
      </c>
    </row>
    <row r="293" spans="1:71" x14ac:dyDescent="0.55000000000000004">
      <c r="A293" s="7531"/>
      <c r="B293" s="249" t="s">
        <v>222</v>
      </c>
      <c r="C293" s="100"/>
      <c r="D293" s="347">
        <f>D298+D299</f>
        <v>107</v>
      </c>
      <c r="E293" s="348">
        <f t="shared" ref="E293:O293" si="378">E298+E299</f>
        <v>110</v>
      </c>
      <c r="F293" s="348">
        <f t="shared" si="378"/>
        <v>107</v>
      </c>
      <c r="G293" s="348">
        <f t="shared" si="378"/>
        <v>149</v>
      </c>
      <c r="H293" s="348">
        <f t="shared" si="378"/>
        <v>157</v>
      </c>
      <c r="I293" s="348">
        <f t="shared" si="378"/>
        <v>126</v>
      </c>
      <c r="J293" s="348">
        <f t="shared" si="378"/>
        <v>94</v>
      </c>
      <c r="K293" s="348">
        <f t="shared" si="378"/>
        <v>112</v>
      </c>
      <c r="L293" s="348">
        <f t="shared" si="378"/>
        <v>107</v>
      </c>
      <c r="M293" s="348">
        <f t="shared" si="378"/>
        <v>121</v>
      </c>
      <c r="N293" s="348">
        <f t="shared" si="378"/>
        <v>77</v>
      </c>
      <c r="O293" s="348">
        <f t="shared" si="378"/>
        <v>94</v>
      </c>
      <c r="P293" s="348">
        <f t="shared" si="314"/>
        <v>1361</v>
      </c>
      <c r="Q293" s="349">
        <f t="shared" si="315"/>
        <v>113.41666666666667</v>
      </c>
      <c r="R293" s="370"/>
      <c r="S293" s="347">
        <f>S298+S299</f>
        <v>99</v>
      </c>
      <c r="T293" s="348">
        <f t="shared" ref="T293:AD293" si="379">T298+T299</f>
        <v>110</v>
      </c>
      <c r="U293" s="348">
        <f t="shared" si="379"/>
        <v>90</v>
      </c>
      <c r="V293" s="348">
        <f t="shared" si="379"/>
        <v>76</v>
      </c>
      <c r="W293" s="348">
        <f t="shared" si="379"/>
        <v>93</v>
      </c>
      <c r="X293" s="348">
        <f t="shared" si="379"/>
        <v>77</v>
      </c>
      <c r="Y293" s="348">
        <f t="shared" si="379"/>
        <v>95</v>
      </c>
      <c r="Z293" s="348">
        <f t="shared" si="379"/>
        <v>150</v>
      </c>
      <c r="AA293" s="348">
        <f t="shared" si="379"/>
        <v>68</v>
      </c>
      <c r="AB293" s="348">
        <f t="shared" si="379"/>
        <v>93</v>
      </c>
      <c r="AC293" s="348">
        <f t="shared" si="379"/>
        <v>90</v>
      </c>
      <c r="AD293" s="348">
        <f t="shared" si="379"/>
        <v>65</v>
      </c>
      <c r="AE293" s="348">
        <f t="shared" si="316"/>
        <v>1106</v>
      </c>
      <c r="AF293" s="349">
        <f t="shared" si="317"/>
        <v>92.166666666666671</v>
      </c>
      <c r="AG293" s="370"/>
      <c r="AH293" s="347">
        <f t="shared" ref="AH293:AM293" si="380">AH298+AH299</f>
        <v>136</v>
      </c>
      <c r="AI293" s="348">
        <f t="shared" si="380"/>
        <v>65</v>
      </c>
      <c r="AJ293" s="348">
        <f t="shared" si="380"/>
        <v>118</v>
      </c>
      <c r="AK293" s="348">
        <f t="shared" si="380"/>
        <v>103</v>
      </c>
      <c r="AL293" s="348">
        <f t="shared" si="380"/>
        <v>116</v>
      </c>
      <c r="AM293" s="348">
        <f t="shared" si="380"/>
        <v>97</v>
      </c>
      <c r="AN293" s="348">
        <v>114</v>
      </c>
      <c r="AO293" s="348">
        <f>AO298+AO299</f>
        <v>93</v>
      </c>
      <c r="AP293" s="348">
        <f>AP298+AP299</f>
        <v>112</v>
      </c>
      <c r="AQ293" s="348">
        <f>AQ298+AQ299</f>
        <v>137</v>
      </c>
      <c r="AR293" s="348">
        <v>131</v>
      </c>
      <c r="AS293" s="348">
        <v>93</v>
      </c>
      <c r="AT293" s="348">
        <f t="shared" si="318"/>
        <v>1315</v>
      </c>
      <c r="AU293" s="349">
        <f t="shared" si="319"/>
        <v>109.58333333333333</v>
      </c>
      <c r="AX293" s="347">
        <v>94</v>
      </c>
      <c r="AY293" s="348">
        <v>127</v>
      </c>
      <c r="AZ293" s="348">
        <f>AZ298+AZ299</f>
        <v>95</v>
      </c>
      <c r="BA293" s="348">
        <v>108</v>
      </c>
      <c r="BB293" s="348">
        <v>189</v>
      </c>
      <c r="BC293" s="348">
        <f>BC298+BC299</f>
        <v>88</v>
      </c>
      <c r="BD293" s="348">
        <v>128</v>
      </c>
      <c r="BE293" s="348">
        <v>95</v>
      </c>
      <c r="BF293" s="348">
        <v>121</v>
      </c>
      <c r="BG293" s="348">
        <v>99</v>
      </c>
      <c r="BH293" s="348">
        <v>111</v>
      </c>
      <c r="BI293" s="348">
        <v>131</v>
      </c>
      <c r="BJ293" s="348">
        <f t="shared" si="320"/>
        <v>1386</v>
      </c>
      <c r="BK293" s="349">
        <f t="shared" si="321"/>
        <v>115.5</v>
      </c>
      <c r="BN293" s="322">
        <f t="shared" si="332"/>
        <v>38</v>
      </c>
      <c r="BO293" s="322">
        <f t="shared" si="309"/>
        <v>5.9166666666666714</v>
      </c>
      <c r="BP293" s="322">
        <f t="shared" si="310"/>
        <v>71</v>
      </c>
      <c r="BQ293" s="322">
        <f t="shared" si="322"/>
        <v>20</v>
      </c>
      <c r="BR293" s="2265">
        <f t="shared" si="312"/>
        <v>111</v>
      </c>
      <c r="BS293" s="2265">
        <f t="shared" si="313"/>
        <v>131</v>
      </c>
    </row>
    <row r="294" spans="1:71" x14ac:dyDescent="0.55000000000000004">
      <c r="A294" s="7531"/>
      <c r="B294" s="250" t="s">
        <v>223</v>
      </c>
      <c r="C294" s="14"/>
      <c r="D294" s="350">
        <f>D300</f>
        <v>123</v>
      </c>
      <c r="E294" s="280">
        <f t="shared" ref="E294:O294" si="381">E300</f>
        <v>98</v>
      </c>
      <c r="F294" s="280">
        <f t="shared" si="381"/>
        <v>130</v>
      </c>
      <c r="G294" s="280">
        <f t="shared" si="381"/>
        <v>89</v>
      </c>
      <c r="H294" s="280">
        <f t="shared" si="381"/>
        <v>98</v>
      </c>
      <c r="I294" s="280">
        <f t="shared" si="381"/>
        <v>67</v>
      </c>
      <c r="J294" s="280">
        <f t="shared" si="381"/>
        <v>54</v>
      </c>
      <c r="K294" s="280">
        <f t="shared" si="381"/>
        <v>90</v>
      </c>
      <c r="L294" s="280">
        <f t="shared" si="381"/>
        <v>46</v>
      </c>
      <c r="M294" s="280">
        <f t="shared" si="381"/>
        <v>86</v>
      </c>
      <c r="N294" s="280">
        <f t="shared" si="381"/>
        <v>82</v>
      </c>
      <c r="O294" s="280">
        <f t="shared" si="381"/>
        <v>70</v>
      </c>
      <c r="P294" s="280">
        <f t="shared" si="314"/>
        <v>1033</v>
      </c>
      <c r="Q294" s="351">
        <f t="shared" si="315"/>
        <v>86.083333333333329</v>
      </c>
      <c r="R294" s="370"/>
      <c r="S294" s="350">
        <f>S300</f>
        <v>62</v>
      </c>
      <c r="T294" s="280">
        <f t="shared" ref="T294:AD294" si="382">T300</f>
        <v>81</v>
      </c>
      <c r="U294" s="280">
        <f t="shared" si="382"/>
        <v>61</v>
      </c>
      <c r="V294" s="280">
        <f t="shared" si="382"/>
        <v>48</v>
      </c>
      <c r="W294" s="280">
        <f t="shared" si="382"/>
        <v>61</v>
      </c>
      <c r="X294" s="280">
        <f t="shared" si="382"/>
        <v>39</v>
      </c>
      <c r="Y294" s="280">
        <f t="shared" si="382"/>
        <v>67</v>
      </c>
      <c r="Z294" s="280">
        <f t="shared" si="382"/>
        <v>61</v>
      </c>
      <c r="AA294" s="280">
        <f t="shared" si="382"/>
        <v>64</v>
      </c>
      <c r="AB294" s="280">
        <f t="shared" si="382"/>
        <v>65</v>
      </c>
      <c r="AC294" s="280">
        <f t="shared" si="382"/>
        <v>57</v>
      </c>
      <c r="AD294" s="280">
        <f t="shared" si="382"/>
        <v>51</v>
      </c>
      <c r="AE294" s="280">
        <f t="shared" si="316"/>
        <v>717</v>
      </c>
      <c r="AF294" s="351">
        <f t="shared" si="317"/>
        <v>59.75</v>
      </c>
      <c r="AG294" s="370"/>
      <c r="AH294" s="350">
        <f t="shared" ref="AH294:AM295" si="383">AH300</f>
        <v>86</v>
      </c>
      <c r="AI294" s="280">
        <f t="shared" si="383"/>
        <v>66</v>
      </c>
      <c r="AJ294" s="280">
        <f t="shared" si="383"/>
        <v>82</v>
      </c>
      <c r="AK294" s="280">
        <f t="shared" si="383"/>
        <v>54</v>
      </c>
      <c r="AL294" s="280">
        <f t="shared" si="383"/>
        <v>69</v>
      </c>
      <c r="AM294" s="280">
        <f t="shared" si="383"/>
        <v>73</v>
      </c>
      <c r="AN294" s="280">
        <v>64</v>
      </c>
      <c r="AO294" s="280">
        <f t="shared" ref="AO294:AQ295" si="384">AO300</f>
        <v>85</v>
      </c>
      <c r="AP294" s="280">
        <f t="shared" si="384"/>
        <v>88</v>
      </c>
      <c r="AQ294" s="280">
        <f t="shared" si="384"/>
        <v>61</v>
      </c>
      <c r="AR294" s="280">
        <v>70</v>
      </c>
      <c r="AS294" s="280">
        <v>58</v>
      </c>
      <c r="AT294" s="280">
        <f t="shared" si="318"/>
        <v>856</v>
      </c>
      <c r="AU294" s="351">
        <f t="shared" si="319"/>
        <v>71.333333333333329</v>
      </c>
      <c r="AX294" s="350">
        <v>53</v>
      </c>
      <c r="AY294" s="280">
        <v>82</v>
      </c>
      <c r="AZ294" s="280">
        <f>AZ300</f>
        <v>52</v>
      </c>
      <c r="BA294" s="280">
        <v>63</v>
      </c>
      <c r="BB294" s="280">
        <v>144</v>
      </c>
      <c r="BC294" s="280">
        <f>BC300</f>
        <v>67</v>
      </c>
      <c r="BD294" s="280">
        <v>75</v>
      </c>
      <c r="BE294" s="280">
        <v>78</v>
      </c>
      <c r="BF294" s="280">
        <v>81</v>
      </c>
      <c r="BG294" s="280">
        <v>63</v>
      </c>
      <c r="BH294" s="280">
        <v>59</v>
      </c>
      <c r="BI294" s="280">
        <v>72</v>
      </c>
      <c r="BJ294" s="280">
        <f t="shared" si="320"/>
        <v>889</v>
      </c>
      <c r="BK294" s="351">
        <f t="shared" si="321"/>
        <v>74.083333333333329</v>
      </c>
      <c r="BN294" s="322">
        <f t="shared" si="332"/>
        <v>14</v>
      </c>
      <c r="BO294" s="322">
        <f t="shared" si="309"/>
        <v>2.75</v>
      </c>
      <c r="BP294" s="322">
        <f t="shared" si="310"/>
        <v>33</v>
      </c>
      <c r="BQ294" s="322">
        <f t="shared" si="322"/>
        <v>13</v>
      </c>
      <c r="BR294" s="2265">
        <f t="shared" si="312"/>
        <v>59</v>
      </c>
      <c r="BS294" s="2265">
        <f t="shared" si="313"/>
        <v>72</v>
      </c>
    </row>
    <row r="295" spans="1:71" x14ac:dyDescent="0.55000000000000004">
      <c r="A295" s="7531"/>
      <c r="B295" s="250" t="s">
        <v>224</v>
      </c>
      <c r="C295" s="14"/>
      <c r="D295" s="350">
        <f>D301</f>
        <v>86</v>
      </c>
      <c r="E295" s="280">
        <f t="shared" ref="E295:O295" si="385">E301</f>
        <v>99</v>
      </c>
      <c r="F295" s="280">
        <f t="shared" si="385"/>
        <v>62</v>
      </c>
      <c r="G295" s="280">
        <f t="shared" si="385"/>
        <v>128</v>
      </c>
      <c r="H295" s="280">
        <f t="shared" si="385"/>
        <v>86</v>
      </c>
      <c r="I295" s="280">
        <f t="shared" si="385"/>
        <v>66</v>
      </c>
      <c r="J295" s="280">
        <f t="shared" si="385"/>
        <v>80</v>
      </c>
      <c r="K295" s="280">
        <f t="shared" si="385"/>
        <v>81</v>
      </c>
      <c r="L295" s="280">
        <f t="shared" si="385"/>
        <v>42</v>
      </c>
      <c r="M295" s="280">
        <f t="shared" si="385"/>
        <v>44</v>
      </c>
      <c r="N295" s="280">
        <f t="shared" si="385"/>
        <v>30</v>
      </c>
      <c r="O295" s="280">
        <f t="shared" si="385"/>
        <v>51</v>
      </c>
      <c r="P295" s="280">
        <f t="shared" si="314"/>
        <v>855</v>
      </c>
      <c r="Q295" s="351">
        <f t="shared" si="315"/>
        <v>71.25</v>
      </c>
      <c r="R295" s="370"/>
      <c r="S295" s="350">
        <f>S301</f>
        <v>54</v>
      </c>
      <c r="T295" s="280">
        <f t="shared" ref="T295:AD295" si="386">T301</f>
        <v>52</v>
      </c>
      <c r="U295" s="280">
        <f t="shared" si="386"/>
        <v>66</v>
      </c>
      <c r="V295" s="280">
        <f t="shared" si="386"/>
        <v>50</v>
      </c>
      <c r="W295" s="280">
        <f t="shared" si="386"/>
        <v>51</v>
      </c>
      <c r="X295" s="280">
        <f t="shared" si="386"/>
        <v>39</v>
      </c>
      <c r="Y295" s="280">
        <f t="shared" si="386"/>
        <v>83</v>
      </c>
      <c r="Z295" s="280">
        <f t="shared" si="386"/>
        <v>72</v>
      </c>
      <c r="AA295" s="280">
        <f t="shared" si="386"/>
        <v>57</v>
      </c>
      <c r="AB295" s="280">
        <f t="shared" si="386"/>
        <v>75</v>
      </c>
      <c r="AC295" s="280">
        <f t="shared" si="386"/>
        <v>70</v>
      </c>
      <c r="AD295" s="280">
        <f t="shared" si="386"/>
        <v>49</v>
      </c>
      <c r="AE295" s="280">
        <f t="shared" si="316"/>
        <v>718</v>
      </c>
      <c r="AF295" s="351">
        <f t="shared" si="317"/>
        <v>59.833333333333336</v>
      </c>
      <c r="AG295" s="370"/>
      <c r="AH295" s="350">
        <f t="shared" si="383"/>
        <v>71</v>
      </c>
      <c r="AI295" s="280">
        <f t="shared" si="383"/>
        <v>74</v>
      </c>
      <c r="AJ295" s="280">
        <f t="shared" si="383"/>
        <v>92</v>
      </c>
      <c r="AK295" s="280">
        <f t="shared" si="383"/>
        <v>78</v>
      </c>
      <c r="AL295" s="280">
        <f t="shared" si="383"/>
        <v>97</v>
      </c>
      <c r="AM295" s="280">
        <f t="shared" si="383"/>
        <v>98</v>
      </c>
      <c r="AN295" s="280">
        <v>86</v>
      </c>
      <c r="AO295" s="280">
        <f t="shared" si="384"/>
        <v>85</v>
      </c>
      <c r="AP295" s="280">
        <f t="shared" si="384"/>
        <v>71</v>
      </c>
      <c r="AQ295" s="280">
        <f t="shared" si="384"/>
        <v>104</v>
      </c>
      <c r="AR295" s="280">
        <v>75</v>
      </c>
      <c r="AS295" s="280">
        <v>70</v>
      </c>
      <c r="AT295" s="280">
        <f t="shared" si="318"/>
        <v>1001</v>
      </c>
      <c r="AU295" s="351">
        <f t="shared" si="319"/>
        <v>83.416666666666671</v>
      </c>
      <c r="AX295" s="350">
        <v>68</v>
      </c>
      <c r="AY295" s="280">
        <v>112</v>
      </c>
      <c r="AZ295" s="280">
        <f>AZ301</f>
        <v>60</v>
      </c>
      <c r="BA295" s="280">
        <v>88</v>
      </c>
      <c r="BB295" s="280">
        <v>125</v>
      </c>
      <c r="BC295" s="280">
        <f>BC301</f>
        <v>90</v>
      </c>
      <c r="BD295" s="280">
        <v>96</v>
      </c>
      <c r="BE295" s="280">
        <v>68</v>
      </c>
      <c r="BF295" s="280">
        <v>88</v>
      </c>
      <c r="BG295" s="280">
        <v>73</v>
      </c>
      <c r="BH295" s="280">
        <v>67</v>
      </c>
      <c r="BI295" s="280">
        <v>90</v>
      </c>
      <c r="BJ295" s="280">
        <f t="shared" si="320"/>
        <v>1025</v>
      </c>
      <c r="BK295" s="351">
        <f t="shared" si="321"/>
        <v>85.416666666666671</v>
      </c>
      <c r="BN295" s="322">
        <f t="shared" si="332"/>
        <v>20</v>
      </c>
      <c r="BO295" s="322">
        <f t="shared" si="309"/>
        <v>2</v>
      </c>
      <c r="BP295" s="322">
        <f t="shared" si="310"/>
        <v>24</v>
      </c>
      <c r="BQ295" s="322">
        <f t="shared" si="322"/>
        <v>23</v>
      </c>
      <c r="BR295" s="2265">
        <f t="shared" si="312"/>
        <v>67</v>
      </c>
      <c r="BS295" s="2265">
        <f t="shared" si="313"/>
        <v>90</v>
      </c>
    </row>
    <row r="296" spans="1:71" x14ac:dyDescent="0.55000000000000004">
      <c r="A296" s="7531"/>
      <c r="B296" s="250" t="s">
        <v>225</v>
      </c>
      <c r="C296" s="14"/>
      <c r="D296" s="350">
        <f>D302+D303</f>
        <v>98</v>
      </c>
      <c r="E296" s="280">
        <f t="shared" ref="E296:O296" si="387">E302+E303</f>
        <v>125</v>
      </c>
      <c r="F296" s="280">
        <f t="shared" si="387"/>
        <v>126</v>
      </c>
      <c r="G296" s="280">
        <f t="shared" si="387"/>
        <v>117</v>
      </c>
      <c r="H296" s="280">
        <f t="shared" si="387"/>
        <v>110</v>
      </c>
      <c r="I296" s="280">
        <f t="shared" si="387"/>
        <v>84</v>
      </c>
      <c r="J296" s="280">
        <f t="shared" si="387"/>
        <v>156</v>
      </c>
      <c r="K296" s="280">
        <f t="shared" si="387"/>
        <v>144</v>
      </c>
      <c r="L296" s="280">
        <f t="shared" si="387"/>
        <v>113</v>
      </c>
      <c r="M296" s="280">
        <f t="shared" si="387"/>
        <v>122</v>
      </c>
      <c r="N296" s="280">
        <f t="shared" si="387"/>
        <v>119</v>
      </c>
      <c r="O296" s="280">
        <f t="shared" si="387"/>
        <v>78</v>
      </c>
      <c r="P296" s="280">
        <f t="shared" si="314"/>
        <v>1392</v>
      </c>
      <c r="Q296" s="351">
        <f t="shared" si="315"/>
        <v>116</v>
      </c>
      <c r="R296" s="370"/>
      <c r="S296" s="350">
        <f>S302+S303</f>
        <v>131</v>
      </c>
      <c r="T296" s="280">
        <f t="shared" ref="T296:AD296" si="388">T302+T303</f>
        <v>137</v>
      </c>
      <c r="U296" s="280">
        <f t="shared" si="388"/>
        <v>134</v>
      </c>
      <c r="V296" s="280">
        <f t="shared" si="388"/>
        <v>133</v>
      </c>
      <c r="W296" s="280">
        <f t="shared" si="388"/>
        <v>142</v>
      </c>
      <c r="X296" s="280">
        <f t="shared" si="388"/>
        <v>123</v>
      </c>
      <c r="Y296" s="280">
        <f t="shared" si="388"/>
        <v>94</v>
      </c>
      <c r="Z296" s="280">
        <f t="shared" si="388"/>
        <v>106</v>
      </c>
      <c r="AA296" s="280">
        <f t="shared" si="388"/>
        <v>126</v>
      </c>
      <c r="AB296" s="280">
        <f t="shared" si="388"/>
        <v>145</v>
      </c>
      <c r="AC296" s="280">
        <f t="shared" si="388"/>
        <v>93</v>
      </c>
      <c r="AD296" s="280">
        <f t="shared" si="388"/>
        <v>98</v>
      </c>
      <c r="AE296" s="280">
        <f t="shared" si="316"/>
        <v>1462</v>
      </c>
      <c r="AF296" s="351">
        <f t="shared" si="317"/>
        <v>121.83333333333333</v>
      </c>
      <c r="AG296" s="370"/>
      <c r="AH296" s="350">
        <f t="shared" ref="AH296:AM296" si="389">AH302+AH303</f>
        <v>173</v>
      </c>
      <c r="AI296" s="280">
        <f t="shared" si="389"/>
        <v>132</v>
      </c>
      <c r="AJ296" s="280">
        <f t="shared" si="389"/>
        <v>163</v>
      </c>
      <c r="AK296" s="280">
        <f t="shared" si="389"/>
        <v>138</v>
      </c>
      <c r="AL296" s="280">
        <f t="shared" si="389"/>
        <v>178</v>
      </c>
      <c r="AM296" s="280">
        <f t="shared" si="389"/>
        <v>143</v>
      </c>
      <c r="AN296" s="280">
        <v>148</v>
      </c>
      <c r="AO296" s="280">
        <f>AO302+AO303</f>
        <v>140</v>
      </c>
      <c r="AP296" s="280">
        <f>AP302+AP303</f>
        <v>154</v>
      </c>
      <c r="AQ296" s="280">
        <f>AQ302+AQ303</f>
        <v>147</v>
      </c>
      <c r="AR296" s="280">
        <v>179</v>
      </c>
      <c r="AS296" s="280">
        <v>139</v>
      </c>
      <c r="AT296" s="280">
        <f t="shared" si="318"/>
        <v>1834</v>
      </c>
      <c r="AU296" s="351">
        <f t="shared" si="319"/>
        <v>152.83333333333334</v>
      </c>
      <c r="AX296" s="350">
        <v>170</v>
      </c>
      <c r="AY296" s="280">
        <v>173</v>
      </c>
      <c r="AZ296" s="280">
        <f>AZ302+AZ303</f>
        <v>176</v>
      </c>
      <c r="BA296" s="280">
        <v>181</v>
      </c>
      <c r="BB296" s="280">
        <v>285</v>
      </c>
      <c r="BC296" s="280">
        <f>BC302+BC303</f>
        <v>179</v>
      </c>
      <c r="BD296" s="280">
        <v>182</v>
      </c>
      <c r="BE296" s="280">
        <v>124</v>
      </c>
      <c r="BF296" s="280">
        <v>185</v>
      </c>
      <c r="BG296" s="280">
        <v>158</v>
      </c>
      <c r="BH296" s="280">
        <v>153</v>
      </c>
      <c r="BI296" s="280">
        <v>160</v>
      </c>
      <c r="BJ296" s="280">
        <f t="shared" si="320"/>
        <v>2126</v>
      </c>
      <c r="BK296" s="351">
        <f t="shared" si="321"/>
        <v>177.16666666666666</v>
      </c>
      <c r="BN296" s="322">
        <f t="shared" si="332"/>
        <v>21</v>
      </c>
      <c r="BO296" s="322">
        <f t="shared" si="309"/>
        <v>24.333333333333314</v>
      </c>
      <c r="BP296" s="322">
        <f t="shared" si="310"/>
        <v>292</v>
      </c>
      <c r="BQ296" s="322">
        <f t="shared" si="322"/>
        <v>7</v>
      </c>
      <c r="BR296" s="2265">
        <f t="shared" si="312"/>
        <v>153</v>
      </c>
      <c r="BS296" s="2265">
        <f t="shared" si="313"/>
        <v>160</v>
      </c>
    </row>
    <row r="297" spans="1:71" x14ac:dyDescent="0.55000000000000004">
      <c r="A297" s="7531"/>
      <c r="B297" s="251" t="s">
        <v>226</v>
      </c>
      <c r="C297" s="103"/>
      <c r="D297" s="352">
        <f>D304+D305</f>
        <v>141</v>
      </c>
      <c r="E297" s="353">
        <f t="shared" ref="E297:O297" si="390">E304+E305</f>
        <v>113</v>
      </c>
      <c r="F297" s="353">
        <f t="shared" si="390"/>
        <v>107</v>
      </c>
      <c r="G297" s="353">
        <f t="shared" si="390"/>
        <v>110</v>
      </c>
      <c r="H297" s="353">
        <f t="shared" si="390"/>
        <v>117</v>
      </c>
      <c r="I297" s="353">
        <f t="shared" si="390"/>
        <v>94</v>
      </c>
      <c r="J297" s="353">
        <f t="shared" si="390"/>
        <v>137</v>
      </c>
      <c r="K297" s="353">
        <f t="shared" si="390"/>
        <v>143</v>
      </c>
      <c r="L297" s="353">
        <f t="shared" si="390"/>
        <v>133</v>
      </c>
      <c r="M297" s="353">
        <f t="shared" si="390"/>
        <v>124</v>
      </c>
      <c r="N297" s="353">
        <f t="shared" si="390"/>
        <v>135</v>
      </c>
      <c r="O297" s="353">
        <f t="shared" si="390"/>
        <v>114</v>
      </c>
      <c r="P297" s="353">
        <f t="shared" si="314"/>
        <v>1468</v>
      </c>
      <c r="Q297" s="354">
        <f t="shared" si="315"/>
        <v>122.33333333333333</v>
      </c>
      <c r="R297" s="370"/>
      <c r="S297" s="352">
        <f>S304+S305</f>
        <v>131</v>
      </c>
      <c r="T297" s="353">
        <f t="shared" ref="T297:AD297" si="391">T304+T305</f>
        <v>146</v>
      </c>
      <c r="U297" s="353">
        <f t="shared" si="391"/>
        <v>147</v>
      </c>
      <c r="V297" s="353">
        <f t="shared" si="391"/>
        <v>159</v>
      </c>
      <c r="W297" s="353">
        <f t="shared" si="391"/>
        <v>135</v>
      </c>
      <c r="X297" s="353">
        <f t="shared" si="391"/>
        <v>109</v>
      </c>
      <c r="Y297" s="353">
        <f t="shared" si="391"/>
        <v>114</v>
      </c>
      <c r="Z297" s="353">
        <f t="shared" si="391"/>
        <v>154</v>
      </c>
      <c r="AA297" s="353">
        <f t="shared" si="391"/>
        <v>102</v>
      </c>
      <c r="AB297" s="353">
        <f t="shared" si="391"/>
        <v>127</v>
      </c>
      <c r="AC297" s="353">
        <f t="shared" si="391"/>
        <v>107</v>
      </c>
      <c r="AD297" s="353">
        <f t="shared" si="391"/>
        <v>85</v>
      </c>
      <c r="AE297" s="353">
        <f t="shared" si="316"/>
        <v>1516</v>
      </c>
      <c r="AF297" s="354">
        <f t="shared" si="317"/>
        <v>126.33333333333333</v>
      </c>
      <c r="AG297" s="370"/>
      <c r="AH297" s="352">
        <f t="shared" ref="AH297:AM297" si="392">AH304+AH305</f>
        <v>200</v>
      </c>
      <c r="AI297" s="353">
        <f t="shared" si="392"/>
        <v>122</v>
      </c>
      <c r="AJ297" s="353">
        <f t="shared" si="392"/>
        <v>137</v>
      </c>
      <c r="AK297" s="353">
        <f t="shared" si="392"/>
        <v>142</v>
      </c>
      <c r="AL297" s="353">
        <f t="shared" si="392"/>
        <v>147</v>
      </c>
      <c r="AM297" s="353">
        <f t="shared" si="392"/>
        <v>137</v>
      </c>
      <c r="AN297" s="353">
        <v>152</v>
      </c>
      <c r="AO297" s="353">
        <f>AO304+AO305</f>
        <v>103</v>
      </c>
      <c r="AP297" s="353">
        <f>AP304+AP305</f>
        <v>124</v>
      </c>
      <c r="AQ297" s="353">
        <f>AQ304+AQ305</f>
        <v>153</v>
      </c>
      <c r="AR297" s="353">
        <v>145</v>
      </c>
      <c r="AS297" s="353">
        <v>126</v>
      </c>
      <c r="AT297" s="353">
        <f t="shared" si="318"/>
        <v>1688</v>
      </c>
      <c r="AU297" s="354">
        <f t="shared" si="319"/>
        <v>140.66666666666666</v>
      </c>
      <c r="AX297" s="352">
        <v>121</v>
      </c>
      <c r="AY297" s="353">
        <v>168</v>
      </c>
      <c r="AZ297" s="353">
        <f>AZ304+AZ305</f>
        <v>122</v>
      </c>
      <c r="BA297" s="353">
        <v>123</v>
      </c>
      <c r="BB297" s="353">
        <v>207</v>
      </c>
      <c r="BC297" s="353">
        <f>BC304+BC305</f>
        <v>112</v>
      </c>
      <c r="BD297" s="353">
        <v>145</v>
      </c>
      <c r="BE297" s="353">
        <v>94</v>
      </c>
      <c r="BF297" s="353">
        <v>126</v>
      </c>
      <c r="BG297" s="353">
        <v>95</v>
      </c>
      <c r="BH297" s="353">
        <v>120</v>
      </c>
      <c r="BI297" s="353">
        <v>122</v>
      </c>
      <c r="BJ297" s="353">
        <f t="shared" si="320"/>
        <v>1555</v>
      </c>
      <c r="BK297" s="354">
        <f t="shared" si="321"/>
        <v>129.58333333333334</v>
      </c>
      <c r="BN297" s="322">
        <f t="shared" si="332"/>
        <v>-4</v>
      </c>
      <c r="BO297" s="322">
        <f t="shared" si="309"/>
        <v>-11.083333333333314</v>
      </c>
      <c r="BP297" s="322">
        <f t="shared" si="310"/>
        <v>-133</v>
      </c>
      <c r="BQ297" s="322">
        <f t="shared" si="322"/>
        <v>2</v>
      </c>
      <c r="BR297" s="2265">
        <f t="shared" si="312"/>
        <v>120</v>
      </c>
      <c r="BS297" s="2265">
        <f t="shared" si="313"/>
        <v>122</v>
      </c>
    </row>
    <row r="298" spans="1:71" s="172" customFormat="1" x14ac:dyDescent="0.55000000000000004">
      <c r="A298" s="7531"/>
      <c r="B298" s="252"/>
      <c r="C298" s="180" t="s">
        <v>242</v>
      </c>
      <c r="D298" s="355">
        <v>81</v>
      </c>
      <c r="E298" s="356">
        <v>82</v>
      </c>
      <c r="F298" s="356">
        <v>77</v>
      </c>
      <c r="G298" s="356">
        <v>117</v>
      </c>
      <c r="H298" s="356">
        <v>119</v>
      </c>
      <c r="I298" s="356">
        <v>101</v>
      </c>
      <c r="J298" s="356">
        <v>77</v>
      </c>
      <c r="K298" s="356">
        <v>85</v>
      </c>
      <c r="L298" s="356">
        <v>84</v>
      </c>
      <c r="M298" s="356">
        <v>90</v>
      </c>
      <c r="N298" s="356">
        <v>57</v>
      </c>
      <c r="O298" s="356">
        <v>79</v>
      </c>
      <c r="P298" s="356">
        <f t="shared" si="314"/>
        <v>1049</v>
      </c>
      <c r="Q298" s="357">
        <f t="shared" si="315"/>
        <v>87.416666666666671</v>
      </c>
      <c r="R298" s="372"/>
      <c r="S298" s="355">
        <v>79</v>
      </c>
      <c r="T298" s="356">
        <v>91</v>
      </c>
      <c r="U298" s="356">
        <v>65</v>
      </c>
      <c r="V298" s="356">
        <v>60</v>
      </c>
      <c r="W298" s="356">
        <v>67</v>
      </c>
      <c r="X298" s="356">
        <v>57</v>
      </c>
      <c r="Y298" s="356">
        <v>71</v>
      </c>
      <c r="Z298" s="356">
        <v>121</v>
      </c>
      <c r="AA298" s="356">
        <v>54</v>
      </c>
      <c r="AB298" s="356">
        <v>66</v>
      </c>
      <c r="AC298" s="356">
        <v>72</v>
      </c>
      <c r="AD298" s="356">
        <v>46</v>
      </c>
      <c r="AE298" s="356">
        <f t="shared" si="316"/>
        <v>849</v>
      </c>
      <c r="AF298" s="357">
        <f t="shared" si="317"/>
        <v>70.75</v>
      </c>
      <c r="AG298" s="372"/>
      <c r="AH298" s="355">
        <v>104</v>
      </c>
      <c r="AI298" s="356">
        <v>47</v>
      </c>
      <c r="AJ298" s="356">
        <v>87</v>
      </c>
      <c r="AK298" s="356">
        <v>73</v>
      </c>
      <c r="AL298" s="356">
        <v>82</v>
      </c>
      <c r="AM298" s="356">
        <v>79</v>
      </c>
      <c r="AN298" s="356">
        <v>76</v>
      </c>
      <c r="AO298" s="356">
        <v>72</v>
      </c>
      <c r="AP298" s="356">
        <v>78</v>
      </c>
      <c r="AQ298" s="356">
        <v>110</v>
      </c>
      <c r="AR298" s="356">
        <v>92</v>
      </c>
      <c r="AS298" s="356">
        <v>65</v>
      </c>
      <c r="AT298" s="356">
        <f t="shared" si="318"/>
        <v>965</v>
      </c>
      <c r="AU298" s="357">
        <f t="shared" si="319"/>
        <v>80.416666666666671</v>
      </c>
      <c r="AX298" s="355">
        <v>62</v>
      </c>
      <c r="AY298" s="356">
        <v>91</v>
      </c>
      <c r="AZ298" s="356">
        <v>66</v>
      </c>
      <c r="BA298" s="356">
        <v>71</v>
      </c>
      <c r="BB298" s="356">
        <v>135</v>
      </c>
      <c r="BC298" s="356">
        <v>60</v>
      </c>
      <c r="BD298" s="356">
        <v>128</v>
      </c>
      <c r="BE298" s="356">
        <v>95</v>
      </c>
      <c r="BF298" s="356">
        <v>121</v>
      </c>
      <c r="BG298" s="356">
        <v>99</v>
      </c>
      <c r="BH298" s="356">
        <v>111</v>
      </c>
      <c r="BI298" s="356">
        <v>131</v>
      </c>
      <c r="BJ298" s="356">
        <f t="shared" si="320"/>
        <v>1170</v>
      </c>
      <c r="BK298" s="357">
        <f t="shared" si="321"/>
        <v>97.5</v>
      </c>
      <c r="BN298" s="322">
        <f t="shared" si="332"/>
        <v>66</v>
      </c>
      <c r="BO298" s="322">
        <f t="shared" si="309"/>
        <v>17.083333333333329</v>
      </c>
      <c r="BP298" s="322">
        <f t="shared" si="310"/>
        <v>205</v>
      </c>
      <c r="BQ298" s="322">
        <f t="shared" si="322"/>
        <v>20</v>
      </c>
      <c r="BR298" s="2265">
        <f>HLOOKUP($B$1,$AX$1:$BI$500,ROW(),0)</f>
        <v>111</v>
      </c>
      <c r="BS298" s="2265">
        <f t="shared" si="313"/>
        <v>131</v>
      </c>
    </row>
    <row r="299" spans="1:71" s="172" customFormat="1" x14ac:dyDescent="0.55000000000000004">
      <c r="A299" s="7531"/>
      <c r="B299" s="253"/>
      <c r="C299" s="181" t="s">
        <v>243</v>
      </c>
      <c r="D299" s="358">
        <v>26</v>
      </c>
      <c r="E299" s="359">
        <v>28</v>
      </c>
      <c r="F299" s="359">
        <v>30</v>
      </c>
      <c r="G299" s="359">
        <v>32</v>
      </c>
      <c r="H299" s="359">
        <v>38</v>
      </c>
      <c r="I299" s="359">
        <v>25</v>
      </c>
      <c r="J299" s="359">
        <v>17</v>
      </c>
      <c r="K299" s="359">
        <v>27</v>
      </c>
      <c r="L299" s="359">
        <v>23</v>
      </c>
      <c r="M299" s="359">
        <v>31</v>
      </c>
      <c r="N299" s="359">
        <v>20</v>
      </c>
      <c r="O299" s="359">
        <v>15</v>
      </c>
      <c r="P299" s="359">
        <f t="shared" si="314"/>
        <v>312</v>
      </c>
      <c r="Q299" s="360">
        <f t="shared" si="315"/>
        <v>26</v>
      </c>
      <c r="R299" s="372"/>
      <c r="S299" s="358">
        <v>20</v>
      </c>
      <c r="T299" s="359">
        <v>19</v>
      </c>
      <c r="U299" s="359">
        <v>25</v>
      </c>
      <c r="V299" s="359">
        <v>16</v>
      </c>
      <c r="W299" s="359">
        <v>26</v>
      </c>
      <c r="X299" s="359">
        <v>20</v>
      </c>
      <c r="Y299" s="359">
        <v>24</v>
      </c>
      <c r="Z299" s="359">
        <v>29</v>
      </c>
      <c r="AA299" s="359">
        <v>14</v>
      </c>
      <c r="AB299" s="359">
        <v>27</v>
      </c>
      <c r="AC299" s="359">
        <v>18</v>
      </c>
      <c r="AD299" s="359">
        <v>19</v>
      </c>
      <c r="AE299" s="359">
        <f t="shared" si="316"/>
        <v>257</v>
      </c>
      <c r="AF299" s="360">
        <f t="shared" si="317"/>
        <v>21.416666666666668</v>
      </c>
      <c r="AG299" s="372"/>
      <c r="AH299" s="358">
        <v>32</v>
      </c>
      <c r="AI299" s="359">
        <v>18</v>
      </c>
      <c r="AJ299" s="359">
        <v>31</v>
      </c>
      <c r="AK299" s="359">
        <v>30</v>
      </c>
      <c r="AL299" s="359">
        <v>34</v>
      </c>
      <c r="AM299" s="359">
        <v>18</v>
      </c>
      <c r="AN299" s="359">
        <v>38</v>
      </c>
      <c r="AO299" s="359">
        <v>21</v>
      </c>
      <c r="AP299" s="359">
        <v>34</v>
      </c>
      <c r="AQ299" s="359">
        <v>27</v>
      </c>
      <c r="AR299" s="359">
        <v>39</v>
      </c>
      <c r="AS299" s="359">
        <v>28</v>
      </c>
      <c r="AT299" s="359">
        <f t="shared" si="318"/>
        <v>350</v>
      </c>
      <c r="AU299" s="360">
        <f t="shared" si="319"/>
        <v>29.166666666666668</v>
      </c>
      <c r="AX299" s="358">
        <v>32</v>
      </c>
      <c r="AY299" s="359">
        <v>36</v>
      </c>
      <c r="AZ299" s="359">
        <v>29</v>
      </c>
      <c r="BA299" s="359">
        <v>37</v>
      </c>
      <c r="BB299" s="359">
        <v>54</v>
      </c>
      <c r="BC299" s="359">
        <v>28</v>
      </c>
      <c r="BD299" s="2353">
        <v>0</v>
      </c>
      <c r="BE299" s="2353">
        <v>0</v>
      </c>
      <c r="BF299" s="2353">
        <v>0</v>
      </c>
      <c r="BG299" s="2353">
        <v>0</v>
      </c>
      <c r="BH299" s="2353">
        <v>0</v>
      </c>
      <c r="BI299" s="2353">
        <v>0</v>
      </c>
      <c r="BJ299" s="359">
        <f t="shared" si="320"/>
        <v>216</v>
      </c>
      <c r="BK299" s="360">
        <f t="shared" si="321"/>
        <v>18</v>
      </c>
      <c r="BN299" s="322">
        <f t="shared" si="332"/>
        <v>-28</v>
      </c>
      <c r="BO299" s="322">
        <f t="shared" si="309"/>
        <v>-11.166666666666668</v>
      </c>
      <c r="BP299" s="322">
        <f t="shared" si="310"/>
        <v>-134</v>
      </c>
      <c r="BQ299" s="322">
        <f t="shared" si="322"/>
        <v>0</v>
      </c>
      <c r="BR299" s="2265">
        <f t="shared" si="312"/>
        <v>0</v>
      </c>
      <c r="BS299" s="2265">
        <f t="shared" si="313"/>
        <v>0</v>
      </c>
    </row>
    <row r="300" spans="1:71" s="172" customFormat="1" x14ac:dyDescent="0.55000000000000004">
      <c r="A300" s="7531"/>
      <c r="B300" s="253"/>
      <c r="C300" s="173" t="s">
        <v>244</v>
      </c>
      <c r="D300" s="361">
        <v>123</v>
      </c>
      <c r="E300" s="362">
        <v>98</v>
      </c>
      <c r="F300" s="362">
        <v>130</v>
      </c>
      <c r="G300" s="362">
        <v>89</v>
      </c>
      <c r="H300" s="362">
        <v>98</v>
      </c>
      <c r="I300" s="362">
        <v>67</v>
      </c>
      <c r="J300" s="362">
        <v>54</v>
      </c>
      <c r="K300" s="362">
        <v>90</v>
      </c>
      <c r="L300" s="362">
        <v>46</v>
      </c>
      <c r="M300" s="362">
        <v>86</v>
      </c>
      <c r="N300" s="362">
        <v>82</v>
      </c>
      <c r="O300" s="362">
        <v>70</v>
      </c>
      <c r="P300" s="362">
        <f t="shared" si="314"/>
        <v>1033</v>
      </c>
      <c r="Q300" s="363">
        <f t="shared" si="315"/>
        <v>86.083333333333329</v>
      </c>
      <c r="R300" s="372"/>
      <c r="S300" s="361">
        <v>62</v>
      </c>
      <c r="T300" s="362">
        <v>81</v>
      </c>
      <c r="U300" s="362">
        <v>61</v>
      </c>
      <c r="V300" s="362">
        <v>48</v>
      </c>
      <c r="W300" s="362">
        <v>61</v>
      </c>
      <c r="X300" s="362">
        <v>39</v>
      </c>
      <c r="Y300" s="362">
        <v>67</v>
      </c>
      <c r="Z300" s="362">
        <v>61</v>
      </c>
      <c r="AA300" s="362">
        <v>64</v>
      </c>
      <c r="AB300" s="362">
        <v>65</v>
      </c>
      <c r="AC300" s="362">
        <v>57</v>
      </c>
      <c r="AD300" s="362">
        <v>51</v>
      </c>
      <c r="AE300" s="362">
        <f t="shared" si="316"/>
        <v>717</v>
      </c>
      <c r="AF300" s="363">
        <f t="shared" si="317"/>
        <v>59.75</v>
      </c>
      <c r="AG300" s="372"/>
      <c r="AH300" s="361">
        <v>86</v>
      </c>
      <c r="AI300" s="362">
        <v>66</v>
      </c>
      <c r="AJ300" s="362">
        <v>82</v>
      </c>
      <c r="AK300" s="362">
        <v>54</v>
      </c>
      <c r="AL300" s="362">
        <v>69</v>
      </c>
      <c r="AM300" s="362">
        <v>73</v>
      </c>
      <c r="AN300" s="362">
        <v>64</v>
      </c>
      <c r="AO300" s="362">
        <v>85</v>
      </c>
      <c r="AP300" s="362">
        <v>88</v>
      </c>
      <c r="AQ300" s="362">
        <v>61</v>
      </c>
      <c r="AR300" s="362">
        <v>70</v>
      </c>
      <c r="AS300" s="362">
        <v>58</v>
      </c>
      <c r="AT300" s="362">
        <f t="shared" si="318"/>
        <v>856</v>
      </c>
      <c r="AU300" s="363">
        <f t="shared" si="319"/>
        <v>71.333333333333329</v>
      </c>
      <c r="AX300" s="361">
        <v>53</v>
      </c>
      <c r="AY300" s="362">
        <v>82</v>
      </c>
      <c r="AZ300" s="362">
        <v>52</v>
      </c>
      <c r="BA300" s="362">
        <v>63</v>
      </c>
      <c r="BB300" s="362">
        <v>144</v>
      </c>
      <c r="BC300" s="362">
        <v>67</v>
      </c>
      <c r="BD300" s="362">
        <v>75</v>
      </c>
      <c r="BE300" s="362">
        <v>78</v>
      </c>
      <c r="BF300" s="362">
        <v>81</v>
      </c>
      <c r="BG300" s="362">
        <v>63</v>
      </c>
      <c r="BH300" s="362">
        <v>59</v>
      </c>
      <c r="BI300" s="362">
        <v>72</v>
      </c>
      <c r="BJ300" s="362">
        <f t="shared" si="320"/>
        <v>889</v>
      </c>
      <c r="BK300" s="363">
        <f t="shared" si="321"/>
        <v>74.083333333333329</v>
      </c>
      <c r="BN300" s="322">
        <f t="shared" si="332"/>
        <v>14</v>
      </c>
      <c r="BO300" s="322">
        <f t="shared" si="309"/>
        <v>2.75</v>
      </c>
      <c r="BP300" s="322">
        <f t="shared" si="310"/>
        <v>33</v>
      </c>
      <c r="BQ300" s="322">
        <f t="shared" si="322"/>
        <v>13</v>
      </c>
      <c r="BR300" s="2265">
        <f t="shared" si="312"/>
        <v>59</v>
      </c>
      <c r="BS300" s="2265">
        <f>HLOOKUP($A$1,$AX$1:$BI$500,ROW(),0)</f>
        <v>72</v>
      </c>
    </row>
    <row r="301" spans="1:71" s="172" customFormat="1" x14ac:dyDescent="0.55000000000000004">
      <c r="A301" s="7531"/>
      <c r="B301" s="253"/>
      <c r="C301" s="181" t="s">
        <v>245</v>
      </c>
      <c r="D301" s="358">
        <v>86</v>
      </c>
      <c r="E301" s="359">
        <v>99</v>
      </c>
      <c r="F301" s="359">
        <v>62</v>
      </c>
      <c r="G301" s="359">
        <v>128</v>
      </c>
      <c r="H301" s="359">
        <v>86</v>
      </c>
      <c r="I301" s="359">
        <v>66</v>
      </c>
      <c r="J301" s="359">
        <v>80</v>
      </c>
      <c r="K301" s="359">
        <v>81</v>
      </c>
      <c r="L301" s="359">
        <v>42</v>
      </c>
      <c r="M301" s="359">
        <v>44</v>
      </c>
      <c r="N301" s="359">
        <v>30</v>
      </c>
      <c r="O301" s="359">
        <v>51</v>
      </c>
      <c r="P301" s="359">
        <f t="shared" si="314"/>
        <v>855</v>
      </c>
      <c r="Q301" s="360">
        <f t="shared" si="315"/>
        <v>71.25</v>
      </c>
      <c r="R301" s="372"/>
      <c r="S301" s="358">
        <v>54</v>
      </c>
      <c r="T301" s="359">
        <v>52</v>
      </c>
      <c r="U301" s="359">
        <v>66</v>
      </c>
      <c r="V301" s="359">
        <v>50</v>
      </c>
      <c r="W301" s="359">
        <v>51</v>
      </c>
      <c r="X301" s="359">
        <v>39</v>
      </c>
      <c r="Y301" s="359">
        <v>83</v>
      </c>
      <c r="Z301" s="359">
        <v>72</v>
      </c>
      <c r="AA301" s="359">
        <v>57</v>
      </c>
      <c r="AB301" s="359">
        <v>75</v>
      </c>
      <c r="AC301" s="359">
        <v>70</v>
      </c>
      <c r="AD301" s="359">
        <v>49</v>
      </c>
      <c r="AE301" s="359">
        <f t="shared" si="316"/>
        <v>718</v>
      </c>
      <c r="AF301" s="360">
        <f t="shared" si="317"/>
        <v>59.833333333333336</v>
      </c>
      <c r="AG301" s="372"/>
      <c r="AH301" s="358">
        <v>71</v>
      </c>
      <c r="AI301" s="359">
        <v>74</v>
      </c>
      <c r="AJ301" s="359">
        <v>92</v>
      </c>
      <c r="AK301" s="359">
        <v>78</v>
      </c>
      <c r="AL301" s="359">
        <v>97</v>
      </c>
      <c r="AM301" s="359">
        <v>98</v>
      </c>
      <c r="AN301" s="359">
        <v>86</v>
      </c>
      <c r="AO301" s="359">
        <v>85</v>
      </c>
      <c r="AP301" s="359">
        <v>71</v>
      </c>
      <c r="AQ301" s="359">
        <v>104</v>
      </c>
      <c r="AR301" s="359">
        <v>75</v>
      </c>
      <c r="AS301" s="359">
        <v>70</v>
      </c>
      <c r="AT301" s="359">
        <f t="shared" si="318"/>
        <v>1001</v>
      </c>
      <c r="AU301" s="360">
        <f t="shared" si="319"/>
        <v>83.416666666666671</v>
      </c>
      <c r="AX301" s="358">
        <v>68</v>
      </c>
      <c r="AY301" s="359">
        <v>112</v>
      </c>
      <c r="AZ301" s="359">
        <v>60</v>
      </c>
      <c r="BA301" s="359">
        <v>88</v>
      </c>
      <c r="BB301" s="359">
        <v>125</v>
      </c>
      <c r="BC301" s="359">
        <v>90</v>
      </c>
      <c r="BD301" s="359">
        <v>96</v>
      </c>
      <c r="BE301" s="359">
        <v>68</v>
      </c>
      <c r="BF301" s="359">
        <v>88</v>
      </c>
      <c r="BG301" s="359">
        <v>73</v>
      </c>
      <c r="BH301" s="359">
        <v>67</v>
      </c>
      <c r="BI301" s="359">
        <v>90</v>
      </c>
      <c r="BJ301" s="359">
        <f t="shared" si="320"/>
        <v>1025</v>
      </c>
      <c r="BK301" s="360">
        <f t="shared" si="321"/>
        <v>85.416666666666671</v>
      </c>
      <c r="BN301" s="322">
        <f t="shared" si="332"/>
        <v>20</v>
      </c>
      <c r="BO301" s="322">
        <f t="shared" si="309"/>
        <v>2</v>
      </c>
      <c r="BP301" s="322">
        <f t="shared" si="310"/>
        <v>24</v>
      </c>
      <c r="BQ301" s="322">
        <f t="shared" si="322"/>
        <v>23</v>
      </c>
      <c r="BR301" s="2265">
        <f t="shared" si="312"/>
        <v>67</v>
      </c>
      <c r="BS301" s="2265">
        <f t="shared" si="313"/>
        <v>90</v>
      </c>
    </row>
    <row r="302" spans="1:71" s="172" customFormat="1" x14ac:dyDescent="0.55000000000000004">
      <c r="A302" s="7531"/>
      <c r="B302" s="253"/>
      <c r="C302" s="173" t="s">
        <v>246</v>
      </c>
      <c r="D302" s="361">
        <v>52</v>
      </c>
      <c r="E302" s="362">
        <v>80</v>
      </c>
      <c r="F302" s="362">
        <v>68</v>
      </c>
      <c r="G302" s="362">
        <v>53</v>
      </c>
      <c r="H302" s="362">
        <v>48</v>
      </c>
      <c r="I302" s="362">
        <v>39</v>
      </c>
      <c r="J302" s="362">
        <v>108</v>
      </c>
      <c r="K302" s="362">
        <v>93</v>
      </c>
      <c r="L302" s="362">
        <v>66</v>
      </c>
      <c r="M302" s="362">
        <v>78</v>
      </c>
      <c r="N302" s="362">
        <v>67</v>
      </c>
      <c r="O302" s="362">
        <v>57</v>
      </c>
      <c r="P302" s="362">
        <f t="shared" si="314"/>
        <v>809</v>
      </c>
      <c r="Q302" s="363">
        <f t="shared" si="315"/>
        <v>67.416666666666671</v>
      </c>
      <c r="R302" s="372"/>
      <c r="S302" s="361">
        <v>64</v>
      </c>
      <c r="T302" s="362">
        <v>91</v>
      </c>
      <c r="U302" s="362">
        <v>82</v>
      </c>
      <c r="V302" s="362">
        <v>67</v>
      </c>
      <c r="W302" s="362">
        <v>82</v>
      </c>
      <c r="X302" s="362">
        <v>51</v>
      </c>
      <c r="Y302" s="362">
        <v>55</v>
      </c>
      <c r="Z302" s="362">
        <v>63</v>
      </c>
      <c r="AA302" s="362">
        <v>79</v>
      </c>
      <c r="AB302" s="362">
        <v>66</v>
      </c>
      <c r="AC302" s="362">
        <v>56</v>
      </c>
      <c r="AD302" s="362">
        <v>56</v>
      </c>
      <c r="AE302" s="362">
        <f t="shared" si="316"/>
        <v>812</v>
      </c>
      <c r="AF302" s="363">
        <f t="shared" si="317"/>
        <v>67.666666666666671</v>
      </c>
      <c r="AG302" s="372"/>
      <c r="AH302" s="361">
        <v>111</v>
      </c>
      <c r="AI302" s="362">
        <v>71</v>
      </c>
      <c r="AJ302" s="362">
        <v>102</v>
      </c>
      <c r="AK302" s="362">
        <v>91</v>
      </c>
      <c r="AL302" s="362">
        <v>121</v>
      </c>
      <c r="AM302" s="362">
        <v>85</v>
      </c>
      <c r="AN302" s="362">
        <v>86</v>
      </c>
      <c r="AO302" s="362">
        <v>81</v>
      </c>
      <c r="AP302" s="362">
        <v>103</v>
      </c>
      <c r="AQ302" s="362">
        <v>98</v>
      </c>
      <c r="AR302" s="362">
        <v>109</v>
      </c>
      <c r="AS302" s="362">
        <v>97</v>
      </c>
      <c r="AT302" s="362">
        <f t="shared" ref="AT302:AT365" si="393">SUM(AH302:AS302)</f>
        <v>1155</v>
      </c>
      <c r="AU302" s="363">
        <f t="shared" si="319"/>
        <v>96.25</v>
      </c>
      <c r="AX302" s="361">
        <v>115</v>
      </c>
      <c r="AY302" s="362">
        <v>106</v>
      </c>
      <c r="AZ302" s="362">
        <v>105</v>
      </c>
      <c r="BA302" s="362">
        <v>133</v>
      </c>
      <c r="BB302" s="362">
        <v>173</v>
      </c>
      <c r="BC302" s="362">
        <v>124</v>
      </c>
      <c r="BD302" s="362">
        <v>114</v>
      </c>
      <c r="BE302" s="362">
        <v>72</v>
      </c>
      <c r="BF302" s="362">
        <v>113</v>
      </c>
      <c r="BG302" s="362">
        <v>92</v>
      </c>
      <c r="BH302" s="362">
        <v>87</v>
      </c>
      <c r="BI302" s="362">
        <v>93</v>
      </c>
      <c r="BJ302" s="362">
        <f t="shared" ref="BJ302:BJ365" si="394">SUM(AX302:BI302)</f>
        <v>1327</v>
      </c>
      <c r="BK302" s="363">
        <f t="shared" si="321"/>
        <v>110.58333333333333</v>
      </c>
      <c r="BN302" s="322">
        <f t="shared" si="332"/>
        <v>-4</v>
      </c>
      <c r="BO302" s="322">
        <f t="shared" ref="BO302:BO365" si="395">BK302-AU302</f>
        <v>14.333333333333329</v>
      </c>
      <c r="BP302" s="322">
        <f t="shared" ref="BP302:BP365" si="396">BJ302-SUM(AH302:AS302)</f>
        <v>172</v>
      </c>
      <c r="BQ302" s="322">
        <f t="shared" si="322"/>
        <v>6</v>
      </c>
      <c r="BR302" s="2265">
        <f t="shared" ref="BR302:BR365" si="397">HLOOKUP($B$1,$AX$1:$BI$500,ROW(),0)</f>
        <v>87</v>
      </c>
      <c r="BS302" s="2265">
        <f t="shared" ref="BS302:BS365" si="398">HLOOKUP($A$1,$AX$1:$BI$500,ROW(),0)</f>
        <v>93</v>
      </c>
    </row>
    <row r="303" spans="1:71" s="172" customFormat="1" x14ac:dyDescent="0.55000000000000004">
      <c r="A303" s="7531"/>
      <c r="B303" s="253"/>
      <c r="C303" s="173" t="s">
        <v>247</v>
      </c>
      <c r="D303" s="361">
        <v>46</v>
      </c>
      <c r="E303" s="362">
        <v>45</v>
      </c>
      <c r="F303" s="362">
        <v>58</v>
      </c>
      <c r="G303" s="362">
        <v>64</v>
      </c>
      <c r="H303" s="362">
        <v>62</v>
      </c>
      <c r="I303" s="362">
        <v>45</v>
      </c>
      <c r="J303" s="362">
        <v>48</v>
      </c>
      <c r="K303" s="362">
        <v>51</v>
      </c>
      <c r="L303" s="362">
        <v>47</v>
      </c>
      <c r="M303" s="362">
        <v>44</v>
      </c>
      <c r="N303" s="362">
        <v>52</v>
      </c>
      <c r="O303" s="362">
        <v>21</v>
      </c>
      <c r="P303" s="362">
        <f t="shared" ref="P303:P366" si="399">SUM(D303:O303)</f>
        <v>583</v>
      </c>
      <c r="Q303" s="363">
        <f t="shared" ref="Q303:Q339" si="400">P303/12</f>
        <v>48.583333333333336</v>
      </c>
      <c r="R303" s="372"/>
      <c r="S303" s="361">
        <v>67</v>
      </c>
      <c r="T303" s="362">
        <v>46</v>
      </c>
      <c r="U303" s="362">
        <v>52</v>
      </c>
      <c r="V303" s="362">
        <v>66</v>
      </c>
      <c r="W303" s="362">
        <v>60</v>
      </c>
      <c r="X303" s="362">
        <v>72</v>
      </c>
      <c r="Y303" s="362">
        <v>39</v>
      </c>
      <c r="Z303" s="362">
        <v>43</v>
      </c>
      <c r="AA303" s="362">
        <v>47</v>
      </c>
      <c r="AB303" s="362">
        <v>79</v>
      </c>
      <c r="AC303" s="362">
        <v>37</v>
      </c>
      <c r="AD303" s="362">
        <v>42</v>
      </c>
      <c r="AE303" s="362">
        <f t="shared" ref="AE303:AE366" si="401">SUM(S303:AD303)</f>
        <v>650</v>
      </c>
      <c r="AF303" s="363">
        <f t="shared" ref="AF303:AF339" si="402">AE303/12</f>
        <v>54.166666666666664</v>
      </c>
      <c r="AG303" s="372"/>
      <c r="AH303" s="361">
        <v>62</v>
      </c>
      <c r="AI303" s="362">
        <v>61</v>
      </c>
      <c r="AJ303" s="362">
        <v>61</v>
      </c>
      <c r="AK303" s="362">
        <v>47</v>
      </c>
      <c r="AL303" s="362">
        <v>57</v>
      </c>
      <c r="AM303" s="362">
        <v>58</v>
      </c>
      <c r="AN303" s="362">
        <v>62</v>
      </c>
      <c r="AO303" s="362">
        <v>59</v>
      </c>
      <c r="AP303" s="362">
        <v>51</v>
      </c>
      <c r="AQ303" s="362">
        <v>49</v>
      </c>
      <c r="AR303" s="362">
        <v>70</v>
      </c>
      <c r="AS303" s="362">
        <v>42</v>
      </c>
      <c r="AT303" s="362">
        <f t="shared" si="393"/>
        <v>679</v>
      </c>
      <c r="AU303" s="363">
        <f t="shared" ref="AU303:AU366" si="403">SUM(AH303:AS303)/12</f>
        <v>56.583333333333336</v>
      </c>
      <c r="AX303" s="361">
        <v>55</v>
      </c>
      <c r="AY303" s="362">
        <v>67</v>
      </c>
      <c r="AZ303" s="362">
        <v>71</v>
      </c>
      <c r="BA303" s="362">
        <v>48</v>
      </c>
      <c r="BB303" s="362">
        <v>112</v>
      </c>
      <c r="BC303" s="362">
        <v>55</v>
      </c>
      <c r="BD303" s="362">
        <v>68</v>
      </c>
      <c r="BE303" s="362">
        <v>52</v>
      </c>
      <c r="BF303" s="362">
        <v>72</v>
      </c>
      <c r="BG303" s="362">
        <v>66</v>
      </c>
      <c r="BH303" s="362">
        <v>66</v>
      </c>
      <c r="BI303" s="362">
        <v>67</v>
      </c>
      <c r="BJ303" s="362">
        <f t="shared" si="394"/>
        <v>799</v>
      </c>
      <c r="BK303" s="363">
        <f t="shared" ref="BK303:BK366" si="404">AVERAGE(AX303:BI303)</f>
        <v>66.583333333333329</v>
      </c>
      <c r="BN303" s="322">
        <f t="shared" si="332"/>
        <v>25</v>
      </c>
      <c r="BO303" s="322">
        <f t="shared" si="395"/>
        <v>9.9999999999999929</v>
      </c>
      <c r="BP303" s="322">
        <f t="shared" si="396"/>
        <v>120</v>
      </c>
      <c r="BQ303" s="322">
        <f t="shared" ref="BQ303:BQ366" si="405">BS303-BR303</f>
        <v>1</v>
      </c>
      <c r="BR303" s="2265">
        <f t="shared" si="397"/>
        <v>66</v>
      </c>
      <c r="BS303" s="2265">
        <f t="shared" si="398"/>
        <v>67</v>
      </c>
    </row>
    <row r="304" spans="1:71" s="172" customFormat="1" x14ac:dyDescent="0.55000000000000004">
      <c r="A304" s="7531"/>
      <c r="B304" s="253"/>
      <c r="C304" s="181" t="s">
        <v>248</v>
      </c>
      <c r="D304" s="358">
        <v>54</v>
      </c>
      <c r="E304" s="359">
        <v>51</v>
      </c>
      <c r="F304" s="359">
        <v>51</v>
      </c>
      <c r="G304" s="359">
        <v>57</v>
      </c>
      <c r="H304" s="359">
        <v>49</v>
      </c>
      <c r="I304" s="359">
        <v>39</v>
      </c>
      <c r="J304" s="359">
        <v>74</v>
      </c>
      <c r="K304" s="359">
        <v>79</v>
      </c>
      <c r="L304" s="359">
        <v>71</v>
      </c>
      <c r="M304" s="359">
        <v>68</v>
      </c>
      <c r="N304" s="359">
        <v>74</v>
      </c>
      <c r="O304" s="359">
        <v>83</v>
      </c>
      <c r="P304" s="359">
        <f t="shared" si="399"/>
        <v>750</v>
      </c>
      <c r="Q304" s="360">
        <f t="shared" si="400"/>
        <v>62.5</v>
      </c>
      <c r="R304" s="372"/>
      <c r="S304" s="358">
        <v>67</v>
      </c>
      <c r="T304" s="359">
        <v>90</v>
      </c>
      <c r="U304" s="359">
        <v>76</v>
      </c>
      <c r="V304" s="359">
        <v>100</v>
      </c>
      <c r="W304" s="359">
        <v>81</v>
      </c>
      <c r="X304" s="359">
        <v>71</v>
      </c>
      <c r="Y304" s="359">
        <v>66</v>
      </c>
      <c r="Z304" s="359">
        <v>94</v>
      </c>
      <c r="AA304" s="359">
        <v>71</v>
      </c>
      <c r="AB304" s="359">
        <v>75</v>
      </c>
      <c r="AC304" s="359">
        <v>69</v>
      </c>
      <c r="AD304" s="359">
        <v>52</v>
      </c>
      <c r="AE304" s="359">
        <f t="shared" si="401"/>
        <v>912</v>
      </c>
      <c r="AF304" s="360">
        <f t="shared" si="402"/>
        <v>76</v>
      </c>
      <c r="AG304" s="372"/>
      <c r="AH304" s="358">
        <v>98</v>
      </c>
      <c r="AI304" s="359">
        <v>66</v>
      </c>
      <c r="AJ304" s="359">
        <v>65</v>
      </c>
      <c r="AK304" s="359">
        <v>81</v>
      </c>
      <c r="AL304" s="359">
        <v>96</v>
      </c>
      <c r="AM304" s="359">
        <v>73</v>
      </c>
      <c r="AN304" s="359">
        <v>86</v>
      </c>
      <c r="AO304" s="359">
        <v>56</v>
      </c>
      <c r="AP304" s="359">
        <v>70</v>
      </c>
      <c r="AQ304" s="359">
        <v>81</v>
      </c>
      <c r="AR304" s="359">
        <v>72</v>
      </c>
      <c r="AS304" s="359">
        <v>73</v>
      </c>
      <c r="AT304" s="359">
        <f t="shared" si="393"/>
        <v>917</v>
      </c>
      <c r="AU304" s="360">
        <f t="shared" si="403"/>
        <v>76.416666666666671</v>
      </c>
      <c r="AX304" s="358">
        <v>64</v>
      </c>
      <c r="AY304" s="359">
        <v>89</v>
      </c>
      <c r="AZ304" s="359">
        <v>82</v>
      </c>
      <c r="BA304" s="359">
        <v>65</v>
      </c>
      <c r="BB304" s="359">
        <v>124</v>
      </c>
      <c r="BC304" s="359">
        <v>62</v>
      </c>
      <c r="BD304" s="359">
        <v>81</v>
      </c>
      <c r="BE304" s="359">
        <v>50</v>
      </c>
      <c r="BF304" s="359">
        <v>90</v>
      </c>
      <c r="BG304" s="359">
        <v>60</v>
      </c>
      <c r="BH304" s="359">
        <v>79</v>
      </c>
      <c r="BI304" s="359">
        <v>70</v>
      </c>
      <c r="BJ304" s="359">
        <f t="shared" si="394"/>
        <v>916</v>
      </c>
      <c r="BK304" s="360">
        <f t="shared" si="404"/>
        <v>76.333333333333329</v>
      </c>
      <c r="BN304" s="322">
        <f t="shared" si="332"/>
        <v>-3</v>
      </c>
      <c r="BO304" s="322">
        <f t="shared" si="395"/>
        <v>-8.3333333333342807E-2</v>
      </c>
      <c r="BP304" s="322">
        <f t="shared" si="396"/>
        <v>-1</v>
      </c>
      <c r="BQ304" s="322">
        <f t="shared" si="405"/>
        <v>-9</v>
      </c>
      <c r="BR304" s="2265">
        <f t="shared" si="397"/>
        <v>79</v>
      </c>
      <c r="BS304" s="2265">
        <f t="shared" si="398"/>
        <v>70</v>
      </c>
    </row>
    <row r="305" spans="1:71" s="172" customFormat="1" ht="18" thickBot="1" x14ac:dyDescent="0.6">
      <c r="A305" s="7532"/>
      <c r="B305" s="255"/>
      <c r="C305" s="183" t="s">
        <v>249</v>
      </c>
      <c r="D305" s="367">
        <v>87</v>
      </c>
      <c r="E305" s="368">
        <v>62</v>
      </c>
      <c r="F305" s="368">
        <v>56</v>
      </c>
      <c r="G305" s="368">
        <v>53</v>
      </c>
      <c r="H305" s="368">
        <v>68</v>
      </c>
      <c r="I305" s="368">
        <v>55</v>
      </c>
      <c r="J305" s="368">
        <v>63</v>
      </c>
      <c r="K305" s="368">
        <v>64</v>
      </c>
      <c r="L305" s="368">
        <v>62</v>
      </c>
      <c r="M305" s="368">
        <v>56</v>
      </c>
      <c r="N305" s="368">
        <v>61</v>
      </c>
      <c r="O305" s="368">
        <v>31</v>
      </c>
      <c r="P305" s="368">
        <f t="shared" si="399"/>
        <v>718</v>
      </c>
      <c r="Q305" s="369">
        <f t="shared" si="400"/>
        <v>59.833333333333336</v>
      </c>
      <c r="R305" s="372"/>
      <c r="S305" s="367">
        <v>64</v>
      </c>
      <c r="T305" s="368">
        <v>56</v>
      </c>
      <c r="U305" s="368">
        <v>71</v>
      </c>
      <c r="V305" s="368">
        <v>59</v>
      </c>
      <c r="W305" s="368">
        <v>54</v>
      </c>
      <c r="X305" s="368">
        <v>38</v>
      </c>
      <c r="Y305" s="368">
        <v>48</v>
      </c>
      <c r="Z305" s="368">
        <v>60</v>
      </c>
      <c r="AA305" s="368">
        <v>31</v>
      </c>
      <c r="AB305" s="368">
        <v>52</v>
      </c>
      <c r="AC305" s="368">
        <v>38</v>
      </c>
      <c r="AD305" s="368">
        <v>33</v>
      </c>
      <c r="AE305" s="368">
        <f t="shared" si="401"/>
        <v>604</v>
      </c>
      <c r="AF305" s="369">
        <f t="shared" si="402"/>
        <v>50.333333333333336</v>
      </c>
      <c r="AG305" s="372"/>
      <c r="AH305" s="367">
        <v>102</v>
      </c>
      <c r="AI305" s="368">
        <v>56</v>
      </c>
      <c r="AJ305" s="368">
        <v>72</v>
      </c>
      <c r="AK305" s="368">
        <v>61</v>
      </c>
      <c r="AL305" s="368">
        <v>51</v>
      </c>
      <c r="AM305" s="368">
        <v>64</v>
      </c>
      <c r="AN305" s="368">
        <v>66</v>
      </c>
      <c r="AO305" s="368">
        <v>47</v>
      </c>
      <c r="AP305" s="368">
        <v>54</v>
      </c>
      <c r="AQ305" s="368">
        <v>72</v>
      </c>
      <c r="AR305" s="368">
        <v>73</v>
      </c>
      <c r="AS305" s="368">
        <v>53</v>
      </c>
      <c r="AT305" s="368">
        <f t="shared" si="393"/>
        <v>771</v>
      </c>
      <c r="AU305" s="369">
        <f t="shared" si="403"/>
        <v>64.25</v>
      </c>
      <c r="AX305" s="367">
        <v>57</v>
      </c>
      <c r="AY305" s="368">
        <v>79</v>
      </c>
      <c r="AZ305" s="368">
        <v>40</v>
      </c>
      <c r="BA305" s="368">
        <v>58</v>
      </c>
      <c r="BB305" s="368">
        <v>83</v>
      </c>
      <c r="BC305" s="365">
        <v>50</v>
      </c>
      <c r="BD305" s="368">
        <v>64</v>
      </c>
      <c r="BE305" s="368">
        <v>44</v>
      </c>
      <c r="BF305" s="368">
        <v>36</v>
      </c>
      <c r="BG305" s="368">
        <v>35</v>
      </c>
      <c r="BH305" s="368">
        <v>41</v>
      </c>
      <c r="BI305" s="368">
        <v>52</v>
      </c>
      <c r="BJ305" s="368">
        <f t="shared" si="394"/>
        <v>639</v>
      </c>
      <c r="BK305" s="369">
        <f t="shared" si="404"/>
        <v>53.25</v>
      </c>
      <c r="BN305" s="322">
        <f t="shared" si="332"/>
        <v>-1</v>
      </c>
      <c r="BO305" s="322">
        <f t="shared" si="395"/>
        <v>-11</v>
      </c>
      <c r="BP305" s="322">
        <f t="shared" si="396"/>
        <v>-132</v>
      </c>
      <c r="BQ305" s="322">
        <f t="shared" si="405"/>
        <v>11</v>
      </c>
      <c r="BR305" s="2265">
        <f t="shared" si="397"/>
        <v>41</v>
      </c>
      <c r="BS305" s="2265">
        <f t="shared" si="398"/>
        <v>52</v>
      </c>
    </row>
    <row r="306" spans="1:71" x14ac:dyDescent="0.55000000000000004">
      <c r="A306" s="7530" t="s">
        <v>398</v>
      </c>
      <c r="B306" s="74" t="s">
        <v>266</v>
      </c>
      <c r="C306" s="27"/>
      <c r="D306" s="342">
        <f>SUM(D310:D314)</f>
        <v>866</v>
      </c>
      <c r="E306" s="343">
        <f t="shared" ref="E306:O306" si="406">SUM(E310:E314)</f>
        <v>644</v>
      </c>
      <c r="F306" s="343">
        <f t="shared" si="406"/>
        <v>684</v>
      </c>
      <c r="G306" s="343">
        <f t="shared" si="406"/>
        <v>719</v>
      </c>
      <c r="H306" s="343">
        <f t="shared" si="406"/>
        <v>691</v>
      </c>
      <c r="I306" s="343">
        <f t="shared" si="406"/>
        <v>791</v>
      </c>
      <c r="J306" s="343">
        <f t="shared" si="406"/>
        <v>794</v>
      </c>
      <c r="K306" s="343">
        <f t="shared" si="406"/>
        <v>774</v>
      </c>
      <c r="L306" s="343">
        <f t="shared" si="406"/>
        <v>948</v>
      </c>
      <c r="M306" s="343">
        <f t="shared" si="406"/>
        <v>666</v>
      </c>
      <c r="N306" s="343">
        <f t="shared" si="406"/>
        <v>1037</v>
      </c>
      <c r="O306" s="343">
        <f t="shared" si="406"/>
        <v>1091</v>
      </c>
      <c r="P306" s="343">
        <f t="shared" si="399"/>
        <v>9705</v>
      </c>
      <c r="Q306" s="344">
        <f t="shared" si="400"/>
        <v>808.75</v>
      </c>
      <c r="R306" s="370"/>
      <c r="S306" s="342">
        <f>SUM(S310:S314)</f>
        <v>727</v>
      </c>
      <c r="T306" s="343">
        <f t="shared" ref="T306:AD306" si="407">SUM(T310:T314)</f>
        <v>738</v>
      </c>
      <c r="U306" s="343">
        <f t="shared" si="407"/>
        <v>747</v>
      </c>
      <c r="V306" s="343">
        <f t="shared" si="407"/>
        <v>984</v>
      </c>
      <c r="W306" s="343">
        <f t="shared" si="407"/>
        <v>807</v>
      </c>
      <c r="X306" s="343">
        <f t="shared" si="407"/>
        <v>810</v>
      </c>
      <c r="Y306" s="343">
        <f t="shared" si="407"/>
        <v>777</v>
      </c>
      <c r="Z306" s="343">
        <f t="shared" si="407"/>
        <v>472</v>
      </c>
      <c r="AA306" s="343">
        <f t="shared" si="407"/>
        <v>865</v>
      </c>
      <c r="AB306" s="343">
        <f t="shared" si="407"/>
        <v>510</v>
      </c>
      <c r="AC306" s="343">
        <f t="shared" si="407"/>
        <v>795</v>
      </c>
      <c r="AD306" s="343">
        <f t="shared" si="407"/>
        <v>902</v>
      </c>
      <c r="AE306" s="343">
        <f t="shared" si="401"/>
        <v>9134</v>
      </c>
      <c r="AF306" s="344">
        <f t="shared" si="402"/>
        <v>761.16666666666663</v>
      </c>
      <c r="AG306" s="370"/>
      <c r="AH306" s="342">
        <f t="shared" ref="AH306:AM306" si="408">SUM(AH310:AH314)</f>
        <v>585</v>
      </c>
      <c r="AI306" s="343">
        <f t="shared" si="408"/>
        <v>899</v>
      </c>
      <c r="AJ306" s="343">
        <f t="shared" si="408"/>
        <v>599</v>
      </c>
      <c r="AK306" s="343">
        <f t="shared" si="408"/>
        <v>602</v>
      </c>
      <c r="AL306" s="343">
        <f t="shared" si="408"/>
        <v>595</v>
      </c>
      <c r="AM306" s="343">
        <f t="shared" si="408"/>
        <v>614</v>
      </c>
      <c r="AN306" s="343">
        <v>618</v>
      </c>
      <c r="AO306" s="343">
        <f>SUM(AO310:AO314)</f>
        <v>761</v>
      </c>
      <c r="AP306" s="343">
        <f>SUM(AP310:AP314)</f>
        <v>460</v>
      </c>
      <c r="AQ306" s="343">
        <f>SUM(AQ310:AQ314)</f>
        <v>506</v>
      </c>
      <c r="AR306" s="343">
        <v>580</v>
      </c>
      <c r="AS306" s="343">
        <v>764</v>
      </c>
      <c r="AT306" s="343">
        <f t="shared" si="393"/>
        <v>7583</v>
      </c>
      <c r="AU306" s="344">
        <f t="shared" si="403"/>
        <v>631.91666666666663</v>
      </c>
      <c r="AX306" s="342">
        <v>776</v>
      </c>
      <c r="AY306" s="343">
        <v>291</v>
      </c>
      <c r="AZ306" s="343">
        <f>SUM(AZ310:AZ314)</f>
        <v>746</v>
      </c>
      <c r="BA306" s="343">
        <v>616</v>
      </c>
      <c r="BB306" s="343">
        <v>319</v>
      </c>
      <c r="BC306" s="343">
        <f>SUM(BC310:BC314)</f>
        <v>558</v>
      </c>
      <c r="BD306" s="343">
        <v>536</v>
      </c>
      <c r="BE306" s="343">
        <v>505</v>
      </c>
      <c r="BF306" s="343">
        <v>554</v>
      </c>
      <c r="BG306" s="343">
        <v>563</v>
      </c>
      <c r="BH306" s="343">
        <v>620</v>
      </c>
      <c r="BI306" s="343">
        <v>601</v>
      </c>
      <c r="BJ306" s="343">
        <f t="shared" si="394"/>
        <v>6685</v>
      </c>
      <c r="BK306" s="344">
        <f t="shared" si="404"/>
        <v>557.08333333333337</v>
      </c>
      <c r="BN306" s="322">
        <f t="shared" si="332"/>
        <v>-163</v>
      </c>
      <c r="BO306" s="322">
        <f t="shared" si="395"/>
        <v>-74.833333333333258</v>
      </c>
      <c r="BP306" s="322">
        <f t="shared" si="396"/>
        <v>-898</v>
      </c>
      <c r="BQ306" s="322">
        <f t="shared" si="405"/>
        <v>-19</v>
      </c>
      <c r="BR306" s="2265">
        <f t="shared" si="397"/>
        <v>620</v>
      </c>
      <c r="BS306" s="2265">
        <f t="shared" si="398"/>
        <v>601</v>
      </c>
    </row>
    <row r="307" spans="1:71" hidden="1" x14ac:dyDescent="0.55000000000000004">
      <c r="A307" s="7531"/>
      <c r="B307" s="248"/>
      <c r="C307" s="12" t="s">
        <v>278</v>
      </c>
      <c r="D307" s="345">
        <v>0</v>
      </c>
      <c r="E307" s="295">
        <v>0</v>
      </c>
      <c r="F307" s="295">
        <v>0</v>
      </c>
      <c r="G307" s="295">
        <v>0</v>
      </c>
      <c r="H307" s="295">
        <v>0</v>
      </c>
      <c r="I307" s="295">
        <v>0</v>
      </c>
      <c r="J307" s="295">
        <v>0</v>
      </c>
      <c r="K307" s="295">
        <v>0</v>
      </c>
      <c r="L307" s="295">
        <v>0</v>
      </c>
      <c r="M307" s="295">
        <v>0</v>
      </c>
      <c r="N307" s="295">
        <v>0</v>
      </c>
      <c r="O307" s="295">
        <v>0</v>
      </c>
      <c r="P307" s="295">
        <f t="shared" si="399"/>
        <v>0</v>
      </c>
      <c r="Q307" s="346">
        <f t="shared" si="400"/>
        <v>0</v>
      </c>
      <c r="R307" s="370"/>
      <c r="S307" s="345">
        <v>0</v>
      </c>
      <c r="T307" s="295">
        <v>0</v>
      </c>
      <c r="U307" s="295">
        <v>0</v>
      </c>
      <c r="V307" s="295">
        <v>0</v>
      </c>
      <c r="W307" s="295">
        <v>0</v>
      </c>
      <c r="X307" s="295">
        <v>0</v>
      </c>
      <c r="Y307" s="295">
        <v>0</v>
      </c>
      <c r="Z307" s="295">
        <v>0</v>
      </c>
      <c r="AA307" s="295">
        <v>0</v>
      </c>
      <c r="AB307" s="295">
        <v>0</v>
      </c>
      <c r="AC307" s="295">
        <v>0</v>
      </c>
      <c r="AD307" s="295">
        <v>0</v>
      </c>
      <c r="AE307" s="295">
        <f t="shared" si="401"/>
        <v>0</v>
      </c>
      <c r="AF307" s="346">
        <f t="shared" si="402"/>
        <v>0</v>
      </c>
      <c r="AG307" s="370"/>
      <c r="AH307" s="345"/>
      <c r="AI307" s="295"/>
      <c r="AJ307" s="295"/>
      <c r="AK307" s="295"/>
      <c r="AL307" s="295"/>
      <c r="AM307" s="295"/>
      <c r="AN307" s="295"/>
      <c r="AO307" s="295"/>
      <c r="AP307" s="295"/>
      <c r="AQ307" s="295"/>
      <c r="AR307" s="295"/>
      <c r="AS307" s="295"/>
      <c r="AT307" s="295">
        <f t="shared" si="393"/>
        <v>0</v>
      </c>
      <c r="AU307" s="346">
        <f t="shared" si="403"/>
        <v>0</v>
      </c>
      <c r="AX307" s="345">
        <v>24</v>
      </c>
      <c r="AY307" s="295">
        <v>7</v>
      </c>
      <c r="AZ307" s="295"/>
      <c r="BA307" s="295"/>
      <c r="BB307" s="295"/>
      <c r="BC307" s="295"/>
      <c r="BD307" s="295"/>
      <c r="BE307" s="295"/>
      <c r="BF307" s="295">
        <v>78</v>
      </c>
      <c r="BG307" s="295"/>
      <c r="BH307" s="295"/>
      <c r="BI307" s="295">
        <v>26</v>
      </c>
      <c r="BJ307" s="295">
        <f t="shared" si="394"/>
        <v>135</v>
      </c>
      <c r="BK307" s="346">
        <f t="shared" si="404"/>
        <v>33.75</v>
      </c>
      <c r="BN307" s="322">
        <f t="shared" si="332"/>
        <v>26</v>
      </c>
      <c r="BO307" s="322">
        <f t="shared" si="395"/>
        <v>33.75</v>
      </c>
      <c r="BP307" s="322">
        <f t="shared" si="396"/>
        <v>135</v>
      </c>
      <c r="BQ307" s="322">
        <f t="shared" si="405"/>
        <v>26</v>
      </c>
      <c r="BR307" s="2265">
        <f t="shared" si="397"/>
        <v>0</v>
      </c>
      <c r="BS307" s="2265">
        <f t="shared" si="398"/>
        <v>26</v>
      </c>
    </row>
    <row r="308" spans="1:71" hidden="1" x14ac:dyDescent="0.55000000000000004">
      <c r="A308" s="7531"/>
      <c r="B308" s="248"/>
      <c r="C308" s="12" t="s">
        <v>277</v>
      </c>
      <c r="D308" s="345">
        <v>0</v>
      </c>
      <c r="E308" s="295">
        <v>0</v>
      </c>
      <c r="F308" s="295">
        <v>0</v>
      </c>
      <c r="G308" s="295">
        <v>0</v>
      </c>
      <c r="H308" s="295">
        <v>0</v>
      </c>
      <c r="I308" s="295">
        <v>0</v>
      </c>
      <c r="J308" s="295">
        <v>0</v>
      </c>
      <c r="K308" s="295">
        <v>0</v>
      </c>
      <c r="L308" s="295">
        <v>0</v>
      </c>
      <c r="M308" s="295">
        <v>0</v>
      </c>
      <c r="N308" s="295">
        <v>0</v>
      </c>
      <c r="O308" s="295">
        <v>0</v>
      </c>
      <c r="P308" s="295">
        <f t="shared" si="399"/>
        <v>0</v>
      </c>
      <c r="Q308" s="346">
        <f t="shared" si="400"/>
        <v>0</v>
      </c>
      <c r="R308" s="370"/>
      <c r="S308" s="345">
        <v>0</v>
      </c>
      <c r="T308" s="295">
        <v>0</v>
      </c>
      <c r="U308" s="295">
        <v>0</v>
      </c>
      <c r="V308" s="295">
        <v>0</v>
      </c>
      <c r="W308" s="295">
        <v>0</v>
      </c>
      <c r="X308" s="295">
        <v>0</v>
      </c>
      <c r="Y308" s="295">
        <v>0</v>
      </c>
      <c r="Z308" s="295">
        <v>0</v>
      </c>
      <c r="AA308" s="295">
        <v>0</v>
      </c>
      <c r="AB308" s="295">
        <v>0</v>
      </c>
      <c r="AC308" s="295">
        <v>0</v>
      </c>
      <c r="AD308" s="295">
        <v>0</v>
      </c>
      <c r="AE308" s="295">
        <f t="shared" si="401"/>
        <v>0</v>
      </c>
      <c r="AF308" s="346">
        <f t="shared" si="402"/>
        <v>0</v>
      </c>
      <c r="AG308" s="370"/>
      <c r="AH308" s="34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5"/>
      <c r="AS308" s="295"/>
      <c r="AT308" s="295">
        <f t="shared" si="393"/>
        <v>0</v>
      </c>
      <c r="AU308" s="346">
        <f t="shared" si="403"/>
        <v>0</v>
      </c>
      <c r="AX308" s="345">
        <v>57</v>
      </c>
      <c r="AY308" s="295">
        <v>23</v>
      </c>
      <c r="AZ308" s="295"/>
      <c r="BA308" s="295"/>
      <c r="BB308" s="295"/>
      <c r="BC308" s="295"/>
      <c r="BD308" s="295"/>
      <c r="BE308" s="295"/>
      <c r="BF308" s="295">
        <v>148</v>
      </c>
      <c r="BG308" s="295"/>
      <c r="BH308" s="295"/>
      <c r="BI308" s="295">
        <v>52</v>
      </c>
      <c r="BJ308" s="295">
        <f t="shared" si="394"/>
        <v>280</v>
      </c>
      <c r="BK308" s="346">
        <f t="shared" si="404"/>
        <v>70</v>
      </c>
      <c r="BN308" s="322">
        <f t="shared" ref="BN308:BN371" si="409">HLOOKUP($A$1,$AX$1:$BI$500,ROW(),0)-HLOOKUP($A$1,$AH$1:$AS$500,ROW(),0)</f>
        <v>52</v>
      </c>
      <c r="BO308" s="322">
        <f t="shared" si="395"/>
        <v>70</v>
      </c>
      <c r="BP308" s="322">
        <f t="shared" si="396"/>
        <v>280</v>
      </c>
      <c r="BQ308" s="322">
        <f t="shared" si="405"/>
        <v>52</v>
      </c>
      <c r="BR308" s="2265">
        <f t="shared" si="397"/>
        <v>0</v>
      </c>
      <c r="BS308" s="2265">
        <f t="shared" si="398"/>
        <v>52</v>
      </c>
    </row>
    <row r="309" spans="1:71" hidden="1" x14ac:dyDescent="0.55000000000000004">
      <c r="A309" s="7531"/>
      <c r="B309" s="248"/>
      <c r="C309" s="12" t="s">
        <v>276</v>
      </c>
      <c r="D309" s="345">
        <v>0</v>
      </c>
      <c r="E309" s="295">
        <v>0</v>
      </c>
      <c r="F309" s="295">
        <v>0</v>
      </c>
      <c r="G309" s="295">
        <v>0</v>
      </c>
      <c r="H309" s="295">
        <v>0</v>
      </c>
      <c r="I309" s="295">
        <v>0</v>
      </c>
      <c r="J309" s="295">
        <v>0</v>
      </c>
      <c r="K309" s="295">
        <v>0</v>
      </c>
      <c r="L309" s="295">
        <v>0</v>
      </c>
      <c r="M309" s="295">
        <v>0</v>
      </c>
      <c r="N309" s="295">
        <v>0</v>
      </c>
      <c r="O309" s="295">
        <v>0</v>
      </c>
      <c r="P309" s="295">
        <f t="shared" si="399"/>
        <v>0</v>
      </c>
      <c r="Q309" s="346">
        <f t="shared" si="400"/>
        <v>0</v>
      </c>
      <c r="R309" s="370"/>
      <c r="S309" s="345">
        <v>0</v>
      </c>
      <c r="T309" s="295">
        <v>0</v>
      </c>
      <c r="U309" s="295">
        <v>0</v>
      </c>
      <c r="V309" s="295">
        <v>0</v>
      </c>
      <c r="W309" s="295">
        <v>0</v>
      </c>
      <c r="X309" s="295">
        <v>0</v>
      </c>
      <c r="Y309" s="295">
        <v>0</v>
      </c>
      <c r="Z309" s="295">
        <v>0</v>
      </c>
      <c r="AA309" s="295">
        <v>0</v>
      </c>
      <c r="AB309" s="295">
        <v>0</v>
      </c>
      <c r="AC309" s="295">
        <v>0</v>
      </c>
      <c r="AD309" s="295">
        <v>0</v>
      </c>
      <c r="AE309" s="295">
        <f t="shared" si="401"/>
        <v>0</v>
      </c>
      <c r="AF309" s="346">
        <f t="shared" si="402"/>
        <v>0</v>
      </c>
      <c r="AG309" s="370"/>
      <c r="AH309" s="34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5"/>
      <c r="AS309" s="295"/>
      <c r="AT309" s="295">
        <f t="shared" si="393"/>
        <v>0</v>
      </c>
      <c r="AU309" s="346">
        <f t="shared" si="403"/>
        <v>0</v>
      </c>
      <c r="AX309" s="345">
        <v>695</v>
      </c>
      <c r="AY309" s="295">
        <v>261</v>
      </c>
      <c r="AZ309" s="295"/>
      <c r="BA309" s="295"/>
      <c r="BB309" s="295"/>
      <c r="BC309" s="295"/>
      <c r="BD309" s="295"/>
      <c r="BE309" s="295"/>
      <c r="BF309" s="295">
        <v>375</v>
      </c>
      <c r="BG309" s="295"/>
      <c r="BH309" s="295"/>
      <c r="BI309" s="295">
        <v>523</v>
      </c>
      <c r="BJ309" s="295">
        <f t="shared" si="394"/>
        <v>1854</v>
      </c>
      <c r="BK309" s="346">
        <f t="shared" si="404"/>
        <v>463.5</v>
      </c>
      <c r="BN309" s="322">
        <f t="shared" si="409"/>
        <v>523</v>
      </c>
      <c r="BO309" s="322">
        <f t="shared" si="395"/>
        <v>463.5</v>
      </c>
      <c r="BP309" s="322">
        <f t="shared" si="396"/>
        <v>1854</v>
      </c>
      <c r="BQ309" s="322">
        <f t="shared" si="405"/>
        <v>523</v>
      </c>
      <c r="BR309" s="2265">
        <f t="shared" si="397"/>
        <v>0</v>
      </c>
      <c r="BS309" s="2265">
        <f t="shared" si="398"/>
        <v>523</v>
      </c>
    </row>
    <row r="310" spans="1:71" x14ac:dyDescent="0.55000000000000004">
      <c r="A310" s="7531"/>
      <c r="B310" s="249" t="s">
        <v>222</v>
      </c>
      <c r="C310" s="100"/>
      <c r="D310" s="347">
        <f>D315+D316</f>
        <v>155</v>
      </c>
      <c r="E310" s="348">
        <f t="shared" ref="E310:O310" si="410">E315+E316</f>
        <v>105</v>
      </c>
      <c r="F310" s="348">
        <f t="shared" si="410"/>
        <v>139</v>
      </c>
      <c r="G310" s="348">
        <f t="shared" si="410"/>
        <v>118</v>
      </c>
      <c r="H310" s="348">
        <f t="shared" si="410"/>
        <v>141</v>
      </c>
      <c r="I310" s="348">
        <f t="shared" si="410"/>
        <v>126</v>
      </c>
      <c r="J310" s="348">
        <f t="shared" si="410"/>
        <v>163</v>
      </c>
      <c r="K310" s="348">
        <f t="shared" si="410"/>
        <v>118</v>
      </c>
      <c r="L310" s="348">
        <f t="shared" si="410"/>
        <v>193</v>
      </c>
      <c r="M310" s="348">
        <f t="shared" si="410"/>
        <v>123</v>
      </c>
      <c r="N310" s="348">
        <f t="shared" si="410"/>
        <v>183</v>
      </c>
      <c r="O310" s="348">
        <f t="shared" si="410"/>
        <v>199</v>
      </c>
      <c r="P310" s="348">
        <f t="shared" si="399"/>
        <v>1763</v>
      </c>
      <c r="Q310" s="349">
        <f t="shared" si="400"/>
        <v>146.91666666666666</v>
      </c>
      <c r="R310" s="370"/>
      <c r="S310" s="347">
        <f>S315+S316</f>
        <v>165</v>
      </c>
      <c r="T310" s="348">
        <f t="shared" ref="T310:AD310" si="411">T315+T316</f>
        <v>126</v>
      </c>
      <c r="U310" s="348">
        <f t="shared" si="411"/>
        <v>166</v>
      </c>
      <c r="V310" s="348">
        <f t="shared" si="411"/>
        <v>167</v>
      </c>
      <c r="W310" s="348">
        <f t="shared" si="411"/>
        <v>123</v>
      </c>
      <c r="X310" s="348">
        <f t="shared" si="411"/>
        <v>176</v>
      </c>
      <c r="Y310" s="348">
        <f t="shared" si="411"/>
        <v>111</v>
      </c>
      <c r="Z310" s="348">
        <f t="shared" si="411"/>
        <v>81</v>
      </c>
      <c r="AA310" s="348">
        <f t="shared" si="411"/>
        <v>164</v>
      </c>
      <c r="AB310" s="348">
        <f t="shared" si="411"/>
        <v>64</v>
      </c>
      <c r="AC310" s="348">
        <f t="shared" si="411"/>
        <v>177</v>
      </c>
      <c r="AD310" s="348">
        <f t="shared" si="411"/>
        <v>143</v>
      </c>
      <c r="AE310" s="348">
        <f t="shared" si="401"/>
        <v>1663</v>
      </c>
      <c r="AF310" s="349">
        <f t="shared" si="402"/>
        <v>138.58333333333334</v>
      </c>
      <c r="AG310" s="370"/>
      <c r="AH310" s="347">
        <f t="shared" ref="AH310:AM310" si="412">AH315+AH316</f>
        <v>80</v>
      </c>
      <c r="AI310" s="348">
        <f t="shared" si="412"/>
        <v>186</v>
      </c>
      <c r="AJ310" s="348">
        <f t="shared" si="412"/>
        <v>101</v>
      </c>
      <c r="AK310" s="348">
        <f t="shared" si="412"/>
        <v>99</v>
      </c>
      <c r="AL310" s="348">
        <f t="shared" si="412"/>
        <v>97</v>
      </c>
      <c r="AM310" s="348">
        <f t="shared" si="412"/>
        <v>117</v>
      </c>
      <c r="AN310" s="348">
        <v>91</v>
      </c>
      <c r="AO310" s="348">
        <f>AO315+AO316</f>
        <v>99</v>
      </c>
      <c r="AP310" s="348">
        <f>AP315+AP316</f>
        <v>82</v>
      </c>
      <c r="AQ310" s="348">
        <f>AQ315+AQ316</f>
        <v>95</v>
      </c>
      <c r="AR310" s="348">
        <v>96</v>
      </c>
      <c r="AS310" s="348">
        <v>163</v>
      </c>
      <c r="AT310" s="348">
        <f t="shared" si="393"/>
        <v>1306</v>
      </c>
      <c r="AU310" s="349">
        <f t="shared" si="403"/>
        <v>108.83333333333333</v>
      </c>
      <c r="AX310" s="347">
        <v>171</v>
      </c>
      <c r="AY310" s="348">
        <v>53</v>
      </c>
      <c r="AZ310" s="348">
        <f>AZ315+AZ316</f>
        <v>159</v>
      </c>
      <c r="BA310" s="348">
        <v>119</v>
      </c>
      <c r="BB310" s="348">
        <v>85</v>
      </c>
      <c r="BC310" s="348">
        <f>BC315+BC316</f>
        <v>91</v>
      </c>
      <c r="BD310" s="348">
        <v>50</v>
      </c>
      <c r="BE310" s="348">
        <v>74</v>
      </c>
      <c r="BF310" s="348">
        <v>51</v>
      </c>
      <c r="BG310" s="348">
        <v>97</v>
      </c>
      <c r="BH310" s="348">
        <v>110</v>
      </c>
      <c r="BI310" s="348">
        <v>88</v>
      </c>
      <c r="BJ310" s="348">
        <f t="shared" si="394"/>
        <v>1148</v>
      </c>
      <c r="BK310" s="349">
        <f t="shared" si="404"/>
        <v>95.666666666666671</v>
      </c>
      <c r="BN310" s="322">
        <f t="shared" si="409"/>
        <v>-75</v>
      </c>
      <c r="BO310" s="322">
        <f t="shared" si="395"/>
        <v>-13.166666666666657</v>
      </c>
      <c r="BP310" s="322">
        <f t="shared" si="396"/>
        <v>-158</v>
      </c>
      <c r="BQ310" s="322">
        <f t="shared" si="405"/>
        <v>-22</v>
      </c>
      <c r="BR310" s="2265">
        <f t="shared" si="397"/>
        <v>110</v>
      </c>
      <c r="BS310" s="2265">
        <f t="shared" si="398"/>
        <v>88</v>
      </c>
    </row>
    <row r="311" spans="1:71" x14ac:dyDescent="0.55000000000000004">
      <c r="A311" s="7531"/>
      <c r="B311" s="250" t="s">
        <v>223</v>
      </c>
      <c r="C311" s="14"/>
      <c r="D311" s="350">
        <f>D317</f>
        <v>186</v>
      </c>
      <c r="E311" s="280">
        <f t="shared" ref="E311:O311" si="413">E317</f>
        <v>112</v>
      </c>
      <c r="F311" s="280">
        <f t="shared" si="413"/>
        <v>148</v>
      </c>
      <c r="G311" s="280">
        <f t="shared" si="413"/>
        <v>139</v>
      </c>
      <c r="H311" s="280">
        <f t="shared" si="413"/>
        <v>95</v>
      </c>
      <c r="I311" s="280">
        <f t="shared" si="413"/>
        <v>134</v>
      </c>
      <c r="J311" s="280">
        <f t="shared" si="413"/>
        <v>156</v>
      </c>
      <c r="K311" s="280">
        <f t="shared" si="413"/>
        <v>127</v>
      </c>
      <c r="L311" s="280">
        <f t="shared" si="413"/>
        <v>142</v>
      </c>
      <c r="M311" s="280">
        <f t="shared" si="413"/>
        <v>109</v>
      </c>
      <c r="N311" s="280">
        <f t="shared" si="413"/>
        <v>138</v>
      </c>
      <c r="O311" s="280">
        <f t="shared" si="413"/>
        <v>142</v>
      </c>
      <c r="P311" s="280">
        <f t="shared" si="399"/>
        <v>1628</v>
      </c>
      <c r="Q311" s="351">
        <f t="shared" si="400"/>
        <v>135.66666666666666</v>
      </c>
      <c r="R311" s="370"/>
      <c r="S311" s="350">
        <f>S317</f>
        <v>103</v>
      </c>
      <c r="T311" s="280">
        <f t="shared" ref="T311:AD311" si="414">T317</f>
        <v>89</v>
      </c>
      <c r="U311" s="280">
        <f t="shared" si="414"/>
        <v>91</v>
      </c>
      <c r="V311" s="280">
        <f t="shared" si="414"/>
        <v>177</v>
      </c>
      <c r="W311" s="280">
        <f t="shared" si="414"/>
        <v>140</v>
      </c>
      <c r="X311" s="280">
        <f t="shared" si="414"/>
        <v>106</v>
      </c>
      <c r="Y311" s="280">
        <f t="shared" si="414"/>
        <v>137</v>
      </c>
      <c r="Z311" s="280">
        <f t="shared" si="414"/>
        <v>50</v>
      </c>
      <c r="AA311" s="280">
        <f t="shared" si="414"/>
        <v>129</v>
      </c>
      <c r="AB311" s="280">
        <f t="shared" si="414"/>
        <v>56</v>
      </c>
      <c r="AC311" s="280">
        <f t="shared" si="414"/>
        <v>76</v>
      </c>
      <c r="AD311" s="280">
        <f t="shared" si="414"/>
        <v>137</v>
      </c>
      <c r="AE311" s="280">
        <f t="shared" si="401"/>
        <v>1291</v>
      </c>
      <c r="AF311" s="351">
        <f t="shared" si="402"/>
        <v>107.58333333333333</v>
      </c>
      <c r="AG311" s="370"/>
      <c r="AH311" s="350">
        <f t="shared" ref="AH311:AM312" si="415">AH317</f>
        <v>81</v>
      </c>
      <c r="AI311" s="280">
        <f t="shared" si="415"/>
        <v>131</v>
      </c>
      <c r="AJ311" s="280">
        <f t="shared" si="415"/>
        <v>118</v>
      </c>
      <c r="AK311" s="280">
        <f t="shared" si="415"/>
        <v>107</v>
      </c>
      <c r="AL311" s="280">
        <f t="shared" si="415"/>
        <v>74</v>
      </c>
      <c r="AM311" s="280">
        <f t="shared" si="415"/>
        <v>88</v>
      </c>
      <c r="AN311" s="280">
        <v>78</v>
      </c>
      <c r="AO311" s="280">
        <f t="shared" ref="AO311:AQ312" si="416">AO317</f>
        <v>84</v>
      </c>
      <c r="AP311" s="280">
        <f t="shared" si="416"/>
        <v>74</v>
      </c>
      <c r="AQ311" s="280">
        <f t="shared" si="416"/>
        <v>53</v>
      </c>
      <c r="AR311" s="280">
        <v>125</v>
      </c>
      <c r="AS311" s="280">
        <v>131</v>
      </c>
      <c r="AT311" s="280">
        <f t="shared" si="393"/>
        <v>1144</v>
      </c>
      <c r="AU311" s="351">
        <f t="shared" si="403"/>
        <v>95.333333333333329</v>
      </c>
      <c r="AX311" s="350">
        <v>94</v>
      </c>
      <c r="AY311" s="280">
        <v>26</v>
      </c>
      <c r="AZ311" s="280">
        <f>AZ317</f>
        <v>100</v>
      </c>
      <c r="BA311" s="280">
        <v>124</v>
      </c>
      <c r="BB311" s="280">
        <v>36</v>
      </c>
      <c r="BC311" s="280">
        <f>BC317</f>
        <v>65</v>
      </c>
      <c r="BD311" s="280">
        <v>68</v>
      </c>
      <c r="BE311" s="280">
        <v>46</v>
      </c>
      <c r="BF311" s="280">
        <v>54</v>
      </c>
      <c r="BG311" s="280">
        <v>68</v>
      </c>
      <c r="BH311" s="280">
        <v>56</v>
      </c>
      <c r="BI311" s="280">
        <v>72</v>
      </c>
      <c r="BJ311" s="280">
        <f t="shared" si="394"/>
        <v>809</v>
      </c>
      <c r="BK311" s="351">
        <f t="shared" si="404"/>
        <v>67.416666666666671</v>
      </c>
      <c r="BN311" s="322">
        <f t="shared" si="409"/>
        <v>-59</v>
      </c>
      <c r="BO311" s="322">
        <f t="shared" si="395"/>
        <v>-27.916666666666657</v>
      </c>
      <c r="BP311" s="322">
        <f t="shared" si="396"/>
        <v>-335</v>
      </c>
      <c r="BQ311" s="322">
        <f t="shared" si="405"/>
        <v>16</v>
      </c>
      <c r="BR311" s="2265">
        <f t="shared" si="397"/>
        <v>56</v>
      </c>
      <c r="BS311" s="2265">
        <f t="shared" si="398"/>
        <v>72</v>
      </c>
    </row>
    <row r="312" spans="1:71" x14ac:dyDescent="0.55000000000000004">
      <c r="A312" s="7531"/>
      <c r="B312" s="250" t="s">
        <v>224</v>
      </c>
      <c r="C312" s="14"/>
      <c r="D312" s="350">
        <f>D318</f>
        <v>166</v>
      </c>
      <c r="E312" s="280">
        <f t="shared" ref="E312:O312" si="417">E318</f>
        <v>110</v>
      </c>
      <c r="F312" s="280">
        <f t="shared" si="417"/>
        <v>150</v>
      </c>
      <c r="G312" s="280">
        <f t="shared" si="417"/>
        <v>130</v>
      </c>
      <c r="H312" s="280">
        <f t="shared" si="417"/>
        <v>129</v>
      </c>
      <c r="I312" s="280">
        <f t="shared" si="417"/>
        <v>141</v>
      </c>
      <c r="J312" s="280">
        <f t="shared" si="417"/>
        <v>135</v>
      </c>
      <c r="K312" s="280">
        <f t="shared" si="417"/>
        <v>133</v>
      </c>
      <c r="L312" s="280">
        <f t="shared" si="417"/>
        <v>211</v>
      </c>
      <c r="M312" s="280">
        <f t="shared" si="417"/>
        <v>128</v>
      </c>
      <c r="N312" s="280">
        <f t="shared" si="417"/>
        <v>228</v>
      </c>
      <c r="O312" s="280">
        <f t="shared" si="417"/>
        <v>208</v>
      </c>
      <c r="P312" s="280">
        <f t="shared" si="399"/>
        <v>1869</v>
      </c>
      <c r="Q312" s="351">
        <f t="shared" si="400"/>
        <v>155.75</v>
      </c>
      <c r="R312" s="370"/>
      <c r="S312" s="350">
        <f>S318</f>
        <v>135</v>
      </c>
      <c r="T312" s="280">
        <f t="shared" ref="T312:AD312" si="418">T318</f>
        <v>189</v>
      </c>
      <c r="U312" s="280">
        <f t="shared" si="418"/>
        <v>111</v>
      </c>
      <c r="V312" s="280">
        <f t="shared" si="418"/>
        <v>261</v>
      </c>
      <c r="W312" s="280">
        <f t="shared" si="418"/>
        <v>160</v>
      </c>
      <c r="X312" s="280">
        <f t="shared" si="418"/>
        <v>148</v>
      </c>
      <c r="Y312" s="280">
        <f t="shared" si="418"/>
        <v>143</v>
      </c>
      <c r="Z312" s="280">
        <f t="shared" si="418"/>
        <v>97</v>
      </c>
      <c r="AA312" s="280">
        <f t="shared" si="418"/>
        <v>161</v>
      </c>
      <c r="AB312" s="280">
        <f t="shared" si="418"/>
        <v>90</v>
      </c>
      <c r="AC312" s="280">
        <f t="shared" si="418"/>
        <v>161</v>
      </c>
      <c r="AD312" s="280">
        <f t="shared" si="418"/>
        <v>167</v>
      </c>
      <c r="AE312" s="280">
        <f t="shared" si="401"/>
        <v>1823</v>
      </c>
      <c r="AF312" s="351">
        <f t="shared" si="402"/>
        <v>151.91666666666666</v>
      </c>
      <c r="AG312" s="370"/>
      <c r="AH312" s="350">
        <f t="shared" si="415"/>
        <v>149</v>
      </c>
      <c r="AI312" s="280">
        <f t="shared" si="415"/>
        <v>174</v>
      </c>
      <c r="AJ312" s="280">
        <f t="shared" si="415"/>
        <v>107</v>
      </c>
      <c r="AK312" s="280">
        <f t="shared" si="415"/>
        <v>96</v>
      </c>
      <c r="AL312" s="280">
        <f t="shared" si="415"/>
        <v>76</v>
      </c>
      <c r="AM312" s="280">
        <f t="shared" si="415"/>
        <v>102</v>
      </c>
      <c r="AN312" s="280">
        <v>121</v>
      </c>
      <c r="AO312" s="280">
        <f t="shared" si="416"/>
        <v>119</v>
      </c>
      <c r="AP312" s="280">
        <f t="shared" si="416"/>
        <v>73</v>
      </c>
      <c r="AQ312" s="280">
        <f t="shared" si="416"/>
        <v>91</v>
      </c>
      <c r="AR312" s="280">
        <v>130</v>
      </c>
      <c r="AS312" s="280">
        <v>146</v>
      </c>
      <c r="AT312" s="280">
        <f t="shared" si="393"/>
        <v>1384</v>
      </c>
      <c r="AU312" s="351">
        <f t="shared" si="403"/>
        <v>115.33333333333333</v>
      </c>
      <c r="AX312" s="350">
        <v>149</v>
      </c>
      <c r="AY312" s="280">
        <v>55</v>
      </c>
      <c r="AZ312" s="280">
        <f>AZ318</f>
        <v>159</v>
      </c>
      <c r="BA312" s="280">
        <v>118</v>
      </c>
      <c r="BB312" s="280">
        <v>42</v>
      </c>
      <c r="BC312" s="280">
        <f>BC318</f>
        <v>104</v>
      </c>
      <c r="BD312" s="280">
        <v>89</v>
      </c>
      <c r="BE312" s="280">
        <v>75</v>
      </c>
      <c r="BF312" s="280">
        <v>98</v>
      </c>
      <c r="BG312" s="280">
        <v>108</v>
      </c>
      <c r="BH312" s="280">
        <v>105</v>
      </c>
      <c r="BI312" s="280">
        <v>92</v>
      </c>
      <c r="BJ312" s="280">
        <f t="shared" si="394"/>
        <v>1194</v>
      </c>
      <c r="BK312" s="351">
        <f t="shared" si="404"/>
        <v>99.5</v>
      </c>
      <c r="BN312" s="322">
        <f t="shared" si="409"/>
        <v>-54</v>
      </c>
      <c r="BO312" s="322">
        <f t="shared" si="395"/>
        <v>-15.833333333333329</v>
      </c>
      <c r="BP312" s="322">
        <f t="shared" si="396"/>
        <v>-190</v>
      </c>
      <c r="BQ312" s="322">
        <f t="shared" si="405"/>
        <v>-13</v>
      </c>
      <c r="BR312" s="2265">
        <f t="shared" si="397"/>
        <v>105</v>
      </c>
      <c r="BS312" s="2265">
        <f t="shared" si="398"/>
        <v>92</v>
      </c>
    </row>
    <row r="313" spans="1:71" x14ac:dyDescent="0.55000000000000004">
      <c r="A313" s="7531"/>
      <c r="B313" s="250" t="s">
        <v>225</v>
      </c>
      <c r="C313" s="14"/>
      <c r="D313" s="350">
        <f>D319+D320</f>
        <v>235</v>
      </c>
      <c r="E313" s="280">
        <f t="shared" ref="E313:O313" si="419">E319+E320</f>
        <v>192</v>
      </c>
      <c r="F313" s="280">
        <f t="shared" si="419"/>
        <v>152</v>
      </c>
      <c r="G313" s="280">
        <f t="shared" si="419"/>
        <v>189</v>
      </c>
      <c r="H313" s="280">
        <f t="shared" si="419"/>
        <v>222</v>
      </c>
      <c r="I313" s="280">
        <f t="shared" si="419"/>
        <v>225</v>
      </c>
      <c r="J313" s="280">
        <f t="shared" si="419"/>
        <v>204</v>
      </c>
      <c r="K313" s="280">
        <f t="shared" si="419"/>
        <v>222</v>
      </c>
      <c r="L313" s="280">
        <f t="shared" si="419"/>
        <v>238</v>
      </c>
      <c r="M313" s="280">
        <f t="shared" si="419"/>
        <v>196</v>
      </c>
      <c r="N313" s="280">
        <f t="shared" si="419"/>
        <v>293</v>
      </c>
      <c r="O313" s="280">
        <f t="shared" si="419"/>
        <v>342</v>
      </c>
      <c r="P313" s="280">
        <f t="shared" si="399"/>
        <v>2710</v>
      </c>
      <c r="Q313" s="351">
        <f t="shared" si="400"/>
        <v>225.83333333333334</v>
      </c>
      <c r="R313" s="370"/>
      <c r="S313" s="350">
        <f>S319+S320</f>
        <v>208</v>
      </c>
      <c r="T313" s="280">
        <f t="shared" ref="T313:AD313" si="420">T319+T320</f>
        <v>188</v>
      </c>
      <c r="U313" s="280">
        <f t="shared" si="420"/>
        <v>215</v>
      </c>
      <c r="V313" s="280">
        <f t="shared" si="420"/>
        <v>210</v>
      </c>
      <c r="W313" s="280">
        <f t="shared" si="420"/>
        <v>210</v>
      </c>
      <c r="X313" s="280">
        <f t="shared" si="420"/>
        <v>215</v>
      </c>
      <c r="Y313" s="280">
        <f t="shared" si="420"/>
        <v>186</v>
      </c>
      <c r="Z313" s="280">
        <f t="shared" si="420"/>
        <v>139</v>
      </c>
      <c r="AA313" s="280">
        <f t="shared" si="420"/>
        <v>197</v>
      </c>
      <c r="AB313" s="280">
        <f t="shared" si="420"/>
        <v>184</v>
      </c>
      <c r="AC313" s="280">
        <f t="shared" si="420"/>
        <v>212</v>
      </c>
      <c r="AD313" s="280">
        <f t="shared" si="420"/>
        <v>269</v>
      </c>
      <c r="AE313" s="280">
        <f t="shared" si="401"/>
        <v>2433</v>
      </c>
      <c r="AF313" s="351">
        <f t="shared" si="402"/>
        <v>202.75</v>
      </c>
      <c r="AG313" s="370"/>
      <c r="AH313" s="350">
        <f t="shared" ref="AH313:AM313" si="421">AH319+AH320</f>
        <v>168</v>
      </c>
      <c r="AI313" s="280">
        <f t="shared" si="421"/>
        <v>232</v>
      </c>
      <c r="AJ313" s="280">
        <f t="shared" si="421"/>
        <v>165</v>
      </c>
      <c r="AK313" s="280">
        <f t="shared" si="421"/>
        <v>191</v>
      </c>
      <c r="AL313" s="280">
        <f t="shared" si="421"/>
        <v>222</v>
      </c>
      <c r="AM313" s="280">
        <f t="shared" si="421"/>
        <v>209</v>
      </c>
      <c r="AN313" s="280">
        <v>198</v>
      </c>
      <c r="AO313" s="280">
        <f>AO319+AO320</f>
        <v>258</v>
      </c>
      <c r="AP313" s="280">
        <f>AP319+AP320</f>
        <v>151</v>
      </c>
      <c r="AQ313" s="280">
        <f>AQ319+AQ320</f>
        <v>204</v>
      </c>
      <c r="AR313" s="280">
        <v>160</v>
      </c>
      <c r="AS313" s="280">
        <v>209</v>
      </c>
      <c r="AT313" s="280">
        <f t="shared" si="393"/>
        <v>2367</v>
      </c>
      <c r="AU313" s="351">
        <f t="shared" si="403"/>
        <v>197.25</v>
      </c>
      <c r="AX313" s="350">
        <v>211</v>
      </c>
      <c r="AY313" s="280">
        <v>119</v>
      </c>
      <c r="AZ313" s="280">
        <f>AZ319+AZ320</f>
        <v>208</v>
      </c>
      <c r="BA313" s="280">
        <v>178</v>
      </c>
      <c r="BB313" s="280">
        <v>105</v>
      </c>
      <c r="BC313" s="280">
        <f>BC319+BC320</f>
        <v>199</v>
      </c>
      <c r="BD313" s="280">
        <v>214</v>
      </c>
      <c r="BE313" s="280">
        <v>218</v>
      </c>
      <c r="BF313" s="280">
        <v>245</v>
      </c>
      <c r="BG313" s="280">
        <v>208</v>
      </c>
      <c r="BH313" s="280">
        <v>250</v>
      </c>
      <c r="BI313" s="280">
        <v>211</v>
      </c>
      <c r="BJ313" s="280">
        <f t="shared" si="394"/>
        <v>2366</v>
      </c>
      <c r="BK313" s="351">
        <f t="shared" si="404"/>
        <v>197.16666666666666</v>
      </c>
      <c r="BN313" s="322">
        <f t="shared" si="409"/>
        <v>2</v>
      </c>
      <c r="BO313" s="322">
        <f t="shared" si="395"/>
        <v>-8.3333333333342807E-2</v>
      </c>
      <c r="BP313" s="322">
        <f t="shared" si="396"/>
        <v>-1</v>
      </c>
      <c r="BQ313" s="322">
        <f t="shared" si="405"/>
        <v>-39</v>
      </c>
      <c r="BR313" s="2265">
        <f t="shared" si="397"/>
        <v>250</v>
      </c>
      <c r="BS313" s="2265">
        <f t="shared" si="398"/>
        <v>211</v>
      </c>
    </row>
    <row r="314" spans="1:71" x14ac:dyDescent="0.55000000000000004">
      <c r="A314" s="7531"/>
      <c r="B314" s="251" t="s">
        <v>226</v>
      </c>
      <c r="C314" s="103"/>
      <c r="D314" s="352">
        <f>D321+D322</f>
        <v>124</v>
      </c>
      <c r="E314" s="353">
        <f t="shared" ref="E314:O314" si="422">E321+E322</f>
        <v>125</v>
      </c>
      <c r="F314" s="353">
        <f t="shared" si="422"/>
        <v>95</v>
      </c>
      <c r="G314" s="353">
        <f t="shared" si="422"/>
        <v>143</v>
      </c>
      <c r="H314" s="353">
        <f t="shared" si="422"/>
        <v>104</v>
      </c>
      <c r="I314" s="353">
        <f t="shared" si="422"/>
        <v>165</v>
      </c>
      <c r="J314" s="353">
        <f t="shared" si="422"/>
        <v>136</v>
      </c>
      <c r="K314" s="353">
        <f t="shared" si="422"/>
        <v>174</v>
      </c>
      <c r="L314" s="353">
        <f t="shared" si="422"/>
        <v>164</v>
      </c>
      <c r="M314" s="353">
        <f t="shared" si="422"/>
        <v>110</v>
      </c>
      <c r="N314" s="353">
        <f t="shared" si="422"/>
        <v>195</v>
      </c>
      <c r="O314" s="353">
        <f t="shared" si="422"/>
        <v>200</v>
      </c>
      <c r="P314" s="353">
        <f t="shared" si="399"/>
        <v>1735</v>
      </c>
      <c r="Q314" s="354">
        <f t="shared" si="400"/>
        <v>144.58333333333334</v>
      </c>
      <c r="R314" s="370"/>
      <c r="S314" s="352">
        <f>S321+S322</f>
        <v>116</v>
      </c>
      <c r="T314" s="353">
        <f t="shared" ref="T314:AD314" si="423">T321+T322</f>
        <v>146</v>
      </c>
      <c r="U314" s="353">
        <f t="shared" si="423"/>
        <v>164</v>
      </c>
      <c r="V314" s="353">
        <f t="shared" si="423"/>
        <v>169</v>
      </c>
      <c r="W314" s="353">
        <f t="shared" si="423"/>
        <v>174</v>
      </c>
      <c r="X314" s="353">
        <f t="shared" si="423"/>
        <v>165</v>
      </c>
      <c r="Y314" s="353">
        <f t="shared" si="423"/>
        <v>200</v>
      </c>
      <c r="Z314" s="353">
        <f t="shared" si="423"/>
        <v>105</v>
      </c>
      <c r="AA314" s="353">
        <f t="shared" si="423"/>
        <v>214</v>
      </c>
      <c r="AB314" s="353">
        <f t="shared" si="423"/>
        <v>116</v>
      </c>
      <c r="AC314" s="353">
        <f t="shared" si="423"/>
        <v>169</v>
      </c>
      <c r="AD314" s="353">
        <f t="shared" si="423"/>
        <v>186</v>
      </c>
      <c r="AE314" s="353">
        <f t="shared" si="401"/>
        <v>1924</v>
      </c>
      <c r="AF314" s="354">
        <f t="shared" si="402"/>
        <v>160.33333333333334</v>
      </c>
      <c r="AG314" s="370"/>
      <c r="AH314" s="352">
        <f t="shared" ref="AH314:AM314" si="424">AH321+AH322</f>
        <v>107</v>
      </c>
      <c r="AI314" s="353">
        <f t="shared" si="424"/>
        <v>176</v>
      </c>
      <c r="AJ314" s="353">
        <f t="shared" si="424"/>
        <v>108</v>
      </c>
      <c r="AK314" s="353">
        <f t="shared" si="424"/>
        <v>109</v>
      </c>
      <c r="AL314" s="353">
        <f t="shared" si="424"/>
        <v>126</v>
      </c>
      <c r="AM314" s="353">
        <f t="shared" si="424"/>
        <v>98</v>
      </c>
      <c r="AN314" s="353">
        <v>130</v>
      </c>
      <c r="AO314" s="353">
        <f>AO321+AO322</f>
        <v>201</v>
      </c>
      <c r="AP314" s="353">
        <f>AP321+AP322</f>
        <v>80</v>
      </c>
      <c r="AQ314" s="353">
        <f>AQ321+AQ322</f>
        <v>63</v>
      </c>
      <c r="AR314" s="353">
        <v>69</v>
      </c>
      <c r="AS314" s="353">
        <v>115</v>
      </c>
      <c r="AT314" s="353">
        <f t="shared" si="393"/>
        <v>1382</v>
      </c>
      <c r="AU314" s="354">
        <f t="shared" si="403"/>
        <v>115.16666666666667</v>
      </c>
      <c r="AX314" s="352">
        <v>151</v>
      </c>
      <c r="AY314" s="353">
        <v>38</v>
      </c>
      <c r="AZ314" s="353">
        <f>AZ321+AZ322</f>
        <v>120</v>
      </c>
      <c r="BA314" s="353">
        <v>77</v>
      </c>
      <c r="BB314" s="353">
        <v>51</v>
      </c>
      <c r="BC314" s="353">
        <f>BC321+BC322</f>
        <v>99</v>
      </c>
      <c r="BD314" s="353">
        <v>115</v>
      </c>
      <c r="BE314" s="353">
        <v>92</v>
      </c>
      <c r="BF314" s="353">
        <v>106</v>
      </c>
      <c r="BG314" s="353">
        <v>82</v>
      </c>
      <c r="BH314" s="353">
        <v>99</v>
      </c>
      <c r="BI314" s="353">
        <v>138</v>
      </c>
      <c r="BJ314" s="353">
        <f t="shared" si="394"/>
        <v>1168</v>
      </c>
      <c r="BK314" s="354">
        <f t="shared" si="404"/>
        <v>97.333333333333329</v>
      </c>
      <c r="BN314" s="322">
        <f t="shared" si="409"/>
        <v>23</v>
      </c>
      <c r="BO314" s="322">
        <f t="shared" si="395"/>
        <v>-17.833333333333343</v>
      </c>
      <c r="BP314" s="322">
        <f t="shared" si="396"/>
        <v>-214</v>
      </c>
      <c r="BQ314" s="322">
        <f t="shared" si="405"/>
        <v>39</v>
      </c>
      <c r="BR314" s="2265">
        <f t="shared" si="397"/>
        <v>99</v>
      </c>
      <c r="BS314" s="2265">
        <f t="shared" si="398"/>
        <v>138</v>
      </c>
    </row>
    <row r="315" spans="1:71" s="172" customFormat="1" x14ac:dyDescent="0.55000000000000004">
      <c r="A315" s="7531"/>
      <c r="B315" s="252"/>
      <c r="C315" s="180" t="s">
        <v>242</v>
      </c>
      <c r="D315" s="355">
        <v>117</v>
      </c>
      <c r="E315" s="356">
        <v>75</v>
      </c>
      <c r="F315" s="356">
        <v>104</v>
      </c>
      <c r="G315" s="356">
        <v>91</v>
      </c>
      <c r="H315" s="356">
        <v>104</v>
      </c>
      <c r="I315" s="356">
        <v>96</v>
      </c>
      <c r="J315" s="356">
        <v>113</v>
      </c>
      <c r="K315" s="356">
        <v>86</v>
      </c>
      <c r="L315" s="356">
        <v>150</v>
      </c>
      <c r="M315" s="356">
        <v>85</v>
      </c>
      <c r="N315" s="356">
        <v>135</v>
      </c>
      <c r="O315" s="356">
        <v>156</v>
      </c>
      <c r="P315" s="356">
        <f t="shared" si="399"/>
        <v>1312</v>
      </c>
      <c r="Q315" s="357">
        <f t="shared" si="400"/>
        <v>109.33333333333333</v>
      </c>
      <c r="R315" s="372"/>
      <c r="S315" s="355">
        <v>125</v>
      </c>
      <c r="T315" s="356">
        <v>97</v>
      </c>
      <c r="U315" s="356">
        <v>128</v>
      </c>
      <c r="V315" s="356">
        <v>135</v>
      </c>
      <c r="W315" s="356">
        <v>84</v>
      </c>
      <c r="X315" s="356">
        <v>135</v>
      </c>
      <c r="Y315" s="356">
        <v>84</v>
      </c>
      <c r="Z315" s="356">
        <v>61</v>
      </c>
      <c r="AA315" s="356">
        <v>116</v>
      </c>
      <c r="AB315" s="356">
        <v>46</v>
      </c>
      <c r="AC315" s="356">
        <v>134</v>
      </c>
      <c r="AD315" s="356">
        <v>110</v>
      </c>
      <c r="AE315" s="356">
        <f t="shared" si="401"/>
        <v>1255</v>
      </c>
      <c r="AF315" s="357">
        <f t="shared" si="402"/>
        <v>104.58333333333333</v>
      </c>
      <c r="AG315" s="372"/>
      <c r="AH315" s="355">
        <v>63</v>
      </c>
      <c r="AI315" s="356">
        <v>129</v>
      </c>
      <c r="AJ315" s="356">
        <v>65</v>
      </c>
      <c r="AK315" s="356">
        <v>77</v>
      </c>
      <c r="AL315" s="356">
        <v>69</v>
      </c>
      <c r="AM315" s="356">
        <v>86</v>
      </c>
      <c r="AN315" s="356">
        <v>61</v>
      </c>
      <c r="AO315" s="356">
        <v>72</v>
      </c>
      <c r="AP315" s="356">
        <v>48</v>
      </c>
      <c r="AQ315" s="356">
        <v>56</v>
      </c>
      <c r="AR315" s="356">
        <v>67</v>
      </c>
      <c r="AS315" s="356">
        <v>115</v>
      </c>
      <c r="AT315" s="356">
        <f t="shared" si="393"/>
        <v>908</v>
      </c>
      <c r="AU315" s="357">
        <f t="shared" si="403"/>
        <v>75.666666666666671</v>
      </c>
      <c r="AX315" s="355">
        <v>131</v>
      </c>
      <c r="AY315" s="356">
        <v>40</v>
      </c>
      <c r="AZ315" s="356">
        <v>114</v>
      </c>
      <c r="BA315" s="356">
        <v>97</v>
      </c>
      <c r="BB315" s="356">
        <v>62</v>
      </c>
      <c r="BC315" s="356">
        <v>55</v>
      </c>
      <c r="BD315" s="356">
        <v>50</v>
      </c>
      <c r="BE315" s="356">
        <v>74</v>
      </c>
      <c r="BF315" s="356">
        <v>51</v>
      </c>
      <c r="BG315" s="356">
        <v>97</v>
      </c>
      <c r="BH315" s="356">
        <v>110</v>
      </c>
      <c r="BI315" s="356">
        <v>88</v>
      </c>
      <c r="BJ315" s="356">
        <f t="shared" si="394"/>
        <v>969</v>
      </c>
      <c r="BK315" s="357">
        <f t="shared" si="404"/>
        <v>80.75</v>
      </c>
      <c r="BN315" s="322">
        <f t="shared" si="409"/>
        <v>-27</v>
      </c>
      <c r="BO315" s="322">
        <f t="shared" si="395"/>
        <v>5.0833333333333286</v>
      </c>
      <c r="BP315" s="322">
        <f t="shared" si="396"/>
        <v>61</v>
      </c>
      <c r="BQ315" s="322">
        <f t="shared" si="405"/>
        <v>-22</v>
      </c>
      <c r="BR315" s="2265">
        <f t="shared" si="397"/>
        <v>110</v>
      </c>
      <c r="BS315" s="2265">
        <f t="shared" si="398"/>
        <v>88</v>
      </c>
    </row>
    <row r="316" spans="1:71" s="172" customFormat="1" x14ac:dyDescent="0.55000000000000004">
      <c r="A316" s="7531"/>
      <c r="B316" s="253"/>
      <c r="C316" s="181" t="s">
        <v>243</v>
      </c>
      <c r="D316" s="358">
        <v>38</v>
      </c>
      <c r="E316" s="359">
        <v>30</v>
      </c>
      <c r="F316" s="359">
        <v>35</v>
      </c>
      <c r="G316" s="359">
        <v>27</v>
      </c>
      <c r="H316" s="359">
        <v>37</v>
      </c>
      <c r="I316" s="359">
        <v>30</v>
      </c>
      <c r="J316" s="359">
        <v>50</v>
      </c>
      <c r="K316" s="359">
        <v>32</v>
      </c>
      <c r="L316" s="359">
        <v>43</v>
      </c>
      <c r="M316" s="359">
        <v>38</v>
      </c>
      <c r="N316" s="359">
        <v>48</v>
      </c>
      <c r="O316" s="359">
        <v>43</v>
      </c>
      <c r="P316" s="359">
        <f t="shared" si="399"/>
        <v>451</v>
      </c>
      <c r="Q316" s="360">
        <f t="shared" si="400"/>
        <v>37.583333333333336</v>
      </c>
      <c r="R316" s="372"/>
      <c r="S316" s="358">
        <v>40</v>
      </c>
      <c r="T316" s="359">
        <v>29</v>
      </c>
      <c r="U316" s="359">
        <v>38</v>
      </c>
      <c r="V316" s="359">
        <v>32</v>
      </c>
      <c r="W316" s="359">
        <v>39</v>
      </c>
      <c r="X316" s="359">
        <v>41</v>
      </c>
      <c r="Y316" s="359">
        <v>27</v>
      </c>
      <c r="Z316" s="359">
        <v>20</v>
      </c>
      <c r="AA316" s="359">
        <v>48</v>
      </c>
      <c r="AB316" s="359">
        <v>18</v>
      </c>
      <c r="AC316" s="359">
        <v>43</v>
      </c>
      <c r="AD316" s="359">
        <v>33</v>
      </c>
      <c r="AE316" s="359">
        <f t="shared" si="401"/>
        <v>408</v>
      </c>
      <c r="AF316" s="360">
        <f t="shared" si="402"/>
        <v>34</v>
      </c>
      <c r="AG316" s="372"/>
      <c r="AH316" s="358">
        <v>17</v>
      </c>
      <c r="AI316" s="359">
        <v>57</v>
      </c>
      <c r="AJ316" s="359">
        <v>36</v>
      </c>
      <c r="AK316" s="359">
        <v>22</v>
      </c>
      <c r="AL316" s="359">
        <v>28</v>
      </c>
      <c r="AM316" s="359">
        <v>31</v>
      </c>
      <c r="AN316" s="359">
        <v>30</v>
      </c>
      <c r="AO316" s="359">
        <v>27</v>
      </c>
      <c r="AP316" s="359">
        <v>34</v>
      </c>
      <c r="AQ316" s="359">
        <v>39</v>
      </c>
      <c r="AR316" s="359">
        <v>29</v>
      </c>
      <c r="AS316" s="359">
        <v>48</v>
      </c>
      <c r="AT316" s="359">
        <f t="shared" si="393"/>
        <v>398</v>
      </c>
      <c r="AU316" s="360">
        <f t="shared" si="403"/>
        <v>33.166666666666664</v>
      </c>
      <c r="AX316" s="358">
        <v>40</v>
      </c>
      <c r="AY316" s="359">
        <v>13</v>
      </c>
      <c r="AZ316" s="359">
        <v>45</v>
      </c>
      <c r="BA316" s="359">
        <v>22</v>
      </c>
      <c r="BB316" s="359">
        <v>23</v>
      </c>
      <c r="BC316" s="359">
        <v>36</v>
      </c>
      <c r="BD316" s="2353">
        <v>0</v>
      </c>
      <c r="BE316" s="2353">
        <v>0</v>
      </c>
      <c r="BF316" s="2353">
        <v>0</v>
      </c>
      <c r="BG316" s="2353">
        <v>0</v>
      </c>
      <c r="BH316" s="2353">
        <v>0</v>
      </c>
      <c r="BI316" s="2353">
        <v>0</v>
      </c>
      <c r="BJ316" s="359">
        <f t="shared" si="394"/>
        <v>179</v>
      </c>
      <c r="BK316" s="360">
        <f t="shared" si="404"/>
        <v>14.916666666666666</v>
      </c>
      <c r="BN316" s="322">
        <f t="shared" si="409"/>
        <v>-48</v>
      </c>
      <c r="BO316" s="322">
        <f t="shared" si="395"/>
        <v>-18.25</v>
      </c>
      <c r="BP316" s="322">
        <f t="shared" si="396"/>
        <v>-219</v>
      </c>
      <c r="BQ316" s="322">
        <f t="shared" si="405"/>
        <v>0</v>
      </c>
      <c r="BR316" s="2265">
        <f t="shared" si="397"/>
        <v>0</v>
      </c>
      <c r="BS316" s="2265">
        <f t="shared" si="398"/>
        <v>0</v>
      </c>
    </row>
    <row r="317" spans="1:71" s="172" customFormat="1" x14ac:dyDescent="0.55000000000000004">
      <c r="A317" s="7531"/>
      <c r="B317" s="253"/>
      <c r="C317" s="173" t="s">
        <v>244</v>
      </c>
      <c r="D317" s="361">
        <v>186</v>
      </c>
      <c r="E317" s="362">
        <v>112</v>
      </c>
      <c r="F317" s="362">
        <v>148</v>
      </c>
      <c r="G317" s="362">
        <v>139</v>
      </c>
      <c r="H317" s="362">
        <v>95</v>
      </c>
      <c r="I317" s="362">
        <v>134</v>
      </c>
      <c r="J317" s="362">
        <v>156</v>
      </c>
      <c r="K317" s="362">
        <v>127</v>
      </c>
      <c r="L317" s="362">
        <v>142</v>
      </c>
      <c r="M317" s="362">
        <v>109</v>
      </c>
      <c r="N317" s="362">
        <v>138</v>
      </c>
      <c r="O317" s="362">
        <v>142</v>
      </c>
      <c r="P317" s="362">
        <f t="shared" si="399"/>
        <v>1628</v>
      </c>
      <c r="Q317" s="363">
        <f t="shared" si="400"/>
        <v>135.66666666666666</v>
      </c>
      <c r="R317" s="372"/>
      <c r="S317" s="361">
        <v>103</v>
      </c>
      <c r="T317" s="362">
        <v>89</v>
      </c>
      <c r="U317" s="362">
        <v>91</v>
      </c>
      <c r="V317" s="362">
        <v>177</v>
      </c>
      <c r="W317" s="362">
        <v>140</v>
      </c>
      <c r="X317" s="362">
        <v>106</v>
      </c>
      <c r="Y317" s="362">
        <v>137</v>
      </c>
      <c r="Z317" s="362">
        <v>50</v>
      </c>
      <c r="AA317" s="362">
        <v>129</v>
      </c>
      <c r="AB317" s="362">
        <v>56</v>
      </c>
      <c r="AC317" s="362">
        <v>76</v>
      </c>
      <c r="AD317" s="362">
        <v>137</v>
      </c>
      <c r="AE317" s="362">
        <f t="shared" si="401"/>
        <v>1291</v>
      </c>
      <c r="AF317" s="363">
        <f t="shared" si="402"/>
        <v>107.58333333333333</v>
      </c>
      <c r="AG317" s="372"/>
      <c r="AH317" s="361">
        <v>81</v>
      </c>
      <c r="AI317" s="362">
        <v>131</v>
      </c>
      <c r="AJ317" s="362">
        <v>118</v>
      </c>
      <c r="AK317" s="362">
        <v>107</v>
      </c>
      <c r="AL317" s="362">
        <v>74</v>
      </c>
      <c r="AM317" s="362">
        <v>88</v>
      </c>
      <c r="AN317" s="362">
        <v>78</v>
      </c>
      <c r="AO317" s="362">
        <v>84</v>
      </c>
      <c r="AP317" s="362">
        <v>74</v>
      </c>
      <c r="AQ317" s="362">
        <v>53</v>
      </c>
      <c r="AR317" s="362">
        <v>125</v>
      </c>
      <c r="AS317" s="362">
        <v>131</v>
      </c>
      <c r="AT317" s="362">
        <f t="shared" si="393"/>
        <v>1144</v>
      </c>
      <c r="AU317" s="363">
        <f t="shared" si="403"/>
        <v>95.333333333333329</v>
      </c>
      <c r="AX317" s="361">
        <v>94</v>
      </c>
      <c r="AY317" s="362">
        <v>26</v>
      </c>
      <c r="AZ317" s="362">
        <v>100</v>
      </c>
      <c r="BA317" s="362">
        <v>124</v>
      </c>
      <c r="BB317" s="362">
        <v>36</v>
      </c>
      <c r="BC317" s="362">
        <v>65</v>
      </c>
      <c r="BD317" s="362">
        <v>68</v>
      </c>
      <c r="BE317" s="362">
        <v>46</v>
      </c>
      <c r="BF317" s="362">
        <v>54</v>
      </c>
      <c r="BG317" s="362">
        <v>68</v>
      </c>
      <c r="BH317" s="362">
        <v>56</v>
      </c>
      <c r="BI317" s="362">
        <v>72</v>
      </c>
      <c r="BJ317" s="362">
        <f t="shared" si="394"/>
        <v>809</v>
      </c>
      <c r="BK317" s="363">
        <f t="shared" si="404"/>
        <v>67.416666666666671</v>
      </c>
      <c r="BN317" s="322">
        <f t="shared" si="409"/>
        <v>-59</v>
      </c>
      <c r="BO317" s="322">
        <f t="shared" si="395"/>
        <v>-27.916666666666657</v>
      </c>
      <c r="BP317" s="322">
        <f t="shared" si="396"/>
        <v>-335</v>
      </c>
      <c r="BQ317" s="322">
        <f t="shared" si="405"/>
        <v>16</v>
      </c>
      <c r="BR317" s="2265">
        <f t="shared" si="397"/>
        <v>56</v>
      </c>
      <c r="BS317" s="2265">
        <f t="shared" si="398"/>
        <v>72</v>
      </c>
    </row>
    <row r="318" spans="1:71" s="172" customFormat="1" x14ac:dyDescent="0.55000000000000004">
      <c r="A318" s="7531"/>
      <c r="B318" s="253"/>
      <c r="C318" s="181" t="s">
        <v>245</v>
      </c>
      <c r="D318" s="358">
        <v>166</v>
      </c>
      <c r="E318" s="359">
        <v>110</v>
      </c>
      <c r="F318" s="359">
        <v>150</v>
      </c>
      <c r="G318" s="359">
        <v>130</v>
      </c>
      <c r="H318" s="359">
        <v>129</v>
      </c>
      <c r="I318" s="359">
        <v>141</v>
      </c>
      <c r="J318" s="359">
        <v>135</v>
      </c>
      <c r="K318" s="359">
        <v>133</v>
      </c>
      <c r="L318" s="359">
        <v>211</v>
      </c>
      <c r="M318" s="359">
        <v>128</v>
      </c>
      <c r="N318" s="359">
        <v>228</v>
      </c>
      <c r="O318" s="359">
        <v>208</v>
      </c>
      <c r="P318" s="359">
        <f t="shared" si="399"/>
        <v>1869</v>
      </c>
      <c r="Q318" s="360">
        <f t="shared" si="400"/>
        <v>155.75</v>
      </c>
      <c r="R318" s="372"/>
      <c r="S318" s="358">
        <v>135</v>
      </c>
      <c r="T318" s="359">
        <v>189</v>
      </c>
      <c r="U318" s="359">
        <v>111</v>
      </c>
      <c r="V318" s="359">
        <v>261</v>
      </c>
      <c r="W318" s="359">
        <v>160</v>
      </c>
      <c r="X318" s="359">
        <v>148</v>
      </c>
      <c r="Y318" s="359">
        <v>143</v>
      </c>
      <c r="Z318" s="359">
        <v>97</v>
      </c>
      <c r="AA318" s="359">
        <v>161</v>
      </c>
      <c r="AB318" s="359">
        <v>90</v>
      </c>
      <c r="AC318" s="359">
        <v>161</v>
      </c>
      <c r="AD318" s="359">
        <v>167</v>
      </c>
      <c r="AE318" s="359">
        <f t="shared" si="401"/>
        <v>1823</v>
      </c>
      <c r="AF318" s="360">
        <f t="shared" si="402"/>
        <v>151.91666666666666</v>
      </c>
      <c r="AG318" s="372"/>
      <c r="AH318" s="358">
        <v>149</v>
      </c>
      <c r="AI318" s="359">
        <v>174</v>
      </c>
      <c r="AJ318" s="359">
        <v>107</v>
      </c>
      <c r="AK318" s="359">
        <v>96</v>
      </c>
      <c r="AL318" s="359">
        <v>76</v>
      </c>
      <c r="AM318" s="359">
        <v>102</v>
      </c>
      <c r="AN318" s="359">
        <v>121</v>
      </c>
      <c r="AO318" s="359">
        <v>119</v>
      </c>
      <c r="AP318" s="359">
        <v>73</v>
      </c>
      <c r="AQ318" s="359">
        <v>91</v>
      </c>
      <c r="AR318" s="359">
        <v>130</v>
      </c>
      <c r="AS318" s="359">
        <v>146</v>
      </c>
      <c r="AT318" s="359">
        <f t="shared" si="393"/>
        <v>1384</v>
      </c>
      <c r="AU318" s="360">
        <f t="shared" si="403"/>
        <v>115.33333333333333</v>
      </c>
      <c r="AX318" s="358">
        <v>149</v>
      </c>
      <c r="AY318" s="359">
        <v>55</v>
      </c>
      <c r="AZ318" s="359">
        <v>159</v>
      </c>
      <c r="BA318" s="359">
        <v>118</v>
      </c>
      <c r="BB318" s="359">
        <v>42</v>
      </c>
      <c r="BC318" s="359">
        <v>104</v>
      </c>
      <c r="BD318" s="359">
        <v>89</v>
      </c>
      <c r="BE318" s="359">
        <v>75</v>
      </c>
      <c r="BF318" s="359">
        <v>98</v>
      </c>
      <c r="BG318" s="359">
        <v>108</v>
      </c>
      <c r="BH318" s="359">
        <v>105</v>
      </c>
      <c r="BI318" s="359">
        <v>92</v>
      </c>
      <c r="BJ318" s="359">
        <f t="shared" si="394"/>
        <v>1194</v>
      </c>
      <c r="BK318" s="360">
        <f t="shared" si="404"/>
        <v>99.5</v>
      </c>
      <c r="BN318" s="322">
        <f t="shared" si="409"/>
        <v>-54</v>
      </c>
      <c r="BO318" s="322">
        <f t="shared" si="395"/>
        <v>-15.833333333333329</v>
      </c>
      <c r="BP318" s="322">
        <f t="shared" si="396"/>
        <v>-190</v>
      </c>
      <c r="BQ318" s="322">
        <f t="shared" si="405"/>
        <v>-13</v>
      </c>
      <c r="BR318" s="2265">
        <f t="shared" si="397"/>
        <v>105</v>
      </c>
      <c r="BS318" s="2265">
        <f t="shared" si="398"/>
        <v>92</v>
      </c>
    </row>
    <row r="319" spans="1:71" s="172" customFormat="1" x14ac:dyDescent="0.55000000000000004">
      <c r="A319" s="7531"/>
      <c r="B319" s="253"/>
      <c r="C319" s="173" t="s">
        <v>246</v>
      </c>
      <c r="D319" s="361">
        <v>151</v>
      </c>
      <c r="E319" s="362">
        <v>115</v>
      </c>
      <c r="F319" s="362">
        <v>106</v>
      </c>
      <c r="G319" s="362">
        <v>120</v>
      </c>
      <c r="H319" s="362">
        <v>127</v>
      </c>
      <c r="I319" s="362">
        <v>142</v>
      </c>
      <c r="J319" s="362">
        <v>119</v>
      </c>
      <c r="K319" s="362">
        <v>139</v>
      </c>
      <c r="L319" s="362">
        <v>140</v>
      </c>
      <c r="M319" s="362">
        <v>120</v>
      </c>
      <c r="N319" s="362">
        <v>162</v>
      </c>
      <c r="O319" s="362">
        <v>190</v>
      </c>
      <c r="P319" s="362">
        <f t="shared" si="399"/>
        <v>1631</v>
      </c>
      <c r="Q319" s="363">
        <f t="shared" si="400"/>
        <v>135.91666666666666</v>
      </c>
      <c r="R319" s="372"/>
      <c r="S319" s="361">
        <v>146</v>
      </c>
      <c r="T319" s="362">
        <v>124</v>
      </c>
      <c r="U319" s="362">
        <v>120</v>
      </c>
      <c r="V319" s="362">
        <v>129</v>
      </c>
      <c r="W319" s="362">
        <v>125</v>
      </c>
      <c r="X319" s="362">
        <v>128</v>
      </c>
      <c r="Y319" s="362">
        <v>110</v>
      </c>
      <c r="Z319" s="362">
        <v>89</v>
      </c>
      <c r="AA319" s="362">
        <v>106</v>
      </c>
      <c r="AB319" s="362">
        <v>115</v>
      </c>
      <c r="AC319" s="362">
        <v>124</v>
      </c>
      <c r="AD319" s="362">
        <v>154</v>
      </c>
      <c r="AE319" s="362">
        <f t="shared" si="401"/>
        <v>1470</v>
      </c>
      <c r="AF319" s="363">
        <f t="shared" si="402"/>
        <v>122.5</v>
      </c>
      <c r="AG319" s="372"/>
      <c r="AH319" s="361">
        <v>107</v>
      </c>
      <c r="AI319" s="362">
        <v>158</v>
      </c>
      <c r="AJ319" s="362">
        <v>94</v>
      </c>
      <c r="AK319" s="362">
        <v>115</v>
      </c>
      <c r="AL319" s="362">
        <v>142</v>
      </c>
      <c r="AM319" s="362">
        <v>120</v>
      </c>
      <c r="AN319" s="362">
        <v>124</v>
      </c>
      <c r="AO319" s="362">
        <v>158</v>
      </c>
      <c r="AP319" s="362">
        <v>83</v>
      </c>
      <c r="AQ319" s="362">
        <v>109</v>
      </c>
      <c r="AR319" s="362">
        <v>92</v>
      </c>
      <c r="AS319" s="362">
        <v>117</v>
      </c>
      <c r="AT319" s="362">
        <f t="shared" si="393"/>
        <v>1419</v>
      </c>
      <c r="AU319" s="363">
        <f t="shared" si="403"/>
        <v>118.25</v>
      </c>
      <c r="AX319" s="361">
        <v>120</v>
      </c>
      <c r="AY319" s="362">
        <v>73</v>
      </c>
      <c r="AZ319" s="362">
        <v>118</v>
      </c>
      <c r="BA319" s="362">
        <v>113</v>
      </c>
      <c r="BB319" s="362">
        <v>63</v>
      </c>
      <c r="BC319" s="362">
        <v>120</v>
      </c>
      <c r="BD319" s="362">
        <v>125</v>
      </c>
      <c r="BE319" s="362">
        <v>140</v>
      </c>
      <c r="BF319" s="362">
        <v>170</v>
      </c>
      <c r="BG319" s="362">
        <v>115</v>
      </c>
      <c r="BH319" s="362">
        <v>140</v>
      </c>
      <c r="BI319" s="362">
        <v>115</v>
      </c>
      <c r="BJ319" s="362">
        <f t="shared" si="394"/>
        <v>1412</v>
      </c>
      <c r="BK319" s="363">
        <f t="shared" si="404"/>
        <v>117.66666666666667</v>
      </c>
      <c r="BN319" s="322">
        <f t="shared" si="409"/>
        <v>-2</v>
      </c>
      <c r="BO319" s="322">
        <f t="shared" si="395"/>
        <v>-0.5833333333333286</v>
      </c>
      <c r="BP319" s="322">
        <f t="shared" si="396"/>
        <v>-7</v>
      </c>
      <c r="BQ319" s="322">
        <f t="shared" si="405"/>
        <v>-25</v>
      </c>
      <c r="BR319" s="2265">
        <f t="shared" si="397"/>
        <v>140</v>
      </c>
      <c r="BS319" s="2265">
        <f t="shared" si="398"/>
        <v>115</v>
      </c>
    </row>
    <row r="320" spans="1:71" s="172" customFormat="1" x14ac:dyDescent="0.55000000000000004">
      <c r="A320" s="7531"/>
      <c r="B320" s="253"/>
      <c r="C320" s="173" t="s">
        <v>247</v>
      </c>
      <c r="D320" s="361">
        <v>84</v>
      </c>
      <c r="E320" s="362">
        <v>77</v>
      </c>
      <c r="F320" s="362">
        <v>46</v>
      </c>
      <c r="G320" s="362">
        <v>69</v>
      </c>
      <c r="H320" s="362">
        <v>95</v>
      </c>
      <c r="I320" s="362">
        <v>83</v>
      </c>
      <c r="J320" s="362">
        <v>85</v>
      </c>
      <c r="K320" s="362">
        <v>83</v>
      </c>
      <c r="L320" s="362">
        <v>98</v>
      </c>
      <c r="M320" s="362">
        <v>76</v>
      </c>
      <c r="N320" s="362">
        <v>131</v>
      </c>
      <c r="O320" s="362">
        <v>152</v>
      </c>
      <c r="P320" s="362">
        <f t="shared" si="399"/>
        <v>1079</v>
      </c>
      <c r="Q320" s="363">
        <f t="shared" si="400"/>
        <v>89.916666666666671</v>
      </c>
      <c r="R320" s="372"/>
      <c r="S320" s="361">
        <v>62</v>
      </c>
      <c r="T320" s="362">
        <v>64</v>
      </c>
      <c r="U320" s="362">
        <v>95</v>
      </c>
      <c r="V320" s="362">
        <v>81</v>
      </c>
      <c r="W320" s="362">
        <v>85</v>
      </c>
      <c r="X320" s="362">
        <v>87</v>
      </c>
      <c r="Y320" s="362">
        <v>76</v>
      </c>
      <c r="Z320" s="362">
        <v>50</v>
      </c>
      <c r="AA320" s="362">
        <v>91</v>
      </c>
      <c r="AB320" s="362">
        <v>69</v>
      </c>
      <c r="AC320" s="362">
        <v>88</v>
      </c>
      <c r="AD320" s="362">
        <v>115</v>
      </c>
      <c r="AE320" s="362">
        <f t="shared" si="401"/>
        <v>963</v>
      </c>
      <c r="AF320" s="363">
        <f t="shared" si="402"/>
        <v>80.25</v>
      </c>
      <c r="AG320" s="372"/>
      <c r="AH320" s="361">
        <v>61</v>
      </c>
      <c r="AI320" s="362">
        <v>74</v>
      </c>
      <c r="AJ320" s="362">
        <v>71</v>
      </c>
      <c r="AK320" s="362">
        <v>76</v>
      </c>
      <c r="AL320" s="362">
        <v>80</v>
      </c>
      <c r="AM320" s="362">
        <v>89</v>
      </c>
      <c r="AN320" s="362">
        <v>74</v>
      </c>
      <c r="AO320" s="362">
        <v>100</v>
      </c>
      <c r="AP320" s="362">
        <v>68</v>
      </c>
      <c r="AQ320" s="362">
        <v>95</v>
      </c>
      <c r="AR320" s="362">
        <v>68</v>
      </c>
      <c r="AS320" s="362">
        <v>92</v>
      </c>
      <c r="AT320" s="362">
        <f t="shared" si="393"/>
        <v>948</v>
      </c>
      <c r="AU320" s="363">
        <f t="shared" si="403"/>
        <v>79</v>
      </c>
      <c r="AX320" s="361">
        <v>91</v>
      </c>
      <c r="AY320" s="362">
        <v>46</v>
      </c>
      <c r="AZ320" s="362">
        <v>90</v>
      </c>
      <c r="BA320" s="362">
        <v>65</v>
      </c>
      <c r="BB320" s="362">
        <v>42</v>
      </c>
      <c r="BC320" s="362">
        <v>79</v>
      </c>
      <c r="BD320" s="362">
        <v>89</v>
      </c>
      <c r="BE320" s="362">
        <v>78</v>
      </c>
      <c r="BF320" s="362">
        <v>75</v>
      </c>
      <c r="BG320" s="362">
        <v>93</v>
      </c>
      <c r="BH320" s="362">
        <v>110</v>
      </c>
      <c r="BI320" s="362">
        <v>96</v>
      </c>
      <c r="BJ320" s="362">
        <f t="shared" si="394"/>
        <v>954</v>
      </c>
      <c r="BK320" s="363">
        <f t="shared" si="404"/>
        <v>79.5</v>
      </c>
      <c r="BN320" s="322">
        <f t="shared" si="409"/>
        <v>4</v>
      </c>
      <c r="BO320" s="322">
        <f t="shared" si="395"/>
        <v>0.5</v>
      </c>
      <c r="BP320" s="322">
        <f t="shared" si="396"/>
        <v>6</v>
      </c>
      <c r="BQ320" s="322">
        <f t="shared" si="405"/>
        <v>-14</v>
      </c>
      <c r="BR320" s="2265">
        <f t="shared" si="397"/>
        <v>110</v>
      </c>
      <c r="BS320" s="2265">
        <f t="shared" si="398"/>
        <v>96</v>
      </c>
    </row>
    <row r="321" spans="1:71" s="172" customFormat="1" x14ac:dyDescent="0.55000000000000004">
      <c r="A321" s="7531"/>
      <c r="B321" s="253"/>
      <c r="C321" s="181" t="s">
        <v>248</v>
      </c>
      <c r="D321" s="358">
        <v>64</v>
      </c>
      <c r="E321" s="359">
        <v>67</v>
      </c>
      <c r="F321" s="359">
        <v>55</v>
      </c>
      <c r="G321" s="359">
        <v>61</v>
      </c>
      <c r="H321" s="359">
        <v>56</v>
      </c>
      <c r="I321" s="359">
        <v>87</v>
      </c>
      <c r="J321" s="359">
        <v>73</v>
      </c>
      <c r="K321" s="359">
        <v>113</v>
      </c>
      <c r="L321" s="359">
        <v>94</v>
      </c>
      <c r="M321" s="359">
        <v>51</v>
      </c>
      <c r="N321" s="359">
        <v>95</v>
      </c>
      <c r="O321" s="359">
        <v>93</v>
      </c>
      <c r="P321" s="359">
        <f t="shared" si="399"/>
        <v>909</v>
      </c>
      <c r="Q321" s="360">
        <f t="shared" si="400"/>
        <v>75.75</v>
      </c>
      <c r="R321" s="372"/>
      <c r="S321" s="358">
        <v>77</v>
      </c>
      <c r="T321" s="359">
        <v>99</v>
      </c>
      <c r="U321" s="359">
        <v>110</v>
      </c>
      <c r="V321" s="359">
        <v>101</v>
      </c>
      <c r="W321" s="359">
        <v>92</v>
      </c>
      <c r="X321" s="359">
        <v>102</v>
      </c>
      <c r="Y321" s="359">
        <v>83</v>
      </c>
      <c r="Z321" s="359">
        <v>66</v>
      </c>
      <c r="AA321" s="359">
        <v>120</v>
      </c>
      <c r="AB321" s="359">
        <v>50</v>
      </c>
      <c r="AC321" s="359">
        <v>81</v>
      </c>
      <c r="AD321" s="359">
        <v>115</v>
      </c>
      <c r="AE321" s="359">
        <f t="shared" si="401"/>
        <v>1096</v>
      </c>
      <c r="AF321" s="360">
        <f t="shared" si="402"/>
        <v>91.333333333333329</v>
      </c>
      <c r="AG321" s="372"/>
      <c r="AH321" s="358">
        <v>64</v>
      </c>
      <c r="AI321" s="359">
        <v>98</v>
      </c>
      <c r="AJ321" s="359">
        <v>75</v>
      </c>
      <c r="AK321" s="359">
        <v>71</v>
      </c>
      <c r="AL321" s="359">
        <v>66</v>
      </c>
      <c r="AM321" s="359">
        <v>59</v>
      </c>
      <c r="AN321" s="359">
        <v>81</v>
      </c>
      <c r="AO321" s="359">
        <v>128</v>
      </c>
      <c r="AP321" s="359">
        <v>58</v>
      </c>
      <c r="AQ321" s="359">
        <v>47</v>
      </c>
      <c r="AR321" s="359">
        <v>50</v>
      </c>
      <c r="AS321" s="359">
        <v>91</v>
      </c>
      <c r="AT321" s="359">
        <f t="shared" si="393"/>
        <v>888</v>
      </c>
      <c r="AU321" s="360">
        <f t="shared" si="403"/>
        <v>74</v>
      </c>
      <c r="AX321" s="358">
        <v>77</v>
      </c>
      <c r="AY321" s="359">
        <v>28</v>
      </c>
      <c r="AZ321" s="359">
        <v>75</v>
      </c>
      <c r="BA321" s="359">
        <v>47</v>
      </c>
      <c r="BB321" s="359">
        <v>34</v>
      </c>
      <c r="BC321" s="359">
        <v>59</v>
      </c>
      <c r="BD321" s="359">
        <v>68</v>
      </c>
      <c r="BE321" s="359">
        <v>66</v>
      </c>
      <c r="BF321" s="359">
        <v>84</v>
      </c>
      <c r="BG321" s="359">
        <v>63</v>
      </c>
      <c r="BH321" s="359">
        <v>79</v>
      </c>
      <c r="BI321" s="359">
        <v>84</v>
      </c>
      <c r="BJ321" s="359">
        <f t="shared" si="394"/>
        <v>764</v>
      </c>
      <c r="BK321" s="360">
        <f t="shared" si="404"/>
        <v>63.666666666666664</v>
      </c>
      <c r="BN321" s="322">
        <f t="shared" si="409"/>
        <v>-7</v>
      </c>
      <c r="BO321" s="322">
        <f t="shared" si="395"/>
        <v>-10.333333333333336</v>
      </c>
      <c r="BP321" s="322">
        <f t="shared" si="396"/>
        <v>-124</v>
      </c>
      <c r="BQ321" s="322">
        <f t="shared" si="405"/>
        <v>5</v>
      </c>
      <c r="BR321" s="2265">
        <f t="shared" si="397"/>
        <v>79</v>
      </c>
      <c r="BS321" s="2265">
        <f t="shared" si="398"/>
        <v>84</v>
      </c>
    </row>
    <row r="322" spans="1:71" s="172" customFormat="1" ht="18" thickBot="1" x14ac:dyDescent="0.6">
      <c r="A322" s="7531"/>
      <c r="B322" s="254"/>
      <c r="C322" s="182" t="s">
        <v>249</v>
      </c>
      <c r="D322" s="364">
        <v>60</v>
      </c>
      <c r="E322" s="365">
        <v>58</v>
      </c>
      <c r="F322" s="365">
        <v>40</v>
      </c>
      <c r="G322" s="365">
        <v>82</v>
      </c>
      <c r="H322" s="365">
        <v>48</v>
      </c>
      <c r="I322" s="365">
        <v>78</v>
      </c>
      <c r="J322" s="365">
        <v>63</v>
      </c>
      <c r="K322" s="365">
        <v>61</v>
      </c>
      <c r="L322" s="365">
        <v>70</v>
      </c>
      <c r="M322" s="365">
        <v>59</v>
      </c>
      <c r="N322" s="365">
        <v>100</v>
      </c>
      <c r="O322" s="365">
        <v>107</v>
      </c>
      <c r="P322" s="365">
        <f t="shared" si="399"/>
        <v>826</v>
      </c>
      <c r="Q322" s="366">
        <f t="shared" si="400"/>
        <v>68.833333333333329</v>
      </c>
      <c r="R322" s="372"/>
      <c r="S322" s="364">
        <v>39</v>
      </c>
      <c r="T322" s="365">
        <v>47</v>
      </c>
      <c r="U322" s="365">
        <v>54</v>
      </c>
      <c r="V322" s="365">
        <v>68</v>
      </c>
      <c r="W322" s="365">
        <v>82</v>
      </c>
      <c r="X322" s="365">
        <v>63</v>
      </c>
      <c r="Y322" s="365">
        <v>117</v>
      </c>
      <c r="Z322" s="365">
        <v>39</v>
      </c>
      <c r="AA322" s="365">
        <v>94</v>
      </c>
      <c r="AB322" s="365">
        <v>66</v>
      </c>
      <c r="AC322" s="365">
        <v>88</v>
      </c>
      <c r="AD322" s="365">
        <v>71</v>
      </c>
      <c r="AE322" s="365">
        <f t="shared" si="401"/>
        <v>828</v>
      </c>
      <c r="AF322" s="366">
        <f t="shared" si="402"/>
        <v>69</v>
      </c>
      <c r="AG322" s="372"/>
      <c r="AH322" s="364">
        <v>43</v>
      </c>
      <c r="AI322" s="365">
        <v>78</v>
      </c>
      <c r="AJ322" s="365">
        <v>33</v>
      </c>
      <c r="AK322" s="365">
        <v>38</v>
      </c>
      <c r="AL322" s="365">
        <v>60</v>
      </c>
      <c r="AM322" s="365">
        <v>39</v>
      </c>
      <c r="AN322" s="365">
        <v>49</v>
      </c>
      <c r="AO322" s="365">
        <v>73</v>
      </c>
      <c r="AP322" s="365">
        <v>22</v>
      </c>
      <c r="AQ322" s="365">
        <v>16</v>
      </c>
      <c r="AR322" s="365">
        <v>19</v>
      </c>
      <c r="AS322" s="365">
        <v>24</v>
      </c>
      <c r="AT322" s="365">
        <f t="shared" si="393"/>
        <v>494</v>
      </c>
      <c r="AU322" s="366">
        <f t="shared" si="403"/>
        <v>41.166666666666664</v>
      </c>
      <c r="AX322" s="364">
        <v>74</v>
      </c>
      <c r="AY322" s="365">
        <v>10</v>
      </c>
      <c r="AZ322" s="365">
        <v>45</v>
      </c>
      <c r="BA322" s="365">
        <v>30</v>
      </c>
      <c r="BB322" s="365">
        <v>17</v>
      </c>
      <c r="BC322" s="365">
        <v>40</v>
      </c>
      <c r="BD322" s="365">
        <v>47</v>
      </c>
      <c r="BE322" s="365">
        <v>26</v>
      </c>
      <c r="BF322" s="365">
        <v>22</v>
      </c>
      <c r="BG322" s="365">
        <v>19</v>
      </c>
      <c r="BH322" s="365">
        <v>20</v>
      </c>
      <c r="BI322" s="365">
        <v>54</v>
      </c>
      <c r="BJ322" s="365">
        <f t="shared" si="394"/>
        <v>404</v>
      </c>
      <c r="BK322" s="366">
        <f t="shared" si="404"/>
        <v>33.666666666666664</v>
      </c>
      <c r="BN322" s="322">
        <f t="shared" si="409"/>
        <v>30</v>
      </c>
      <c r="BO322" s="322">
        <f t="shared" si="395"/>
        <v>-7.5</v>
      </c>
      <c r="BP322" s="322">
        <f t="shared" si="396"/>
        <v>-90</v>
      </c>
      <c r="BQ322" s="322">
        <f t="shared" si="405"/>
        <v>34</v>
      </c>
      <c r="BR322" s="2265">
        <f t="shared" si="397"/>
        <v>20</v>
      </c>
      <c r="BS322" s="2265">
        <f t="shared" si="398"/>
        <v>54</v>
      </c>
    </row>
    <row r="323" spans="1:71" x14ac:dyDescent="0.55000000000000004">
      <c r="A323" s="7531"/>
      <c r="B323" s="74" t="s">
        <v>268</v>
      </c>
      <c r="C323" s="27"/>
      <c r="D323" s="342">
        <f>SUM(D327:D331)</f>
        <v>397</v>
      </c>
      <c r="E323" s="343">
        <f t="shared" ref="E323:O323" si="425">SUM(E327:E331)</f>
        <v>467</v>
      </c>
      <c r="F323" s="343">
        <f t="shared" si="425"/>
        <v>576</v>
      </c>
      <c r="G323" s="343">
        <f t="shared" si="425"/>
        <v>485</v>
      </c>
      <c r="H323" s="343">
        <f t="shared" si="425"/>
        <v>555</v>
      </c>
      <c r="I323" s="343">
        <f t="shared" si="425"/>
        <v>578</v>
      </c>
      <c r="J323" s="343">
        <f t="shared" si="425"/>
        <v>638</v>
      </c>
      <c r="K323" s="343">
        <f t="shared" si="425"/>
        <v>486</v>
      </c>
      <c r="L323" s="343">
        <f t="shared" si="425"/>
        <v>590</v>
      </c>
      <c r="M323" s="343">
        <f t="shared" si="425"/>
        <v>463</v>
      </c>
      <c r="N323" s="343">
        <f t="shared" si="425"/>
        <v>511</v>
      </c>
      <c r="O323" s="343">
        <f t="shared" si="425"/>
        <v>488</v>
      </c>
      <c r="P323" s="343">
        <f t="shared" si="399"/>
        <v>6234</v>
      </c>
      <c r="Q323" s="344">
        <f t="shared" si="400"/>
        <v>519.5</v>
      </c>
      <c r="R323" s="370"/>
      <c r="S323" s="342">
        <f>SUM(S327:S331)</f>
        <v>436</v>
      </c>
      <c r="T323" s="343">
        <f t="shared" ref="T323:AD323" si="426">SUM(T327:T331)</f>
        <v>408</v>
      </c>
      <c r="U323" s="343">
        <f t="shared" si="426"/>
        <v>531</v>
      </c>
      <c r="V323" s="343">
        <f t="shared" si="426"/>
        <v>538</v>
      </c>
      <c r="W323" s="343">
        <f t="shared" si="426"/>
        <v>385</v>
      </c>
      <c r="X323" s="343">
        <f t="shared" si="426"/>
        <v>487</v>
      </c>
      <c r="Y323" s="343">
        <f t="shared" si="426"/>
        <v>418</v>
      </c>
      <c r="Z323" s="343">
        <f t="shared" si="426"/>
        <v>411</v>
      </c>
      <c r="AA323" s="343">
        <f t="shared" si="426"/>
        <v>552</v>
      </c>
      <c r="AB323" s="343">
        <f t="shared" si="426"/>
        <v>437</v>
      </c>
      <c r="AC323" s="343">
        <f t="shared" si="426"/>
        <v>486</v>
      </c>
      <c r="AD323" s="343">
        <f t="shared" si="426"/>
        <v>493</v>
      </c>
      <c r="AE323" s="343">
        <f t="shared" si="401"/>
        <v>5582</v>
      </c>
      <c r="AF323" s="344">
        <f t="shared" si="402"/>
        <v>465.16666666666669</v>
      </c>
      <c r="AG323" s="370"/>
      <c r="AH323" s="342">
        <f t="shared" ref="AH323:AM323" si="427">SUM(AH327:AH331)</f>
        <v>322</v>
      </c>
      <c r="AI323" s="343">
        <f t="shared" si="427"/>
        <v>580</v>
      </c>
      <c r="AJ323" s="343">
        <f t="shared" si="427"/>
        <v>455</v>
      </c>
      <c r="AK323" s="343">
        <f t="shared" si="427"/>
        <v>546</v>
      </c>
      <c r="AL323" s="343">
        <f t="shared" si="427"/>
        <v>507</v>
      </c>
      <c r="AM323" s="343">
        <f t="shared" si="427"/>
        <v>562</v>
      </c>
      <c r="AN323" s="343">
        <v>530</v>
      </c>
      <c r="AO323" s="343">
        <f>SUM(AO327:AO331)</f>
        <v>593</v>
      </c>
      <c r="AP323" s="343">
        <f>SUM(AP327:AP331)</f>
        <v>537</v>
      </c>
      <c r="AQ323" s="343">
        <f>SUM(AQ327:AQ331)</f>
        <v>514</v>
      </c>
      <c r="AR323" s="343">
        <v>542</v>
      </c>
      <c r="AS323" s="343">
        <v>617</v>
      </c>
      <c r="AT323" s="343">
        <f t="shared" si="393"/>
        <v>6305</v>
      </c>
      <c r="AU323" s="344">
        <f t="shared" si="403"/>
        <v>525.41666666666663</v>
      </c>
      <c r="AX323" s="342">
        <v>532</v>
      </c>
      <c r="AY323" s="343">
        <v>477</v>
      </c>
      <c r="AZ323" s="343">
        <f>SUM(AZ327:AZ331)</f>
        <v>649</v>
      </c>
      <c r="BA323" s="343">
        <v>539</v>
      </c>
      <c r="BB323" s="343">
        <v>378</v>
      </c>
      <c r="BC323" s="343">
        <f>SUM(BC327:BC331)</f>
        <v>802</v>
      </c>
      <c r="BD323" s="343">
        <v>715</v>
      </c>
      <c r="BE323" s="343">
        <v>697</v>
      </c>
      <c r="BF323" s="343">
        <v>516</v>
      </c>
      <c r="BG323" s="343">
        <v>582</v>
      </c>
      <c r="BH323" s="343">
        <v>524</v>
      </c>
      <c r="BI323" s="343">
        <v>515</v>
      </c>
      <c r="BJ323" s="343">
        <f t="shared" si="394"/>
        <v>6926</v>
      </c>
      <c r="BK323" s="344">
        <f t="shared" si="404"/>
        <v>577.16666666666663</v>
      </c>
      <c r="BN323" s="322">
        <f t="shared" si="409"/>
        <v>-102</v>
      </c>
      <c r="BO323" s="322">
        <f t="shared" si="395"/>
        <v>51.75</v>
      </c>
      <c r="BP323" s="322">
        <f t="shared" si="396"/>
        <v>621</v>
      </c>
      <c r="BQ323" s="322">
        <f t="shared" si="405"/>
        <v>-9</v>
      </c>
      <c r="BR323" s="2265">
        <f t="shared" si="397"/>
        <v>524</v>
      </c>
      <c r="BS323" s="2265">
        <f t="shared" si="398"/>
        <v>515</v>
      </c>
    </row>
    <row r="324" spans="1:71" hidden="1" x14ac:dyDescent="0.55000000000000004">
      <c r="A324" s="7531"/>
      <c r="B324" s="248"/>
      <c r="C324" s="12" t="s">
        <v>267</v>
      </c>
      <c r="D324" s="345">
        <v>0</v>
      </c>
      <c r="E324" s="295">
        <v>0</v>
      </c>
      <c r="F324" s="295">
        <v>0</v>
      </c>
      <c r="G324" s="295">
        <v>0</v>
      </c>
      <c r="H324" s="295">
        <v>0</v>
      </c>
      <c r="I324" s="295">
        <v>0</v>
      </c>
      <c r="J324" s="295">
        <v>0</v>
      </c>
      <c r="K324" s="295">
        <v>0</v>
      </c>
      <c r="L324" s="295">
        <v>0</v>
      </c>
      <c r="M324" s="295">
        <v>0</v>
      </c>
      <c r="N324" s="295">
        <v>0</v>
      </c>
      <c r="O324" s="295">
        <v>0</v>
      </c>
      <c r="P324" s="295">
        <f t="shared" si="399"/>
        <v>0</v>
      </c>
      <c r="Q324" s="346">
        <f t="shared" si="400"/>
        <v>0</v>
      </c>
      <c r="R324" s="370"/>
      <c r="S324" s="345">
        <v>0</v>
      </c>
      <c r="T324" s="295">
        <v>0</v>
      </c>
      <c r="U324" s="295">
        <v>0</v>
      </c>
      <c r="V324" s="295">
        <v>0</v>
      </c>
      <c r="W324" s="295">
        <v>0</v>
      </c>
      <c r="X324" s="295">
        <v>0</v>
      </c>
      <c r="Y324" s="295">
        <v>0</v>
      </c>
      <c r="Z324" s="295">
        <v>0</v>
      </c>
      <c r="AA324" s="295">
        <v>0</v>
      </c>
      <c r="AB324" s="295">
        <v>0</v>
      </c>
      <c r="AC324" s="295">
        <v>0</v>
      </c>
      <c r="AD324" s="295">
        <v>0</v>
      </c>
      <c r="AE324" s="295">
        <f t="shared" si="401"/>
        <v>0</v>
      </c>
      <c r="AF324" s="346">
        <f t="shared" si="402"/>
        <v>0</v>
      </c>
      <c r="AG324" s="370"/>
      <c r="AH324" s="345"/>
      <c r="AI324" s="295"/>
      <c r="AJ324" s="295"/>
      <c r="AK324" s="295"/>
      <c r="AL324" s="295"/>
      <c r="AM324" s="295"/>
      <c r="AN324" s="295"/>
      <c r="AO324" s="295"/>
      <c r="AP324" s="295"/>
      <c r="AQ324" s="295"/>
      <c r="AR324" s="295"/>
      <c r="AS324" s="295"/>
      <c r="AT324" s="295">
        <f t="shared" si="393"/>
        <v>0</v>
      </c>
      <c r="AU324" s="346">
        <f t="shared" si="403"/>
        <v>0</v>
      </c>
      <c r="AX324" s="345">
        <v>54</v>
      </c>
      <c r="AY324" s="295">
        <v>37</v>
      </c>
      <c r="AZ324" s="295"/>
      <c r="BA324" s="295"/>
      <c r="BB324" s="295"/>
      <c r="BC324" s="295"/>
      <c r="BD324" s="295"/>
      <c r="BE324" s="295"/>
      <c r="BF324" s="295">
        <v>78</v>
      </c>
      <c r="BG324" s="295"/>
      <c r="BH324" s="295"/>
      <c r="BI324" s="295">
        <v>61</v>
      </c>
      <c r="BJ324" s="295">
        <f t="shared" si="394"/>
        <v>230</v>
      </c>
      <c r="BK324" s="346">
        <f t="shared" si="404"/>
        <v>57.5</v>
      </c>
      <c r="BN324" s="322">
        <f t="shared" si="409"/>
        <v>61</v>
      </c>
      <c r="BO324" s="322">
        <f t="shared" si="395"/>
        <v>57.5</v>
      </c>
      <c r="BP324" s="322">
        <f t="shared" si="396"/>
        <v>230</v>
      </c>
      <c r="BQ324" s="322">
        <f t="shared" si="405"/>
        <v>61</v>
      </c>
      <c r="BR324" s="2265">
        <f t="shared" si="397"/>
        <v>0</v>
      </c>
      <c r="BS324" s="2265">
        <f t="shared" si="398"/>
        <v>61</v>
      </c>
    </row>
    <row r="325" spans="1:71" hidden="1" x14ac:dyDescent="0.55000000000000004">
      <c r="A325" s="7531"/>
      <c r="B325" s="248"/>
      <c r="C325" s="12" t="s">
        <v>280</v>
      </c>
      <c r="D325" s="345">
        <v>0</v>
      </c>
      <c r="E325" s="295">
        <v>0</v>
      </c>
      <c r="F325" s="295">
        <v>0</v>
      </c>
      <c r="G325" s="295">
        <v>0</v>
      </c>
      <c r="H325" s="295">
        <v>0</v>
      </c>
      <c r="I325" s="295">
        <v>0</v>
      </c>
      <c r="J325" s="295">
        <v>0</v>
      </c>
      <c r="K325" s="295">
        <v>0</v>
      </c>
      <c r="L325" s="295">
        <v>0</v>
      </c>
      <c r="M325" s="295">
        <v>0</v>
      </c>
      <c r="N325" s="295">
        <v>0</v>
      </c>
      <c r="O325" s="295">
        <v>0</v>
      </c>
      <c r="P325" s="295">
        <f t="shared" si="399"/>
        <v>0</v>
      </c>
      <c r="Q325" s="346">
        <f t="shared" si="400"/>
        <v>0</v>
      </c>
      <c r="R325" s="370"/>
      <c r="S325" s="345">
        <v>0</v>
      </c>
      <c r="T325" s="295">
        <v>0</v>
      </c>
      <c r="U325" s="295">
        <v>0</v>
      </c>
      <c r="V325" s="295">
        <v>0</v>
      </c>
      <c r="W325" s="295">
        <v>0</v>
      </c>
      <c r="X325" s="295">
        <v>0</v>
      </c>
      <c r="Y325" s="295">
        <v>0</v>
      </c>
      <c r="Z325" s="295">
        <v>0</v>
      </c>
      <c r="AA325" s="295">
        <v>0</v>
      </c>
      <c r="AB325" s="295">
        <v>0</v>
      </c>
      <c r="AC325" s="295">
        <v>0</v>
      </c>
      <c r="AD325" s="295">
        <v>0</v>
      </c>
      <c r="AE325" s="295">
        <f t="shared" si="401"/>
        <v>0</v>
      </c>
      <c r="AF325" s="346">
        <f t="shared" si="402"/>
        <v>0</v>
      </c>
      <c r="AG325" s="370"/>
      <c r="AH325" s="345"/>
      <c r="AI325" s="295"/>
      <c r="AJ325" s="295"/>
      <c r="AK325" s="295"/>
      <c r="AL325" s="295"/>
      <c r="AM325" s="295"/>
      <c r="AN325" s="295"/>
      <c r="AO325" s="295"/>
      <c r="AP325" s="295"/>
      <c r="AQ325" s="295"/>
      <c r="AR325" s="295"/>
      <c r="AS325" s="295"/>
      <c r="AT325" s="295">
        <f t="shared" si="393"/>
        <v>0</v>
      </c>
      <c r="AU325" s="346">
        <f t="shared" si="403"/>
        <v>0</v>
      </c>
      <c r="AX325" s="345">
        <v>118</v>
      </c>
      <c r="AY325" s="295">
        <v>89</v>
      </c>
      <c r="AZ325" s="295"/>
      <c r="BA325" s="295"/>
      <c r="BB325" s="295"/>
      <c r="BC325" s="295"/>
      <c r="BD325" s="295"/>
      <c r="BE325" s="295"/>
      <c r="BF325" s="295">
        <v>148</v>
      </c>
      <c r="BG325" s="295"/>
      <c r="BH325" s="295"/>
      <c r="BI325" s="295">
        <v>107</v>
      </c>
      <c r="BJ325" s="295">
        <f t="shared" si="394"/>
        <v>462</v>
      </c>
      <c r="BK325" s="346">
        <f t="shared" si="404"/>
        <v>115.5</v>
      </c>
      <c r="BN325" s="322">
        <f t="shared" si="409"/>
        <v>107</v>
      </c>
      <c r="BO325" s="322">
        <f t="shared" si="395"/>
        <v>115.5</v>
      </c>
      <c r="BP325" s="322">
        <f t="shared" si="396"/>
        <v>462</v>
      </c>
      <c r="BQ325" s="322">
        <f t="shared" si="405"/>
        <v>107</v>
      </c>
      <c r="BR325" s="2265">
        <f t="shared" si="397"/>
        <v>0</v>
      </c>
      <c r="BS325" s="2265">
        <f t="shared" si="398"/>
        <v>107</v>
      </c>
    </row>
    <row r="326" spans="1:71" hidden="1" x14ac:dyDescent="0.55000000000000004">
      <c r="A326" s="7531"/>
      <c r="B326" s="248"/>
      <c r="C326" s="12" t="s">
        <v>279</v>
      </c>
      <c r="D326" s="345">
        <v>0</v>
      </c>
      <c r="E326" s="295">
        <v>0</v>
      </c>
      <c r="F326" s="295">
        <v>0</v>
      </c>
      <c r="G326" s="295">
        <v>0</v>
      </c>
      <c r="H326" s="295">
        <v>0</v>
      </c>
      <c r="I326" s="295">
        <v>0</v>
      </c>
      <c r="J326" s="295">
        <v>0</v>
      </c>
      <c r="K326" s="295">
        <v>0</v>
      </c>
      <c r="L326" s="295">
        <v>0</v>
      </c>
      <c r="M326" s="295">
        <v>0</v>
      </c>
      <c r="N326" s="295">
        <v>0</v>
      </c>
      <c r="O326" s="295">
        <v>0</v>
      </c>
      <c r="P326" s="295">
        <f t="shared" si="399"/>
        <v>0</v>
      </c>
      <c r="Q326" s="346">
        <f t="shared" si="400"/>
        <v>0</v>
      </c>
      <c r="R326" s="370"/>
      <c r="S326" s="345">
        <v>0</v>
      </c>
      <c r="T326" s="295">
        <v>0</v>
      </c>
      <c r="U326" s="295">
        <v>0</v>
      </c>
      <c r="V326" s="295">
        <v>0</v>
      </c>
      <c r="W326" s="295">
        <v>0</v>
      </c>
      <c r="X326" s="295">
        <v>0</v>
      </c>
      <c r="Y326" s="295">
        <v>0</v>
      </c>
      <c r="Z326" s="295">
        <v>0</v>
      </c>
      <c r="AA326" s="295">
        <v>0</v>
      </c>
      <c r="AB326" s="295">
        <v>0</v>
      </c>
      <c r="AC326" s="295">
        <v>0</v>
      </c>
      <c r="AD326" s="295">
        <v>0</v>
      </c>
      <c r="AE326" s="295">
        <f t="shared" si="401"/>
        <v>0</v>
      </c>
      <c r="AF326" s="346">
        <f t="shared" si="402"/>
        <v>0</v>
      </c>
      <c r="AG326" s="370"/>
      <c r="AH326" s="345"/>
      <c r="AI326" s="295"/>
      <c r="AJ326" s="295"/>
      <c r="AK326" s="295"/>
      <c r="AL326" s="295"/>
      <c r="AM326" s="295"/>
      <c r="AN326" s="295"/>
      <c r="AO326" s="295"/>
      <c r="AP326" s="295"/>
      <c r="AQ326" s="295"/>
      <c r="AR326" s="295"/>
      <c r="AS326" s="295"/>
      <c r="AT326" s="295">
        <f t="shared" si="393"/>
        <v>0</v>
      </c>
      <c r="AU326" s="346">
        <f t="shared" si="403"/>
        <v>0</v>
      </c>
      <c r="AX326" s="345">
        <v>360</v>
      </c>
      <c r="AY326" s="295">
        <v>351</v>
      </c>
      <c r="AZ326" s="295"/>
      <c r="BA326" s="295"/>
      <c r="BB326" s="295"/>
      <c r="BC326" s="295"/>
      <c r="BD326" s="295"/>
      <c r="BE326" s="295"/>
      <c r="BF326" s="295">
        <v>375</v>
      </c>
      <c r="BG326" s="295"/>
      <c r="BH326" s="295"/>
      <c r="BI326" s="295">
        <v>347</v>
      </c>
      <c r="BJ326" s="295">
        <f t="shared" si="394"/>
        <v>1433</v>
      </c>
      <c r="BK326" s="346">
        <f t="shared" si="404"/>
        <v>358.25</v>
      </c>
      <c r="BN326" s="322">
        <f t="shared" si="409"/>
        <v>347</v>
      </c>
      <c r="BO326" s="322">
        <f t="shared" si="395"/>
        <v>358.25</v>
      </c>
      <c r="BP326" s="322">
        <f t="shared" si="396"/>
        <v>1433</v>
      </c>
      <c r="BQ326" s="322">
        <f t="shared" si="405"/>
        <v>347</v>
      </c>
      <c r="BR326" s="2265">
        <f t="shared" si="397"/>
        <v>0</v>
      </c>
      <c r="BS326" s="2265">
        <f t="shared" si="398"/>
        <v>347</v>
      </c>
    </row>
    <row r="327" spans="1:71" x14ac:dyDescent="0.55000000000000004">
      <c r="A327" s="7531"/>
      <c r="B327" s="249" t="s">
        <v>222</v>
      </c>
      <c r="C327" s="100"/>
      <c r="D327" s="347">
        <f>D332+D333</f>
        <v>68</v>
      </c>
      <c r="E327" s="348">
        <f t="shared" ref="E327:O327" si="428">E332+E333</f>
        <v>88</v>
      </c>
      <c r="F327" s="348">
        <f t="shared" si="428"/>
        <v>119</v>
      </c>
      <c r="G327" s="348">
        <f t="shared" si="428"/>
        <v>88</v>
      </c>
      <c r="H327" s="348">
        <f t="shared" si="428"/>
        <v>127</v>
      </c>
      <c r="I327" s="348">
        <f t="shared" si="428"/>
        <v>143</v>
      </c>
      <c r="J327" s="348">
        <f t="shared" si="428"/>
        <v>174</v>
      </c>
      <c r="K327" s="348">
        <f t="shared" si="428"/>
        <v>112</v>
      </c>
      <c r="L327" s="348">
        <f t="shared" si="428"/>
        <v>107</v>
      </c>
      <c r="M327" s="348">
        <f t="shared" si="428"/>
        <v>107</v>
      </c>
      <c r="N327" s="348">
        <f t="shared" si="428"/>
        <v>120</v>
      </c>
      <c r="O327" s="348">
        <f t="shared" si="428"/>
        <v>91</v>
      </c>
      <c r="P327" s="348">
        <f t="shared" si="399"/>
        <v>1344</v>
      </c>
      <c r="Q327" s="349">
        <f t="shared" si="400"/>
        <v>112</v>
      </c>
      <c r="R327" s="370"/>
      <c r="S327" s="347">
        <f>S332+S333</f>
        <v>104</v>
      </c>
      <c r="T327" s="348">
        <f t="shared" ref="T327:AD327" si="429">T332+T333</f>
        <v>77</v>
      </c>
      <c r="U327" s="348">
        <f t="shared" si="429"/>
        <v>112</v>
      </c>
      <c r="V327" s="348">
        <f t="shared" si="429"/>
        <v>99</v>
      </c>
      <c r="W327" s="348">
        <f t="shared" si="429"/>
        <v>72</v>
      </c>
      <c r="X327" s="348">
        <f t="shared" si="429"/>
        <v>94</v>
      </c>
      <c r="Y327" s="348">
        <f t="shared" si="429"/>
        <v>79</v>
      </c>
      <c r="Z327" s="348">
        <f t="shared" si="429"/>
        <v>83</v>
      </c>
      <c r="AA327" s="348">
        <f t="shared" si="429"/>
        <v>153</v>
      </c>
      <c r="AB327" s="348">
        <f t="shared" si="429"/>
        <v>83</v>
      </c>
      <c r="AC327" s="348">
        <f t="shared" si="429"/>
        <v>94</v>
      </c>
      <c r="AD327" s="348">
        <f t="shared" si="429"/>
        <v>93</v>
      </c>
      <c r="AE327" s="348">
        <f t="shared" si="401"/>
        <v>1143</v>
      </c>
      <c r="AF327" s="349">
        <f t="shared" si="402"/>
        <v>95.25</v>
      </c>
      <c r="AG327" s="370"/>
      <c r="AH327" s="347">
        <f t="shared" ref="AH327:AM327" si="430">AH332+AH333</f>
        <v>63</v>
      </c>
      <c r="AI327" s="348">
        <f t="shared" si="430"/>
        <v>127</v>
      </c>
      <c r="AJ327" s="348">
        <f t="shared" si="430"/>
        <v>79</v>
      </c>
      <c r="AK327" s="348">
        <f t="shared" si="430"/>
        <v>106</v>
      </c>
      <c r="AL327" s="348">
        <f t="shared" si="430"/>
        <v>89</v>
      </c>
      <c r="AM327" s="348">
        <f t="shared" si="430"/>
        <v>95</v>
      </c>
      <c r="AN327" s="348">
        <v>93</v>
      </c>
      <c r="AO327" s="348">
        <f>AO332+AO333</f>
        <v>122</v>
      </c>
      <c r="AP327" s="348">
        <f>AP332+AP333</f>
        <v>114</v>
      </c>
      <c r="AQ327" s="348">
        <f>AQ332+AQ333</f>
        <v>97</v>
      </c>
      <c r="AR327" s="348">
        <v>129</v>
      </c>
      <c r="AS327" s="348">
        <v>145</v>
      </c>
      <c r="AT327" s="348">
        <f t="shared" si="393"/>
        <v>1259</v>
      </c>
      <c r="AU327" s="349">
        <f t="shared" si="403"/>
        <v>104.91666666666667</v>
      </c>
      <c r="AX327" s="347">
        <v>91</v>
      </c>
      <c r="AY327" s="348">
        <v>90</v>
      </c>
      <c r="AZ327" s="348">
        <f>AZ332+AZ333</f>
        <v>127</v>
      </c>
      <c r="BA327" s="348">
        <v>106</v>
      </c>
      <c r="BB327" s="348">
        <v>78</v>
      </c>
      <c r="BC327" s="348">
        <f>BC332+BC333</f>
        <v>152</v>
      </c>
      <c r="BD327" s="348">
        <v>136</v>
      </c>
      <c r="BE327" s="348">
        <v>128</v>
      </c>
      <c r="BF327" s="348">
        <v>95</v>
      </c>
      <c r="BG327" s="348">
        <v>132</v>
      </c>
      <c r="BH327" s="348">
        <v>91</v>
      </c>
      <c r="BI327" s="348">
        <v>111</v>
      </c>
      <c r="BJ327" s="348">
        <f t="shared" si="394"/>
        <v>1337</v>
      </c>
      <c r="BK327" s="349">
        <f t="shared" si="404"/>
        <v>111.41666666666667</v>
      </c>
      <c r="BN327" s="322">
        <f t="shared" si="409"/>
        <v>-34</v>
      </c>
      <c r="BO327" s="322">
        <f t="shared" si="395"/>
        <v>6.5</v>
      </c>
      <c r="BP327" s="322">
        <f t="shared" si="396"/>
        <v>78</v>
      </c>
      <c r="BQ327" s="322">
        <f t="shared" si="405"/>
        <v>20</v>
      </c>
      <c r="BR327" s="2265">
        <f t="shared" si="397"/>
        <v>91</v>
      </c>
      <c r="BS327" s="2265">
        <f t="shared" si="398"/>
        <v>111</v>
      </c>
    </row>
    <row r="328" spans="1:71" x14ac:dyDescent="0.55000000000000004">
      <c r="A328" s="7531"/>
      <c r="B328" s="250" t="s">
        <v>223</v>
      </c>
      <c r="C328" s="14"/>
      <c r="D328" s="350">
        <f>D334</f>
        <v>84</v>
      </c>
      <c r="E328" s="280">
        <f t="shared" ref="E328:O328" si="431">E334</f>
        <v>109</v>
      </c>
      <c r="F328" s="280">
        <f t="shared" si="431"/>
        <v>95</v>
      </c>
      <c r="G328" s="280">
        <f t="shared" si="431"/>
        <v>105</v>
      </c>
      <c r="H328" s="280">
        <f t="shared" si="431"/>
        <v>104</v>
      </c>
      <c r="I328" s="280">
        <f t="shared" si="431"/>
        <v>107</v>
      </c>
      <c r="J328" s="280">
        <f t="shared" si="431"/>
        <v>97</v>
      </c>
      <c r="K328" s="280">
        <f t="shared" si="431"/>
        <v>54</v>
      </c>
      <c r="L328" s="280">
        <f t="shared" si="431"/>
        <v>85</v>
      </c>
      <c r="M328" s="280">
        <f t="shared" si="431"/>
        <v>58</v>
      </c>
      <c r="N328" s="280">
        <f t="shared" si="431"/>
        <v>86</v>
      </c>
      <c r="O328" s="280">
        <f t="shared" si="431"/>
        <v>88</v>
      </c>
      <c r="P328" s="280">
        <f t="shared" si="399"/>
        <v>1072</v>
      </c>
      <c r="Q328" s="351">
        <f t="shared" si="400"/>
        <v>89.333333333333329</v>
      </c>
      <c r="R328" s="370"/>
      <c r="S328" s="350">
        <f>S334</f>
        <v>73</v>
      </c>
      <c r="T328" s="280">
        <f t="shared" ref="T328:AD328" si="432">T334</f>
        <v>48</v>
      </c>
      <c r="U328" s="280">
        <f t="shared" si="432"/>
        <v>90</v>
      </c>
      <c r="V328" s="280">
        <f t="shared" si="432"/>
        <v>77</v>
      </c>
      <c r="W328" s="280">
        <f t="shared" si="432"/>
        <v>43</v>
      </c>
      <c r="X328" s="280">
        <f t="shared" si="432"/>
        <v>60</v>
      </c>
      <c r="Y328" s="280">
        <f t="shared" si="432"/>
        <v>44</v>
      </c>
      <c r="Z328" s="280">
        <f t="shared" si="432"/>
        <v>54</v>
      </c>
      <c r="AA328" s="280">
        <f t="shared" si="432"/>
        <v>56</v>
      </c>
      <c r="AB328" s="280">
        <f t="shared" si="432"/>
        <v>75</v>
      </c>
      <c r="AC328" s="280">
        <f t="shared" si="432"/>
        <v>59</v>
      </c>
      <c r="AD328" s="280">
        <f t="shared" si="432"/>
        <v>69</v>
      </c>
      <c r="AE328" s="280">
        <f t="shared" si="401"/>
        <v>748</v>
      </c>
      <c r="AF328" s="351">
        <f t="shared" si="402"/>
        <v>62.333333333333336</v>
      </c>
      <c r="AG328" s="370"/>
      <c r="AH328" s="350">
        <f t="shared" ref="AH328:AM329" si="433">AH334</f>
        <v>47</v>
      </c>
      <c r="AI328" s="280">
        <f t="shared" si="433"/>
        <v>82</v>
      </c>
      <c r="AJ328" s="280">
        <f t="shared" si="433"/>
        <v>62</v>
      </c>
      <c r="AK328" s="280">
        <f t="shared" si="433"/>
        <v>69</v>
      </c>
      <c r="AL328" s="280">
        <f t="shared" si="433"/>
        <v>65</v>
      </c>
      <c r="AM328" s="280">
        <f t="shared" si="433"/>
        <v>57</v>
      </c>
      <c r="AN328" s="280">
        <v>65</v>
      </c>
      <c r="AO328" s="280">
        <f t="shared" ref="AO328:AQ329" si="434">AO334</f>
        <v>68</v>
      </c>
      <c r="AP328" s="280">
        <f t="shared" si="434"/>
        <v>73</v>
      </c>
      <c r="AQ328" s="280">
        <f t="shared" si="434"/>
        <v>82</v>
      </c>
      <c r="AR328" s="280">
        <v>57</v>
      </c>
      <c r="AS328" s="280">
        <v>78</v>
      </c>
      <c r="AT328" s="280">
        <f t="shared" si="393"/>
        <v>805</v>
      </c>
      <c r="AU328" s="351">
        <f t="shared" si="403"/>
        <v>67.083333333333329</v>
      </c>
      <c r="AX328" s="350">
        <v>69</v>
      </c>
      <c r="AY328" s="280">
        <v>55</v>
      </c>
      <c r="AZ328" s="280">
        <f>AZ334</f>
        <v>84</v>
      </c>
      <c r="BA328" s="280">
        <v>67</v>
      </c>
      <c r="BB328" s="280">
        <v>34</v>
      </c>
      <c r="BC328" s="280">
        <f>BC334</f>
        <v>117</v>
      </c>
      <c r="BD328" s="280">
        <v>90</v>
      </c>
      <c r="BE328" s="280">
        <v>80</v>
      </c>
      <c r="BF328" s="280">
        <v>75</v>
      </c>
      <c r="BG328" s="280">
        <v>76</v>
      </c>
      <c r="BH328" s="280">
        <v>68</v>
      </c>
      <c r="BI328" s="280">
        <v>65</v>
      </c>
      <c r="BJ328" s="280">
        <f t="shared" si="394"/>
        <v>880</v>
      </c>
      <c r="BK328" s="351">
        <f t="shared" si="404"/>
        <v>73.333333333333329</v>
      </c>
      <c r="BN328" s="322">
        <f t="shared" si="409"/>
        <v>-13</v>
      </c>
      <c r="BO328" s="322">
        <f t="shared" si="395"/>
        <v>6.25</v>
      </c>
      <c r="BP328" s="322">
        <f t="shared" si="396"/>
        <v>75</v>
      </c>
      <c r="BQ328" s="322">
        <f t="shared" si="405"/>
        <v>-3</v>
      </c>
      <c r="BR328" s="2265">
        <f t="shared" si="397"/>
        <v>68</v>
      </c>
      <c r="BS328" s="2265">
        <f t="shared" si="398"/>
        <v>65</v>
      </c>
    </row>
    <row r="329" spans="1:71" x14ac:dyDescent="0.55000000000000004">
      <c r="A329" s="7531"/>
      <c r="B329" s="250" t="s">
        <v>224</v>
      </c>
      <c r="C329" s="14"/>
      <c r="D329" s="350">
        <f>D335</f>
        <v>71</v>
      </c>
      <c r="E329" s="280">
        <f t="shared" ref="E329:O329" si="435">E335</f>
        <v>85</v>
      </c>
      <c r="F329" s="280">
        <f t="shared" si="435"/>
        <v>106</v>
      </c>
      <c r="G329" s="280">
        <f t="shared" si="435"/>
        <v>58</v>
      </c>
      <c r="H329" s="280">
        <f t="shared" si="435"/>
        <v>101</v>
      </c>
      <c r="I329" s="280">
        <f t="shared" si="435"/>
        <v>105</v>
      </c>
      <c r="J329" s="280">
        <f t="shared" si="435"/>
        <v>103</v>
      </c>
      <c r="K329" s="280">
        <f t="shared" si="435"/>
        <v>82</v>
      </c>
      <c r="L329" s="280">
        <f t="shared" si="435"/>
        <v>80</v>
      </c>
      <c r="M329" s="280">
        <f t="shared" si="435"/>
        <v>45</v>
      </c>
      <c r="N329" s="280">
        <f t="shared" si="435"/>
        <v>48</v>
      </c>
      <c r="O329" s="280">
        <f t="shared" si="435"/>
        <v>39</v>
      </c>
      <c r="P329" s="280">
        <f t="shared" si="399"/>
        <v>923</v>
      </c>
      <c r="Q329" s="351">
        <f t="shared" si="400"/>
        <v>76.916666666666671</v>
      </c>
      <c r="R329" s="370"/>
      <c r="S329" s="350">
        <f>S335</f>
        <v>56</v>
      </c>
      <c r="T329" s="280">
        <f t="shared" ref="T329:AD329" si="436">T335</f>
        <v>41</v>
      </c>
      <c r="U329" s="280">
        <f t="shared" si="436"/>
        <v>58</v>
      </c>
      <c r="V329" s="280">
        <f t="shared" si="436"/>
        <v>65</v>
      </c>
      <c r="W329" s="280">
        <f t="shared" si="436"/>
        <v>37</v>
      </c>
      <c r="X329" s="280">
        <f t="shared" si="436"/>
        <v>48</v>
      </c>
      <c r="Y329" s="280">
        <f t="shared" si="436"/>
        <v>47</v>
      </c>
      <c r="Z329" s="280">
        <f t="shared" si="436"/>
        <v>70</v>
      </c>
      <c r="AA329" s="280">
        <f t="shared" si="436"/>
        <v>77</v>
      </c>
      <c r="AB329" s="280">
        <f t="shared" si="436"/>
        <v>61</v>
      </c>
      <c r="AC329" s="280">
        <f t="shared" si="436"/>
        <v>60</v>
      </c>
      <c r="AD329" s="280">
        <f t="shared" si="436"/>
        <v>87</v>
      </c>
      <c r="AE329" s="280">
        <f t="shared" si="401"/>
        <v>707</v>
      </c>
      <c r="AF329" s="351">
        <f t="shared" si="402"/>
        <v>58.916666666666664</v>
      </c>
      <c r="AG329" s="370"/>
      <c r="AH329" s="350">
        <f t="shared" si="433"/>
        <v>54</v>
      </c>
      <c r="AI329" s="280">
        <f t="shared" si="433"/>
        <v>67</v>
      </c>
      <c r="AJ329" s="280">
        <f t="shared" si="433"/>
        <v>72</v>
      </c>
      <c r="AK329" s="280">
        <f t="shared" si="433"/>
        <v>77</v>
      </c>
      <c r="AL329" s="280">
        <f t="shared" si="433"/>
        <v>71</v>
      </c>
      <c r="AM329" s="280">
        <f t="shared" si="433"/>
        <v>97</v>
      </c>
      <c r="AN329" s="280">
        <v>85</v>
      </c>
      <c r="AO329" s="280">
        <f t="shared" si="434"/>
        <v>81</v>
      </c>
      <c r="AP329" s="280">
        <f t="shared" si="434"/>
        <v>98</v>
      </c>
      <c r="AQ329" s="280">
        <f t="shared" si="434"/>
        <v>74</v>
      </c>
      <c r="AR329" s="280">
        <v>91</v>
      </c>
      <c r="AS329" s="280">
        <v>80</v>
      </c>
      <c r="AT329" s="280">
        <f t="shared" si="393"/>
        <v>947</v>
      </c>
      <c r="AU329" s="351">
        <f t="shared" si="403"/>
        <v>78.916666666666671</v>
      </c>
      <c r="AX329" s="350">
        <v>77</v>
      </c>
      <c r="AY329" s="280">
        <v>65</v>
      </c>
      <c r="AZ329" s="280">
        <f>AZ335</f>
        <v>99</v>
      </c>
      <c r="BA329" s="280">
        <v>73</v>
      </c>
      <c r="BB329" s="280">
        <v>58</v>
      </c>
      <c r="BC329" s="280">
        <f>BC335</f>
        <v>115</v>
      </c>
      <c r="BD329" s="280">
        <v>108</v>
      </c>
      <c r="BE329" s="280">
        <v>98</v>
      </c>
      <c r="BF329" s="280">
        <v>76</v>
      </c>
      <c r="BG329" s="280">
        <v>90</v>
      </c>
      <c r="BH329" s="280">
        <v>91</v>
      </c>
      <c r="BI329" s="280">
        <v>65</v>
      </c>
      <c r="BJ329" s="280">
        <f t="shared" si="394"/>
        <v>1015</v>
      </c>
      <c r="BK329" s="351">
        <f t="shared" si="404"/>
        <v>84.583333333333329</v>
      </c>
      <c r="BN329" s="322">
        <f t="shared" si="409"/>
        <v>-15</v>
      </c>
      <c r="BO329" s="322">
        <f t="shared" si="395"/>
        <v>5.6666666666666572</v>
      </c>
      <c r="BP329" s="322">
        <f t="shared" si="396"/>
        <v>68</v>
      </c>
      <c r="BQ329" s="322">
        <f t="shared" si="405"/>
        <v>-26</v>
      </c>
      <c r="BR329" s="2265">
        <f t="shared" si="397"/>
        <v>91</v>
      </c>
      <c r="BS329" s="2265">
        <f t="shared" si="398"/>
        <v>65</v>
      </c>
    </row>
    <row r="330" spans="1:71" x14ac:dyDescent="0.55000000000000004">
      <c r="A330" s="7531"/>
      <c r="B330" s="250" t="s">
        <v>225</v>
      </c>
      <c r="C330" s="14"/>
      <c r="D330" s="350">
        <f>D336+D337</f>
        <v>71</v>
      </c>
      <c r="E330" s="280">
        <f t="shared" ref="E330:O330" si="437">E336+E337</f>
        <v>88</v>
      </c>
      <c r="F330" s="280">
        <f t="shared" si="437"/>
        <v>124</v>
      </c>
      <c r="G330" s="280">
        <f t="shared" si="437"/>
        <v>112</v>
      </c>
      <c r="H330" s="280">
        <f t="shared" si="437"/>
        <v>124</v>
      </c>
      <c r="I330" s="280">
        <f t="shared" si="437"/>
        <v>107</v>
      </c>
      <c r="J330" s="280">
        <f t="shared" si="437"/>
        <v>113</v>
      </c>
      <c r="K330" s="280">
        <f t="shared" si="437"/>
        <v>108</v>
      </c>
      <c r="L330" s="280">
        <f t="shared" si="437"/>
        <v>167</v>
      </c>
      <c r="M330" s="280">
        <f t="shared" si="437"/>
        <v>131</v>
      </c>
      <c r="N330" s="280">
        <f t="shared" si="437"/>
        <v>131</v>
      </c>
      <c r="O330" s="280">
        <f t="shared" si="437"/>
        <v>130</v>
      </c>
      <c r="P330" s="280">
        <f t="shared" si="399"/>
        <v>1406</v>
      </c>
      <c r="Q330" s="351">
        <f t="shared" si="400"/>
        <v>117.16666666666667</v>
      </c>
      <c r="R330" s="370"/>
      <c r="S330" s="350">
        <f>S336+S337</f>
        <v>82</v>
      </c>
      <c r="T330" s="280">
        <f t="shared" ref="T330:AD330" si="438">T336+T337</f>
        <v>115</v>
      </c>
      <c r="U330" s="280">
        <f t="shared" si="438"/>
        <v>131</v>
      </c>
      <c r="V330" s="280">
        <f t="shared" si="438"/>
        <v>145</v>
      </c>
      <c r="W330" s="280">
        <f t="shared" si="438"/>
        <v>102</v>
      </c>
      <c r="X330" s="280">
        <f t="shared" si="438"/>
        <v>140</v>
      </c>
      <c r="Y330" s="280">
        <f t="shared" si="438"/>
        <v>119</v>
      </c>
      <c r="Z330" s="280">
        <f t="shared" si="438"/>
        <v>98</v>
      </c>
      <c r="AA330" s="280">
        <f t="shared" si="438"/>
        <v>111</v>
      </c>
      <c r="AB330" s="280">
        <f t="shared" si="438"/>
        <v>116</v>
      </c>
      <c r="AC330" s="280">
        <f t="shared" si="438"/>
        <v>162</v>
      </c>
      <c r="AD330" s="280">
        <f t="shared" si="438"/>
        <v>118</v>
      </c>
      <c r="AE330" s="280">
        <f t="shared" si="401"/>
        <v>1439</v>
      </c>
      <c r="AF330" s="351">
        <f t="shared" si="402"/>
        <v>119.91666666666667</v>
      </c>
      <c r="AG330" s="370"/>
      <c r="AH330" s="350">
        <f t="shared" ref="AH330:AM330" si="439">AH336+AH337</f>
        <v>74</v>
      </c>
      <c r="AI330" s="280">
        <f t="shared" si="439"/>
        <v>125</v>
      </c>
      <c r="AJ330" s="280">
        <f t="shared" si="439"/>
        <v>111</v>
      </c>
      <c r="AK330" s="280">
        <f t="shared" si="439"/>
        <v>168</v>
      </c>
      <c r="AL330" s="280">
        <f t="shared" si="439"/>
        <v>139</v>
      </c>
      <c r="AM330" s="280">
        <f t="shared" si="439"/>
        <v>169</v>
      </c>
      <c r="AN330" s="280">
        <v>164</v>
      </c>
      <c r="AO330" s="280">
        <f>AO336+AO337</f>
        <v>148</v>
      </c>
      <c r="AP330" s="280">
        <f>AP336+AP337</f>
        <v>136</v>
      </c>
      <c r="AQ330" s="280">
        <f>AQ336+AQ337</f>
        <v>149</v>
      </c>
      <c r="AR330" s="280">
        <v>139</v>
      </c>
      <c r="AS330" s="280">
        <v>168</v>
      </c>
      <c r="AT330" s="280">
        <f t="shared" si="393"/>
        <v>1690</v>
      </c>
      <c r="AU330" s="351">
        <f t="shared" si="403"/>
        <v>140.83333333333334</v>
      </c>
      <c r="AX330" s="350">
        <v>153</v>
      </c>
      <c r="AY330" s="280">
        <v>161</v>
      </c>
      <c r="AZ330" s="280">
        <f>AZ336+AZ337</f>
        <v>186</v>
      </c>
      <c r="BA330" s="280">
        <v>172</v>
      </c>
      <c r="BB330" s="280">
        <v>97</v>
      </c>
      <c r="BC330" s="280">
        <f>BC336+BC337</f>
        <v>234</v>
      </c>
      <c r="BD330" s="280">
        <v>236</v>
      </c>
      <c r="BE330" s="280">
        <v>232</v>
      </c>
      <c r="BF330" s="280">
        <v>154</v>
      </c>
      <c r="BG330" s="280">
        <v>166</v>
      </c>
      <c r="BH330" s="280">
        <v>176</v>
      </c>
      <c r="BI330" s="280">
        <v>147</v>
      </c>
      <c r="BJ330" s="280">
        <f t="shared" si="394"/>
        <v>2114</v>
      </c>
      <c r="BK330" s="351">
        <f t="shared" si="404"/>
        <v>176.16666666666666</v>
      </c>
      <c r="BN330" s="322">
        <f t="shared" si="409"/>
        <v>-21</v>
      </c>
      <c r="BO330" s="322">
        <f t="shared" si="395"/>
        <v>35.333333333333314</v>
      </c>
      <c r="BP330" s="322">
        <f t="shared" si="396"/>
        <v>424</v>
      </c>
      <c r="BQ330" s="322">
        <f t="shared" si="405"/>
        <v>-29</v>
      </c>
      <c r="BR330" s="2265">
        <f t="shared" si="397"/>
        <v>176</v>
      </c>
      <c r="BS330" s="2265">
        <f t="shared" si="398"/>
        <v>147</v>
      </c>
    </row>
    <row r="331" spans="1:71" x14ac:dyDescent="0.55000000000000004">
      <c r="A331" s="7531"/>
      <c r="B331" s="251" t="s">
        <v>226</v>
      </c>
      <c r="C331" s="103"/>
      <c r="D331" s="352">
        <f>D338+D339</f>
        <v>103</v>
      </c>
      <c r="E331" s="353">
        <f t="shared" ref="E331:O331" si="440">E338+E339</f>
        <v>97</v>
      </c>
      <c r="F331" s="353">
        <f t="shared" si="440"/>
        <v>132</v>
      </c>
      <c r="G331" s="353">
        <f t="shared" si="440"/>
        <v>122</v>
      </c>
      <c r="H331" s="353">
        <f t="shared" si="440"/>
        <v>99</v>
      </c>
      <c r="I331" s="353">
        <f t="shared" si="440"/>
        <v>116</v>
      </c>
      <c r="J331" s="353">
        <f t="shared" si="440"/>
        <v>151</v>
      </c>
      <c r="K331" s="353">
        <f t="shared" si="440"/>
        <v>130</v>
      </c>
      <c r="L331" s="353">
        <f t="shared" si="440"/>
        <v>151</v>
      </c>
      <c r="M331" s="353">
        <f t="shared" si="440"/>
        <v>122</v>
      </c>
      <c r="N331" s="353">
        <f t="shared" si="440"/>
        <v>126</v>
      </c>
      <c r="O331" s="353">
        <f t="shared" si="440"/>
        <v>140</v>
      </c>
      <c r="P331" s="353">
        <f t="shared" si="399"/>
        <v>1489</v>
      </c>
      <c r="Q331" s="354">
        <f t="shared" si="400"/>
        <v>124.08333333333333</v>
      </c>
      <c r="R331" s="370"/>
      <c r="S331" s="352">
        <f>S338+S339</f>
        <v>121</v>
      </c>
      <c r="T331" s="353">
        <f t="shared" ref="T331:AD331" si="441">T338+T339</f>
        <v>127</v>
      </c>
      <c r="U331" s="353">
        <f t="shared" si="441"/>
        <v>140</v>
      </c>
      <c r="V331" s="353">
        <f t="shared" si="441"/>
        <v>152</v>
      </c>
      <c r="W331" s="353">
        <f t="shared" si="441"/>
        <v>131</v>
      </c>
      <c r="X331" s="353">
        <f t="shared" si="441"/>
        <v>145</v>
      </c>
      <c r="Y331" s="353">
        <f t="shared" si="441"/>
        <v>129</v>
      </c>
      <c r="Z331" s="353">
        <f t="shared" si="441"/>
        <v>106</v>
      </c>
      <c r="AA331" s="353">
        <f t="shared" si="441"/>
        <v>155</v>
      </c>
      <c r="AB331" s="353">
        <f t="shared" si="441"/>
        <v>102</v>
      </c>
      <c r="AC331" s="353">
        <f t="shared" si="441"/>
        <v>111</v>
      </c>
      <c r="AD331" s="353">
        <f t="shared" si="441"/>
        <v>126</v>
      </c>
      <c r="AE331" s="353">
        <f t="shared" si="401"/>
        <v>1545</v>
      </c>
      <c r="AF331" s="354">
        <f t="shared" si="402"/>
        <v>128.75</v>
      </c>
      <c r="AG331" s="370"/>
      <c r="AH331" s="352">
        <f t="shared" ref="AH331:AM331" si="442">AH338+AH339</f>
        <v>84</v>
      </c>
      <c r="AI331" s="353">
        <f t="shared" si="442"/>
        <v>179</v>
      </c>
      <c r="AJ331" s="353">
        <f t="shared" si="442"/>
        <v>131</v>
      </c>
      <c r="AK331" s="353">
        <f t="shared" si="442"/>
        <v>126</v>
      </c>
      <c r="AL331" s="353">
        <f t="shared" si="442"/>
        <v>143</v>
      </c>
      <c r="AM331" s="353">
        <f t="shared" si="442"/>
        <v>144</v>
      </c>
      <c r="AN331" s="353">
        <v>123</v>
      </c>
      <c r="AO331" s="353">
        <f>AO338+AO339</f>
        <v>174</v>
      </c>
      <c r="AP331" s="353">
        <f>AP338+AP339</f>
        <v>116</v>
      </c>
      <c r="AQ331" s="353">
        <f>AQ338+AQ339</f>
        <v>112</v>
      </c>
      <c r="AR331" s="353">
        <v>126</v>
      </c>
      <c r="AS331" s="353">
        <v>146</v>
      </c>
      <c r="AT331" s="353">
        <f t="shared" si="393"/>
        <v>1604</v>
      </c>
      <c r="AU331" s="354">
        <f t="shared" si="403"/>
        <v>133.66666666666666</v>
      </c>
      <c r="AX331" s="352">
        <v>142</v>
      </c>
      <c r="AY331" s="353">
        <v>106</v>
      </c>
      <c r="AZ331" s="353">
        <f>AZ338+AZ339</f>
        <v>153</v>
      </c>
      <c r="BA331" s="353">
        <v>121</v>
      </c>
      <c r="BB331" s="353">
        <v>111</v>
      </c>
      <c r="BC331" s="353">
        <f>BC338+BC339</f>
        <v>184</v>
      </c>
      <c r="BD331" s="353">
        <v>145</v>
      </c>
      <c r="BE331" s="353">
        <v>159</v>
      </c>
      <c r="BF331" s="353">
        <v>116</v>
      </c>
      <c r="BG331" s="353">
        <v>118</v>
      </c>
      <c r="BH331" s="353">
        <v>98</v>
      </c>
      <c r="BI331" s="353">
        <v>127</v>
      </c>
      <c r="BJ331" s="353">
        <f t="shared" si="394"/>
        <v>1580</v>
      </c>
      <c r="BK331" s="354">
        <f t="shared" si="404"/>
        <v>131.66666666666666</v>
      </c>
      <c r="BN331" s="322">
        <f t="shared" si="409"/>
        <v>-19</v>
      </c>
      <c r="BO331" s="322">
        <f t="shared" si="395"/>
        <v>-2</v>
      </c>
      <c r="BP331" s="322">
        <f t="shared" si="396"/>
        <v>-24</v>
      </c>
      <c r="BQ331" s="322">
        <f t="shared" si="405"/>
        <v>29</v>
      </c>
      <c r="BR331" s="2265">
        <f t="shared" si="397"/>
        <v>98</v>
      </c>
      <c r="BS331" s="2265">
        <f t="shared" si="398"/>
        <v>127</v>
      </c>
    </row>
    <row r="332" spans="1:71" s="172" customFormat="1" x14ac:dyDescent="0.55000000000000004">
      <c r="A332" s="7531"/>
      <c r="B332" s="252"/>
      <c r="C332" s="180" t="s">
        <v>242</v>
      </c>
      <c r="D332" s="355">
        <v>45</v>
      </c>
      <c r="E332" s="356">
        <v>59</v>
      </c>
      <c r="F332" s="356">
        <v>88</v>
      </c>
      <c r="G332" s="356">
        <v>60</v>
      </c>
      <c r="H332" s="356">
        <v>95</v>
      </c>
      <c r="I332" s="356">
        <v>109</v>
      </c>
      <c r="J332" s="356">
        <v>135</v>
      </c>
      <c r="K332" s="356">
        <v>97</v>
      </c>
      <c r="L332" s="356">
        <v>77</v>
      </c>
      <c r="M332" s="356">
        <v>83</v>
      </c>
      <c r="N332" s="356">
        <v>94</v>
      </c>
      <c r="O332" s="356">
        <v>67</v>
      </c>
      <c r="P332" s="356">
        <f t="shared" si="399"/>
        <v>1009</v>
      </c>
      <c r="Q332" s="357">
        <f t="shared" si="400"/>
        <v>84.083333333333329</v>
      </c>
      <c r="R332" s="372"/>
      <c r="S332" s="355">
        <v>85</v>
      </c>
      <c r="T332" s="356">
        <v>62</v>
      </c>
      <c r="U332" s="356">
        <v>94</v>
      </c>
      <c r="V332" s="356">
        <v>75</v>
      </c>
      <c r="W332" s="356">
        <v>52</v>
      </c>
      <c r="X332" s="356">
        <v>69</v>
      </c>
      <c r="Y332" s="356">
        <v>56</v>
      </c>
      <c r="Z332" s="356">
        <v>63</v>
      </c>
      <c r="AA332" s="356">
        <v>126</v>
      </c>
      <c r="AB332" s="356">
        <v>64</v>
      </c>
      <c r="AC332" s="356">
        <v>71</v>
      </c>
      <c r="AD332" s="356">
        <v>75</v>
      </c>
      <c r="AE332" s="356">
        <f t="shared" si="401"/>
        <v>892</v>
      </c>
      <c r="AF332" s="357">
        <f t="shared" si="402"/>
        <v>74.333333333333329</v>
      </c>
      <c r="AG332" s="372"/>
      <c r="AH332" s="355">
        <v>43</v>
      </c>
      <c r="AI332" s="356">
        <v>100</v>
      </c>
      <c r="AJ332" s="356">
        <v>57</v>
      </c>
      <c r="AK332" s="356">
        <v>77</v>
      </c>
      <c r="AL332" s="356">
        <v>67</v>
      </c>
      <c r="AM332" s="356">
        <v>68</v>
      </c>
      <c r="AN332" s="356">
        <v>74</v>
      </c>
      <c r="AO332" s="356">
        <v>83</v>
      </c>
      <c r="AP332" s="356">
        <v>81</v>
      </c>
      <c r="AQ332" s="356">
        <v>69</v>
      </c>
      <c r="AR332" s="356">
        <v>97</v>
      </c>
      <c r="AS332" s="356">
        <v>111</v>
      </c>
      <c r="AT332" s="356">
        <f t="shared" si="393"/>
        <v>927</v>
      </c>
      <c r="AU332" s="357">
        <f t="shared" si="403"/>
        <v>77.25</v>
      </c>
      <c r="AX332" s="355">
        <v>69</v>
      </c>
      <c r="AY332" s="356">
        <v>60</v>
      </c>
      <c r="AZ332" s="356">
        <v>91</v>
      </c>
      <c r="BA332" s="356">
        <v>68</v>
      </c>
      <c r="BB332" s="356">
        <v>50</v>
      </c>
      <c r="BC332" s="356">
        <v>105</v>
      </c>
      <c r="BD332" s="356">
        <v>136</v>
      </c>
      <c r="BE332" s="356">
        <v>128</v>
      </c>
      <c r="BF332" s="356">
        <v>95</v>
      </c>
      <c r="BG332" s="356">
        <v>132</v>
      </c>
      <c r="BH332" s="356">
        <v>91</v>
      </c>
      <c r="BI332" s="356">
        <v>111</v>
      </c>
      <c r="BJ332" s="356">
        <f t="shared" si="394"/>
        <v>1136</v>
      </c>
      <c r="BK332" s="357">
        <f t="shared" si="404"/>
        <v>94.666666666666671</v>
      </c>
      <c r="BN332" s="322">
        <f t="shared" si="409"/>
        <v>0</v>
      </c>
      <c r="BO332" s="322">
        <f t="shared" si="395"/>
        <v>17.416666666666671</v>
      </c>
      <c r="BP332" s="322">
        <f t="shared" si="396"/>
        <v>209</v>
      </c>
      <c r="BQ332" s="322">
        <f t="shared" si="405"/>
        <v>20</v>
      </c>
      <c r="BR332" s="2265">
        <f t="shared" si="397"/>
        <v>91</v>
      </c>
      <c r="BS332" s="2265">
        <f t="shared" si="398"/>
        <v>111</v>
      </c>
    </row>
    <row r="333" spans="1:71" s="172" customFormat="1" x14ac:dyDescent="0.55000000000000004">
      <c r="A333" s="7531"/>
      <c r="B333" s="253"/>
      <c r="C333" s="181" t="s">
        <v>243</v>
      </c>
      <c r="D333" s="358">
        <v>23</v>
      </c>
      <c r="E333" s="359">
        <v>29</v>
      </c>
      <c r="F333" s="359">
        <v>31</v>
      </c>
      <c r="G333" s="359">
        <v>28</v>
      </c>
      <c r="H333" s="359">
        <v>32</v>
      </c>
      <c r="I333" s="359">
        <v>34</v>
      </c>
      <c r="J333" s="359">
        <v>39</v>
      </c>
      <c r="K333" s="359">
        <v>15</v>
      </c>
      <c r="L333" s="359">
        <v>30</v>
      </c>
      <c r="M333" s="359">
        <v>24</v>
      </c>
      <c r="N333" s="359">
        <v>26</v>
      </c>
      <c r="O333" s="359">
        <v>24</v>
      </c>
      <c r="P333" s="359">
        <f t="shared" si="399"/>
        <v>335</v>
      </c>
      <c r="Q333" s="360">
        <f t="shared" si="400"/>
        <v>27.916666666666668</v>
      </c>
      <c r="R333" s="372"/>
      <c r="S333" s="358">
        <v>19</v>
      </c>
      <c r="T333" s="359">
        <v>15</v>
      </c>
      <c r="U333" s="359">
        <v>18</v>
      </c>
      <c r="V333" s="359">
        <v>24</v>
      </c>
      <c r="W333" s="359">
        <v>20</v>
      </c>
      <c r="X333" s="359">
        <v>25</v>
      </c>
      <c r="Y333" s="359">
        <v>23</v>
      </c>
      <c r="Z333" s="359">
        <v>20</v>
      </c>
      <c r="AA333" s="359">
        <v>27</v>
      </c>
      <c r="AB333" s="359">
        <v>19</v>
      </c>
      <c r="AC333" s="359">
        <v>23</v>
      </c>
      <c r="AD333" s="359">
        <v>18</v>
      </c>
      <c r="AE333" s="359">
        <f t="shared" si="401"/>
        <v>251</v>
      </c>
      <c r="AF333" s="360">
        <f t="shared" si="402"/>
        <v>20.916666666666668</v>
      </c>
      <c r="AG333" s="372"/>
      <c r="AH333" s="358">
        <v>20</v>
      </c>
      <c r="AI333" s="359">
        <v>27</v>
      </c>
      <c r="AJ333" s="359">
        <v>22</v>
      </c>
      <c r="AK333" s="359">
        <v>29</v>
      </c>
      <c r="AL333" s="359">
        <v>22</v>
      </c>
      <c r="AM333" s="359">
        <v>27</v>
      </c>
      <c r="AN333" s="359">
        <v>19</v>
      </c>
      <c r="AO333" s="359">
        <v>39</v>
      </c>
      <c r="AP333" s="359">
        <v>33</v>
      </c>
      <c r="AQ333" s="359">
        <v>28</v>
      </c>
      <c r="AR333" s="359">
        <v>32</v>
      </c>
      <c r="AS333" s="359">
        <v>34</v>
      </c>
      <c r="AT333" s="359">
        <f t="shared" si="393"/>
        <v>332</v>
      </c>
      <c r="AU333" s="360">
        <f t="shared" si="403"/>
        <v>27.666666666666668</v>
      </c>
      <c r="AX333" s="358">
        <v>22</v>
      </c>
      <c r="AY333" s="359">
        <v>30</v>
      </c>
      <c r="AZ333" s="359">
        <v>36</v>
      </c>
      <c r="BA333" s="359">
        <v>38</v>
      </c>
      <c r="BB333" s="359">
        <v>28</v>
      </c>
      <c r="BC333" s="359">
        <v>47</v>
      </c>
      <c r="BD333" s="2353">
        <v>0</v>
      </c>
      <c r="BE333" s="2353">
        <v>0</v>
      </c>
      <c r="BF333" s="2353">
        <v>0</v>
      </c>
      <c r="BG333" s="2353">
        <v>0</v>
      </c>
      <c r="BH333" s="2353">
        <v>0</v>
      </c>
      <c r="BI333" s="2353">
        <v>0</v>
      </c>
      <c r="BJ333" s="359">
        <f t="shared" si="394"/>
        <v>201</v>
      </c>
      <c r="BK333" s="360">
        <f t="shared" si="404"/>
        <v>16.75</v>
      </c>
      <c r="BN333" s="322">
        <f t="shared" si="409"/>
        <v>-34</v>
      </c>
      <c r="BO333" s="322">
        <f t="shared" si="395"/>
        <v>-10.916666666666668</v>
      </c>
      <c r="BP333" s="322">
        <f t="shared" si="396"/>
        <v>-131</v>
      </c>
      <c r="BQ333" s="322">
        <f t="shared" si="405"/>
        <v>0</v>
      </c>
      <c r="BR333" s="2265">
        <f t="shared" si="397"/>
        <v>0</v>
      </c>
      <c r="BS333" s="2265">
        <f t="shared" si="398"/>
        <v>0</v>
      </c>
    </row>
    <row r="334" spans="1:71" s="172" customFormat="1" x14ac:dyDescent="0.55000000000000004">
      <c r="A334" s="7531"/>
      <c r="B334" s="253"/>
      <c r="C334" s="173" t="s">
        <v>244</v>
      </c>
      <c r="D334" s="361">
        <v>84</v>
      </c>
      <c r="E334" s="362">
        <v>109</v>
      </c>
      <c r="F334" s="362">
        <v>95</v>
      </c>
      <c r="G334" s="362">
        <v>105</v>
      </c>
      <c r="H334" s="362">
        <v>104</v>
      </c>
      <c r="I334" s="362">
        <v>107</v>
      </c>
      <c r="J334" s="362">
        <v>97</v>
      </c>
      <c r="K334" s="362">
        <v>54</v>
      </c>
      <c r="L334" s="362">
        <v>85</v>
      </c>
      <c r="M334" s="362">
        <v>58</v>
      </c>
      <c r="N334" s="362">
        <v>86</v>
      </c>
      <c r="O334" s="362">
        <v>88</v>
      </c>
      <c r="P334" s="362">
        <f t="shared" si="399"/>
        <v>1072</v>
      </c>
      <c r="Q334" s="363">
        <f t="shared" si="400"/>
        <v>89.333333333333329</v>
      </c>
      <c r="R334" s="372"/>
      <c r="S334" s="361">
        <v>73</v>
      </c>
      <c r="T334" s="362">
        <v>48</v>
      </c>
      <c r="U334" s="362">
        <v>90</v>
      </c>
      <c r="V334" s="362">
        <v>77</v>
      </c>
      <c r="W334" s="362">
        <v>43</v>
      </c>
      <c r="X334" s="362">
        <v>60</v>
      </c>
      <c r="Y334" s="362">
        <v>44</v>
      </c>
      <c r="Z334" s="362">
        <v>54</v>
      </c>
      <c r="AA334" s="362">
        <v>56</v>
      </c>
      <c r="AB334" s="362">
        <v>75</v>
      </c>
      <c r="AC334" s="362">
        <v>59</v>
      </c>
      <c r="AD334" s="362">
        <v>69</v>
      </c>
      <c r="AE334" s="362">
        <f t="shared" si="401"/>
        <v>748</v>
      </c>
      <c r="AF334" s="363">
        <f t="shared" si="402"/>
        <v>62.333333333333336</v>
      </c>
      <c r="AG334" s="372"/>
      <c r="AH334" s="361">
        <v>47</v>
      </c>
      <c r="AI334" s="362">
        <v>82</v>
      </c>
      <c r="AJ334" s="362">
        <v>62</v>
      </c>
      <c r="AK334" s="362">
        <v>69</v>
      </c>
      <c r="AL334" s="362">
        <v>65</v>
      </c>
      <c r="AM334" s="362">
        <v>57</v>
      </c>
      <c r="AN334" s="362">
        <v>65</v>
      </c>
      <c r="AO334" s="362">
        <v>68</v>
      </c>
      <c r="AP334" s="362">
        <v>73</v>
      </c>
      <c r="AQ334" s="362">
        <v>82</v>
      </c>
      <c r="AR334" s="362">
        <v>57</v>
      </c>
      <c r="AS334" s="362">
        <v>78</v>
      </c>
      <c r="AT334" s="362">
        <f t="shared" si="393"/>
        <v>805</v>
      </c>
      <c r="AU334" s="363">
        <f t="shared" si="403"/>
        <v>67.083333333333329</v>
      </c>
      <c r="AX334" s="361">
        <v>69</v>
      </c>
      <c r="AY334" s="362">
        <v>55</v>
      </c>
      <c r="AZ334" s="362">
        <v>84</v>
      </c>
      <c r="BA334" s="362">
        <v>67</v>
      </c>
      <c r="BB334" s="362">
        <v>34</v>
      </c>
      <c r="BC334" s="362">
        <v>117</v>
      </c>
      <c r="BD334" s="362">
        <v>90</v>
      </c>
      <c r="BE334" s="362">
        <v>80</v>
      </c>
      <c r="BF334" s="362">
        <v>75</v>
      </c>
      <c r="BG334" s="362">
        <v>76</v>
      </c>
      <c r="BH334" s="362">
        <v>68</v>
      </c>
      <c r="BI334" s="362">
        <v>65</v>
      </c>
      <c r="BJ334" s="362">
        <f t="shared" si="394"/>
        <v>880</v>
      </c>
      <c r="BK334" s="363">
        <f t="shared" si="404"/>
        <v>73.333333333333329</v>
      </c>
      <c r="BN334" s="322">
        <f t="shared" si="409"/>
        <v>-13</v>
      </c>
      <c r="BO334" s="322">
        <f t="shared" si="395"/>
        <v>6.25</v>
      </c>
      <c r="BP334" s="322">
        <f t="shared" si="396"/>
        <v>75</v>
      </c>
      <c r="BQ334" s="322">
        <f t="shared" si="405"/>
        <v>-3</v>
      </c>
      <c r="BR334" s="2265">
        <f t="shared" si="397"/>
        <v>68</v>
      </c>
      <c r="BS334" s="2265">
        <f t="shared" si="398"/>
        <v>65</v>
      </c>
    </row>
    <row r="335" spans="1:71" s="172" customFormat="1" x14ac:dyDescent="0.55000000000000004">
      <c r="A335" s="7531"/>
      <c r="B335" s="253"/>
      <c r="C335" s="181" t="s">
        <v>245</v>
      </c>
      <c r="D335" s="358">
        <v>71</v>
      </c>
      <c r="E335" s="359">
        <v>85</v>
      </c>
      <c r="F335" s="359">
        <v>106</v>
      </c>
      <c r="G335" s="359">
        <v>58</v>
      </c>
      <c r="H335" s="359">
        <v>101</v>
      </c>
      <c r="I335" s="359">
        <v>105</v>
      </c>
      <c r="J335" s="359">
        <v>103</v>
      </c>
      <c r="K335" s="359">
        <v>82</v>
      </c>
      <c r="L335" s="359">
        <v>80</v>
      </c>
      <c r="M335" s="359">
        <v>45</v>
      </c>
      <c r="N335" s="359">
        <v>48</v>
      </c>
      <c r="O335" s="359">
        <v>39</v>
      </c>
      <c r="P335" s="359">
        <f t="shared" si="399"/>
        <v>923</v>
      </c>
      <c r="Q335" s="360">
        <f t="shared" si="400"/>
        <v>76.916666666666671</v>
      </c>
      <c r="R335" s="372"/>
      <c r="S335" s="358">
        <v>56</v>
      </c>
      <c r="T335" s="359">
        <v>41</v>
      </c>
      <c r="U335" s="359">
        <v>58</v>
      </c>
      <c r="V335" s="359">
        <v>65</v>
      </c>
      <c r="W335" s="359">
        <v>37</v>
      </c>
      <c r="X335" s="359">
        <v>48</v>
      </c>
      <c r="Y335" s="359">
        <v>47</v>
      </c>
      <c r="Z335" s="359">
        <v>70</v>
      </c>
      <c r="AA335" s="359">
        <v>77</v>
      </c>
      <c r="AB335" s="359">
        <v>61</v>
      </c>
      <c r="AC335" s="359">
        <v>60</v>
      </c>
      <c r="AD335" s="359">
        <v>87</v>
      </c>
      <c r="AE335" s="359">
        <f t="shared" si="401"/>
        <v>707</v>
      </c>
      <c r="AF335" s="360">
        <f t="shared" si="402"/>
        <v>58.916666666666664</v>
      </c>
      <c r="AG335" s="372"/>
      <c r="AH335" s="358">
        <v>54</v>
      </c>
      <c r="AI335" s="359">
        <v>67</v>
      </c>
      <c r="AJ335" s="359">
        <v>72</v>
      </c>
      <c r="AK335" s="359">
        <v>77</v>
      </c>
      <c r="AL335" s="359">
        <v>71</v>
      </c>
      <c r="AM335" s="359">
        <v>97</v>
      </c>
      <c r="AN335" s="359">
        <v>85</v>
      </c>
      <c r="AO335" s="359">
        <v>81</v>
      </c>
      <c r="AP335" s="359">
        <v>98</v>
      </c>
      <c r="AQ335" s="359">
        <v>74</v>
      </c>
      <c r="AR335" s="359">
        <v>91</v>
      </c>
      <c r="AS335" s="359">
        <v>80</v>
      </c>
      <c r="AT335" s="359">
        <f t="shared" si="393"/>
        <v>947</v>
      </c>
      <c r="AU335" s="360">
        <f t="shared" si="403"/>
        <v>78.916666666666671</v>
      </c>
      <c r="AX335" s="358">
        <v>77</v>
      </c>
      <c r="AY335" s="359">
        <v>65</v>
      </c>
      <c r="AZ335" s="359">
        <v>99</v>
      </c>
      <c r="BA335" s="359">
        <v>73</v>
      </c>
      <c r="BB335" s="359">
        <v>58</v>
      </c>
      <c r="BC335" s="359">
        <v>115</v>
      </c>
      <c r="BD335" s="359">
        <v>108</v>
      </c>
      <c r="BE335" s="359">
        <v>98</v>
      </c>
      <c r="BF335" s="359">
        <v>76</v>
      </c>
      <c r="BG335" s="359">
        <v>90</v>
      </c>
      <c r="BH335" s="359">
        <v>91</v>
      </c>
      <c r="BI335" s="359">
        <v>65</v>
      </c>
      <c r="BJ335" s="359">
        <f t="shared" si="394"/>
        <v>1015</v>
      </c>
      <c r="BK335" s="360">
        <f t="shared" si="404"/>
        <v>84.583333333333329</v>
      </c>
      <c r="BN335" s="322">
        <f t="shared" si="409"/>
        <v>-15</v>
      </c>
      <c r="BO335" s="322">
        <f t="shared" si="395"/>
        <v>5.6666666666666572</v>
      </c>
      <c r="BP335" s="322">
        <f t="shared" si="396"/>
        <v>68</v>
      </c>
      <c r="BQ335" s="322">
        <f t="shared" si="405"/>
        <v>-26</v>
      </c>
      <c r="BR335" s="2265">
        <f t="shared" si="397"/>
        <v>91</v>
      </c>
      <c r="BS335" s="2265">
        <f t="shared" si="398"/>
        <v>65</v>
      </c>
    </row>
    <row r="336" spans="1:71" s="172" customFormat="1" x14ac:dyDescent="0.55000000000000004">
      <c r="A336" s="7531"/>
      <c r="B336" s="253"/>
      <c r="C336" s="173" t="s">
        <v>246</v>
      </c>
      <c r="D336" s="361">
        <v>28</v>
      </c>
      <c r="E336" s="362">
        <v>48</v>
      </c>
      <c r="F336" s="362">
        <v>71</v>
      </c>
      <c r="G336" s="362">
        <v>66</v>
      </c>
      <c r="H336" s="362">
        <v>54</v>
      </c>
      <c r="I336" s="362">
        <v>44</v>
      </c>
      <c r="J336" s="362">
        <v>66</v>
      </c>
      <c r="K336" s="362">
        <v>69</v>
      </c>
      <c r="L336" s="362">
        <v>97</v>
      </c>
      <c r="M336" s="362">
        <v>83</v>
      </c>
      <c r="N336" s="362">
        <v>83</v>
      </c>
      <c r="O336" s="362">
        <v>75</v>
      </c>
      <c r="P336" s="362">
        <f t="shared" si="399"/>
        <v>784</v>
      </c>
      <c r="Q336" s="363">
        <f t="shared" si="400"/>
        <v>65.333333333333329</v>
      </c>
      <c r="R336" s="372"/>
      <c r="S336" s="361">
        <v>57</v>
      </c>
      <c r="T336" s="362">
        <v>61</v>
      </c>
      <c r="U336" s="362">
        <v>82</v>
      </c>
      <c r="V336" s="362">
        <v>91</v>
      </c>
      <c r="W336" s="362">
        <v>53</v>
      </c>
      <c r="X336" s="362">
        <v>80</v>
      </c>
      <c r="Y336" s="362">
        <v>61</v>
      </c>
      <c r="Z336" s="362">
        <v>52</v>
      </c>
      <c r="AA336" s="362">
        <v>67</v>
      </c>
      <c r="AB336" s="362">
        <v>79</v>
      </c>
      <c r="AC336" s="362">
        <v>69</v>
      </c>
      <c r="AD336" s="362">
        <v>68</v>
      </c>
      <c r="AE336" s="362">
        <f t="shared" si="401"/>
        <v>820</v>
      </c>
      <c r="AF336" s="363">
        <f t="shared" si="402"/>
        <v>68.333333333333329</v>
      </c>
      <c r="AG336" s="372"/>
      <c r="AH336" s="361">
        <v>37</v>
      </c>
      <c r="AI336" s="362">
        <v>69</v>
      </c>
      <c r="AJ336" s="362">
        <v>59</v>
      </c>
      <c r="AK336" s="362">
        <v>100</v>
      </c>
      <c r="AL336" s="362">
        <v>90</v>
      </c>
      <c r="AM336" s="362">
        <v>112</v>
      </c>
      <c r="AN336" s="362">
        <v>105</v>
      </c>
      <c r="AO336" s="362">
        <v>98</v>
      </c>
      <c r="AP336" s="362">
        <v>72</v>
      </c>
      <c r="AQ336" s="362">
        <v>96</v>
      </c>
      <c r="AR336" s="362">
        <v>93</v>
      </c>
      <c r="AS336" s="362">
        <v>105</v>
      </c>
      <c r="AT336" s="362">
        <f t="shared" si="393"/>
        <v>1036</v>
      </c>
      <c r="AU336" s="363">
        <f t="shared" si="403"/>
        <v>86.333333333333329</v>
      </c>
      <c r="AX336" s="361">
        <v>111</v>
      </c>
      <c r="AY336" s="362">
        <v>102</v>
      </c>
      <c r="AZ336" s="362">
        <v>123</v>
      </c>
      <c r="BA336" s="362">
        <v>99</v>
      </c>
      <c r="BB336" s="362">
        <v>61</v>
      </c>
      <c r="BC336" s="362">
        <v>148</v>
      </c>
      <c r="BD336" s="362">
        <v>160</v>
      </c>
      <c r="BE336" s="362">
        <v>142</v>
      </c>
      <c r="BF336" s="362">
        <v>103</v>
      </c>
      <c r="BG336" s="362">
        <v>99</v>
      </c>
      <c r="BH336" s="362">
        <v>106</v>
      </c>
      <c r="BI336" s="362">
        <v>87</v>
      </c>
      <c r="BJ336" s="362">
        <f t="shared" si="394"/>
        <v>1341</v>
      </c>
      <c r="BK336" s="363">
        <f t="shared" si="404"/>
        <v>111.75</v>
      </c>
      <c r="BN336" s="322">
        <f t="shared" si="409"/>
        <v>-18</v>
      </c>
      <c r="BO336" s="322">
        <f t="shared" si="395"/>
        <v>25.416666666666671</v>
      </c>
      <c r="BP336" s="322">
        <f t="shared" si="396"/>
        <v>305</v>
      </c>
      <c r="BQ336" s="322">
        <f t="shared" si="405"/>
        <v>-19</v>
      </c>
      <c r="BR336" s="2265">
        <f t="shared" si="397"/>
        <v>106</v>
      </c>
      <c r="BS336" s="2265">
        <f t="shared" si="398"/>
        <v>87</v>
      </c>
    </row>
    <row r="337" spans="1:71" s="172" customFormat="1" x14ac:dyDescent="0.55000000000000004">
      <c r="A337" s="7531"/>
      <c r="B337" s="253"/>
      <c r="C337" s="173" t="s">
        <v>247</v>
      </c>
      <c r="D337" s="361">
        <v>43</v>
      </c>
      <c r="E337" s="362">
        <v>40</v>
      </c>
      <c r="F337" s="362">
        <v>53</v>
      </c>
      <c r="G337" s="362">
        <v>46</v>
      </c>
      <c r="H337" s="362">
        <v>70</v>
      </c>
      <c r="I337" s="362">
        <v>63</v>
      </c>
      <c r="J337" s="362">
        <v>47</v>
      </c>
      <c r="K337" s="362">
        <v>39</v>
      </c>
      <c r="L337" s="362">
        <v>70</v>
      </c>
      <c r="M337" s="362">
        <v>48</v>
      </c>
      <c r="N337" s="362">
        <v>48</v>
      </c>
      <c r="O337" s="362">
        <v>55</v>
      </c>
      <c r="P337" s="362">
        <f t="shared" si="399"/>
        <v>622</v>
      </c>
      <c r="Q337" s="363">
        <f t="shared" si="400"/>
        <v>51.833333333333336</v>
      </c>
      <c r="R337" s="372"/>
      <c r="S337" s="361">
        <v>25</v>
      </c>
      <c r="T337" s="362">
        <v>54</v>
      </c>
      <c r="U337" s="362">
        <v>49</v>
      </c>
      <c r="V337" s="362">
        <v>54</v>
      </c>
      <c r="W337" s="362">
        <v>49</v>
      </c>
      <c r="X337" s="362">
        <v>60</v>
      </c>
      <c r="Y337" s="362">
        <v>58</v>
      </c>
      <c r="Z337" s="362">
        <v>46</v>
      </c>
      <c r="AA337" s="362">
        <v>44</v>
      </c>
      <c r="AB337" s="362">
        <v>37</v>
      </c>
      <c r="AC337" s="362">
        <v>93</v>
      </c>
      <c r="AD337" s="362">
        <v>50</v>
      </c>
      <c r="AE337" s="362">
        <f t="shared" si="401"/>
        <v>619</v>
      </c>
      <c r="AF337" s="363">
        <f t="shared" si="402"/>
        <v>51.583333333333336</v>
      </c>
      <c r="AG337" s="372"/>
      <c r="AH337" s="361">
        <v>37</v>
      </c>
      <c r="AI337" s="362">
        <v>56</v>
      </c>
      <c r="AJ337" s="362">
        <v>52</v>
      </c>
      <c r="AK337" s="362">
        <v>68</v>
      </c>
      <c r="AL337" s="362">
        <v>49</v>
      </c>
      <c r="AM337" s="362">
        <v>57</v>
      </c>
      <c r="AN337" s="362">
        <v>59</v>
      </c>
      <c r="AO337" s="362">
        <v>50</v>
      </c>
      <c r="AP337" s="362">
        <v>64</v>
      </c>
      <c r="AQ337" s="362">
        <v>53</v>
      </c>
      <c r="AR337" s="362">
        <v>46</v>
      </c>
      <c r="AS337" s="362">
        <v>63</v>
      </c>
      <c r="AT337" s="362">
        <f t="shared" si="393"/>
        <v>654</v>
      </c>
      <c r="AU337" s="363">
        <f t="shared" si="403"/>
        <v>54.5</v>
      </c>
      <c r="AX337" s="361">
        <v>42</v>
      </c>
      <c r="AY337" s="362">
        <v>59</v>
      </c>
      <c r="AZ337" s="362">
        <v>63</v>
      </c>
      <c r="BA337" s="362">
        <v>73</v>
      </c>
      <c r="BB337" s="362">
        <v>36</v>
      </c>
      <c r="BC337" s="362">
        <v>86</v>
      </c>
      <c r="BD337" s="362">
        <v>76</v>
      </c>
      <c r="BE337" s="362">
        <v>90</v>
      </c>
      <c r="BF337" s="362">
        <v>51</v>
      </c>
      <c r="BG337" s="362">
        <v>67</v>
      </c>
      <c r="BH337" s="362">
        <v>70</v>
      </c>
      <c r="BI337" s="362">
        <v>60</v>
      </c>
      <c r="BJ337" s="362">
        <f t="shared" si="394"/>
        <v>773</v>
      </c>
      <c r="BK337" s="363">
        <f t="shared" si="404"/>
        <v>64.416666666666671</v>
      </c>
      <c r="BN337" s="322">
        <f t="shared" si="409"/>
        <v>-3</v>
      </c>
      <c r="BO337" s="322">
        <f t="shared" si="395"/>
        <v>9.9166666666666714</v>
      </c>
      <c r="BP337" s="322">
        <f t="shared" si="396"/>
        <v>119</v>
      </c>
      <c r="BQ337" s="322">
        <f t="shared" si="405"/>
        <v>-10</v>
      </c>
      <c r="BR337" s="2265">
        <f t="shared" si="397"/>
        <v>70</v>
      </c>
      <c r="BS337" s="2265">
        <f t="shared" si="398"/>
        <v>60</v>
      </c>
    </row>
    <row r="338" spans="1:71" s="172" customFormat="1" x14ac:dyDescent="0.55000000000000004">
      <c r="A338" s="7531"/>
      <c r="B338" s="253"/>
      <c r="C338" s="181" t="s">
        <v>248</v>
      </c>
      <c r="D338" s="358">
        <v>46</v>
      </c>
      <c r="E338" s="359">
        <v>45</v>
      </c>
      <c r="F338" s="359">
        <v>67</v>
      </c>
      <c r="G338" s="359">
        <v>49</v>
      </c>
      <c r="H338" s="359">
        <v>47</v>
      </c>
      <c r="I338" s="359">
        <v>56</v>
      </c>
      <c r="J338" s="359">
        <v>71</v>
      </c>
      <c r="K338" s="359">
        <v>64</v>
      </c>
      <c r="L338" s="359">
        <v>92</v>
      </c>
      <c r="M338" s="359">
        <v>63</v>
      </c>
      <c r="N338" s="359">
        <v>62</v>
      </c>
      <c r="O338" s="359">
        <v>78</v>
      </c>
      <c r="P338" s="359">
        <f t="shared" si="399"/>
        <v>740</v>
      </c>
      <c r="Q338" s="360">
        <f t="shared" si="400"/>
        <v>61.666666666666664</v>
      </c>
      <c r="R338" s="372"/>
      <c r="S338" s="358">
        <v>82</v>
      </c>
      <c r="T338" s="359">
        <v>68</v>
      </c>
      <c r="U338" s="359">
        <v>87</v>
      </c>
      <c r="V338" s="359">
        <v>83</v>
      </c>
      <c r="W338" s="359">
        <v>78</v>
      </c>
      <c r="X338" s="359">
        <v>83</v>
      </c>
      <c r="Y338" s="359">
        <v>88</v>
      </c>
      <c r="Z338" s="359">
        <v>60</v>
      </c>
      <c r="AA338" s="359">
        <v>86</v>
      </c>
      <c r="AB338" s="359">
        <v>73</v>
      </c>
      <c r="AC338" s="359">
        <v>68</v>
      </c>
      <c r="AD338" s="359">
        <v>87</v>
      </c>
      <c r="AE338" s="359">
        <f t="shared" si="401"/>
        <v>943</v>
      </c>
      <c r="AF338" s="360">
        <f t="shared" si="402"/>
        <v>78.583333333333329</v>
      </c>
      <c r="AG338" s="372"/>
      <c r="AH338" s="358">
        <v>55</v>
      </c>
      <c r="AI338" s="359">
        <v>82</v>
      </c>
      <c r="AJ338" s="359">
        <v>72</v>
      </c>
      <c r="AK338" s="359">
        <v>65</v>
      </c>
      <c r="AL338" s="359">
        <v>71</v>
      </c>
      <c r="AM338" s="359">
        <v>88</v>
      </c>
      <c r="AN338" s="359">
        <v>71</v>
      </c>
      <c r="AO338" s="359">
        <v>101</v>
      </c>
      <c r="AP338" s="359">
        <v>62</v>
      </c>
      <c r="AQ338" s="359">
        <v>64</v>
      </c>
      <c r="AR338" s="359">
        <v>72</v>
      </c>
      <c r="AS338" s="359">
        <v>77</v>
      </c>
      <c r="AT338" s="359">
        <f t="shared" si="393"/>
        <v>880</v>
      </c>
      <c r="AU338" s="360">
        <f t="shared" si="403"/>
        <v>73.333333333333329</v>
      </c>
      <c r="AX338" s="358">
        <v>72</v>
      </c>
      <c r="AY338" s="359">
        <v>62</v>
      </c>
      <c r="AZ338" s="359">
        <v>79</v>
      </c>
      <c r="BA338" s="359">
        <v>78</v>
      </c>
      <c r="BB338" s="359">
        <v>53</v>
      </c>
      <c r="BC338" s="359">
        <v>106</v>
      </c>
      <c r="BD338" s="359">
        <v>81</v>
      </c>
      <c r="BE338" s="359">
        <v>103</v>
      </c>
      <c r="BF338" s="359">
        <v>64</v>
      </c>
      <c r="BG338" s="359">
        <v>79</v>
      </c>
      <c r="BH338" s="359">
        <v>66</v>
      </c>
      <c r="BI338" s="359">
        <v>74</v>
      </c>
      <c r="BJ338" s="359">
        <f t="shared" si="394"/>
        <v>917</v>
      </c>
      <c r="BK338" s="360">
        <f t="shared" si="404"/>
        <v>76.416666666666671</v>
      </c>
      <c r="BN338" s="322">
        <f t="shared" si="409"/>
        <v>-3</v>
      </c>
      <c r="BO338" s="322">
        <f t="shared" si="395"/>
        <v>3.0833333333333428</v>
      </c>
      <c r="BP338" s="322">
        <f t="shared" si="396"/>
        <v>37</v>
      </c>
      <c r="BQ338" s="322">
        <f t="shared" si="405"/>
        <v>8</v>
      </c>
      <c r="BR338" s="2265">
        <f t="shared" si="397"/>
        <v>66</v>
      </c>
      <c r="BS338" s="2265">
        <f t="shared" si="398"/>
        <v>74</v>
      </c>
    </row>
    <row r="339" spans="1:71" s="172" customFormat="1" ht="18" thickBot="1" x14ac:dyDescent="0.6">
      <c r="A339" s="7532"/>
      <c r="B339" s="255"/>
      <c r="C339" s="183" t="s">
        <v>249</v>
      </c>
      <c r="D339" s="367">
        <v>57</v>
      </c>
      <c r="E339" s="368">
        <v>52</v>
      </c>
      <c r="F339" s="368">
        <v>65</v>
      </c>
      <c r="G339" s="368">
        <v>73</v>
      </c>
      <c r="H339" s="368">
        <v>52</v>
      </c>
      <c r="I339" s="368">
        <v>60</v>
      </c>
      <c r="J339" s="368">
        <v>80</v>
      </c>
      <c r="K339" s="368">
        <v>66</v>
      </c>
      <c r="L339" s="368">
        <v>59</v>
      </c>
      <c r="M339" s="368">
        <v>59</v>
      </c>
      <c r="N339" s="368">
        <v>64</v>
      </c>
      <c r="O339" s="368">
        <v>62</v>
      </c>
      <c r="P339" s="368">
        <f t="shared" si="399"/>
        <v>749</v>
      </c>
      <c r="Q339" s="369">
        <f t="shared" si="400"/>
        <v>62.416666666666664</v>
      </c>
      <c r="R339" s="372"/>
      <c r="S339" s="367">
        <v>39</v>
      </c>
      <c r="T339" s="368">
        <v>59</v>
      </c>
      <c r="U339" s="368">
        <v>53</v>
      </c>
      <c r="V339" s="368">
        <v>69</v>
      </c>
      <c r="W339" s="368">
        <v>53</v>
      </c>
      <c r="X339" s="368">
        <v>62</v>
      </c>
      <c r="Y339" s="368">
        <v>41</v>
      </c>
      <c r="Z339" s="368">
        <v>46</v>
      </c>
      <c r="AA339" s="368">
        <v>69</v>
      </c>
      <c r="AB339" s="368">
        <v>29</v>
      </c>
      <c r="AC339" s="368">
        <v>43</v>
      </c>
      <c r="AD339" s="368">
        <v>39</v>
      </c>
      <c r="AE339" s="368">
        <f t="shared" si="401"/>
        <v>602</v>
      </c>
      <c r="AF339" s="369">
        <f t="shared" si="402"/>
        <v>50.166666666666664</v>
      </c>
      <c r="AG339" s="372"/>
      <c r="AH339" s="367">
        <v>29</v>
      </c>
      <c r="AI339" s="368">
        <v>97</v>
      </c>
      <c r="AJ339" s="368">
        <v>59</v>
      </c>
      <c r="AK339" s="368">
        <v>61</v>
      </c>
      <c r="AL339" s="368">
        <v>72</v>
      </c>
      <c r="AM339" s="368">
        <v>56</v>
      </c>
      <c r="AN339" s="368">
        <v>52</v>
      </c>
      <c r="AO339" s="368">
        <v>73</v>
      </c>
      <c r="AP339" s="368">
        <v>54</v>
      </c>
      <c r="AQ339" s="368">
        <v>48</v>
      </c>
      <c r="AR339" s="368">
        <v>54</v>
      </c>
      <c r="AS339" s="368">
        <v>69</v>
      </c>
      <c r="AT339" s="368">
        <f t="shared" si="393"/>
        <v>724</v>
      </c>
      <c r="AU339" s="369">
        <f t="shared" si="403"/>
        <v>60.333333333333336</v>
      </c>
      <c r="AX339" s="367">
        <v>70</v>
      </c>
      <c r="AY339" s="368">
        <v>44</v>
      </c>
      <c r="AZ339" s="368">
        <v>74</v>
      </c>
      <c r="BA339" s="368">
        <v>43</v>
      </c>
      <c r="BB339" s="368">
        <v>58</v>
      </c>
      <c r="BC339" s="368">
        <v>78</v>
      </c>
      <c r="BD339" s="368">
        <v>64</v>
      </c>
      <c r="BE339" s="368">
        <v>56</v>
      </c>
      <c r="BF339" s="368">
        <v>52</v>
      </c>
      <c r="BG339" s="368">
        <v>39</v>
      </c>
      <c r="BH339" s="368">
        <v>32</v>
      </c>
      <c r="BI339" s="368">
        <v>53</v>
      </c>
      <c r="BJ339" s="368">
        <f t="shared" si="394"/>
        <v>663</v>
      </c>
      <c r="BK339" s="369">
        <f t="shared" si="404"/>
        <v>55.25</v>
      </c>
      <c r="BN339" s="322">
        <f t="shared" si="409"/>
        <v>-16</v>
      </c>
      <c r="BO339" s="322">
        <f t="shared" si="395"/>
        <v>-5.0833333333333357</v>
      </c>
      <c r="BP339" s="322">
        <f t="shared" si="396"/>
        <v>-61</v>
      </c>
      <c r="BQ339" s="322">
        <f t="shared" si="405"/>
        <v>21</v>
      </c>
      <c r="BR339" s="2265">
        <f t="shared" si="397"/>
        <v>32</v>
      </c>
      <c r="BS339" s="2265">
        <f t="shared" si="398"/>
        <v>53</v>
      </c>
    </row>
    <row r="340" spans="1:71" x14ac:dyDescent="0.55000000000000004">
      <c r="A340" s="7530" t="s">
        <v>51</v>
      </c>
      <c r="B340" s="74" t="s">
        <v>266</v>
      </c>
      <c r="C340" s="27"/>
      <c r="D340" s="597">
        <f>D272-D306</f>
        <v>-107</v>
      </c>
      <c r="E340" s="598">
        <f t="shared" ref="E340:Q340" si="443">E272-E306</f>
        <v>190</v>
      </c>
      <c r="F340" s="598">
        <f t="shared" si="443"/>
        <v>124</v>
      </c>
      <c r="G340" s="598">
        <f t="shared" si="443"/>
        <v>104</v>
      </c>
      <c r="H340" s="598">
        <f t="shared" si="443"/>
        <v>137</v>
      </c>
      <c r="I340" s="598">
        <f t="shared" si="443"/>
        <v>-62</v>
      </c>
      <c r="J340" s="598">
        <f t="shared" si="443"/>
        <v>-91</v>
      </c>
      <c r="K340" s="598">
        <f t="shared" si="443"/>
        <v>-37</v>
      </c>
      <c r="L340" s="598">
        <f t="shared" si="443"/>
        <v>-315</v>
      </c>
      <c r="M340" s="598">
        <f t="shared" si="443"/>
        <v>279</v>
      </c>
      <c r="N340" s="598">
        <f t="shared" si="443"/>
        <v>-207</v>
      </c>
      <c r="O340" s="598">
        <f t="shared" si="443"/>
        <v>-392</v>
      </c>
      <c r="P340" s="598">
        <f t="shared" si="399"/>
        <v>-377</v>
      </c>
      <c r="Q340" s="599">
        <f t="shared" si="443"/>
        <v>-31.416666666666629</v>
      </c>
      <c r="R340" s="370"/>
      <c r="S340" s="597">
        <f>S272-S306</f>
        <v>249</v>
      </c>
      <c r="T340" s="598">
        <f t="shared" ref="T340:AD340" si="444">T272-T306</f>
        <v>196</v>
      </c>
      <c r="U340" s="598">
        <f t="shared" si="444"/>
        <v>-51</v>
      </c>
      <c r="V340" s="598">
        <f t="shared" si="444"/>
        <v>-259</v>
      </c>
      <c r="W340" s="598">
        <f t="shared" si="444"/>
        <v>-112</v>
      </c>
      <c r="X340" s="598">
        <f t="shared" si="444"/>
        <v>-179</v>
      </c>
      <c r="Y340" s="598">
        <f t="shared" si="444"/>
        <v>-80</v>
      </c>
      <c r="Z340" s="598">
        <f t="shared" si="444"/>
        <v>390</v>
      </c>
      <c r="AA340" s="598">
        <f t="shared" si="444"/>
        <v>-353</v>
      </c>
      <c r="AB340" s="598">
        <f t="shared" si="444"/>
        <v>234</v>
      </c>
      <c r="AC340" s="598">
        <f t="shared" si="444"/>
        <v>-206</v>
      </c>
      <c r="AD340" s="598">
        <f t="shared" si="444"/>
        <v>-320</v>
      </c>
      <c r="AE340" s="598">
        <f t="shared" si="401"/>
        <v>-491</v>
      </c>
      <c r="AF340" s="599">
        <f>AF272-AF306</f>
        <v>-40.916666666666629</v>
      </c>
      <c r="AG340" s="654"/>
      <c r="AH340" s="597">
        <f t="shared" ref="AH340:AM349" si="445">AH272-AH306</f>
        <v>495</v>
      </c>
      <c r="AI340" s="598">
        <f t="shared" si="445"/>
        <v>-337</v>
      </c>
      <c r="AJ340" s="598">
        <f t="shared" si="445"/>
        <v>178</v>
      </c>
      <c r="AK340" s="598">
        <f t="shared" si="445"/>
        <v>67</v>
      </c>
      <c r="AL340" s="598">
        <f t="shared" si="445"/>
        <v>70</v>
      </c>
      <c r="AM340" s="598">
        <f t="shared" si="445"/>
        <v>-7</v>
      </c>
      <c r="AN340" s="598">
        <v>-33</v>
      </c>
      <c r="AO340" s="598">
        <f t="shared" ref="AO340:AQ373" si="446">AO272-AO306</f>
        <v>-216</v>
      </c>
      <c r="AP340" s="598">
        <f t="shared" si="446"/>
        <v>382</v>
      </c>
      <c r="AQ340" s="598">
        <f t="shared" si="446"/>
        <v>58</v>
      </c>
      <c r="AR340" s="598">
        <v>-32</v>
      </c>
      <c r="AS340" s="598">
        <v>-264</v>
      </c>
      <c r="AT340" s="598">
        <f t="shared" si="393"/>
        <v>361</v>
      </c>
      <c r="AU340" s="599">
        <f t="shared" si="403"/>
        <v>30.083333333333332</v>
      </c>
      <c r="AX340" s="342">
        <v>-186</v>
      </c>
      <c r="AY340" s="598">
        <v>721</v>
      </c>
      <c r="AZ340" s="598">
        <f>AZ272-AZ306</f>
        <v>-252</v>
      </c>
      <c r="BA340" s="598">
        <v>42</v>
      </c>
      <c r="BB340" s="598">
        <v>375</v>
      </c>
      <c r="BC340" s="598">
        <f t="shared" ref="BC340:BC373" si="447">BC272-BC306</f>
        <v>-50</v>
      </c>
      <c r="BD340" s="2348">
        <v>37</v>
      </c>
      <c r="BE340" s="2348">
        <v>72</v>
      </c>
      <c r="BF340" s="598">
        <v>128</v>
      </c>
      <c r="BG340" s="598">
        <v>-4</v>
      </c>
      <c r="BH340" s="2348">
        <v>-3</v>
      </c>
      <c r="BI340" s="598">
        <v>124</v>
      </c>
      <c r="BJ340" s="598">
        <f t="shared" si="394"/>
        <v>1004</v>
      </c>
      <c r="BK340" s="599">
        <f t="shared" si="404"/>
        <v>83.666666666666671</v>
      </c>
      <c r="BN340" s="322">
        <f t="shared" si="409"/>
        <v>388</v>
      </c>
      <c r="BO340" s="322">
        <f t="shared" si="395"/>
        <v>53.583333333333343</v>
      </c>
      <c r="BP340" s="322">
        <f t="shared" si="396"/>
        <v>643</v>
      </c>
      <c r="BQ340" s="322">
        <f t="shared" si="405"/>
        <v>127</v>
      </c>
      <c r="BR340" s="2265">
        <f t="shared" si="397"/>
        <v>-3</v>
      </c>
      <c r="BS340" s="2265">
        <f t="shared" si="398"/>
        <v>124</v>
      </c>
    </row>
    <row r="341" spans="1:71" hidden="1" x14ac:dyDescent="0.55000000000000004">
      <c r="A341" s="7531"/>
      <c r="B341" s="248"/>
      <c r="C341" s="12" t="s">
        <v>278</v>
      </c>
      <c r="D341" s="600">
        <f t="shared" ref="D341:Q373" si="448">D273-D307</f>
        <v>62</v>
      </c>
      <c r="E341" s="601">
        <f t="shared" si="448"/>
        <v>94</v>
      </c>
      <c r="F341" s="601">
        <f t="shared" si="448"/>
        <v>51</v>
      </c>
      <c r="G341" s="601">
        <f t="shared" si="448"/>
        <v>62</v>
      </c>
      <c r="H341" s="601">
        <f t="shared" si="448"/>
        <v>49</v>
      </c>
      <c r="I341" s="601">
        <f t="shared" si="448"/>
        <v>44</v>
      </c>
      <c r="J341" s="601">
        <f t="shared" si="448"/>
        <v>30</v>
      </c>
      <c r="K341" s="601">
        <f t="shared" si="448"/>
        <v>68</v>
      </c>
      <c r="L341" s="601">
        <f t="shared" si="448"/>
        <v>16</v>
      </c>
      <c r="M341" s="601">
        <f t="shared" si="448"/>
        <v>58</v>
      </c>
      <c r="N341" s="601">
        <f t="shared" si="448"/>
        <v>30</v>
      </c>
      <c r="O341" s="601">
        <f t="shared" si="448"/>
        <v>14</v>
      </c>
      <c r="P341" s="601">
        <f t="shared" si="399"/>
        <v>578</v>
      </c>
      <c r="Q341" s="602">
        <f t="shared" si="448"/>
        <v>48.166666666666664</v>
      </c>
      <c r="R341" s="370"/>
      <c r="S341" s="600">
        <f t="shared" ref="S341:AF356" si="449">S273-S307</f>
        <v>34</v>
      </c>
      <c r="T341" s="601">
        <f t="shared" si="449"/>
        <v>51</v>
      </c>
      <c r="U341" s="601">
        <f t="shared" si="449"/>
        <v>17</v>
      </c>
      <c r="V341" s="601">
        <f t="shared" si="449"/>
        <v>27</v>
      </c>
      <c r="W341" s="601">
        <f t="shared" si="449"/>
        <v>13</v>
      </c>
      <c r="X341" s="601">
        <f t="shared" si="449"/>
        <v>18</v>
      </c>
      <c r="Y341" s="601">
        <f t="shared" si="449"/>
        <v>33</v>
      </c>
      <c r="Z341" s="601">
        <f t="shared" si="449"/>
        <v>145</v>
      </c>
      <c r="AA341" s="601">
        <f t="shared" si="449"/>
        <v>19</v>
      </c>
      <c r="AB341" s="601">
        <f t="shared" si="449"/>
        <v>47</v>
      </c>
      <c r="AC341" s="601">
        <f t="shared" si="449"/>
        <v>24</v>
      </c>
      <c r="AD341" s="601">
        <f t="shared" si="449"/>
        <v>18</v>
      </c>
      <c r="AE341" s="601">
        <f t="shared" si="401"/>
        <v>446</v>
      </c>
      <c r="AF341" s="602">
        <f t="shared" si="449"/>
        <v>37.166666666666664</v>
      </c>
      <c r="AG341" s="654"/>
      <c r="AH341" s="600">
        <f t="shared" si="445"/>
        <v>88</v>
      </c>
      <c r="AI341" s="601">
        <f t="shared" si="445"/>
        <v>22</v>
      </c>
      <c r="AJ341" s="601">
        <f t="shared" si="445"/>
        <v>40</v>
      </c>
      <c r="AK341" s="601">
        <f t="shared" si="445"/>
        <v>33</v>
      </c>
      <c r="AL341" s="601">
        <f t="shared" si="445"/>
        <v>38</v>
      </c>
      <c r="AM341" s="601">
        <f t="shared" si="445"/>
        <v>35</v>
      </c>
      <c r="AN341" s="601">
        <v>42</v>
      </c>
      <c r="AO341" s="601">
        <f t="shared" si="446"/>
        <v>36</v>
      </c>
      <c r="AP341" s="601">
        <f t="shared" si="446"/>
        <v>48</v>
      </c>
      <c r="AQ341" s="601">
        <f t="shared" si="446"/>
        <v>20</v>
      </c>
      <c r="AR341" s="601">
        <v>45</v>
      </c>
      <c r="AS341" s="601">
        <v>25</v>
      </c>
      <c r="AT341" s="601">
        <f t="shared" si="393"/>
        <v>472</v>
      </c>
      <c r="AU341" s="602">
        <f t="shared" si="403"/>
        <v>39.333333333333336</v>
      </c>
      <c r="AX341" s="600"/>
      <c r="AY341" s="601"/>
      <c r="AZ341" s="601"/>
      <c r="BA341" s="601"/>
      <c r="BB341" s="601"/>
      <c r="BC341" s="601">
        <f t="shared" si="447"/>
        <v>90</v>
      </c>
      <c r="BD341" s="2349">
        <v>110</v>
      </c>
      <c r="BE341" s="2349">
        <v>68</v>
      </c>
      <c r="BF341" s="601">
        <v>10</v>
      </c>
      <c r="BG341" s="601"/>
      <c r="BH341" s="2349"/>
      <c r="BI341" s="601">
        <v>61</v>
      </c>
      <c r="BJ341" s="601">
        <f t="shared" si="394"/>
        <v>339</v>
      </c>
      <c r="BK341" s="602">
        <f t="shared" si="404"/>
        <v>67.8</v>
      </c>
      <c r="BN341" s="322">
        <f t="shared" si="409"/>
        <v>36</v>
      </c>
      <c r="BO341" s="322">
        <f t="shared" si="395"/>
        <v>28.466666666666661</v>
      </c>
      <c r="BP341" s="322">
        <f t="shared" si="396"/>
        <v>-133</v>
      </c>
      <c r="BQ341" s="322">
        <f t="shared" si="405"/>
        <v>61</v>
      </c>
      <c r="BR341" s="2265">
        <f t="shared" si="397"/>
        <v>0</v>
      </c>
      <c r="BS341" s="2265">
        <f t="shared" si="398"/>
        <v>61</v>
      </c>
    </row>
    <row r="342" spans="1:71" hidden="1" x14ac:dyDescent="0.55000000000000004">
      <c r="A342" s="7531"/>
      <c r="B342" s="248"/>
      <c r="C342" s="12" t="s">
        <v>277</v>
      </c>
      <c r="D342" s="600">
        <f t="shared" si="448"/>
        <v>74</v>
      </c>
      <c r="E342" s="601">
        <f t="shared" si="448"/>
        <v>105</v>
      </c>
      <c r="F342" s="601">
        <f t="shared" si="448"/>
        <v>86</v>
      </c>
      <c r="G342" s="601">
        <f t="shared" si="448"/>
        <v>118</v>
      </c>
      <c r="H342" s="601">
        <f t="shared" si="448"/>
        <v>92</v>
      </c>
      <c r="I342" s="601">
        <f t="shared" si="448"/>
        <v>78</v>
      </c>
      <c r="J342" s="601">
        <f t="shared" si="448"/>
        <v>67</v>
      </c>
      <c r="K342" s="601">
        <f t="shared" si="448"/>
        <v>82</v>
      </c>
      <c r="L342" s="601">
        <f t="shared" si="448"/>
        <v>45</v>
      </c>
      <c r="M342" s="601">
        <f t="shared" si="448"/>
        <v>121</v>
      </c>
      <c r="N342" s="601">
        <f t="shared" si="448"/>
        <v>122</v>
      </c>
      <c r="O342" s="601">
        <f t="shared" si="448"/>
        <v>55</v>
      </c>
      <c r="P342" s="601">
        <f t="shared" si="399"/>
        <v>1045</v>
      </c>
      <c r="Q342" s="602">
        <f t="shared" si="448"/>
        <v>87.083333333333329</v>
      </c>
      <c r="R342" s="370"/>
      <c r="S342" s="600">
        <f t="shared" si="449"/>
        <v>85</v>
      </c>
      <c r="T342" s="601">
        <f t="shared" si="449"/>
        <v>108</v>
      </c>
      <c r="U342" s="601">
        <f t="shared" si="449"/>
        <v>48</v>
      </c>
      <c r="V342" s="601">
        <f t="shared" si="449"/>
        <v>78</v>
      </c>
      <c r="W342" s="601">
        <f t="shared" si="449"/>
        <v>51</v>
      </c>
      <c r="X342" s="601">
        <f t="shared" si="449"/>
        <v>51</v>
      </c>
      <c r="Y342" s="601">
        <f t="shared" si="449"/>
        <v>59</v>
      </c>
      <c r="Z342" s="601">
        <f t="shared" si="449"/>
        <v>275</v>
      </c>
      <c r="AA342" s="601">
        <f t="shared" si="449"/>
        <v>42</v>
      </c>
      <c r="AB342" s="601">
        <f t="shared" si="449"/>
        <v>100</v>
      </c>
      <c r="AC342" s="601">
        <f t="shared" si="449"/>
        <v>52</v>
      </c>
      <c r="AD342" s="601">
        <f t="shared" si="449"/>
        <v>52</v>
      </c>
      <c r="AE342" s="601">
        <f t="shared" si="401"/>
        <v>1001</v>
      </c>
      <c r="AF342" s="602">
        <f t="shared" si="449"/>
        <v>83.416666666666671</v>
      </c>
      <c r="AG342" s="654"/>
      <c r="AH342" s="600">
        <f t="shared" si="445"/>
        <v>178</v>
      </c>
      <c r="AI342" s="601">
        <f t="shared" si="445"/>
        <v>65</v>
      </c>
      <c r="AJ342" s="601">
        <f t="shared" si="445"/>
        <v>101</v>
      </c>
      <c r="AK342" s="601">
        <f t="shared" si="445"/>
        <v>80</v>
      </c>
      <c r="AL342" s="601">
        <f t="shared" si="445"/>
        <v>447</v>
      </c>
      <c r="AM342" s="601">
        <f t="shared" si="445"/>
        <v>63</v>
      </c>
      <c r="AN342" s="601">
        <v>64</v>
      </c>
      <c r="AO342" s="601">
        <f t="shared" si="446"/>
        <v>57</v>
      </c>
      <c r="AP342" s="601">
        <f t="shared" si="446"/>
        <v>98</v>
      </c>
      <c r="AQ342" s="601">
        <f t="shared" si="446"/>
        <v>54</v>
      </c>
      <c r="AR342" s="601">
        <v>61</v>
      </c>
      <c r="AS342" s="601">
        <v>66</v>
      </c>
      <c r="AT342" s="601">
        <f t="shared" si="393"/>
        <v>1334</v>
      </c>
      <c r="AU342" s="602">
        <f t="shared" si="403"/>
        <v>111.16666666666667</v>
      </c>
      <c r="AX342" s="600"/>
      <c r="AY342" s="601"/>
      <c r="AZ342" s="601"/>
      <c r="BA342" s="601"/>
      <c r="BB342" s="601"/>
      <c r="BC342" s="601">
        <f t="shared" si="447"/>
        <v>84</v>
      </c>
      <c r="BD342" s="2349">
        <v>77</v>
      </c>
      <c r="BE342" s="2349">
        <v>71</v>
      </c>
      <c r="BF342" s="601">
        <v>-67</v>
      </c>
      <c r="BG342" s="601"/>
      <c r="BH342" s="2349"/>
      <c r="BI342" s="601">
        <v>32</v>
      </c>
      <c r="BJ342" s="601">
        <f t="shared" si="394"/>
        <v>197</v>
      </c>
      <c r="BK342" s="602">
        <f t="shared" si="404"/>
        <v>39.4</v>
      </c>
      <c r="BN342" s="322">
        <f t="shared" si="409"/>
        <v>-34</v>
      </c>
      <c r="BO342" s="322">
        <f t="shared" si="395"/>
        <v>-71.76666666666668</v>
      </c>
      <c r="BP342" s="322">
        <f t="shared" si="396"/>
        <v>-1137</v>
      </c>
      <c r="BQ342" s="322">
        <f t="shared" si="405"/>
        <v>32</v>
      </c>
      <c r="BR342" s="2265">
        <f t="shared" si="397"/>
        <v>0</v>
      </c>
      <c r="BS342" s="2265">
        <f t="shared" si="398"/>
        <v>32</v>
      </c>
    </row>
    <row r="343" spans="1:71" hidden="1" x14ac:dyDescent="0.55000000000000004">
      <c r="A343" s="7531"/>
      <c r="B343" s="248"/>
      <c r="C343" s="12" t="s">
        <v>276</v>
      </c>
      <c r="D343" s="600">
        <f t="shared" si="448"/>
        <v>623</v>
      </c>
      <c r="E343" s="601">
        <f t="shared" si="448"/>
        <v>635</v>
      </c>
      <c r="F343" s="601">
        <f t="shared" si="448"/>
        <v>671</v>
      </c>
      <c r="G343" s="601">
        <f t="shared" si="448"/>
        <v>643</v>
      </c>
      <c r="H343" s="601">
        <f t="shared" si="448"/>
        <v>687</v>
      </c>
      <c r="I343" s="601">
        <f t="shared" si="448"/>
        <v>607</v>
      </c>
      <c r="J343" s="601">
        <f t="shared" si="448"/>
        <v>606</v>
      </c>
      <c r="K343" s="601">
        <f t="shared" si="448"/>
        <v>587</v>
      </c>
      <c r="L343" s="601">
        <f t="shared" si="448"/>
        <v>572</v>
      </c>
      <c r="M343" s="601">
        <f t="shared" si="448"/>
        <v>766</v>
      </c>
      <c r="N343" s="601">
        <f t="shared" si="448"/>
        <v>678</v>
      </c>
      <c r="O343" s="601">
        <f t="shared" si="448"/>
        <v>630</v>
      </c>
      <c r="P343" s="601">
        <f t="shared" si="399"/>
        <v>7705</v>
      </c>
      <c r="Q343" s="602">
        <f t="shared" si="448"/>
        <v>642.08333333333337</v>
      </c>
      <c r="R343" s="370"/>
      <c r="S343" s="600">
        <f t="shared" si="449"/>
        <v>857</v>
      </c>
      <c r="T343" s="601">
        <f t="shared" si="449"/>
        <v>775</v>
      </c>
      <c r="U343" s="601">
        <f t="shared" si="449"/>
        <v>631</v>
      </c>
      <c r="V343" s="601">
        <f t="shared" si="449"/>
        <v>620</v>
      </c>
      <c r="W343" s="601">
        <f t="shared" si="449"/>
        <v>631</v>
      </c>
      <c r="X343" s="601">
        <f t="shared" si="449"/>
        <v>562</v>
      </c>
      <c r="Y343" s="601">
        <f t="shared" si="449"/>
        <v>605</v>
      </c>
      <c r="Z343" s="601">
        <f t="shared" si="449"/>
        <v>442</v>
      </c>
      <c r="AA343" s="601">
        <f t="shared" si="449"/>
        <v>451</v>
      </c>
      <c r="AB343" s="601">
        <f t="shared" si="449"/>
        <v>597</v>
      </c>
      <c r="AC343" s="601">
        <f t="shared" si="449"/>
        <v>513</v>
      </c>
      <c r="AD343" s="601">
        <f t="shared" si="449"/>
        <v>512</v>
      </c>
      <c r="AE343" s="601">
        <f t="shared" si="401"/>
        <v>7196</v>
      </c>
      <c r="AF343" s="602">
        <f t="shared" si="449"/>
        <v>599.66666666666663</v>
      </c>
      <c r="AG343" s="654"/>
      <c r="AH343" s="600">
        <f t="shared" si="445"/>
        <v>814</v>
      </c>
      <c r="AI343" s="601">
        <f t="shared" si="445"/>
        <v>475</v>
      </c>
      <c r="AJ343" s="601">
        <f t="shared" si="445"/>
        <v>636</v>
      </c>
      <c r="AK343" s="601">
        <f t="shared" si="445"/>
        <v>556</v>
      </c>
      <c r="AL343" s="601">
        <f t="shared" si="445"/>
        <v>180</v>
      </c>
      <c r="AM343" s="601">
        <f t="shared" si="445"/>
        <v>509</v>
      </c>
      <c r="AN343" s="601">
        <v>479</v>
      </c>
      <c r="AO343" s="601">
        <f t="shared" si="446"/>
        <v>452</v>
      </c>
      <c r="AP343" s="601">
        <f t="shared" si="446"/>
        <v>696</v>
      </c>
      <c r="AQ343" s="601">
        <f t="shared" si="446"/>
        <v>490</v>
      </c>
      <c r="AR343" s="601">
        <v>442</v>
      </c>
      <c r="AS343" s="601">
        <v>409</v>
      </c>
      <c r="AT343" s="601">
        <f t="shared" si="393"/>
        <v>6138</v>
      </c>
      <c r="AU343" s="602">
        <f t="shared" si="403"/>
        <v>511.5</v>
      </c>
      <c r="AX343" s="600"/>
      <c r="AY343" s="601"/>
      <c r="AZ343" s="601"/>
      <c r="BA343" s="601"/>
      <c r="BB343" s="601"/>
      <c r="BC343" s="601">
        <f t="shared" si="447"/>
        <v>334</v>
      </c>
      <c r="BD343" s="2349">
        <v>386</v>
      </c>
      <c r="BE343" s="2349">
        <v>438</v>
      </c>
      <c r="BF343" s="601">
        <v>138</v>
      </c>
      <c r="BG343" s="601"/>
      <c r="BH343" s="2349"/>
      <c r="BI343" s="601">
        <v>31</v>
      </c>
      <c r="BJ343" s="601">
        <f t="shared" si="394"/>
        <v>1327</v>
      </c>
      <c r="BK343" s="602">
        <f t="shared" si="404"/>
        <v>265.39999999999998</v>
      </c>
      <c r="BN343" s="322">
        <f t="shared" si="409"/>
        <v>-378</v>
      </c>
      <c r="BO343" s="322">
        <f t="shared" si="395"/>
        <v>-246.10000000000002</v>
      </c>
      <c r="BP343" s="322">
        <f t="shared" si="396"/>
        <v>-4811</v>
      </c>
      <c r="BQ343" s="322">
        <f t="shared" si="405"/>
        <v>31</v>
      </c>
      <c r="BR343" s="2265">
        <f t="shared" si="397"/>
        <v>0</v>
      </c>
      <c r="BS343" s="2265">
        <f t="shared" si="398"/>
        <v>31</v>
      </c>
    </row>
    <row r="344" spans="1:71" x14ac:dyDescent="0.55000000000000004">
      <c r="A344" s="7531"/>
      <c r="B344" s="249" t="s">
        <v>222</v>
      </c>
      <c r="C344" s="100"/>
      <c r="D344" s="603">
        <f t="shared" si="448"/>
        <v>-1</v>
      </c>
      <c r="E344" s="604">
        <f t="shared" si="448"/>
        <v>65</v>
      </c>
      <c r="F344" s="604">
        <f t="shared" si="448"/>
        <v>7</v>
      </c>
      <c r="G344" s="604">
        <f t="shared" si="448"/>
        <v>45</v>
      </c>
      <c r="H344" s="604">
        <f t="shared" si="448"/>
        <v>15</v>
      </c>
      <c r="I344" s="604">
        <f t="shared" si="448"/>
        <v>25</v>
      </c>
      <c r="J344" s="604">
        <f t="shared" si="448"/>
        <v>-55</v>
      </c>
      <c r="K344" s="604">
        <f t="shared" si="448"/>
        <v>39</v>
      </c>
      <c r="L344" s="604">
        <f t="shared" si="448"/>
        <v>-101</v>
      </c>
      <c r="M344" s="604">
        <f t="shared" si="448"/>
        <v>58</v>
      </c>
      <c r="N344" s="604">
        <f t="shared" si="448"/>
        <v>-52</v>
      </c>
      <c r="O344" s="604">
        <f t="shared" si="448"/>
        <v>-66</v>
      </c>
      <c r="P344" s="604">
        <f t="shared" si="399"/>
        <v>-21</v>
      </c>
      <c r="Q344" s="605">
        <f t="shared" si="448"/>
        <v>-1.75</v>
      </c>
      <c r="R344" s="370"/>
      <c r="S344" s="603">
        <f t="shared" si="449"/>
        <v>9</v>
      </c>
      <c r="T344" s="604">
        <f t="shared" si="449"/>
        <v>57</v>
      </c>
      <c r="U344" s="604">
        <f t="shared" si="449"/>
        <v>-43</v>
      </c>
      <c r="V344" s="604">
        <f t="shared" si="449"/>
        <v>-23</v>
      </c>
      <c r="W344" s="604">
        <f t="shared" si="449"/>
        <v>29</v>
      </c>
      <c r="X344" s="604">
        <f t="shared" si="449"/>
        <v>-75</v>
      </c>
      <c r="Y344" s="604">
        <f t="shared" si="449"/>
        <v>6</v>
      </c>
      <c r="Z344" s="604">
        <f t="shared" si="449"/>
        <v>51</v>
      </c>
      <c r="AA344" s="604">
        <f t="shared" si="449"/>
        <v>-71</v>
      </c>
      <c r="AB344" s="604">
        <f t="shared" si="449"/>
        <v>77</v>
      </c>
      <c r="AC344" s="604">
        <f t="shared" si="449"/>
        <v>-93</v>
      </c>
      <c r="AD344" s="604">
        <f t="shared" si="449"/>
        <v>-24</v>
      </c>
      <c r="AE344" s="604">
        <f t="shared" si="401"/>
        <v>-100</v>
      </c>
      <c r="AF344" s="605">
        <f t="shared" si="449"/>
        <v>-8.3333333333333428</v>
      </c>
      <c r="AG344" s="654"/>
      <c r="AH344" s="603">
        <f t="shared" si="445"/>
        <v>109</v>
      </c>
      <c r="AI344" s="604">
        <f t="shared" si="445"/>
        <v>-124</v>
      </c>
      <c r="AJ344" s="604">
        <f t="shared" si="445"/>
        <v>63</v>
      </c>
      <c r="AK344" s="604">
        <f t="shared" si="445"/>
        <v>28</v>
      </c>
      <c r="AL344" s="604">
        <f t="shared" si="445"/>
        <v>24</v>
      </c>
      <c r="AM344" s="604">
        <f t="shared" si="445"/>
        <v>-14</v>
      </c>
      <c r="AN344" s="604">
        <v>48</v>
      </c>
      <c r="AO344" s="604">
        <f t="shared" si="446"/>
        <v>-13</v>
      </c>
      <c r="AP344" s="604">
        <f t="shared" si="446"/>
        <v>21</v>
      </c>
      <c r="AQ344" s="604">
        <f t="shared" si="446"/>
        <v>-4</v>
      </c>
      <c r="AR344" s="604">
        <v>-3</v>
      </c>
      <c r="AS344" s="604">
        <v>-52</v>
      </c>
      <c r="AT344" s="604">
        <f t="shared" si="393"/>
        <v>83</v>
      </c>
      <c r="AU344" s="605">
        <f t="shared" si="403"/>
        <v>6.916666666666667</v>
      </c>
      <c r="AX344" s="347">
        <v>-52</v>
      </c>
      <c r="AY344" s="604">
        <v>148</v>
      </c>
      <c r="AZ344" s="604">
        <f t="shared" ref="AZ344:AZ357" si="450">AZ276-AZ310</f>
        <v>-76</v>
      </c>
      <c r="BA344" s="604">
        <v>16</v>
      </c>
      <c r="BB344" s="604">
        <v>203</v>
      </c>
      <c r="BC344" s="604">
        <f t="shared" si="447"/>
        <v>32</v>
      </c>
      <c r="BD344" s="2350">
        <v>121</v>
      </c>
      <c r="BE344" s="2350">
        <v>61</v>
      </c>
      <c r="BF344" s="604">
        <v>131</v>
      </c>
      <c r="BG344" s="604">
        <v>38</v>
      </c>
      <c r="BH344" s="2350">
        <v>79</v>
      </c>
      <c r="BI344" s="604">
        <v>104</v>
      </c>
      <c r="BJ344" s="604">
        <f t="shared" si="394"/>
        <v>805</v>
      </c>
      <c r="BK344" s="605">
        <f t="shared" si="404"/>
        <v>67.083333333333329</v>
      </c>
      <c r="BN344" s="322">
        <f t="shared" si="409"/>
        <v>156</v>
      </c>
      <c r="BO344" s="322">
        <f t="shared" si="395"/>
        <v>60.166666666666664</v>
      </c>
      <c r="BP344" s="322">
        <f t="shared" si="396"/>
        <v>722</v>
      </c>
      <c r="BQ344" s="322">
        <f t="shared" si="405"/>
        <v>25</v>
      </c>
      <c r="BR344" s="2265">
        <f t="shared" si="397"/>
        <v>79</v>
      </c>
      <c r="BS344" s="2265">
        <f t="shared" si="398"/>
        <v>104</v>
      </c>
    </row>
    <row r="345" spans="1:71" x14ac:dyDescent="0.55000000000000004">
      <c r="A345" s="7531"/>
      <c r="B345" s="250" t="s">
        <v>223</v>
      </c>
      <c r="C345" s="14"/>
      <c r="D345" s="606">
        <f t="shared" si="448"/>
        <v>-44</v>
      </c>
      <c r="E345" s="607">
        <f t="shared" si="448"/>
        <v>69</v>
      </c>
      <c r="F345" s="607">
        <f t="shared" si="448"/>
        <v>-39</v>
      </c>
      <c r="G345" s="607">
        <f t="shared" si="448"/>
        <v>-4</v>
      </c>
      <c r="H345" s="607">
        <f t="shared" si="448"/>
        <v>39</v>
      </c>
      <c r="I345" s="607">
        <f t="shared" si="448"/>
        <v>-22</v>
      </c>
      <c r="J345" s="607">
        <f t="shared" si="448"/>
        <v>-52</v>
      </c>
      <c r="K345" s="607">
        <f t="shared" si="448"/>
        <v>3</v>
      </c>
      <c r="L345" s="607">
        <f t="shared" si="448"/>
        <v>-38</v>
      </c>
      <c r="M345" s="607">
        <f t="shared" si="448"/>
        <v>19</v>
      </c>
      <c r="N345" s="607">
        <f t="shared" si="448"/>
        <v>-16</v>
      </c>
      <c r="O345" s="607">
        <f t="shared" si="448"/>
        <v>-35</v>
      </c>
      <c r="P345" s="607">
        <f t="shared" si="399"/>
        <v>-120</v>
      </c>
      <c r="Q345" s="608">
        <f t="shared" si="448"/>
        <v>-9.9999999999999858</v>
      </c>
      <c r="R345" s="370"/>
      <c r="S345" s="606">
        <f t="shared" si="449"/>
        <v>16</v>
      </c>
      <c r="T345" s="607">
        <f t="shared" si="449"/>
        <v>65</v>
      </c>
      <c r="U345" s="607">
        <f t="shared" si="449"/>
        <v>9</v>
      </c>
      <c r="V345" s="607">
        <f t="shared" si="449"/>
        <v>-125</v>
      </c>
      <c r="W345" s="607">
        <f t="shared" si="449"/>
        <v>-29</v>
      </c>
      <c r="X345" s="607">
        <f t="shared" si="449"/>
        <v>2</v>
      </c>
      <c r="Y345" s="607">
        <f t="shared" si="449"/>
        <v>-55</v>
      </c>
      <c r="Z345" s="607">
        <f t="shared" si="449"/>
        <v>77</v>
      </c>
      <c r="AA345" s="607">
        <f t="shared" si="449"/>
        <v>-75</v>
      </c>
      <c r="AB345" s="607">
        <f t="shared" si="449"/>
        <v>71</v>
      </c>
      <c r="AC345" s="607">
        <f t="shared" si="449"/>
        <v>19</v>
      </c>
      <c r="AD345" s="607">
        <f t="shared" si="449"/>
        <v>-79</v>
      </c>
      <c r="AE345" s="607">
        <f t="shared" si="401"/>
        <v>-104</v>
      </c>
      <c r="AF345" s="608">
        <f t="shared" si="449"/>
        <v>-8.6666666666666572</v>
      </c>
      <c r="AG345" s="654"/>
      <c r="AH345" s="606">
        <f t="shared" si="445"/>
        <v>86</v>
      </c>
      <c r="AI345" s="607">
        <f t="shared" si="445"/>
        <v>-65</v>
      </c>
      <c r="AJ345" s="607">
        <f t="shared" si="445"/>
        <v>3</v>
      </c>
      <c r="AK345" s="607">
        <f t="shared" si="445"/>
        <v>-20</v>
      </c>
      <c r="AL345" s="607">
        <f t="shared" si="445"/>
        <v>27</v>
      </c>
      <c r="AM345" s="607">
        <f t="shared" si="445"/>
        <v>-21</v>
      </c>
      <c r="AN345" s="607">
        <v>4</v>
      </c>
      <c r="AO345" s="607">
        <f t="shared" si="446"/>
        <v>-8</v>
      </c>
      <c r="AP345" s="607">
        <f t="shared" si="446"/>
        <v>12</v>
      </c>
      <c r="AQ345" s="607">
        <f t="shared" si="446"/>
        <v>62</v>
      </c>
      <c r="AR345" s="607">
        <v>-49</v>
      </c>
      <c r="AS345" s="607">
        <v>-59</v>
      </c>
      <c r="AT345" s="607">
        <f t="shared" si="393"/>
        <v>-28</v>
      </c>
      <c r="AU345" s="608">
        <f t="shared" si="403"/>
        <v>-2.3333333333333335</v>
      </c>
      <c r="AX345" s="350">
        <v>-35</v>
      </c>
      <c r="AY345" s="607">
        <v>159</v>
      </c>
      <c r="AZ345" s="607">
        <f t="shared" si="450"/>
        <v>-36</v>
      </c>
      <c r="BA345" s="607">
        <v>-64</v>
      </c>
      <c r="BB345" s="607">
        <v>183</v>
      </c>
      <c r="BC345" s="607">
        <f t="shared" si="447"/>
        <v>-19</v>
      </c>
      <c r="BD345" s="2351">
        <v>-12</v>
      </c>
      <c r="BE345" s="2351">
        <v>40</v>
      </c>
      <c r="BF345" s="607">
        <v>-3</v>
      </c>
      <c r="BG345" s="607">
        <v>2</v>
      </c>
      <c r="BH345" s="2351">
        <v>18</v>
      </c>
      <c r="BI345" s="607">
        <v>-2</v>
      </c>
      <c r="BJ345" s="607">
        <f t="shared" si="394"/>
        <v>231</v>
      </c>
      <c r="BK345" s="608">
        <f t="shared" si="404"/>
        <v>19.25</v>
      </c>
      <c r="BN345" s="322">
        <f t="shared" si="409"/>
        <v>57</v>
      </c>
      <c r="BO345" s="322">
        <f t="shared" si="395"/>
        <v>21.583333333333332</v>
      </c>
      <c r="BP345" s="322">
        <f t="shared" si="396"/>
        <v>259</v>
      </c>
      <c r="BQ345" s="322">
        <f t="shared" si="405"/>
        <v>-20</v>
      </c>
      <c r="BR345" s="2265">
        <f t="shared" si="397"/>
        <v>18</v>
      </c>
      <c r="BS345" s="2265">
        <f t="shared" si="398"/>
        <v>-2</v>
      </c>
    </row>
    <row r="346" spans="1:71" x14ac:dyDescent="0.55000000000000004">
      <c r="A346" s="7531"/>
      <c r="B346" s="250" t="s">
        <v>224</v>
      </c>
      <c r="C346" s="14"/>
      <c r="D346" s="606">
        <f t="shared" si="448"/>
        <v>-20</v>
      </c>
      <c r="E346" s="607">
        <f t="shared" si="448"/>
        <v>51</v>
      </c>
      <c r="F346" s="607">
        <f t="shared" si="448"/>
        <v>-5</v>
      </c>
      <c r="G346" s="607">
        <f t="shared" si="448"/>
        <v>47</v>
      </c>
      <c r="H346" s="607">
        <f t="shared" si="448"/>
        <v>49</v>
      </c>
      <c r="I346" s="607">
        <f t="shared" si="448"/>
        <v>-22</v>
      </c>
      <c r="J346" s="607">
        <f t="shared" si="448"/>
        <v>11</v>
      </c>
      <c r="K346" s="607">
        <f t="shared" si="448"/>
        <v>2</v>
      </c>
      <c r="L346" s="607">
        <f t="shared" si="448"/>
        <v>-102</v>
      </c>
      <c r="M346" s="607">
        <f t="shared" si="448"/>
        <v>58</v>
      </c>
      <c r="N346" s="607">
        <f t="shared" si="448"/>
        <v>-51</v>
      </c>
      <c r="O346" s="607">
        <f t="shared" si="448"/>
        <v>-54</v>
      </c>
      <c r="P346" s="607">
        <f t="shared" si="399"/>
        <v>-36</v>
      </c>
      <c r="Q346" s="608">
        <f t="shared" si="448"/>
        <v>-3</v>
      </c>
      <c r="R346" s="370"/>
      <c r="S346" s="606">
        <f t="shared" si="449"/>
        <v>80</v>
      </c>
      <c r="T346" s="607">
        <f t="shared" si="449"/>
        <v>-31</v>
      </c>
      <c r="U346" s="607">
        <f t="shared" si="449"/>
        <v>65</v>
      </c>
      <c r="V346" s="607">
        <f t="shared" si="449"/>
        <v>-90</v>
      </c>
      <c r="W346" s="607">
        <f t="shared" si="449"/>
        <v>-18</v>
      </c>
      <c r="X346" s="607">
        <f t="shared" si="449"/>
        <v>-34</v>
      </c>
      <c r="Y346" s="607">
        <f t="shared" si="449"/>
        <v>-8</v>
      </c>
      <c r="Z346" s="607">
        <f t="shared" si="449"/>
        <v>72</v>
      </c>
      <c r="AA346" s="607">
        <f t="shared" si="449"/>
        <v>-55</v>
      </c>
      <c r="AB346" s="607">
        <f t="shared" si="449"/>
        <v>58</v>
      </c>
      <c r="AC346" s="607">
        <f t="shared" si="449"/>
        <v>-58</v>
      </c>
      <c r="AD346" s="607">
        <f t="shared" si="449"/>
        <v>-46</v>
      </c>
      <c r="AE346" s="607">
        <f t="shared" si="401"/>
        <v>-65</v>
      </c>
      <c r="AF346" s="608">
        <f t="shared" si="449"/>
        <v>-5.4166666666666572</v>
      </c>
      <c r="AG346" s="654"/>
      <c r="AH346" s="606">
        <f t="shared" si="445"/>
        <v>25</v>
      </c>
      <c r="AI346" s="607">
        <f t="shared" si="445"/>
        <v>-55</v>
      </c>
      <c r="AJ346" s="607">
        <f t="shared" si="445"/>
        <v>27</v>
      </c>
      <c r="AK346" s="607">
        <f t="shared" si="445"/>
        <v>25</v>
      </c>
      <c r="AL346" s="607">
        <f t="shared" si="445"/>
        <v>43</v>
      </c>
      <c r="AM346" s="607">
        <f t="shared" si="445"/>
        <v>8</v>
      </c>
      <c r="AN346" s="607">
        <v>-34</v>
      </c>
      <c r="AO346" s="607">
        <f t="shared" si="446"/>
        <v>-26</v>
      </c>
      <c r="AP346" s="607">
        <f t="shared" si="446"/>
        <v>80</v>
      </c>
      <c r="AQ346" s="607">
        <f t="shared" si="446"/>
        <v>-1</v>
      </c>
      <c r="AR346" s="607">
        <v>-54</v>
      </c>
      <c r="AS346" s="607">
        <v>-59</v>
      </c>
      <c r="AT346" s="607">
        <f t="shared" si="393"/>
        <v>-21</v>
      </c>
      <c r="AU346" s="608">
        <f t="shared" si="403"/>
        <v>-1.75</v>
      </c>
      <c r="AX346" s="350">
        <v>-13</v>
      </c>
      <c r="AY346" s="607">
        <v>143</v>
      </c>
      <c r="AZ346" s="607">
        <f t="shared" si="450"/>
        <v>-69</v>
      </c>
      <c r="BA346" s="607">
        <v>4</v>
      </c>
      <c r="BB346" s="607">
        <v>177</v>
      </c>
      <c r="BC346" s="607">
        <f t="shared" si="447"/>
        <v>-41</v>
      </c>
      <c r="BD346" s="2351">
        <v>-2</v>
      </c>
      <c r="BE346" s="2351">
        <v>15</v>
      </c>
      <c r="BF346" s="607">
        <v>-26</v>
      </c>
      <c r="BG346" s="607">
        <v>-24</v>
      </c>
      <c r="BH346" s="2351">
        <v>-2</v>
      </c>
      <c r="BI346" s="607">
        <v>23</v>
      </c>
      <c r="BJ346" s="607">
        <f t="shared" si="394"/>
        <v>185</v>
      </c>
      <c r="BK346" s="608">
        <f t="shared" si="404"/>
        <v>15.416666666666666</v>
      </c>
      <c r="BN346" s="322">
        <f t="shared" si="409"/>
        <v>82</v>
      </c>
      <c r="BO346" s="322">
        <f t="shared" si="395"/>
        <v>17.166666666666664</v>
      </c>
      <c r="BP346" s="322">
        <f t="shared" si="396"/>
        <v>206</v>
      </c>
      <c r="BQ346" s="322">
        <f t="shared" si="405"/>
        <v>25</v>
      </c>
      <c r="BR346" s="2265">
        <f t="shared" si="397"/>
        <v>-2</v>
      </c>
      <c r="BS346" s="2265">
        <f t="shared" si="398"/>
        <v>23</v>
      </c>
    </row>
    <row r="347" spans="1:71" x14ac:dyDescent="0.55000000000000004">
      <c r="A347" s="7531"/>
      <c r="B347" s="250" t="s">
        <v>225</v>
      </c>
      <c r="C347" s="14"/>
      <c r="D347" s="606">
        <f t="shared" si="448"/>
        <v>-28</v>
      </c>
      <c r="E347" s="607">
        <f t="shared" si="448"/>
        <v>26</v>
      </c>
      <c r="F347" s="607">
        <f t="shared" si="448"/>
        <v>107</v>
      </c>
      <c r="G347" s="607">
        <f t="shared" si="448"/>
        <v>29</v>
      </c>
      <c r="H347" s="607">
        <f t="shared" si="448"/>
        <v>-21</v>
      </c>
      <c r="I347" s="607">
        <f t="shared" si="448"/>
        <v>-6</v>
      </c>
      <c r="J347" s="607">
        <f t="shared" si="448"/>
        <v>11</v>
      </c>
      <c r="K347" s="607">
        <f t="shared" si="448"/>
        <v>-7</v>
      </c>
      <c r="L347" s="607">
        <f t="shared" si="448"/>
        <v>-32</v>
      </c>
      <c r="M347" s="607">
        <f t="shared" si="448"/>
        <v>65</v>
      </c>
      <c r="N347" s="607">
        <f t="shared" si="448"/>
        <v>-57</v>
      </c>
      <c r="O347" s="607">
        <f t="shared" si="448"/>
        <v>-189</v>
      </c>
      <c r="P347" s="607">
        <f t="shared" si="399"/>
        <v>-102</v>
      </c>
      <c r="Q347" s="608">
        <f t="shared" si="448"/>
        <v>-8.5</v>
      </c>
      <c r="R347" s="370"/>
      <c r="S347" s="606">
        <f t="shared" si="449"/>
        <v>64</v>
      </c>
      <c r="T347" s="607">
        <f t="shared" si="449"/>
        <v>84</v>
      </c>
      <c r="U347" s="607">
        <f t="shared" si="449"/>
        <v>-41</v>
      </c>
      <c r="V347" s="607">
        <f t="shared" si="449"/>
        <v>11</v>
      </c>
      <c r="W347" s="607">
        <f t="shared" si="449"/>
        <v>-34</v>
      </c>
      <c r="X347" s="607">
        <f t="shared" si="449"/>
        <v>-39</v>
      </c>
      <c r="Y347" s="607">
        <f t="shared" si="449"/>
        <v>12</v>
      </c>
      <c r="Z347" s="607">
        <f t="shared" si="449"/>
        <v>102</v>
      </c>
      <c r="AA347" s="607">
        <f t="shared" si="449"/>
        <v>-26</v>
      </c>
      <c r="AB347" s="607">
        <f t="shared" si="449"/>
        <v>-12</v>
      </c>
      <c r="AC347" s="607">
        <f t="shared" si="449"/>
        <v>-30</v>
      </c>
      <c r="AD347" s="607">
        <f t="shared" si="449"/>
        <v>-89</v>
      </c>
      <c r="AE347" s="607">
        <f t="shared" si="401"/>
        <v>2</v>
      </c>
      <c r="AF347" s="608">
        <f t="shared" si="449"/>
        <v>0.16666666666665719</v>
      </c>
      <c r="AG347" s="654"/>
      <c r="AH347" s="606">
        <f t="shared" si="445"/>
        <v>123</v>
      </c>
      <c r="AI347" s="607">
        <f t="shared" si="445"/>
        <v>-39</v>
      </c>
      <c r="AJ347" s="607">
        <f t="shared" si="445"/>
        <v>37</v>
      </c>
      <c r="AK347" s="607">
        <f t="shared" si="445"/>
        <v>9</v>
      </c>
      <c r="AL347" s="607">
        <f t="shared" si="445"/>
        <v>11</v>
      </c>
      <c r="AM347" s="607">
        <f t="shared" si="445"/>
        <v>-17</v>
      </c>
      <c r="AN347" s="607">
        <v>-2</v>
      </c>
      <c r="AO347" s="607">
        <f t="shared" si="446"/>
        <v>-73</v>
      </c>
      <c r="AP347" s="607">
        <f t="shared" si="446"/>
        <v>147</v>
      </c>
      <c r="AQ347" s="607">
        <f t="shared" si="446"/>
        <v>-30</v>
      </c>
      <c r="AR347" s="607">
        <v>68</v>
      </c>
      <c r="AS347" s="607">
        <v>-39</v>
      </c>
      <c r="AT347" s="607">
        <f t="shared" si="393"/>
        <v>195</v>
      </c>
      <c r="AU347" s="608">
        <f t="shared" si="403"/>
        <v>16.25</v>
      </c>
      <c r="AX347" s="350">
        <v>-10</v>
      </c>
      <c r="AY347" s="607">
        <v>142</v>
      </c>
      <c r="AZ347" s="607">
        <f t="shared" si="450"/>
        <v>-31</v>
      </c>
      <c r="BA347" s="607">
        <v>67</v>
      </c>
      <c r="BB347" s="607">
        <v>411</v>
      </c>
      <c r="BC347" s="607">
        <f t="shared" si="447"/>
        <v>6</v>
      </c>
      <c r="BD347" s="2351">
        <v>-32</v>
      </c>
      <c r="BE347" s="2351">
        <v>-57</v>
      </c>
      <c r="BF347" s="607">
        <v>22</v>
      </c>
      <c r="BG347" s="607">
        <v>-22</v>
      </c>
      <c r="BH347" s="2351">
        <v>-87</v>
      </c>
      <c r="BI347" s="607">
        <v>44</v>
      </c>
      <c r="BJ347" s="607">
        <f t="shared" si="394"/>
        <v>453</v>
      </c>
      <c r="BK347" s="608">
        <f t="shared" si="404"/>
        <v>37.75</v>
      </c>
      <c r="BN347" s="322">
        <f t="shared" si="409"/>
        <v>83</v>
      </c>
      <c r="BO347" s="322">
        <f t="shared" si="395"/>
        <v>21.5</v>
      </c>
      <c r="BP347" s="322">
        <f t="shared" si="396"/>
        <v>258</v>
      </c>
      <c r="BQ347" s="322">
        <f t="shared" si="405"/>
        <v>131</v>
      </c>
      <c r="BR347" s="2265">
        <f t="shared" si="397"/>
        <v>-87</v>
      </c>
      <c r="BS347" s="2265">
        <f t="shared" si="398"/>
        <v>44</v>
      </c>
    </row>
    <row r="348" spans="1:71" x14ac:dyDescent="0.55000000000000004">
      <c r="A348" s="7531"/>
      <c r="B348" s="251" t="s">
        <v>226</v>
      </c>
      <c r="C348" s="103"/>
      <c r="D348" s="609">
        <f t="shared" si="448"/>
        <v>-14</v>
      </c>
      <c r="E348" s="610">
        <f t="shared" si="448"/>
        <v>-21</v>
      </c>
      <c r="F348" s="610">
        <f t="shared" si="448"/>
        <v>54</v>
      </c>
      <c r="G348" s="610">
        <f t="shared" si="448"/>
        <v>-13</v>
      </c>
      <c r="H348" s="610">
        <f t="shared" si="448"/>
        <v>55</v>
      </c>
      <c r="I348" s="610">
        <f t="shared" si="448"/>
        <v>-37</v>
      </c>
      <c r="J348" s="610">
        <f t="shared" si="448"/>
        <v>-6</v>
      </c>
      <c r="K348" s="610">
        <f t="shared" si="448"/>
        <v>-74</v>
      </c>
      <c r="L348" s="610">
        <f t="shared" si="448"/>
        <v>-42</v>
      </c>
      <c r="M348" s="610">
        <f t="shared" si="448"/>
        <v>79</v>
      </c>
      <c r="N348" s="610">
        <f t="shared" si="448"/>
        <v>-31</v>
      </c>
      <c r="O348" s="610">
        <f t="shared" si="448"/>
        <v>-48</v>
      </c>
      <c r="P348" s="610">
        <f t="shared" si="399"/>
        <v>-98</v>
      </c>
      <c r="Q348" s="611">
        <f t="shared" si="448"/>
        <v>-8.1666666666666856</v>
      </c>
      <c r="R348" s="370"/>
      <c r="S348" s="609">
        <f t="shared" si="449"/>
        <v>80</v>
      </c>
      <c r="T348" s="610">
        <f t="shared" si="449"/>
        <v>21</v>
      </c>
      <c r="U348" s="610">
        <f t="shared" si="449"/>
        <v>-41</v>
      </c>
      <c r="V348" s="610">
        <f t="shared" si="449"/>
        <v>-32</v>
      </c>
      <c r="W348" s="610">
        <f t="shared" si="449"/>
        <v>-60</v>
      </c>
      <c r="X348" s="610">
        <f t="shared" si="449"/>
        <v>-33</v>
      </c>
      <c r="Y348" s="610">
        <f t="shared" si="449"/>
        <v>-35</v>
      </c>
      <c r="Z348" s="610">
        <f t="shared" si="449"/>
        <v>88</v>
      </c>
      <c r="AA348" s="610">
        <f t="shared" si="449"/>
        <v>-126</v>
      </c>
      <c r="AB348" s="610">
        <f t="shared" si="449"/>
        <v>40</v>
      </c>
      <c r="AC348" s="610">
        <f t="shared" si="449"/>
        <v>-44</v>
      </c>
      <c r="AD348" s="610">
        <f t="shared" si="449"/>
        <v>-82</v>
      </c>
      <c r="AE348" s="610">
        <f t="shared" si="401"/>
        <v>-224</v>
      </c>
      <c r="AF348" s="611">
        <f t="shared" si="449"/>
        <v>-18.666666666666686</v>
      </c>
      <c r="AG348" s="654"/>
      <c r="AH348" s="609">
        <f t="shared" si="445"/>
        <v>152</v>
      </c>
      <c r="AI348" s="610">
        <f t="shared" si="445"/>
        <v>-54</v>
      </c>
      <c r="AJ348" s="610">
        <f t="shared" si="445"/>
        <v>48</v>
      </c>
      <c r="AK348" s="610">
        <f t="shared" si="445"/>
        <v>25</v>
      </c>
      <c r="AL348" s="610">
        <f t="shared" si="445"/>
        <v>-35</v>
      </c>
      <c r="AM348" s="610">
        <f t="shared" si="445"/>
        <v>37</v>
      </c>
      <c r="AN348" s="610">
        <v>-49</v>
      </c>
      <c r="AO348" s="610">
        <f t="shared" si="446"/>
        <v>-96</v>
      </c>
      <c r="AP348" s="610">
        <f t="shared" si="446"/>
        <v>122</v>
      </c>
      <c r="AQ348" s="610">
        <f t="shared" si="446"/>
        <v>29</v>
      </c>
      <c r="AR348" s="610">
        <v>6</v>
      </c>
      <c r="AS348" s="610">
        <v>-55</v>
      </c>
      <c r="AT348" s="610">
        <f t="shared" si="393"/>
        <v>130</v>
      </c>
      <c r="AU348" s="611">
        <f t="shared" si="403"/>
        <v>10.833333333333334</v>
      </c>
      <c r="AX348" s="352">
        <v>-76</v>
      </c>
      <c r="AY348" s="610">
        <v>129</v>
      </c>
      <c r="AZ348" s="610">
        <f t="shared" si="450"/>
        <v>-40</v>
      </c>
      <c r="BA348" s="610">
        <v>19</v>
      </c>
      <c r="BB348" s="610">
        <v>298</v>
      </c>
      <c r="BC348" s="610">
        <f t="shared" si="447"/>
        <v>-28</v>
      </c>
      <c r="BD348" s="2352">
        <v>-38</v>
      </c>
      <c r="BE348" s="2352">
        <v>13</v>
      </c>
      <c r="BF348" s="610">
        <v>4</v>
      </c>
      <c r="BG348" s="610">
        <v>2</v>
      </c>
      <c r="BH348" s="2352">
        <v>-11</v>
      </c>
      <c r="BI348" s="610">
        <v>-45</v>
      </c>
      <c r="BJ348" s="610">
        <f t="shared" si="394"/>
        <v>227</v>
      </c>
      <c r="BK348" s="611">
        <f t="shared" si="404"/>
        <v>18.916666666666668</v>
      </c>
      <c r="BN348" s="322">
        <f t="shared" si="409"/>
        <v>10</v>
      </c>
      <c r="BO348" s="322">
        <f t="shared" si="395"/>
        <v>8.0833333333333339</v>
      </c>
      <c r="BP348" s="322">
        <f t="shared" si="396"/>
        <v>97</v>
      </c>
      <c r="BQ348" s="322">
        <f t="shared" si="405"/>
        <v>-34</v>
      </c>
      <c r="BR348" s="2265">
        <f t="shared" si="397"/>
        <v>-11</v>
      </c>
      <c r="BS348" s="2265">
        <f t="shared" si="398"/>
        <v>-45</v>
      </c>
    </row>
    <row r="349" spans="1:71" s="172" customFormat="1" x14ac:dyDescent="0.55000000000000004">
      <c r="A349" s="7531"/>
      <c r="B349" s="252"/>
      <c r="C349" s="180" t="s">
        <v>242</v>
      </c>
      <c r="D349" s="612">
        <f t="shared" si="448"/>
        <v>8</v>
      </c>
      <c r="E349" s="613">
        <f t="shared" si="448"/>
        <v>60</v>
      </c>
      <c r="F349" s="613">
        <f t="shared" si="448"/>
        <v>9</v>
      </c>
      <c r="G349" s="613">
        <f t="shared" si="448"/>
        <v>20</v>
      </c>
      <c r="H349" s="613">
        <f t="shared" si="448"/>
        <v>20</v>
      </c>
      <c r="I349" s="613">
        <f t="shared" si="448"/>
        <v>16</v>
      </c>
      <c r="J349" s="613">
        <f t="shared" si="448"/>
        <v>-28</v>
      </c>
      <c r="K349" s="613">
        <f t="shared" si="448"/>
        <v>38</v>
      </c>
      <c r="L349" s="613">
        <f t="shared" si="448"/>
        <v>-83</v>
      </c>
      <c r="M349" s="613">
        <f t="shared" si="448"/>
        <v>52</v>
      </c>
      <c r="N349" s="613">
        <f t="shared" si="448"/>
        <v>-28</v>
      </c>
      <c r="O349" s="613">
        <f t="shared" si="448"/>
        <v>-52</v>
      </c>
      <c r="P349" s="613">
        <f t="shared" si="399"/>
        <v>32</v>
      </c>
      <c r="Q349" s="614">
        <f t="shared" si="448"/>
        <v>2.6666666666666714</v>
      </c>
      <c r="R349" s="372"/>
      <c r="S349" s="612">
        <f t="shared" si="449"/>
        <v>8</v>
      </c>
      <c r="T349" s="613">
        <f t="shared" si="449"/>
        <v>40</v>
      </c>
      <c r="U349" s="613">
        <f t="shared" si="449"/>
        <v>-41</v>
      </c>
      <c r="V349" s="613">
        <f t="shared" si="449"/>
        <v>-29</v>
      </c>
      <c r="W349" s="613">
        <f t="shared" si="449"/>
        <v>32</v>
      </c>
      <c r="X349" s="613">
        <f t="shared" si="449"/>
        <v>-64</v>
      </c>
      <c r="Y349" s="613">
        <f t="shared" si="449"/>
        <v>6</v>
      </c>
      <c r="Z349" s="613">
        <f t="shared" si="449"/>
        <v>32</v>
      </c>
      <c r="AA349" s="613">
        <f t="shared" si="449"/>
        <v>-45</v>
      </c>
      <c r="AB349" s="613">
        <f t="shared" si="449"/>
        <v>53</v>
      </c>
      <c r="AC349" s="613">
        <f t="shared" si="449"/>
        <v>-72</v>
      </c>
      <c r="AD349" s="613">
        <f t="shared" si="449"/>
        <v>-23</v>
      </c>
      <c r="AE349" s="613">
        <f t="shared" si="401"/>
        <v>-103</v>
      </c>
      <c r="AF349" s="614">
        <f t="shared" si="449"/>
        <v>-8.5833333333333286</v>
      </c>
      <c r="AG349" s="655"/>
      <c r="AH349" s="612">
        <f t="shared" si="445"/>
        <v>72</v>
      </c>
      <c r="AI349" s="613">
        <f t="shared" si="445"/>
        <v>-74</v>
      </c>
      <c r="AJ349" s="613">
        <f t="shared" si="445"/>
        <v>58</v>
      </c>
      <c r="AK349" s="613">
        <f t="shared" si="445"/>
        <v>13</v>
      </c>
      <c r="AL349" s="613">
        <f t="shared" si="445"/>
        <v>20</v>
      </c>
      <c r="AM349" s="613">
        <f t="shared" si="445"/>
        <v>-19</v>
      </c>
      <c r="AN349" s="613">
        <v>36</v>
      </c>
      <c r="AO349" s="613">
        <f t="shared" si="446"/>
        <v>-11</v>
      </c>
      <c r="AP349" s="613">
        <f t="shared" si="446"/>
        <v>24</v>
      </c>
      <c r="AQ349" s="613">
        <f t="shared" si="446"/>
        <v>0</v>
      </c>
      <c r="AR349" s="613">
        <v>-16</v>
      </c>
      <c r="AS349" s="613">
        <v>-26</v>
      </c>
      <c r="AT349" s="613">
        <f t="shared" si="393"/>
        <v>77</v>
      </c>
      <c r="AU349" s="614">
        <f t="shared" si="403"/>
        <v>6.416666666666667</v>
      </c>
      <c r="AX349" s="612">
        <v>-42</v>
      </c>
      <c r="AY349" s="613">
        <v>98</v>
      </c>
      <c r="AZ349" s="613">
        <f t="shared" si="450"/>
        <v>-51</v>
      </c>
      <c r="BA349" s="613">
        <v>6</v>
      </c>
      <c r="BB349" s="613">
        <v>32</v>
      </c>
      <c r="BC349" s="613">
        <f t="shared" si="447"/>
        <v>52</v>
      </c>
      <c r="BD349" s="613">
        <v>121</v>
      </c>
      <c r="BE349" s="613">
        <v>61</v>
      </c>
      <c r="BF349" s="613">
        <v>131</v>
      </c>
      <c r="BG349" s="613">
        <v>38</v>
      </c>
      <c r="BH349" s="613">
        <v>79</v>
      </c>
      <c r="BI349" s="613">
        <v>104</v>
      </c>
      <c r="BJ349" s="613">
        <f t="shared" si="394"/>
        <v>629</v>
      </c>
      <c r="BK349" s="614">
        <f t="shared" si="404"/>
        <v>52.416666666666664</v>
      </c>
      <c r="BN349" s="322">
        <f t="shared" si="409"/>
        <v>130</v>
      </c>
      <c r="BO349" s="322">
        <f t="shared" si="395"/>
        <v>46</v>
      </c>
      <c r="BP349" s="322">
        <f t="shared" si="396"/>
        <v>552</v>
      </c>
      <c r="BQ349" s="322">
        <f t="shared" si="405"/>
        <v>25</v>
      </c>
      <c r="BR349" s="2265">
        <f t="shared" si="397"/>
        <v>79</v>
      </c>
      <c r="BS349" s="2265">
        <f t="shared" si="398"/>
        <v>104</v>
      </c>
    </row>
    <row r="350" spans="1:71" s="172" customFormat="1" x14ac:dyDescent="0.55000000000000004">
      <c r="A350" s="7531"/>
      <c r="B350" s="253"/>
      <c r="C350" s="181" t="s">
        <v>243</v>
      </c>
      <c r="D350" s="615">
        <f t="shared" si="448"/>
        <v>-9</v>
      </c>
      <c r="E350" s="616">
        <f t="shared" si="448"/>
        <v>5</v>
      </c>
      <c r="F350" s="616">
        <f t="shared" si="448"/>
        <v>-2</v>
      </c>
      <c r="G350" s="616">
        <f t="shared" si="448"/>
        <v>25</v>
      </c>
      <c r="H350" s="616">
        <f t="shared" si="448"/>
        <v>-5</v>
      </c>
      <c r="I350" s="616">
        <f t="shared" si="448"/>
        <v>9</v>
      </c>
      <c r="J350" s="616">
        <f t="shared" si="448"/>
        <v>-27</v>
      </c>
      <c r="K350" s="616">
        <f t="shared" si="448"/>
        <v>1</v>
      </c>
      <c r="L350" s="616">
        <f t="shared" si="448"/>
        <v>-18</v>
      </c>
      <c r="M350" s="616">
        <f t="shared" si="448"/>
        <v>6</v>
      </c>
      <c r="N350" s="616">
        <f t="shared" si="448"/>
        <v>-24</v>
      </c>
      <c r="O350" s="616">
        <f t="shared" si="448"/>
        <v>-14</v>
      </c>
      <c r="P350" s="616">
        <f t="shared" si="399"/>
        <v>-53</v>
      </c>
      <c r="Q350" s="617">
        <f t="shared" si="448"/>
        <v>-4.4166666666666714</v>
      </c>
      <c r="R350" s="372"/>
      <c r="S350" s="615">
        <f t="shared" si="449"/>
        <v>1</v>
      </c>
      <c r="T350" s="616">
        <f t="shared" si="449"/>
        <v>17</v>
      </c>
      <c r="U350" s="616">
        <f t="shared" si="449"/>
        <v>-2</v>
      </c>
      <c r="V350" s="616">
        <f t="shared" si="449"/>
        <v>6</v>
      </c>
      <c r="W350" s="616">
        <f t="shared" si="449"/>
        <v>-3</v>
      </c>
      <c r="X350" s="616">
        <f t="shared" si="449"/>
        <v>-11</v>
      </c>
      <c r="Y350" s="616">
        <f t="shared" si="449"/>
        <v>0</v>
      </c>
      <c r="Z350" s="616">
        <f t="shared" si="449"/>
        <v>19</v>
      </c>
      <c r="AA350" s="616">
        <f t="shared" si="449"/>
        <v>-26</v>
      </c>
      <c r="AB350" s="616">
        <f t="shared" si="449"/>
        <v>24</v>
      </c>
      <c r="AC350" s="616">
        <f t="shared" si="449"/>
        <v>-21</v>
      </c>
      <c r="AD350" s="616">
        <f t="shared" si="449"/>
        <v>-1</v>
      </c>
      <c r="AE350" s="616">
        <f t="shared" si="401"/>
        <v>3</v>
      </c>
      <c r="AF350" s="617">
        <f t="shared" si="449"/>
        <v>0.25</v>
      </c>
      <c r="AG350" s="655"/>
      <c r="AH350" s="615">
        <f t="shared" ref="AH350:AM355" si="451">AH282-AH316</f>
        <v>37</v>
      </c>
      <c r="AI350" s="616">
        <f t="shared" si="451"/>
        <v>-50</v>
      </c>
      <c r="AJ350" s="616">
        <f t="shared" si="451"/>
        <v>5</v>
      </c>
      <c r="AK350" s="616">
        <f t="shared" si="451"/>
        <v>15</v>
      </c>
      <c r="AL350" s="616">
        <f t="shared" si="451"/>
        <v>4</v>
      </c>
      <c r="AM350" s="616">
        <f t="shared" si="451"/>
        <v>5</v>
      </c>
      <c r="AN350" s="616">
        <v>12</v>
      </c>
      <c r="AO350" s="616">
        <f t="shared" si="446"/>
        <v>-2</v>
      </c>
      <c r="AP350" s="616">
        <f t="shared" si="446"/>
        <v>-3</v>
      </c>
      <c r="AQ350" s="616">
        <f t="shared" si="446"/>
        <v>-4</v>
      </c>
      <c r="AR350" s="616">
        <v>13</v>
      </c>
      <c r="AS350" s="616">
        <v>-26</v>
      </c>
      <c r="AT350" s="616">
        <f t="shared" si="393"/>
        <v>6</v>
      </c>
      <c r="AU350" s="617">
        <f t="shared" si="403"/>
        <v>0.5</v>
      </c>
      <c r="AX350" s="615">
        <v>-10</v>
      </c>
      <c r="AY350" s="616">
        <v>50</v>
      </c>
      <c r="AZ350" s="616">
        <f t="shared" si="450"/>
        <v>-25</v>
      </c>
      <c r="BA350" s="616">
        <v>10</v>
      </c>
      <c r="BB350" s="616">
        <v>11</v>
      </c>
      <c r="BC350" s="616">
        <f t="shared" si="447"/>
        <v>-20</v>
      </c>
      <c r="BD350" s="2353">
        <v>0</v>
      </c>
      <c r="BE350" s="2353">
        <v>0</v>
      </c>
      <c r="BF350" s="2353">
        <v>0</v>
      </c>
      <c r="BG350" s="2353">
        <v>0</v>
      </c>
      <c r="BH350" s="2353">
        <v>0</v>
      </c>
      <c r="BI350" s="2353">
        <v>0</v>
      </c>
      <c r="BJ350" s="616">
        <f t="shared" si="394"/>
        <v>16</v>
      </c>
      <c r="BK350" s="617">
        <f t="shared" si="404"/>
        <v>1.3333333333333333</v>
      </c>
      <c r="BN350" s="322">
        <f t="shared" si="409"/>
        <v>26</v>
      </c>
      <c r="BO350" s="322">
        <f t="shared" si="395"/>
        <v>0.83333333333333326</v>
      </c>
      <c r="BP350" s="322">
        <f t="shared" si="396"/>
        <v>10</v>
      </c>
      <c r="BQ350" s="322">
        <f t="shared" si="405"/>
        <v>0</v>
      </c>
      <c r="BR350" s="2265">
        <f t="shared" si="397"/>
        <v>0</v>
      </c>
      <c r="BS350" s="2265">
        <f t="shared" si="398"/>
        <v>0</v>
      </c>
    </row>
    <row r="351" spans="1:71" s="172" customFormat="1" x14ac:dyDescent="0.55000000000000004">
      <c r="A351" s="7531"/>
      <c r="B351" s="253"/>
      <c r="C351" s="173" t="s">
        <v>244</v>
      </c>
      <c r="D351" s="618">
        <f t="shared" si="448"/>
        <v>-44</v>
      </c>
      <c r="E351" s="619">
        <f t="shared" si="448"/>
        <v>69</v>
      </c>
      <c r="F351" s="619">
        <f t="shared" si="448"/>
        <v>-39</v>
      </c>
      <c r="G351" s="619">
        <f t="shared" si="448"/>
        <v>-4</v>
      </c>
      <c r="H351" s="619">
        <f t="shared" si="448"/>
        <v>39</v>
      </c>
      <c r="I351" s="619">
        <f t="shared" si="448"/>
        <v>-22</v>
      </c>
      <c r="J351" s="619">
        <f t="shared" si="448"/>
        <v>-52</v>
      </c>
      <c r="K351" s="619">
        <f t="shared" si="448"/>
        <v>3</v>
      </c>
      <c r="L351" s="619">
        <f t="shared" si="448"/>
        <v>-38</v>
      </c>
      <c r="M351" s="619">
        <f t="shared" si="448"/>
        <v>19</v>
      </c>
      <c r="N351" s="619">
        <f t="shared" si="448"/>
        <v>-16</v>
      </c>
      <c r="O351" s="619">
        <f t="shared" si="448"/>
        <v>-35</v>
      </c>
      <c r="P351" s="619">
        <f t="shared" si="399"/>
        <v>-120</v>
      </c>
      <c r="Q351" s="620">
        <f t="shared" si="448"/>
        <v>-9.9999999999999858</v>
      </c>
      <c r="R351" s="372"/>
      <c r="S351" s="618">
        <f t="shared" si="449"/>
        <v>16</v>
      </c>
      <c r="T351" s="619">
        <f t="shared" si="449"/>
        <v>65</v>
      </c>
      <c r="U351" s="619">
        <f t="shared" si="449"/>
        <v>9</v>
      </c>
      <c r="V351" s="619">
        <f t="shared" si="449"/>
        <v>-125</v>
      </c>
      <c r="W351" s="619">
        <f t="shared" si="449"/>
        <v>-29</v>
      </c>
      <c r="X351" s="619">
        <f t="shared" si="449"/>
        <v>2</v>
      </c>
      <c r="Y351" s="619">
        <f t="shared" si="449"/>
        <v>-55</v>
      </c>
      <c r="Z351" s="619">
        <f t="shared" si="449"/>
        <v>77</v>
      </c>
      <c r="AA351" s="619">
        <f t="shared" si="449"/>
        <v>-75</v>
      </c>
      <c r="AB351" s="619">
        <f t="shared" si="449"/>
        <v>71</v>
      </c>
      <c r="AC351" s="619">
        <f t="shared" si="449"/>
        <v>19</v>
      </c>
      <c r="AD351" s="619">
        <f t="shared" si="449"/>
        <v>-79</v>
      </c>
      <c r="AE351" s="619">
        <f t="shared" si="401"/>
        <v>-104</v>
      </c>
      <c r="AF351" s="620">
        <f t="shared" si="449"/>
        <v>-8.6666666666666572</v>
      </c>
      <c r="AG351" s="655"/>
      <c r="AH351" s="618">
        <f t="shared" si="451"/>
        <v>86</v>
      </c>
      <c r="AI351" s="619">
        <f t="shared" si="451"/>
        <v>-65</v>
      </c>
      <c r="AJ351" s="619">
        <f t="shared" si="451"/>
        <v>3</v>
      </c>
      <c r="AK351" s="619">
        <f t="shared" si="451"/>
        <v>-20</v>
      </c>
      <c r="AL351" s="619">
        <f t="shared" si="451"/>
        <v>27</v>
      </c>
      <c r="AM351" s="619">
        <f t="shared" si="451"/>
        <v>-21</v>
      </c>
      <c r="AN351" s="619">
        <v>4</v>
      </c>
      <c r="AO351" s="619">
        <f t="shared" si="446"/>
        <v>-8</v>
      </c>
      <c r="AP351" s="619">
        <f t="shared" si="446"/>
        <v>12</v>
      </c>
      <c r="AQ351" s="619">
        <f t="shared" si="446"/>
        <v>62</v>
      </c>
      <c r="AR351" s="619">
        <v>-49</v>
      </c>
      <c r="AS351" s="619">
        <v>-59</v>
      </c>
      <c r="AT351" s="619">
        <f t="shared" si="393"/>
        <v>-28</v>
      </c>
      <c r="AU351" s="620">
        <f t="shared" si="403"/>
        <v>-2.3333333333333335</v>
      </c>
      <c r="AX351" s="618">
        <v>-35</v>
      </c>
      <c r="AY351" s="619">
        <v>159</v>
      </c>
      <c r="AZ351" s="619">
        <f t="shared" si="450"/>
        <v>-36</v>
      </c>
      <c r="BA351" s="619">
        <v>-64</v>
      </c>
      <c r="BB351" s="619">
        <v>70</v>
      </c>
      <c r="BC351" s="619">
        <f t="shared" si="447"/>
        <v>-19</v>
      </c>
      <c r="BD351" s="619">
        <v>-12</v>
      </c>
      <c r="BE351" s="619">
        <v>40</v>
      </c>
      <c r="BF351" s="619">
        <v>-3</v>
      </c>
      <c r="BG351" s="619">
        <v>2</v>
      </c>
      <c r="BH351" s="619">
        <v>18</v>
      </c>
      <c r="BI351" s="619">
        <v>-2</v>
      </c>
      <c r="BJ351" s="619">
        <f t="shared" si="394"/>
        <v>118</v>
      </c>
      <c r="BK351" s="620">
        <f t="shared" si="404"/>
        <v>9.8333333333333339</v>
      </c>
      <c r="BN351" s="322">
        <f t="shared" si="409"/>
        <v>57</v>
      </c>
      <c r="BO351" s="322">
        <f t="shared" si="395"/>
        <v>12.166666666666668</v>
      </c>
      <c r="BP351" s="322">
        <f t="shared" si="396"/>
        <v>146</v>
      </c>
      <c r="BQ351" s="322">
        <f t="shared" si="405"/>
        <v>-20</v>
      </c>
      <c r="BR351" s="2265">
        <f t="shared" si="397"/>
        <v>18</v>
      </c>
      <c r="BS351" s="2265">
        <f t="shared" si="398"/>
        <v>-2</v>
      </c>
    </row>
    <row r="352" spans="1:71" s="172" customFormat="1" x14ac:dyDescent="0.55000000000000004">
      <c r="A352" s="7531"/>
      <c r="B352" s="253"/>
      <c r="C352" s="181" t="s">
        <v>245</v>
      </c>
      <c r="D352" s="615">
        <f t="shared" si="448"/>
        <v>-20</v>
      </c>
      <c r="E352" s="616">
        <f t="shared" si="448"/>
        <v>51</v>
      </c>
      <c r="F352" s="616">
        <f t="shared" si="448"/>
        <v>-5</v>
      </c>
      <c r="G352" s="616">
        <f t="shared" si="448"/>
        <v>47</v>
      </c>
      <c r="H352" s="616">
        <f t="shared" si="448"/>
        <v>49</v>
      </c>
      <c r="I352" s="616">
        <f t="shared" si="448"/>
        <v>-22</v>
      </c>
      <c r="J352" s="616">
        <f t="shared" si="448"/>
        <v>11</v>
      </c>
      <c r="K352" s="616">
        <f t="shared" si="448"/>
        <v>2</v>
      </c>
      <c r="L352" s="616">
        <f t="shared" si="448"/>
        <v>-102</v>
      </c>
      <c r="M352" s="616">
        <f t="shared" si="448"/>
        <v>58</v>
      </c>
      <c r="N352" s="616">
        <f t="shared" si="448"/>
        <v>-51</v>
      </c>
      <c r="O352" s="616">
        <f t="shared" si="448"/>
        <v>-54</v>
      </c>
      <c r="P352" s="616">
        <f t="shared" si="399"/>
        <v>-36</v>
      </c>
      <c r="Q352" s="617">
        <f t="shared" si="448"/>
        <v>-3</v>
      </c>
      <c r="R352" s="372"/>
      <c r="S352" s="615">
        <f t="shared" si="449"/>
        <v>80</v>
      </c>
      <c r="T352" s="616">
        <f t="shared" si="449"/>
        <v>-31</v>
      </c>
      <c r="U352" s="616">
        <f t="shared" si="449"/>
        <v>65</v>
      </c>
      <c r="V352" s="616">
        <f t="shared" si="449"/>
        <v>-90</v>
      </c>
      <c r="W352" s="616">
        <f t="shared" si="449"/>
        <v>-18</v>
      </c>
      <c r="X352" s="616">
        <f t="shared" si="449"/>
        <v>-34</v>
      </c>
      <c r="Y352" s="616">
        <f t="shared" si="449"/>
        <v>-8</v>
      </c>
      <c r="Z352" s="616">
        <f t="shared" si="449"/>
        <v>72</v>
      </c>
      <c r="AA352" s="616">
        <f t="shared" si="449"/>
        <v>-55</v>
      </c>
      <c r="AB352" s="616">
        <f t="shared" si="449"/>
        <v>58</v>
      </c>
      <c r="AC352" s="616">
        <f t="shared" si="449"/>
        <v>-58</v>
      </c>
      <c r="AD352" s="616">
        <f t="shared" si="449"/>
        <v>-46</v>
      </c>
      <c r="AE352" s="616">
        <f t="shared" si="401"/>
        <v>-65</v>
      </c>
      <c r="AF352" s="617">
        <f t="shared" si="449"/>
        <v>-5.4166666666666572</v>
      </c>
      <c r="AG352" s="655"/>
      <c r="AH352" s="615">
        <f t="shared" si="451"/>
        <v>25</v>
      </c>
      <c r="AI352" s="616">
        <f t="shared" si="451"/>
        <v>-55</v>
      </c>
      <c r="AJ352" s="616">
        <f t="shared" si="451"/>
        <v>27</v>
      </c>
      <c r="AK352" s="616">
        <f t="shared" si="451"/>
        <v>25</v>
      </c>
      <c r="AL352" s="616">
        <f t="shared" si="451"/>
        <v>43</v>
      </c>
      <c r="AM352" s="616">
        <f t="shared" si="451"/>
        <v>8</v>
      </c>
      <c r="AN352" s="616">
        <v>-34</v>
      </c>
      <c r="AO352" s="616">
        <f t="shared" si="446"/>
        <v>-26</v>
      </c>
      <c r="AP352" s="616">
        <f t="shared" si="446"/>
        <v>80</v>
      </c>
      <c r="AQ352" s="616">
        <f t="shared" si="446"/>
        <v>-1</v>
      </c>
      <c r="AR352" s="616">
        <v>-54</v>
      </c>
      <c r="AS352" s="616">
        <v>-59</v>
      </c>
      <c r="AT352" s="616">
        <f t="shared" si="393"/>
        <v>-21</v>
      </c>
      <c r="AU352" s="617">
        <f t="shared" si="403"/>
        <v>-1.75</v>
      </c>
      <c r="AX352" s="615">
        <v>-13</v>
      </c>
      <c r="AY352" s="616">
        <v>143</v>
      </c>
      <c r="AZ352" s="616">
        <f t="shared" si="450"/>
        <v>-69</v>
      </c>
      <c r="BA352" s="616">
        <v>4</v>
      </c>
      <c r="BB352" s="616">
        <v>71</v>
      </c>
      <c r="BC352" s="616">
        <f t="shared" si="447"/>
        <v>-41</v>
      </c>
      <c r="BD352" s="616">
        <v>-2</v>
      </c>
      <c r="BE352" s="616">
        <v>15</v>
      </c>
      <c r="BF352" s="616">
        <v>-26</v>
      </c>
      <c r="BG352" s="616">
        <v>-24</v>
      </c>
      <c r="BH352" s="616">
        <v>-2</v>
      </c>
      <c r="BI352" s="616">
        <v>23</v>
      </c>
      <c r="BJ352" s="616">
        <f t="shared" si="394"/>
        <v>79</v>
      </c>
      <c r="BK352" s="617">
        <f t="shared" si="404"/>
        <v>6.583333333333333</v>
      </c>
      <c r="BN352" s="322">
        <f t="shared" si="409"/>
        <v>82</v>
      </c>
      <c r="BO352" s="322">
        <f t="shared" si="395"/>
        <v>8.3333333333333321</v>
      </c>
      <c r="BP352" s="322">
        <f t="shared" si="396"/>
        <v>100</v>
      </c>
      <c r="BQ352" s="322">
        <f t="shared" si="405"/>
        <v>25</v>
      </c>
      <c r="BR352" s="2265">
        <f t="shared" si="397"/>
        <v>-2</v>
      </c>
      <c r="BS352" s="2265">
        <f t="shared" si="398"/>
        <v>23</v>
      </c>
    </row>
    <row r="353" spans="1:71" s="172" customFormat="1" x14ac:dyDescent="0.55000000000000004">
      <c r="A353" s="7531"/>
      <c r="B353" s="253"/>
      <c r="C353" s="173" t="s">
        <v>246</v>
      </c>
      <c r="D353" s="618">
        <f t="shared" si="448"/>
        <v>-30</v>
      </c>
      <c r="E353" s="619">
        <f t="shared" si="448"/>
        <v>21</v>
      </c>
      <c r="F353" s="619">
        <f t="shared" si="448"/>
        <v>56</v>
      </c>
      <c r="G353" s="619">
        <f t="shared" si="448"/>
        <v>17</v>
      </c>
      <c r="H353" s="619">
        <f t="shared" si="448"/>
        <v>-1</v>
      </c>
      <c r="I353" s="619">
        <f t="shared" si="448"/>
        <v>-1</v>
      </c>
      <c r="J353" s="619">
        <f t="shared" si="448"/>
        <v>12</v>
      </c>
      <c r="K353" s="619">
        <f t="shared" si="448"/>
        <v>-6</v>
      </c>
      <c r="L353" s="619">
        <f t="shared" si="448"/>
        <v>-11</v>
      </c>
      <c r="M353" s="619">
        <f t="shared" si="448"/>
        <v>26</v>
      </c>
      <c r="N353" s="619">
        <f t="shared" si="448"/>
        <v>17</v>
      </c>
      <c r="O353" s="619">
        <f t="shared" si="448"/>
        <v>-96</v>
      </c>
      <c r="P353" s="619">
        <f t="shared" si="399"/>
        <v>4</v>
      </c>
      <c r="Q353" s="620">
        <f t="shared" si="448"/>
        <v>0.33333333333334281</v>
      </c>
      <c r="R353" s="372"/>
      <c r="S353" s="618">
        <f t="shared" si="449"/>
        <v>-25</v>
      </c>
      <c r="T353" s="619">
        <f t="shared" si="449"/>
        <v>53</v>
      </c>
      <c r="U353" s="619">
        <f t="shared" si="449"/>
        <v>-4</v>
      </c>
      <c r="V353" s="619">
        <f t="shared" si="449"/>
        <v>-22</v>
      </c>
      <c r="W353" s="619">
        <f t="shared" si="449"/>
        <v>-25</v>
      </c>
      <c r="X353" s="619">
        <f t="shared" si="449"/>
        <v>-24</v>
      </c>
      <c r="Y353" s="619">
        <f t="shared" si="449"/>
        <v>23</v>
      </c>
      <c r="Z353" s="619">
        <f t="shared" si="449"/>
        <v>52</v>
      </c>
      <c r="AA353" s="619">
        <f t="shared" si="449"/>
        <v>-7</v>
      </c>
      <c r="AB353" s="619">
        <f t="shared" si="449"/>
        <v>-14</v>
      </c>
      <c r="AC353" s="619">
        <f t="shared" si="449"/>
        <v>-17</v>
      </c>
      <c r="AD353" s="619">
        <f t="shared" si="449"/>
        <v>-39</v>
      </c>
      <c r="AE353" s="619">
        <f t="shared" si="401"/>
        <v>-49</v>
      </c>
      <c r="AF353" s="620">
        <f t="shared" si="449"/>
        <v>-4.0833333333333286</v>
      </c>
      <c r="AG353" s="655"/>
      <c r="AH353" s="618">
        <f t="shared" si="451"/>
        <v>70</v>
      </c>
      <c r="AI353" s="619">
        <f t="shared" si="451"/>
        <v>-55</v>
      </c>
      <c r="AJ353" s="619">
        <f t="shared" si="451"/>
        <v>30</v>
      </c>
      <c r="AK353" s="619">
        <f t="shared" si="451"/>
        <v>9</v>
      </c>
      <c r="AL353" s="619">
        <f t="shared" si="451"/>
        <v>17</v>
      </c>
      <c r="AM353" s="619">
        <f t="shared" si="451"/>
        <v>-4</v>
      </c>
      <c r="AN353" s="619">
        <v>-13</v>
      </c>
      <c r="AO353" s="619">
        <f t="shared" si="446"/>
        <v>-36</v>
      </c>
      <c r="AP353" s="619">
        <f t="shared" si="446"/>
        <v>111</v>
      </c>
      <c r="AQ353" s="619">
        <f t="shared" si="446"/>
        <v>-10</v>
      </c>
      <c r="AR353" s="619">
        <v>44</v>
      </c>
      <c r="AS353" s="619">
        <v>-12</v>
      </c>
      <c r="AT353" s="619">
        <f t="shared" si="393"/>
        <v>151</v>
      </c>
      <c r="AU353" s="620">
        <f t="shared" si="403"/>
        <v>12.583333333333334</v>
      </c>
      <c r="AX353" s="618">
        <v>-1</v>
      </c>
      <c r="AY353" s="619">
        <v>78</v>
      </c>
      <c r="AZ353" s="619">
        <f t="shared" si="450"/>
        <v>-6</v>
      </c>
      <c r="BA353" s="619">
        <v>39</v>
      </c>
      <c r="BB353" s="619">
        <v>72</v>
      </c>
      <c r="BC353" s="619">
        <f t="shared" si="447"/>
        <v>28</v>
      </c>
      <c r="BD353" s="619">
        <v>-21</v>
      </c>
      <c r="BE353" s="619">
        <v>-54</v>
      </c>
      <c r="BF353" s="619">
        <v>-22</v>
      </c>
      <c r="BG353" s="619">
        <v>-9</v>
      </c>
      <c r="BH353" s="619">
        <v>-63</v>
      </c>
      <c r="BI353" s="619">
        <v>32</v>
      </c>
      <c r="BJ353" s="619">
        <f t="shared" si="394"/>
        <v>73</v>
      </c>
      <c r="BK353" s="620">
        <f t="shared" si="404"/>
        <v>6.083333333333333</v>
      </c>
      <c r="BN353" s="322">
        <f t="shared" si="409"/>
        <v>44</v>
      </c>
      <c r="BO353" s="322">
        <f t="shared" si="395"/>
        <v>-6.5000000000000009</v>
      </c>
      <c r="BP353" s="322">
        <f t="shared" si="396"/>
        <v>-78</v>
      </c>
      <c r="BQ353" s="322">
        <f t="shared" si="405"/>
        <v>95</v>
      </c>
      <c r="BR353" s="2265">
        <f t="shared" si="397"/>
        <v>-63</v>
      </c>
      <c r="BS353" s="2265">
        <f t="shared" si="398"/>
        <v>32</v>
      </c>
    </row>
    <row r="354" spans="1:71" s="172" customFormat="1" x14ac:dyDescent="0.55000000000000004">
      <c r="A354" s="7531"/>
      <c r="B354" s="253"/>
      <c r="C354" s="173" t="s">
        <v>247</v>
      </c>
      <c r="D354" s="618">
        <f t="shared" si="448"/>
        <v>2</v>
      </c>
      <c r="E354" s="619">
        <f t="shared" si="448"/>
        <v>5</v>
      </c>
      <c r="F354" s="619">
        <f t="shared" si="448"/>
        <v>51</v>
      </c>
      <c r="G354" s="619">
        <f t="shared" si="448"/>
        <v>12</v>
      </c>
      <c r="H354" s="619">
        <f t="shared" si="448"/>
        <v>-20</v>
      </c>
      <c r="I354" s="619">
        <f t="shared" si="448"/>
        <v>-5</v>
      </c>
      <c r="J354" s="619">
        <f t="shared" si="448"/>
        <v>-1</v>
      </c>
      <c r="K354" s="619">
        <f t="shared" si="448"/>
        <v>-1</v>
      </c>
      <c r="L354" s="619">
        <f t="shared" si="448"/>
        <v>-21</v>
      </c>
      <c r="M354" s="619">
        <f t="shared" si="448"/>
        <v>39</v>
      </c>
      <c r="N354" s="619">
        <f t="shared" si="448"/>
        <v>-74</v>
      </c>
      <c r="O354" s="619">
        <f t="shared" si="448"/>
        <v>-93</v>
      </c>
      <c r="P354" s="619">
        <f t="shared" si="399"/>
        <v>-106</v>
      </c>
      <c r="Q354" s="620">
        <f t="shared" si="448"/>
        <v>-8.8333333333333428</v>
      </c>
      <c r="R354" s="372"/>
      <c r="S354" s="618">
        <f t="shared" si="449"/>
        <v>89</v>
      </c>
      <c r="T354" s="619">
        <f t="shared" si="449"/>
        <v>31</v>
      </c>
      <c r="U354" s="619">
        <f t="shared" si="449"/>
        <v>-37</v>
      </c>
      <c r="V354" s="619">
        <f t="shared" si="449"/>
        <v>33</v>
      </c>
      <c r="W354" s="619">
        <f t="shared" si="449"/>
        <v>-9</v>
      </c>
      <c r="X354" s="619">
        <f t="shared" si="449"/>
        <v>-15</v>
      </c>
      <c r="Y354" s="619">
        <f t="shared" si="449"/>
        <v>-11</v>
      </c>
      <c r="Z354" s="619">
        <f t="shared" si="449"/>
        <v>50</v>
      </c>
      <c r="AA354" s="619">
        <f t="shared" si="449"/>
        <v>-19</v>
      </c>
      <c r="AB354" s="619">
        <f t="shared" si="449"/>
        <v>2</v>
      </c>
      <c r="AC354" s="619">
        <f t="shared" si="449"/>
        <v>-13</v>
      </c>
      <c r="AD354" s="619">
        <f t="shared" si="449"/>
        <v>-50</v>
      </c>
      <c r="AE354" s="619">
        <f t="shared" si="401"/>
        <v>51</v>
      </c>
      <c r="AF354" s="620">
        <f t="shared" si="449"/>
        <v>4.25</v>
      </c>
      <c r="AG354" s="655"/>
      <c r="AH354" s="618">
        <f t="shared" si="451"/>
        <v>53</v>
      </c>
      <c r="AI354" s="619">
        <f t="shared" si="451"/>
        <v>16</v>
      </c>
      <c r="AJ354" s="619">
        <f t="shared" si="451"/>
        <v>7</v>
      </c>
      <c r="AK354" s="619">
        <f t="shared" si="451"/>
        <v>0</v>
      </c>
      <c r="AL354" s="619">
        <f t="shared" si="451"/>
        <v>-6</v>
      </c>
      <c r="AM354" s="619">
        <f t="shared" si="451"/>
        <v>-13</v>
      </c>
      <c r="AN354" s="619">
        <v>11</v>
      </c>
      <c r="AO354" s="619">
        <f t="shared" si="446"/>
        <v>-37</v>
      </c>
      <c r="AP354" s="619">
        <f t="shared" si="446"/>
        <v>36</v>
      </c>
      <c r="AQ354" s="619">
        <f t="shared" si="446"/>
        <v>-20</v>
      </c>
      <c r="AR354" s="619">
        <v>24</v>
      </c>
      <c r="AS354" s="619">
        <v>-27</v>
      </c>
      <c r="AT354" s="619">
        <f t="shared" si="393"/>
        <v>44</v>
      </c>
      <c r="AU354" s="620">
        <f t="shared" si="403"/>
        <v>3.6666666666666665</v>
      </c>
      <c r="AX354" s="618">
        <v>-9</v>
      </c>
      <c r="AY354" s="619">
        <v>64</v>
      </c>
      <c r="AZ354" s="619">
        <f t="shared" si="450"/>
        <v>-25</v>
      </c>
      <c r="BA354" s="619">
        <v>28</v>
      </c>
      <c r="BB354" s="619">
        <v>62</v>
      </c>
      <c r="BC354" s="619">
        <f t="shared" si="447"/>
        <v>-22</v>
      </c>
      <c r="BD354" s="619">
        <v>-11</v>
      </c>
      <c r="BE354" s="619">
        <v>-3</v>
      </c>
      <c r="BF354" s="619">
        <v>44</v>
      </c>
      <c r="BG354" s="619">
        <v>-13</v>
      </c>
      <c r="BH354" s="619">
        <v>-24</v>
      </c>
      <c r="BI354" s="619">
        <v>12</v>
      </c>
      <c r="BJ354" s="619">
        <f t="shared" si="394"/>
        <v>103</v>
      </c>
      <c r="BK354" s="620">
        <f t="shared" si="404"/>
        <v>8.5833333333333339</v>
      </c>
      <c r="BN354" s="322">
        <f t="shared" si="409"/>
        <v>39</v>
      </c>
      <c r="BO354" s="322">
        <f t="shared" si="395"/>
        <v>4.9166666666666679</v>
      </c>
      <c r="BP354" s="322">
        <f t="shared" si="396"/>
        <v>59</v>
      </c>
      <c r="BQ354" s="322">
        <f t="shared" si="405"/>
        <v>36</v>
      </c>
      <c r="BR354" s="2265">
        <f t="shared" si="397"/>
        <v>-24</v>
      </c>
      <c r="BS354" s="2265">
        <f t="shared" si="398"/>
        <v>12</v>
      </c>
    </row>
    <row r="355" spans="1:71" s="172" customFormat="1" x14ac:dyDescent="0.55000000000000004">
      <c r="A355" s="7531"/>
      <c r="B355" s="253"/>
      <c r="C355" s="181" t="s">
        <v>248</v>
      </c>
      <c r="D355" s="615">
        <f t="shared" si="448"/>
        <v>-14</v>
      </c>
      <c r="E355" s="616">
        <f t="shared" si="448"/>
        <v>-9</v>
      </c>
      <c r="F355" s="616">
        <f t="shared" si="448"/>
        <v>36</v>
      </c>
      <c r="G355" s="616">
        <f t="shared" si="448"/>
        <v>5</v>
      </c>
      <c r="H355" s="616">
        <f t="shared" si="448"/>
        <v>28</v>
      </c>
      <c r="I355" s="616">
        <f t="shared" si="448"/>
        <v>-13</v>
      </c>
      <c r="J355" s="616">
        <f t="shared" si="448"/>
        <v>-5</v>
      </c>
      <c r="K355" s="616">
        <f t="shared" si="448"/>
        <v>-62</v>
      </c>
      <c r="L355" s="616">
        <f t="shared" si="448"/>
        <v>-19</v>
      </c>
      <c r="M355" s="616">
        <f t="shared" si="448"/>
        <v>63</v>
      </c>
      <c r="N355" s="616">
        <f t="shared" si="448"/>
        <v>-5</v>
      </c>
      <c r="O355" s="616">
        <f t="shared" si="448"/>
        <v>0</v>
      </c>
      <c r="P355" s="616">
        <f t="shared" si="399"/>
        <v>5</v>
      </c>
      <c r="Q355" s="617">
        <f t="shared" si="448"/>
        <v>0.4166666666666714</v>
      </c>
      <c r="R355" s="372"/>
      <c r="S355" s="615">
        <f t="shared" si="449"/>
        <v>16</v>
      </c>
      <c r="T355" s="616">
        <f t="shared" si="449"/>
        <v>0</v>
      </c>
      <c r="U355" s="616">
        <f t="shared" si="449"/>
        <v>-32</v>
      </c>
      <c r="V355" s="616">
        <f t="shared" si="449"/>
        <v>-15</v>
      </c>
      <c r="W355" s="616">
        <f t="shared" si="449"/>
        <v>-9</v>
      </c>
      <c r="X355" s="616">
        <f t="shared" si="449"/>
        <v>-23</v>
      </c>
      <c r="Y355" s="616">
        <f t="shared" si="449"/>
        <v>27</v>
      </c>
      <c r="Z355" s="616">
        <f t="shared" si="449"/>
        <v>21</v>
      </c>
      <c r="AA355" s="616">
        <f t="shared" si="449"/>
        <v>-64</v>
      </c>
      <c r="AB355" s="616">
        <f t="shared" si="449"/>
        <v>50</v>
      </c>
      <c r="AC355" s="616">
        <f t="shared" si="449"/>
        <v>-22</v>
      </c>
      <c r="AD355" s="616">
        <f t="shared" si="449"/>
        <v>-55</v>
      </c>
      <c r="AE355" s="616">
        <f t="shared" si="401"/>
        <v>-106</v>
      </c>
      <c r="AF355" s="617">
        <f t="shared" si="449"/>
        <v>-8.8333333333333286</v>
      </c>
      <c r="AG355" s="655"/>
      <c r="AH355" s="615">
        <f t="shared" si="451"/>
        <v>59</v>
      </c>
      <c r="AI355" s="616">
        <f t="shared" si="451"/>
        <v>-15</v>
      </c>
      <c r="AJ355" s="616">
        <f t="shared" si="451"/>
        <v>12</v>
      </c>
      <c r="AK355" s="616">
        <f t="shared" si="451"/>
        <v>22</v>
      </c>
      <c r="AL355" s="616">
        <f t="shared" si="451"/>
        <v>-5</v>
      </c>
      <c r="AM355" s="616">
        <f t="shared" si="451"/>
        <v>5</v>
      </c>
      <c r="AN355" s="616">
        <v>-31</v>
      </c>
      <c r="AO355" s="616">
        <f t="shared" si="446"/>
        <v>-65</v>
      </c>
      <c r="AP355" s="616">
        <f t="shared" si="446"/>
        <v>83</v>
      </c>
      <c r="AQ355" s="616">
        <f t="shared" si="446"/>
        <v>10</v>
      </c>
      <c r="AR355" s="616">
        <v>5</v>
      </c>
      <c r="AS355" s="616">
        <v>-46</v>
      </c>
      <c r="AT355" s="616">
        <f t="shared" si="393"/>
        <v>34</v>
      </c>
      <c r="AU355" s="617">
        <f t="shared" si="403"/>
        <v>2.8333333333333335</v>
      </c>
      <c r="AX355" s="615">
        <v>-16</v>
      </c>
      <c r="AY355" s="616">
        <v>64</v>
      </c>
      <c r="AZ355" s="616">
        <f t="shared" si="450"/>
        <v>-31</v>
      </c>
      <c r="BA355" s="616">
        <v>16</v>
      </c>
      <c r="BB355" s="616">
        <v>37</v>
      </c>
      <c r="BC355" s="616">
        <f t="shared" si="447"/>
        <v>-10</v>
      </c>
      <c r="BD355" s="616">
        <v>-24</v>
      </c>
      <c r="BE355" s="616">
        <v>-13</v>
      </c>
      <c r="BF355" s="616">
        <v>0</v>
      </c>
      <c r="BG355" s="616">
        <v>7</v>
      </c>
      <c r="BH355" s="616">
        <v>-14</v>
      </c>
      <c r="BI355" s="616">
        <v>-9</v>
      </c>
      <c r="BJ355" s="616">
        <f t="shared" si="394"/>
        <v>7</v>
      </c>
      <c r="BK355" s="617">
        <f t="shared" si="404"/>
        <v>0.58333333333333337</v>
      </c>
      <c r="BN355" s="322">
        <f t="shared" si="409"/>
        <v>37</v>
      </c>
      <c r="BO355" s="322">
        <f t="shared" si="395"/>
        <v>-2.25</v>
      </c>
      <c r="BP355" s="322">
        <f t="shared" si="396"/>
        <v>-27</v>
      </c>
      <c r="BQ355" s="322">
        <f t="shared" si="405"/>
        <v>5</v>
      </c>
      <c r="BR355" s="2265">
        <f t="shared" si="397"/>
        <v>-14</v>
      </c>
      <c r="BS355" s="2265">
        <f t="shared" si="398"/>
        <v>-9</v>
      </c>
    </row>
    <row r="356" spans="1:71" s="172" customFormat="1" ht="18" thickBot="1" x14ac:dyDescent="0.6">
      <c r="A356" s="7531"/>
      <c r="B356" s="254"/>
      <c r="C356" s="182" t="s">
        <v>249</v>
      </c>
      <c r="D356" s="621">
        <f t="shared" si="448"/>
        <v>0</v>
      </c>
      <c r="E356" s="622">
        <f t="shared" si="448"/>
        <v>-12</v>
      </c>
      <c r="F356" s="622">
        <f t="shared" si="448"/>
        <v>18</v>
      </c>
      <c r="G356" s="622">
        <f t="shared" si="448"/>
        <v>-18</v>
      </c>
      <c r="H356" s="622">
        <f t="shared" si="448"/>
        <v>27</v>
      </c>
      <c r="I356" s="622">
        <f t="shared" si="448"/>
        <v>-24</v>
      </c>
      <c r="J356" s="622">
        <f t="shared" si="448"/>
        <v>-1</v>
      </c>
      <c r="K356" s="622">
        <f t="shared" si="448"/>
        <v>-12</v>
      </c>
      <c r="L356" s="622">
        <f t="shared" si="448"/>
        <v>-23</v>
      </c>
      <c r="M356" s="622">
        <f t="shared" si="448"/>
        <v>16</v>
      </c>
      <c r="N356" s="622">
        <f t="shared" si="448"/>
        <v>-26</v>
      </c>
      <c r="O356" s="622">
        <f t="shared" si="448"/>
        <v>-48</v>
      </c>
      <c r="P356" s="622">
        <f t="shared" si="399"/>
        <v>-103</v>
      </c>
      <c r="Q356" s="623">
        <f t="shared" si="448"/>
        <v>-8.5833333333333286</v>
      </c>
      <c r="R356" s="372"/>
      <c r="S356" s="621">
        <f t="shared" si="449"/>
        <v>64</v>
      </c>
      <c r="T356" s="622">
        <f t="shared" si="449"/>
        <v>21</v>
      </c>
      <c r="U356" s="622">
        <f t="shared" si="449"/>
        <v>-9</v>
      </c>
      <c r="V356" s="622">
        <f t="shared" si="449"/>
        <v>-17</v>
      </c>
      <c r="W356" s="622">
        <f t="shared" si="449"/>
        <v>-51</v>
      </c>
      <c r="X356" s="622">
        <f t="shared" si="449"/>
        <v>-10</v>
      </c>
      <c r="Y356" s="622">
        <f t="shared" si="449"/>
        <v>-62</v>
      </c>
      <c r="Z356" s="622">
        <f t="shared" si="449"/>
        <v>67</v>
      </c>
      <c r="AA356" s="622">
        <f t="shared" si="449"/>
        <v>-62</v>
      </c>
      <c r="AB356" s="622">
        <f t="shared" si="449"/>
        <v>-10</v>
      </c>
      <c r="AC356" s="622">
        <f t="shared" si="449"/>
        <v>-22</v>
      </c>
      <c r="AD356" s="622">
        <f t="shared" si="449"/>
        <v>-27</v>
      </c>
      <c r="AE356" s="622">
        <f t="shared" si="401"/>
        <v>-118</v>
      </c>
      <c r="AF356" s="623">
        <f t="shared" si="449"/>
        <v>-9.8333333333333357</v>
      </c>
      <c r="AG356" s="655"/>
      <c r="AH356" s="621">
        <f t="shared" ref="AH356:AM371" si="452">AH288-AH322</f>
        <v>93</v>
      </c>
      <c r="AI356" s="622">
        <f t="shared" si="452"/>
        <v>-39</v>
      </c>
      <c r="AJ356" s="622">
        <f t="shared" si="452"/>
        <v>36</v>
      </c>
      <c r="AK356" s="622">
        <f t="shared" si="452"/>
        <v>3</v>
      </c>
      <c r="AL356" s="622">
        <f t="shared" si="452"/>
        <v>-30</v>
      </c>
      <c r="AM356" s="622">
        <f t="shared" si="452"/>
        <v>32</v>
      </c>
      <c r="AN356" s="622">
        <v>-18</v>
      </c>
      <c r="AO356" s="622">
        <f t="shared" si="446"/>
        <v>-31</v>
      </c>
      <c r="AP356" s="622">
        <f t="shared" si="446"/>
        <v>39</v>
      </c>
      <c r="AQ356" s="622">
        <f t="shared" si="446"/>
        <v>19</v>
      </c>
      <c r="AR356" s="622">
        <v>1</v>
      </c>
      <c r="AS356" s="622">
        <v>-9</v>
      </c>
      <c r="AT356" s="622">
        <f t="shared" si="393"/>
        <v>96</v>
      </c>
      <c r="AU356" s="623">
        <f t="shared" si="403"/>
        <v>8</v>
      </c>
      <c r="AX356" s="621">
        <v>-60</v>
      </c>
      <c r="AY356" s="622">
        <v>65</v>
      </c>
      <c r="AZ356" s="622">
        <f t="shared" si="450"/>
        <v>-9</v>
      </c>
      <c r="BA356" s="622">
        <v>3</v>
      </c>
      <c r="BB356" s="622">
        <v>20</v>
      </c>
      <c r="BC356" s="622">
        <f t="shared" si="447"/>
        <v>-18</v>
      </c>
      <c r="BD356" s="622">
        <v>-14</v>
      </c>
      <c r="BE356" s="622">
        <v>26</v>
      </c>
      <c r="BF356" s="622">
        <v>4</v>
      </c>
      <c r="BG356" s="622">
        <v>-5</v>
      </c>
      <c r="BH356" s="622">
        <v>3</v>
      </c>
      <c r="BI356" s="622">
        <v>-36</v>
      </c>
      <c r="BJ356" s="622">
        <f t="shared" si="394"/>
        <v>-21</v>
      </c>
      <c r="BK356" s="623">
        <f t="shared" si="404"/>
        <v>-1.75</v>
      </c>
      <c r="BN356" s="322">
        <f t="shared" si="409"/>
        <v>-27</v>
      </c>
      <c r="BO356" s="322">
        <f t="shared" si="395"/>
        <v>-9.75</v>
      </c>
      <c r="BP356" s="322">
        <f t="shared" si="396"/>
        <v>-117</v>
      </c>
      <c r="BQ356" s="322">
        <f t="shared" si="405"/>
        <v>-39</v>
      </c>
      <c r="BR356" s="2265">
        <f t="shared" si="397"/>
        <v>3</v>
      </c>
      <c r="BS356" s="2265">
        <f t="shared" si="398"/>
        <v>-36</v>
      </c>
    </row>
    <row r="357" spans="1:71" x14ac:dyDescent="0.55000000000000004">
      <c r="A357" s="7531"/>
      <c r="B357" s="74" t="s">
        <v>268</v>
      </c>
      <c r="C357" s="27"/>
      <c r="D357" s="597">
        <f t="shared" si="448"/>
        <v>158</v>
      </c>
      <c r="E357" s="598">
        <f t="shared" si="448"/>
        <v>78</v>
      </c>
      <c r="F357" s="598">
        <f t="shared" si="448"/>
        <v>-44</v>
      </c>
      <c r="G357" s="598">
        <f t="shared" si="448"/>
        <v>108</v>
      </c>
      <c r="H357" s="598">
        <f t="shared" si="448"/>
        <v>13</v>
      </c>
      <c r="I357" s="598">
        <f t="shared" si="448"/>
        <v>-141</v>
      </c>
      <c r="J357" s="598">
        <f t="shared" si="448"/>
        <v>-117</v>
      </c>
      <c r="K357" s="598">
        <f t="shared" si="448"/>
        <v>84</v>
      </c>
      <c r="L357" s="598">
        <f t="shared" si="448"/>
        <v>-149</v>
      </c>
      <c r="M357" s="598">
        <f t="shared" si="448"/>
        <v>34</v>
      </c>
      <c r="N357" s="598">
        <f t="shared" si="448"/>
        <v>-68</v>
      </c>
      <c r="O357" s="598">
        <f t="shared" si="448"/>
        <v>-81</v>
      </c>
      <c r="P357" s="598">
        <f t="shared" si="399"/>
        <v>-125</v>
      </c>
      <c r="Q357" s="599">
        <f t="shared" si="448"/>
        <v>-10.416666666666686</v>
      </c>
      <c r="R357" s="370"/>
      <c r="S357" s="597">
        <f t="shared" ref="S357:AF372" si="453">S289-S323</f>
        <v>41</v>
      </c>
      <c r="T357" s="598">
        <f t="shared" si="453"/>
        <v>118</v>
      </c>
      <c r="U357" s="598">
        <f t="shared" si="453"/>
        <v>-33</v>
      </c>
      <c r="V357" s="598">
        <f t="shared" si="453"/>
        <v>-72</v>
      </c>
      <c r="W357" s="598">
        <f t="shared" si="453"/>
        <v>97</v>
      </c>
      <c r="X357" s="598">
        <f t="shared" si="453"/>
        <v>-100</v>
      </c>
      <c r="Y357" s="598">
        <f t="shared" si="453"/>
        <v>35</v>
      </c>
      <c r="Z357" s="598">
        <f t="shared" si="453"/>
        <v>132</v>
      </c>
      <c r="AA357" s="598">
        <f t="shared" si="453"/>
        <v>-135</v>
      </c>
      <c r="AB357" s="598">
        <f t="shared" si="453"/>
        <v>68</v>
      </c>
      <c r="AC357" s="598">
        <f t="shared" si="453"/>
        <v>-69</v>
      </c>
      <c r="AD357" s="598">
        <f t="shared" si="453"/>
        <v>-145</v>
      </c>
      <c r="AE357" s="598">
        <f t="shared" si="401"/>
        <v>-63</v>
      </c>
      <c r="AF357" s="599">
        <f t="shared" si="453"/>
        <v>-5.25</v>
      </c>
      <c r="AG357" s="654"/>
      <c r="AH357" s="597">
        <f t="shared" si="452"/>
        <v>344</v>
      </c>
      <c r="AI357" s="598">
        <f t="shared" si="452"/>
        <v>-121</v>
      </c>
      <c r="AJ357" s="598">
        <f t="shared" si="452"/>
        <v>137</v>
      </c>
      <c r="AK357" s="598">
        <f t="shared" si="452"/>
        <v>-31</v>
      </c>
      <c r="AL357" s="598">
        <f t="shared" si="452"/>
        <v>100</v>
      </c>
      <c r="AM357" s="598">
        <f t="shared" si="452"/>
        <v>-13</v>
      </c>
      <c r="AN357" s="598">
        <v>34</v>
      </c>
      <c r="AO357" s="598">
        <f t="shared" si="446"/>
        <v>-87</v>
      </c>
      <c r="AP357" s="598">
        <f t="shared" si="446"/>
        <v>12</v>
      </c>
      <c r="AQ357" s="598">
        <f t="shared" si="446"/>
        <v>88</v>
      </c>
      <c r="AR357" s="598">
        <v>58</v>
      </c>
      <c r="AS357" s="598">
        <v>-131</v>
      </c>
      <c r="AT357" s="598">
        <f t="shared" si="393"/>
        <v>390</v>
      </c>
      <c r="AU357" s="599">
        <f t="shared" si="403"/>
        <v>32.5</v>
      </c>
      <c r="AX357" s="342">
        <v>-26</v>
      </c>
      <c r="AY357" s="598">
        <v>185</v>
      </c>
      <c r="AZ357" s="598">
        <f t="shared" si="450"/>
        <v>-144</v>
      </c>
      <c r="BA357" s="598">
        <v>24</v>
      </c>
      <c r="BB357" s="598">
        <v>185</v>
      </c>
      <c r="BC357" s="598">
        <f t="shared" si="447"/>
        <v>-266</v>
      </c>
      <c r="BD357" s="2348">
        <v>-89</v>
      </c>
      <c r="BE357" s="2348">
        <v>-238</v>
      </c>
      <c r="BF357" s="598">
        <v>85</v>
      </c>
      <c r="BG357" s="598">
        <v>-94</v>
      </c>
      <c r="BH357" s="2348">
        <v>-14</v>
      </c>
      <c r="BI357" s="598">
        <v>60</v>
      </c>
      <c r="BJ357" s="598">
        <f t="shared" si="394"/>
        <v>-332</v>
      </c>
      <c r="BK357" s="599">
        <f t="shared" si="404"/>
        <v>-27.666666666666668</v>
      </c>
      <c r="BN357" s="322">
        <f t="shared" si="409"/>
        <v>191</v>
      </c>
      <c r="BO357" s="322">
        <f t="shared" si="395"/>
        <v>-60.166666666666671</v>
      </c>
      <c r="BP357" s="322">
        <f t="shared" si="396"/>
        <v>-722</v>
      </c>
      <c r="BQ357" s="322">
        <f t="shared" si="405"/>
        <v>74</v>
      </c>
      <c r="BR357" s="2265">
        <f t="shared" si="397"/>
        <v>-14</v>
      </c>
      <c r="BS357" s="2265">
        <f t="shared" si="398"/>
        <v>60</v>
      </c>
    </row>
    <row r="358" spans="1:71" hidden="1" x14ac:dyDescent="0.55000000000000004">
      <c r="A358" s="7531"/>
      <c r="B358" s="248"/>
      <c r="C358" s="12" t="s">
        <v>267</v>
      </c>
      <c r="D358" s="600">
        <f t="shared" si="448"/>
        <v>58</v>
      </c>
      <c r="E358" s="601">
        <f t="shared" si="448"/>
        <v>33</v>
      </c>
      <c r="F358" s="601">
        <f t="shared" ref="E358:Q373" si="454">F290-F324</f>
        <v>50</v>
      </c>
      <c r="G358" s="601">
        <f t="shared" si="454"/>
        <v>70</v>
      </c>
      <c r="H358" s="601">
        <f t="shared" si="454"/>
        <v>66</v>
      </c>
      <c r="I358" s="601">
        <f t="shared" si="454"/>
        <v>43</v>
      </c>
      <c r="J358" s="601">
        <f t="shared" si="454"/>
        <v>35</v>
      </c>
      <c r="K358" s="601">
        <f t="shared" si="454"/>
        <v>56</v>
      </c>
      <c r="L358" s="601">
        <f t="shared" si="454"/>
        <v>36</v>
      </c>
      <c r="M358" s="601">
        <f t="shared" si="454"/>
        <v>46</v>
      </c>
      <c r="N358" s="601">
        <f t="shared" si="454"/>
        <v>21</v>
      </c>
      <c r="O358" s="601">
        <f t="shared" si="454"/>
        <v>25</v>
      </c>
      <c r="P358" s="601">
        <f t="shared" si="399"/>
        <v>539</v>
      </c>
      <c r="Q358" s="602">
        <f t="shared" si="454"/>
        <v>44.916666666666664</v>
      </c>
      <c r="R358" s="370"/>
      <c r="S358" s="600">
        <f t="shared" si="453"/>
        <v>40</v>
      </c>
      <c r="T358" s="601">
        <f t="shared" si="453"/>
        <v>48</v>
      </c>
      <c r="U358" s="601">
        <f t="shared" si="453"/>
        <v>27</v>
      </c>
      <c r="V358" s="601">
        <f t="shared" si="453"/>
        <v>24</v>
      </c>
      <c r="W358" s="601">
        <f t="shared" si="453"/>
        <v>41</v>
      </c>
      <c r="X358" s="601">
        <f t="shared" si="453"/>
        <v>30</v>
      </c>
      <c r="Y358" s="601">
        <f t="shared" si="453"/>
        <v>30</v>
      </c>
      <c r="Z358" s="601">
        <f t="shared" si="453"/>
        <v>54</v>
      </c>
      <c r="AA358" s="601">
        <f t="shared" si="453"/>
        <v>44</v>
      </c>
      <c r="AB358" s="601">
        <f t="shared" si="453"/>
        <v>45</v>
      </c>
      <c r="AC358" s="601">
        <f t="shared" si="453"/>
        <v>42</v>
      </c>
      <c r="AD358" s="601">
        <f t="shared" si="453"/>
        <v>24</v>
      </c>
      <c r="AE358" s="601">
        <f t="shared" si="401"/>
        <v>449</v>
      </c>
      <c r="AF358" s="602">
        <f t="shared" ref="AF358:AF373" si="455">AF290-AF324</f>
        <v>37.416666666666664</v>
      </c>
      <c r="AG358" s="654"/>
      <c r="AH358" s="600">
        <f t="shared" si="452"/>
        <v>57</v>
      </c>
      <c r="AI358" s="601">
        <f t="shared" si="452"/>
        <v>23</v>
      </c>
      <c r="AJ358" s="601">
        <f t="shared" si="452"/>
        <v>44</v>
      </c>
      <c r="AK358" s="601">
        <f t="shared" si="452"/>
        <v>31</v>
      </c>
      <c r="AL358" s="601">
        <f t="shared" si="452"/>
        <v>60</v>
      </c>
      <c r="AM358" s="601">
        <f t="shared" si="452"/>
        <v>32</v>
      </c>
      <c r="AN358" s="601">
        <v>56</v>
      </c>
      <c r="AO358" s="601">
        <f t="shared" si="446"/>
        <v>53</v>
      </c>
      <c r="AP358" s="601">
        <f t="shared" si="446"/>
        <v>64</v>
      </c>
      <c r="AQ358" s="601">
        <f t="shared" si="446"/>
        <v>42</v>
      </c>
      <c r="AR358" s="601">
        <v>56</v>
      </c>
      <c r="AS358" s="601">
        <v>47</v>
      </c>
      <c r="AT358" s="601">
        <f t="shared" si="393"/>
        <v>565</v>
      </c>
      <c r="AU358" s="602">
        <f t="shared" si="403"/>
        <v>47.083333333333336</v>
      </c>
      <c r="AX358" s="600"/>
      <c r="AY358" s="601">
        <v>60</v>
      </c>
      <c r="AZ358" s="601"/>
      <c r="BA358" s="601"/>
      <c r="BB358" s="601"/>
      <c r="BC358" s="601">
        <f t="shared" si="447"/>
        <v>68</v>
      </c>
      <c r="BD358" s="2349">
        <v>81</v>
      </c>
      <c r="BE358" s="2349">
        <v>40</v>
      </c>
      <c r="BF358" s="601">
        <v>0</v>
      </c>
      <c r="BG358" s="601"/>
      <c r="BH358" s="2349"/>
      <c r="BI358" s="601">
        <v>-7</v>
      </c>
      <c r="BJ358" s="601">
        <f t="shared" si="394"/>
        <v>242</v>
      </c>
      <c r="BK358" s="602">
        <f t="shared" si="404"/>
        <v>40.333333333333336</v>
      </c>
      <c r="BN358" s="322">
        <f t="shared" si="409"/>
        <v>-54</v>
      </c>
      <c r="BO358" s="322">
        <f t="shared" si="395"/>
        <v>-6.75</v>
      </c>
      <c r="BP358" s="322">
        <f t="shared" si="396"/>
        <v>-323</v>
      </c>
      <c r="BQ358" s="322">
        <f t="shared" si="405"/>
        <v>-7</v>
      </c>
      <c r="BR358" s="2265">
        <f t="shared" si="397"/>
        <v>0</v>
      </c>
      <c r="BS358" s="2265">
        <f t="shared" si="398"/>
        <v>-7</v>
      </c>
    </row>
    <row r="359" spans="1:71" hidden="1" x14ac:dyDescent="0.55000000000000004">
      <c r="A359" s="7531"/>
      <c r="B359" s="248"/>
      <c r="C359" s="12" t="s">
        <v>280</v>
      </c>
      <c r="D359" s="600">
        <f t="shared" si="448"/>
        <v>129</v>
      </c>
      <c r="E359" s="601">
        <f t="shared" si="454"/>
        <v>113</v>
      </c>
      <c r="F359" s="601">
        <f t="shared" si="454"/>
        <v>116</v>
      </c>
      <c r="G359" s="601">
        <f t="shared" si="454"/>
        <v>140</v>
      </c>
      <c r="H359" s="601">
        <f t="shared" si="454"/>
        <v>115</v>
      </c>
      <c r="I359" s="601">
        <f t="shared" si="454"/>
        <v>94</v>
      </c>
      <c r="J359" s="601">
        <f t="shared" si="454"/>
        <v>100</v>
      </c>
      <c r="K359" s="601">
        <f t="shared" si="454"/>
        <v>109</v>
      </c>
      <c r="L359" s="601">
        <f t="shared" si="454"/>
        <v>94</v>
      </c>
      <c r="M359" s="601">
        <f t="shared" si="454"/>
        <v>91</v>
      </c>
      <c r="N359" s="601">
        <f t="shared" si="454"/>
        <v>83</v>
      </c>
      <c r="O359" s="601">
        <f t="shared" si="454"/>
        <v>89</v>
      </c>
      <c r="P359" s="601">
        <f t="shared" si="399"/>
        <v>1273</v>
      </c>
      <c r="Q359" s="602">
        <f t="shared" si="454"/>
        <v>106.08333333333333</v>
      </c>
      <c r="R359" s="370"/>
      <c r="S359" s="600">
        <f t="shared" si="453"/>
        <v>78</v>
      </c>
      <c r="T359" s="601">
        <f t="shared" si="453"/>
        <v>110</v>
      </c>
      <c r="U359" s="601">
        <f t="shared" si="453"/>
        <v>97</v>
      </c>
      <c r="V359" s="601">
        <f t="shared" si="453"/>
        <v>94</v>
      </c>
      <c r="W359" s="601">
        <f t="shared" si="453"/>
        <v>96</v>
      </c>
      <c r="X359" s="601">
        <f t="shared" si="453"/>
        <v>86</v>
      </c>
      <c r="Y359" s="601">
        <f t="shared" si="453"/>
        <v>104</v>
      </c>
      <c r="Z359" s="601">
        <f t="shared" si="453"/>
        <v>116</v>
      </c>
      <c r="AA359" s="601">
        <f t="shared" si="453"/>
        <v>103</v>
      </c>
      <c r="AB359" s="601">
        <f t="shared" si="453"/>
        <v>113</v>
      </c>
      <c r="AC359" s="601">
        <f t="shared" si="453"/>
        <v>103</v>
      </c>
      <c r="AD359" s="601">
        <f t="shared" si="453"/>
        <v>64</v>
      </c>
      <c r="AE359" s="601">
        <f t="shared" si="401"/>
        <v>1164</v>
      </c>
      <c r="AF359" s="602">
        <f t="shared" si="455"/>
        <v>97</v>
      </c>
      <c r="AG359" s="654"/>
      <c r="AH359" s="600">
        <f t="shared" si="452"/>
        <v>146</v>
      </c>
      <c r="AI359" s="601">
        <f t="shared" si="452"/>
        <v>93</v>
      </c>
      <c r="AJ359" s="601">
        <f t="shared" si="452"/>
        <v>144</v>
      </c>
      <c r="AK359" s="601">
        <f t="shared" si="452"/>
        <v>110</v>
      </c>
      <c r="AL359" s="601">
        <f t="shared" si="452"/>
        <v>131</v>
      </c>
      <c r="AM359" s="601">
        <f t="shared" si="452"/>
        <v>108</v>
      </c>
      <c r="AN359" s="601">
        <v>124</v>
      </c>
      <c r="AO359" s="601">
        <f t="shared" si="446"/>
        <v>106</v>
      </c>
      <c r="AP359" s="601">
        <f t="shared" si="446"/>
        <v>93</v>
      </c>
      <c r="AQ359" s="601">
        <f t="shared" si="446"/>
        <v>166</v>
      </c>
      <c r="AR359" s="601">
        <v>143</v>
      </c>
      <c r="AS359" s="601">
        <v>98</v>
      </c>
      <c r="AT359" s="601">
        <f t="shared" si="393"/>
        <v>1462</v>
      </c>
      <c r="AU359" s="602">
        <f t="shared" si="403"/>
        <v>121.83333333333333</v>
      </c>
      <c r="AX359" s="600"/>
      <c r="AY359" s="601">
        <v>39</v>
      </c>
      <c r="AZ359" s="601"/>
      <c r="BA359" s="601"/>
      <c r="BB359" s="601"/>
      <c r="BC359" s="601">
        <f t="shared" si="447"/>
        <v>115</v>
      </c>
      <c r="BD359" s="2349">
        <v>147</v>
      </c>
      <c r="BE359" s="2349">
        <v>105</v>
      </c>
      <c r="BF359" s="601">
        <v>0</v>
      </c>
      <c r="BG359" s="601"/>
      <c r="BH359" s="2349"/>
      <c r="BI359" s="601">
        <v>14</v>
      </c>
      <c r="BJ359" s="601">
        <f t="shared" si="394"/>
        <v>420</v>
      </c>
      <c r="BK359" s="602">
        <f t="shared" si="404"/>
        <v>70</v>
      </c>
      <c r="BN359" s="322">
        <f t="shared" si="409"/>
        <v>-84</v>
      </c>
      <c r="BO359" s="322">
        <f t="shared" si="395"/>
        <v>-51.833333333333329</v>
      </c>
      <c r="BP359" s="322">
        <f t="shared" si="396"/>
        <v>-1042</v>
      </c>
      <c r="BQ359" s="322">
        <f t="shared" si="405"/>
        <v>14</v>
      </c>
      <c r="BR359" s="2265">
        <f t="shared" si="397"/>
        <v>0</v>
      </c>
      <c r="BS359" s="2265">
        <f t="shared" si="398"/>
        <v>14</v>
      </c>
    </row>
    <row r="360" spans="1:71" hidden="1" x14ac:dyDescent="0.55000000000000004">
      <c r="A360" s="7531"/>
      <c r="B360" s="248"/>
      <c r="C360" s="12" t="s">
        <v>279</v>
      </c>
      <c r="D360" s="600">
        <f t="shared" si="448"/>
        <v>368</v>
      </c>
      <c r="E360" s="601">
        <f t="shared" si="454"/>
        <v>399</v>
      </c>
      <c r="F360" s="601">
        <f t="shared" si="454"/>
        <v>366</v>
      </c>
      <c r="G360" s="601">
        <f t="shared" si="454"/>
        <v>383</v>
      </c>
      <c r="H360" s="601">
        <f t="shared" si="454"/>
        <v>387</v>
      </c>
      <c r="I360" s="601">
        <f t="shared" si="454"/>
        <v>300</v>
      </c>
      <c r="J360" s="601">
        <f t="shared" si="454"/>
        <v>386</v>
      </c>
      <c r="K360" s="601">
        <f t="shared" si="454"/>
        <v>405</v>
      </c>
      <c r="L360" s="601">
        <f t="shared" si="454"/>
        <v>311</v>
      </c>
      <c r="M360" s="601">
        <f t="shared" si="454"/>
        <v>360</v>
      </c>
      <c r="N360" s="601">
        <f t="shared" si="454"/>
        <v>339</v>
      </c>
      <c r="O360" s="601">
        <f t="shared" si="454"/>
        <v>293</v>
      </c>
      <c r="P360" s="601">
        <f t="shared" si="399"/>
        <v>4297</v>
      </c>
      <c r="Q360" s="602">
        <f t="shared" si="454"/>
        <v>358.08333333333331</v>
      </c>
      <c r="R360" s="370"/>
      <c r="S360" s="600">
        <f t="shared" si="453"/>
        <v>359</v>
      </c>
      <c r="T360" s="601">
        <f t="shared" si="453"/>
        <v>368</v>
      </c>
      <c r="U360" s="601">
        <f t="shared" si="453"/>
        <v>374</v>
      </c>
      <c r="V360" s="601">
        <f t="shared" si="453"/>
        <v>348</v>
      </c>
      <c r="W360" s="601">
        <f t="shared" si="453"/>
        <v>345</v>
      </c>
      <c r="X360" s="601">
        <f t="shared" si="453"/>
        <v>271</v>
      </c>
      <c r="Y360" s="601">
        <f t="shared" si="453"/>
        <v>319</v>
      </c>
      <c r="Z360" s="601">
        <f t="shared" si="453"/>
        <v>373</v>
      </c>
      <c r="AA360" s="601">
        <f t="shared" si="453"/>
        <v>270</v>
      </c>
      <c r="AB360" s="601">
        <f t="shared" si="453"/>
        <v>347</v>
      </c>
      <c r="AC360" s="601">
        <f t="shared" si="453"/>
        <v>272</v>
      </c>
      <c r="AD360" s="601">
        <f t="shared" si="453"/>
        <v>260</v>
      </c>
      <c r="AE360" s="601">
        <f t="shared" si="401"/>
        <v>3906</v>
      </c>
      <c r="AF360" s="602">
        <f t="shared" si="455"/>
        <v>325.5</v>
      </c>
      <c r="AG360" s="654"/>
      <c r="AH360" s="600">
        <f t="shared" si="452"/>
        <v>463</v>
      </c>
      <c r="AI360" s="601">
        <f t="shared" si="452"/>
        <v>343</v>
      </c>
      <c r="AJ360" s="601">
        <f t="shared" si="452"/>
        <v>404</v>
      </c>
      <c r="AK360" s="601">
        <f t="shared" si="452"/>
        <v>374</v>
      </c>
      <c r="AL360" s="601">
        <f t="shared" si="452"/>
        <v>416</v>
      </c>
      <c r="AM360" s="601">
        <f t="shared" si="452"/>
        <v>409</v>
      </c>
      <c r="AN360" s="601">
        <v>384</v>
      </c>
      <c r="AO360" s="601">
        <f t="shared" si="446"/>
        <v>347</v>
      </c>
      <c r="AP360" s="601">
        <f t="shared" si="446"/>
        <v>392</v>
      </c>
      <c r="AQ360" s="601">
        <f t="shared" si="446"/>
        <v>394</v>
      </c>
      <c r="AR360" s="601">
        <v>401</v>
      </c>
      <c r="AS360" s="601">
        <v>341</v>
      </c>
      <c r="AT360" s="601">
        <f t="shared" si="393"/>
        <v>4668</v>
      </c>
      <c r="AU360" s="602">
        <f t="shared" si="403"/>
        <v>389</v>
      </c>
      <c r="AX360" s="600"/>
      <c r="AY360" s="601">
        <v>86</v>
      </c>
      <c r="AZ360" s="601"/>
      <c r="BA360" s="601"/>
      <c r="BB360" s="601"/>
      <c r="BC360" s="601">
        <f t="shared" si="447"/>
        <v>353</v>
      </c>
      <c r="BD360" s="2349">
        <v>398</v>
      </c>
      <c r="BE360" s="2349">
        <v>314</v>
      </c>
      <c r="BF360" s="601">
        <v>0</v>
      </c>
      <c r="BG360" s="601"/>
      <c r="BH360" s="2349"/>
      <c r="BI360" s="601">
        <v>53</v>
      </c>
      <c r="BJ360" s="601">
        <f t="shared" si="394"/>
        <v>1204</v>
      </c>
      <c r="BK360" s="602">
        <f t="shared" si="404"/>
        <v>200.66666666666666</v>
      </c>
      <c r="BN360" s="322">
        <f t="shared" si="409"/>
        <v>-288</v>
      </c>
      <c r="BO360" s="322">
        <f t="shared" si="395"/>
        <v>-188.33333333333334</v>
      </c>
      <c r="BP360" s="322">
        <f t="shared" si="396"/>
        <v>-3464</v>
      </c>
      <c r="BQ360" s="322">
        <f t="shared" si="405"/>
        <v>53</v>
      </c>
      <c r="BR360" s="2265">
        <f t="shared" si="397"/>
        <v>0</v>
      </c>
      <c r="BS360" s="2265">
        <f t="shared" si="398"/>
        <v>53</v>
      </c>
    </row>
    <row r="361" spans="1:71" x14ac:dyDescent="0.55000000000000004">
      <c r="A361" s="7531"/>
      <c r="B361" s="249" t="s">
        <v>222</v>
      </c>
      <c r="C361" s="100"/>
      <c r="D361" s="603">
        <f t="shared" si="448"/>
        <v>39</v>
      </c>
      <c r="E361" s="604">
        <f t="shared" si="454"/>
        <v>22</v>
      </c>
      <c r="F361" s="604">
        <f t="shared" si="454"/>
        <v>-12</v>
      </c>
      <c r="G361" s="604">
        <f t="shared" si="454"/>
        <v>61</v>
      </c>
      <c r="H361" s="604">
        <f t="shared" si="454"/>
        <v>30</v>
      </c>
      <c r="I361" s="604">
        <f t="shared" si="454"/>
        <v>-17</v>
      </c>
      <c r="J361" s="604">
        <f t="shared" si="454"/>
        <v>-80</v>
      </c>
      <c r="K361" s="604">
        <f t="shared" si="454"/>
        <v>0</v>
      </c>
      <c r="L361" s="604">
        <f t="shared" si="454"/>
        <v>0</v>
      </c>
      <c r="M361" s="604">
        <f t="shared" si="454"/>
        <v>14</v>
      </c>
      <c r="N361" s="604">
        <f t="shared" si="454"/>
        <v>-43</v>
      </c>
      <c r="O361" s="604">
        <f t="shared" si="454"/>
        <v>3</v>
      </c>
      <c r="P361" s="604">
        <f t="shared" si="399"/>
        <v>17</v>
      </c>
      <c r="Q361" s="605">
        <f t="shared" si="454"/>
        <v>1.4166666666666714</v>
      </c>
      <c r="R361" s="370"/>
      <c r="S361" s="603">
        <f t="shared" si="453"/>
        <v>-5</v>
      </c>
      <c r="T361" s="604">
        <f t="shared" si="453"/>
        <v>33</v>
      </c>
      <c r="U361" s="604">
        <f t="shared" si="453"/>
        <v>-22</v>
      </c>
      <c r="V361" s="604">
        <f t="shared" si="453"/>
        <v>-23</v>
      </c>
      <c r="W361" s="604">
        <f t="shared" si="453"/>
        <v>21</v>
      </c>
      <c r="X361" s="604">
        <f t="shared" si="453"/>
        <v>-17</v>
      </c>
      <c r="Y361" s="604">
        <f t="shared" si="453"/>
        <v>16</v>
      </c>
      <c r="Z361" s="604">
        <f t="shared" si="453"/>
        <v>67</v>
      </c>
      <c r="AA361" s="604">
        <f t="shared" si="453"/>
        <v>-85</v>
      </c>
      <c r="AB361" s="604">
        <f t="shared" si="453"/>
        <v>10</v>
      </c>
      <c r="AC361" s="604">
        <f t="shared" si="453"/>
        <v>-4</v>
      </c>
      <c r="AD361" s="604">
        <f t="shared" si="453"/>
        <v>-28</v>
      </c>
      <c r="AE361" s="604">
        <f t="shared" si="401"/>
        <v>-37</v>
      </c>
      <c r="AF361" s="605">
        <f t="shared" si="455"/>
        <v>-3.0833333333333286</v>
      </c>
      <c r="AG361" s="654"/>
      <c r="AH361" s="603">
        <f t="shared" si="452"/>
        <v>73</v>
      </c>
      <c r="AI361" s="604">
        <f t="shared" si="452"/>
        <v>-62</v>
      </c>
      <c r="AJ361" s="604">
        <f t="shared" si="452"/>
        <v>39</v>
      </c>
      <c r="AK361" s="604">
        <f t="shared" si="452"/>
        <v>-3</v>
      </c>
      <c r="AL361" s="604">
        <f t="shared" si="452"/>
        <v>27</v>
      </c>
      <c r="AM361" s="604">
        <f t="shared" si="452"/>
        <v>2</v>
      </c>
      <c r="AN361" s="604">
        <v>21</v>
      </c>
      <c r="AO361" s="604">
        <f t="shared" si="446"/>
        <v>-29</v>
      </c>
      <c r="AP361" s="604">
        <f t="shared" si="446"/>
        <v>-2</v>
      </c>
      <c r="AQ361" s="604">
        <f t="shared" si="446"/>
        <v>40</v>
      </c>
      <c r="AR361" s="604">
        <v>2</v>
      </c>
      <c r="AS361" s="604">
        <v>-52</v>
      </c>
      <c r="AT361" s="604">
        <f t="shared" si="393"/>
        <v>56</v>
      </c>
      <c r="AU361" s="605">
        <f t="shared" si="403"/>
        <v>4.666666666666667</v>
      </c>
      <c r="AX361" s="347">
        <v>3</v>
      </c>
      <c r="AY361" s="604">
        <v>37</v>
      </c>
      <c r="AZ361" s="604">
        <f t="shared" ref="AZ361:AZ373" si="456">AZ293-AZ327</f>
        <v>-32</v>
      </c>
      <c r="BA361" s="604">
        <v>2</v>
      </c>
      <c r="BB361" s="604">
        <v>111</v>
      </c>
      <c r="BC361" s="604">
        <f t="shared" si="447"/>
        <v>-64</v>
      </c>
      <c r="BD361" s="2350">
        <v>-8</v>
      </c>
      <c r="BE361" s="2350">
        <v>-33</v>
      </c>
      <c r="BF361" s="604">
        <v>26</v>
      </c>
      <c r="BG361" s="604">
        <v>-33</v>
      </c>
      <c r="BH361" s="2350">
        <v>20</v>
      </c>
      <c r="BI361" s="604">
        <v>20</v>
      </c>
      <c r="BJ361" s="604">
        <f t="shared" si="394"/>
        <v>49</v>
      </c>
      <c r="BK361" s="605">
        <f t="shared" si="404"/>
        <v>4.083333333333333</v>
      </c>
      <c r="BN361" s="322">
        <f t="shared" si="409"/>
        <v>72</v>
      </c>
      <c r="BO361" s="322">
        <f t="shared" si="395"/>
        <v>-0.58333333333333393</v>
      </c>
      <c r="BP361" s="322">
        <f t="shared" si="396"/>
        <v>-7</v>
      </c>
      <c r="BQ361" s="322">
        <f t="shared" si="405"/>
        <v>0</v>
      </c>
      <c r="BR361" s="2265">
        <f t="shared" si="397"/>
        <v>20</v>
      </c>
      <c r="BS361" s="2265">
        <f t="shared" si="398"/>
        <v>20</v>
      </c>
    </row>
    <row r="362" spans="1:71" x14ac:dyDescent="0.55000000000000004">
      <c r="A362" s="7531"/>
      <c r="B362" s="250" t="s">
        <v>223</v>
      </c>
      <c r="C362" s="14"/>
      <c r="D362" s="606">
        <f t="shared" si="448"/>
        <v>39</v>
      </c>
      <c r="E362" s="607">
        <f t="shared" si="454"/>
        <v>-11</v>
      </c>
      <c r="F362" s="607">
        <f t="shared" si="454"/>
        <v>35</v>
      </c>
      <c r="G362" s="607">
        <f t="shared" si="454"/>
        <v>-16</v>
      </c>
      <c r="H362" s="607">
        <f t="shared" si="454"/>
        <v>-6</v>
      </c>
      <c r="I362" s="607">
        <f t="shared" si="454"/>
        <v>-40</v>
      </c>
      <c r="J362" s="607">
        <f t="shared" si="454"/>
        <v>-43</v>
      </c>
      <c r="K362" s="607">
        <f t="shared" si="454"/>
        <v>36</v>
      </c>
      <c r="L362" s="607">
        <f t="shared" si="454"/>
        <v>-39</v>
      </c>
      <c r="M362" s="607">
        <f t="shared" si="454"/>
        <v>28</v>
      </c>
      <c r="N362" s="607">
        <f t="shared" si="454"/>
        <v>-4</v>
      </c>
      <c r="O362" s="607">
        <f t="shared" si="454"/>
        <v>-18</v>
      </c>
      <c r="P362" s="607">
        <f t="shared" si="399"/>
        <v>-39</v>
      </c>
      <c r="Q362" s="608">
        <f t="shared" si="454"/>
        <v>-3.25</v>
      </c>
      <c r="R362" s="370"/>
      <c r="S362" s="606">
        <f t="shared" si="453"/>
        <v>-11</v>
      </c>
      <c r="T362" s="607">
        <f t="shared" si="453"/>
        <v>33</v>
      </c>
      <c r="U362" s="607">
        <f t="shared" si="453"/>
        <v>-29</v>
      </c>
      <c r="V362" s="607">
        <f t="shared" si="453"/>
        <v>-29</v>
      </c>
      <c r="W362" s="607">
        <f t="shared" si="453"/>
        <v>18</v>
      </c>
      <c r="X362" s="607">
        <f t="shared" si="453"/>
        <v>-21</v>
      </c>
      <c r="Y362" s="607">
        <f t="shared" si="453"/>
        <v>23</v>
      </c>
      <c r="Z362" s="607">
        <f t="shared" si="453"/>
        <v>7</v>
      </c>
      <c r="AA362" s="607">
        <f t="shared" si="453"/>
        <v>8</v>
      </c>
      <c r="AB362" s="607">
        <f t="shared" si="453"/>
        <v>-10</v>
      </c>
      <c r="AC362" s="607">
        <f t="shared" si="453"/>
        <v>-2</v>
      </c>
      <c r="AD362" s="607">
        <f t="shared" si="453"/>
        <v>-18</v>
      </c>
      <c r="AE362" s="607">
        <f t="shared" si="401"/>
        <v>-31</v>
      </c>
      <c r="AF362" s="608">
        <f t="shared" si="455"/>
        <v>-2.5833333333333357</v>
      </c>
      <c r="AG362" s="654"/>
      <c r="AH362" s="606">
        <f t="shared" si="452"/>
        <v>39</v>
      </c>
      <c r="AI362" s="607">
        <f t="shared" si="452"/>
        <v>-16</v>
      </c>
      <c r="AJ362" s="607">
        <f t="shared" si="452"/>
        <v>20</v>
      </c>
      <c r="AK362" s="607">
        <f t="shared" si="452"/>
        <v>-15</v>
      </c>
      <c r="AL362" s="607">
        <f t="shared" si="452"/>
        <v>4</v>
      </c>
      <c r="AM362" s="607">
        <f t="shared" si="452"/>
        <v>16</v>
      </c>
      <c r="AN362" s="607">
        <v>-1</v>
      </c>
      <c r="AO362" s="607">
        <f t="shared" si="446"/>
        <v>17</v>
      </c>
      <c r="AP362" s="607">
        <f t="shared" si="446"/>
        <v>15</v>
      </c>
      <c r="AQ362" s="607">
        <f t="shared" si="446"/>
        <v>-21</v>
      </c>
      <c r="AR362" s="607">
        <v>13</v>
      </c>
      <c r="AS362" s="607">
        <v>-20</v>
      </c>
      <c r="AT362" s="607">
        <f t="shared" si="393"/>
        <v>51</v>
      </c>
      <c r="AU362" s="608">
        <f t="shared" si="403"/>
        <v>4.25</v>
      </c>
      <c r="AX362" s="350">
        <v>-16</v>
      </c>
      <c r="AY362" s="607">
        <v>27</v>
      </c>
      <c r="AZ362" s="607">
        <f t="shared" si="456"/>
        <v>-32</v>
      </c>
      <c r="BA362" s="607">
        <v>-4</v>
      </c>
      <c r="BB362" s="607">
        <v>110</v>
      </c>
      <c r="BC362" s="607">
        <f t="shared" si="447"/>
        <v>-50</v>
      </c>
      <c r="BD362" s="2351">
        <v>-15</v>
      </c>
      <c r="BE362" s="2351">
        <v>-2</v>
      </c>
      <c r="BF362" s="607">
        <v>6</v>
      </c>
      <c r="BG362" s="607">
        <v>-13</v>
      </c>
      <c r="BH362" s="2351">
        <v>-9</v>
      </c>
      <c r="BI362" s="607">
        <v>7</v>
      </c>
      <c r="BJ362" s="607">
        <f t="shared" si="394"/>
        <v>9</v>
      </c>
      <c r="BK362" s="608">
        <f t="shared" si="404"/>
        <v>0.75</v>
      </c>
      <c r="BN362" s="322">
        <f t="shared" si="409"/>
        <v>27</v>
      </c>
      <c r="BO362" s="322">
        <f t="shared" si="395"/>
        <v>-3.5</v>
      </c>
      <c r="BP362" s="322">
        <f t="shared" si="396"/>
        <v>-42</v>
      </c>
      <c r="BQ362" s="322">
        <f t="shared" si="405"/>
        <v>16</v>
      </c>
      <c r="BR362" s="2265">
        <f t="shared" si="397"/>
        <v>-9</v>
      </c>
      <c r="BS362" s="2265">
        <f t="shared" si="398"/>
        <v>7</v>
      </c>
    </row>
    <row r="363" spans="1:71" x14ac:dyDescent="0.55000000000000004">
      <c r="A363" s="7531"/>
      <c r="B363" s="250" t="s">
        <v>224</v>
      </c>
      <c r="C363" s="14"/>
      <c r="D363" s="606">
        <f t="shared" si="448"/>
        <v>15</v>
      </c>
      <c r="E363" s="607">
        <f t="shared" si="454"/>
        <v>14</v>
      </c>
      <c r="F363" s="607">
        <f t="shared" si="454"/>
        <v>-44</v>
      </c>
      <c r="G363" s="607">
        <f t="shared" si="454"/>
        <v>70</v>
      </c>
      <c r="H363" s="607">
        <f t="shared" si="454"/>
        <v>-15</v>
      </c>
      <c r="I363" s="607">
        <f t="shared" si="454"/>
        <v>-39</v>
      </c>
      <c r="J363" s="607">
        <f t="shared" si="454"/>
        <v>-23</v>
      </c>
      <c r="K363" s="607">
        <f t="shared" si="454"/>
        <v>-1</v>
      </c>
      <c r="L363" s="607">
        <f t="shared" si="454"/>
        <v>-38</v>
      </c>
      <c r="M363" s="607">
        <f t="shared" si="454"/>
        <v>-1</v>
      </c>
      <c r="N363" s="607">
        <f t="shared" si="454"/>
        <v>-18</v>
      </c>
      <c r="O363" s="607">
        <f t="shared" si="454"/>
        <v>12</v>
      </c>
      <c r="P363" s="607">
        <f t="shared" si="399"/>
        <v>-68</v>
      </c>
      <c r="Q363" s="608">
        <f t="shared" si="454"/>
        <v>-5.6666666666666714</v>
      </c>
      <c r="R363" s="370"/>
      <c r="S363" s="606">
        <f t="shared" si="453"/>
        <v>-2</v>
      </c>
      <c r="T363" s="607">
        <f t="shared" si="453"/>
        <v>11</v>
      </c>
      <c r="U363" s="607">
        <f t="shared" si="453"/>
        <v>8</v>
      </c>
      <c r="V363" s="607">
        <f t="shared" si="453"/>
        <v>-15</v>
      </c>
      <c r="W363" s="607">
        <f t="shared" si="453"/>
        <v>14</v>
      </c>
      <c r="X363" s="607">
        <f t="shared" si="453"/>
        <v>-9</v>
      </c>
      <c r="Y363" s="607">
        <f t="shared" si="453"/>
        <v>36</v>
      </c>
      <c r="Z363" s="607">
        <f t="shared" si="453"/>
        <v>2</v>
      </c>
      <c r="AA363" s="607">
        <f t="shared" si="453"/>
        <v>-20</v>
      </c>
      <c r="AB363" s="607">
        <f t="shared" si="453"/>
        <v>14</v>
      </c>
      <c r="AC363" s="607">
        <f t="shared" si="453"/>
        <v>10</v>
      </c>
      <c r="AD363" s="607">
        <f t="shared" si="453"/>
        <v>-38</v>
      </c>
      <c r="AE363" s="607">
        <f t="shared" si="401"/>
        <v>11</v>
      </c>
      <c r="AF363" s="608">
        <f t="shared" si="455"/>
        <v>0.9166666666666714</v>
      </c>
      <c r="AG363" s="654"/>
      <c r="AH363" s="606">
        <f t="shared" si="452"/>
        <v>17</v>
      </c>
      <c r="AI363" s="607">
        <f t="shared" si="452"/>
        <v>7</v>
      </c>
      <c r="AJ363" s="607">
        <f t="shared" si="452"/>
        <v>20</v>
      </c>
      <c r="AK363" s="607">
        <f t="shared" si="452"/>
        <v>1</v>
      </c>
      <c r="AL363" s="607">
        <f t="shared" si="452"/>
        <v>26</v>
      </c>
      <c r="AM363" s="607">
        <f t="shared" si="452"/>
        <v>1</v>
      </c>
      <c r="AN363" s="607">
        <v>1</v>
      </c>
      <c r="AO363" s="607">
        <f t="shared" si="446"/>
        <v>4</v>
      </c>
      <c r="AP363" s="607">
        <f t="shared" si="446"/>
        <v>-27</v>
      </c>
      <c r="AQ363" s="607">
        <f t="shared" si="446"/>
        <v>30</v>
      </c>
      <c r="AR363" s="607">
        <v>-16</v>
      </c>
      <c r="AS363" s="607">
        <v>-10</v>
      </c>
      <c r="AT363" s="607">
        <f t="shared" si="393"/>
        <v>54</v>
      </c>
      <c r="AU363" s="608">
        <f t="shared" si="403"/>
        <v>4.5</v>
      </c>
      <c r="AX363" s="350">
        <v>-9</v>
      </c>
      <c r="AY363" s="607">
        <v>47</v>
      </c>
      <c r="AZ363" s="607">
        <f t="shared" si="456"/>
        <v>-39</v>
      </c>
      <c r="BA363" s="607">
        <v>15</v>
      </c>
      <c r="BB363" s="607">
        <v>67</v>
      </c>
      <c r="BC363" s="607">
        <f t="shared" si="447"/>
        <v>-25</v>
      </c>
      <c r="BD363" s="2351">
        <v>-12</v>
      </c>
      <c r="BE363" s="2351">
        <v>-30</v>
      </c>
      <c r="BF363" s="607">
        <v>12</v>
      </c>
      <c r="BG363" s="607">
        <v>-17</v>
      </c>
      <c r="BH363" s="2351">
        <v>-24</v>
      </c>
      <c r="BI363" s="607">
        <v>25</v>
      </c>
      <c r="BJ363" s="607">
        <f t="shared" si="394"/>
        <v>10</v>
      </c>
      <c r="BK363" s="608">
        <f t="shared" si="404"/>
        <v>0.83333333333333337</v>
      </c>
      <c r="BN363" s="322">
        <f t="shared" si="409"/>
        <v>35</v>
      </c>
      <c r="BO363" s="322">
        <f t="shared" si="395"/>
        <v>-3.6666666666666665</v>
      </c>
      <c r="BP363" s="322">
        <f t="shared" si="396"/>
        <v>-44</v>
      </c>
      <c r="BQ363" s="322">
        <f t="shared" si="405"/>
        <v>49</v>
      </c>
      <c r="BR363" s="2265">
        <f t="shared" si="397"/>
        <v>-24</v>
      </c>
      <c r="BS363" s="2265">
        <f t="shared" si="398"/>
        <v>25</v>
      </c>
    </row>
    <row r="364" spans="1:71" x14ac:dyDescent="0.55000000000000004">
      <c r="A364" s="7531"/>
      <c r="B364" s="250" t="s">
        <v>225</v>
      </c>
      <c r="C364" s="14"/>
      <c r="D364" s="606">
        <f t="shared" si="448"/>
        <v>27</v>
      </c>
      <c r="E364" s="607">
        <f t="shared" si="454"/>
        <v>37</v>
      </c>
      <c r="F364" s="607">
        <f t="shared" si="454"/>
        <v>2</v>
      </c>
      <c r="G364" s="607">
        <f t="shared" si="454"/>
        <v>5</v>
      </c>
      <c r="H364" s="607">
        <f t="shared" si="454"/>
        <v>-14</v>
      </c>
      <c r="I364" s="607">
        <f t="shared" si="454"/>
        <v>-23</v>
      </c>
      <c r="J364" s="607">
        <f t="shared" si="454"/>
        <v>43</v>
      </c>
      <c r="K364" s="607">
        <f t="shared" si="454"/>
        <v>36</v>
      </c>
      <c r="L364" s="607">
        <f t="shared" si="454"/>
        <v>-54</v>
      </c>
      <c r="M364" s="607">
        <f t="shared" si="454"/>
        <v>-9</v>
      </c>
      <c r="N364" s="607">
        <f t="shared" si="454"/>
        <v>-12</v>
      </c>
      <c r="O364" s="607">
        <f t="shared" si="454"/>
        <v>-52</v>
      </c>
      <c r="P364" s="607">
        <f t="shared" si="399"/>
        <v>-14</v>
      </c>
      <c r="Q364" s="608">
        <f t="shared" si="454"/>
        <v>-1.1666666666666714</v>
      </c>
      <c r="R364" s="370"/>
      <c r="S364" s="606">
        <f t="shared" si="453"/>
        <v>49</v>
      </c>
      <c r="T364" s="607">
        <f t="shared" si="453"/>
        <v>22</v>
      </c>
      <c r="U364" s="607">
        <f t="shared" si="453"/>
        <v>3</v>
      </c>
      <c r="V364" s="607">
        <f t="shared" si="453"/>
        <v>-12</v>
      </c>
      <c r="W364" s="607">
        <f t="shared" si="453"/>
        <v>40</v>
      </c>
      <c r="X364" s="607">
        <f t="shared" si="453"/>
        <v>-17</v>
      </c>
      <c r="Y364" s="607">
        <f t="shared" si="453"/>
        <v>-25</v>
      </c>
      <c r="Z364" s="607">
        <f t="shared" si="453"/>
        <v>8</v>
      </c>
      <c r="AA364" s="607">
        <f t="shared" si="453"/>
        <v>15</v>
      </c>
      <c r="AB364" s="607">
        <f t="shared" si="453"/>
        <v>29</v>
      </c>
      <c r="AC364" s="607">
        <f t="shared" si="453"/>
        <v>-69</v>
      </c>
      <c r="AD364" s="607">
        <f t="shared" si="453"/>
        <v>-20</v>
      </c>
      <c r="AE364" s="607">
        <f t="shared" si="401"/>
        <v>23</v>
      </c>
      <c r="AF364" s="608">
        <f t="shared" si="455"/>
        <v>1.9166666666666572</v>
      </c>
      <c r="AG364" s="654"/>
      <c r="AH364" s="606">
        <f t="shared" si="452"/>
        <v>99</v>
      </c>
      <c r="AI364" s="607">
        <f t="shared" si="452"/>
        <v>7</v>
      </c>
      <c r="AJ364" s="607">
        <f t="shared" si="452"/>
        <v>52</v>
      </c>
      <c r="AK364" s="607">
        <f t="shared" si="452"/>
        <v>-30</v>
      </c>
      <c r="AL364" s="607">
        <f t="shared" si="452"/>
        <v>39</v>
      </c>
      <c r="AM364" s="607">
        <f t="shared" si="452"/>
        <v>-26</v>
      </c>
      <c r="AN364" s="607">
        <v>-16</v>
      </c>
      <c r="AO364" s="607">
        <f t="shared" si="446"/>
        <v>-8</v>
      </c>
      <c r="AP364" s="607">
        <f t="shared" si="446"/>
        <v>18</v>
      </c>
      <c r="AQ364" s="607">
        <f t="shared" si="446"/>
        <v>-2</v>
      </c>
      <c r="AR364" s="607">
        <v>40</v>
      </c>
      <c r="AS364" s="607">
        <v>-29</v>
      </c>
      <c r="AT364" s="607">
        <f t="shared" si="393"/>
        <v>144</v>
      </c>
      <c r="AU364" s="608">
        <f t="shared" si="403"/>
        <v>12</v>
      </c>
      <c r="AX364" s="350">
        <v>17</v>
      </c>
      <c r="AY364" s="607">
        <v>12</v>
      </c>
      <c r="AZ364" s="607">
        <f t="shared" si="456"/>
        <v>-10</v>
      </c>
      <c r="BA364" s="607">
        <v>9</v>
      </c>
      <c r="BB364" s="607">
        <v>188</v>
      </c>
      <c r="BC364" s="607">
        <f t="shared" si="447"/>
        <v>-55</v>
      </c>
      <c r="BD364" s="2351">
        <v>-54</v>
      </c>
      <c r="BE364" s="2351">
        <v>-108</v>
      </c>
      <c r="BF364" s="607">
        <v>31</v>
      </c>
      <c r="BG364" s="607">
        <v>-8</v>
      </c>
      <c r="BH364" s="2351">
        <v>-23</v>
      </c>
      <c r="BI364" s="607">
        <v>13</v>
      </c>
      <c r="BJ364" s="607">
        <f t="shared" si="394"/>
        <v>12</v>
      </c>
      <c r="BK364" s="608">
        <f t="shared" si="404"/>
        <v>1</v>
      </c>
      <c r="BN364" s="322">
        <f t="shared" si="409"/>
        <v>42</v>
      </c>
      <c r="BO364" s="322">
        <f t="shared" si="395"/>
        <v>-11</v>
      </c>
      <c r="BP364" s="322">
        <f t="shared" si="396"/>
        <v>-132</v>
      </c>
      <c r="BQ364" s="322">
        <f t="shared" si="405"/>
        <v>36</v>
      </c>
      <c r="BR364" s="2265">
        <f t="shared" si="397"/>
        <v>-23</v>
      </c>
      <c r="BS364" s="2265">
        <f t="shared" si="398"/>
        <v>13</v>
      </c>
    </row>
    <row r="365" spans="1:71" x14ac:dyDescent="0.55000000000000004">
      <c r="A365" s="7531"/>
      <c r="B365" s="251" t="s">
        <v>226</v>
      </c>
      <c r="C365" s="103"/>
      <c r="D365" s="609">
        <f t="shared" si="448"/>
        <v>38</v>
      </c>
      <c r="E365" s="610">
        <f t="shared" si="454"/>
        <v>16</v>
      </c>
      <c r="F365" s="610">
        <f t="shared" si="454"/>
        <v>-25</v>
      </c>
      <c r="G365" s="610">
        <f t="shared" si="454"/>
        <v>-12</v>
      </c>
      <c r="H365" s="610">
        <f t="shared" si="454"/>
        <v>18</v>
      </c>
      <c r="I365" s="610">
        <f t="shared" si="454"/>
        <v>-22</v>
      </c>
      <c r="J365" s="610">
        <f t="shared" si="454"/>
        <v>-14</v>
      </c>
      <c r="K365" s="610">
        <f t="shared" si="454"/>
        <v>13</v>
      </c>
      <c r="L365" s="610">
        <f t="shared" si="454"/>
        <v>-18</v>
      </c>
      <c r="M365" s="610">
        <f t="shared" si="454"/>
        <v>2</v>
      </c>
      <c r="N365" s="610">
        <f t="shared" si="454"/>
        <v>9</v>
      </c>
      <c r="O365" s="610">
        <f t="shared" si="454"/>
        <v>-26</v>
      </c>
      <c r="P365" s="610">
        <f t="shared" si="399"/>
        <v>-21</v>
      </c>
      <c r="Q365" s="611">
        <f t="shared" si="454"/>
        <v>-1.75</v>
      </c>
      <c r="R365" s="370"/>
      <c r="S365" s="609">
        <f t="shared" si="453"/>
        <v>10</v>
      </c>
      <c r="T365" s="610">
        <f t="shared" si="453"/>
        <v>19</v>
      </c>
      <c r="U365" s="610">
        <f t="shared" si="453"/>
        <v>7</v>
      </c>
      <c r="V365" s="610">
        <f t="shared" si="453"/>
        <v>7</v>
      </c>
      <c r="W365" s="610">
        <f t="shared" si="453"/>
        <v>4</v>
      </c>
      <c r="X365" s="610">
        <f t="shared" si="453"/>
        <v>-36</v>
      </c>
      <c r="Y365" s="610">
        <f t="shared" si="453"/>
        <v>-15</v>
      </c>
      <c r="Z365" s="610">
        <f t="shared" si="453"/>
        <v>48</v>
      </c>
      <c r="AA365" s="610">
        <f t="shared" si="453"/>
        <v>-53</v>
      </c>
      <c r="AB365" s="610">
        <f t="shared" si="453"/>
        <v>25</v>
      </c>
      <c r="AC365" s="610">
        <f t="shared" si="453"/>
        <v>-4</v>
      </c>
      <c r="AD365" s="610">
        <f t="shared" si="453"/>
        <v>-41</v>
      </c>
      <c r="AE365" s="610">
        <f t="shared" si="401"/>
        <v>-29</v>
      </c>
      <c r="AF365" s="611">
        <f t="shared" si="455"/>
        <v>-2.4166666666666714</v>
      </c>
      <c r="AG365" s="654"/>
      <c r="AH365" s="609">
        <f t="shared" si="452"/>
        <v>116</v>
      </c>
      <c r="AI365" s="610">
        <f t="shared" si="452"/>
        <v>-57</v>
      </c>
      <c r="AJ365" s="610">
        <f t="shared" si="452"/>
        <v>6</v>
      </c>
      <c r="AK365" s="610">
        <f t="shared" si="452"/>
        <v>16</v>
      </c>
      <c r="AL365" s="610">
        <f t="shared" si="452"/>
        <v>4</v>
      </c>
      <c r="AM365" s="610">
        <f t="shared" si="452"/>
        <v>-7</v>
      </c>
      <c r="AN365" s="610">
        <v>29</v>
      </c>
      <c r="AO365" s="610">
        <f t="shared" si="446"/>
        <v>-71</v>
      </c>
      <c r="AP365" s="610">
        <f t="shared" si="446"/>
        <v>8</v>
      </c>
      <c r="AQ365" s="610">
        <f t="shared" si="446"/>
        <v>41</v>
      </c>
      <c r="AR365" s="610">
        <v>19</v>
      </c>
      <c r="AS365" s="610">
        <v>-20</v>
      </c>
      <c r="AT365" s="610">
        <f t="shared" si="393"/>
        <v>84</v>
      </c>
      <c r="AU365" s="611">
        <f t="shared" si="403"/>
        <v>7</v>
      </c>
      <c r="AX365" s="352">
        <v>-21</v>
      </c>
      <c r="AY365" s="610">
        <v>62</v>
      </c>
      <c r="AZ365" s="610">
        <f t="shared" si="456"/>
        <v>-31</v>
      </c>
      <c r="BA365" s="610">
        <v>2</v>
      </c>
      <c r="BB365" s="610">
        <v>96</v>
      </c>
      <c r="BC365" s="610">
        <f t="shared" si="447"/>
        <v>-72</v>
      </c>
      <c r="BD365" s="2352">
        <v>0</v>
      </c>
      <c r="BE365" s="2352">
        <v>-65</v>
      </c>
      <c r="BF365" s="610">
        <v>10</v>
      </c>
      <c r="BG365" s="610">
        <v>-23</v>
      </c>
      <c r="BH365" s="2352">
        <v>22</v>
      </c>
      <c r="BI365" s="610">
        <v>-5</v>
      </c>
      <c r="BJ365" s="610">
        <f t="shared" si="394"/>
        <v>-25</v>
      </c>
      <c r="BK365" s="611">
        <f t="shared" si="404"/>
        <v>-2.0833333333333335</v>
      </c>
      <c r="BN365" s="322">
        <f t="shared" si="409"/>
        <v>15</v>
      </c>
      <c r="BO365" s="322">
        <f t="shared" si="395"/>
        <v>-9.0833333333333339</v>
      </c>
      <c r="BP365" s="322">
        <f t="shared" si="396"/>
        <v>-109</v>
      </c>
      <c r="BQ365" s="322">
        <f t="shared" si="405"/>
        <v>-27</v>
      </c>
      <c r="BR365" s="2265">
        <f t="shared" si="397"/>
        <v>22</v>
      </c>
      <c r="BS365" s="2265">
        <f t="shared" si="398"/>
        <v>-5</v>
      </c>
    </row>
    <row r="366" spans="1:71" s="172" customFormat="1" x14ac:dyDescent="0.55000000000000004">
      <c r="A366" s="7531"/>
      <c r="B366" s="252"/>
      <c r="C366" s="180" t="s">
        <v>242</v>
      </c>
      <c r="D366" s="612">
        <f t="shared" si="448"/>
        <v>36</v>
      </c>
      <c r="E366" s="613">
        <f t="shared" si="454"/>
        <v>23</v>
      </c>
      <c r="F366" s="613">
        <f t="shared" si="454"/>
        <v>-11</v>
      </c>
      <c r="G366" s="613">
        <f t="shared" si="454"/>
        <v>57</v>
      </c>
      <c r="H366" s="613">
        <f t="shared" si="454"/>
        <v>24</v>
      </c>
      <c r="I366" s="613">
        <f t="shared" si="454"/>
        <v>-8</v>
      </c>
      <c r="J366" s="613">
        <f t="shared" si="454"/>
        <v>-58</v>
      </c>
      <c r="K366" s="613">
        <f t="shared" si="454"/>
        <v>-12</v>
      </c>
      <c r="L366" s="613">
        <f t="shared" si="454"/>
        <v>7</v>
      </c>
      <c r="M366" s="613">
        <f t="shared" si="454"/>
        <v>7</v>
      </c>
      <c r="N366" s="613">
        <f t="shared" si="454"/>
        <v>-37</v>
      </c>
      <c r="O366" s="613">
        <f t="shared" si="454"/>
        <v>12</v>
      </c>
      <c r="P366" s="613">
        <f t="shared" si="399"/>
        <v>40</v>
      </c>
      <c r="Q366" s="614">
        <f t="shared" si="454"/>
        <v>3.3333333333333428</v>
      </c>
      <c r="R366" s="372"/>
      <c r="S366" s="612">
        <f t="shared" si="453"/>
        <v>-6</v>
      </c>
      <c r="T366" s="613">
        <f t="shared" si="453"/>
        <v>29</v>
      </c>
      <c r="U366" s="613">
        <f t="shared" si="453"/>
        <v>-29</v>
      </c>
      <c r="V366" s="613">
        <f t="shared" si="453"/>
        <v>-15</v>
      </c>
      <c r="W366" s="613">
        <f t="shared" si="453"/>
        <v>15</v>
      </c>
      <c r="X366" s="613">
        <f t="shared" si="453"/>
        <v>-12</v>
      </c>
      <c r="Y366" s="613">
        <f t="shared" si="453"/>
        <v>15</v>
      </c>
      <c r="Z366" s="613">
        <f t="shared" si="453"/>
        <v>58</v>
      </c>
      <c r="AA366" s="613">
        <f t="shared" si="453"/>
        <v>-72</v>
      </c>
      <c r="AB366" s="613">
        <f t="shared" si="453"/>
        <v>2</v>
      </c>
      <c r="AC366" s="613">
        <f t="shared" si="453"/>
        <v>1</v>
      </c>
      <c r="AD366" s="613">
        <f t="shared" si="453"/>
        <v>-29</v>
      </c>
      <c r="AE366" s="613">
        <f t="shared" si="401"/>
        <v>-43</v>
      </c>
      <c r="AF366" s="614">
        <f t="shared" si="455"/>
        <v>-3.5833333333333286</v>
      </c>
      <c r="AG366" s="655"/>
      <c r="AH366" s="612">
        <f t="shared" si="452"/>
        <v>61</v>
      </c>
      <c r="AI366" s="613">
        <f t="shared" si="452"/>
        <v>-53</v>
      </c>
      <c r="AJ366" s="613">
        <f t="shared" si="452"/>
        <v>30</v>
      </c>
      <c r="AK366" s="613">
        <f t="shared" si="452"/>
        <v>-4</v>
      </c>
      <c r="AL366" s="613">
        <f t="shared" si="452"/>
        <v>15</v>
      </c>
      <c r="AM366" s="613">
        <f t="shared" si="452"/>
        <v>11</v>
      </c>
      <c r="AN366" s="613">
        <v>2</v>
      </c>
      <c r="AO366" s="613">
        <f t="shared" si="446"/>
        <v>-11</v>
      </c>
      <c r="AP366" s="613">
        <f t="shared" si="446"/>
        <v>-3</v>
      </c>
      <c r="AQ366" s="613">
        <f t="shared" si="446"/>
        <v>41</v>
      </c>
      <c r="AR366" s="613">
        <v>-5</v>
      </c>
      <c r="AS366" s="613">
        <v>-46</v>
      </c>
      <c r="AT366" s="613">
        <f t="shared" ref="AT366:AT429" si="457">SUM(AH366:AS366)</f>
        <v>38</v>
      </c>
      <c r="AU366" s="614">
        <f t="shared" si="403"/>
        <v>3.1666666666666665</v>
      </c>
      <c r="AX366" s="612">
        <v>-7</v>
      </c>
      <c r="AY366" s="613">
        <v>31</v>
      </c>
      <c r="AZ366" s="613">
        <f t="shared" si="456"/>
        <v>-25</v>
      </c>
      <c r="BA366" s="613">
        <v>3</v>
      </c>
      <c r="BB366" s="613">
        <v>85</v>
      </c>
      <c r="BC366" s="613">
        <f t="shared" si="447"/>
        <v>-45</v>
      </c>
      <c r="BD366" s="613">
        <v>-8</v>
      </c>
      <c r="BE366" s="613">
        <v>-33</v>
      </c>
      <c r="BF366" s="613">
        <v>26</v>
      </c>
      <c r="BG366" s="613">
        <v>-33</v>
      </c>
      <c r="BH366" s="613">
        <v>20</v>
      </c>
      <c r="BI366" s="613">
        <v>20</v>
      </c>
      <c r="BJ366" s="613">
        <f t="shared" ref="BJ366:BJ373" si="458">SUM(AX366:BI366)</f>
        <v>34</v>
      </c>
      <c r="BK366" s="614">
        <f t="shared" si="404"/>
        <v>2.8333333333333335</v>
      </c>
      <c r="BN366" s="322">
        <f t="shared" si="409"/>
        <v>66</v>
      </c>
      <c r="BO366" s="322">
        <f t="shared" ref="BO366:BO429" si="459">BK366-AU366</f>
        <v>-0.33333333333333304</v>
      </c>
      <c r="BP366" s="322">
        <f t="shared" ref="BP366:BP429" si="460">BJ366-SUM(AH366:AS366)</f>
        <v>-4</v>
      </c>
      <c r="BQ366" s="322">
        <f t="shared" si="405"/>
        <v>0</v>
      </c>
      <c r="BR366" s="2265">
        <f t="shared" ref="BR366:BR429" si="461">HLOOKUP($B$1,$AX$1:$BI$500,ROW(),0)</f>
        <v>20</v>
      </c>
      <c r="BS366" s="2265">
        <f t="shared" ref="BS366:BS429" si="462">HLOOKUP($A$1,$AX$1:$BI$500,ROW(),0)</f>
        <v>20</v>
      </c>
    </row>
    <row r="367" spans="1:71" s="172" customFormat="1" x14ac:dyDescent="0.55000000000000004">
      <c r="A367" s="7531"/>
      <c r="B367" s="253"/>
      <c r="C367" s="181" t="s">
        <v>243</v>
      </c>
      <c r="D367" s="615">
        <f t="shared" si="448"/>
        <v>3</v>
      </c>
      <c r="E367" s="616">
        <f t="shared" si="454"/>
        <v>-1</v>
      </c>
      <c r="F367" s="616">
        <f t="shared" si="454"/>
        <v>-1</v>
      </c>
      <c r="G367" s="616">
        <f t="shared" si="454"/>
        <v>4</v>
      </c>
      <c r="H367" s="616">
        <f t="shared" si="454"/>
        <v>6</v>
      </c>
      <c r="I367" s="616">
        <f t="shared" si="454"/>
        <v>-9</v>
      </c>
      <c r="J367" s="616">
        <f t="shared" si="454"/>
        <v>-22</v>
      </c>
      <c r="K367" s="616">
        <f t="shared" si="454"/>
        <v>12</v>
      </c>
      <c r="L367" s="616">
        <f t="shared" si="454"/>
        <v>-7</v>
      </c>
      <c r="M367" s="616">
        <f t="shared" si="454"/>
        <v>7</v>
      </c>
      <c r="N367" s="616">
        <f t="shared" si="454"/>
        <v>-6</v>
      </c>
      <c r="O367" s="616">
        <f t="shared" si="454"/>
        <v>-9</v>
      </c>
      <c r="P367" s="616">
        <f t="shared" ref="P367:P373" si="463">SUM(D367:O367)</f>
        <v>-23</v>
      </c>
      <c r="Q367" s="617">
        <f t="shared" si="454"/>
        <v>-1.9166666666666679</v>
      </c>
      <c r="R367" s="372"/>
      <c r="S367" s="615">
        <f t="shared" si="453"/>
        <v>1</v>
      </c>
      <c r="T367" s="616">
        <f t="shared" si="453"/>
        <v>4</v>
      </c>
      <c r="U367" s="616">
        <f t="shared" si="453"/>
        <v>7</v>
      </c>
      <c r="V367" s="616">
        <f t="shared" si="453"/>
        <v>-8</v>
      </c>
      <c r="W367" s="616">
        <f t="shared" si="453"/>
        <v>6</v>
      </c>
      <c r="X367" s="616">
        <f t="shared" si="453"/>
        <v>-5</v>
      </c>
      <c r="Y367" s="616">
        <f t="shared" si="453"/>
        <v>1</v>
      </c>
      <c r="Z367" s="616">
        <f t="shared" si="453"/>
        <v>9</v>
      </c>
      <c r="AA367" s="616">
        <f t="shared" si="453"/>
        <v>-13</v>
      </c>
      <c r="AB367" s="616">
        <f t="shared" si="453"/>
        <v>8</v>
      </c>
      <c r="AC367" s="616">
        <f t="shared" si="453"/>
        <v>-5</v>
      </c>
      <c r="AD367" s="616">
        <f t="shared" si="453"/>
        <v>1</v>
      </c>
      <c r="AE367" s="616">
        <f t="shared" ref="AE367:AE373" si="464">SUM(S367:AD367)</f>
        <v>6</v>
      </c>
      <c r="AF367" s="617">
        <f t="shared" si="455"/>
        <v>0.5</v>
      </c>
      <c r="AG367" s="655"/>
      <c r="AH367" s="615">
        <f t="shared" si="452"/>
        <v>12</v>
      </c>
      <c r="AI367" s="616">
        <f t="shared" si="452"/>
        <v>-9</v>
      </c>
      <c r="AJ367" s="616">
        <f t="shared" si="452"/>
        <v>9</v>
      </c>
      <c r="AK367" s="616">
        <f t="shared" si="452"/>
        <v>1</v>
      </c>
      <c r="AL367" s="616">
        <f t="shared" si="452"/>
        <v>12</v>
      </c>
      <c r="AM367" s="616">
        <f t="shared" si="452"/>
        <v>-9</v>
      </c>
      <c r="AN367" s="616">
        <v>19</v>
      </c>
      <c r="AO367" s="616">
        <f t="shared" si="446"/>
        <v>-18</v>
      </c>
      <c r="AP367" s="616">
        <f t="shared" si="446"/>
        <v>1</v>
      </c>
      <c r="AQ367" s="616">
        <f t="shared" si="446"/>
        <v>-1</v>
      </c>
      <c r="AR367" s="616">
        <v>7</v>
      </c>
      <c r="AS367" s="616">
        <v>-6</v>
      </c>
      <c r="AT367" s="616">
        <f t="shared" si="457"/>
        <v>18</v>
      </c>
      <c r="AU367" s="617">
        <f t="shared" ref="AU367:AU373" si="465">SUM(AH367:AS367)/12</f>
        <v>1.5</v>
      </c>
      <c r="AX367" s="615">
        <v>10</v>
      </c>
      <c r="AY367" s="616">
        <v>6</v>
      </c>
      <c r="AZ367" s="616">
        <f t="shared" si="456"/>
        <v>-7</v>
      </c>
      <c r="BA367" s="616">
        <v>-1</v>
      </c>
      <c r="BB367" s="616">
        <v>26</v>
      </c>
      <c r="BC367" s="616">
        <f t="shared" si="447"/>
        <v>-19</v>
      </c>
      <c r="BD367" s="2353">
        <v>0</v>
      </c>
      <c r="BE367" s="2353">
        <v>0</v>
      </c>
      <c r="BF367" s="2353">
        <v>0</v>
      </c>
      <c r="BG367" s="2353">
        <v>0</v>
      </c>
      <c r="BH367" s="2353">
        <v>0</v>
      </c>
      <c r="BI367" s="2353">
        <v>0</v>
      </c>
      <c r="BJ367" s="616">
        <f t="shared" si="458"/>
        <v>15</v>
      </c>
      <c r="BK367" s="617">
        <f t="shared" ref="BK367:BK430" si="466">AVERAGE(AX367:BI367)</f>
        <v>1.25</v>
      </c>
      <c r="BN367" s="322">
        <f t="shared" si="409"/>
        <v>6</v>
      </c>
      <c r="BO367" s="322">
        <f t="shared" si="459"/>
        <v>-0.25</v>
      </c>
      <c r="BP367" s="322">
        <f t="shared" si="460"/>
        <v>-3</v>
      </c>
      <c r="BQ367" s="322">
        <f t="shared" ref="BQ367:BQ430" si="467">BS367-BR367</f>
        <v>0</v>
      </c>
      <c r="BR367" s="2265">
        <f t="shared" si="461"/>
        <v>0</v>
      </c>
      <c r="BS367" s="2265">
        <f t="shared" si="462"/>
        <v>0</v>
      </c>
    </row>
    <row r="368" spans="1:71" s="172" customFormat="1" x14ac:dyDescent="0.55000000000000004">
      <c r="A368" s="7531"/>
      <c r="B368" s="253"/>
      <c r="C368" s="173" t="s">
        <v>244</v>
      </c>
      <c r="D368" s="618">
        <f t="shared" si="448"/>
        <v>39</v>
      </c>
      <c r="E368" s="619">
        <f t="shared" si="454"/>
        <v>-11</v>
      </c>
      <c r="F368" s="619">
        <f t="shared" si="454"/>
        <v>35</v>
      </c>
      <c r="G368" s="619">
        <f t="shared" si="454"/>
        <v>-16</v>
      </c>
      <c r="H368" s="619">
        <f t="shared" si="454"/>
        <v>-6</v>
      </c>
      <c r="I368" s="619">
        <f t="shared" si="454"/>
        <v>-40</v>
      </c>
      <c r="J368" s="619">
        <f t="shared" si="454"/>
        <v>-43</v>
      </c>
      <c r="K368" s="619">
        <f t="shared" si="454"/>
        <v>36</v>
      </c>
      <c r="L368" s="619">
        <f t="shared" si="454"/>
        <v>-39</v>
      </c>
      <c r="M368" s="619">
        <f t="shared" si="454"/>
        <v>28</v>
      </c>
      <c r="N368" s="619">
        <f t="shared" si="454"/>
        <v>-4</v>
      </c>
      <c r="O368" s="619">
        <f t="shared" si="454"/>
        <v>-18</v>
      </c>
      <c r="P368" s="619">
        <f t="shared" si="463"/>
        <v>-39</v>
      </c>
      <c r="Q368" s="620">
        <f t="shared" si="454"/>
        <v>-3.25</v>
      </c>
      <c r="R368" s="372"/>
      <c r="S368" s="618">
        <f t="shared" si="453"/>
        <v>-11</v>
      </c>
      <c r="T368" s="619">
        <f t="shared" si="453"/>
        <v>33</v>
      </c>
      <c r="U368" s="619">
        <f t="shared" si="453"/>
        <v>-29</v>
      </c>
      <c r="V368" s="619">
        <f t="shared" si="453"/>
        <v>-29</v>
      </c>
      <c r="W368" s="619">
        <f t="shared" si="453"/>
        <v>18</v>
      </c>
      <c r="X368" s="619">
        <f t="shared" si="453"/>
        <v>-21</v>
      </c>
      <c r="Y368" s="619">
        <f t="shared" si="453"/>
        <v>23</v>
      </c>
      <c r="Z368" s="619">
        <f t="shared" si="453"/>
        <v>7</v>
      </c>
      <c r="AA368" s="619">
        <f t="shared" si="453"/>
        <v>8</v>
      </c>
      <c r="AB368" s="619">
        <f t="shared" si="453"/>
        <v>-10</v>
      </c>
      <c r="AC368" s="619">
        <f t="shared" si="453"/>
        <v>-2</v>
      </c>
      <c r="AD368" s="619">
        <f t="shared" si="453"/>
        <v>-18</v>
      </c>
      <c r="AE368" s="619">
        <f t="shared" si="464"/>
        <v>-31</v>
      </c>
      <c r="AF368" s="620">
        <f t="shared" si="455"/>
        <v>-2.5833333333333357</v>
      </c>
      <c r="AG368" s="655"/>
      <c r="AH368" s="618">
        <f t="shared" si="452"/>
        <v>39</v>
      </c>
      <c r="AI368" s="619">
        <f t="shared" si="452"/>
        <v>-16</v>
      </c>
      <c r="AJ368" s="619">
        <f t="shared" si="452"/>
        <v>20</v>
      </c>
      <c r="AK368" s="619">
        <f t="shared" si="452"/>
        <v>-15</v>
      </c>
      <c r="AL368" s="619">
        <f t="shared" si="452"/>
        <v>4</v>
      </c>
      <c r="AM368" s="619">
        <f t="shared" si="452"/>
        <v>16</v>
      </c>
      <c r="AN368" s="619">
        <v>-1</v>
      </c>
      <c r="AO368" s="619">
        <f t="shared" si="446"/>
        <v>17</v>
      </c>
      <c r="AP368" s="619">
        <f t="shared" si="446"/>
        <v>15</v>
      </c>
      <c r="AQ368" s="619">
        <f t="shared" si="446"/>
        <v>-21</v>
      </c>
      <c r="AR368" s="619">
        <v>13</v>
      </c>
      <c r="AS368" s="619">
        <v>-20</v>
      </c>
      <c r="AT368" s="619">
        <f t="shared" si="457"/>
        <v>51</v>
      </c>
      <c r="AU368" s="620">
        <f t="shared" si="465"/>
        <v>4.25</v>
      </c>
      <c r="AX368" s="618">
        <v>-16</v>
      </c>
      <c r="AY368" s="619">
        <v>27</v>
      </c>
      <c r="AZ368" s="619">
        <f t="shared" si="456"/>
        <v>-32</v>
      </c>
      <c r="BA368" s="619">
        <v>-4</v>
      </c>
      <c r="BB368" s="619">
        <v>110</v>
      </c>
      <c r="BC368" s="619">
        <f t="shared" si="447"/>
        <v>-50</v>
      </c>
      <c r="BD368" s="619">
        <v>-15</v>
      </c>
      <c r="BE368" s="619">
        <v>-2</v>
      </c>
      <c r="BF368" s="619">
        <v>6</v>
      </c>
      <c r="BG368" s="619">
        <v>-13</v>
      </c>
      <c r="BH368" s="619">
        <v>-9</v>
      </c>
      <c r="BI368" s="619">
        <v>7</v>
      </c>
      <c r="BJ368" s="619">
        <f t="shared" si="458"/>
        <v>9</v>
      </c>
      <c r="BK368" s="620">
        <f t="shared" si="466"/>
        <v>0.75</v>
      </c>
      <c r="BN368" s="322">
        <f t="shared" si="409"/>
        <v>27</v>
      </c>
      <c r="BO368" s="322">
        <f t="shared" si="459"/>
        <v>-3.5</v>
      </c>
      <c r="BP368" s="322">
        <f t="shared" si="460"/>
        <v>-42</v>
      </c>
      <c r="BQ368" s="322">
        <f t="shared" si="467"/>
        <v>16</v>
      </c>
      <c r="BR368" s="2265">
        <f t="shared" si="461"/>
        <v>-9</v>
      </c>
      <c r="BS368" s="2265">
        <f t="shared" si="462"/>
        <v>7</v>
      </c>
    </row>
    <row r="369" spans="1:71" s="172" customFormat="1" x14ac:dyDescent="0.55000000000000004">
      <c r="A369" s="7531"/>
      <c r="B369" s="253"/>
      <c r="C369" s="181" t="s">
        <v>245</v>
      </c>
      <c r="D369" s="615">
        <f t="shared" si="448"/>
        <v>15</v>
      </c>
      <c r="E369" s="616">
        <f t="shared" si="454"/>
        <v>14</v>
      </c>
      <c r="F369" s="616">
        <f t="shared" si="454"/>
        <v>-44</v>
      </c>
      <c r="G369" s="616">
        <f t="shared" si="454"/>
        <v>70</v>
      </c>
      <c r="H369" s="616">
        <f t="shared" si="454"/>
        <v>-15</v>
      </c>
      <c r="I369" s="616">
        <f t="shared" si="454"/>
        <v>-39</v>
      </c>
      <c r="J369" s="616">
        <f t="shared" si="454"/>
        <v>-23</v>
      </c>
      <c r="K369" s="616">
        <f t="shared" si="454"/>
        <v>-1</v>
      </c>
      <c r="L369" s="616">
        <f t="shared" si="454"/>
        <v>-38</v>
      </c>
      <c r="M369" s="616">
        <f t="shared" si="454"/>
        <v>-1</v>
      </c>
      <c r="N369" s="616">
        <f t="shared" si="454"/>
        <v>-18</v>
      </c>
      <c r="O369" s="616">
        <f t="shared" si="454"/>
        <v>12</v>
      </c>
      <c r="P369" s="616">
        <f t="shared" si="463"/>
        <v>-68</v>
      </c>
      <c r="Q369" s="617">
        <f t="shared" si="454"/>
        <v>-5.6666666666666714</v>
      </c>
      <c r="R369" s="372"/>
      <c r="S369" s="615">
        <f t="shared" si="453"/>
        <v>-2</v>
      </c>
      <c r="T369" s="616">
        <f t="shared" si="453"/>
        <v>11</v>
      </c>
      <c r="U369" s="616">
        <f t="shared" si="453"/>
        <v>8</v>
      </c>
      <c r="V369" s="616">
        <f t="shared" si="453"/>
        <v>-15</v>
      </c>
      <c r="W369" s="616">
        <f t="shared" si="453"/>
        <v>14</v>
      </c>
      <c r="X369" s="616">
        <f t="shared" si="453"/>
        <v>-9</v>
      </c>
      <c r="Y369" s="616">
        <f t="shared" si="453"/>
        <v>36</v>
      </c>
      <c r="Z369" s="616">
        <f t="shared" si="453"/>
        <v>2</v>
      </c>
      <c r="AA369" s="616">
        <f t="shared" si="453"/>
        <v>-20</v>
      </c>
      <c r="AB369" s="616">
        <f t="shared" si="453"/>
        <v>14</v>
      </c>
      <c r="AC369" s="616">
        <f t="shared" si="453"/>
        <v>10</v>
      </c>
      <c r="AD369" s="616">
        <f t="shared" si="453"/>
        <v>-38</v>
      </c>
      <c r="AE369" s="616">
        <f t="shared" si="464"/>
        <v>11</v>
      </c>
      <c r="AF369" s="617">
        <f t="shared" si="455"/>
        <v>0.9166666666666714</v>
      </c>
      <c r="AG369" s="655"/>
      <c r="AH369" s="615">
        <f t="shared" si="452"/>
        <v>17</v>
      </c>
      <c r="AI369" s="616">
        <f t="shared" si="452"/>
        <v>7</v>
      </c>
      <c r="AJ369" s="616">
        <f t="shared" si="452"/>
        <v>20</v>
      </c>
      <c r="AK369" s="616">
        <f t="shared" si="452"/>
        <v>1</v>
      </c>
      <c r="AL369" s="616">
        <f t="shared" si="452"/>
        <v>26</v>
      </c>
      <c r="AM369" s="616">
        <f t="shared" si="452"/>
        <v>1</v>
      </c>
      <c r="AN369" s="616">
        <v>1</v>
      </c>
      <c r="AO369" s="616">
        <f t="shared" si="446"/>
        <v>4</v>
      </c>
      <c r="AP369" s="616">
        <f t="shared" si="446"/>
        <v>-27</v>
      </c>
      <c r="AQ369" s="616">
        <f t="shared" si="446"/>
        <v>30</v>
      </c>
      <c r="AR369" s="616">
        <v>-16</v>
      </c>
      <c r="AS369" s="616">
        <v>-10</v>
      </c>
      <c r="AT369" s="616">
        <f t="shared" si="457"/>
        <v>54</v>
      </c>
      <c r="AU369" s="617">
        <f t="shared" si="465"/>
        <v>4.5</v>
      </c>
      <c r="AX369" s="615">
        <v>-9</v>
      </c>
      <c r="AY369" s="616">
        <v>47</v>
      </c>
      <c r="AZ369" s="616">
        <f t="shared" si="456"/>
        <v>-39</v>
      </c>
      <c r="BA369" s="616">
        <v>15</v>
      </c>
      <c r="BB369" s="616">
        <v>67</v>
      </c>
      <c r="BC369" s="616">
        <f t="shared" si="447"/>
        <v>-25</v>
      </c>
      <c r="BD369" s="616">
        <v>-12</v>
      </c>
      <c r="BE369" s="616">
        <v>-30</v>
      </c>
      <c r="BF369" s="616">
        <v>12</v>
      </c>
      <c r="BG369" s="616">
        <v>-17</v>
      </c>
      <c r="BH369" s="616">
        <v>-24</v>
      </c>
      <c r="BI369" s="616">
        <v>25</v>
      </c>
      <c r="BJ369" s="616">
        <f t="shared" si="458"/>
        <v>10</v>
      </c>
      <c r="BK369" s="617">
        <f t="shared" si="466"/>
        <v>0.83333333333333337</v>
      </c>
      <c r="BN369" s="322">
        <f t="shared" si="409"/>
        <v>35</v>
      </c>
      <c r="BO369" s="322">
        <f t="shared" si="459"/>
        <v>-3.6666666666666665</v>
      </c>
      <c r="BP369" s="322">
        <f t="shared" si="460"/>
        <v>-44</v>
      </c>
      <c r="BQ369" s="322">
        <f t="shared" si="467"/>
        <v>49</v>
      </c>
      <c r="BR369" s="2265">
        <f t="shared" si="461"/>
        <v>-24</v>
      </c>
      <c r="BS369" s="2265">
        <f t="shared" si="462"/>
        <v>25</v>
      </c>
    </row>
    <row r="370" spans="1:71" s="172" customFormat="1" x14ac:dyDescent="0.55000000000000004">
      <c r="A370" s="7531"/>
      <c r="B370" s="253"/>
      <c r="C370" s="173" t="s">
        <v>246</v>
      </c>
      <c r="D370" s="618">
        <f t="shared" si="448"/>
        <v>24</v>
      </c>
      <c r="E370" s="619">
        <f t="shared" si="454"/>
        <v>32</v>
      </c>
      <c r="F370" s="619">
        <f t="shared" si="454"/>
        <v>-3</v>
      </c>
      <c r="G370" s="619">
        <f t="shared" si="454"/>
        <v>-13</v>
      </c>
      <c r="H370" s="619">
        <f t="shared" si="454"/>
        <v>-6</v>
      </c>
      <c r="I370" s="619">
        <f t="shared" si="454"/>
        <v>-5</v>
      </c>
      <c r="J370" s="619">
        <f t="shared" si="454"/>
        <v>42</v>
      </c>
      <c r="K370" s="619">
        <f t="shared" si="454"/>
        <v>24</v>
      </c>
      <c r="L370" s="619">
        <f t="shared" si="454"/>
        <v>-31</v>
      </c>
      <c r="M370" s="619">
        <f t="shared" si="454"/>
        <v>-5</v>
      </c>
      <c r="N370" s="619">
        <f t="shared" si="454"/>
        <v>-16</v>
      </c>
      <c r="O370" s="619">
        <f t="shared" si="454"/>
        <v>-18</v>
      </c>
      <c r="P370" s="619">
        <f t="shared" si="463"/>
        <v>25</v>
      </c>
      <c r="Q370" s="620">
        <f t="shared" si="454"/>
        <v>2.0833333333333428</v>
      </c>
      <c r="R370" s="372"/>
      <c r="S370" s="618">
        <f t="shared" si="453"/>
        <v>7</v>
      </c>
      <c r="T370" s="619">
        <f t="shared" si="453"/>
        <v>30</v>
      </c>
      <c r="U370" s="619">
        <f t="shared" si="453"/>
        <v>0</v>
      </c>
      <c r="V370" s="619">
        <f t="shared" si="453"/>
        <v>-24</v>
      </c>
      <c r="W370" s="619">
        <f t="shared" si="453"/>
        <v>29</v>
      </c>
      <c r="X370" s="619">
        <f t="shared" si="453"/>
        <v>-29</v>
      </c>
      <c r="Y370" s="619">
        <f t="shared" si="453"/>
        <v>-6</v>
      </c>
      <c r="Z370" s="619">
        <f t="shared" si="453"/>
        <v>11</v>
      </c>
      <c r="AA370" s="619">
        <f t="shared" si="453"/>
        <v>12</v>
      </c>
      <c r="AB370" s="619">
        <f t="shared" si="453"/>
        <v>-13</v>
      </c>
      <c r="AC370" s="619">
        <f t="shared" si="453"/>
        <v>-13</v>
      </c>
      <c r="AD370" s="619">
        <f t="shared" si="453"/>
        <v>-12</v>
      </c>
      <c r="AE370" s="619">
        <f t="shared" si="464"/>
        <v>-8</v>
      </c>
      <c r="AF370" s="620">
        <f t="shared" si="455"/>
        <v>-0.66666666666665719</v>
      </c>
      <c r="AG370" s="655"/>
      <c r="AH370" s="618">
        <f t="shared" si="452"/>
        <v>74</v>
      </c>
      <c r="AI370" s="619">
        <f t="shared" si="452"/>
        <v>2</v>
      </c>
      <c r="AJ370" s="619">
        <f t="shared" si="452"/>
        <v>43</v>
      </c>
      <c r="AK370" s="619">
        <f t="shared" si="452"/>
        <v>-9</v>
      </c>
      <c r="AL370" s="619">
        <f t="shared" si="452"/>
        <v>31</v>
      </c>
      <c r="AM370" s="619">
        <f t="shared" si="452"/>
        <v>-27</v>
      </c>
      <c r="AN370" s="619">
        <v>-19</v>
      </c>
      <c r="AO370" s="619">
        <f t="shared" si="446"/>
        <v>-17</v>
      </c>
      <c r="AP370" s="619">
        <f t="shared" si="446"/>
        <v>31</v>
      </c>
      <c r="AQ370" s="619">
        <f t="shared" si="446"/>
        <v>2</v>
      </c>
      <c r="AR370" s="619">
        <v>16</v>
      </c>
      <c r="AS370" s="619">
        <v>-8</v>
      </c>
      <c r="AT370" s="619">
        <f t="shared" si="457"/>
        <v>119</v>
      </c>
      <c r="AU370" s="620">
        <f t="shared" si="465"/>
        <v>9.9166666666666661</v>
      </c>
      <c r="AX370" s="618">
        <v>4</v>
      </c>
      <c r="AY370" s="619">
        <v>4</v>
      </c>
      <c r="AZ370" s="619">
        <f t="shared" si="456"/>
        <v>-18</v>
      </c>
      <c r="BA370" s="619">
        <v>34</v>
      </c>
      <c r="BB370" s="619">
        <v>112</v>
      </c>
      <c r="BC370" s="619">
        <f t="shared" si="447"/>
        <v>-24</v>
      </c>
      <c r="BD370" s="619">
        <v>-46</v>
      </c>
      <c r="BE370" s="619">
        <v>-70</v>
      </c>
      <c r="BF370" s="619">
        <v>10</v>
      </c>
      <c r="BG370" s="619">
        <v>-7</v>
      </c>
      <c r="BH370" s="619">
        <v>-19</v>
      </c>
      <c r="BI370" s="619">
        <v>6</v>
      </c>
      <c r="BJ370" s="619">
        <f t="shared" si="458"/>
        <v>-14</v>
      </c>
      <c r="BK370" s="620">
        <f t="shared" si="466"/>
        <v>-1.1666666666666667</v>
      </c>
      <c r="BN370" s="322">
        <f t="shared" si="409"/>
        <v>14</v>
      </c>
      <c r="BO370" s="322">
        <f t="shared" si="459"/>
        <v>-11.083333333333332</v>
      </c>
      <c r="BP370" s="322">
        <f t="shared" si="460"/>
        <v>-133</v>
      </c>
      <c r="BQ370" s="322">
        <f t="shared" si="467"/>
        <v>25</v>
      </c>
      <c r="BR370" s="2265">
        <f t="shared" si="461"/>
        <v>-19</v>
      </c>
      <c r="BS370" s="2265">
        <f t="shared" si="462"/>
        <v>6</v>
      </c>
    </row>
    <row r="371" spans="1:71" s="172" customFormat="1" x14ac:dyDescent="0.55000000000000004">
      <c r="A371" s="7531"/>
      <c r="B371" s="253"/>
      <c r="C371" s="173" t="s">
        <v>247</v>
      </c>
      <c r="D371" s="618">
        <f t="shared" si="448"/>
        <v>3</v>
      </c>
      <c r="E371" s="619">
        <f t="shared" si="454"/>
        <v>5</v>
      </c>
      <c r="F371" s="619">
        <f t="shared" si="454"/>
        <v>5</v>
      </c>
      <c r="G371" s="619">
        <f t="shared" si="454"/>
        <v>18</v>
      </c>
      <c r="H371" s="619">
        <f t="shared" si="454"/>
        <v>-8</v>
      </c>
      <c r="I371" s="619">
        <f t="shared" si="454"/>
        <v>-18</v>
      </c>
      <c r="J371" s="619">
        <f t="shared" si="454"/>
        <v>1</v>
      </c>
      <c r="K371" s="619">
        <f t="shared" si="454"/>
        <v>12</v>
      </c>
      <c r="L371" s="619">
        <f t="shared" si="454"/>
        <v>-23</v>
      </c>
      <c r="M371" s="619">
        <f t="shared" si="454"/>
        <v>-4</v>
      </c>
      <c r="N371" s="619">
        <f t="shared" si="454"/>
        <v>4</v>
      </c>
      <c r="O371" s="619">
        <f t="shared" si="454"/>
        <v>-34</v>
      </c>
      <c r="P371" s="619">
        <f t="shared" si="463"/>
        <v>-39</v>
      </c>
      <c r="Q371" s="620">
        <f t="shared" si="454"/>
        <v>-3.25</v>
      </c>
      <c r="R371" s="372"/>
      <c r="S371" s="618">
        <f t="shared" si="453"/>
        <v>42</v>
      </c>
      <c r="T371" s="619">
        <f t="shared" si="453"/>
        <v>-8</v>
      </c>
      <c r="U371" s="619">
        <f t="shared" si="453"/>
        <v>3</v>
      </c>
      <c r="V371" s="619">
        <f t="shared" si="453"/>
        <v>12</v>
      </c>
      <c r="W371" s="619">
        <f t="shared" si="453"/>
        <v>11</v>
      </c>
      <c r="X371" s="619">
        <f t="shared" si="453"/>
        <v>12</v>
      </c>
      <c r="Y371" s="619">
        <f t="shared" si="453"/>
        <v>-19</v>
      </c>
      <c r="Z371" s="619">
        <f t="shared" si="453"/>
        <v>-3</v>
      </c>
      <c r="AA371" s="619">
        <f t="shared" si="453"/>
        <v>3</v>
      </c>
      <c r="AB371" s="619">
        <f t="shared" si="453"/>
        <v>42</v>
      </c>
      <c r="AC371" s="619">
        <f t="shared" si="453"/>
        <v>-56</v>
      </c>
      <c r="AD371" s="619">
        <f t="shared" si="453"/>
        <v>-8</v>
      </c>
      <c r="AE371" s="619">
        <f t="shared" si="464"/>
        <v>31</v>
      </c>
      <c r="AF371" s="620">
        <f t="shared" si="455"/>
        <v>2.5833333333333286</v>
      </c>
      <c r="AG371" s="655"/>
      <c r="AH371" s="618">
        <f t="shared" si="452"/>
        <v>25</v>
      </c>
      <c r="AI371" s="619">
        <f t="shared" si="452"/>
        <v>5</v>
      </c>
      <c r="AJ371" s="619">
        <f t="shared" si="452"/>
        <v>9</v>
      </c>
      <c r="AK371" s="619">
        <f t="shared" si="452"/>
        <v>-21</v>
      </c>
      <c r="AL371" s="619">
        <f t="shared" si="452"/>
        <v>8</v>
      </c>
      <c r="AM371" s="619">
        <f t="shared" si="452"/>
        <v>1</v>
      </c>
      <c r="AN371" s="619">
        <v>3</v>
      </c>
      <c r="AO371" s="619">
        <f t="shared" si="446"/>
        <v>9</v>
      </c>
      <c r="AP371" s="619">
        <f t="shared" si="446"/>
        <v>-13</v>
      </c>
      <c r="AQ371" s="619">
        <f t="shared" si="446"/>
        <v>-4</v>
      </c>
      <c r="AR371" s="619">
        <v>24</v>
      </c>
      <c r="AS371" s="619">
        <v>-21</v>
      </c>
      <c r="AT371" s="619">
        <f t="shared" si="457"/>
        <v>25</v>
      </c>
      <c r="AU371" s="620">
        <f t="shared" si="465"/>
        <v>2.0833333333333335</v>
      </c>
      <c r="AX371" s="618">
        <v>13</v>
      </c>
      <c r="AY371" s="619">
        <v>8</v>
      </c>
      <c r="AZ371" s="619">
        <f t="shared" si="456"/>
        <v>8</v>
      </c>
      <c r="BA371" s="619">
        <v>-25</v>
      </c>
      <c r="BB371" s="619">
        <v>76</v>
      </c>
      <c r="BC371" s="619">
        <f t="shared" si="447"/>
        <v>-31</v>
      </c>
      <c r="BD371" s="619">
        <v>-8</v>
      </c>
      <c r="BE371" s="619">
        <v>-38</v>
      </c>
      <c r="BF371" s="619">
        <v>21</v>
      </c>
      <c r="BG371" s="619">
        <v>-1</v>
      </c>
      <c r="BH371" s="619">
        <v>-4</v>
      </c>
      <c r="BI371" s="619">
        <v>7</v>
      </c>
      <c r="BJ371" s="619">
        <f t="shared" si="458"/>
        <v>26</v>
      </c>
      <c r="BK371" s="620">
        <f t="shared" si="466"/>
        <v>2.1666666666666665</v>
      </c>
      <c r="BN371" s="322">
        <f t="shared" si="409"/>
        <v>28</v>
      </c>
      <c r="BO371" s="322">
        <f t="shared" si="459"/>
        <v>8.3333333333333037E-2</v>
      </c>
      <c r="BP371" s="322">
        <f t="shared" si="460"/>
        <v>1</v>
      </c>
      <c r="BQ371" s="322">
        <f t="shared" si="467"/>
        <v>11</v>
      </c>
      <c r="BR371" s="2265">
        <f t="shared" si="461"/>
        <v>-4</v>
      </c>
      <c r="BS371" s="2265">
        <f t="shared" si="462"/>
        <v>7</v>
      </c>
    </row>
    <row r="372" spans="1:71" s="172" customFormat="1" x14ac:dyDescent="0.55000000000000004">
      <c r="A372" s="7531"/>
      <c r="B372" s="253"/>
      <c r="C372" s="181" t="s">
        <v>248</v>
      </c>
      <c r="D372" s="615">
        <f t="shared" si="448"/>
        <v>8</v>
      </c>
      <c r="E372" s="616">
        <f t="shared" si="454"/>
        <v>6</v>
      </c>
      <c r="F372" s="616">
        <f t="shared" si="454"/>
        <v>-16</v>
      </c>
      <c r="G372" s="616">
        <f t="shared" si="454"/>
        <v>8</v>
      </c>
      <c r="H372" s="616">
        <f t="shared" si="454"/>
        <v>2</v>
      </c>
      <c r="I372" s="616">
        <f t="shared" si="454"/>
        <v>-17</v>
      </c>
      <c r="J372" s="616">
        <f t="shared" si="454"/>
        <v>3</v>
      </c>
      <c r="K372" s="616">
        <f t="shared" si="454"/>
        <v>15</v>
      </c>
      <c r="L372" s="616">
        <f t="shared" si="454"/>
        <v>-21</v>
      </c>
      <c r="M372" s="616">
        <f t="shared" si="454"/>
        <v>5</v>
      </c>
      <c r="N372" s="616">
        <f t="shared" si="454"/>
        <v>12</v>
      </c>
      <c r="O372" s="616">
        <f t="shared" si="454"/>
        <v>5</v>
      </c>
      <c r="P372" s="616">
        <f t="shared" si="463"/>
        <v>10</v>
      </c>
      <c r="Q372" s="617">
        <f t="shared" si="454"/>
        <v>0.8333333333333357</v>
      </c>
      <c r="R372" s="372"/>
      <c r="S372" s="615">
        <f t="shared" si="453"/>
        <v>-15</v>
      </c>
      <c r="T372" s="616">
        <f t="shared" si="453"/>
        <v>22</v>
      </c>
      <c r="U372" s="616">
        <f t="shared" si="453"/>
        <v>-11</v>
      </c>
      <c r="V372" s="616">
        <f t="shared" si="453"/>
        <v>17</v>
      </c>
      <c r="W372" s="616">
        <f t="shared" si="453"/>
        <v>3</v>
      </c>
      <c r="X372" s="616">
        <f t="shared" si="453"/>
        <v>-12</v>
      </c>
      <c r="Y372" s="616">
        <f t="shared" si="453"/>
        <v>-22</v>
      </c>
      <c r="Z372" s="616">
        <f t="shared" si="453"/>
        <v>34</v>
      </c>
      <c r="AA372" s="616">
        <f t="shared" si="453"/>
        <v>-15</v>
      </c>
      <c r="AB372" s="616">
        <f t="shared" si="453"/>
        <v>2</v>
      </c>
      <c r="AC372" s="616">
        <f t="shared" si="453"/>
        <v>1</v>
      </c>
      <c r="AD372" s="616">
        <f t="shared" si="453"/>
        <v>-35</v>
      </c>
      <c r="AE372" s="616">
        <f t="shared" si="464"/>
        <v>-31</v>
      </c>
      <c r="AF372" s="617">
        <f t="shared" si="455"/>
        <v>-2.5833333333333286</v>
      </c>
      <c r="AG372" s="655"/>
      <c r="AH372" s="615">
        <f t="shared" ref="AH372:AM373" si="468">AH304-AH338</f>
        <v>43</v>
      </c>
      <c r="AI372" s="616">
        <f t="shared" si="468"/>
        <v>-16</v>
      </c>
      <c r="AJ372" s="616">
        <f t="shared" si="468"/>
        <v>-7</v>
      </c>
      <c r="AK372" s="616">
        <f t="shared" si="468"/>
        <v>16</v>
      </c>
      <c r="AL372" s="616">
        <f t="shared" si="468"/>
        <v>25</v>
      </c>
      <c r="AM372" s="616">
        <f t="shared" si="468"/>
        <v>-15</v>
      </c>
      <c r="AN372" s="616">
        <v>15</v>
      </c>
      <c r="AO372" s="616">
        <f t="shared" si="446"/>
        <v>-45</v>
      </c>
      <c r="AP372" s="616">
        <f t="shared" si="446"/>
        <v>8</v>
      </c>
      <c r="AQ372" s="616">
        <f t="shared" si="446"/>
        <v>17</v>
      </c>
      <c r="AR372" s="616">
        <v>0</v>
      </c>
      <c r="AS372" s="616">
        <v>-4</v>
      </c>
      <c r="AT372" s="616">
        <f t="shared" si="457"/>
        <v>37</v>
      </c>
      <c r="AU372" s="617">
        <f t="shared" si="465"/>
        <v>3.0833333333333335</v>
      </c>
      <c r="AX372" s="615">
        <v>-8</v>
      </c>
      <c r="AY372" s="616">
        <v>27</v>
      </c>
      <c r="AZ372" s="616">
        <f t="shared" si="456"/>
        <v>3</v>
      </c>
      <c r="BA372" s="616">
        <v>-13</v>
      </c>
      <c r="BB372" s="616">
        <v>71</v>
      </c>
      <c r="BC372" s="616">
        <f t="shared" si="447"/>
        <v>-44</v>
      </c>
      <c r="BD372" s="616">
        <v>0</v>
      </c>
      <c r="BE372" s="616">
        <v>-53</v>
      </c>
      <c r="BF372" s="616">
        <v>26</v>
      </c>
      <c r="BG372" s="616">
        <v>-19</v>
      </c>
      <c r="BH372" s="616">
        <v>13</v>
      </c>
      <c r="BI372" s="616">
        <v>-4</v>
      </c>
      <c r="BJ372" s="616">
        <f t="shared" si="458"/>
        <v>-1</v>
      </c>
      <c r="BK372" s="617">
        <f t="shared" si="466"/>
        <v>-8.3333333333333329E-2</v>
      </c>
      <c r="BN372" s="322">
        <f t="shared" ref="BN372:BN435" si="469">HLOOKUP($A$1,$AX$1:$BI$500,ROW(),0)-HLOOKUP($A$1,$AH$1:$AS$500,ROW(),0)</f>
        <v>0</v>
      </c>
      <c r="BO372" s="322">
        <f t="shared" si="459"/>
        <v>-3.166666666666667</v>
      </c>
      <c r="BP372" s="322">
        <f t="shared" si="460"/>
        <v>-38</v>
      </c>
      <c r="BQ372" s="322">
        <f t="shared" si="467"/>
        <v>-17</v>
      </c>
      <c r="BR372" s="2265">
        <f t="shared" si="461"/>
        <v>13</v>
      </c>
      <c r="BS372" s="2265">
        <f t="shared" si="462"/>
        <v>-4</v>
      </c>
    </row>
    <row r="373" spans="1:71" s="172" customFormat="1" ht="18" thickBot="1" x14ac:dyDescent="0.6">
      <c r="A373" s="7532"/>
      <c r="B373" s="255"/>
      <c r="C373" s="183" t="s">
        <v>249</v>
      </c>
      <c r="D373" s="624">
        <f t="shared" si="448"/>
        <v>30</v>
      </c>
      <c r="E373" s="625">
        <f t="shared" si="454"/>
        <v>10</v>
      </c>
      <c r="F373" s="625">
        <f t="shared" si="454"/>
        <v>-9</v>
      </c>
      <c r="G373" s="625">
        <f t="shared" si="454"/>
        <v>-20</v>
      </c>
      <c r="H373" s="625">
        <f t="shared" si="454"/>
        <v>16</v>
      </c>
      <c r="I373" s="625">
        <f t="shared" si="454"/>
        <v>-5</v>
      </c>
      <c r="J373" s="625">
        <f t="shared" si="454"/>
        <v>-17</v>
      </c>
      <c r="K373" s="625">
        <f t="shared" si="454"/>
        <v>-2</v>
      </c>
      <c r="L373" s="625">
        <f t="shared" si="454"/>
        <v>3</v>
      </c>
      <c r="M373" s="625">
        <f t="shared" si="454"/>
        <v>-3</v>
      </c>
      <c r="N373" s="625">
        <f t="shared" si="454"/>
        <v>-3</v>
      </c>
      <c r="O373" s="625">
        <f t="shared" si="454"/>
        <v>-31</v>
      </c>
      <c r="P373" s="625">
        <f t="shared" si="463"/>
        <v>-31</v>
      </c>
      <c r="Q373" s="626">
        <f t="shared" si="454"/>
        <v>-2.5833333333333286</v>
      </c>
      <c r="R373" s="372"/>
      <c r="S373" s="624">
        <f t="shared" ref="S373:AD373" si="470">S305-S339</f>
        <v>25</v>
      </c>
      <c r="T373" s="625">
        <f t="shared" si="470"/>
        <v>-3</v>
      </c>
      <c r="U373" s="625">
        <f t="shared" si="470"/>
        <v>18</v>
      </c>
      <c r="V373" s="625">
        <f t="shared" si="470"/>
        <v>-10</v>
      </c>
      <c r="W373" s="625">
        <f t="shared" si="470"/>
        <v>1</v>
      </c>
      <c r="X373" s="625">
        <f t="shared" si="470"/>
        <v>-24</v>
      </c>
      <c r="Y373" s="625">
        <f t="shared" si="470"/>
        <v>7</v>
      </c>
      <c r="Z373" s="625">
        <f t="shared" si="470"/>
        <v>14</v>
      </c>
      <c r="AA373" s="625">
        <f t="shared" si="470"/>
        <v>-38</v>
      </c>
      <c r="AB373" s="625">
        <f t="shared" si="470"/>
        <v>23</v>
      </c>
      <c r="AC373" s="625">
        <f t="shared" si="470"/>
        <v>-5</v>
      </c>
      <c r="AD373" s="625">
        <f t="shared" si="470"/>
        <v>-6</v>
      </c>
      <c r="AE373" s="625">
        <f t="shared" si="464"/>
        <v>2</v>
      </c>
      <c r="AF373" s="626">
        <f t="shared" si="455"/>
        <v>0.1666666666666714</v>
      </c>
      <c r="AG373" s="655"/>
      <c r="AH373" s="624">
        <f t="shared" si="468"/>
        <v>73</v>
      </c>
      <c r="AI373" s="625">
        <f t="shared" si="468"/>
        <v>-41</v>
      </c>
      <c r="AJ373" s="625">
        <f t="shared" si="468"/>
        <v>13</v>
      </c>
      <c r="AK373" s="625">
        <f t="shared" si="468"/>
        <v>0</v>
      </c>
      <c r="AL373" s="625">
        <f t="shared" si="468"/>
        <v>-21</v>
      </c>
      <c r="AM373" s="625">
        <f t="shared" si="468"/>
        <v>8</v>
      </c>
      <c r="AN373" s="625">
        <v>14</v>
      </c>
      <c r="AO373" s="625">
        <f t="shared" si="446"/>
        <v>-26</v>
      </c>
      <c r="AP373" s="625">
        <f t="shared" si="446"/>
        <v>0</v>
      </c>
      <c r="AQ373" s="625">
        <f t="shared" si="446"/>
        <v>24</v>
      </c>
      <c r="AR373" s="625">
        <v>19</v>
      </c>
      <c r="AS373" s="625">
        <v>-16</v>
      </c>
      <c r="AT373" s="625">
        <f t="shared" si="457"/>
        <v>47</v>
      </c>
      <c r="AU373" s="626">
        <f t="shared" si="465"/>
        <v>3.9166666666666665</v>
      </c>
      <c r="AX373" s="624">
        <v>-13</v>
      </c>
      <c r="AY373" s="625">
        <v>35</v>
      </c>
      <c r="AZ373" s="625">
        <f t="shared" si="456"/>
        <v>-34</v>
      </c>
      <c r="BA373" s="625">
        <v>15</v>
      </c>
      <c r="BB373" s="625">
        <v>25</v>
      </c>
      <c r="BC373" s="625">
        <f t="shared" si="447"/>
        <v>-28</v>
      </c>
      <c r="BD373" s="625">
        <v>0</v>
      </c>
      <c r="BE373" s="625">
        <v>-12</v>
      </c>
      <c r="BF373" s="625">
        <v>-16</v>
      </c>
      <c r="BG373" s="625">
        <v>-4</v>
      </c>
      <c r="BH373" s="625">
        <v>9</v>
      </c>
      <c r="BI373" s="625">
        <v>-1</v>
      </c>
      <c r="BJ373" s="625">
        <f t="shared" si="458"/>
        <v>-24</v>
      </c>
      <c r="BK373" s="626">
        <f t="shared" si="466"/>
        <v>-2</v>
      </c>
      <c r="BN373" s="322">
        <f t="shared" si="469"/>
        <v>15</v>
      </c>
      <c r="BO373" s="322">
        <f t="shared" si="459"/>
        <v>-5.9166666666666661</v>
      </c>
      <c r="BP373" s="322">
        <f t="shared" si="460"/>
        <v>-71</v>
      </c>
      <c r="BQ373" s="322">
        <f t="shared" si="467"/>
        <v>-10</v>
      </c>
      <c r="BR373" s="2265">
        <f t="shared" si="461"/>
        <v>9</v>
      </c>
      <c r="BS373" s="2265">
        <f t="shared" si="462"/>
        <v>-1</v>
      </c>
    </row>
    <row r="374" spans="1:71" ht="6" customHeight="1" thickBot="1" x14ac:dyDescent="0.6"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70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  <c r="AF374" s="339"/>
      <c r="AG374" s="370"/>
      <c r="AH374" s="339"/>
      <c r="AI374" s="339"/>
      <c r="AJ374" s="339"/>
      <c r="AK374" s="339"/>
      <c r="AL374" s="339"/>
      <c r="AM374" s="339"/>
      <c r="AN374" s="339"/>
      <c r="AO374" s="339"/>
      <c r="AP374" s="339"/>
      <c r="AQ374" s="339"/>
      <c r="AR374" s="339"/>
      <c r="AS374" s="339"/>
      <c r="AT374" s="339"/>
      <c r="AU374" s="339"/>
      <c r="AX374" s="339"/>
      <c r="AY374" s="339"/>
      <c r="AZ374" s="339"/>
      <c r="BA374" s="339"/>
      <c r="BB374" s="339"/>
      <c r="BC374" s="339"/>
      <c r="BD374" s="339"/>
      <c r="BE374" s="339"/>
      <c r="BF374" s="339"/>
      <c r="BG374" s="339"/>
      <c r="BH374" s="339"/>
      <c r="BI374" s="339"/>
      <c r="BJ374" s="339"/>
      <c r="BK374" s="339"/>
      <c r="BN374" s="322">
        <f t="shared" si="469"/>
        <v>0</v>
      </c>
      <c r="BO374" s="322">
        <f t="shared" si="459"/>
        <v>0</v>
      </c>
      <c r="BP374" s="322">
        <f t="shared" si="460"/>
        <v>0</v>
      </c>
      <c r="BQ374" s="322">
        <f t="shared" si="467"/>
        <v>0</v>
      </c>
      <c r="BR374" s="2265">
        <f t="shared" si="461"/>
        <v>0</v>
      </c>
      <c r="BS374" s="2265">
        <f t="shared" si="462"/>
        <v>0</v>
      </c>
    </row>
    <row r="375" spans="1:71" x14ac:dyDescent="0.55000000000000004">
      <c r="A375" s="7530" t="s">
        <v>406</v>
      </c>
      <c r="B375" s="74" t="s">
        <v>266</v>
      </c>
      <c r="C375" s="27"/>
      <c r="D375" s="686">
        <v>462.9795918367347</v>
      </c>
      <c r="E375" s="650">
        <v>566.83673469387759</v>
      </c>
      <c r="F375" s="650">
        <v>498.36734693877548</v>
      </c>
      <c r="G375" s="650">
        <v>533.24489795918362</v>
      </c>
      <c r="H375" s="650">
        <v>556.9795918367347</v>
      </c>
      <c r="I375" s="650">
        <v>515.9795918367347</v>
      </c>
      <c r="J375" s="650">
        <v>475.9387755102041</v>
      </c>
      <c r="K375" s="650">
        <v>538.38775510204084</v>
      </c>
      <c r="L375" s="650">
        <v>371.36734693877548</v>
      </c>
      <c r="M375" s="650">
        <v>533.83673469387759</v>
      </c>
      <c r="N375" s="650">
        <v>379.24489795918367</v>
      </c>
      <c r="O375" s="650">
        <v>332.83673469387753</v>
      </c>
      <c r="P375" s="343">
        <f>SUM(D375:O375)</f>
        <v>5766</v>
      </c>
      <c r="Q375" s="651">
        <f>P375/12</f>
        <v>480.5</v>
      </c>
      <c r="R375" s="370"/>
      <c r="S375" s="686">
        <v>373.69387755102042</v>
      </c>
      <c r="T375" s="650">
        <v>443.61224489795916</v>
      </c>
      <c r="U375" s="650">
        <v>354.32653061224488</v>
      </c>
      <c r="V375" s="650">
        <v>407.21428571428572</v>
      </c>
      <c r="W375" s="650">
        <v>415.64285714285717</v>
      </c>
      <c r="X375" s="650">
        <v>384.61904761904759</v>
      </c>
      <c r="Y375" s="650">
        <v>438.5</v>
      </c>
      <c r="Z375" s="650">
        <v>564.97619047619048</v>
      </c>
      <c r="AA375" s="650">
        <v>391.88095238095241</v>
      </c>
      <c r="AB375" s="650">
        <v>526.57142857142856</v>
      </c>
      <c r="AC375" s="650">
        <v>391.52380952380952</v>
      </c>
      <c r="AD375" s="650">
        <v>322.52380952380952</v>
      </c>
      <c r="AE375" s="343">
        <f>SUM(S375:AD375)</f>
        <v>5015.0850340136049</v>
      </c>
      <c r="AF375" s="651">
        <f>AE375/12</f>
        <v>417.92375283446705</v>
      </c>
      <c r="AG375" s="370"/>
      <c r="AH375" s="686">
        <v>499.88095238095241</v>
      </c>
      <c r="AI375" s="650">
        <v>397.42857142857144</v>
      </c>
      <c r="AJ375" s="650">
        <v>437.66666666666669</v>
      </c>
      <c r="AK375" s="650">
        <v>438.85714285714283</v>
      </c>
      <c r="AL375" s="650">
        <v>479.66666666666669</v>
      </c>
      <c r="AM375" s="650">
        <v>443.52380952380952</v>
      </c>
      <c r="AN375" s="1053">
        <v>528.5</v>
      </c>
      <c r="AO375" s="1053">
        <v>424.52380952380952</v>
      </c>
      <c r="AP375" s="650">
        <v>486.57</v>
      </c>
      <c r="AQ375" s="650">
        <v>475.85</v>
      </c>
      <c r="AR375" s="343">
        <v>484.04761904761904</v>
      </c>
      <c r="AS375" s="343">
        <v>404.83333333333331</v>
      </c>
      <c r="AT375" s="343">
        <f t="shared" si="457"/>
        <v>5501.3485714285716</v>
      </c>
      <c r="AU375" s="651">
        <f>SUM(AH375:AS375)/12</f>
        <v>458.4457142857143</v>
      </c>
      <c r="AX375" s="342">
        <v>410.45238095238096</v>
      </c>
      <c r="AY375" s="650">
        <v>618.66666666666663</v>
      </c>
      <c r="AZ375" s="650">
        <v>459.47619047619048</v>
      </c>
      <c r="BA375" s="650">
        <v>578.09523809523807</v>
      </c>
      <c r="BB375" s="650">
        <v>868.02380952380952</v>
      </c>
      <c r="BC375" s="650">
        <v>675.14285714285711</v>
      </c>
      <c r="BD375" s="1053">
        <v>781.71428571428567</v>
      </c>
      <c r="BE375" s="1053">
        <v>590.07142857142856</v>
      </c>
      <c r="BF375" s="650">
        <v>646.61904761904759</v>
      </c>
      <c r="BG375" s="650">
        <v>639.38095238095241</v>
      </c>
      <c r="BH375" s="343">
        <v>537.90476190476193</v>
      </c>
      <c r="BI375" s="343">
        <v>574.76190476190482</v>
      </c>
      <c r="BJ375" s="343">
        <f t="shared" ref="BJ375:BJ429" si="471">SUM(AX375:BI375)</f>
        <v>7380.3095238095229</v>
      </c>
      <c r="BK375" s="651">
        <f t="shared" si="466"/>
        <v>615.02579365079362</v>
      </c>
      <c r="BN375" s="322">
        <f t="shared" si="469"/>
        <v>169.9285714285715</v>
      </c>
      <c r="BO375" s="322">
        <f t="shared" si="459"/>
        <v>156.58007936507931</v>
      </c>
      <c r="BP375" s="322">
        <f t="shared" si="460"/>
        <v>1878.9609523809513</v>
      </c>
      <c r="BQ375" s="322">
        <f t="shared" si="467"/>
        <v>36.85714285714289</v>
      </c>
      <c r="BR375" s="2265">
        <f t="shared" si="461"/>
        <v>537.90476190476193</v>
      </c>
      <c r="BS375" s="2265">
        <f t="shared" si="462"/>
        <v>574.76190476190482</v>
      </c>
    </row>
    <row r="376" spans="1:71" hidden="1" x14ac:dyDescent="0.55000000000000004">
      <c r="A376" s="7531"/>
      <c r="B376" s="248"/>
      <c r="C376" s="12" t="s">
        <v>278</v>
      </c>
      <c r="D376" s="34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>
        <f>SUM(D376:O376)</f>
        <v>0</v>
      </c>
      <c r="Q376" s="346">
        <f t="shared" ref="Q376:Q391" si="472">P376/12</f>
        <v>0</v>
      </c>
      <c r="R376" s="370"/>
      <c r="S376" s="34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  <c r="AE376" s="295">
        <f>SUM(S376:AD376)</f>
        <v>0</v>
      </c>
      <c r="AF376" s="346">
        <f>AE376/12</f>
        <v>0</v>
      </c>
      <c r="AG376" s="370"/>
      <c r="AH376" s="687"/>
      <c r="AI376" s="652"/>
      <c r="AJ376" s="652"/>
      <c r="AK376" s="652"/>
      <c r="AL376" s="652"/>
      <c r="AM376" s="652"/>
      <c r="AN376" s="1054"/>
      <c r="AO376" s="1054"/>
      <c r="AP376" s="652"/>
      <c r="AQ376" s="652"/>
      <c r="AR376" s="295"/>
      <c r="AS376" s="295"/>
      <c r="AT376" s="295">
        <f t="shared" si="457"/>
        <v>0</v>
      </c>
      <c r="AU376" s="346">
        <f t="shared" ref="AU376:AU439" si="473">SUM(AH376:AS376)/12</f>
        <v>0</v>
      </c>
      <c r="AX376" s="345"/>
      <c r="AY376" s="652"/>
      <c r="AZ376" s="652"/>
      <c r="BA376" s="652"/>
      <c r="BB376" s="652"/>
      <c r="BC376" s="652"/>
      <c r="BD376" s="1054"/>
      <c r="BE376" s="1054"/>
      <c r="BF376" s="652"/>
      <c r="BG376" s="652"/>
      <c r="BH376" s="295"/>
      <c r="BI376" s="295"/>
      <c r="BJ376" s="295">
        <f t="shared" si="471"/>
        <v>0</v>
      </c>
      <c r="BK376" s="346" t="e">
        <f t="shared" si="466"/>
        <v>#DIV/0!</v>
      </c>
      <c r="BN376" s="322">
        <f t="shared" si="469"/>
        <v>0</v>
      </c>
      <c r="BO376" s="322" t="e">
        <f t="shared" si="459"/>
        <v>#DIV/0!</v>
      </c>
      <c r="BP376" s="322">
        <f t="shared" si="460"/>
        <v>0</v>
      </c>
      <c r="BQ376" s="322">
        <f t="shared" si="467"/>
        <v>0</v>
      </c>
      <c r="BR376" s="2265">
        <f t="shared" si="461"/>
        <v>0</v>
      </c>
      <c r="BS376" s="2265">
        <f t="shared" si="462"/>
        <v>0</v>
      </c>
    </row>
    <row r="377" spans="1:71" hidden="1" x14ac:dyDescent="0.55000000000000004">
      <c r="A377" s="7531"/>
      <c r="B377" s="248"/>
      <c r="C377" s="12" t="s">
        <v>277</v>
      </c>
      <c r="D377" s="34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>
        <f>SUM(D377:O377)</f>
        <v>0</v>
      </c>
      <c r="Q377" s="346">
        <f t="shared" si="472"/>
        <v>0</v>
      </c>
      <c r="R377" s="370"/>
      <c r="S377" s="34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>
        <f>SUM(S377:AD377)</f>
        <v>0</v>
      </c>
      <c r="AF377" s="346">
        <f>AE377/12</f>
        <v>0</v>
      </c>
      <c r="AG377" s="370"/>
      <c r="AH377" s="687"/>
      <c r="AI377" s="652"/>
      <c r="AJ377" s="652"/>
      <c r="AK377" s="652"/>
      <c r="AL377" s="652"/>
      <c r="AM377" s="652"/>
      <c r="AN377" s="1054"/>
      <c r="AO377" s="1054"/>
      <c r="AP377" s="652"/>
      <c r="AQ377" s="652"/>
      <c r="AR377" s="295"/>
      <c r="AS377" s="295"/>
      <c r="AT377" s="295">
        <f t="shared" si="457"/>
        <v>0</v>
      </c>
      <c r="AU377" s="346">
        <f t="shared" si="473"/>
        <v>0</v>
      </c>
      <c r="AX377" s="345"/>
      <c r="AY377" s="652"/>
      <c r="AZ377" s="652"/>
      <c r="BA377" s="652"/>
      <c r="BB377" s="652"/>
      <c r="BC377" s="652"/>
      <c r="BD377" s="1054"/>
      <c r="BE377" s="1054"/>
      <c r="BF377" s="652"/>
      <c r="BG377" s="652"/>
      <c r="BH377" s="295"/>
      <c r="BI377" s="295"/>
      <c r="BJ377" s="295">
        <f t="shared" si="471"/>
        <v>0</v>
      </c>
      <c r="BK377" s="346" t="e">
        <f t="shared" si="466"/>
        <v>#DIV/0!</v>
      </c>
      <c r="BN377" s="322">
        <f t="shared" si="469"/>
        <v>0</v>
      </c>
      <c r="BO377" s="322" t="e">
        <f t="shared" si="459"/>
        <v>#DIV/0!</v>
      </c>
      <c r="BP377" s="322">
        <f t="shared" si="460"/>
        <v>0</v>
      </c>
      <c r="BQ377" s="322">
        <f t="shared" si="467"/>
        <v>0</v>
      </c>
      <c r="BR377" s="2265">
        <f t="shared" si="461"/>
        <v>0</v>
      </c>
      <c r="BS377" s="2265">
        <f t="shared" si="462"/>
        <v>0</v>
      </c>
    </row>
    <row r="378" spans="1:71" hidden="1" x14ac:dyDescent="0.55000000000000004">
      <c r="A378" s="7531"/>
      <c r="B378" s="248"/>
      <c r="C378" s="12" t="s">
        <v>276</v>
      </c>
      <c r="D378" s="34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>
        <f>SUM(D378:O378)</f>
        <v>0</v>
      </c>
      <c r="Q378" s="346">
        <f t="shared" si="472"/>
        <v>0</v>
      </c>
      <c r="R378" s="370"/>
      <c r="S378" s="34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  <c r="AE378" s="295">
        <f>SUM(S378:AD378)</f>
        <v>0</v>
      </c>
      <c r="AF378" s="346">
        <f>AE378/12</f>
        <v>0</v>
      </c>
      <c r="AG378" s="370"/>
      <c r="AH378" s="687"/>
      <c r="AI378" s="652"/>
      <c r="AJ378" s="652"/>
      <c r="AK378" s="652"/>
      <c r="AL378" s="652"/>
      <c r="AM378" s="652"/>
      <c r="AN378" s="1054"/>
      <c r="AO378" s="1054"/>
      <c r="AP378" s="652"/>
      <c r="AQ378" s="652"/>
      <c r="AR378" s="295"/>
      <c r="AS378" s="295"/>
      <c r="AT378" s="295">
        <f t="shared" si="457"/>
        <v>0</v>
      </c>
      <c r="AU378" s="346">
        <f t="shared" si="473"/>
        <v>0</v>
      </c>
      <c r="AX378" s="345"/>
      <c r="AY378" s="652"/>
      <c r="AZ378" s="652"/>
      <c r="BA378" s="652"/>
      <c r="BB378" s="652"/>
      <c r="BC378" s="652"/>
      <c r="BD378" s="1054"/>
      <c r="BE378" s="1054"/>
      <c r="BF378" s="652"/>
      <c r="BG378" s="652"/>
      <c r="BH378" s="295"/>
      <c r="BI378" s="295"/>
      <c r="BJ378" s="295">
        <f t="shared" si="471"/>
        <v>0</v>
      </c>
      <c r="BK378" s="346" t="e">
        <f t="shared" si="466"/>
        <v>#DIV/0!</v>
      </c>
      <c r="BN378" s="322">
        <f t="shared" si="469"/>
        <v>0</v>
      </c>
      <c r="BO378" s="322" t="e">
        <f t="shared" si="459"/>
        <v>#DIV/0!</v>
      </c>
      <c r="BP378" s="322">
        <f t="shared" si="460"/>
        <v>0</v>
      </c>
      <c r="BQ378" s="322">
        <f t="shared" si="467"/>
        <v>0</v>
      </c>
      <c r="BR378" s="2265">
        <f t="shared" si="461"/>
        <v>0</v>
      </c>
      <c r="BS378" s="2265">
        <f t="shared" si="462"/>
        <v>0</v>
      </c>
    </row>
    <row r="379" spans="1:71" x14ac:dyDescent="0.55000000000000004">
      <c r="A379" s="7531"/>
      <c r="B379" s="249" t="s">
        <v>222</v>
      </c>
      <c r="C379" s="100"/>
      <c r="D379" s="627">
        <v>453.44444444444446</v>
      </c>
      <c r="E379" s="628">
        <v>597.55555555555554</v>
      </c>
      <c r="F379" s="628">
        <v>504.22222222222223</v>
      </c>
      <c r="G379" s="628">
        <v>566.55555555555554</v>
      </c>
      <c r="H379" s="628">
        <v>598.66666666666663</v>
      </c>
      <c r="I379" s="628">
        <v>639.22222222222217</v>
      </c>
      <c r="J379" s="628">
        <v>534.22222222222217</v>
      </c>
      <c r="K379" s="628">
        <v>585.44444444444446</v>
      </c>
      <c r="L379" s="628">
        <v>384.66666666666669</v>
      </c>
      <c r="M379" s="628">
        <v>601.33333333333337</v>
      </c>
      <c r="N379" s="628">
        <v>410.11111111111109</v>
      </c>
      <c r="O379" s="628">
        <v>370.11111111111109</v>
      </c>
      <c r="P379" s="348">
        <f>SUM(D379:O379)</f>
        <v>6245.5555555555557</v>
      </c>
      <c r="Q379" s="642">
        <f>P379/12</f>
        <v>520.46296296296293</v>
      </c>
      <c r="R379" s="370"/>
      <c r="S379" s="627">
        <v>393.88888888888891</v>
      </c>
      <c r="T379" s="628">
        <v>483</v>
      </c>
      <c r="U379" s="628">
        <v>369.22222222222223</v>
      </c>
      <c r="V379" s="628">
        <v>388.33333333333331</v>
      </c>
      <c r="W379" s="628">
        <v>393.77777777777777</v>
      </c>
      <c r="X379" s="628">
        <v>359.77777777777777</v>
      </c>
      <c r="Y379" s="628">
        <v>414.88888888888891</v>
      </c>
      <c r="Z379" s="628">
        <v>531.22222222222217</v>
      </c>
      <c r="AA379" s="628">
        <v>343</v>
      </c>
      <c r="AB379" s="628">
        <v>505.77777777777777</v>
      </c>
      <c r="AC379" s="628">
        <v>356.33333333333331</v>
      </c>
      <c r="AD379" s="628">
        <v>295.22222222222223</v>
      </c>
      <c r="AE379" s="348">
        <f>SUM(S379:AD379)</f>
        <v>4834.4444444444443</v>
      </c>
      <c r="AF379" s="642">
        <f>AE379/12</f>
        <v>402.87037037037038</v>
      </c>
      <c r="AG379" s="370"/>
      <c r="AH379" s="627">
        <v>474.33333333333331</v>
      </c>
      <c r="AI379" s="628">
        <v>342.11111111111109</v>
      </c>
      <c r="AJ379" s="628">
        <v>401.66666666666669</v>
      </c>
      <c r="AK379" s="628">
        <v>406</v>
      </c>
      <c r="AL379" s="628">
        <v>467.33333333333331</v>
      </c>
      <c r="AM379" s="628">
        <v>409</v>
      </c>
      <c r="AN379" s="1055">
        <v>522.33333333333337</v>
      </c>
      <c r="AO379" s="1055">
        <v>439.11111111111109</v>
      </c>
      <c r="AP379" s="628">
        <v>435.66666666666669</v>
      </c>
      <c r="AQ379" s="628">
        <v>434.77777777777777</v>
      </c>
      <c r="AR379" s="348">
        <v>416.44444444444446</v>
      </c>
      <c r="AS379" s="348">
        <v>325.33333333333331</v>
      </c>
      <c r="AT379" s="348">
        <f t="shared" si="457"/>
        <v>5074.1111111111104</v>
      </c>
      <c r="AU379" s="642">
        <f t="shared" si="473"/>
        <v>422.84259259259255</v>
      </c>
      <c r="AX379" s="347">
        <v>324.11111111111109</v>
      </c>
      <c r="AY379" s="628">
        <v>520.44444444444446</v>
      </c>
      <c r="AZ379" s="628">
        <v>377.22222222222223</v>
      </c>
      <c r="BA379" s="628">
        <v>457.77777777777777</v>
      </c>
      <c r="BB379" s="628">
        <v>757</v>
      </c>
      <c r="BC379" s="628">
        <v>502.66666666666669</v>
      </c>
      <c r="BD379" s="1055">
        <v>606.11111111111109</v>
      </c>
      <c r="BE379" s="1055">
        <v>454.44444444444446</v>
      </c>
      <c r="BF379" s="628">
        <v>520.77777777777783</v>
      </c>
      <c r="BG379" s="628">
        <v>478</v>
      </c>
      <c r="BH379" s="348">
        <v>449.55555555555554</v>
      </c>
      <c r="BI379" s="348">
        <v>500.88888888888891</v>
      </c>
      <c r="BJ379" s="348">
        <f t="shared" si="471"/>
        <v>5948.9999999999991</v>
      </c>
      <c r="BK379" s="642">
        <f t="shared" si="466"/>
        <v>495.74999999999994</v>
      </c>
      <c r="BN379" s="322">
        <f t="shared" si="469"/>
        <v>175.5555555555556</v>
      </c>
      <c r="BO379" s="322">
        <f t="shared" si="459"/>
        <v>72.907407407407391</v>
      </c>
      <c r="BP379" s="322">
        <f t="shared" si="460"/>
        <v>874.88888888888869</v>
      </c>
      <c r="BQ379" s="322">
        <f t="shared" si="467"/>
        <v>51.333333333333371</v>
      </c>
      <c r="BR379" s="2265">
        <f t="shared" si="461"/>
        <v>449.55555555555554</v>
      </c>
      <c r="BS379" s="2265">
        <f t="shared" si="462"/>
        <v>500.88888888888891</v>
      </c>
    </row>
    <row r="380" spans="1:71" x14ac:dyDescent="0.55000000000000004">
      <c r="A380" s="7531"/>
      <c r="B380" s="250" t="s">
        <v>223</v>
      </c>
      <c r="C380" s="14"/>
      <c r="D380" s="629">
        <v>456</v>
      </c>
      <c r="E380" s="568">
        <v>673.83333333333337</v>
      </c>
      <c r="F380" s="568">
        <v>550</v>
      </c>
      <c r="G380" s="568">
        <v>639.83333333333337</v>
      </c>
      <c r="H380" s="568">
        <v>650.83333333333337</v>
      </c>
      <c r="I380" s="568">
        <v>591.66666666666663</v>
      </c>
      <c r="J380" s="568">
        <v>519.16666666666663</v>
      </c>
      <c r="K380" s="568">
        <v>663.16666666666663</v>
      </c>
      <c r="L380" s="568">
        <v>429.16666666666669</v>
      </c>
      <c r="M380" s="568">
        <v>581.5</v>
      </c>
      <c r="N380" s="568">
        <v>434.5</v>
      </c>
      <c r="O380" s="568">
        <v>384.66666666666669</v>
      </c>
      <c r="P380" s="280">
        <f t="shared" ref="P380:P391" si="474">SUM(D380:O380)</f>
        <v>6574.3333333333339</v>
      </c>
      <c r="Q380" s="643">
        <f t="shared" si="472"/>
        <v>547.8611111111112</v>
      </c>
      <c r="R380" s="370"/>
      <c r="S380" s="629">
        <v>424</v>
      </c>
      <c r="T380" s="568">
        <v>488.5</v>
      </c>
      <c r="U380" s="568">
        <v>337.5</v>
      </c>
      <c r="V380" s="568">
        <v>300.16666666666669</v>
      </c>
      <c r="W380" s="568">
        <v>342.16666666666669</v>
      </c>
      <c r="X380" s="568">
        <v>334.83333333333331</v>
      </c>
      <c r="Y380" s="568">
        <v>377</v>
      </c>
      <c r="Z380" s="568">
        <v>512.5</v>
      </c>
      <c r="AA380" s="568">
        <v>352.66666666666669</v>
      </c>
      <c r="AB380" s="568">
        <v>510.33333333333331</v>
      </c>
      <c r="AC380" s="568">
        <v>377.66666666666669</v>
      </c>
      <c r="AD380" s="568">
        <v>312.83333333333331</v>
      </c>
      <c r="AE380" s="280">
        <f t="shared" ref="AE380:AE391" si="475">SUM(S380:AD380)</f>
        <v>4670.166666666667</v>
      </c>
      <c r="AF380" s="643">
        <f t="shared" ref="AF380:AF391" si="476">AE380/12</f>
        <v>389.1805555555556</v>
      </c>
      <c r="AG380" s="370"/>
      <c r="AH380" s="629">
        <v>458.5</v>
      </c>
      <c r="AI380" s="568">
        <v>361</v>
      </c>
      <c r="AJ380" s="568">
        <v>415.5</v>
      </c>
      <c r="AK380" s="568">
        <v>417</v>
      </c>
      <c r="AL380" s="568">
        <v>472.33333333333331</v>
      </c>
      <c r="AM380" s="568">
        <v>436</v>
      </c>
      <c r="AN380" s="1056">
        <v>534.16666666666663</v>
      </c>
      <c r="AO380" s="1056">
        <v>457.33333333333331</v>
      </c>
      <c r="AP380" s="568">
        <v>501.33333333333331</v>
      </c>
      <c r="AQ380" s="568">
        <v>467</v>
      </c>
      <c r="AR380" s="280">
        <v>429.66666666666669</v>
      </c>
      <c r="AS380" s="280">
        <v>368.83333333333331</v>
      </c>
      <c r="AT380" s="280">
        <f t="shared" si="457"/>
        <v>5318.666666666667</v>
      </c>
      <c r="AU380" s="643">
        <f t="shared" si="473"/>
        <v>443.22222222222223</v>
      </c>
      <c r="AX380" s="350">
        <v>329.66666666666669</v>
      </c>
      <c r="AY380" s="568">
        <v>563.66666666666663</v>
      </c>
      <c r="AZ380" s="568">
        <v>380.83333333333331</v>
      </c>
      <c r="BA380" s="568">
        <v>438</v>
      </c>
      <c r="BB380" s="568">
        <v>755.33333333333337</v>
      </c>
      <c r="BC380" s="568">
        <v>531.16666666666663</v>
      </c>
      <c r="BD380" s="1056">
        <v>595.66666666666663</v>
      </c>
      <c r="BE380" s="1056">
        <v>526.83333333333337</v>
      </c>
      <c r="BF380" s="568">
        <v>575.5</v>
      </c>
      <c r="BG380" s="568">
        <v>591.66666666666663</v>
      </c>
      <c r="BH380" s="280">
        <v>567.66666666666663</v>
      </c>
      <c r="BI380" s="280">
        <v>518.16666666666663</v>
      </c>
      <c r="BJ380" s="280">
        <f t="shared" si="471"/>
        <v>6374.166666666667</v>
      </c>
      <c r="BK380" s="643">
        <f t="shared" si="466"/>
        <v>531.18055555555554</v>
      </c>
      <c r="BN380" s="322">
        <f t="shared" si="469"/>
        <v>149.33333333333331</v>
      </c>
      <c r="BO380" s="322">
        <f t="shared" si="459"/>
        <v>87.958333333333314</v>
      </c>
      <c r="BP380" s="322">
        <f t="shared" si="460"/>
        <v>1055.5</v>
      </c>
      <c r="BQ380" s="322">
        <f t="shared" si="467"/>
        <v>-49.5</v>
      </c>
      <c r="BR380" s="2265">
        <f t="shared" si="461"/>
        <v>567.66666666666663</v>
      </c>
      <c r="BS380" s="2265">
        <f t="shared" si="462"/>
        <v>518.16666666666663</v>
      </c>
    </row>
    <row r="381" spans="1:71" x14ac:dyDescent="0.55000000000000004">
      <c r="A381" s="7531"/>
      <c r="B381" s="250" t="s">
        <v>224</v>
      </c>
      <c r="C381" s="14"/>
      <c r="D381" s="629">
        <v>330.875</v>
      </c>
      <c r="E381" s="568">
        <v>417.75</v>
      </c>
      <c r="F381" s="568">
        <v>386.875</v>
      </c>
      <c r="G381" s="568">
        <v>398.625</v>
      </c>
      <c r="H381" s="568">
        <v>425.75</v>
      </c>
      <c r="I381" s="568">
        <v>418.875</v>
      </c>
      <c r="J381" s="568">
        <v>405.625</v>
      </c>
      <c r="K381" s="568">
        <v>490.375</v>
      </c>
      <c r="L381" s="568">
        <v>307</v>
      </c>
      <c r="M381" s="568">
        <v>434.5</v>
      </c>
      <c r="N381" s="568">
        <v>293.625</v>
      </c>
      <c r="O381" s="568">
        <v>276.25</v>
      </c>
      <c r="P381" s="280">
        <f t="shared" si="474"/>
        <v>4586.125</v>
      </c>
      <c r="Q381" s="643">
        <f t="shared" si="472"/>
        <v>382.17708333333331</v>
      </c>
      <c r="R381" s="370"/>
      <c r="S381" s="629">
        <v>292.125</v>
      </c>
      <c r="T381" s="568">
        <v>320.875</v>
      </c>
      <c r="U381" s="568">
        <v>286.375</v>
      </c>
      <c r="V381" s="568">
        <v>359</v>
      </c>
      <c r="W381" s="568">
        <v>375.66666666666669</v>
      </c>
      <c r="X381" s="568">
        <v>345.83333333333331</v>
      </c>
      <c r="Y381" s="568">
        <v>438.83333333333331</v>
      </c>
      <c r="Z381" s="568">
        <v>512.83333333333337</v>
      </c>
      <c r="AA381" s="568">
        <v>341.33333333333331</v>
      </c>
      <c r="AB381" s="568">
        <v>479.83333333333331</v>
      </c>
      <c r="AC381" s="568">
        <v>351.16666666666669</v>
      </c>
      <c r="AD381" s="568">
        <v>296.83333333333331</v>
      </c>
      <c r="AE381" s="280">
        <f t="shared" si="475"/>
        <v>4400.7083333333339</v>
      </c>
      <c r="AF381" s="643">
        <f t="shared" si="476"/>
        <v>366.72569444444451</v>
      </c>
      <c r="AG381" s="370"/>
      <c r="AH381" s="629">
        <v>406.66666666666669</v>
      </c>
      <c r="AI381" s="568">
        <v>360.16666666666669</v>
      </c>
      <c r="AJ381" s="568">
        <v>380.66666666666669</v>
      </c>
      <c r="AK381" s="568">
        <v>391.16666666666669</v>
      </c>
      <c r="AL381" s="568">
        <v>487</v>
      </c>
      <c r="AM381" s="568">
        <v>477.83333333333331</v>
      </c>
      <c r="AN381" s="1056">
        <v>559.33333333333337</v>
      </c>
      <c r="AO381" s="1056">
        <v>440.16666666666669</v>
      </c>
      <c r="AP381" s="568">
        <v>446.83333333333331</v>
      </c>
      <c r="AQ381" s="568">
        <v>474.83333333333331</v>
      </c>
      <c r="AR381" s="280">
        <v>414.66666666666669</v>
      </c>
      <c r="AS381" s="280">
        <v>343.5</v>
      </c>
      <c r="AT381" s="280">
        <f t="shared" si="457"/>
        <v>5182.8333333333339</v>
      </c>
      <c r="AU381" s="643">
        <f t="shared" si="473"/>
        <v>431.90277777777783</v>
      </c>
      <c r="AX381" s="350">
        <v>356</v>
      </c>
      <c r="AY381" s="568">
        <v>552.66666666666663</v>
      </c>
      <c r="AZ381" s="568">
        <v>456.66666666666669</v>
      </c>
      <c r="BA381" s="568">
        <v>512</v>
      </c>
      <c r="BB381" s="568">
        <v>808.33333333333337</v>
      </c>
      <c r="BC381" s="568">
        <v>579.5</v>
      </c>
      <c r="BD381" s="1056">
        <v>696.16666666666663</v>
      </c>
      <c r="BE381" s="1056">
        <v>552.33333333333337</v>
      </c>
      <c r="BF381" s="568">
        <v>602.66666666666663</v>
      </c>
      <c r="BG381" s="568">
        <v>622.16666666666663</v>
      </c>
      <c r="BH381" s="280">
        <v>486.33333333333331</v>
      </c>
      <c r="BI381" s="280">
        <v>588.16666666666663</v>
      </c>
      <c r="BJ381" s="280">
        <f t="shared" si="471"/>
        <v>6813</v>
      </c>
      <c r="BK381" s="643">
        <f t="shared" si="466"/>
        <v>567.75</v>
      </c>
      <c r="BN381" s="322">
        <f t="shared" si="469"/>
        <v>244.66666666666663</v>
      </c>
      <c r="BO381" s="322">
        <f t="shared" si="459"/>
        <v>135.84722222222217</v>
      </c>
      <c r="BP381" s="322">
        <f t="shared" si="460"/>
        <v>1630.1666666666661</v>
      </c>
      <c r="BQ381" s="322">
        <f t="shared" si="467"/>
        <v>101.83333333333331</v>
      </c>
      <c r="BR381" s="2265">
        <f t="shared" si="461"/>
        <v>486.33333333333331</v>
      </c>
      <c r="BS381" s="2265">
        <f t="shared" si="462"/>
        <v>588.16666666666663</v>
      </c>
    </row>
    <row r="382" spans="1:71" x14ac:dyDescent="0.55000000000000004">
      <c r="A382" s="7531"/>
      <c r="B382" s="250" t="s">
        <v>225</v>
      </c>
      <c r="C382" s="14"/>
      <c r="D382" s="629">
        <v>449.61538461538464</v>
      </c>
      <c r="E382" s="568">
        <v>560.46153846153845</v>
      </c>
      <c r="F382" s="568">
        <v>512.38461538461536</v>
      </c>
      <c r="G382" s="568">
        <v>535.69230769230774</v>
      </c>
      <c r="H382" s="568">
        <v>544.15384615384619</v>
      </c>
      <c r="I382" s="568">
        <v>455.61538461538464</v>
      </c>
      <c r="J382" s="568">
        <v>447.53846153846155</v>
      </c>
      <c r="K382" s="568">
        <v>483.61538461538464</v>
      </c>
      <c r="L382" s="568">
        <v>366.92307692307691</v>
      </c>
      <c r="M382" s="568">
        <v>495.30769230769232</v>
      </c>
      <c r="N382" s="568">
        <v>347.53846153846155</v>
      </c>
      <c r="O382" s="568">
        <v>277.61538461538464</v>
      </c>
      <c r="P382" s="280">
        <f t="shared" si="474"/>
        <v>5476.461538461539</v>
      </c>
      <c r="Q382" s="643">
        <f t="shared" si="472"/>
        <v>456.37179487179492</v>
      </c>
      <c r="R382" s="370"/>
      <c r="S382" s="629">
        <v>337.07692307692309</v>
      </c>
      <c r="T382" s="568">
        <v>425.30769230769232</v>
      </c>
      <c r="U382" s="568">
        <v>345.38461538461536</v>
      </c>
      <c r="V382" s="568">
        <v>412.09090909090907</v>
      </c>
      <c r="W382" s="568">
        <v>420.63636363636363</v>
      </c>
      <c r="X382" s="568">
        <v>380.81818181818181</v>
      </c>
      <c r="Y382" s="568">
        <v>416.18181818181819</v>
      </c>
      <c r="Z382" s="568">
        <v>555.09090909090912</v>
      </c>
      <c r="AA382" s="568">
        <v>395.81818181818181</v>
      </c>
      <c r="AB382" s="568">
        <v>514.4545454545455</v>
      </c>
      <c r="AC382" s="568">
        <v>392.45454545454544</v>
      </c>
      <c r="AD382" s="568">
        <v>306.36363636363637</v>
      </c>
      <c r="AE382" s="280">
        <f t="shared" si="475"/>
        <v>4901.6783216783215</v>
      </c>
      <c r="AF382" s="643">
        <f t="shared" si="476"/>
        <v>408.47319347319348</v>
      </c>
      <c r="AG382" s="370"/>
      <c r="AH382" s="629">
        <v>511.18181818181819</v>
      </c>
      <c r="AI382" s="568">
        <v>406.63636363636363</v>
      </c>
      <c r="AJ382" s="568">
        <v>436.81818181818181</v>
      </c>
      <c r="AK382" s="568">
        <v>445.90909090909093</v>
      </c>
      <c r="AL382" s="568">
        <v>456</v>
      </c>
      <c r="AM382" s="568">
        <v>410</v>
      </c>
      <c r="AN382" s="1056">
        <v>481.90909090909093</v>
      </c>
      <c r="AO382" s="1056">
        <v>394.09090909090907</v>
      </c>
      <c r="AP382" s="568">
        <v>494.54545454545456</v>
      </c>
      <c r="AQ382" s="568">
        <v>474.90909090909093</v>
      </c>
      <c r="AR382" s="280">
        <v>537.63636363636363</v>
      </c>
      <c r="AS382" s="280">
        <v>471.45454545454544</v>
      </c>
      <c r="AT382" s="280">
        <f t="shared" si="457"/>
        <v>5521.090909090909</v>
      </c>
      <c r="AU382" s="643">
        <f t="shared" si="473"/>
        <v>460.09090909090907</v>
      </c>
      <c r="AX382" s="350">
        <v>495.72727272727275</v>
      </c>
      <c r="AY382" s="568">
        <v>738.27272727272725</v>
      </c>
      <c r="AZ382" s="568">
        <v>529.36363636363637</v>
      </c>
      <c r="BA382" s="568">
        <v>754.09090909090912</v>
      </c>
      <c r="BB382" s="568">
        <v>1073</v>
      </c>
      <c r="BC382" s="568">
        <v>940</v>
      </c>
      <c r="BD382" s="1056">
        <v>1033.090909090909</v>
      </c>
      <c r="BE382" s="1056">
        <v>779</v>
      </c>
      <c r="BF382" s="568">
        <v>806.81818181818187</v>
      </c>
      <c r="BG382" s="568">
        <v>854.4545454545455</v>
      </c>
      <c r="BH382" s="280">
        <v>643.09090909090912</v>
      </c>
      <c r="BI382" s="280">
        <v>717.5454545454545</v>
      </c>
      <c r="BJ382" s="280">
        <f t="shared" si="471"/>
        <v>9364.454545454546</v>
      </c>
      <c r="BK382" s="643">
        <f t="shared" si="466"/>
        <v>780.37121212121212</v>
      </c>
      <c r="BN382" s="322">
        <f t="shared" si="469"/>
        <v>246.09090909090907</v>
      </c>
      <c r="BO382" s="322">
        <f t="shared" si="459"/>
        <v>320.28030303030306</v>
      </c>
      <c r="BP382" s="322">
        <f t="shared" si="460"/>
        <v>3843.3636363636369</v>
      </c>
      <c r="BQ382" s="322">
        <f t="shared" si="467"/>
        <v>74.454545454545382</v>
      </c>
      <c r="BR382" s="2265">
        <f t="shared" si="461"/>
        <v>643.09090909090912</v>
      </c>
      <c r="BS382" s="2265">
        <f t="shared" si="462"/>
        <v>717.5454545454545</v>
      </c>
    </row>
    <row r="383" spans="1:71" x14ac:dyDescent="0.55000000000000004">
      <c r="A383" s="7531"/>
      <c r="B383" s="251" t="s">
        <v>226</v>
      </c>
      <c r="C383" s="103"/>
      <c r="D383" s="630">
        <v>567.46153846153845</v>
      </c>
      <c r="E383" s="631">
        <v>594.30769230769226</v>
      </c>
      <c r="F383" s="631">
        <v>525.07692307692309</v>
      </c>
      <c r="G383" s="631">
        <v>541.38461538461536</v>
      </c>
      <c r="H383" s="631">
        <v>578.38461538461536</v>
      </c>
      <c r="I383" s="631">
        <v>515.84615384615381</v>
      </c>
      <c r="J383" s="631">
        <v>487.30769230769232</v>
      </c>
      <c r="K383" s="631">
        <v>532.53846153846155</v>
      </c>
      <c r="L383" s="631">
        <v>379.53846153846155</v>
      </c>
      <c r="M383" s="631">
        <v>564.76923076923072</v>
      </c>
      <c r="N383" s="631">
        <v>416.76923076923077</v>
      </c>
      <c r="O383" s="631">
        <v>373.15384615384613</v>
      </c>
      <c r="P383" s="353">
        <f t="shared" si="474"/>
        <v>6076.538461538461</v>
      </c>
      <c r="Q383" s="644">
        <f t="shared" si="472"/>
        <v>506.37820512820508</v>
      </c>
      <c r="R383" s="370"/>
      <c r="S383" s="630">
        <v>423.30769230769232</v>
      </c>
      <c r="T383" s="631">
        <v>489.46153846153845</v>
      </c>
      <c r="U383" s="631">
        <v>402.53846153846155</v>
      </c>
      <c r="V383" s="631">
        <v>512</v>
      </c>
      <c r="W383" s="631">
        <v>497.9</v>
      </c>
      <c r="X383" s="631">
        <v>464.3</v>
      </c>
      <c r="Y383" s="631">
        <v>521</v>
      </c>
      <c r="Z383" s="631">
        <v>669</v>
      </c>
      <c r="AA383" s="631">
        <v>485.4</v>
      </c>
      <c r="AB383" s="631">
        <v>596.4</v>
      </c>
      <c r="AC383" s="631">
        <v>454.7</v>
      </c>
      <c r="AD383" s="631">
        <v>386.1</v>
      </c>
      <c r="AE383" s="353">
        <f t="shared" si="475"/>
        <v>5902.1076923076926</v>
      </c>
      <c r="AF383" s="644">
        <f t="shared" si="476"/>
        <v>491.84230769230771</v>
      </c>
      <c r="AG383" s="370"/>
      <c r="AH383" s="630">
        <v>591.20000000000005</v>
      </c>
      <c r="AI383" s="631">
        <v>481.3</v>
      </c>
      <c r="AJ383" s="631">
        <v>518.5</v>
      </c>
      <c r="AK383" s="631">
        <v>502.4</v>
      </c>
      <c r="AL383" s="631">
        <v>516.79999999999995</v>
      </c>
      <c r="AM383" s="631">
        <v>495.4</v>
      </c>
      <c r="AN383" s="1057">
        <v>563.4</v>
      </c>
      <c r="AO383" s="1057">
        <v>415.8</v>
      </c>
      <c r="AP383" s="631">
        <v>538.6</v>
      </c>
      <c r="AQ383" s="631">
        <v>519.79999999999995</v>
      </c>
      <c r="AR383" s="353">
        <v>560.20000000000005</v>
      </c>
      <c r="AS383" s="353">
        <v>461.5</v>
      </c>
      <c r="AT383" s="353">
        <f t="shared" si="457"/>
        <v>6164.9000000000005</v>
      </c>
      <c r="AU383" s="644">
        <f t="shared" si="473"/>
        <v>513.74166666666667</v>
      </c>
      <c r="AX383" s="352">
        <v>475.5</v>
      </c>
      <c r="AY383" s="631">
        <v>648.1</v>
      </c>
      <c r="AZ383" s="631">
        <v>505.5</v>
      </c>
      <c r="BA383" s="631">
        <v>616.5</v>
      </c>
      <c r="BB383" s="631">
        <v>845.9</v>
      </c>
      <c r="BC383" s="631">
        <v>682.8</v>
      </c>
      <c r="BD383" s="1057">
        <v>826.2</v>
      </c>
      <c r="BE383" s="1057">
        <v>564.9</v>
      </c>
      <c r="BF383" s="631">
        <v>652.70000000000005</v>
      </c>
      <c r="BG383" s="631">
        <v>587</v>
      </c>
      <c r="BH383" s="353">
        <v>514.79999999999995</v>
      </c>
      <c r="BI383" s="353">
        <v>510.1</v>
      </c>
      <c r="BJ383" s="353">
        <f t="shared" si="471"/>
        <v>7430</v>
      </c>
      <c r="BK383" s="644">
        <f t="shared" si="466"/>
        <v>619.16666666666663</v>
      </c>
      <c r="BN383" s="322">
        <f t="shared" si="469"/>
        <v>48.600000000000023</v>
      </c>
      <c r="BO383" s="322">
        <f t="shared" si="459"/>
        <v>105.42499999999995</v>
      </c>
      <c r="BP383" s="322">
        <f t="shared" si="460"/>
        <v>1265.0999999999995</v>
      </c>
      <c r="BQ383" s="322">
        <f t="shared" si="467"/>
        <v>-4.6999999999999318</v>
      </c>
      <c r="BR383" s="2265">
        <f t="shared" si="461"/>
        <v>514.79999999999995</v>
      </c>
      <c r="BS383" s="2265">
        <f t="shared" si="462"/>
        <v>510.1</v>
      </c>
    </row>
    <row r="384" spans="1:71" s="172" customFormat="1" x14ac:dyDescent="0.55000000000000004">
      <c r="A384" s="7531"/>
      <c r="B384" s="252"/>
      <c r="C384" s="180" t="s">
        <v>242</v>
      </c>
      <c r="D384" s="632">
        <v>428</v>
      </c>
      <c r="E384" s="633">
        <v>582.33333333333337</v>
      </c>
      <c r="F384" s="633">
        <v>492.66666666666669</v>
      </c>
      <c r="G384" s="633">
        <v>558.5</v>
      </c>
      <c r="H384" s="633">
        <v>589.5</v>
      </c>
      <c r="I384" s="633">
        <v>629.83333333333337</v>
      </c>
      <c r="J384" s="633">
        <v>549</v>
      </c>
      <c r="K384" s="633">
        <v>609.16666666666663</v>
      </c>
      <c r="L384" s="633">
        <v>405.33333333333331</v>
      </c>
      <c r="M384" s="633">
        <v>630.33333333333337</v>
      </c>
      <c r="N384" s="633">
        <v>422.33333333333331</v>
      </c>
      <c r="O384" s="633">
        <v>402.5</v>
      </c>
      <c r="P384" s="356">
        <f t="shared" si="474"/>
        <v>6299.4999999999991</v>
      </c>
      <c r="Q384" s="645">
        <f t="shared" si="472"/>
        <v>524.95833333333326</v>
      </c>
      <c r="R384" s="372"/>
      <c r="S384" s="632">
        <v>419.33333333333331</v>
      </c>
      <c r="T384" s="633">
        <v>514.5</v>
      </c>
      <c r="U384" s="633">
        <v>386</v>
      </c>
      <c r="V384" s="633">
        <v>410.5</v>
      </c>
      <c r="W384" s="633">
        <v>421</v>
      </c>
      <c r="X384" s="633">
        <v>378.83333333333331</v>
      </c>
      <c r="Y384" s="633">
        <v>441.33333333333331</v>
      </c>
      <c r="Z384" s="633">
        <v>552</v>
      </c>
      <c r="AA384" s="633">
        <v>360</v>
      </c>
      <c r="AB384" s="633">
        <v>523.5</v>
      </c>
      <c r="AC384" s="633">
        <v>374.83333333333331</v>
      </c>
      <c r="AD384" s="633">
        <v>301.16666666666669</v>
      </c>
      <c r="AE384" s="356">
        <f t="shared" si="475"/>
        <v>5083</v>
      </c>
      <c r="AF384" s="645">
        <f t="shared" si="476"/>
        <v>423.58333333333331</v>
      </c>
      <c r="AG384" s="372"/>
      <c r="AH384" s="632">
        <v>489.33333333333331</v>
      </c>
      <c r="AI384" s="633">
        <v>351</v>
      </c>
      <c r="AJ384" s="633">
        <v>434</v>
      </c>
      <c r="AK384" s="633">
        <v>419</v>
      </c>
      <c r="AL384" s="633">
        <v>496.33333333333331</v>
      </c>
      <c r="AM384" s="633">
        <v>432</v>
      </c>
      <c r="AN384" s="1058">
        <v>538</v>
      </c>
      <c r="AO384" s="1058">
        <v>460.33333333333331</v>
      </c>
      <c r="AP384" s="633">
        <v>457.33333333333331</v>
      </c>
      <c r="AQ384" s="633">
        <v>473</v>
      </c>
      <c r="AR384" s="356">
        <v>451.83333333333331</v>
      </c>
      <c r="AS384" s="356">
        <v>340.66666666666669</v>
      </c>
      <c r="AT384" s="356">
        <f t="shared" si="457"/>
        <v>5342.8333333333339</v>
      </c>
      <c r="AU384" s="645">
        <f t="shared" si="473"/>
        <v>445.23611111111114</v>
      </c>
      <c r="AX384" s="355">
        <v>349.83333333333331</v>
      </c>
      <c r="AY384" s="633">
        <v>548.16666666666663</v>
      </c>
      <c r="AZ384" s="633">
        <v>388.33333333333331</v>
      </c>
      <c r="BA384" s="633">
        <v>480.5</v>
      </c>
      <c r="BB384" s="633">
        <v>779.66666666666663</v>
      </c>
      <c r="BC384" s="633">
        <v>515.66666666666663</v>
      </c>
      <c r="BD384" s="1058">
        <v>606.11111111111109</v>
      </c>
      <c r="BE384" s="1058">
        <v>454.44444444444446</v>
      </c>
      <c r="BF384" s="633">
        <v>520.77777777777783</v>
      </c>
      <c r="BG384" s="633">
        <v>478</v>
      </c>
      <c r="BH384" s="356">
        <v>449.55555555555554</v>
      </c>
      <c r="BI384" s="356">
        <v>500.88888888888891</v>
      </c>
      <c r="BJ384" s="356">
        <f t="shared" si="471"/>
        <v>6071.9444444444443</v>
      </c>
      <c r="BK384" s="645">
        <f t="shared" si="466"/>
        <v>505.99537037037038</v>
      </c>
      <c r="BN384" s="322">
        <f t="shared" si="469"/>
        <v>160.22222222222223</v>
      </c>
      <c r="BO384" s="322">
        <f t="shared" si="459"/>
        <v>60.759259259259238</v>
      </c>
      <c r="BP384" s="322">
        <f t="shared" si="460"/>
        <v>729.1111111111104</v>
      </c>
      <c r="BQ384" s="322">
        <f t="shared" si="467"/>
        <v>51.333333333333371</v>
      </c>
      <c r="BR384" s="2265">
        <f t="shared" si="461"/>
        <v>449.55555555555554</v>
      </c>
      <c r="BS384" s="2265">
        <f t="shared" si="462"/>
        <v>500.88888888888891</v>
      </c>
    </row>
    <row r="385" spans="1:71" s="172" customFormat="1" x14ac:dyDescent="0.55000000000000004">
      <c r="A385" s="7531"/>
      <c r="B385" s="253"/>
      <c r="C385" s="181" t="s">
        <v>243</v>
      </c>
      <c r="D385" s="634">
        <v>504.33333333333331</v>
      </c>
      <c r="E385" s="635">
        <v>628</v>
      </c>
      <c r="F385" s="635">
        <v>527.33333333333337</v>
      </c>
      <c r="G385" s="635">
        <v>582.66666666666663</v>
      </c>
      <c r="H385" s="635">
        <v>617</v>
      </c>
      <c r="I385" s="635">
        <v>658</v>
      </c>
      <c r="J385" s="635">
        <v>504.66666666666669</v>
      </c>
      <c r="K385" s="635">
        <v>538</v>
      </c>
      <c r="L385" s="635">
        <v>343.33333333333331</v>
      </c>
      <c r="M385" s="635">
        <v>543.33333333333337</v>
      </c>
      <c r="N385" s="635">
        <v>385.66666666666669</v>
      </c>
      <c r="O385" s="635">
        <v>305.33333333333331</v>
      </c>
      <c r="P385" s="359">
        <f t="shared" si="474"/>
        <v>6137.6666666666661</v>
      </c>
      <c r="Q385" s="646">
        <f t="shared" si="472"/>
        <v>511.47222222222217</v>
      </c>
      <c r="R385" s="372"/>
      <c r="S385" s="634">
        <v>343</v>
      </c>
      <c r="T385" s="635">
        <v>420</v>
      </c>
      <c r="U385" s="635">
        <v>335.66666666666669</v>
      </c>
      <c r="V385" s="635">
        <v>344</v>
      </c>
      <c r="W385" s="635">
        <v>339.33333333333331</v>
      </c>
      <c r="X385" s="635">
        <v>321.66666666666669</v>
      </c>
      <c r="Y385" s="635">
        <v>362</v>
      </c>
      <c r="Z385" s="635">
        <v>489.66666666666669</v>
      </c>
      <c r="AA385" s="635">
        <v>309</v>
      </c>
      <c r="AB385" s="635">
        <v>470.33333333333331</v>
      </c>
      <c r="AC385" s="635">
        <v>319.33333333333331</v>
      </c>
      <c r="AD385" s="635">
        <v>283.33333333333331</v>
      </c>
      <c r="AE385" s="359">
        <f t="shared" si="475"/>
        <v>4337.333333333333</v>
      </c>
      <c r="AF385" s="646">
        <f t="shared" si="476"/>
        <v>361.4444444444444</v>
      </c>
      <c r="AG385" s="372"/>
      <c r="AH385" s="634">
        <v>444.33333333333331</v>
      </c>
      <c r="AI385" s="635">
        <v>324.33333333333331</v>
      </c>
      <c r="AJ385" s="635">
        <v>337</v>
      </c>
      <c r="AK385" s="635">
        <v>380</v>
      </c>
      <c r="AL385" s="635">
        <v>409.33333333333331</v>
      </c>
      <c r="AM385" s="635">
        <v>363</v>
      </c>
      <c r="AN385" s="1059">
        <v>491</v>
      </c>
      <c r="AO385" s="1059">
        <v>396.66666666666669</v>
      </c>
      <c r="AP385" s="635">
        <v>392.33333333333331</v>
      </c>
      <c r="AQ385" s="635">
        <v>358.33333333333331</v>
      </c>
      <c r="AR385" s="359">
        <v>345.66666666666669</v>
      </c>
      <c r="AS385" s="359">
        <v>294.66666666666669</v>
      </c>
      <c r="AT385" s="359">
        <f t="shared" si="457"/>
        <v>4536.666666666667</v>
      </c>
      <c r="AU385" s="646">
        <f t="shared" si="473"/>
        <v>378.0555555555556</v>
      </c>
      <c r="AX385" s="358">
        <v>272.66666666666669</v>
      </c>
      <c r="AY385" s="635">
        <v>465</v>
      </c>
      <c r="AZ385" s="635">
        <v>355</v>
      </c>
      <c r="BA385" s="635">
        <v>412.33333333333331</v>
      </c>
      <c r="BB385" s="635">
        <v>711.66666666666663</v>
      </c>
      <c r="BC385" s="635">
        <v>476.66666666666669</v>
      </c>
      <c r="BD385" s="2353">
        <v>0</v>
      </c>
      <c r="BE385" s="2353">
        <v>0</v>
      </c>
      <c r="BF385" s="2353">
        <v>0</v>
      </c>
      <c r="BG385" s="2353" t="s">
        <v>482</v>
      </c>
      <c r="BH385" s="2353">
        <v>0</v>
      </c>
      <c r="BI385" s="2353">
        <v>0</v>
      </c>
      <c r="BJ385" s="359">
        <f t="shared" si="471"/>
        <v>2693.333333333333</v>
      </c>
      <c r="BK385" s="646">
        <f t="shared" si="466"/>
        <v>244.84848484848482</v>
      </c>
      <c r="BN385" s="322">
        <f t="shared" si="469"/>
        <v>-294.66666666666669</v>
      </c>
      <c r="BO385" s="322">
        <f t="shared" si="459"/>
        <v>-133.20707070707078</v>
      </c>
      <c r="BP385" s="322">
        <f t="shared" si="460"/>
        <v>-1843.3333333333339</v>
      </c>
      <c r="BQ385" s="322">
        <f t="shared" si="467"/>
        <v>0</v>
      </c>
      <c r="BR385" s="2265">
        <f t="shared" si="461"/>
        <v>0</v>
      </c>
      <c r="BS385" s="2265">
        <f t="shared" si="462"/>
        <v>0</v>
      </c>
    </row>
    <row r="386" spans="1:71" s="172" customFormat="1" x14ac:dyDescent="0.55000000000000004">
      <c r="A386" s="7531"/>
      <c r="B386" s="253"/>
      <c r="C386" s="173" t="s">
        <v>244</v>
      </c>
      <c r="D386" s="636">
        <v>456</v>
      </c>
      <c r="E386" s="637">
        <v>673.83333333333337</v>
      </c>
      <c r="F386" s="637">
        <v>550</v>
      </c>
      <c r="G386" s="637">
        <v>639.83333333333337</v>
      </c>
      <c r="H386" s="637">
        <v>650.83333333333337</v>
      </c>
      <c r="I386" s="637">
        <v>591.66666666666663</v>
      </c>
      <c r="J386" s="637">
        <v>519.16666666666663</v>
      </c>
      <c r="K386" s="637">
        <v>663.16666666666663</v>
      </c>
      <c r="L386" s="637">
        <v>429.16666666666669</v>
      </c>
      <c r="M386" s="637">
        <v>581.5</v>
      </c>
      <c r="N386" s="637">
        <v>434.5</v>
      </c>
      <c r="O386" s="637">
        <v>384.66666666666669</v>
      </c>
      <c r="P386" s="362">
        <f t="shared" si="474"/>
        <v>6574.3333333333339</v>
      </c>
      <c r="Q386" s="647">
        <f t="shared" si="472"/>
        <v>547.8611111111112</v>
      </c>
      <c r="R386" s="372"/>
      <c r="S386" s="636">
        <v>424</v>
      </c>
      <c r="T386" s="637">
        <v>488.5</v>
      </c>
      <c r="U386" s="637">
        <v>337.5</v>
      </c>
      <c r="V386" s="637">
        <v>300.16666666666669</v>
      </c>
      <c r="W386" s="637">
        <v>342.16666666666669</v>
      </c>
      <c r="X386" s="637">
        <v>334.83333333333331</v>
      </c>
      <c r="Y386" s="637">
        <v>377</v>
      </c>
      <c r="Z386" s="637">
        <v>512.5</v>
      </c>
      <c r="AA386" s="637">
        <v>352.66666666666669</v>
      </c>
      <c r="AB386" s="637">
        <v>510.33333333333331</v>
      </c>
      <c r="AC386" s="637">
        <v>377.66666666666669</v>
      </c>
      <c r="AD386" s="637">
        <v>312.83333333333331</v>
      </c>
      <c r="AE386" s="362">
        <f t="shared" si="475"/>
        <v>4670.166666666667</v>
      </c>
      <c r="AF386" s="647">
        <f t="shared" si="476"/>
        <v>389.1805555555556</v>
      </c>
      <c r="AG386" s="372"/>
      <c r="AH386" s="636">
        <v>458.5</v>
      </c>
      <c r="AI386" s="637">
        <v>361</v>
      </c>
      <c r="AJ386" s="637">
        <v>415.5</v>
      </c>
      <c r="AK386" s="637">
        <v>417</v>
      </c>
      <c r="AL386" s="637">
        <v>472.33333333333331</v>
      </c>
      <c r="AM386" s="637">
        <v>436</v>
      </c>
      <c r="AN386" s="1060">
        <v>534.16666666666663</v>
      </c>
      <c r="AO386" s="1060">
        <v>457.33333333333331</v>
      </c>
      <c r="AP386" s="637">
        <v>501.33333333333331</v>
      </c>
      <c r="AQ386" s="637">
        <v>467</v>
      </c>
      <c r="AR386" s="362">
        <v>429.66666666666669</v>
      </c>
      <c r="AS386" s="362">
        <v>368.83333333333331</v>
      </c>
      <c r="AT386" s="362">
        <f t="shared" si="457"/>
        <v>5318.666666666667</v>
      </c>
      <c r="AU386" s="647">
        <f t="shared" si="473"/>
        <v>443.22222222222223</v>
      </c>
      <c r="AX386" s="361">
        <v>329.66666666666669</v>
      </c>
      <c r="AY386" s="637">
        <v>563.66666666666663</v>
      </c>
      <c r="AZ386" s="637">
        <v>380.83333333333331</v>
      </c>
      <c r="BA386" s="637">
        <v>438</v>
      </c>
      <c r="BB386" s="637">
        <v>755.33333333333337</v>
      </c>
      <c r="BC386" s="637">
        <v>531.16666666666663</v>
      </c>
      <c r="BD386" s="1060">
        <v>595.66666666666663</v>
      </c>
      <c r="BE386" s="1060">
        <v>526.83333333333337</v>
      </c>
      <c r="BF386" s="637">
        <v>575.5</v>
      </c>
      <c r="BG386" s="637">
        <v>591.66666666666663</v>
      </c>
      <c r="BH386" s="362">
        <v>567.66666666666663</v>
      </c>
      <c r="BI386" s="362">
        <v>518.16666666666663</v>
      </c>
      <c r="BJ386" s="362">
        <f t="shared" si="471"/>
        <v>6374.166666666667</v>
      </c>
      <c r="BK386" s="647">
        <f t="shared" si="466"/>
        <v>531.18055555555554</v>
      </c>
      <c r="BN386" s="322">
        <f t="shared" si="469"/>
        <v>149.33333333333331</v>
      </c>
      <c r="BO386" s="322">
        <f t="shared" si="459"/>
        <v>87.958333333333314</v>
      </c>
      <c r="BP386" s="322">
        <f t="shared" si="460"/>
        <v>1055.5</v>
      </c>
      <c r="BQ386" s="322">
        <f t="shared" si="467"/>
        <v>-49.5</v>
      </c>
      <c r="BR386" s="2265">
        <f t="shared" si="461"/>
        <v>567.66666666666663</v>
      </c>
      <c r="BS386" s="2265">
        <f t="shared" si="462"/>
        <v>518.16666666666663</v>
      </c>
    </row>
    <row r="387" spans="1:71" s="172" customFormat="1" x14ac:dyDescent="0.55000000000000004">
      <c r="A387" s="7531"/>
      <c r="B387" s="253"/>
      <c r="C387" s="181" t="s">
        <v>245</v>
      </c>
      <c r="D387" s="634">
        <v>330.875</v>
      </c>
      <c r="E387" s="635">
        <v>417.75</v>
      </c>
      <c r="F387" s="635">
        <v>386.875</v>
      </c>
      <c r="G387" s="635">
        <v>398.625</v>
      </c>
      <c r="H387" s="635">
        <v>425.75</v>
      </c>
      <c r="I387" s="635">
        <v>418.875</v>
      </c>
      <c r="J387" s="635">
        <v>405.625</v>
      </c>
      <c r="K387" s="635">
        <v>490.375</v>
      </c>
      <c r="L387" s="635">
        <v>307</v>
      </c>
      <c r="M387" s="635">
        <v>434.5</v>
      </c>
      <c r="N387" s="635">
        <v>293.625</v>
      </c>
      <c r="O387" s="635">
        <v>276.25</v>
      </c>
      <c r="P387" s="359">
        <f t="shared" si="474"/>
        <v>4586.125</v>
      </c>
      <c r="Q387" s="646">
        <f t="shared" si="472"/>
        <v>382.17708333333331</v>
      </c>
      <c r="R387" s="372"/>
      <c r="S387" s="634">
        <v>292.125</v>
      </c>
      <c r="T387" s="635">
        <v>320.875</v>
      </c>
      <c r="U387" s="635">
        <v>286.375</v>
      </c>
      <c r="V387" s="635">
        <v>359</v>
      </c>
      <c r="W387" s="635">
        <v>375.66666666666669</v>
      </c>
      <c r="X387" s="635">
        <v>345.83333333333331</v>
      </c>
      <c r="Y387" s="635">
        <v>438.83333333333331</v>
      </c>
      <c r="Z387" s="635">
        <v>512.83333333333337</v>
      </c>
      <c r="AA387" s="635">
        <v>341.33333333333331</v>
      </c>
      <c r="AB387" s="635">
        <v>479.83333333333331</v>
      </c>
      <c r="AC387" s="635">
        <v>351.16666666666669</v>
      </c>
      <c r="AD387" s="635">
        <v>296.83333333333331</v>
      </c>
      <c r="AE387" s="359">
        <f t="shared" si="475"/>
        <v>4400.7083333333339</v>
      </c>
      <c r="AF387" s="646">
        <f t="shared" si="476"/>
        <v>366.72569444444451</v>
      </c>
      <c r="AG387" s="372"/>
      <c r="AH387" s="634">
        <v>406.66666666666669</v>
      </c>
      <c r="AI387" s="635">
        <v>360.16666666666669</v>
      </c>
      <c r="AJ387" s="635">
        <v>380.66666666666669</v>
      </c>
      <c r="AK387" s="635">
        <v>391.16666666666669</v>
      </c>
      <c r="AL387" s="635">
        <v>487</v>
      </c>
      <c r="AM387" s="635">
        <v>477.83333333333331</v>
      </c>
      <c r="AN387" s="1059">
        <v>559.33333333333337</v>
      </c>
      <c r="AO387" s="1059">
        <v>440.16666666666669</v>
      </c>
      <c r="AP387" s="635">
        <v>446.83333333333331</v>
      </c>
      <c r="AQ387" s="635">
        <v>474.83333333333331</v>
      </c>
      <c r="AR387" s="359">
        <v>414.66666666666669</v>
      </c>
      <c r="AS387" s="359">
        <v>343.5</v>
      </c>
      <c r="AT387" s="359">
        <f t="shared" si="457"/>
        <v>5182.8333333333339</v>
      </c>
      <c r="AU387" s="646">
        <f t="shared" si="473"/>
        <v>431.90277777777783</v>
      </c>
      <c r="AX387" s="358">
        <v>356</v>
      </c>
      <c r="AY387" s="635">
        <v>552.66666666666663</v>
      </c>
      <c r="AZ387" s="635">
        <v>456.66666666666669</v>
      </c>
      <c r="BA387" s="635">
        <v>512</v>
      </c>
      <c r="BB387" s="635">
        <v>808.33333333333337</v>
      </c>
      <c r="BC387" s="635">
        <v>579.5</v>
      </c>
      <c r="BD387" s="1059">
        <v>696.16666666666663</v>
      </c>
      <c r="BE387" s="1059">
        <v>552.33333333333337</v>
      </c>
      <c r="BF387" s="635">
        <v>602.66666666666663</v>
      </c>
      <c r="BG387" s="635">
        <v>622.16666666666663</v>
      </c>
      <c r="BH387" s="359">
        <v>486.33333333333331</v>
      </c>
      <c r="BI387" s="359">
        <v>588.16666666666663</v>
      </c>
      <c r="BJ387" s="359">
        <f t="shared" si="471"/>
        <v>6813</v>
      </c>
      <c r="BK387" s="646">
        <f t="shared" si="466"/>
        <v>567.75</v>
      </c>
      <c r="BN387" s="322">
        <f t="shared" si="469"/>
        <v>244.66666666666663</v>
      </c>
      <c r="BO387" s="322">
        <f t="shared" si="459"/>
        <v>135.84722222222217</v>
      </c>
      <c r="BP387" s="322">
        <f t="shared" si="460"/>
        <v>1630.1666666666661</v>
      </c>
      <c r="BQ387" s="322">
        <f t="shared" si="467"/>
        <v>101.83333333333331</v>
      </c>
      <c r="BR387" s="2265">
        <f t="shared" si="461"/>
        <v>486.33333333333331</v>
      </c>
      <c r="BS387" s="2265">
        <f t="shared" si="462"/>
        <v>588.16666666666663</v>
      </c>
    </row>
    <row r="388" spans="1:71" s="172" customFormat="1" x14ac:dyDescent="0.55000000000000004">
      <c r="A388" s="7531"/>
      <c r="B388" s="253"/>
      <c r="C388" s="173" t="s">
        <v>246</v>
      </c>
      <c r="D388" s="636">
        <v>465.14285714285717</v>
      </c>
      <c r="E388" s="637">
        <v>601.57142857142856</v>
      </c>
      <c r="F388" s="637">
        <v>563</v>
      </c>
      <c r="G388" s="637">
        <v>565.14285714285711</v>
      </c>
      <c r="H388" s="637">
        <v>593.42857142857144</v>
      </c>
      <c r="I388" s="637">
        <v>486.57142857142856</v>
      </c>
      <c r="J388" s="637">
        <v>471.85714285714283</v>
      </c>
      <c r="K388" s="637">
        <v>494.71428571428572</v>
      </c>
      <c r="L388" s="637">
        <v>405.28571428571428</v>
      </c>
      <c r="M388" s="637">
        <v>531</v>
      </c>
      <c r="N388" s="637">
        <v>407.42857142857144</v>
      </c>
      <c r="O388" s="637">
        <v>352.85714285714283</v>
      </c>
      <c r="P388" s="362">
        <f t="shared" si="474"/>
        <v>5938.0000000000009</v>
      </c>
      <c r="Q388" s="647">
        <f t="shared" si="472"/>
        <v>494.83333333333343</v>
      </c>
      <c r="R388" s="372"/>
      <c r="S388" s="636">
        <v>363.85714285714283</v>
      </c>
      <c r="T388" s="637">
        <v>430.14285714285717</v>
      </c>
      <c r="U388" s="637">
        <v>390.42857142857144</v>
      </c>
      <c r="V388" s="637">
        <v>419.83333333333331</v>
      </c>
      <c r="W388" s="637">
        <v>433.83333333333331</v>
      </c>
      <c r="X388" s="637">
        <v>379.66666666666669</v>
      </c>
      <c r="Y388" s="637">
        <v>435.83333333333331</v>
      </c>
      <c r="Z388" s="637">
        <v>556.16666666666663</v>
      </c>
      <c r="AA388" s="637">
        <v>432.5</v>
      </c>
      <c r="AB388" s="637">
        <v>547.33333333333337</v>
      </c>
      <c r="AC388" s="637">
        <v>424.83333333333331</v>
      </c>
      <c r="AD388" s="637">
        <v>343.33333333333331</v>
      </c>
      <c r="AE388" s="362">
        <f t="shared" si="475"/>
        <v>5157.7619047619037</v>
      </c>
      <c r="AF388" s="647">
        <f t="shared" si="476"/>
        <v>429.81349206349199</v>
      </c>
      <c r="AG388" s="372"/>
      <c r="AH388" s="636">
        <v>559</v>
      </c>
      <c r="AI388" s="637">
        <v>443.83333333333331</v>
      </c>
      <c r="AJ388" s="637">
        <v>460.16666666666669</v>
      </c>
      <c r="AK388" s="637">
        <v>499.16666666666669</v>
      </c>
      <c r="AL388" s="637">
        <v>488</v>
      </c>
      <c r="AM388" s="637">
        <v>452</v>
      </c>
      <c r="AN388" s="1060">
        <v>521.5</v>
      </c>
      <c r="AO388" s="1060">
        <v>429.83333333333331</v>
      </c>
      <c r="AP388" s="637">
        <v>570.5</v>
      </c>
      <c r="AQ388" s="637">
        <v>558.5</v>
      </c>
      <c r="AR388" s="362">
        <v>659</v>
      </c>
      <c r="AS388" s="362">
        <v>571.66666666666663</v>
      </c>
      <c r="AT388" s="362">
        <f t="shared" si="457"/>
        <v>6213.166666666667</v>
      </c>
      <c r="AU388" s="647">
        <f t="shared" si="473"/>
        <v>517.76388888888891</v>
      </c>
      <c r="AX388" s="361">
        <v>574.16666666666663</v>
      </c>
      <c r="AY388" s="637">
        <v>848.5</v>
      </c>
      <c r="AZ388" s="637">
        <v>623.66666666666663</v>
      </c>
      <c r="BA388" s="637">
        <v>903.66666666666663</v>
      </c>
      <c r="BB388" s="637">
        <v>1269.5</v>
      </c>
      <c r="BC388" s="637">
        <v>1133.5</v>
      </c>
      <c r="BD388" s="1060">
        <v>1261.6666666666667</v>
      </c>
      <c r="BE388" s="1060">
        <v>918.5</v>
      </c>
      <c r="BF388" s="637">
        <v>922.16666666666663</v>
      </c>
      <c r="BG388" s="637">
        <v>946.66666666666663</v>
      </c>
      <c r="BH388" s="362">
        <v>695.66666666666663</v>
      </c>
      <c r="BI388" s="362">
        <v>764.33333333333337</v>
      </c>
      <c r="BJ388" s="362">
        <f t="shared" si="471"/>
        <v>10862</v>
      </c>
      <c r="BK388" s="647">
        <f t="shared" si="466"/>
        <v>905.16666666666663</v>
      </c>
      <c r="BN388" s="322">
        <f t="shared" si="469"/>
        <v>192.66666666666674</v>
      </c>
      <c r="BO388" s="322">
        <f t="shared" si="459"/>
        <v>387.40277777777771</v>
      </c>
      <c r="BP388" s="322">
        <f t="shared" si="460"/>
        <v>4648.833333333333</v>
      </c>
      <c r="BQ388" s="322">
        <f t="shared" si="467"/>
        <v>68.666666666666742</v>
      </c>
      <c r="BR388" s="2265">
        <f t="shared" si="461"/>
        <v>695.66666666666663</v>
      </c>
      <c r="BS388" s="2265">
        <f t="shared" si="462"/>
        <v>764.33333333333337</v>
      </c>
    </row>
    <row r="389" spans="1:71" s="172" customFormat="1" x14ac:dyDescent="0.55000000000000004">
      <c r="A389" s="7531"/>
      <c r="B389" s="253"/>
      <c r="C389" s="173" t="s">
        <v>247</v>
      </c>
      <c r="D389" s="636">
        <v>431.5</v>
      </c>
      <c r="E389" s="637">
        <v>512.5</v>
      </c>
      <c r="F389" s="637">
        <v>453.33333333333331</v>
      </c>
      <c r="G389" s="637">
        <v>501.33333333333331</v>
      </c>
      <c r="H389" s="637">
        <v>486.66666666666669</v>
      </c>
      <c r="I389" s="637">
        <v>419.5</v>
      </c>
      <c r="J389" s="637">
        <v>419.16666666666669</v>
      </c>
      <c r="K389" s="637">
        <v>470.66666666666669</v>
      </c>
      <c r="L389" s="637">
        <v>322.16666666666669</v>
      </c>
      <c r="M389" s="637">
        <v>453.66666666666669</v>
      </c>
      <c r="N389" s="637">
        <v>277.66666666666669</v>
      </c>
      <c r="O389" s="637">
        <v>189.83333333333334</v>
      </c>
      <c r="P389" s="362">
        <f t="shared" si="474"/>
        <v>4937.9999999999991</v>
      </c>
      <c r="Q389" s="647">
        <f t="shared" si="472"/>
        <v>411.49999999999994</v>
      </c>
      <c r="R389" s="372"/>
      <c r="S389" s="636">
        <v>305.83333333333331</v>
      </c>
      <c r="T389" s="637">
        <v>419.66666666666669</v>
      </c>
      <c r="U389" s="637">
        <v>292.83333333333331</v>
      </c>
      <c r="V389" s="637">
        <v>402.8</v>
      </c>
      <c r="W389" s="637">
        <v>404.8</v>
      </c>
      <c r="X389" s="637">
        <v>382.2</v>
      </c>
      <c r="Y389" s="637">
        <v>392.6</v>
      </c>
      <c r="Z389" s="637">
        <v>553.79999999999995</v>
      </c>
      <c r="AA389" s="637">
        <v>351.8</v>
      </c>
      <c r="AB389" s="637">
        <v>475</v>
      </c>
      <c r="AC389" s="637">
        <v>353.6</v>
      </c>
      <c r="AD389" s="637">
        <v>262</v>
      </c>
      <c r="AE389" s="362">
        <f t="shared" si="475"/>
        <v>4596.9333333333334</v>
      </c>
      <c r="AF389" s="647">
        <f t="shared" si="476"/>
        <v>383.07777777777778</v>
      </c>
      <c r="AG389" s="372"/>
      <c r="AH389" s="636">
        <v>453.8</v>
      </c>
      <c r="AI389" s="637">
        <v>362</v>
      </c>
      <c r="AJ389" s="637">
        <v>408.8</v>
      </c>
      <c r="AK389" s="637">
        <v>382</v>
      </c>
      <c r="AL389" s="637">
        <v>417.6</v>
      </c>
      <c r="AM389" s="637">
        <v>359.6</v>
      </c>
      <c r="AN389" s="1060">
        <v>434.4</v>
      </c>
      <c r="AO389" s="1060">
        <v>351.2</v>
      </c>
      <c r="AP389" s="637">
        <v>403.4</v>
      </c>
      <c r="AQ389" s="637">
        <v>374.6</v>
      </c>
      <c r="AR389" s="362">
        <v>392</v>
      </c>
      <c r="AS389" s="362">
        <v>351.2</v>
      </c>
      <c r="AT389" s="362">
        <f t="shared" si="457"/>
        <v>4690.5999999999995</v>
      </c>
      <c r="AU389" s="647">
        <f t="shared" si="473"/>
        <v>390.88333333333327</v>
      </c>
      <c r="AX389" s="361">
        <v>401.6</v>
      </c>
      <c r="AY389" s="637">
        <v>606</v>
      </c>
      <c r="AZ389" s="637">
        <v>416.2</v>
      </c>
      <c r="BA389" s="637">
        <v>574.6</v>
      </c>
      <c r="BB389" s="637">
        <v>837.2</v>
      </c>
      <c r="BC389" s="637">
        <v>707.8</v>
      </c>
      <c r="BD389" s="1060">
        <v>758.8</v>
      </c>
      <c r="BE389" s="1060">
        <v>611.6</v>
      </c>
      <c r="BF389" s="637">
        <v>668.4</v>
      </c>
      <c r="BG389" s="637">
        <v>743.8</v>
      </c>
      <c r="BH389" s="362">
        <v>580</v>
      </c>
      <c r="BI389" s="362">
        <v>661.4</v>
      </c>
      <c r="BJ389" s="362">
        <f t="shared" si="471"/>
        <v>7567.4000000000005</v>
      </c>
      <c r="BK389" s="647">
        <f t="shared" si="466"/>
        <v>630.61666666666667</v>
      </c>
      <c r="BN389" s="322">
        <f t="shared" si="469"/>
        <v>310.2</v>
      </c>
      <c r="BO389" s="322">
        <f t="shared" si="459"/>
        <v>239.73333333333341</v>
      </c>
      <c r="BP389" s="322">
        <f t="shared" si="460"/>
        <v>2876.8000000000011</v>
      </c>
      <c r="BQ389" s="322">
        <f t="shared" si="467"/>
        <v>81.399999999999977</v>
      </c>
      <c r="BR389" s="2265">
        <f t="shared" si="461"/>
        <v>580</v>
      </c>
      <c r="BS389" s="2265">
        <f t="shared" si="462"/>
        <v>661.4</v>
      </c>
    </row>
    <row r="390" spans="1:71" s="172" customFormat="1" x14ac:dyDescent="0.55000000000000004">
      <c r="A390" s="7531"/>
      <c r="B390" s="253"/>
      <c r="C390" s="181" t="s">
        <v>248</v>
      </c>
      <c r="D390" s="634">
        <v>690.16666666666663</v>
      </c>
      <c r="E390" s="635">
        <v>704.83333333333337</v>
      </c>
      <c r="F390" s="635">
        <v>628.33333333333337</v>
      </c>
      <c r="G390" s="635">
        <v>642.16666666666663</v>
      </c>
      <c r="H390" s="635">
        <v>662.66666666666663</v>
      </c>
      <c r="I390" s="635">
        <v>641.33333333333337</v>
      </c>
      <c r="J390" s="635">
        <v>613.83333333333337</v>
      </c>
      <c r="K390" s="635">
        <v>674.83333333333337</v>
      </c>
      <c r="L390" s="635">
        <v>474.66666666666669</v>
      </c>
      <c r="M390" s="635">
        <v>676.83333333333337</v>
      </c>
      <c r="N390" s="635">
        <v>502.83333333333331</v>
      </c>
      <c r="O390" s="635">
        <v>475.16666666666669</v>
      </c>
      <c r="P390" s="359">
        <f t="shared" si="474"/>
        <v>7387.6666666666661</v>
      </c>
      <c r="Q390" s="646">
        <f t="shared" si="472"/>
        <v>615.6388888888888</v>
      </c>
      <c r="R390" s="372"/>
      <c r="S390" s="634">
        <v>530.5</v>
      </c>
      <c r="T390" s="635">
        <v>620.33333333333337</v>
      </c>
      <c r="U390" s="635">
        <v>538.16666666666663</v>
      </c>
      <c r="V390" s="635">
        <v>613.20000000000005</v>
      </c>
      <c r="W390" s="635">
        <v>613</v>
      </c>
      <c r="X390" s="635">
        <v>567.4</v>
      </c>
      <c r="Y390" s="635">
        <v>632.6</v>
      </c>
      <c r="Z390" s="635">
        <v>807.8</v>
      </c>
      <c r="AA390" s="635">
        <v>572.79999999999995</v>
      </c>
      <c r="AB390" s="635">
        <v>719.8</v>
      </c>
      <c r="AC390" s="635">
        <v>551.79999999999995</v>
      </c>
      <c r="AD390" s="635">
        <v>458.4</v>
      </c>
      <c r="AE390" s="359">
        <f t="shared" si="475"/>
        <v>7225.8</v>
      </c>
      <c r="AF390" s="646">
        <f t="shared" si="476"/>
        <v>602.15</v>
      </c>
      <c r="AG390" s="372"/>
      <c r="AH390" s="634">
        <v>719.2</v>
      </c>
      <c r="AI390" s="635">
        <v>557</v>
      </c>
      <c r="AJ390" s="635">
        <v>613.20000000000005</v>
      </c>
      <c r="AK390" s="635">
        <v>630.20000000000005</v>
      </c>
      <c r="AL390" s="635">
        <v>656</v>
      </c>
      <c r="AM390" s="635">
        <v>571.6</v>
      </c>
      <c r="AN390" s="1059">
        <v>674.2</v>
      </c>
      <c r="AO390" s="1059">
        <v>462.6</v>
      </c>
      <c r="AP390" s="635">
        <v>666.8</v>
      </c>
      <c r="AQ390" s="635">
        <v>631</v>
      </c>
      <c r="AR390" s="359">
        <v>662.4</v>
      </c>
      <c r="AS390" s="359">
        <v>544.6</v>
      </c>
      <c r="AT390" s="359">
        <f t="shared" si="457"/>
        <v>7388.8000000000011</v>
      </c>
      <c r="AU390" s="646">
        <f t="shared" si="473"/>
        <v>615.73333333333346</v>
      </c>
      <c r="AX390" s="358">
        <v>561</v>
      </c>
      <c r="AY390" s="635">
        <v>774.6</v>
      </c>
      <c r="AZ390" s="635">
        <v>628.4</v>
      </c>
      <c r="BA390" s="635">
        <v>748.8</v>
      </c>
      <c r="BB390" s="635">
        <v>1088</v>
      </c>
      <c r="BC390" s="635">
        <v>899</v>
      </c>
      <c r="BD390" s="1059">
        <v>1037.2</v>
      </c>
      <c r="BE390" s="1059">
        <v>685.2</v>
      </c>
      <c r="BF390" s="635">
        <v>784.4</v>
      </c>
      <c r="BG390" s="635">
        <v>715.2</v>
      </c>
      <c r="BH390" s="359">
        <v>628.79999999999995</v>
      </c>
      <c r="BI390" s="359">
        <v>639.6</v>
      </c>
      <c r="BJ390" s="359">
        <f t="shared" si="471"/>
        <v>9190.1999999999989</v>
      </c>
      <c r="BK390" s="646">
        <f t="shared" si="466"/>
        <v>765.84999999999991</v>
      </c>
      <c r="BN390" s="322">
        <f t="shared" si="469"/>
        <v>95</v>
      </c>
      <c r="BO390" s="322">
        <f t="shared" si="459"/>
        <v>150.11666666666645</v>
      </c>
      <c r="BP390" s="322">
        <f t="shared" si="460"/>
        <v>1801.3999999999978</v>
      </c>
      <c r="BQ390" s="322">
        <f t="shared" si="467"/>
        <v>10.800000000000068</v>
      </c>
      <c r="BR390" s="2265">
        <f t="shared" si="461"/>
        <v>628.79999999999995</v>
      </c>
      <c r="BS390" s="2265">
        <f t="shared" si="462"/>
        <v>639.6</v>
      </c>
    </row>
    <row r="391" spans="1:71" s="172" customFormat="1" ht="18" thickBot="1" x14ac:dyDescent="0.6">
      <c r="A391" s="7531"/>
      <c r="B391" s="254"/>
      <c r="C391" s="182" t="s">
        <v>249</v>
      </c>
      <c r="D391" s="640">
        <v>462.28571428571428</v>
      </c>
      <c r="E391" s="641">
        <v>499.57142857142856</v>
      </c>
      <c r="F391" s="641">
        <v>436.57142857142856</v>
      </c>
      <c r="G391" s="641">
        <v>455</v>
      </c>
      <c r="H391" s="641">
        <v>506.14285714285717</v>
      </c>
      <c r="I391" s="641">
        <v>408.28571428571428</v>
      </c>
      <c r="J391" s="641">
        <v>378.85714285714283</v>
      </c>
      <c r="K391" s="641">
        <v>410.57142857142856</v>
      </c>
      <c r="L391" s="641">
        <v>298</v>
      </c>
      <c r="M391" s="641">
        <v>468.71428571428572</v>
      </c>
      <c r="N391" s="641">
        <v>343</v>
      </c>
      <c r="O391" s="641">
        <v>285.71428571428572</v>
      </c>
      <c r="P391" s="365">
        <f t="shared" si="474"/>
        <v>4952.7142857142853</v>
      </c>
      <c r="Q391" s="649">
        <f t="shared" si="472"/>
        <v>412.72619047619042</v>
      </c>
      <c r="R391" s="372"/>
      <c r="S391" s="640">
        <v>331.42857142857144</v>
      </c>
      <c r="T391" s="641">
        <v>377.28571428571428</v>
      </c>
      <c r="U391" s="641">
        <v>286.28571428571428</v>
      </c>
      <c r="V391" s="641">
        <v>410.8</v>
      </c>
      <c r="W391" s="641">
        <v>382.8</v>
      </c>
      <c r="X391" s="641">
        <v>361.2</v>
      </c>
      <c r="Y391" s="641">
        <v>409.4</v>
      </c>
      <c r="Z391" s="641">
        <v>530.20000000000005</v>
      </c>
      <c r="AA391" s="641">
        <v>398</v>
      </c>
      <c r="AB391" s="641">
        <v>473</v>
      </c>
      <c r="AC391" s="641">
        <v>357.6</v>
      </c>
      <c r="AD391" s="641">
        <v>313.8</v>
      </c>
      <c r="AE391" s="365">
        <f t="shared" si="475"/>
        <v>4631.8</v>
      </c>
      <c r="AF391" s="649">
        <f t="shared" si="476"/>
        <v>385.98333333333335</v>
      </c>
      <c r="AG391" s="372"/>
      <c r="AH391" s="640">
        <v>463.2</v>
      </c>
      <c r="AI391" s="641">
        <v>405.6</v>
      </c>
      <c r="AJ391" s="641">
        <v>423.8</v>
      </c>
      <c r="AK391" s="641">
        <v>374.6</v>
      </c>
      <c r="AL391" s="641">
        <v>377.6</v>
      </c>
      <c r="AM391" s="641">
        <v>419.2</v>
      </c>
      <c r="AN391" s="1061">
        <v>452.6</v>
      </c>
      <c r="AO391" s="1061">
        <v>369</v>
      </c>
      <c r="AP391" s="641">
        <v>410.4</v>
      </c>
      <c r="AQ391" s="641">
        <v>408.6</v>
      </c>
      <c r="AR391" s="365">
        <v>458</v>
      </c>
      <c r="AS391" s="365">
        <v>378.4</v>
      </c>
      <c r="AT391" s="365">
        <f t="shared" si="457"/>
        <v>4940.9999999999991</v>
      </c>
      <c r="AU391" s="649">
        <f t="shared" si="473"/>
        <v>411.74999999999994</v>
      </c>
      <c r="AX391" s="364">
        <v>390</v>
      </c>
      <c r="AY391" s="641">
        <v>521.6</v>
      </c>
      <c r="AZ391" s="641">
        <v>382.6</v>
      </c>
      <c r="BA391" s="641">
        <v>484.2</v>
      </c>
      <c r="BB391" s="641">
        <v>603.79999999999995</v>
      </c>
      <c r="BC391" s="641">
        <v>466.6</v>
      </c>
      <c r="BD391" s="1061">
        <v>615.20000000000005</v>
      </c>
      <c r="BE391" s="1061">
        <v>444.6</v>
      </c>
      <c r="BF391" s="641">
        <v>521</v>
      </c>
      <c r="BG391" s="641">
        <v>458.8</v>
      </c>
      <c r="BH391" s="365">
        <v>400.8</v>
      </c>
      <c r="BI391" s="365">
        <v>380.6</v>
      </c>
      <c r="BJ391" s="365">
        <f t="shared" si="471"/>
        <v>5669.8000000000011</v>
      </c>
      <c r="BK391" s="649">
        <f t="shared" si="466"/>
        <v>472.48333333333341</v>
      </c>
      <c r="BN391" s="322">
        <f t="shared" si="469"/>
        <v>2.2000000000000455</v>
      </c>
      <c r="BO391" s="322">
        <f t="shared" si="459"/>
        <v>60.733333333333462</v>
      </c>
      <c r="BP391" s="322">
        <f t="shared" si="460"/>
        <v>728.800000000002</v>
      </c>
      <c r="BQ391" s="322">
        <f t="shared" si="467"/>
        <v>-20.199999999999989</v>
      </c>
      <c r="BR391" s="2265">
        <f t="shared" si="461"/>
        <v>400.8</v>
      </c>
      <c r="BS391" s="2265">
        <f t="shared" si="462"/>
        <v>380.6</v>
      </c>
    </row>
    <row r="392" spans="1:71" x14ac:dyDescent="0.55000000000000004">
      <c r="A392" s="7530" t="s">
        <v>408</v>
      </c>
      <c r="B392" s="74" t="s">
        <v>266</v>
      </c>
      <c r="C392" s="27"/>
      <c r="D392" s="686">
        <v>5.429870751555768</v>
      </c>
      <c r="E392" s="650">
        <v>6.3587454212454215</v>
      </c>
      <c r="F392" s="650">
        <v>5.4363312555654497</v>
      </c>
      <c r="G392" s="650">
        <v>5.6826881252718575</v>
      </c>
      <c r="H392" s="650">
        <v>5.7663215719416856</v>
      </c>
      <c r="I392" s="650">
        <v>5.412759580389638</v>
      </c>
      <c r="J392" s="650">
        <v>5.0919213973799122</v>
      </c>
      <c r="K392" s="650">
        <v>5.8069557561082981</v>
      </c>
      <c r="L392" s="650">
        <v>4.3039262062440873</v>
      </c>
      <c r="M392" s="650">
        <v>5.8038606611936983</v>
      </c>
      <c r="N392" s="650">
        <v>4.3216279069767438</v>
      </c>
      <c r="O392" s="650">
        <v>4.1732343909928353</v>
      </c>
      <c r="P392" s="650">
        <f>SUM(D392:O392)</f>
        <v>63.588243024865392</v>
      </c>
      <c r="Q392" s="651">
        <f>P392/12</f>
        <v>5.2990202520721157</v>
      </c>
      <c r="R392" s="370"/>
      <c r="S392" s="686">
        <v>4.4048592735145542</v>
      </c>
      <c r="T392" s="650">
        <v>4.9935676544911551</v>
      </c>
      <c r="U392" s="650">
        <v>4.032984901277584</v>
      </c>
      <c r="V392" s="650">
        <v>4.2302745486025231</v>
      </c>
      <c r="W392" s="650">
        <v>4.4408547443398625</v>
      </c>
      <c r="X392" s="650">
        <v>4.3054371002132195</v>
      </c>
      <c r="Y392" s="650">
        <v>5.0155228758169939</v>
      </c>
      <c r="Z392" s="650">
        <v>5.8417035942885276</v>
      </c>
      <c r="AA392" s="650">
        <v>4.4375842545160422</v>
      </c>
      <c r="AB392" s="650">
        <v>5.6089272127821452</v>
      </c>
      <c r="AC392" s="650">
        <v>4.4003211131924003</v>
      </c>
      <c r="AD392" s="650">
        <v>3.964296166227685</v>
      </c>
      <c r="AE392" s="650">
        <f>SUM(S392:AD392)</f>
        <v>55.676333439262685</v>
      </c>
      <c r="AF392" s="651">
        <f>AE392/12</f>
        <v>4.6396944532718907</v>
      </c>
      <c r="AG392" s="688"/>
      <c r="AH392" s="686">
        <v>5.0553816518179628</v>
      </c>
      <c r="AI392" s="650">
        <v>4.5932856356631815</v>
      </c>
      <c r="AJ392" s="650">
        <v>4.8979483080202506</v>
      </c>
      <c r="AK392" s="650">
        <v>4.825130890052356</v>
      </c>
      <c r="AL392" s="650">
        <v>5.1789203084832902</v>
      </c>
      <c r="AM392" s="650">
        <v>4.7973216585114606</v>
      </c>
      <c r="AN392" s="1053">
        <v>5.7654545454545456</v>
      </c>
      <c r="AO392" s="1053">
        <v>4.906439185470556</v>
      </c>
      <c r="AP392" s="650">
        <v>5.0886454183266929</v>
      </c>
      <c r="AQ392" s="650">
        <v>4.9000000000000004</v>
      </c>
      <c r="AR392" s="650">
        <v>5.0296882731321126</v>
      </c>
      <c r="AS392" s="650">
        <v>4.5220744680851066</v>
      </c>
      <c r="AT392" s="650">
        <f t="shared" si="457"/>
        <v>59.560290343017513</v>
      </c>
      <c r="AU392" s="651">
        <f t="shared" si="473"/>
        <v>4.9633575285847931</v>
      </c>
      <c r="AX392" s="686">
        <v>4.7542746828461118</v>
      </c>
      <c r="AY392" s="650">
        <v>5.9788311090658075</v>
      </c>
      <c r="AZ392" s="650">
        <v>4.7218008319060436</v>
      </c>
      <c r="BA392" s="650">
        <v>5.8718258766626361</v>
      </c>
      <c r="BB392" s="650">
        <v>8.0925638179800217</v>
      </c>
      <c r="BC392" s="650">
        <v>6.494732020155749</v>
      </c>
      <c r="BD392" s="1053">
        <v>7.5877051074647559</v>
      </c>
      <c r="BE392" s="1053">
        <v>5.7541211980496865</v>
      </c>
      <c r="BF392" s="650">
        <v>6.2360505166475315</v>
      </c>
      <c r="BG392" s="650">
        <v>6.2904661513234954</v>
      </c>
      <c r="BH392" s="650">
        <v>5.4125539051269769</v>
      </c>
      <c r="BI392" s="650">
        <v>5.7312440645773979</v>
      </c>
      <c r="BJ392" s="650">
        <f t="shared" si="471"/>
        <v>72.92616928180621</v>
      </c>
      <c r="BK392" s="651">
        <f t="shared" si="466"/>
        <v>6.0771807734838506</v>
      </c>
      <c r="BN392" s="322">
        <f t="shared" si="469"/>
        <v>1.2091695964922913</v>
      </c>
      <c r="BO392" s="322">
        <f t="shared" si="459"/>
        <v>1.1138232448990575</v>
      </c>
      <c r="BP392" s="322">
        <f t="shared" si="460"/>
        <v>13.365878938788697</v>
      </c>
      <c r="BQ392" s="322">
        <f t="shared" si="467"/>
        <v>0.31869015945042101</v>
      </c>
      <c r="BR392" s="2265">
        <f t="shared" si="461"/>
        <v>5.4125539051269769</v>
      </c>
      <c r="BS392" s="2265">
        <f t="shared" si="462"/>
        <v>5.7312440645773979</v>
      </c>
    </row>
    <row r="393" spans="1:71" hidden="1" x14ac:dyDescent="0.55000000000000004">
      <c r="A393" s="7531"/>
      <c r="B393" s="248"/>
      <c r="C393" s="12" t="s">
        <v>278</v>
      </c>
      <c r="D393" s="34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>
        <f>SUM(D393:O393)</f>
        <v>0</v>
      </c>
      <c r="Q393" s="346">
        <f t="shared" ref="Q393:Q408" si="477">P393/12</f>
        <v>0</v>
      </c>
      <c r="R393" s="370"/>
      <c r="S393" s="34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  <c r="AE393" s="295">
        <f>SUM(S393:AD393)</f>
        <v>0</v>
      </c>
      <c r="AF393" s="346">
        <f>AE393/12</f>
        <v>0</v>
      </c>
      <c r="AG393" s="370"/>
      <c r="AH393" s="345"/>
      <c r="AI393" s="295"/>
      <c r="AJ393" s="295"/>
      <c r="AK393" s="652"/>
      <c r="AL393" s="652"/>
      <c r="AM393" s="652"/>
      <c r="AN393" s="1054"/>
      <c r="AO393" s="1054"/>
      <c r="AP393" s="652"/>
      <c r="AQ393" s="652"/>
      <c r="AR393" s="652"/>
      <c r="AS393" s="652"/>
      <c r="AT393" s="652">
        <f t="shared" si="457"/>
        <v>0</v>
      </c>
      <c r="AU393" s="653">
        <f t="shared" si="473"/>
        <v>0</v>
      </c>
      <c r="AX393" s="687"/>
      <c r="AY393" s="295"/>
      <c r="AZ393" s="295"/>
      <c r="BA393" s="652"/>
      <c r="BB393" s="652"/>
      <c r="BC393" s="652"/>
      <c r="BD393" s="1054"/>
      <c r="BE393" s="1054"/>
      <c r="BF393" s="652"/>
      <c r="BG393" s="652"/>
      <c r="BH393" s="652"/>
      <c r="BI393" s="652"/>
      <c r="BJ393" s="652">
        <f t="shared" si="471"/>
        <v>0</v>
      </c>
      <c r="BK393" s="653" t="e">
        <f t="shared" si="466"/>
        <v>#DIV/0!</v>
      </c>
      <c r="BN393" s="322">
        <f t="shared" si="469"/>
        <v>0</v>
      </c>
      <c r="BO393" s="322" t="e">
        <f t="shared" si="459"/>
        <v>#DIV/0!</v>
      </c>
      <c r="BP393" s="322">
        <f t="shared" si="460"/>
        <v>0</v>
      </c>
      <c r="BQ393" s="322">
        <f t="shared" si="467"/>
        <v>0</v>
      </c>
      <c r="BR393" s="2265">
        <f t="shared" si="461"/>
        <v>0</v>
      </c>
      <c r="BS393" s="2265">
        <f t="shared" si="462"/>
        <v>0</v>
      </c>
    </row>
    <row r="394" spans="1:71" hidden="1" x14ac:dyDescent="0.55000000000000004">
      <c r="A394" s="7531"/>
      <c r="B394" s="248"/>
      <c r="C394" s="12" t="s">
        <v>277</v>
      </c>
      <c r="D394" s="34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>
        <f>SUM(D394:O394)</f>
        <v>0</v>
      </c>
      <c r="Q394" s="346">
        <f t="shared" si="477"/>
        <v>0</v>
      </c>
      <c r="R394" s="370"/>
      <c r="S394" s="34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  <c r="AE394" s="295">
        <f>SUM(S394:AD394)</f>
        <v>0</v>
      </c>
      <c r="AF394" s="346">
        <f>AE394/12</f>
        <v>0</v>
      </c>
      <c r="AG394" s="370"/>
      <c r="AH394" s="345"/>
      <c r="AI394" s="295"/>
      <c r="AJ394" s="295"/>
      <c r="AK394" s="652"/>
      <c r="AL394" s="652"/>
      <c r="AM394" s="652"/>
      <c r="AN394" s="1054"/>
      <c r="AO394" s="1054"/>
      <c r="AP394" s="652"/>
      <c r="AQ394" s="652"/>
      <c r="AR394" s="652"/>
      <c r="AS394" s="652"/>
      <c r="AT394" s="652">
        <f t="shared" si="457"/>
        <v>0</v>
      </c>
      <c r="AU394" s="653">
        <f t="shared" si="473"/>
        <v>0</v>
      </c>
      <c r="AX394" s="687"/>
      <c r="AY394" s="295"/>
      <c r="AZ394" s="295"/>
      <c r="BA394" s="652"/>
      <c r="BB394" s="652"/>
      <c r="BC394" s="652"/>
      <c r="BD394" s="1054"/>
      <c r="BE394" s="1054"/>
      <c r="BF394" s="652"/>
      <c r="BG394" s="652"/>
      <c r="BH394" s="652"/>
      <c r="BI394" s="652"/>
      <c r="BJ394" s="652">
        <f t="shared" si="471"/>
        <v>0</v>
      </c>
      <c r="BK394" s="653" t="e">
        <f t="shared" si="466"/>
        <v>#DIV/0!</v>
      </c>
      <c r="BN394" s="322">
        <f t="shared" si="469"/>
        <v>0</v>
      </c>
      <c r="BO394" s="322" t="e">
        <f t="shared" si="459"/>
        <v>#DIV/0!</v>
      </c>
      <c r="BP394" s="322">
        <f t="shared" si="460"/>
        <v>0</v>
      </c>
      <c r="BQ394" s="322">
        <f t="shared" si="467"/>
        <v>0</v>
      </c>
      <c r="BR394" s="2265">
        <f t="shared" si="461"/>
        <v>0</v>
      </c>
      <c r="BS394" s="2265">
        <f t="shared" si="462"/>
        <v>0</v>
      </c>
    </row>
    <row r="395" spans="1:71" hidden="1" x14ac:dyDescent="0.55000000000000004">
      <c r="A395" s="7531"/>
      <c r="B395" s="248"/>
      <c r="C395" s="12" t="s">
        <v>276</v>
      </c>
      <c r="D395" s="34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>
        <f>SUM(D395:O395)</f>
        <v>0</v>
      </c>
      <c r="Q395" s="346">
        <f t="shared" si="477"/>
        <v>0</v>
      </c>
      <c r="R395" s="370"/>
      <c r="S395" s="34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>
        <f>SUM(S395:AD395)</f>
        <v>0</v>
      </c>
      <c r="AF395" s="346">
        <f>AE395/12</f>
        <v>0</v>
      </c>
      <c r="AG395" s="370"/>
      <c r="AH395" s="345"/>
      <c r="AI395" s="295"/>
      <c r="AJ395" s="295"/>
      <c r="AK395" s="652"/>
      <c r="AL395" s="652"/>
      <c r="AM395" s="652"/>
      <c r="AN395" s="1054"/>
      <c r="AO395" s="1054"/>
      <c r="AP395" s="652"/>
      <c r="AQ395" s="652"/>
      <c r="AR395" s="652"/>
      <c r="AS395" s="652"/>
      <c r="AT395" s="652">
        <f t="shared" si="457"/>
        <v>0</v>
      </c>
      <c r="AU395" s="653">
        <f t="shared" si="473"/>
        <v>0</v>
      </c>
      <c r="AX395" s="687"/>
      <c r="AY395" s="295"/>
      <c r="AZ395" s="295"/>
      <c r="BA395" s="652"/>
      <c r="BB395" s="652"/>
      <c r="BC395" s="652"/>
      <c r="BD395" s="1054"/>
      <c r="BE395" s="1054"/>
      <c r="BF395" s="652"/>
      <c r="BG395" s="652"/>
      <c r="BH395" s="652"/>
      <c r="BI395" s="652"/>
      <c r="BJ395" s="652">
        <f t="shared" si="471"/>
        <v>0</v>
      </c>
      <c r="BK395" s="653" t="e">
        <f t="shared" si="466"/>
        <v>#DIV/0!</v>
      </c>
      <c r="BN395" s="322">
        <f t="shared" si="469"/>
        <v>0</v>
      </c>
      <c r="BO395" s="322" t="e">
        <f t="shared" si="459"/>
        <v>#DIV/0!</v>
      </c>
      <c r="BP395" s="322">
        <f t="shared" si="460"/>
        <v>0</v>
      </c>
      <c r="BQ395" s="322">
        <f t="shared" si="467"/>
        <v>0</v>
      </c>
      <c r="BR395" s="2265">
        <f t="shared" si="461"/>
        <v>0</v>
      </c>
      <c r="BS395" s="2265">
        <f t="shared" si="462"/>
        <v>0</v>
      </c>
    </row>
    <row r="396" spans="1:71" x14ac:dyDescent="0.55000000000000004">
      <c r="A396" s="7531"/>
      <c r="B396" s="249" t="s">
        <v>222</v>
      </c>
      <c r="C396" s="100"/>
      <c r="D396" s="627">
        <v>5.2455012853470437</v>
      </c>
      <c r="E396" s="628">
        <v>6.3795966785290625</v>
      </c>
      <c r="F396" s="628">
        <v>5.3388235294117647</v>
      </c>
      <c r="G396" s="628">
        <v>5.6972067039106147</v>
      </c>
      <c r="H396" s="628">
        <v>5.9208791208791212</v>
      </c>
      <c r="I396" s="628">
        <v>6.1529411764705886</v>
      </c>
      <c r="J396" s="628">
        <v>5.4636363636363638</v>
      </c>
      <c r="K396" s="628">
        <v>5.7334058759521218</v>
      </c>
      <c r="L396" s="628">
        <v>4.2322738386308068</v>
      </c>
      <c r="M396" s="628">
        <v>6.1780821917808222</v>
      </c>
      <c r="N396" s="628">
        <v>4.4793689320388346</v>
      </c>
      <c r="O396" s="628">
        <v>4.394459102902375</v>
      </c>
      <c r="P396" s="628">
        <f>SUM(D396:O396)</f>
        <v>65.216174799489522</v>
      </c>
      <c r="Q396" s="642">
        <f>P396/12</f>
        <v>5.4346812332907932</v>
      </c>
      <c r="R396" s="370"/>
      <c r="S396" s="627">
        <v>4.6219035202086047</v>
      </c>
      <c r="T396" s="628">
        <v>5.275485436893204</v>
      </c>
      <c r="U396" s="628">
        <v>4.2548015364916774</v>
      </c>
      <c r="V396" s="628">
        <v>4.6108179419525062</v>
      </c>
      <c r="W396" s="628">
        <v>4.5031766200762391</v>
      </c>
      <c r="X396" s="628">
        <v>4.547752808988764</v>
      </c>
      <c r="Y396" s="628">
        <v>5.2005571030640665</v>
      </c>
      <c r="Z396" s="628">
        <v>6.2171651495448632</v>
      </c>
      <c r="AA396" s="628">
        <v>4.4226361031518628</v>
      </c>
      <c r="AB396" s="628">
        <v>5.8735483870967746</v>
      </c>
      <c r="AC396" s="628">
        <v>4.7023460410557183</v>
      </c>
      <c r="AD396" s="628">
        <v>4.0379939209726441</v>
      </c>
      <c r="AE396" s="628">
        <f>SUM(S396:AD396)</f>
        <v>58.268184569496931</v>
      </c>
      <c r="AF396" s="642">
        <f>AE396/12</f>
        <v>4.8556820474580773</v>
      </c>
      <c r="AG396" s="370"/>
      <c r="AH396" s="627">
        <v>5.5658409387222942</v>
      </c>
      <c r="AI396" s="628">
        <v>4.6793313069908811</v>
      </c>
      <c r="AJ396" s="628">
        <v>5.120396600566572</v>
      </c>
      <c r="AK396" s="628">
        <v>4.9782016348773839</v>
      </c>
      <c r="AL396" s="628">
        <v>5.5488126649076515</v>
      </c>
      <c r="AM396" s="628">
        <v>4.94758064516129</v>
      </c>
      <c r="AN396" s="1055">
        <v>5.9356060606060606</v>
      </c>
      <c r="AO396" s="1055">
        <v>5.0731707317073171</v>
      </c>
      <c r="AP396" s="628">
        <v>4.9012500000000001</v>
      </c>
      <c r="AQ396" s="628">
        <v>4.9096612296110411</v>
      </c>
      <c r="AR396" s="628">
        <v>4.7204030226700251</v>
      </c>
      <c r="AS396" s="628">
        <v>3.9728629579375849</v>
      </c>
      <c r="AT396" s="628">
        <f t="shared" si="457"/>
        <v>60.353117793758095</v>
      </c>
      <c r="AU396" s="642">
        <f t="shared" si="473"/>
        <v>5.0294264828131743</v>
      </c>
      <c r="AX396" s="627">
        <v>4.185078909612626</v>
      </c>
      <c r="AY396" s="628">
        <v>5.5431952662721891</v>
      </c>
      <c r="AZ396" s="628">
        <v>4.420572916666667</v>
      </c>
      <c r="BA396" s="628">
        <v>5.2484076433121016</v>
      </c>
      <c r="BB396" s="628">
        <v>8.2183353437876967</v>
      </c>
      <c r="BC396" s="628">
        <v>5.8449612403100772</v>
      </c>
      <c r="BD396" s="1055">
        <v>6.6768665850673194</v>
      </c>
      <c r="BE396" s="1055">
        <v>5.1381909547738696</v>
      </c>
      <c r="BF396" s="628">
        <v>5.5533175355450233</v>
      </c>
      <c r="BG396" s="628">
        <v>5.3909774436090228</v>
      </c>
      <c r="BH396" s="628">
        <v>5.1215189873417719</v>
      </c>
      <c r="BI396" s="628">
        <v>5.5654320987654318</v>
      </c>
      <c r="BJ396" s="628">
        <f t="shared" si="471"/>
        <v>66.906854925063797</v>
      </c>
      <c r="BK396" s="642">
        <f t="shared" si="466"/>
        <v>5.5755712437553164</v>
      </c>
      <c r="BN396" s="322">
        <f t="shared" si="469"/>
        <v>1.5925691408278468</v>
      </c>
      <c r="BO396" s="322">
        <f t="shared" si="459"/>
        <v>0.54614476094214215</v>
      </c>
      <c r="BP396" s="322">
        <f t="shared" si="460"/>
        <v>6.5537371313057022</v>
      </c>
      <c r="BQ396" s="322">
        <f t="shared" si="467"/>
        <v>0.44391311142365986</v>
      </c>
      <c r="BR396" s="2265">
        <f t="shared" si="461"/>
        <v>5.1215189873417719</v>
      </c>
      <c r="BS396" s="2265">
        <f t="shared" si="462"/>
        <v>5.5654320987654318</v>
      </c>
    </row>
    <row r="397" spans="1:71" x14ac:dyDescent="0.55000000000000004">
      <c r="A397" s="7531"/>
      <c r="B397" s="250" t="s">
        <v>223</v>
      </c>
      <c r="C397" s="14"/>
      <c r="D397" s="629">
        <v>4.2484472049689437</v>
      </c>
      <c r="E397" s="568">
        <v>5.6704067321178124</v>
      </c>
      <c r="F397" s="568">
        <v>4.896142433234421</v>
      </c>
      <c r="G397" s="568">
        <v>5.7298507462686565</v>
      </c>
      <c r="H397" s="568">
        <v>5.5077574047954867</v>
      </c>
      <c r="I397" s="568">
        <v>5.1673944687045124</v>
      </c>
      <c r="J397" s="568">
        <v>4.9055118110236222</v>
      </c>
      <c r="K397" s="568">
        <v>6.2366771159874608</v>
      </c>
      <c r="L397" s="568">
        <v>4.291666666666667</v>
      </c>
      <c r="M397" s="568">
        <v>5.6365105008077547</v>
      </c>
      <c r="N397" s="568">
        <v>4.3233830845771148</v>
      </c>
      <c r="O397" s="568">
        <v>4.063380281690141</v>
      </c>
      <c r="P397" s="568">
        <f t="shared" ref="P397:P408" si="478">SUM(D397:O397)</f>
        <v>60.677128450842588</v>
      </c>
      <c r="Q397" s="643">
        <f t="shared" si="477"/>
        <v>5.056427370903549</v>
      </c>
      <c r="R397" s="370"/>
      <c r="S397" s="629">
        <v>4.3561643835616435</v>
      </c>
      <c r="T397" s="568">
        <v>4.5161787365177197</v>
      </c>
      <c r="U397" s="568">
        <v>3.0775075987841944</v>
      </c>
      <c r="V397" s="568">
        <v>3.3789868667917449</v>
      </c>
      <c r="W397" s="568">
        <v>4.0734126984126986</v>
      </c>
      <c r="X397" s="568">
        <v>3.9703557312252964</v>
      </c>
      <c r="Y397" s="568">
        <v>5.0155210643015522</v>
      </c>
      <c r="Z397" s="568">
        <v>5.8238636363636367</v>
      </c>
      <c r="AA397" s="568">
        <v>4.6710816777041941</v>
      </c>
      <c r="AB397" s="568">
        <v>5.843511450381679</v>
      </c>
      <c r="AC397" s="568">
        <v>4.1731123388581954</v>
      </c>
      <c r="AD397" s="568">
        <v>4.0452586206896548</v>
      </c>
      <c r="AE397" s="568">
        <f t="shared" ref="AE397:AE408" si="479">SUM(S397:AD397)</f>
        <v>52.944954803592211</v>
      </c>
      <c r="AF397" s="643">
        <f t="shared" ref="AF397:AF408" si="480">AE397/12</f>
        <v>4.4120795669660176</v>
      </c>
      <c r="AG397" s="370"/>
      <c r="AH397" s="629">
        <v>5.0018181818181819</v>
      </c>
      <c r="AI397" s="568">
        <v>4.3935091277890468</v>
      </c>
      <c r="AJ397" s="568">
        <v>5.1086065573770494</v>
      </c>
      <c r="AK397" s="568">
        <v>5.3461538461538458</v>
      </c>
      <c r="AL397" s="568">
        <v>5.7252525252525253</v>
      </c>
      <c r="AM397" s="568">
        <v>5.518987341772152</v>
      </c>
      <c r="AN397" s="1056">
        <v>6.7050209205020916</v>
      </c>
      <c r="AO397" s="1056">
        <v>5.8382978723404255</v>
      </c>
      <c r="AP397" s="568">
        <v>6.2406639004149378</v>
      </c>
      <c r="AQ397" s="568">
        <v>5.1412844036697249</v>
      </c>
      <c r="AR397" s="568">
        <v>5.19758064516129</v>
      </c>
      <c r="AS397" s="568">
        <v>5.0756880733944953</v>
      </c>
      <c r="AT397" s="568">
        <f t="shared" si="457"/>
        <v>65.292863395645753</v>
      </c>
      <c r="AU397" s="643">
        <f t="shared" si="473"/>
        <v>5.4410719496371458</v>
      </c>
      <c r="AX397" s="629">
        <v>4.8480392156862742</v>
      </c>
      <c r="AY397" s="568">
        <v>5.9647266313932983</v>
      </c>
      <c r="AZ397" s="568">
        <v>4.3032015065913374</v>
      </c>
      <c r="BA397" s="568">
        <v>5.627408993576017</v>
      </c>
      <c r="BB397" s="568">
        <v>8.4552238805970141</v>
      </c>
      <c r="BC397" s="568">
        <v>6.1763565891472867</v>
      </c>
      <c r="BD397" s="1056">
        <v>7.0772277227722773</v>
      </c>
      <c r="BE397" s="1056">
        <v>5.8864059590316575</v>
      </c>
      <c r="BF397" s="568">
        <v>6.4421641791044779</v>
      </c>
      <c r="BG397" s="568">
        <v>6.5862708719851577</v>
      </c>
      <c r="BH397" s="568">
        <v>6.1258992805755392</v>
      </c>
      <c r="BI397" s="568">
        <v>5.6119133574007218</v>
      </c>
      <c r="BJ397" s="568">
        <f t="shared" si="471"/>
        <v>73.104838187861063</v>
      </c>
      <c r="BK397" s="643">
        <f t="shared" si="466"/>
        <v>6.0920698489884222</v>
      </c>
      <c r="BN397" s="322">
        <f t="shared" si="469"/>
        <v>0.53622528400622649</v>
      </c>
      <c r="BO397" s="322">
        <f t="shared" si="459"/>
        <v>0.65099789935127639</v>
      </c>
      <c r="BP397" s="322">
        <f t="shared" si="460"/>
        <v>7.8119747922153095</v>
      </c>
      <c r="BQ397" s="322">
        <f t="shared" si="467"/>
        <v>-0.51398592317481739</v>
      </c>
      <c r="BR397" s="2265">
        <f t="shared" si="461"/>
        <v>6.1258992805755392</v>
      </c>
      <c r="BS397" s="2265">
        <f t="shared" si="462"/>
        <v>5.6119133574007218</v>
      </c>
    </row>
    <row r="398" spans="1:71" x14ac:dyDescent="0.55000000000000004">
      <c r="A398" s="7531"/>
      <c r="B398" s="250" t="s">
        <v>224</v>
      </c>
      <c r="C398" s="14"/>
      <c r="D398" s="629">
        <v>4.2149681528662422</v>
      </c>
      <c r="E398" s="568">
        <v>4.9219440353460975</v>
      </c>
      <c r="F398" s="568">
        <v>4.5919881305637986</v>
      </c>
      <c r="G398" s="568">
        <v>4.4230235783633844</v>
      </c>
      <c r="H398" s="568">
        <v>4.4233766233766234</v>
      </c>
      <c r="I398" s="568">
        <v>4.4799465240641707</v>
      </c>
      <c r="J398" s="568">
        <v>4.27536231884058</v>
      </c>
      <c r="K398" s="568">
        <v>5.1550591327201047</v>
      </c>
      <c r="L398" s="568">
        <v>3.7268588770864945</v>
      </c>
      <c r="M398" s="568">
        <v>4.8479776847977689</v>
      </c>
      <c r="N398" s="568">
        <v>3.5270270270270272</v>
      </c>
      <c r="O398" s="568">
        <v>3.6111111111111112</v>
      </c>
      <c r="P398" s="568">
        <f t="shared" si="478"/>
        <v>52.198643196163403</v>
      </c>
      <c r="Q398" s="643">
        <f t="shared" si="477"/>
        <v>4.3498869330136172</v>
      </c>
      <c r="R398" s="370"/>
      <c r="S398" s="629">
        <v>3.3771676300578033</v>
      </c>
      <c r="T398" s="568">
        <v>3.8835098335854767</v>
      </c>
      <c r="U398" s="568">
        <v>3.1556473829201104</v>
      </c>
      <c r="V398" s="568">
        <v>3.3867924528301887</v>
      </c>
      <c r="W398" s="568">
        <v>3.6472491909385112</v>
      </c>
      <c r="X398" s="568">
        <v>3.5530821917808217</v>
      </c>
      <c r="Y398" s="568">
        <v>4.5711805555555554</v>
      </c>
      <c r="Z398" s="568">
        <v>4.7484567901234565</v>
      </c>
      <c r="AA398" s="568">
        <v>3.4536256323777401</v>
      </c>
      <c r="AB398" s="568">
        <v>4.4224270353302613</v>
      </c>
      <c r="AC398" s="568">
        <v>3.5531197301854975</v>
      </c>
      <c r="AD398" s="568">
        <v>3.2559414990859232</v>
      </c>
      <c r="AE398" s="568">
        <f t="shared" si="479"/>
        <v>45.008199924771347</v>
      </c>
      <c r="AF398" s="643">
        <f t="shared" si="480"/>
        <v>3.7506833270642788</v>
      </c>
      <c r="AG398" s="370"/>
      <c r="AH398" s="629">
        <v>3.0012300123001232</v>
      </c>
      <c r="AI398" s="568">
        <v>4.116190476190476</v>
      </c>
      <c r="AJ398" s="568">
        <v>4.1985294117647056</v>
      </c>
      <c r="AK398" s="568">
        <v>4.1247803163444638</v>
      </c>
      <c r="AL398" s="568">
        <v>4.7745098039215685</v>
      </c>
      <c r="AM398" s="568">
        <v>4.6241935483870966</v>
      </c>
      <c r="AN398" s="1056">
        <v>5.7269624573378843</v>
      </c>
      <c r="AO398" s="1056">
        <v>4.7160714285714285</v>
      </c>
      <c r="AP398" s="568">
        <v>4.1890625000000004</v>
      </c>
      <c r="AQ398" s="568">
        <v>4.4585289514866977</v>
      </c>
      <c r="AR398" s="568">
        <v>4.252991452991453</v>
      </c>
      <c r="AS398" s="568">
        <v>3.9257142857142857</v>
      </c>
      <c r="AT398" s="568">
        <f t="shared" si="457"/>
        <v>52.108764645010183</v>
      </c>
      <c r="AU398" s="643">
        <f t="shared" si="473"/>
        <v>4.3423970537508483</v>
      </c>
      <c r="AX398" s="629">
        <v>4.0998080614203456</v>
      </c>
      <c r="AY398" s="568">
        <v>4.9939759036144578</v>
      </c>
      <c r="AZ398" s="568">
        <v>4.6050420168067223</v>
      </c>
      <c r="BA398" s="568">
        <v>5.12</v>
      </c>
      <c r="BB398" s="568">
        <v>7.2280178837555891</v>
      </c>
      <c r="BC398" s="568">
        <v>5.519047619047619</v>
      </c>
      <c r="BD398" s="1056">
        <v>6.6512738853503182</v>
      </c>
      <c r="BE398" s="1056">
        <v>5.1619937694704046</v>
      </c>
      <c r="BF398" s="568">
        <v>5.8701298701298699</v>
      </c>
      <c r="BG398" s="568">
        <v>6.305743243243243</v>
      </c>
      <c r="BH398" s="568">
        <v>4.9625850340136051</v>
      </c>
      <c r="BI398" s="568">
        <v>5.7757774140752867</v>
      </c>
      <c r="BJ398" s="568">
        <f t="shared" si="471"/>
        <v>66.293394700927465</v>
      </c>
      <c r="BK398" s="643">
        <f t="shared" si="466"/>
        <v>5.5244495584106224</v>
      </c>
      <c r="BN398" s="322">
        <f t="shared" si="469"/>
        <v>1.850063128361001</v>
      </c>
      <c r="BO398" s="322">
        <f t="shared" si="459"/>
        <v>1.1820525046597741</v>
      </c>
      <c r="BP398" s="322">
        <f t="shared" si="460"/>
        <v>14.184630055917282</v>
      </c>
      <c r="BQ398" s="322">
        <f t="shared" si="467"/>
        <v>0.8131923800616816</v>
      </c>
      <c r="BR398" s="2265">
        <f t="shared" si="461"/>
        <v>4.9625850340136051</v>
      </c>
      <c r="BS398" s="2265">
        <f t="shared" si="462"/>
        <v>5.7757774140752867</v>
      </c>
    </row>
    <row r="399" spans="1:71" x14ac:dyDescent="0.55000000000000004">
      <c r="A399" s="7531"/>
      <c r="B399" s="250" t="s">
        <v>225</v>
      </c>
      <c r="C399" s="14"/>
      <c r="D399" s="629">
        <v>6.0071942446043165</v>
      </c>
      <c r="E399" s="568">
        <v>7.293293293293293</v>
      </c>
      <c r="F399" s="568">
        <v>6.0226039783001806</v>
      </c>
      <c r="G399" s="568">
        <v>6.13568281938326</v>
      </c>
      <c r="H399" s="568">
        <v>6.3500897666068221</v>
      </c>
      <c r="I399" s="568">
        <v>5.3456678700361007</v>
      </c>
      <c r="J399" s="568">
        <v>5.1992850759606792</v>
      </c>
      <c r="K399" s="568">
        <v>5.653776978417266</v>
      </c>
      <c r="L399" s="568">
        <v>4.416666666666667</v>
      </c>
      <c r="M399" s="568">
        <v>5.623580786026201</v>
      </c>
      <c r="N399" s="568">
        <v>4.1525735294117645</v>
      </c>
      <c r="O399" s="568">
        <v>4.0144605116796441</v>
      </c>
      <c r="P399" s="568">
        <f t="shared" si="478"/>
        <v>66.214875520386201</v>
      </c>
      <c r="Q399" s="643">
        <f t="shared" si="477"/>
        <v>5.5179062933655167</v>
      </c>
      <c r="R399" s="370"/>
      <c r="S399" s="629">
        <v>4.5503634475597092</v>
      </c>
      <c r="T399" s="568">
        <v>5.2808022922636102</v>
      </c>
      <c r="U399" s="568">
        <v>4.4499504459861248</v>
      </c>
      <c r="V399" s="568">
        <v>4.4572271386430682</v>
      </c>
      <c r="W399" s="568">
        <v>4.7070193285859609</v>
      </c>
      <c r="X399" s="568">
        <v>4.4375</v>
      </c>
      <c r="Y399" s="568">
        <v>4.7887029288702925</v>
      </c>
      <c r="Z399" s="568">
        <v>5.7712665406427224</v>
      </c>
      <c r="AA399" s="568">
        <v>4.2189922480620154</v>
      </c>
      <c r="AB399" s="568">
        <v>5.5480392156862743</v>
      </c>
      <c r="AC399" s="568">
        <v>4.3606060606060604</v>
      </c>
      <c r="AD399" s="568">
        <v>3.7402885682574918</v>
      </c>
      <c r="AE399" s="568">
        <f t="shared" si="479"/>
        <v>56.310758215163325</v>
      </c>
      <c r="AF399" s="643">
        <f t="shared" si="480"/>
        <v>4.6925631845969438</v>
      </c>
      <c r="AG399" s="370"/>
      <c r="AH399" s="629">
        <v>5.4912109375</v>
      </c>
      <c r="AI399" s="568">
        <v>4.5</v>
      </c>
      <c r="AJ399" s="568">
        <v>4.7015655577299409</v>
      </c>
      <c r="AK399" s="568">
        <v>4.7575169738118328</v>
      </c>
      <c r="AL399" s="568">
        <v>4.8138195777351251</v>
      </c>
      <c r="AM399" s="568">
        <v>4.4000000000000004</v>
      </c>
      <c r="AN399" s="1056">
        <v>5.1818181818181817</v>
      </c>
      <c r="AO399" s="1056">
        <v>4.5631578947368423</v>
      </c>
      <c r="AP399" s="568">
        <v>4.9589790337283501</v>
      </c>
      <c r="AQ399" s="568">
        <v>4.9005628517823636</v>
      </c>
      <c r="AR399" s="568">
        <v>5.21057268722467</v>
      </c>
      <c r="AS399" s="568">
        <v>4.7753222836095768</v>
      </c>
      <c r="AT399" s="568">
        <f t="shared" si="457"/>
        <v>58.25452597967687</v>
      </c>
      <c r="AU399" s="643">
        <f t="shared" si="473"/>
        <v>4.8545438316397389</v>
      </c>
      <c r="AX399" s="629">
        <v>5.0073461891643714</v>
      </c>
      <c r="AY399" s="568">
        <v>6.602439024390244</v>
      </c>
      <c r="AZ399" s="568">
        <v>4.8728033472803345</v>
      </c>
      <c r="BA399" s="568">
        <v>6.5625</v>
      </c>
      <c r="BB399" s="568">
        <v>8.4670014347202294</v>
      </c>
      <c r="BC399" s="568">
        <v>7.3804425410421128</v>
      </c>
      <c r="BD399" s="1056">
        <v>8.3009495982468948</v>
      </c>
      <c r="BE399" s="1056">
        <v>6.53125</v>
      </c>
      <c r="BF399" s="568">
        <v>6.6479400749063666</v>
      </c>
      <c r="BG399" s="568">
        <v>7.1584158415841586</v>
      </c>
      <c r="BH399" s="568">
        <v>5.7794117647058822</v>
      </c>
      <c r="BI399" s="568">
        <v>6.2198581560283692</v>
      </c>
      <c r="BJ399" s="568">
        <f t="shared" si="471"/>
        <v>79.530357972068956</v>
      </c>
      <c r="BK399" s="643">
        <f t="shared" si="466"/>
        <v>6.627529831005746</v>
      </c>
      <c r="BN399" s="322">
        <f t="shared" si="469"/>
        <v>1.4445358724187924</v>
      </c>
      <c r="BO399" s="322">
        <f t="shared" si="459"/>
        <v>1.7729859993660071</v>
      </c>
      <c r="BP399" s="322">
        <f t="shared" si="460"/>
        <v>21.275831992392085</v>
      </c>
      <c r="BQ399" s="322">
        <f t="shared" si="467"/>
        <v>0.44044639132248697</v>
      </c>
      <c r="BR399" s="2265">
        <f t="shared" si="461"/>
        <v>5.7794117647058822</v>
      </c>
      <c r="BS399" s="2265">
        <f t="shared" si="462"/>
        <v>6.2198581560283692</v>
      </c>
    </row>
    <row r="400" spans="1:71" x14ac:dyDescent="0.55000000000000004">
      <c r="A400" s="7531"/>
      <c r="B400" s="251" t="s">
        <v>226</v>
      </c>
      <c r="C400" s="103"/>
      <c r="D400" s="630">
        <v>6.3870129870129873</v>
      </c>
      <c r="E400" s="631">
        <v>6.8130511463844794</v>
      </c>
      <c r="F400" s="631">
        <v>5.7457912457912457</v>
      </c>
      <c r="G400" s="631">
        <v>5.9796091758708583</v>
      </c>
      <c r="H400" s="631">
        <v>6.1130081300813011</v>
      </c>
      <c r="I400" s="631">
        <v>5.6211232187761944</v>
      </c>
      <c r="J400" s="631">
        <v>5.3369839932603202</v>
      </c>
      <c r="K400" s="631">
        <v>6.2201257861635222</v>
      </c>
      <c r="L400" s="631">
        <v>4.6069094304388418</v>
      </c>
      <c r="M400" s="631">
        <v>6.3843478260869562</v>
      </c>
      <c r="N400" s="631">
        <v>4.8418230563002682</v>
      </c>
      <c r="O400" s="631">
        <v>4.5294117647058822</v>
      </c>
      <c r="P400" s="631">
        <f t="shared" si="478"/>
        <v>68.579197760872859</v>
      </c>
      <c r="Q400" s="644">
        <f t="shared" si="477"/>
        <v>5.7149331467394049</v>
      </c>
      <c r="R400" s="370"/>
      <c r="S400" s="630">
        <v>4.781059947871416</v>
      </c>
      <c r="T400" s="631">
        <v>5.4291808873720138</v>
      </c>
      <c r="U400" s="631">
        <v>4.6268788682581787</v>
      </c>
      <c r="V400" s="631">
        <v>4.6587807097361233</v>
      </c>
      <c r="W400" s="631">
        <v>4.7921077959576515</v>
      </c>
      <c r="X400" s="631">
        <v>4.6153081510934397</v>
      </c>
      <c r="Y400" s="631">
        <v>5.3656024716786819</v>
      </c>
      <c r="Z400" s="631">
        <v>6.3172804532577906</v>
      </c>
      <c r="AA400" s="631">
        <v>5.202572347266881</v>
      </c>
      <c r="AB400" s="631">
        <v>6.1294964028776979</v>
      </c>
      <c r="AC400" s="631">
        <v>4.8945102260495155</v>
      </c>
      <c r="AD400" s="631">
        <v>4.5584415584415581</v>
      </c>
      <c r="AE400" s="631">
        <f t="shared" si="479"/>
        <v>61.37121981986094</v>
      </c>
      <c r="AF400" s="644">
        <f t="shared" si="480"/>
        <v>5.114268318321745</v>
      </c>
      <c r="AG400" s="370"/>
      <c r="AH400" s="630">
        <v>5.9179179179179178</v>
      </c>
      <c r="AI400" s="631">
        <v>4.9927385892116183</v>
      </c>
      <c r="AJ400" s="631">
        <v>5.2215508559919437</v>
      </c>
      <c r="AK400" s="631">
        <v>4.9351669941060905</v>
      </c>
      <c r="AL400" s="631">
        <v>5.2573753814852493</v>
      </c>
      <c r="AM400" s="631">
        <v>4.8568627450980388</v>
      </c>
      <c r="AN400" s="1057">
        <v>5.8022657054582902</v>
      </c>
      <c r="AO400" s="1057">
        <v>4.7519999999999998</v>
      </c>
      <c r="AP400" s="631">
        <v>5.4022066198595784</v>
      </c>
      <c r="AQ400" s="631">
        <v>5.076171875</v>
      </c>
      <c r="AR400" s="631">
        <v>5.4282945736434112</v>
      </c>
      <c r="AS400" s="631">
        <v>4.7284836065573774</v>
      </c>
      <c r="AT400" s="631">
        <f t="shared" si="457"/>
        <v>62.371034864329516</v>
      </c>
      <c r="AU400" s="644">
        <f t="shared" si="473"/>
        <v>5.1975862386941261</v>
      </c>
      <c r="AX400" s="630">
        <v>5.2195389681668498</v>
      </c>
      <c r="AY400" s="631">
        <v>6.2317307692307695</v>
      </c>
      <c r="AZ400" s="631">
        <v>5.065130260521042</v>
      </c>
      <c r="BA400" s="631">
        <v>6.0500490677134442</v>
      </c>
      <c r="BB400" s="631">
        <v>7.8688372093023258</v>
      </c>
      <c r="BC400" s="631">
        <v>6.5339712918660284</v>
      </c>
      <c r="BD400" s="1057">
        <v>8.1964285714285712</v>
      </c>
      <c r="BE400" s="1057">
        <v>5.5382352941176469</v>
      </c>
      <c r="BF400" s="631">
        <v>6.3740234375</v>
      </c>
      <c r="BG400" s="631">
        <v>5.7156767283349561</v>
      </c>
      <c r="BH400" s="631">
        <v>5.0669291338582676</v>
      </c>
      <c r="BI400" s="631">
        <v>5.2696280991735538</v>
      </c>
      <c r="BJ400" s="631">
        <f t="shared" si="471"/>
        <v>73.13017883121347</v>
      </c>
      <c r="BK400" s="644">
        <f t="shared" si="466"/>
        <v>6.0941815692677892</v>
      </c>
      <c r="BN400" s="322">
        <f t="shared" si="469"/>
        <v>0.54114449261617636</v>
      </c>
      <c r="BO400" s="322">
        <f t="shared" si="459"/>
        <v>0.89659533057366314</v>
      </c>
      <c r="BP400" s="322">
        <f t="shared" si="460"/>
        <v>10.759143966883954</v>
      </c>
      <c r="BQ400" s="322">
        <f t="shared" si="467"/>
        <v>0.20269896531528619</v>
      </c>
      <c r="BR400" s="2265">
        <f t="shared" si="461"/>
        <v>5.0669291338582676</v>
      </c>
      <c r="BS400" s="2265">
        <f t="shared" si="462"/>
        <v>5.2696280991735538</v>
      </c>
    </row>
    <row r="401" spans="1:71" s="172" customFormat="1" x14ac:dyDescent="0.55000000000000004">
      <c r="A401" s="7531"/>
      <c r="B401" s="252"/>
      <c r="C401" s="180" t="s">
        <v>242</v>
      </c>
      <c r="D401" s="632">
        <v>4.7643784786641925</v>
      </c>
      <c r="E401" s="633">
        <v>5.8330550918196993</v>
      </c>
      <c r="F401" s="633">
        <v>4.8618421052631575</v>
      </c>
      <c r="G401" s="633">
        <v>5.3359872611464967</v>
      </c>
      <c r="H401" s="633">
        <v>5.458333333333333</v>
      </c>
      <c r="I401" s="633">
        <v>5.6912650602409638</v>
      </c>
      <c r="J401" s="633">
        <v>5.1792452830188678</v>
      </c>
      <c r="K401" s="633">
        <v>5.4228486646884271</v>
      </c>
      <c r="L401" s="633">
        <v>4.115059221658206</v>
      </c>
      <c r="M401" s="633">
        <v>5.8818040435458787</v>
      </c>
      <c r="N401" s="633">
        <v>4.1203252032520323</v>
      </c>
      <c r="O401" s="633">
        <v>4.2895204262877442</v>
      </c>
      <c r="P401" s="633">
        <f t="shared" si="478"/>
        <v>60.953664172918991</v>
      </c>
      <c r="Q401" s="645">
        <f t="shared" si="477"/>
        <v>5.0794720144099159</v>
      </c>
      <c r="R401" s="372"/>
      <c r="S401" s="632">
        <v>4.4063047285464094</v>
      </c>
      <c r="T401" s="633">
        <v>5.0523731587561374</v>
      </c>
      <c r="U401" s="633">
        <v>4.0631578947368423</v>
      </c>
      <c r="V401" s="633">
        <v>4.5526802218114604</v>
      </c>
      <c r="W401" s="633">
        <v>4.4083769633507854</v>
      </c>
      <c r="X401" s="633">
        <v>4.4656188605108058</v>
      </c>
      <c r="Y401" s="633">
        <v>5.1417475728155342</v>
      </c>
      <c r="Z401" s="633">
        <v>6.0548446069469835</v>
      </c>
      <c r="AA401" s="633">
        <v>4.3027888446215137</v>
      </c>
      <c r="AB401" s="633">
        <v>5.6594594594594598</v>
      </c>
      <c r="AC401" s="633">
        <v>4.6563146997929605</v>
      </c>
      <c r="AD401" s="633">
        <v>3.9282608695652175</v>
      </c>
      <c r="AE401" s="633">
        <f t="shared" si="479"/>
        <v>56.691927880914108</v>
      </c>
      <c r="AF401" s="645">
        <f t="shared" si="480"/>
        <v>4.7243273234095087</v>
      </c>
      <c r="AG401" s="372"/>
      <c r="AH401" s="632">
        <v>5.518796992481203</v>
      </c>
      <c r="AI401" s="633">
        <v>4.4904051172707886</v>
      </c>
      <c r="AJ401" s="633">
        <v>5.0465116279069768</v>
      </c>
      <c r="AK401" s="633">
        <v>4.7523629489603021</v>
      </c>
      <c r="AL401" s="633">
        <v>5.4244080145719487</v>
      </c>
      <c r="AM401" s="633">
        <v>4.8905660377358489</v>
      </c>
      <c r="AN401" s="1058">
        <v>5.7031802120141339</v>
      </c>
      <c r="AO401" s="1058">
        <v>4.9765765765765764</v>
      </c>
      <c r="AP401" s="633">
        <v>4.7392055267702933</v>
      </c>
      <c r="AQ401" s="633">
        <v>4.9015544041450774</v>
      </c>
      <c r="AR401" s="633">
        <v>4.8152753108348136</v>
      </c>
      <c r="AS401" s="633">
        <v>3.8205607476635515</v>
      </c>
      <c r="AT401" s="633">
        <f t="shared" si="457"/>
        <v>59.079403516931514</v>
      </c>
      <c r="AU401" s="645">
        <f t="shared" si="473"/>
        <v>4.9232836264109592</v>
      </c>
      <c r="AX401" s="632">
        <v>4.1729622266401591</v>
      </c>
      <c r="AY401" s="633">
        <v>5.472545757071547</v>
      </c>
      <c r="AZ401" s="633">
        <v>4.2440801457194901</v>
      </c>
      <c r="BA401" s="633">
        <v>5.1852517985611515</v>
      </c>
      <c r="BB401" s="633">
        <v>7.9422750424448214</v>
      </c>
      <c r="BC401" s="633">
        <v>5.5848375451263541</v>
      </c>
      <c r="BD401" s="1058">
        <v>6.6768665850673194</v>
      </c>
      <c r="BE401" s="1058">
        <v>5.1381909547738696</v>
      </c>
      <c r="BF401" s="633">
        <v>5.5533175355450233</v>
      </c>
      <c r="BG401" s="633">
        <v>5.3909774436090228</v>
      </c>
      <c r="BH401" s="633">
        <v>5.1215189873417719</v>
      </c>
      <c r="BI401" s="633">
        <v>5.5654320987654318</v>
      </c>
      <c r="BJ401" s="633">
        <f t="shared" si="471"/>
        <v>66.048256120665968</v>
      </c>
      <c r="BK401" s="645">
        <f t="shared" si="466"/>
        <v>5.504021343388831</v>
      </c>
      <c r="BN401" s="322">
        <f t="shared" si="469"/>
        <v>1.7448713511018803</v>
      </c>
      <c r="BO401" s="322">
        <f t="shared" si="459"/>
        <v>0.5807377169778718</v>
      </c>
      <c r="BP401" s="322">
        <f t="shared" si="460"/>
        <v>6.9688526037344545</v>
      </c>
      <c r="BQ401" s="322">
        <f t="shared" si="467"/>
        <v>0.44391311142365986</v>
      </c>
      <c r="BR401" s="2265">
        <f t="shared" si="461"/>
        <v>5.1215189873417719</v>
      </c>
      <c r="BS401" s="2265">
        <f t="shared" si="462"/>
        <v>5.5654320987654318</v>
      </c>
    </row>
    <row r="402" spans="1:71" s="172" customFormat="1" x14ac:dyDescent="0.55000000000000004">
      <c r="A402" s="7531"/>
      <c r="B402" s="253"/>
      <c r="C402" s="181" t="s">
        <v>243</v>
      </c>
      <c r="D402" s="634">
        <v>6.3305439330543933</v>
      </c>
      <c r="E402" s="635">
        <v>7.721311475409836</v>
      </c>
      <c r="F402" s="635">
        <v>6.5371900826446279</v>
      </c>
      <c r="G402" s="635">
        <v>6.5468164794007491</v>
      </c>
      <c r="H402" s="635">
        <v>7.0648854961832059</v>
      </c>
      <c r="I402" s="635">
        <v>7.2841328413284137</v>
      </c>
      <c r="J402" s="635">
        <v>6.2049180327868854</v>
      </c>
      <c r="K402" s="635">
        <v>6.5877551020408163</v>
      </c>
      <c r="L402" s="635">
        <v>4.537444933920705</v>
      </c>
      <c r="M402" s="635">
        <v>6.9957081545064375</v>
      </c>
      <c r="N402" s="635">
        <v>5.535885167464115</v>
      </c>
      <c r="O402" s="635">
        <v>4.6974358974358976</v>
      </c>
      <c r="P402" s="635">
        <f t="shared" si="478"/>
        <v>76.044027596176079</v>
      </c>
      <c r="Q402" s="646">
        <f t="shared" si="477"/>
        <v>6.3370022996813402</v>
      </c>
      <c r="R402" s="372"/>
      <c r="S402" s="634">
        <v>5.25</v>
      </c>
      <c r="T402" s="635">
        <v>5.915492957746479</v>
      </c>
      <c r="U402" s="635">
        <v>4.7725118483412325</v>
      </c>
      <c r="V402" s="635">
        <v>4.7557603686635943</v>
      </c>
      <c r="W402" s="635">
        <v>4.7570093457943923</v>
      </c>
      <c r="X402" s="635">
        <v>4.7536945812807883</v>
      </c>
      <c r="Y402" s="635">
        <v>5.3497536945812811</v>
      </c>
      <c r="Z402" s="635">
        <v>6.6171171171171173</v>
      </c>
      <c r="AA402" s="635">
        <v>4.7295918367346941</v>
      </c>
      <c r="AB402" s="635">
        <v>6.413636363636364</v>
      </c>
      <c r="AC402" s="635">
        <v>4.8140703517587937</v>
      </c>
      <c r="AD402" s="635">
        <v>4.2929292929292933</v>
      </c>
      <c r="AE402" s="635">
        <f t="shared" si="479"/>
        <v>62.421567758584033</v>
      </c>
      <c r="AF402" s="646">
        <f t="shared" si="480"/>
        <v>5.2017973132153363</v>
      </c>
      <c r="AG402" s="372"/>
      <c r="AH402" s="634">
        <v>5.6723404255319148</v>
      </c>
      <c r="AI402" s="635">
        <v>5.1481481481481479</v>
      </c>
      <c r="AJ402" s="635">
        <v>5.3210526315789473</v>
      </c>
      <c r="AK402" s="635">
        <v>5.5609756097560972</v>
      </c>
      <c r="AL402" s="635">
        <v>5.8755980861244019</v>
      </c>
      <c r="AM402" s="635">
        <v>5.0887850467289724</v>
      </c>
      <c r="AN402" s="1059">
        <v>6.5176991150442474</v>
      </c>
      <c r="AO402" s="1059">
        <v>5.3125</v>
      </c>
      <c r="AP402" s="635">
        <v>5.3257918552036196</v>
      </c>
      <c r="AQ402" s="635">
        <v>4.931192660550459</v>
      </c>
      <c r="AR402" s="635">
        <v>4.4891774891774894</v>
      </c>
      <c r="AS402" s="635">
        <v>4.3762376237623766</v>
      </c>
      <c r="AT402" s="635">
        <f t="shared" si="457"/>
        <v>63.61949869160668</v>
      </c>
      <c r="AU402" s="646">
        <f t="shared" si="473"/>
        <v>5.301624890967223</v>
      </c>
      <c r="AX402" s="634">
        <v>4.2164948453608249</v>
      </c>
      <c r="AY402" s="635">
        <v>5.7172131147540988</v>
      </c>
      <c r="AZ402" s="635">
        <v>4.8630136986301373</v>
      </c>
      <c r="BA402" s="635">
        <v>5.4017467248908293</v>
      </c>
      <c r="BB402" s="635">
        <v>8.8958333333333339</v>
      </c>
      <c r="BC402" s="635">
        <v>6.5</v>
      </c>
      <c r="BD402" s="2353">
        <v>0</v>
      </c>
      <c r="BE402" s="2353">
        <v>0</v>
      </c>
      <c r="BF402" s="2353">
        <v>0</v>
      </c>
      <c r="BG402" s="2353" t="s">
        <v>482</v>
      </c>
      <c r="BH402" s="2353">
        <v>0</v>
      </c>
      <c r="BI402" s="2353">
        <v>0</v>
      </c>
      <c r="BJ402" s="635">
        <f t="shared" si="471"/>
        <v>35.594301716969227</v>
      </c>
      <c r="BK402" s="646">
        <f t="shared" si="466"/>
        <v>3.2358456106335662</v>
      </c>
      <c r="BN402" s="322">
        <f t="shared" si="469"/>
        <v>-4.3762376237623766</v>
      </c>
      <c r="BO402" s="322">
        <f t="shared" si="459"/>
        <v>-2.0657792803336568</v>
      </c>
      <c r="BP402" s="322">
        <f t="shared" si="460"/>
        <v>-28.025196974637453</v>
      </c>
      <c r="BQ402" s="322">
        <f t="shared" si="467"/>
        <v>0</v>
      </c>
      <c r="BR402" s="2265">
        <f t="shared" si="461"/>
        <v>0</v>
      </c>
      <c r="BS402" s="2265">
        <f t="shared" si="462"/>
        <v>0</v>
      </c>
    </row>
    <row r="403" spans="1:71" s="172" customFormat="1" x14ac:dyDescent="0.55000000000000004">
      <c r="A403" s="7531"/>
      <c r="B403" s="253"/>
      <c r="C403" s="173" t="s">
        <v>244</v>
      </c>
      <c r="D403" s="636">
        <v>4.2484472049689437</v>
      </c>
      <c r="E403" s="637">
        <v>5.6704067321178124</v>
      </c>
      <c r="F403" s="637">
        <v>4.896142433234421</v>
      </c>
      <c r="G403" s="637">
        <v>5.7298507462686565</v>
      </c>
      <c r="H403" s="637">
        <v>5.5077574047954867</v>
      </c>
      <c r="I403" s="637">
        <v>5.1673944687045124</v>
      </c>
      <c r="J403" s="637">
        <v>4.9055118110236222</v>
      </c>
      <c r="K403" s="637">
        <v>6.2366771159874608</v>
      </c>
      <c r="L403" s="637">
        <v>4.291666666666667</v>
      </c>
      <c r="M403" s="637">
        <v>5.6365105008077547</v>
      </c>
      <c r="N403" s="637">
        <v>4.3233830845771148</v>
      </c>
      <c r="O403" s="637">
        <v>4.063380281690141</v>
      </c>
      <c r="P403" s="637">
        <f t="shared" si="478"/>
        <v>60.677128450842588</v>
      </c>
      <c r="Q403" s="647">
        <f t="shared" si="477"/>
        <v>5.056427370903549</v>
      </c>
      <c r="R403" s="372"/>
      <c r="S403" s="636">
        <v>4.3561643835616435</v>
      </c>
      <c r="T403" s="637">
        <v>4.5161787365177197</v>
      </c>
      <c r="U403" s="637">
        <v>3.0775075987841944</v>
      </c>
      <c r="V403" s="637">
        <v>3.3789868667917449</v>
      </c>
      <c r="W403" s="637">
        <v>4.0734126984126986</v>
      </c>
      <c r="X403" s="637">
        <v>3.9703557312252964</v>
      </c>
      <c r="Y403" s="637">
        <v>5.0155210643015522</v>
      </c>
      <c r="Z403" s="637">
        <v>5.8238636363636367</v>
      </c>
      <c r="AA403" s="637">
        <v>4.6710816777041941</v>
      </c>
      <c r="AB403" s="637">
        <v>5.843511450381679</v>
      </c>
      <c r="AC403" s="637">
        <v>4.1731123388581954</v>
      </c>
      <c r="AD403" s="637">
        <v>4.0452586206896548</v>
      </c>
      <c r="AE403" s="637">
        <f t="shared" si="479"/>
        <v>52.944954803592211</v>
      </c>
      <c r="AF403" s="647">
        <f t="shared" si="480"/>
        <v>4.4120795669660176</v>
      </c>
      <c r="AG403" s="372"/>
      <c r="AH403" s="636">
        <v>5.0018181818181819</v>
      </c>
      <c r="AI403" s="637">
        <v>4.3935091277890468</v>
      </c>
      <c r="AJ403" s="637">
        <v>5.1086065573770494</v>
      </c>
      <c r="AK403" s="637">
        <v>5.3461538461538458</v>
      </c>
      <c r="AL403" s="637">
        <v>5.7252525252525253</v>
      </c>
      <c r="AM403" s="637">
        <v>5.518987341772152</v>
      </c>
      <c r="AN403" s="1060">
        <v>6.7050209205020916</v>
      </c>
      <c r="AO403" s="1060">
        <v>5.8382978723404255</v>
      </c>
      <c r="AP403" s="637">
        <v>6.2406639004149378</v>
      </c>
      <c r="AQ403" s="637">
        <v>5.1412844036697249</v>
      </c>
      <c r="AR403" s="637">
        <v>5.19758064516129</v>
      </c>
      <c r="AS403" s="637">
        <v>5.0756880733944953</v>
      </c>
      <c r="AT403" s="637">
        <f t="shared" si="457"/>
        <v>65.292863395645753</v>
      </c>
      <c r="AU403" s="647">
        <f t="shared" si="473"/>
        <v>5.4410719496371458</v>
      </c>
      <c r="AX403" s="636">
        <v>4.8480392156862742</v>
      </c>
      <c r="AY403" s="637">
        <v>5.9647266313932983</v>
      </c>
      <c r="AZ403" s="637">
        <v>4.3032015065913374</v>
      </c>
      <c r="BA403" s="637">
        <v>5.627408993576017</v>
      </c>
      <c r="BB403" s="637">
        <v>8.4552238805970141</v>
      </c>
      <c r="BC403" s="637">
        <v>6.1763565891472867</v>
      </c>
      <c r="BD403" s="1060">
        <v>7.0772277227722773</v>
      </c>
      <c r="BE403" s="1060">
        <v>5.8864059590316575</v>
      </c>
      <c r="BF403" s="637">
        <v>6.4421641791044779</v>
      </c>
      <c r="BG403" s="637">
        <v>6.5862708719851577</v>
      </c>
      <c r="BH403" s="637">
        <v>6.1258992805755392</v>
      </c>
      <c r="BI403" s="637">
        <v>5.6119133574007218</v>
      </c>
      <c r="BJ403" s="637">
        <f t="shared" si="471"/>
        <v>73.104838187861063</v>
      </c>
      <c r="BK403" s="647">
        <f t="shared" si="466"/>
        <v>6.0920698489884222</v>
      </c>
      <c r="BN403" s="322">
        <f t="shared" si="469"/>
        <v>0.53622528400622649</v>
      </c>
      <c r="BO403" s="322">
        <f t="shared" si="459"/>
        <v>0.65099789935127639</v>
      </c>
      <c r="BP403" s="322">
        <f t="shared" si="460"/>
        <v>7.8119747922153095</v>
      </c>
      <c r="BQ403" s="322">
        <f t="shared" si="467"/>
        <v>-0.51398592317481739</v>
      </c>
      <c r="BR403" s="2265">
        <f t="shared" si="461"/>
        <v>6.1258992805755392</v>
      </c>
      <c r="BS403" s="2265">
        <f t="shared" si="462"/>
        <v>5.6119133574007218</v>
      </c>
    </row>
    <row r="404" spans="1:71" s="172" customFormat="1" x14ac:dyDescent="0.55000000000000004">
      <c r="A404" s="7531"/>
      <c r="B404" s="253"/>
      <c r="C404" s="181" t="s">
        <v>245</v>
      </c>
      <c r="D404" s="634">
        <v>4.2149681528662422</v>
      </c>
      <c r="E404" s="635">
        <v>4.9219440353460975</v>
      </c>
      <c r="F404" s="635">
        <v>4.5919881305637986</v>
      </c>
      <c r="G404" s="635">
        <v>4.4230235783633844</v>
      </c>
      <c r="H404" s="635">
        <v>4.4233766233766234</v>
      </c>
      <c r="I404" s="635">
        <v>4.4799465240641707</v>
      </c>
      <c r="J404" s="635">
        <v>4.27536231884058</v>
      </c>
      <c r="K404" s="635">
        <v>5.1550591327201047</v>
      </c>
      <c r="L404" s="635">
        <v>3.7268588770864945</v>
      </c>
      <c r="M404" s="635">
        <v>4.8479776847977689</v>
      </c>
      <c r="N404" s="635">
        <v>3.5270270270270272</v>
      </c>
      <c r="O404" s="635">
        <v>3.6111111111111112</v>
      </c>
      <c r="P404" s="635">
        <f t="shared" si="478"/>
        <v>52.198643196163403</v>
      </c>
      <c r="Q404" s="646">
        <f t="shared" si="477"/>
        <v>4.3498869330136172</v>
      </c>
      <c r="R404" s="372"/>
      <c r="S404" s="634">
        <v>3.3771676300578033</v>
      </c>
      <c r="T404" s="635">
        <v>3.8835098335854767</v>
      </c>
      <c r="U404" s="635">
        <v>3.1556473829201104</v>
      </c>
      <c r="V404" s="635">
        <v>3.3867924528301887</v>
      </c>
      <c r="W404" s="635">
        <v>3.6472491909385112</v>
      </c>
      <c r="X404" s="635">
        <v>3.5530821917808217</v>
      </c>
      <c r="Y404" s="635">
        <v>4.5711805555555554</v>
      </c>
      <c r="Z404" s="635">
        <v>4.7484567901234565</v>
      </c>
      <c r="AA404" s="635">
        <v>3.4536256323777401</v>
      </c>
      <c r="AB404" s="635">
        <v>4.4224270353302613</v>
      </c>
      <c r="AC404" s="635">
        <v>3.5531197301854975</v>
      </c>
      <c r="AD404" s="635">
        <v>3.2559414990859232</v>
      </c>
      <c r="AE404" s="635">
        <f t="shared" si="479"/>
        <v>45.008199924771347</v>
      </c>
      <c r="AF404" s="646">
        <f t="shared" si="480"/>
        <v>3.7506833270642788</v>
      </c>
      <c r="AG404" s="372"/>
      <c r="AH404" s="634">
        <v>3.0012300123001232</v>
      </c>
      <c r="AI404" s="635">
        <v>4.116190476190476</v>
      </c>
      <c r="AJ404" s="635">
        <v>4.1985294117647056</v>
      </c>
      <c r="AK404" s="635">
        <v>4.1247803163444638</v>
      </c>
      <c r="AL404" s="635">
        <v>4.7745098039215685</v>
      </c>
      <c r="AM404" s="635">
        <v>4.6241935483870966</v>
      </c>
      <c r="AN404" s="1059">
        <v>5.7269624573378843</v>
      </c>
      <c r="AO404" s="1059">
        <v>4.7160714285714285</v>
      </c>
      <c r="AP404" s="635">
        <v>4.1890625000000004</v>
      </c>
      <c r="AQ404" s="635">
        <v>4.4585289514866977</v>
      </c>
      <c r="AR404" s="635">
        <v>4.252991452991453</v>
      </c>
      <c r="AS404" s="635">
        <v>3.9257142857142857</v>
      </c>
      <c r="AT404" s="635">
        <f t="shared" si="457"/>
        <v>52.108764645010183</v>
      </c>
      <c r="AU404" s="646">
        <f t="shared" si="473"/>
        <v>4.3423970537508483</v>
      </c>
      <c r="AX404" s="634">
        <v>4.0998080614203456</v>
      </c>
      <c r="AY404" s="635">
        <v>4.9939759036144578</v>
      </c>
      <c r="AZ404" s="635">
        <v>4.6050420168067223</v>
      </c>
      <c r="BA404" s="635">
        <v>5.12</v>
      </c>
      <c r="BB404" s="635">
        <v>7.2280178837555891</v>
      </c>
      <c r="BC404" s="635">
        <v>5.519047619047619</v>
      </c>
      <c r="BD404" s="1059">
        <v>6.6512738853503182</v>
      </c>
      <c r="BE404" s="1059">
        <v>5.1619937694704046</v>
      </c>
      <c r="BF404" s="635">
        <v>5.8701298701298699</v>
      </c>
      <c r="BG404" s="635">
        <v>6.305743243243243</v>
      </c>
      <c r="BH404" s="635">
        <v>4.9625850340136051</v>
      </c>
      <c r="BI404" s="635">
        <v>5.7757774140752867</v>
      </c>
      <c r="BJ404" s="635">
        <f t="shared" si="471"/>
        <v>66.293394700927465</v>
      </c>
      <c r="BK404" s="646">
        <f t="shared" si="466"/>
        <v>5.5244495584106224</v>
      </c>
      <c r="BN404" s="322">
        <f t="shared" si="469"/>
        <v>1.850063128361001</v>
      </c>
      <c r="BO404" s="322">
        <f t="shared" si="459"/>
        <v>1.1820525046597741</v>
      </c>
      <c r="BP404" s="322">
        <f t="shared" si="460"/>
        <v>14.184630055917282</v>
      </c>
      <c r="BQ404" s="322">
        <f t="shared" si="467"/>
        <v>0.8131923800616816</v>
      </c>
      <c r="BR404" s="2265">
        <f t="shared" si="461"/>
        <v>4.9625850340136051</v>
      </c>
      <c r="BS404" s="2265">
        <f t="shared" si="462"/>
        <v>5.7757774140752867</v>
      </c>
    </row>
    <row r="405" spans="1:71" s="172" customFormat="1" x14ac:dyDescent="0.55000000000000004">
      <c r="A405" s="7531"/>
      <c r="B405" s="253"/>
      <c r="C405" s="173" t="s">
        <v>246</v>
      </c>
      <c r="D405" s="636">
        <v>6.1550094517958414</v>
      </c>
      <c r="E405" s="637">
        <v>7.6563636363636363</v>
      </c>
      <c r="F405" s="637">
        <v>6.503300330033003</v>
      </c>
      <c r="G405" s="637">
        <v>6.3499197431781704</v>
      </c>
      <c r="H405" s="637">
        <v>6.678456591639871</v>
      </c>
      <c r="I405" s="637">
        <v>5.4847020933977459</v>
      </c>
      <c r="J405" s="637">
        <v>5.218009478672986</v>
      </c>
      <c r="K405" s="637">
        <v>5.5231259968102071</v>
      </c>
      <c r="L405" s="637">
        <v>4.6055194805194803</v>
      </c>
      <c r="M405" s="637">
        <v>5.7897196261682247</v>
      </c>
      <c r="N405" s="637">
        <v>4.327769347496206</v>
      </c>
      <c r="O405" s="637">
        <v>4.3872113676731797</v>
      </c>
      <c r="P405" s="637">
        <f t="shared" si="478"/>
        <v>68.679107143748539</v>
      </c>
      <c r="Q405" s="647">
        <f t="shared" si="477"/>
        <v>5.7232589286457118</v>
      </c>
      <c r="R405" s="372"/>
      <c r="S405" s="636">
        <v>4.7342007434944238</v>
      </c>
      <c r="T405" s="637">
        <v>5.0947546531302876</v>
      </c>
      <c r="U405" s="637">
        <v>4.65587734241908</v>
      </c>
      <c r="V405" s="637">
        <v>4.458407079646018</v>
      </c>
      <c r="W405" s="637">
        <v>4.8203703703703704</v>
      </c>
      <c r="X405" s="637">
        <v>4.4147286821705425</v>
      </c>
      <c r="Y405" s="637">
        <v>4.8515769944341374</v>
      </c>
      <c r="Z405" s="637">
        <v>5.6463620981387477</v>
      </c>
      <c r="AA405" s="637">
        <v>4.4434931506849313</v>
      </c>
      <c r="AB405" s="637">
        <v>5.76140350877193</v>
      </c>
      <c r="AC405" s="637">
        <v>4.6094032549728752</v>
      </c>
      <c r="AD405" s="637">
        <v>4.0077821011673151</v>
      </c>
      <c r="AE405" s="637">
        <f t="shared" si="479"/>
        <v>57.498359979400654</v>
      </c>
      <c r="AF405" s="647">
        <f t="shared" si="480"/>
        <v>4.7915299982833881</v>
      </c>
      <c r="AG405" s="372"/>
      <c r="AH405" s="636">
        <v>5.743150684931507</v>
      </c>
      <c r="AI405" s="637">
        <v>4.9682835820895521</v>
      </c>
      <c r="AJ405" s="637">
        <v>4.9391771019677995</v>
      </c>
      <c r="AK405" s="637">
        <v>5.272887323943662</v>
      </c>
      <c r="AL405" s="637">
        <v>5.0051282051282051</v>
      </c>
      <c r="AM405" s="637">
        <v>4.6678141135972462</v>
      </c>
      <c r="AN405" s="1060">
        <v>5.5088028169014081</v>
      </c>
      <c r="AO405" s="1060">
        <v>4.8477443609022552</v>
      </c>
      <c r="AP405" s="637">
        <v>5.3234836702954897</v>
      </c>
      <c r="AQ405" s="637">
        <v>5.2938388625592419</v>
      </c>
      <c r="AR405" s="637">
        <v>5.8404726735598231</v>
      </c>
      <c r="AS405" s="637">
        <v>5.1969696969696972</v>
      </c>
      <c r="AT405" s="637">
        <f t="shared" si="457"/>
        <v>62.607753092845883</v>
      </c>
      <c r="AU405" s="647">
        <f t="shared" si="473"/>
        <v>5.2173127577371572</v>
      </c>
      <c r="AX405" s="636">
        <v>5.1571856287425151</v>
      </c>
      <c r="AY405" s="637">
        <v>6.8243967828418235</v>
      </c>
      <c r="AZ405" s="637">
        <v>5.0567567567567568</v>
      </c>
      <c r="BA405" s="637">
        <v>6.9602053915275999</v>
      </c>
      <c r="BB405" s="637">
        <v>8.9506462984723854</v>
      </c>
      <c r="BC405" s="637">
        <v>7.7372013651877136</v>
      </c>
      <c r="BD405" s="1060">
        <v>8.8228438228438222</v>
      </c>
      <c r="BE405" s="1060">
        <v>6.8544776119402986</v>
      </c>
      <c r="BF405" s="637">
        <v>7.0754475703324804</v>
      </c>
      <c r="BG405" s="637">
        <v>7.347994825355757</v>
      </c>
      <c r="BH405" s="637">
        <v>5.8954802259887007</v>
      </c>
      <c r="BI405" s="637">
        <v>6.188933873144399</v>
      </c>
      <c r="BJ405" s="637">
        <f t="shared" si="471"/>
        <v>82.871570153134257</v>
      </c>
      <c r="BK405" s="647">
        <f t="shared" si="466"/>
        <v>6.9059641794278548</v>
      </c>
      <c r="BN405" s="322">
        <f t="shared" si="469"/>
        <v>0.99196417617470178</v>
      </c>
      <c r="BO405" s="322">
        <f t="shared" si="459"/>
        <v>1.6886514216906976</v>
      </c>
      <c r="BP405" s="322">
        <f t="shared" si="460"/>
        <v>20.263817060288375</v>
      </c>
      <c r="BQ405" s="322">
        <f t="shared" si="467"/>
        <v>0.29345364715569833</v>
      </c>
      <c r="BR405" s="2265">
        <f t="shared" si="461"/>
        <v>5.8954802259887007</v>
      </c>
      <c r="BS405" s="2265">
        <f t="shared" si="462"/>
        <v>6.188933873144399</v>
      </c>
    </row>
    <row r="406" spans="1:71" s="172" customFormat="1" x14ac:dyDescent="0.55000000000000004">
      <c r="A406" s="7531"/>
      <c r="B406" s="253"/>
      <c r="C406" s="173" t="s">
        <v>247</v>
      </c>
      <c r="D406" s="636">
        <v>5.8310810810810807</v>
      </c>
      <c r="E406" s="637">
        <v>6.8485523385300668</v>
      </c>
      <c r="F406" s="637">
        <v>5.44</v>
      </c>
      <c r="G406" s="637">
        <v>5.875</v>
      </c>
      <c r="H406" s="637">
        <v>5.9349593495934956</v>
      </c>
      <c r="I406" s="637">
        <v>5.1683778234086244</v>
      </c>
      <c r="J406" s="637">
        <v>5.1748971193415638</v>
      </c>
      <c r="K406" s="637">
        <v>5.8226804123711338</v>
      </c>
      <c r="L406" s="637">
        <v>4.1659482758620694</v>
      </c>
      <c r="M406" s="637">
        <v>5.4115308151093435</v>
      </c>
      <c r="N406" s="637">
        <v>3.8834498834498836</v>
      </c>
      <c r="O406" s="637">
        <v>3.3898809523809526</v>
      </c>
      <c r="P406" s="637">
        <f t="shared" si="478"/>
        <v>62.946358051128215</v>
      </c>
      <c r="Q406" s="647">
        <f t="shared" si="477"/>
        <v>5.2455298375940176</v>
      </c>
      <c r="R406" s="372"/>
      <c r="S406" s="636">
        <v>4.3176470588235292</v>
      </c>
      <c r="T406" s="637">
        <v>5.5219298245614032</v>
      </c>
      <c r="U406" s="637">
        <v>4.1635071090047395</v>
      </c>
      <c r="V406" s="637">
        <v>4.4557522123893802</v>
      </c>
      <c r="W406" s="637">
        <v>4.5688487584650117</v>
      </c>
      <c r="X406" s="637">
        <v>4.4649532710280377</v>
      </c>
      <c r="Y406" s="637">
        <v>4.7074340527577938</v>
      </c>
      <c r="Z406" s="637">
        <v>5.9293361884368307</v>
      </c>
      <c r="AA406" s="637">
        <v>3.9263392857142856</v>
      </c>
      <c r="AB406" s="637">
        <v>5.2777777777777777</v>
      </c>
      <c r="AC406" s="637">
        <v>4.0457665903890163</v>
      </c>
      <c r="AD406" s="637">
        <v>3.3850129198966408</v>
      </c>
      <c r="AE406" s="637">
        <f t="shared" si="479"/>
        <v>54.764305049244442</v>
      </c>
      <c r="AF406" s="647">
        <f t="shared" si="480"/>
        <v>4.5636920874370368</v>
      </c>
      <c r="AG406" s="372"/>
      <c r="AH406" s="636">
        <v>5.1568181818181822</v>
      </c>
      <c r="AI406" s="637">
        <v>3.9519650655021836</v>
      </c>
      <c r="AJ406" s="637">
        <v>4.4146868250539955</v>
      </c>
      <c r="AK406" s="637">
        <v>4.1252699784017279</v>
      </c>
      <c r="AL406" s="637">
        <v>4.5689277899343548</v>
      </c>
      <c r="AM406" s="637">
        <v>4.0495495495495497</v>
      </c>
      <c r="AN406" s="1060">
        <v>4.7736263736263735</v>
      </c>
      <c r="AO406" s="1060">
        <v>4.2009569377990434</v>
      </c>
      <c r="AP406" s="637">
        <v>4.4427312775330394</v>
      </c>
      <c r="AQ406" s="637">
        <v>4.3256351039260972</v>
      </c>
      <c r="AR406" s="637">
        <v>4.2794759825327509</v>
      </c>
      <c r="AS406" s="637">
        <v>4.1220657276995309</v>
      </c>
      <c r="AT406" s="637">
        <f t="shared" si="457"/>
        <v>52.411708793376832</v>
      </c>
      <c r="AU406" s="647">
        <f t="shared" si="473"/>
        <v>4.3676423994480693</v>
      </c>
      <c r="AX406" s="636">
        <v>4.7695961995249405</v>
      </c>
      <c r="AY406" s="637">
        <v>6.2603305785123968</v>
      </c>
      <c r="AZ406" s="637">
        <v>4.5736263736263734</v>
      </c>
      <c r="BA406" s="637">
        <v>5.9237113402061858</v>
      </c>
      <c r="BB406" s="637">
        <v>7.70902394106814</v>
      </c>
      <c r="BC406" s="637">
        <v>6.7796934865900385</v>
      </c>
      <c r="BD406" s="1060">
        <v>7.4246575342465757</v>
      </c>
      <c r="BE406" s="1060">
        <v>6.0196850393700787</v>
      </c>
      <c r="BF406" s="637">
        <v>6.0433996383363473</v>
      </c>
      <c r="BG406" s="637">
        <v>6.8870370370370368</v>
      </c>
      <c r="BH406" s="637">
        <v>5.6201550387596901</v>
      </c>
      <c r="BI406" s="637">
        <v>6.2632575757575761</v>
      </c>
      <c r="BJ406" s="637">
        <f t="shared" si="471"/>
        <v>74.27417378303538</v>
      </c>
      <c r="BK406" s="647">
        <f t="shared" si="466"/>
        <v>6.1895144819196153</v>
      </c>
      <c r="BN406" s="322">
        <f t="shared" si="469"/>
        <v>2.1411918480580452</v>
      </c>
      <c r="BO406" s="322">
        <f t="shared" si="459"/>
        <v>1.821872082471546</v>
      </c>
      <c r="BP406" s="322">
        <f t="shared" si="460"/>
        <v>21.862464989658548</v>
      </c>
      <c r="BQ406" s="322">
        <f t="shared" si="467"/>
        <v>0.643102536997886</v>
      </c>
      <c r="BR406" s="2265">
        <f t="shared" si="461"/>
        <v>5.6201550387596901</v>
      </c>
      <c r="BS406" s="2265">
        <f t="shared" si="462"/>
        <v>6.2632575757575761</v>
      </c>
    </row>
    <row r="407" spans="1:71" s="172" customFormat="1" x14ac:dyDescent="0.55000000000000004">
      <c r="A407" s="7531"/>
      <c r="B407" s="253"/>
      <c r="C407" s="181" t="s">
        <v>248</v>
      </c>
      <c r="D407" s="634">
        <v>7.1273666092943202</v>
      </c>
      <c r="E407" s="635">
        <v>7.3933566433566433</v>
      </c>
      <c r="F407" s="635">
        <v>6.2006578947368425</v>
      </c>
      <c r="G407" s="635">
        <v>6.2650406504065037</v>
      </c>
      <c r="H407" s="635">
        <v>6.2028081123244929</v>
      </c>
      <c r="I407" s="635">
        <v>6.1273885350318471</v>
      </c>
      <c r="J407" s="635">
        <v>5.9117174959871592</v>
      </c>
      <c r="K407" s="635">
        <v>7.2174688057041001</v>
      </c>
      <c r="L407" s="635">
        <v>5.2546125461254611</v>
      </c>
      <c r="M407" s="635">
        <v>6.7123966942148758</v>
      </c>
      <c r="N407" s="635">
        <v>5.0283333333333333</v>
      </c>
      <c r="O407" s="635">
        <v>4.7516666666666669</v>
      </c>
      <c r="P407" s="635">
        <f t="shared" si="478"/>
        <v>74.192813987182248</v>
      </c>
      <c r="Q407" s="646">
        <f t="shared" si="477"/>
        <v>6.182734498931854</v>
      </c>
      <c r="R407" s="372"/>
      <c r="S407" s="634">
        <v>5.1672077922077921</v>
      </c>
      <c r="T407" s="635">
        <v>6.0422077922077921</v>
      </c>
      <c r="U407" s="635">
        <v>5.529109589041096</v>
      </c>
      <c r="V407" s="635">
        <v>5.3884007029876981</v>
      </c>
      <c r="W407" s="635">
        <v>5.4732142857142856</v>
      </c>
      <c r="X407" s="635">
        <v>5.2830540037243949</v>
      </c>
      <c r="Y407" s="635">
        <v>5.6081560283687946</v>
      </c>
      <c r="Z407" s="635">
        <v>6.9042735042735046</v>
      </c>
      <c r="AA407" s="635">
        <v>5.4971209213051822</v>
      </c>
      <c r="AB407" s="635">
        <v>6.3029772329246931</v>
      </c>
      <c r="AC407" s="635">
        <v>5.0255009107468123</v>
      </c>
      <c r="AD407" s="635">
        <v>4.6396761133603235</v>
      </c>
      <c r="AE407" s="635">
        <f t="shared" si="479"/>
        <v>66.860898876862365</v>
      </c>
      <c r="AF407" s="646">
        <f t="shared" si="480"/>
        <v>5.571741573071864</v>
      </c>
      <c r="AG407" s="372"/>
      <c r="AH407" s="634">
        <v>6.5027124773960221</v>
      </c>
      <c r="AI407" s="635">
        <v>5.1289134438305712</v>
      </c>
      <c r="AJ407" s="635">
        <v>5.5745454545454542</v>
      </c>
      <c r="AK407" s="635">
        <v>5.5087412587412583</v>
      </c>
      <c r="AL407" s="635">
        <v>5.7848324514991178</v>
      </c>
      <c r="AM407" s="635">
        <v>4.9965034965034967</v>
      </c>
      <c r="AN407" s="1059">
        <v>6.2310536044362292</v>
      </c>
      <c r="AO407" s="1059">
        <v>4.8592436974789912</v>
      </c>
      <c r="AP407" s="635">
        <v>5.9642218246869412</v>
      </c>
      <c r="AQ407" s="635">
        <v>5.54481546572935</v>
      </c>
      <c r="AR407" s="635">
        <v>5.7700348432055746</v>
      </c>
      <c r="AS407" s="635">
        <v>5.1669829222011385</v>
      </c>
      <c r="AT407" s="635">
        <f t="shared" si="457"/>
        <v>67.032600940254142</v>
      </c>
      <c r="AU407" s="646">
        <f t="shared" si="473"/>
        <v>5.5860500783545115</v>
      </c>
      <c r="AX407" s="634">
        <v>5.3735632183908049</v>
      </c>
      <c r="AY407" s="635">
        <v>6.6092150170648463</v>
      </c>
      <c r="AZ407" s="635">
        <v>5.6817359855334537</v>
      </c>
      <c r="BA407" s="635">
        <v>6.5684210526315789</v>
      </c>
      <c r="BB407" s="635">
        <v>8.9768976897689772</v>
      </c>
      <c r="BC407" s="635">
        <v>7.5673400673400675</v>
      </c>
      <c r="BD407" s="1059">
        <v>9.082311733800351</v>
      </c>
      <c r="BE407" s="1059">
        <v>6.1508078994613999</v>
      </c>
      <c r="BF407" s="635">
        <v>7.0286738351254483</v>
      </c>
      <c r="BG407" s="635">
        <v>6.3292035398230091</v>
      </c>
      <c r="BH407" s="635">
        <v>5.7059891107078036</v>
      </c>
      <c r="BI407" s="635">
        <v>5.9222222222222225</v>
      </c>
      <c r="BJ407" s="635">
        <f t="shared" si="471"/>
        <v>80.996381371869958</v>
      </c>
      <c r="BK407" s="646">
        <f t="shared" si="466"/>
        <v>6.7496984476558302</v>
      </c>
      <c r="BN407" s="322">
        <f t="shared" si="469"/>
        <v>0.75523930002108397</v>
      </c>
      <c r="BO407" s="322">
        <f t="shared" si="459"/>
        <v>1.1636483693013187</v>
      </c>
      <c r="BP407" s="322">
        <f t="shared" si="460"/>
        <v>13.963780431615817</v>
      </c>
      <c r="BQ407" s="322">
        <f t="shared" si="467"/>
        <v>0.21623311151441893</v>
      </c>
      <c r="BR407" s="2265">
        <f t="shared" si="461"/>
        <v>5.7059891107078036</v>
      </c>
      <c r="BS407" s="2265">
        <f t="shared" si="462"/>
        <v>5.9222222222222225</v>
      </c>
    </row>
    <row r="408" spans="1:71" s="172" customFormat="1" ht="18" thickBot="1" x14ac:dyDescent="0.6">
      <c r="A408" s="7532"/>
      <c r="B408" s="255"/>
      <c r="C408" s="183" t="s">
        <v>249</v>
      </c>
      <c r="D408" s="638">
        <v>5.6376306620209062</v>
      </c>
      <c r="E408" s="639">
        <v>6.222419928825623</v>
      </c>
      <c r="F408" s="639">
        <v>5.2689655172413792</v>
      </c>
      <c r="G408" s="639">
        <v>5.6672597864768681</v>
      </c>
      <c r="H408" s="639">
        <v>6.0152801358234296</v>
      </c>
      <c r="I408" s="639">
        <v>5.0584070796460177</v>
      </c>
      <c r="J408" s="639">
        <v>4.7021276595744679</v>
      </c>
      <c r="K408" s="639">
        <v>5.2065217391304346</v>
      </c>
      <c r="L408" s="639">
        <v>3.9432892249527409</v>
      </c>
      <c r="M408" s="639">
        <v>6.0201834862385324</v>
      </c>
      <c r="N408" s="639">
        <v>4.6262042389210016</v>
      </c>
      <c r="O408" s="639">
        <v>4.2462845010615711</v>
      </c>
      <c r="P408" s="639">
        <f t="shared" si="478"/>
        <v>62.614573959912981</v>
      </c>
      <c r="Q408" s="648">
        <f t="shared" si="477"/>
        <v>5.2178811633260818</v>
      </c>
      <c r="R408" s="372"/>
      <c r="S408" s="638">
        <v>4.3364485981308407</v>
      </c>
      <c r="T408" s="639">
        <v>4.75</v>
      </c>
      <c r="U408" s="639">
        <v>3.6636197440585008</v>
      </c>
      <c r="V408" s="639">
        <v>3.8754716981132074</v>
      </c>
      <c r="W408" s="639">
        <v>3.9958246346555324</v>
      </c>
      <c r="X408" s="639">
        <v>3.8507462686567164</v>
      </c>
      <c r="Y408" s="639">
        <v>5.0294840294840295</v>
      </c>
      <c r="Z408" s="639">
        <v>5.5928270042194095</v>
      </c>
      <c r="AA408" s="639">
        <v>4.8300970873786406</v>
      </c>
      <c r="AB408" s="639">
        <v>5.8830845771144276</v>
      </c>
      <c r="AC408" s="639">
        <v>4.7052631578947368</v>
      </c>
      <c r="AD408" s="639">
        <v>4.4447592067988673</v>
      </c>
      <c r="AE408" s="639">
        <f t="shared" si="479"/>
        <v>54.957626006504896</v>
      </c>
      <c r="AF408" s="648">
        <f t="shared" si="480"/>
        <v>4.579802167208741</v>
      </c>
      <c r="AG408" s="372"/>
      <c r="AH408" s="638">
        <v>5.1928251121076237</v>
      </c>
      <c r="AI408" s="639">
        <v>4.817102137767221</v>
      </c>
      <c r="AJ408" s="639">
        <v>4.7832957110609478</v>
      </c>
      <c r="AK408" s="639">
        <v>4.1995515695067267</v>
      </c>
      <c r="AL408" s="639">
        <v>4.5384615384615383</v>
      </c>
      <c r="AM408" s="639">
        <v>4.6785714285714288</v>
      </c>
      <c r="AN408" s="1062">
        <v>5.2627906976744185</v>
      </c>
      <c r="AO408" s="1062">
        <v>4.6240601503759402</v>
      </c>
      <c r="AP408" s="639">
        <v>4.6849315068493151</v>
      </c>
      <c r="AQ408" s="639">
        <v>4.4901098901098901</v>
      </c>
      <c r="AR408" s="639">
        <v>5</v>
      </c>
      <c r="AS408" s="639">
        <v>4.2138084632516701</v>
      </c>
      <c r="AT408" s="639">
        <f t="shared" si="457"/>
        <v>56.485508205736721</v>
      </c>
      <c r="AU408" s="648">
        <f t="shared" si="473"/>
        <v>4.7071256838113937</v>
      </c>
      <c r="AX408" s="638">
        <v>5.012853470437018</v>
      </c>
      <c r="AY408" s="639">
        <v>5.7444933920704848</v>
      </c>
      <c r="AZ408" s="639">
        <v>4.2988764044943819</v>
      </c>
      <c r="BA408" s="639">
        <v>5.3919821826280625</v>
      </c>
      <c r="BB408" s="639">
        <v>6.4371002132196162</v>
      </c>
      <c r="BC408" s="639">
        <v>5.1729490022172948</v>
      </c>
      <c r="BD408" s="1062">
        <v>7.0389016018306636</v>
      </c>
      <c r="BE408" s="1062">
        <v>4.8012958963282939</v>
      </c>
      <c r="BF408" s="639">
        <v>5.5901287553648071</v>
      </c>
      <c r="BG408" s="639">
        <v>4.9653679653679657</v>
      </c>
      <c r="BH408" s="639">
        <v>4.3096774193548386</v>
      </c>
      <c r="BI408" s="639">
        <v>4.4462616822429908</v>
      </c>
      <c r="BJ408" s="639">
        <f t="shared" si="471"/>
        <v>63.209887985556428</v>
      </c>
      <c r="BK408" s="648">
        <f t="shared" si="466"/>
        <v>5.2674906654630353</v>
      </c>
      <c r="BN408" s="322">
        <f t="shared" si="469"/>
        <v>0.23245321899132065</v>
      </c>
      <c r="BO408" s="322">
        <f t="shared" si="459"/>
        <v>0.56036498165164161</v>
      </c>
      <c r="BP408" s="322">
        <f t="shared" si="460"/>
        <v>6.7243797798197065</v>
      </c>
      <c r="BQ408" s="322">
        <f t="shared" si="467"/>
        <v>0.13658426288815217</v>
      </c>
      <c r="BR408" s="2265">
        <f t="shared" si="461"/>
        <v>4.3096774193548386</v>
      </c>
      <c r="BS408" s="2265">
        <f t="shared" si="462"/>
        <v>4.4462616822429908</v>
      </c>
    </row>
    <row r="409" spans="1:71" x14ac:dyDescent="0.55000000000000004">
      <c r="A409" s="7530" t="s">
        <v>396</v>
      </c>
      <c r="B409" s="74" t="s">
        <v>266</v>
      </c>
      <c r="C409" s="27"/>
      <c r="D409" s="686">
        <v>55.602941176470587</v>
      </c>
      <c r="E409" s="650">
        <v>69.092039800995025</v>
      </c>
      <c r="F409" s="650">
        <v>61.05</v>
      </c>
      <c r="G409" s="650">
        <v>65.159600997506232</v>
      </c>
      <c r="H409" s="650">
        <v>68.059850374064837</v>
      </c>
      <c r="I409" s="650">
        <v>64.333333333333329</v>
      </c>
      <c r="J409" s="650">
        <v>59.190355329949242</v>
      </c>
      <c r="K409" s="650">
        <v>66.787341772151905</v>
      </c>
      <c r="L409" s="650">
        <v>47.142487046632127</v>
      </c>
      <c r="M409" s="650">
        <v>68.119791666666671</v>
      </c>
      <c r="N409" s="650">
        <v>48.393229166666664</v>
      </c>
      <c r="O409" s="650">
        <v>42.471354166666664</v>
      </c>
      <c r="P409" s="650">
        <f>SUM(D409:O409)</f>
        <v>715.4023248311031</v>
      </c>
      <c r="Q409" s="651">
        <f>P409/12</f>
        <v>59.616860402591925</v>
      </c>
      <c r="R409" s="370"/>
      <c r="S409" s="686">
        <v>48.829333333333331</v>
      </c>
      <c r="T409" s="650">
        <v>57.657824933687003</v>
      </c>
      <c r="U409" s="650">
        <v>46.053050397877982</v>
      </c>
      <c r="V409" s="650">
        <v>46.349593495934961</v>
      </c>
      <c r="W409" s="650">
        <v>49.036516853932582</v>
      </c>
      <c r="X409" s="650">
        <v>45.762039660056658</v>
      </c>
      <c r="Y409" s="650">
        <v>52.025423728813557</v>
      </c>
      <c r="Z409" s="650">
        <v>69.180758017492707</v>
      </c>
      <c r="AA409" s="650">
        <v>47.985422740524783</v>
      </c>
      <c r="AB409" s="650">
        <v>63.919075144508668</v>
      </c>
      <c r="AC409" s="650">
        <v>47.663768115942027</v>
      </c>
      <c r="AD409" s="650">
        <v>39.037463976945247</v>
      </c>
      <c r="AE409" s="650">
        <f>SUM(S409:AD409)</f>
        <v>613.50027039904944</v>
      </c>
      <c r="AF409" s="651">
        <f>AE409/12</f>
        <v>51.125022533254118</v>
      </c>
      <c r="AG409" s="688"/>
      <c r="AH409" s="686">
        <v>60.679190751445084</v>
      </c>
      <c r="AI409" s="650">
        <v>48.950146627565985</v>
      </c>
      <c r="AJ409" s="650">
        <v>54.384615384615387</v>
      </c>
      <c r="AK409" s="650">
        <v>54.052785923753667</v>
      </c>
      <c r="AL409" s="650">
        <v>59.252941176470586</v>
      </c>
      <c r="AM409" s="650">
        <v>55.93993993993994</v>
      </c>
      <c r="AN409" s="1053">
        <v>67.900000000000006</v>
      </c>
      <c r="AO409" s="1063">
        <v>54.030299999999997</v>
      </c>
      <c r="AP409" s="650">
        <v>62.115499999999997</v>
      </c>
      <c r="AQ409" s="650">
        <v>60.01</v>
      </c>
      <c r="AR409" s="343">
        <v>59.794117647058826</v>
      </c>
      <c r="AS409" s="343">
        <v>49.862170087976537</v>
      </c>
      <c r="AT409" s="650">
        <f t="shared" si="457"/>
        <v>686.97170753882608</v>
      </c>
      <c r="AU409" s="651">
        <f t="shared" si="473"/>
        <v>57.247642294902171</v>
      </c>
      <c r="AX409" s="686">
        <v>49.968115942028987</v>
      </c>
      <c r="AY409" s="650">
        <v>75.315942028985503</v>
      </c>
      <c r="AZ409" s="650">
        <v>56.758823529411764</v>
      </c>
      <c r="BA409" s="650">
        <v>72.047477744807125</v>
      </c>
      <c r="BB409" s="650">
        <v>110.47575757575757</v>
      </c>
      <c r="BC409" s="650">
        <v>88.336448598130843</v>
      </c>
      <c r="BD409" s="1053">
        <v>103.57097791798107</v>
      </c>
      <c r="BE409" s="1063">
        <v>78.67619047619047</v>
      </c>
      <c r="BF409" s="650">
        <v>87.044871794871796</v>
      </c>
      <c r="BG409" s="650">
        <v>86.625806451612902</v>
      </c>
      <c r="BH409" s="343">
        <v>71.949044585987266</v>
      </c>
      <c r="BI409" s="343">
        <v>75.673981191222566</v>
      </c>
      <c r="BJ409" s="650">
        <f t="shared" si="471"/>
        <v>956.44343783698787</v>
      </c>
      <c r="BK409" s="651">
        <f t="shared" si="466"/>
        <v>79.703619819748994</v>
      </c>
      <c r="BN409" s="322">
        <f t="shared" si="469"/>
        <v>25.811811103246029</v>
      </c>
      <c r="BO409" s="322">
        <f t="shared" si="459"/>
        <v>22.455977524846823</v>
      </c>
      <c r="BP409" s="322">
        <f t="shared" si="460"/>
        <v>269.47173029816179</v>
      </c>
      <c r="BQ409" s="322">
        <f t="shared" si="467"/>
        <v>3.7249366052352997</v>
      </c>
      <c r="BR409" s="2265">
        <f t="shared" si="461"/>
        <v>71.949044585987266</v>
      </c>
      <c r="BS409" s="2265">
        <f t="shared" si="462"/>
        <v>75.673981191222566</v>
      </c>
    </row>
    <row r="410" spans="1:71" hidden="1" x14ac:dyDescent="0.55000000000000004">
      <c r="A410" s="7531"/>
      <c r="B410" s="248"/>
      <c r="C410" s="12" t="s">
        <v>278</v>
      </c>
      <c r="D410" s="34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>
        <f>SUM(D410:O410)</f>
        <v>0</v>
      </c>
      <c r="Q410" s="346">
        <f t="shared" ref="Q410:Q425" si="481">P410/12</f>
        <v>0</v>
      </c>
      <c r="R410" s="370"/>
      <c r="S410" s="34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  <c r="AE410" s="295">
        <f>SUM(S410:AD410)</f>
        <v>0</v>
      </c>
      <c r="AF410" s="346">
        <f>AE410/12</f>
        <v>0</v>
      </c>
      <c r="AG410" s="370"/>
      <c r="AH410" s="345"/>
      <c r="AI410" s="295"/>
      <c r="AJ410" s="295"/>
      <c r="AK410" s="652"/>
      <c r="AL410" s="652"/>
      <c r="AM410" s="652"/>
      <c r="AN410" s="1054"/>
      <c r="AO410" s="1064"/>
      <c r="AP410" s="652"/>
      <c r="AQ410" s="652"/>
      <c r="AR410" s="295"/>
      <c r="AS410" s="295"/>
      <c r="AT410" s="295">
        <f t="shared" si="457"/>
        <v>0</v>
      </c>
      <c r="AU410" s="653">
        <f t="shared" si="473"/>
        <v>0</v>
      </c>
      <c r="AX410" s="687"/>
      <c r="AY410" s="295"/>
      <c r="AZ410" s="295"/>
      <c r="BA410" s="652"/>
      <c r="BB410" s="652"/>
      <c r="BC410" s="652"/>
      <c r="BD410" s="1054"/>
      <c r="BE410" s="1064"/>
      <c r="BF410" s="652"/>
      <c r="BG410" s="652"/>
      <c r="BH410" s="295"/>
      <c r="BI410" s="295"/>
      <c r="BJ410" s="295">
        <f t="shared" si="471"/>
        <v>0</v>
      </c>
      <c r="BK410" s="653" t="e">
        <f t="shared" si="466"/>
        <v>#DIV/0!</v>
      </c>
      <c r="BN410" s="322">
        <f t="shared" si="469"/>
        <v>0</v>
      </c>
      <c r="BO410" s="322" t="e">
        <f t="shared" si="459"/>
        <v>#DIV/0!</v>
      </c>
      <c r="BP410" s="322">
        <f t="shared" si="460"/>
        <v>0</v>
      </c>
      <c r="BQ410" s="322">
        <f t="shared" si="467"/>
        <v>0</v>
      </c>
      <c r="BR410" s="2265">
        <f t="shared" si="461"/>
        <v>0</v>
      </c>
      <c r="BS410" s="2265">
        <f t="shared" si="462"/>
        <v>0</v>
      </c>
    </row>
    <row r="411" spans="1:71" hidden="1" x14ac:dyDescent="0.55000000000000004">
      <c r="A411" s="7531"/>
      <c r="B411" s="248"/>
      <c r="C411" s="12" t="s">
        <v>277</v>
      </c>
      <c r="D411" s="34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>
        <f>SUM(D411:O411)</f>
        <v>0</v>
      </c>
      <c r="Q411" s="346">
        <f t="shared" si="481"/>
        <v>0</v>
      </c>
      <c r="R411" s="370"/>
      <c r="S411" s="34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  <c r="AE411" s="295">
        <f>SUM(S411:AD411)</f>
        <v>0</v>
      </c>
      <c r="AF411" s="346">
        <f>AE411/12</f>
        <v>0</v>
      </c>
      <c r="AG411" s="370"/>
      <c r="AH411" s="345"/>
      <c r="AI411" s="295"/>
      <c r="AJ411" s="295"/>
      <c r="AK411" s="652"/>
      <c r="AL411" s="652"/>
      <c r="AM411" s="652"/>
      <c r="AN411" s="1054"/>
      <c r="AO411" s="1064"/>
      <c r="AP411" s="652"/>
      <c r="AQ411" s="652"/>
      <c r="AR411" s="295"/>
      <c r="AS411" s="295"/>
      <c r="AT411" s="295">
        <f t="shared" si="457"/>
        <v>0</v>
      </c>
      <c r="AU411" s="653">
        <f t="shared" si="473"/>
        <v>0</v>
      </c>
      <c r="AX411" s="687"/>
      <c r="AY411" s="295"/>
      <c r="AZ411" s="295"/>
      <c r="BA411" s="652"/>
      <c r="BB411" s="652"/>
      <c r="BC411" s="652"/>
      <c r="BD411" s="1054"/>
      <c r="BE411" s="1064"/>
      <c r="BF411" s="652"/>
      <c r="BG411" s="652"/>
      <c r="BH411" s="295"/>
      <c r="BI411" s="295"/>
      <c r="BJ411" s="295">
        <f t="shared" si="471"/>
        <v>0</v>
      </c>
      <c r="BK411" s="653" t="e">
        <f t="shared" si="466"/>
        <v>#DIV/0!</v>
      </c>
      <c r="BN411" s="322">
        <f t="shared" si="469"/>
        <v>0</v>
      </c>
      <c r="BO411" s="322" t="e">
        <f t="shared" si="459"/>
        <v>#DIV/0!</v>
      </c>
      <c r="BP411" s="322">
        <f t="shared" si="460"/>
        <v>0</v>
      </c>
      <c r="BQ411" s="322">
        <f t="shared" si="467"/>
        <v>0</v>
      </c>
      <c r="BR411" s="2265">
        <f t="shared" si="461"/>
        <v>0</v>
      </c>
      <c r="BS411" s="2265">
        <f t="shared" si="462"/>
        <v>0</v>
      </c>
    </row>
    <row r="412" spans="1:71" hidden="1" x14ac:dyDescent="0.55000000000000004">
      <c r="A412" s="7531"/>
      <c r="B412" s="248"/>
      <c r="C412" s="12" t="s">
        <v>276</v>
      </c>
      <c r="D412" s="34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>
        <f>SUM(D412:O412)</f>
        <v>0</v>
      </c>
      <c r="Q412" s="346">
        <f t="shared" si="481"/>
        <v>0</v>
      </c>
      <c r="R412" s="370"/>
      <c r="S412" s="34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  <c r="AE412" s="295">
        <f>SUM(S412:AD412)</f>
        <v>0</v>
      </c>
      <c r="AF412" s="346">
        <f>AE412/12</f>
        <v>0</v>
      </c>
      <c r="AG412" s="370"/>
      <c r="AH412" s="345"/>
      <c r="AI412" s="295"/>
      <c r="AJ412" s="295"/>
      <c r="AK412" s="652"/>
      <c r="AL412" s="652"/>
      <c r="AM412" s="652"/>
      <c r="AN412" s="1054"/>
      <c r="AO412" s="1064"/>
      <c r="AP412" s="652"/>
      <c r="AQ412" s="652"/>
      <c r="AR412" s="295"/>
      <c r="AS412" s="295"/>
      <c r="AT412" s="295">
        <f t="shared" si="457"/>
        <v>0</v>
      </c>
      <c r="AU412" s="653">
        <f t="shared" si="473"/>
        <v>0</v>
      </c>
      <c r="AX412" s="687"/>
      <c r="AY412" s="295"/>
      <c r="AZ412" s="295"/>
      <c r="BA412" s="652"/>
      <c r="BB412" s="652"/>
      <c r="BC412" s="652"/>
      <c r="BD412" s="1054"/>
      <c r="BE412" s="1064"/>
      <c r="BF412" s="652"/>
      <c r="BG412" s="652"/>
      <c r="BH412" s="295"/>
      <c r="BI412" s="295"/>
      <c r="BJ412" s="295">
        <f t="shared" si="471"/>
        <v>0</v>
      </c>
      <c r="BK412" s="653" t="e">
        <f t="shared" si="466"/>
        <v>#DIV/0!</v>
      </c>
      <c r="BN412" s="322">
        <f t="shared" si="469"/>
        <v>0</v>
      </c>
      <c r="BO412" s="322" t="e">
        <f t="shared" si="459"/>
        <v>#DIV/0!</v>
      </c>
      <c r="BP412" s="322">
        <f t="shared" si="460"/>
        <v>0</v>
      </c>
      <c r="BQ412" s="322">
        <f t="shared" si="467"/>
        <v>0</v>
      </c>
      <c r="BR412" s="2265">
        <f t="shared" si="461"/>
        <v>0</v>
      </c>
      <c r="BS412" s="2265">
        <f t="shared" si="462"/>
        <v>0</v>
      </c>
    </row>
    <row r="413" spans="1:71" x14ac:dyDescent="0.55000000000000004">
      <c r="A413" s="7531"/>
      <c r="B413" s="249" t="s">
        <v>222</v>
      </c>
      <c r="C413" s="100"/>
      <c r="D413" s="627">
        <v>52.320512820512818</v>
      </c>
      <c r="E413" s="628">
        <v>68.075949367088612</v>
      </c>
      <c r="F413" s="628">
        <v>57.443037974683541</v>
      </c>
      <c r="G413" s="628">
        <v>63.737499999999997</v>
      </c>
      <c r="H413" s="628">
        <v>67.349999999999994</v>
      </c>
      <c r="I413" s="628">
        <v>73.756410256410263</v>
      </c>
      <c r="J413" s="628">
        <v>61.641025641025642</v>
      </c>
      <c r="K413" s="628">
        <v>69.328947368421055</v>
      </c>
      <c r="L413" s="628">
        <v>46.16</v>
      </c>
      <c r="M413" s="628">
        <v>73.13513513513513</v>
      </c>
      <c r="N413" s="628">
        <v>49.213333333333331</v>
      </c>
      <c r="O413" s="628">
        <v>43.828947368421055</v>
      </c>
      <c r="P413" s="628">
        <f>SUM(D413:O413)</f>
        <v>725.99079926503134</v>
      </c>
      <c r="Q413" s="642">
        <f>P413/12</f>
        <v>60.499233272085945</v>
      </c>
      <c r="R413" s="370"/>
      <c r="S413" s="627">
        <v>47.266666666666666</v>
      </c>
      <c r="T413" s="628">
        <v>57.96</v>
      </c>
      <c r="U413" s="628">
        <v>43.723684210526315</v>
      </c>
      <c r="V413" s="628">
        <v>46.6</v>
      </c>
      <c r="W413" s="628">
        <v>48.547945205479451</v>
      </c>
      <c r="X413" s="628">
        <v>43.756756756756758</v>
      </c>
      <c r="Y413" s="628">
        <v>54.911764705882355</v>
      </c>
      <c r="Z413" s="628">
        <v>69.289855072463766</v>
      </c>
      <c r="AA413" s="628">
        <v>44.739130434782609</v>
      </c>
      <c r="AB413" s="628">
        <v>65.028571428571425</v>
      </c>
      <c r="AC413" s="628">
        <v>45.814285714285717</v>
      </c>
      <c r="AD413" s="628">
        <v>39.073529411764703</v>
      </c>
      <c r="AE413" s="628">
        <f>SUM(S413:AD413)</f>
        <v>606.71218960717988</v>
      </c>
      <c r="AF413" s="642">
        <f>AE413/12</f>
        <v>50.559349133931654</v>
      </c>
      <c r="AG413" s="370"/>
      <c r="AH413" s="627">
        <v>62.779411764705884</v>
      </c>
      <c r="AI413" s="628">
        <v>44.623188405797102</v>
      </c>
      <c r="AJ413" s="628">
        <v>53.161764705882355</v>
      </c>
      <c r="AK413" s="628">
        <v>52.956521739130437</v>
      </c>
      <c r="AL413" s="628">
        <v>60.085714285714289</v>
      </c>
      <c r="AM413" s="628">
        <v>54.132352941176471</v>
      </c>
      <c r="AN413" s="1055">
        <v>68.130434782608702</v>
      </c>
      <c r="AO413" s="1065">
        <v>57.275362318840578</v>
      </c>
      <c r="AP413" s="628">
        <v>59.409090909090907</v>
      </c>
      <c r="AQ413" s="628">
        <v>57.544117647058826</v>
      </c>
      <c r="AR413" s="348">
        <v>54.318840579710148</v>
      </c>
      <c r="AS413" s="348">
        <v>41.239436619718312</v>
      </c>
      <c r="AT413" s="628">
        <f t="shared" si="457"/>
        <v>665.65623669943386</v>
      </c>
      <c r="AU413" s="642">
        <f t="shared" si="473"/>
        <v>55.471353058286155</v>
      </c>
      <c r="AX413" s="627">
        <v>40.513888888888886</v>
      </c>
      <c r="AY413" s="628">
        <v>63.297297297297298</v>
      </c>
      <c r="AZ413" s="628">
        <v>47.152777777777779</v>
      </c>
      <c r="BA413" s="628">
        <v>57.222222222222221</v>
      </c>
      <c r="BB413" s="628">
        <v>97.328571428571422</v>
      </c>
      <c r="BC413" s="628">
        <v>67.522388059701498</v>
      </c>
      <c r="BD413" s="1055">
        <v>83.92307692307692</v>
      </c>
      <c r="BE413" s="1065">
        <v>63.90625</v>
      </c>
      <c r="BF413" s="628">
        <v>75.596774193548384</v>
      </c>
      <c r="BG413" s="628">
        <v>68.285714285714292</v>
      </c>
      <c r="BH413" s="348">
        <v>67.433333333333337</v>
      </c>
      <c r="BI413" s="348">
        <v>70.4375</v>
      </c>
      <c r="BJ413" s="628">
        <f t="shared" si="471"/>
        <v>802.61979441013204</v>
      </c>
      <c r="BK413" s="642">
        <f t="shared" si="466"/>
        <v>66.884982867510999</v>
      </c>
      <c r="BN413" s="322">
        <f t="shared" si="469"/>
        <v>29.198063380281688</v>
      </c>
      <c r="BO413" s="322">
        <f t="shared" si="459"/>
        <v>11.413629809224844</v>
      </c>
      <c r="BP413" s="322">
        <f t="shared" si="460"/>
        <v>136.96355771069818</v>
      </c>
      <c r="BQ413" s="322">
        <f t="shared" si="467"/>
        <v>3.0041666666666629</v>
      </c>
      <c r="BR413" s="2265">
        <f t="shared" si="461"/>
        <v>67.433333333333337</v>
      </c>
      <c r="BS413" s="2265">
        <f t="shared" si="462"/>
        <v>70.4375</v>
      </c>
    </row>
    <row r="414" spans="1:71" x14ac:dyDescent="0.55000000000000004">
      <c r="A414" s="7531"/>
      <c r="B414" s="250" t="s">
        <v>223</v>
      </c>
      <c r="C414" s="14"/>
      <c r="D414" s="629">
        <v>46.372881355932201</v>
      </c>
      <c r="E414" s="568">
        <v>70.929824561403507</v>
      </c>
      <c r="F414" s="568">
        <v>56.896551724137929</v>
      </c>
      <c r="G414" s="568">
        <v>65.067796610169495</v>
      </c>
      <c r="H414" s="568">
        <v>66.186440677966104</v>
      </c>
      <c r="I414" s="568">
        <v>63.392857142857146</v>
      </c>
      <c r="J414" s="568">
        <v>56.636363636363633</v>
      </c>
      <c r="K414" s="568">
        <v>75.075471698113205</v>
      </c>
      <c r="L414" s="568">
        <v>50.490196078431374</v>
      </c>
      <c r="M414" s="568">
        <v>68.411764705882348</v>
      </c>
      <c r="N414" s="568">
        <v>50.134615384615387</v>
      </c>
      <c r="O414" s="568">
        <v>47.102040816326529</v>
      </c>
      <c r="P414" s="568">
        <f t="shared" ref="P414:P425" si="482">SUM(D414:O414)</f>
        <v>716.69680439219883</v>
      </c>
      <c r="Q414" s="643">
        <f t="shared" si="481"/>
        <v>59.724733699349905</v>
      </c>
      <c r="R414" s="370"/>
      <c r="S414" s="629">
        <v>54.127659574468083</v>
      </c>
      <c r="T414" s="568">
        <v>61.0625</v>
      </c>
      <c r="U414" s="568">
        <v>42.1875</v>
      </c>
      <c r="V414" s="568">
        <v>37.520833333333336</v>
      </c>
      <c r="W414" s="568">
        <v>46.659090909090907</v>
      </c>
      <c r="X414" s="568">
        <v>46.720930232558139</v>
      </c>
      <c r="Y414" s="568">
        <v>50.266666666666666</v>
      </c>
      <c r="Z414" s="568">
        <v>71.511627906976742</v>
      </c>
      <c r="AA414" s="568">
        <v>48.090909090909093</v>
      </c>
      <c r="AB414" s="568">
        <v>71.20930232558139</v>
      </c>
      <c r="AC414" s="568">
        <v>53.952380952380949</v>
      </c>
      <c r="AD414" s="568">
        <v>41.711111111111109</v>
      </c>
      <c r="AE414" s="568">
        <f t="shared" ref="AE414:AE425" si="483">SUM(S414:AD414)</f>
        <v>625.02051210307638</v>
      </c>
      <c r="AF414" s="643">
        <f t="shared" ref="AF414:AF425" si="484">AE414/12</f>
        <v>52.085042675256368</v>
      </c>
      <c r="AG414" s="370"/>
      <c r="AH414" s="629">
        <v>62.522727272727273</v>
      </c>
      <c r="AI414" s="568">
        <v>48.133333333333333</v>
      </c>
      <c r="AJ414" s="568">
        <v>55.4</v>
      </c>
      <c r="AK414" s="568">
        <v>50.04</v>
      </c>
      <c r="AL414" s="568">
        <v>56.68</v>
      </c>
      <c r="AM414" s="568">
        <v>55.659574468085104</v>
      </c>
      <c r="AN414" s="1056">
        <v>66.770833333333329</v>
      </c>
      <c r="AO414" s="1066">
        <v>58.382978723404257</v>
      </c>
      <c r="AP414" s="568">
        <v>64</v>
      </c>
      <c r="AQ414" s="568">
        <v>58.375</v>
      </c>
      <c r="AR414" s="280">
        <v>56.043478260869563</v>
      </c>
      <c r="AS414" s="280">
        <v>48.108695652173914</v>
      </c>
      <c r="AT414" s="568">
        <f t="shared" si="457"/>
        <v>680.11662104392678</v>
      </c>
      <c r="AU414" s="643">
        <f t="shared" si="473"/>
        <v>56.676385086993896</v>
      </c>
      <c r="AX414" s="629">
        <v>41.208333333333336</v>
      </c>
      <c r="AY414" s="568">
        <v>69.020408163265301</v>
      </c>
      <c r="AZ414" s="568">
        <v>47.604166666666664</v>
      </c>
      <c r="BA414" s="568">
        <v>57.130434782608695</v>
      </c>
      <c r="BB414" s="568">
        <v>103</v>
      </c>
      <c r="BC414" s="568">
        <v>70.822222222222223</v>
      </c>
      <c r="BD414" s="1056">
        <v>81.227272727272734</v>
      </c>
      <c r="BE414" s="1066">
        <v>71.840909090909093</v>
      </c>
      <c r="BF414" s="568">
        <v>80.302325581395351</v>
      </c>
      <c r="BG414" s="568">
        <v>86.58536585365853</v>
      </c>
      <c r="BH414" s="280">
        <v>79.20930232558139</v>
      </c>
      <c r="BI414" s="280">
        <v>70.659090909090907</v>
      </c>
      <c r="BJ414" s="568">
        <f t="shared" si="471"/>
        <v>858.6098316560043</v>
      </c>
      <c r="BK414" s="643">
        <f t="shared" si="466"/>
        <v>71.55081930466703</v>
      </c>
      <c r="BN414" s="322">
        <f t="shared" si="469"/>
        <v>22.550395256916993</v>
      </c>
      <c r="BO414" s="322">
        <f t="shared" si="459"/>
        <v>14.874434217673134</v>
      </c>
      <c r="BP414" s="322">
        <f t="shared" si="460"/>
        <v>178.49321061207752</v>
      </c>
      <c r="BQ414" s="322">
        <f t="shared" si="467"/>
        <v>-8.5502114164904839</v>
      </c>
      <c r="BR414" s="2265">
        <f t="shared" si="461"/>
        <v>79.20930232558139</v>
      </c>
      <c r="BS414" s="2265">
        <f t="shared" si="462"/>
        <v>70.659090909090907</v>
      </c>
    </row>
    <row r="415" spans="1:71" x14ac:dyDescent="0.55000000000000004">
      <c r="A415" s="7531"/>
      <c r="B415" s="250" t="s">
        <v>224</v>
      </c>
      <c r="C415" s="14"/>
      <c r="D415" s="629">
        <v>45.637931034482762</v>
      </c>
      <c r="E415" s="568">
        <v>57.620689655172413</v>
      </c>
      <c r="F415" s="568">
        <v>56.272727272727273</v>
      </c>
      <c r="G415" s="568">
        <v>56.946428571428569</v>
      </c>
      <c r="H415" s="568">
        <v>60.821428571428569</v>
      </c>
      <c r="I415" s="568">
        <v>62.055555555555557</v>
      </c>
      <c r="J415" s="568">
        <v>63.627450980392155</v>
      </c>
      <c r="K415" s="568">
        <v>76.921568627450981</v>
      </c>
      <c r="L415" s="568">
        <v>49.12</v>
      </c>
      <c r="M415" s="568">
        <v>68.156862745098039</v>
      </c>
      <c r="N415" s="568">
        <v>43.5</v>
      </c>
      <c r="O415" s="568">
        <v>42.5</v>
      </c>
      <c r="P415" s="568">
        <f t="shared" si="482"/>
        <v>683.18064301373624</v>
      </c>
      <c r="Q415" s="643">
        <f t="shared" si="481"/>
        <v>56.931720251144689</v>
      </c>
      <c r="R415" s="370"/>
      <c r="S415" s="629">
        <v>42.490909090909092</v>
      </c>
      <c r="T415" s="568">
        <v>46.672727272727272</v>
      </c>
      <c r="U415" s="568">
        <v>40.910714285714285</v>
      </c>
      <c r="V415" s="568">
        <v>41.42307692307692</v>
      </c>
      <c r="W415" s="568">
        <v>47.957446808510639</v>
      </c>
      <c r="X415" s="568">
        <v>44.148936170212764</v>
      </c>
      <c r="Y415" s="568">
        <v>53.734693877551024</v>
      </c>
      <c r="Z415" s="568">
        <v>66.891304347826093</v>
      </c>
      <c r="AA415" s="568">
        <v>44.521739130434781</v>
      </c>
      <c r="AB415" s="568">
        <v>61.255319148936174</v>
      </c>
      <c r="AC415" s="568">
        <v>45.804347826086953</v>
      </c>
      <c r="AD415" s="568">
        <v>36.346938775510203</v>
      </c>
      <c r="AE415" s="568">
        <f t="shared" si="483"/>
        <v>572.1581536574962</v>
      </c>
      <c r="AF415" s="643">
        <f t="shared" si="484"/>
        <v>47.679846138124681</v>
      </c>
      <c r="AG415" s="370"/>
      <c r="AH415" s="629">
        <v>48.8</v>
      </c>
      <c r="AI415" s="568">
        <v>46.978260869565219</v>
      </c>
      <c r="AJ415" s="568">
        <v>49.652173913043477</v>
      </c>
      <c r="AK415" s="568">
        <v>52.155555555555559</v>
      </c>
      <c r="AL415" s="568">
        <v>66.409090909090907</v>
      </c>
      <c r="AM415" s="568">
        <v>66.674418604651166</v>
      </c>
      <c r="AN415" s="1056">
        <v>81.853658536585371</v>
      </c>
      <c r="AO415" s="1066">
        <v>62.88095238095238</v>
      </c>
      <c r="AP415" s="568">
        <v>60.93181818181818</v>
      </c>
      <c r="AQ415" s="568">
        <v>66.255813953488371</v>
      </c>
      <c r="AR415" s="280">
        <v>55.288888888888891</v>
      </c>
      <c r="AS415" s="280">
        <v>45.8</v>
      </c>
      <c r="AT415" s="568">
        <f t="shared" si="457"/>
        <v>703.68063179363946</v>
      </c>
      <c r="AU415" s="643">
        <f t="shared" si="473"/>
        <v>58.640052649469958</v>
      </c>
      <c r="AX415" s="629">
        <v>48.545454545454547</v>
      </c>
      <c r="AY415" s="568">
        <v>78.952380952380949</v>
      </c>
      <c r="AZ415" s="568">
        <v>62.272727272727273</v>
      </c>
      <c r="BA415" s="568">
        <v>68.266666666666666</v>
      </c>
      <c r="BB415" s="568">
        <v>112.79069767441861</v>
      </c>
      <c r="BC415" s="568">
        <v>86.924999999999997</v>
      </c>
      <c r="BD415" s="1056">
        <v>97.139534883720927</v>
      </c>
      <c r="BE415" s="1066">
        <v>77.069767441860463</v>
      </c>
      <c r="BF415" s="568">
        <v>80.355555555555554</v>
      </c>
      <c r="BG415" s="568">
        <v>84.840909090909093</v>
      </c>
      <c r="BH415" s="280">
        <v>72.95</v>
      </c>
      <c r="BI415" s="280">
        <v>86.073170731707322</v>
      </c>
      <c r="BJ415" s="568">
        <f t="shared" si="471"/>
        <v>956.18186481540147</v>
      </c>
      <c r="BK415" s="643">
        <f t="shared" si="466"/>
        <v>79.681822067950122</v>
      </c>
      <c r="BN415" s="322">
        <f t="shared" si="469"/>
        <v>40.273170731707324</v>
      </c>
      <c r="BO415" s="322">
        <f t="shared" si="459"/>
        <v>21.041769418480165</v>
      </c>
      <c r="BP415" s="322">
        <f t="shared" si="460"/>
        <v>252.501233021762</v>
      </c>
      <c r="BQ415" s="322">
        <f t="shared" si="467"/>
        <v>13.123170731707319</v>
      </c>
      <c r="BR415" s="2265">
        <f t="shared" si="461"/>
        <v>72.95</v>
      </c>
      <c r="BS415" s="2265">
        <f t="shared" si="462"/>
        <v>86.073170731707322</v>
      </c>
    </row>
    <row r="416" spans="1:71" x14ac:dyDescent="0.55000000000000004">
      <c r="A416" s="7531"/>
      <c r="B416" s="250" t="s">
        <v>225</v>
      </c>
      <c r="C416" s="14"/>
      <c r="D416" s="629">
        <v>51.271929824561404</v>
      </c>
      <c r="E416" s="568">
        <v>63.912280701754383</v>
      </c>
      <c r="F416" s="568">
        <v>58.429824561403507</v>
      </c>
      <c r="G416" s="568">
        <v>60.03448275862069</v>
      </c>
      <c r="H416" s="568">
        <v>60.982758620689658</v>
      </c>
      <c r="I416" s="568">
        <v>51.956140350877192</v>
      </c>
      <c r="J416" s="568">
        <v>51.035087719298247</v>
      </c>
      <c r="K416" s="568">
        <v>53.279661016949156</v>
      </c>
      <c r="L416" s="568">
        <v>41.120689655172413</v>
      </c>
      <c r="M416" s="568">
        <v>55.991304347826087</v>
      </c>
      <c r="N416" s="568">
        <v>40.702702702702702</v>
      </c>
      <c r="O416" s="568">
        <v>32.223214285714285</v>
      </c>
      <c r="P416" s="568">
        <f t="shared" si="482"/>
        <v>620.9400765455697</v>
      </c>
      <c r="Q416" s="643">
        <f t="shared" si="481"/>
        <v>51.745006378797477</v>
      </c>
      <c r="R416" s="370"/>
      <c r="S416" s="629">
        <v>41.733333333333334</v>
      </c>
      <c r="T416" s="568">
        <v>52.160377358490564</v>
      </c>
      <c r="U416" s="568">
        <v>41.574074074074076</v>
      </c>
      <c r="V416" s="568">
        <v>43.58653846153846</v>
      </c>
      <c r="W416" s="568">
        <v>46.27</v>
      </c>
      <c r="X416" s="568">
        <v>41.068627450980394</v>
      </c>
      <c r="Y416" s="568">
        <v>43.188679245283019</v>
      </c>
      <c r="Z416" s="568">
        <v>59.28155339805825</v>
      </c>
      <c r="AA416" s="568">
        <v>42.686274509803923</v>
      </c>
      <c r="AB416" s="568">
        <v>56.029702970297031</v>
      </c>
      <c r="AC416" s="568">
        <v>43.17</v>
      </c>
      <c r="AD416" s="568">
        <v>34.387755102040813</v>
      </c>
      <c r="AE416" s="568">
        <f t="shared" si="483"/>
        <v>545.13691590389988</v>
      </c>
      <c r="AF416" s="643">
        <f t="shared" si="484"/>
        <v>45.428076325324987</v>
      </c>
      <c r="AG416" s="370"/>
      <c r="AH416" s="629">
        <v>56.797979797979799</v>
      </c>
      <c r="AI416" s="568">
        <v>46.59375</v>
      </c>
      <c r="AJ416" s="568">
        <v>49.536082474226802</v>
      </c>
      <c r="AK416" s="568">
        <v>50.051020408163268</v>
      </c>
      <c r="AL416" s="568">
        <v>52.25</v>
      </c>
      <c r="AM416" s="568">
        <v>47.473684210526315</v>
      </c>
      <c r="AN416" s="1056">
        <v>57</v>
      </c>
      <c r="AO416" s="1066">
        <v>46.612903225806448</v>
      </c>
      <c r="AP416" s="568">
        <v>58.494623655913976</v>
      </c>
      <c r="AQ416" s="568">
        <v>53.855670103092784</v>
      </c>
      <c r="AR416" s="280">
        <v>59.737373737373737</v>
      </c>
      <c r="AS416" s="280">
        <v>52.383838383838381</v>
      </c>
      <c r="AT416" s="568">
        <f t="shared" si="457"/>
        <v>630.78692599692147</v>
      </c>
      <c r="AU416" s="643">
        <f t="shared" si="473"/>
        <v>52.565577166410122</v>
      </c>
      <c r="AX416" s="629">
        <v>52.941747572815537</v>
      </c>
      <c r="AY416" s="568">
        <v>78.84466019417475</v>
      </c>
      <c r="AZ416" s="568">
        <v>58.23</v>
      </c>
      <c r="BA416" s="568">
        <v>85.515463917525778</v>
      </c>
      <c r="BB416" s="568">
        <v>120.43877551020408</v>
      </c>
      <c r="BC416" s="568">
        <v>111.18279569892474</v>
      </c>
      <c r="BD416" s="1056">
        <v>117.15463917525773</v>
      </c>
      <c r="BE416" s="1066">
        <v>87.438775510204081</v>
      </c>
      <c r="BF416" s="568">
        <v>87.009803921568633</v>
      </c>
      <c r="BG416" s="568">
        <v>97.90625</v>
      </c>
      <c r="BH416" s="280">
        <v>70.739999999999995</v>
      </c>
      <c r="BI416" s="280">
        <v>81.371134020618555</v>
      </c>
      <c r="BJ416" s="568">
        <f t="shared" si="471"/>
        <v>1048.7740455212938</v>
      </c>
      <c r="BK416" s="643">
        <f t="shared" si="466"/>
        <v>87.39783712677449</v>
      </c>
      <c r="BN416" s="322">
        <f t="shared" si="469"/>
        <v>28.987295636780175</v>
      </c>
      <c r="BO416" s="322">
        <f t="shared" si="459"/>
        <v>34.832259960364368</v>
      </c>
      <c r="BP416" s="322">
        <f t="shared" si="460"/>
        <v>417.98711952437236</v>
      </c>
      <c r="BQ416" s="322">
        <f t="shared" si="467"/>
        <v>10.63113402061856</v>
      </c>
      <c r="BR416" s="2265">
        <f t="shared" si="461"/>
        <v>70.739999999999995</v>
      </c>
      <c r="BS416" s="2265">
        <f t="shared" si="462"/>
        <v>81.371134020618555</v>
      </c>
    </row>
    <row r="417" spans="1:71" x14ac:dyDescent="0.55000000000000004">
      <c r="A417" s="7531"/>
      <c r="B417" s="251" t="s">
        <v>226</v>
      </c>
      <c r="C417" s="103"/>
      <c r="D417" s="630">
        <v>74.515151515151516</v>
      </c>
      <c r="E417" s="631">
        <v>82.191489361702125</v>
      </c>
      <c r="F417" s="631">
        <v>72.61702127659575</v>
      </c>
      <c r="G417" s="631">
        <v>78.2</v>
      </c>
      <c r="H417" s="631">
        <v>83.544444444444451</v>
      </c>
      <c r="I417" s="631">
        <v>73.692307692307693</v>
      </c>
      <c r="J417" s="631">
        <v>65.989583333333329</v>
      </c>
      <c r="K417" s="631">
        <v>71.371134020618555</v>
      </c>
      <c r="L417" s="631">
        <v>52.48936170212766</v>
      </c>
      <c r="M417" s="631">
        <v>78.946236559139791</v>
      </c>
      <c r="N417" s="631">
        <v>58.891304347826086</v>
      </c>
      <c r="O417" s="631">
        <v>51.06315789473684</v>
      </c>
      <c r="P417" s="631">
        <f t="shared" si="482"/>
        <v>843.51119214798382</v>
      </c>
      <c r="Q417" s="644">
        <f t="shared" si="481"/>
        <v>70.292599345665323</v>
      </c>
      <c r="R417" s="370"/>
      <c r="S417" s="630">
        <v>59.172043010752688</v>
      </c>
      <c r="T417" s="631">
        <v>68.41935483870968</v>
      </c>
      <c r="U417" s="631">
        <v>58.797752808988761</v>
      </c>
      <c r="V417" s="631">
        <v>56.888888888888886</v>
      </c>
      <c r="W417" s="631">
        <v>54.119565217391305</v>
      </c>
      <c r="X417" s="631">
        <v>53.367816091954026</v>
      </c>
      <c r="Y417" s="631">
        <v>60.581395348837212</v>
      </c>
      <c r="Z417" s="631">
        <v>81.58536585365853</v>
      </c>
      <c r="AA417" s="631">
        <v>59.195121951219512</v>
      </c>
      <c r="AB417" s="631">
        <v>70.164705882352948</v>
      </c>
      <c r="AC417" s="631">
        <v>52.264367816091955</v>
      </c>
      <c r="AD417" s="631">
        <v>44.379310344827587</v>
      </c>
      <c r="AE417" s="631">
        <f t="shared" si="483"/>
        <v>718.93568805367295</v>
      </c>
      <c r="AF417" s="644">
        <f t="shared" si="484"/>
        <v>59.911307337806079</v>
      </c>
      <c r="AG417" s="370"/>
      <c r="AH417" s="630">
        <v>69.552941176470583</v>
      </c>
      <c r="AI417" s="631">
        <v>56.623529411764707</v>
      </c>
      <c r="AJ417" s="631">
        <v>63.231707317073173</v>
      </c>
      <c r="AK417" s="631">
        <v>63.594936708860757</v>
      </c>
      <c r="AL417" s="631">
        <v>64.599999999999994</v>
      </c>
      <c r="AM417" s="631">
        <v>61.924999999999997</v>
      </c>
      <c r="AN417" s="1057">
        <v>74.131578947368425</v>
      </c>
      <c r="AO417" s="1067">
        <v>52.632911392405063</v>
      </c>
      <c r="AP417" s="631">
        <v>68.177215189873422</v>
      </c>
      <c r="AQ417" s="631">
        <v>67.506493506493513</v>
      </c>
      <c r="AR417" s="353">
        <v>69.160493827160494</v>
      </c>
      <c r="AS417" s="353">
        <v>57.6875</v>
      </c>
      <c r="AT417" s="631">
        <f t="shared" si="457"/>
        <v>768.82430747747014</v>
      </c>
      <c r="AU417" s="644">
        <f t="shared" si="473"/>
        <v>64.068692289789183</v>
      </c>
      <c r="AX417" s="630">
        <v>60.96153846153846</v>
      </c>
      <c r="AY417" s="631">
        <v>84.168831168831176</v>
      </c>
      <c r="AZ417" s="631">
        <v>66.513157894736835</v>
      </c>
      <c r="BA417" s="631">
        <v>80.064935064935071</v>
      </c>
      <c r="BB417" s="631">
        <v>112.78666666666666</v>
      </c>
      <c r="BC417" s="631">
        <v>89.84210526315789</v>
      </c>
      <c r="BD417" s="1057">
        <v>121.5</v>
      </c>
      <c r="BE417" s="1067">
        <v>85.590909090909093</v>
      </c>
      <c r="BF417" s="631">
        <v>108.78333333333333</v>
      </c>
      <c r="BG417" s="631">
        <v>88.939393939393938</v>
      </c>
      <c r="BH417" s="353">
        <v>72.507042253521121</v>
      </c>
      <c r="BI417" s="353">
        <v>69.876712328767127</v>
      </c>
      <c r="BJ417" s="631">
        <f t="shared" si="471"/>
        <v>1041.5346254657907</v>
      </c>
      <c r="BK417" s="644">
        <f t="shared" si="466"/>
        <v>86.794552122149227</v>
      </c>
      <c r="BN417" s="322">
        <f t="shared" si="469"/>
        <v>12.189212328767127</v>
      </c>
      <c r="BO417" s="322">
        <f t="shared" si="459"/>
        <v>22.725859832360044</v>
      </c>
      <c r="BP417" s="322">
        <f t="shared" si="460"/>
        <v>272.71031798832053</v>
      </c>
      <c r="BQ417" s="322">
        <f t="shared" si="467"/>
        <v>-2.630329924753994</v>
      </c>
      <c r="BR417" s="2265">
        <f t="shared" si="461"/>
        <v>72.507042253521121</v>
      </c>
      <c r="BS417" s="2265">
        <f t="shared" si="462"/>
        <v>69.876712328767127</v>
      </c>
    </row>
    <row r="418" spans="1:71" s="172" customFormat="1" x14ac:dyDescent="0.55000000000000004">
      <c r="A418" s="7531"/>
      <c r="B418" s="252"/>
      <c r="C418" s="180" t="s">
        <v>242</v>
      </c>
      <c r="D418" s="632">
        <v>45.857142857142854</v>
      </c>
      <c r="E418" s="633">
        <v>62.392857142857146</v>
      </c>
      <c r="F418" s="633">
        <v>53.745454545454542</v>
      </c>
      <c r="G418" s="633">
        <v>59.839285714285715</v>
      </c>
      <c r="H418" s="633">
        <v>63.160714285714285</v>
      </c>
      <c r="I418" s="633">
        <v>69.981481481481481</v>
      </c>
      <c r="J418" s="633">
        <v>62.150943396226417</v>
      </c>
      <c r="K418" s="633">
        <v>70.288461538461533</v>
      </c>
      <c r="L418" s="633">
        <v>46.769230769230766</v>
      </c>
      <c r="M418" s="633">
        <v>71.35849056603773</v>
      </c>
      <c r="N418" s="633">
        <v>47.811320754716981</v>
      </c>
      <c r="O418" s="633">
        <v>45.566037735849058</v>
      </c>
      <c r="P418" s="633">
        <f t="shared" si="482"/>
        <v>698.92142078745849</v>
      </c>
      <c r="Q418" s="645">
        <f t="shared" si="481"/>
        <v>58.243451732288207</v>
      </c>
      <c r="R418" s="372"/>
      <c r="S418" s="632">
        <v>46.592592592592595</v>
      </c>
      <c r="T418" s="633">
        <v>57.166666666666664</v>
      </c>
      <c r="U418" s="633">
        <v>42.888888888888886</v>
      </c>
      <c r="V418" s="633">
        <v>46.471698113207545</v>
      </c>
      <c r="W418" s="633">
        <v>48.57692307692308</v>
      </c>
      <c r="X418" s="633">
        <v>44.568627450980394</v>
      </c>
      <c r="Y418" s="633">
        <v>56.340425531914896</v>
      </c>
      <c r="Z418" s="633">
        <v>69</v>
      </c>
      <c r="AA418" s="633">
        <v>45</v>
      </c>
      <c r="AB418" s="633">
        <v>65.4375</v>
      </c>
      <c r="AC418" s="633">
        <v>46.854166666666664</v>
      </c>
      <c r="AD418" s="633">
        <v>38.446808510638299</v>
      </c>
      <c r="AE418" s="633">
        <f t="shared" si="483"/>
        <v>607.34429749847902</v>
      </c>
      <c r="AF418" s="645">
        <f t="shared" si="484"/>
        <v>50.612024791539916</v>
      </c>
      <c r="AG418" s="372"/>
      <c r="AH418" s="632">
        <v>62.468085106382979</v>
      </c>
      <c r="AI418" s="633">
        <v>44.808510638297875</v>
      </c>
      <c r="AJ418" s="633">
        <v>56.608695652173914</v>
      </c>
      <c r="AK418" s="633">
        <v>54.652173913043477</v>
      </c>
      <c r="AL418" s="633">
        <v>63.361702127659576</v>
      </c>
      <c r="AM418" s="633">
        <v>57.6</v>
      </c>
      <c r="AN418" s="1058">
        <v>71.733333333333334</v>
      </c>
      <c r="AO418" s="1068">
        <v>60.043478260869563</v>
      </c>
      <c r="AP418" s="633">
        <v>60.977777777777774</v>
      </c>
      <c r="AQ418" s="633">
        <v>61.695652173913047</v>
      </c>
      <c r="AR418" s="356">
        <v>56.479166666666664</v>
      </c>
      <c r="AS418" s="356">
        <v>42.583333333333336</v>
      </c>
      <c r="AT418" s="633">
        <f t="shared" si="457"/>
        <v>693.01190898345158</v>
      </c>
      <c r="AU418" s="645">
        <f t="shared" si="473"/>
        <v>57.750992415287634</v>
      </c>
      <c r="AX418" s="632">
        <v>42.836734693877553</v>
      </c>
      <c r="AY418" s="633">
        <v>65.78</v>
      </c>
      <c r="AZ418" s="633">
        <v>48.541666666666664</v>
      </c>
      <c r="BA418" s="633">
        <v>60.0625</v>
      </c>
      <c r="BB418" s="633">
        <v>95.469387755102048</v>
      </c>
      <c r="BC418" s="633">
        <v>67.260869565217391</v>
      </c>
      <c r="BD418" s="1058">
        <v>83.92307692307692</v>
      </c>
      <c r="BE418" s="1068">
        <v>63.90625</v>
      </c>
      <c r="BF418" s="633">
        <v>75.596774193548384</v>
      </c>
      <c r="BG418" s="633">
        <v>68.285714285714292</v>
      </c>
      <c r="BH418" s="356">
        <v>67.433333333333337</v>
      </c>
      <c r="BI418" s="356">
        <v>70.4375</v>
      </c>
      <c r="BJ418" s="633">
        <f t="shared" si="471"/>
        <v>809.53380741653655</v>
      </c>
      <c r="BK418" s="645">
        <f t="shared" si="466"/>
        <v>67.461150618044712</v>
      </c>
      <c r="BN418" s="322">
        <f t="shared" si="469"/>
        <v>27.854166666666664</v>
      </c>
      <c r="BO418" s="322">
        <f t="shared" si="459"/>
        <v>9.7101582027570785</v>
      </c>
      <c r="BP418" s="322">
        <f t="shared" si="460"/>
        <v>116.52189843308497</v>
      </c>
      <c r="BQ418" s="322">
        <f t="shared" si="467"/>
        <v>3.0041666666666629</v>
      </c>
      <c r="BR418" s="2265">
        <f t="shared" si="461"/>
        <v>67.433333333333337</v>
      </c>
      <c r="BS418" s="2265">
        <f t="shared" si="462"/>
        <v>70.4375</v>
      </c>
    </row>
    <row r="419" spans="1:71" s="172" customFormat="1" x14ac:dyDescent="0.55000000000000004">
      <c r="A419" s="7531"/>
      <c r="B419" s="253"/>
      <c r="C419" s="181" t="s">
        <v>243</v>
      </c>
      <c r="D419" s="634">
        <v>68.772727272727266</v>
      </c>
      <c r="E419" s="635">
        <v>81.913043478260875</v>
      </c>
      <c r="F419" s="635">
        <v>65.916666666666671</v>
      </c>
      <c r="G419" s="635">
        <v>72.833333333333329</v>
      </c>
      <c r="H419" s="635">
        <v>77.125</v>
      </c>
      <c r="I419" s="635">
        <v>82.25</v>
      </c>
      <c r="J419" s="635">
        <v>60.56</v>
      </c>
      <c r="K419" s="635">
        <v>67.25</v>
      </c>
      <c r="L419" s="635">
        <v>44.782608695652172</v>
      </c>
      <c r="M419" s="635">
        <v>77.61904761904762</v>
      </c>
      <c r="N419" s="635">
        <v>52.590909090909093</v>
      </c>
      <c r="O419" s="635">
        <v>39.826086956521742</v>
      </c>
      <c r="P419" s="635">
        <f t="shared" si="482"/>
        <v>791.43942311311878</v>
      </c>
      <c r="Q419" s="646">
        <f t="shared" si="481"/>
        <v>65.953285259426565</v>
      </c>
      <c r="R419" s="372"/>
      <c r="S419" s="634">
        <v>49</v>
      </c>
      <c r="T419" s="635">
        <v>60</v>
      </c>
      <c r="U419" s="635">
        <v>45.772727272727273</v>
      </c>
      <c r="V419" s="635">
        <v>46.909090909090907</v>
      </c>
      <c r="W419" s="635">
        <v>48.476190476190474</v>
      </c>
      <c r="X419" s="635">
        <v>41.956521739130437</v>
      </c>
      <c r="Y419" s="635">
        <v>51.714285714285715</v>
      </c>
      <c r="Z419" s="635">
        <v>69.952380952380949</v>
      </c>
      <c r="AA419" s="635">
        <v>44.142857142857146</v>
      </c>
      <c r="AB419" s="635">
        <v>64.13636363636364</v>
      </c>
      <c r="AC419" s="635">
        <v>43.545454545454547</v>
      </c>
      <c r="AD419" s="635">
        <v>40.476190476190474</v>
      </c>
      <c r="AE419" s="635">
        <f t="shared" si="483"/>
        <v>606.08206286467157</v>
      </c>
      <c r="AF419" s="646">
        <f t="shared" si="484"/>
        <v>50.506838572055962</v>
      </c>
      <c r="AG419" s="372"/>
      <c r="AH419" s="634">
        <v>63.476190476190474</v>
      </c>
      <c r="AI419" s="635">
        <v>44.227272727272727</v>
      </c>
      <c r="AJ419" s="635">
        <v>45.954545454545453</v>
      </c>
      <c r="AK419" s="635">
        <v>49.565217391304351</v>
      </c>
      <c r="AL419" s="635">
        <v>53.391304347826086</v>
      </c>
      <c r="AM419" s="635">
        <v>47.347826086956523</v>
      </c>
      <c r="AN419" s="1059">
        <v>61.375</v>
      </c>
      <c r="AO419" s="1069">
        <v>51.739130434782609</v>
      </c>
      <c r="AP419" s="635">
        <v>56.047619047619051</v>
      </c>
      <c r="AQ419" s="635">
        <v>48.863636363636367</v>
      </c>
      <c r="AR419" s="359">
        <v>49.38095238095238</v>
      </c>
      <c r="AS419" s="359">
        <v>38.434782608695649</v>
      </c>
      <c r="AT419" s="635">
        <f t="shared" si="457"/>
        <v>609.80347731978168</v>
      </c>
      <c r="AU419" s="646">
        <f t="shared" si="473"/>
        <v>50.816956443315142</v>
      </c>
      <c r="AX419" s="634">
        <v>35.565217391304351</v>
      </c>
      <c r="AY419" s="635">
        <v>58.125</v>
      </c>
      <c r="AZ419" s="635">
        <v>44.375</v>
      </c>
      <c r="BA419" s="635">
        <v>51.541666666666664</v>
      </c>
      <c r="BB419" s="635">
        <v>101.66666666666667</v>
      </c>
      <c r="BC419" s="635">
        <v>68.095238095238102</v>
      </c>
      <c r="BD419" s="2353">
        <v>0</v>
      </c>
      <c r="BE419" s="2353">
        <v>0</v>
      </c>
      <c r="BF419" s="2353">
        <v>0</v>
      </c>
      <c r="BG419" s="2353" t="s">
        <v>482</v>
      </c>
      <c r="BH419" s="2353">
        <v>0</v>
      </c>
      <c r="BI419" s="2353">
        <v>0</v>
      </c>
      <c r="BJ419" s="635">
        <f t="shared" si="471"/>
        <v>359.36878881987582</v>
      </c>
      <c r="BK419" s="646">
        <f t="shared" si="466"/>
        <v>32.669889892715986</v>
      </c>
      <c r="BN419" s="322">
        <f t="shared" si="469"/>
        <v>-38.434782608695649</v>
      </c>
      <c r="BO419" s="322">
        <f t="shared" si="459"/>
        <v>-18.147066550599156</v>
      </c>
      <c r="BP419" s="322">
        <f t="shared" si="460"/>
        <v>-250.43468849990586</v>
      </c>
      <c r="BQ419" s="322">
        <f t="shared" si="467"/>
        <v>0</v>
      </c>
      <c r="BR419" s="2265">
        <f t="shared" si="461"/>
        <v>0</v>
      </c>
      <c r="BS419" s="2265">
        <f t="shared" si="462"/>
        <v>0</v>
      </c>
    </row>
    <row r="420" spans="1:71" s="172" customFormat="1" x14ac:dyDescent="0.55000000000000004">
      <c r="A420" s="7531"/>
      <c r="B420" s="253"/>
      <c r="C420" s="173" t="s">
        <v>244</v>
      </c>
      <c r="D420" s="636">
        <v>46.372881355932201</v>
      </c>
      <c r="E420" s="637">
        <v>70.929824561403507</v>
      </c>
      <c r="F420" s="637">
        <v>56.896551724137929</v>
      </c>
      <c r="G420" s="637">
        <v>65.067796610169495</v>
      </c>
      <c r="H420" s="637">
        <v>66.186440677966104</v>
      </c>
      <c r="I420" s="637">
        <v>63.392857142857146</v>
      </c>
      <c r="J420" s="637">
        <v>56.636363636363633</v>
      </c>
      <c r="K420" s="637">
        <v>75.075471698113205</v>
      </c>
      <c r="L420" s="637">
        <v>50.490196078431374</v>
      </c>
      <c r="M420" s="637">
        <v>68.411764705882348</v>
      </c>
      <c r="N420" s="637">
        <v>50.134615384615387</v>
      </c>
      <c r="O420" s="637">
        <v>47.102040816326529</v>
      </c>
      <c r="P420" s="637">
        <f t="shared" si="482"/>
        <v>716.69680439219883</v>
      </c>
      <c r="Q420" s="647">
        <f t="shared" si="481"/>
        <v>59.724733699349905</v>
      </c>
      <c r="R420" s="372"/>
      <c r="S420" s="636">
        <v>54.127659574468083</v>
      </c>
      <c r="T420" s="637">
        <v>61.0625</v>
      </c>
      <c r="U420" s="637">
        <v>42.1875</v>
      </c>
      <c r="V420" s="637">
        <v>37.520833333333336</v>
      </c>
      <c r="W420" s="637">
        <v>46.659090909090907</v>
      </c>
      <c r="X420" s="637">
        <v>46.720930232558139</v>
      </c>
      <c r="Y420" s="637">
        <v>50.266666666666666</v>
      </c>
      <c r="Z420" s="637">
        <v>71.511627906976742</v>
      </c>
      <c r="AA420" s="637">
        <v>48.090909090909093</v>
      </c>
      <c r="AB420" s="637">
        <v>71.20930232558139</v>
      </c>
      <c r="AC420" s="637">
        <v>53.952380952380949</v>
      </c>
      <c r="AD420" s="637">
        <v>41.711111111111109</v>
      </c>
      <c r="AE420" s="637">
        <f t="shared" si="483"/>
        <v>625.02051210307638</v>
      </c>
      <c r="AF420" s="647">
        <f t="shared" si="484"/>
        <v>52.085042675256368</v>
      </c>
      <c r="AG420" s="372"/>
      <c r="AH420" s="636">
        <v>62.522727272727273</v>
      </c>
      <c r="AI420" s="637">
        <v>48.133333333333333</v>
      </c>
      <c r="AJ420" s="637">
        <v>55.4</v>
      </c>
      <c r="AK420" s="637">
        <v>50.04</v>
      </c>
      <c r="AL420" s="637">
        <v>56.68</v>
      </c>
      <c r="AM420" s="637">
        <v>55.659574468085104</v>
      </c>
      <c r="AN420" s="1060">
        <v>66.770833333333329</v>
      </c>
      <c r="AO420" s="1070">
        <v>58.382978723404257</v>
      </c>
      <c r="AP420" s="637">
        <v>64</v>
      </c>
      <c r="AQ420" s="637">
        <v>58.375</v>
      </c>
      <c r="AR420" s="362">
        <v>56.043478260869563</v>
      </c>
      <c r="AS420" s="362">
        <v>48.108695652173914</v>
      </c>
      <c r="AT420" s="637">
        <f t="shared" si="457"/>
        <v>680.11662104392678</v>
      </c>
      <c r="AU420" s="647">
        <f t="shared" si="473"/>
        <v>56.676385086993896</v>
      </c>
      <c r="AX420" s="636">
        <v>41.208333333333336</v>
      </c>
      <c r="AY420" s="637">
        <v>69.020408163265301</v>
      </c>
      <c r="AZ420" s="637">
        <v>47.604166666666664</v>
      </c>
      <c r="BA420" s="637">
        <v>57.130434782608695</v>
      </c>
      <c r="BB420" s="637">
        <v>103</v>
      </c>
      <c r="BC420" s="637">
        <v>70.822222222222223</v>
      </c>
      <c r="BD420" s="1060">
        <v>81.227272727272734</v>
      </c>
      <c r="BE420" s="1070">
        <v>71.840909090909093</v>
      </c>
      <c r="BF420" s="637">
        <v>80.302325581395351</v>
      </c>
      <c r="BG420" s="637">
        <v>86.58536585365853</v>
      </c>
      <c r="BH420" s="362">
        <v>79.20930232558139</v>
      </c>
      <c r="BI420" s="362">
        <v>70.659090909090907</v>
      </c>
      <c r="BJ420" s="637">
        <f t="shared" si="471"/>
        <v>858.6098316560043</v>
      </c>
      <c r="BK420" s="647">
        <f t="shared" si="466"/>
        <v>71.55081930466703</v>
      </c>
      <c r="BN420" s="322">
        <f t="shared" si="469"/>
        <v>22.550395256916993</v>
      </c>
      <c r="BO420" s="322">
        <f t="shared" si="459"/>
        <v>14.874434217673134</v>
      </c>
      <c r="BP420" s="322">
        <f t="shared" si="460"/>
        <v>178.49321061207752</v>
      </c>
      <c r="BQ420" s="322">
        <f t="shared" si="467"/>
        <v>-8.5502114164904839</v>
      </c>
      <c r="BR420" s="2265">
        <f t="shared" si="461"/>
        <v>79.20930232558139</v>
      </c>
      <c r="BS420" s="2265">
        <f t="shared" si="462"/>
        <v>70.659090909090907</v>
      </c>
    </row>
    <row r="421" spans="1:71" s="172" customFormat="1" x14ac:dyDescent="0.55000000000000004">
      <c r="A421" s="7531"/>
      <c r="B421" s="253"/>
      <c r="C421" s="181" t="s">
        <v>245</v>
      </c>
      <c r="D421" s="634">
        <v>45.637931034482762</v>
      </c>
      <c r="E421" s="635">
        <v>57.620689655172413</v>
      </c>
      <c r="F421" s="635">
        <v>56.272727272727273</v>
      </c>
      <c r="G421" s="635">
        <v>56.946428571428569</v>
      </c>
      <c r="H421" s="635">
        <v>60.821428571428569</v>
      </c>
      <c r="I421" s="635">
        <v>62.055555555555557</v>
      </c>
      <c r="J421" s="635">
        <v>63.627450980392155</v>
      </c>
      <c r="K421" s="635">
        <v>76.921568627450981</v>
      </c>
      <c r="L421" s="635">
        <v>49.12</v>
      </c>
      <c r="M421" s="635">
        <v>68.156862745098039</v>
      </c>
      <c r="N421" s="635">
        <v>43.5</v>
      </c>
      <c r="O421" s="635">
        <v>42.5</v>
      </c>
      <c r="P421" s="635">
        <f t="shared" si="482"/>
        <v>683.18064301373624</v>
      </c>
      <c r="Q421" s="646">
        <f t="shared" si="481"/>
        <v>56.931720251144689</v>
      </c>
      <c r="R421" s="372"/>
      <c r="S421" s="634">
        <v>42.490909090909092</v>
      </c>
      <c r="T421" s="635">
        <v>46.672727272727272</v>
      </c>
      <c r="U421" s="635">
        <v>40.910714285714285</v>
      </c>
      <c r="V421" s="635">
        <v>41.42307692307692</v>
      </c>
      <c r="W421" s="635">
        <v>47.957446808510639</v>
      </c>
      <c r="X421" s="635">
        <v>44.148936170212764</v>
      </c>
      <c r="Y421" s="635">
        <v>53.734693877551024</v>
      </c>
      <c r="Z421" s="635">
        <v>66.891304347826093</v>
      </c>
      <c r="AA421" s="635">
        <v>44.521739130434781</v>
      </c>
      <c r="AB421" s="635">
        <v>61.255319148936174</v>
      </c>
      <c r="AC421" s="635">
        <v>45.804347826086953</v>
      </c>
      <c r="AD421" s="635">
        <v>36.346938775510203</v>
      </c>
      <c r="AE421" s="635">
        <f t="shared" si="483"/>
        <v>572.1581536574962</v>
      </c>
      <c r="AF421" s="646">
        <f t="shared" si="484"/>
        <v>47.679846138124681</v>
      </c>
      <c r="AG421" s="372"/>
      <c r="AH421" s="634">
        <v>48.8</v>
      </c>
      <c r="AI421" s="635">
        <v>46.978260869565219</v>
      </c>
      <c r="AJ421" s="635">
        <v>49.652173913043477</v>
      </c>
      <c r="AK421" s="635">
        <v>52.155555555555559</v>
      </c>
      <c r="AL421" s="635">
        <v>66.409090909090907</v>
      </c>
      <c r="AM421" s="635">
        <v>66.674418604651166</v>
      </c>
      <c r="AN421" s="1059">
        <v>81.853658536585371</v>
      </c>
      <c r="AO421" s="1069">
        <v>62.88095238095238</v>
      </c>
      <c r="AP421" s="635">
        <v>60.93181818181818</v>
      </c>
      <c r="AQ421" s="635">
        <v>66.255813953488371</v>
      </c>
      <c r="AR421" s="359">
        <v>55.288888888888891</v>
      </c>
      <c r="AS421" s="359">
        <v>45.8</v>
      </c>
      <c r="AT421" s="635">
        <f t="shared" si="457"/>
        <v>703.68063179363946</v>
      </c>
      <c r="AU421" s="646">
        <f t="shared" si="473"/>
        <v>58.640052649469958</v>
      </c>
      <c r="AX421" s="634">
        <v>48.545454545454547</v>
      </c>
      <c r="AY421" s="635">
        <v>78.952380952380949</v>
      </c>
      <c r="AZ421" s="635">
        <v>62.272727272727273</v>
      </c>
      <c r="BA421" s="635">
        <v>68.266666666666666</v>
      </c>
      <c r="BB421" s="635">
        <v>112.79069767441861</v>
      </c>
      <c r="BC421" s="635">
        <v>86.924999999999997</v>
      </c>
      <c r="BD421" s="1059">
        <v>97.139534883720927</v>
      </c>
      <c r="BE421" s="1069">
        <v>77.069767441860463</v>
      </c>
      <c r="BF421" s="635">
        <v>80.355555555555554</v>
      </c>
      <c r="BG421" s="635">
        <v>84.840909090909093</v>
      </c>
      <c r="BH421" s="359">
        <v>72.95</v>
      </c>
      <c r="BI421" s="359">
        <v>86.073170731707322</v>
      </c>
      <c r="BJ421" s="635">
        <f t="shared" si="471"/>
        <v>956.18186481540147</v>
      </c>
      <c r="BK421" s="646">
        <f t="shared" si="466"/>
        <v>79.681822067950122</v>
      </c>
      <c r="BN421" s="322">
        <f t="shared" si="469"/>
        <v>40.273170731707324</v>
      </c>
      <c r="BO421" s="322">
        <f t="shared" si="459"/>
        <v>21.041769418480165</v>
      </c>
      <c r="BP421" s="322">
        <f t="shared" si="460"/>
        <v>252.501233021762</v>
      </c>
      <c r="BQ421" s="322">
        <f t="shared" si="467"/>
        <v>13.123170731707319</v>
      </c>
      <c r="BR421" s="2265">
        <f t="shared" si="461"/>
        <v>72.95</v>
      </c>
      <c r="BS421" s="2265">
        <f t="shared" si="462"/>
        <v>86.073170731707322</v>
      </c>
    </row>
    <row r="422" spans="1:71" s="172" customFormat="1" x14ac:dyDescent="0.55000000000000004">
      <c r="A422" s="7531"/>
      <c r="B422" s="253"/>
      <c r="C422" s="173" t="s">
        <v>246</v>
      </c>
      <c r="D422" s="636">
        <v>51.682539682539684</v>
      </c>
      <c r="E422" s="637">
        <v>67.91935483870968</v>
      </c>
      <c r="F422" s="637">
        <v>61.578125</v>
      </c>
      <c r="G422" s="637">
        <v>59.939393939393938</v>
      </c>
      <c r="H422" s="637">
        <v>62.939393939393938</v>
      </c>
      <c r="I422" s="637">
        <v>53.21875</v>
      </c>
      <c r="J422" s="637">
        <v>53.274193548387096</v>
      </c>
      <c r="K422" s="637">
        <v>52.469696969696969</v>
      </c>
      <c r="L422" s="637">
        <v>43.646153846153844</v>
      </c>
      <c r="M422" s="637">
        <v>58.078125</v>
      </c>
      <c r="N422" s="637">
        <v>45.269841269841272</v>
      </c>
      <c r="O422" s="637">
        <v>38.59375</v>
      </c>
      <c r="P422" s="637">
        <f t="shared" si="482"/>
        <v>648.60931803411643</v>
      </c>
      <c r="Q422" s="647">
        <f t="shared" si="481"/>
        <v>54.050776502843036</v>
      </c>
      <c r="R422" s="372"/>
      <c r="S422" s="636">
        <v>42.45</v>
      </c>
      <c r="T422" s="637">
        <v>49.360655737704917</v>
      </c>
      <c r="U422" s="637">
        <v>44.08064516129032</v>
      </c>
      <c r="V422" s="637">
        <v>41.983333333333334</v>
      </c>
      <c r="W422" s="637">
        <v>47.327272727272728</v>
      </c>
      <c r="X422" s="637">
        <v>39.964912280701753</v>
      </c>
      <c r="Y422" s="637">
        <v>42.177419354838712</v>
      </c>
      <c r="Z422" s="637">
        <v>56.559322033898304</v>
      </c>
      <c r="AA422" s="637">
        <v>43.983050847457626</v>
      </c>
      <c r="AB422" s="637">
        <v>56.620689655172413</v>
      </c>
      <c r="AC422" s="637">
        <v>46.345454545454544</v>
      </c>
      <c r="AD422" s="637">
        <v>38.148148148148145</v>
      </c>
      <c r="AE422" s="637">
        <f t="shared" si="483"/>
        <v>549.00090382527276</v>
      </c>
      <c r="AF422" s="647">
        <f t="shared" si="484"/>
        <v>45.75007531877273</v>
      </c>
      <c r="AG422" s="372"/>
      <c r="AH422" s="636">
        <v>60.981818181818184</v>
      </c>
      <c r="AI422" s="637">
        <v>49.314814814814817</v>
      </c>
      <c r="AJ422" s="637">
        <v>53.096153846153847</v>
      </c>
      <c r="AK422" s="637">
        <v>55.462962962962962</v>
      </c>
      <c r="AL422" s="637">
        <v>54.222222222222221</v>
      </c>
      <c r="AM422" s="637">
        <v>51.169811320754718</v>
      </c>
      <c r="AN422" s="1060">
        <v>59.037735849056602</v>
      </c>
      <c r="AO422" s="1070">
        <v>49.596153846153847</v>
      </c>
      <c r="AP422" s="637">
        <v>67.117647058823536</v>
      </c>
      <c r="AQ422" s="637">
        <v>60.927272727272729</v>
      </c>
      <c r="AR422" s="362">
        <v>69.368421052631575</v>
      </c>
      <c r="AS422" s="362">
        <v>59.137931034482762</v>
      </c>
      <c r="AT422" s="637">
        <f t="shared" si="457"/>
        <v>689.43294491714778</v>
      </c>
      <c r="AU422" s="647">
        <f t="shared" si="473"/>
        <v>57.452745409762315</v>
      </c>
      <c r="AX422" s="636">
        <v>57.416666666666664</v>
      </c>
      <c r="AY422" s="637">
        <v>84.85</v>
      </c>
      <c r="AZ422" s="637">
        <v>64.517241379310349</v>
      </c>
      <c r="BA422" s="637">
        <v>98.581818181818178</v>
      </c>
      <c r="BB422" s="637">
        <v>136.01785714285714</v>
      </c>
      <c r="BC422" s="637">
        <v>125.94444444444444</v>
      </c>
      <c r="BD422" s="1060">
        <v>132.80701754385964</v>
      </c>
      <c r="BE422" s="1070">
        <v>95.017241379310349</v>
      </c>
      <c r="BF422" s="637">
        <v>93.779661016949149</v>
      </c>
      <c r="BG422" s="637">
        <v>103.27272727272727</v>
      </c>
      <c r="BH422" s="362">
        <v>71.965517241379317</v>
      </c>
      <c r="BI422" s="362">
        <v>80.456140350877192</v>
      </c>
      <c r="BJ422" s="637">
        <f t="shared" si="471"/>
        <v>1144.6263326201997</v>
      </c>
      <c r="BK422" s="647">
        <f t="shared" si="466"/>
        <v>95.385527718349977</v>
      </c>
      <c r="BN422" s="322">
        <f t="shared" si="469"/>
        <v>21.31820931639443</v>
      </c>
      <c r="BO422" s="322">
        <f t="shared" si="459"/>
        <v>37.932782308587662</v>
      </c>
      <c r="BP422" s="322">
        <f t="shared" si="460"/>
        <v>455.19338770305194</v>
      </c>
      <c r="BQ422" s="322">
        <f t="shared" si="467"/>
        <v>8.490623109497875</v>
      </c>
      <c r="BR422" s="2265">
        <f t="shared" si="461"/>
        <v>71.965517241379317</v>
      </c>
      <c r="BS422" s="2265">
        <f t="shared" si="462"/>
        <v>80.456140350877192</v>
      </c>
    </row>
    <row r="423" spans="1:71" s="172" customFormat="1" x14ac:dyDescent="0.55000000000000004">
      <c r="A423" s="7531"/>
      <c r="B423" s="253"/>
      <c r="C423" s="173" t="s">
        <v>247</v>
      </c>
      <c r="D423" s="636">
        <v>50.764705882352942</v>
      </c>
      <c r="E423" s="637">
        <v>59.134615384615387</v>
      </c>
      <c r="F423" s="637">
        <v>54.4</v>
      </c>
      <c r="G423" s="637">
        <v>60.16</v>
      </c>
      <c r="H423" s="637">
        <v>58.4</v>
      </c>
      <c r="I423" s="637">
        <v>50.34</v>
      </c>
      <c r="J423" s="637">
        <v>48.365384615384613</v>
      </c>
      <c r="K423" s="637">
        <v>54.307692307692307</v>
      </c>
      <c r="L423" s="637">
        <v>37.901960784313722</v>
      </c>
      <c r="M423" s="637">
        <v>53.372549019607845</v>
      </c>
      <c r="N423" s="637">
        <v>34.708333333333336</v>
      </c>
      <c r="O423" s="637">
        <v>23.729166666666668</v>
      </c>
      <c r="P423" s="637">
        <f t="shared" si="482"/>
        <v>585.58440799396681</v>
      </c>
      <c r="Q423" s="647">
        <f t="shared" si="481"/>
        <v>48.798700666163903</v>
      </c>
      <c r="R423" s="372"/>
      <c r="S423" s="636">
        <v>40.777777777777779</v>
      </c>
      <c r="T423" s="637">
        <v>55.955555555555556</v>
      </c>
      <c r="U423" s="637">
        <v>38.195652173913047</v>
      </c>
      <c r="V423" s="637">
        <v>45.772727272727273</v>
      </c>
      <c r="W423" s="637">
        <v>44.977777777777774</v>
      </c>
      <c r="X423" s="637">
        <v>42.466666666666669</v>
      </c>
      <c r="Y423" s="637">
        <v>44.613636363636367</v>
      </c>
      <c r="Z423" s="637">
        <v>62.93181818181818</v>
      </c>
      <c r="AA423" s="637">
        <v>40.906976744186046</v>
      </c>
      <c r="AB423" s="637">
        <v>55.232558139534881</v>
      </c>
      <c r="AC423" s="637">
        <v>39.288888888888891</v>
      </c>
      <c r="AD423" s="637">
        <v>29.772727272727273</v>
      </c>
      <c r="AE423" s="637">
        <f t="shared" si="483"/>
        <v>540.89276281520972</v>
      </c>
      <c r="AF423" s="647">
        <f t="shared" si="484"/>
        <v>45.074396901267477</v>
      </c>
      <c r="AG423" s="372"/>
      <c r="AH423" s="636">
        <v>51.56818181818182</v>
      </c>
      <c r="AI423" s="637">
        <v>43.095238095238095</v>
      </c>
      <c r="AJ423" s="637">
        <v>45.422222222222224</v>
      </c>
      <c r="AK423" s="637">
        <v>43.409090909090907</v>
      </c>
      <c r="AL423" s="637">
        <v>49.714285714285715</v>
      </c>
      <c r="AM423" s="637">
        <v>42.80952380952381</v>
      </c>
      <c r="AN423" s="1060">
        <v>54.3</v>
      </c>
      <c r="AO423" s="1070">
        <v>42.829268292682926</v>
      </c>
      <c r="AP423" s="637">
        <v>48.023809523809526</v>
      </c>
      <c r="AQ423" s="637">
        <v>44.595238095238095</v>
      </c>
      <c r="AR423" s="362">
        <v>46.666666666666664</v>
      </c>
      <c r="AS423" s="362">
        <v>42.829268292682926</v>
      </c>
      <c r="AT423" s="637">
        <f t="shared" si="457"/>
        <v>555.26279343962267</v>
      </c>
      <c r="AU423" s="647">
        <f t="shared" si="473"/>
        <v>46.271899453301891</v>
      </c>
      <c r="AX423" s="636">
        <v>46.697674418604649</v>
      </c>
      <c r="AY423" s="637">
        <v>70.465116279069761</v>
      </c>
      <c r="AZ423" s="637">
        <v>49.547619047619051</v>
      </c>
      <c r="BA423" s="637">
        <v>68.404761904761898</v>
      </c>
      <c r="BB423" s="637">
        <v>99.666666666666671</v>
      </c>
      <c r="BC423" s="637">
        <v>90.743589743589737</v>
      </c>
      <c r="BD423" s="1060">
        <v>94.85</v>
      </c>
      <c r="BE423" s="1070">
        <v>76.45</v>
      </c>
      <c r="BF423" s="637">
        <v>77.720930232558146</v>
      </c>
      <c r="BG423" s="637">
        <v>90.707317073170728</v>
      </c>
      <c r="BH423" s="362">
        <v>69.047619047619051</v>
      </c>
      <c r="BI423" s="362">
        <v>82.674999999999997</v>
      </c>
      <c r="BJ423" s="637">
        <f t="shared" si="471"/>
        <v>916.97629441365962</v>
      </c>
      <c r="BK423" s="647">
        <f t="shared" si="466"/>
        <v>76.414691201138297</v>
      </c>
      <c r="BN423" s="322">
        <f t="shared" si="469"/>
        <v>39.845731707317071</v>
      </c>
      <c r="BO423" s="322">
        <f t="shared" si="459"/>
        <v>30.142791747836405</v>
      </c>
      <c r="BP423" s="322">
        <f t="shared" si="460"/>
        <v>361.71350097403695</v>
      </c>
      <c r="BQ423" s="322">
        <f t="shared" si="467"/>
        <v>13.627380952380946</v>
      </c>
      <c r="BR423" s="2265">
        <f t="shared" si="461"/>
        <v>69.047619047619051</v>
      </c>
      <c r="BS423" s="2265">
        <f t="shared" si="462"/>
        <v>82.674999999999997</v>
      </c>
    </row>
    <row r="424" spans="1:71" s="172" customFormat="1" x14ac:dyDescent="0.55000000000000004">
      <c r="A424" s="7531"/>
      <c r="B424" s="253"/>
      <c r="C424" s="181" t="s">
        <v>248</v>
      </c>
      <c r="D424" s="634">
        <v>81.196078431372555</v>
      </c>
      <c r="E424" s="635">
        <v>84.58</v>
      </c>
      <c r="F424" s="635">
        <v>76.938775510204081</v>
      </c>
      <c r="G424" s="635">
        <v>83.760869565217391</v>
      </c>
      <c r="H424" s="635">
        <v>86.434782608695656</v>
      </c>
      <c r="I424" s="635">
        <v>83.652173913043484</v>
      </c>
      <c r="J424" s="635">
        <v>76.729166666666671</v>
      </c>
      <c r="K424" s="635">
        <v>82.632653061224488</v>
      </c>
      <c r="L424" s="635">
        <v>58.122448979591837</v>
      </c>
      <c r="M424" s="635">
        <v>86.40425531914893</v>
      </c>
      <c r="N424" s="635">
        <v>64.191489361702125</v>
      </c>
      <c r="O424" s="635">
        <v>58.183673469387756</v>
      </c>
      <c r="P424" s="635">
        <f t="shared" si="482"/>
        <v>922.82636688625473</v>
      </c>
      <c r="Q424" s="646">
        <f t="shared" si="481"/>
        <v>76.902197240521232</v>
      </c>
      <c r="R424" s="372"/>
      <c r="S424" s="634">
        <v>63.66</v>
      </c>
      <c r="T424" s="635">
        <v>74.44</v>
      </c>
      <c r="U424" s="635">
        <v>68.702127659574472</v>
      </c>
      <c r="V424" s="635">
        <v>63.875</v>
      </c>
      <c r="W424" s="635">
        <v>63.854166666666664</v>
      </c>
      <c r="X424" s="635">
        <v>64.477272727272734</v>
      </c>
      <c r="Y424" s="635">
        <v>71.88636363636364</v>
      </c>
      <c r="Z424" s="635">
        <v>96.166666666666671</v>
      </c>
      <c r="AA424" s="635">
        <v>68.19047619047619</v>
      </c>
      <c r="AB424" s="635">
        <v>79.977777777777774</v>
      </c>
      <c r="AC424" s="635">
        <v>61.31111111111111</v>
      </c>
      <c r="AD424" s="635">
        <v>49.826086956521742</v>
      </c>
      <c r="AE424" s="635">
        <f t="shared" si="483"/>
        <v>826.367049392431</v>
      </c>
      <c r="AF424" s="646">
        <f t="shared" si="484"/>
        <v>68.863920782702579</v>
      </c>
      <c r="AG424" s="372"/>
      <c r="AH424" s="634">
        <v>81.727272727272734</v>
      </c>
      <c r="AI424" s="635">
        <v>61.888888888888886</v>
      </c>
      <c r="AJ424" s="635">
        <v>69.681818181818187</v>
      </c>
      <c r="AK424" s="635">
        <v>75.023809523809518</v>
      </c>
      <c r="AL424" s="635">
        <v>74.545454545454547</v>
      </c>
      <c r="AM424" s="635">
        <v>63.511111111111113</v>
      </c>
      <c r="AN424" s="1059">
        <v>80.261904761904759</v>
      </c>
      <c r="AO424" s="1069">
        <v>52.56818181818182</v>
      </c>
      <c r="AP424" s="635">
        <v>77.534883720930239</v>
      </c>
      <c r="AQ424" s="635">
        <v>75.11904761904762</v>
      </c>
      <c r="AR424" s="359">
        <v>72</v>
      </c>
      <c r="AS424" s="359">
        <v>59.195652173913047</v>
      </c>
      <c r="AT424" s="635">
        <f t="shared" si="457"/>
        <v>843.05802507233238</v>
      </c>
      <c r="AU424" s="646">
        <f t="shared" si="473"/>
        <v>70.25483542269437</v>
      </c>
      <c r="AX424" s="634">
        <v>62.333333333333336</v>
      </c>
      <c r="AY424" s="635">
        <v>90.069767441860463</v>
      </c>
      <c r="AZ424" s="635">
        <v>73.069767441860463</v>
      </c>
      <c r="BA424" s="635">
        <v>85.090909090909093</v>
      </c>
      <c r="BB424" s="635">
        <v>132.6829268292683</v>
      </c>
      <c r="BC424" s="635">
        <v>99.888888888888886</v>
      </c>
      <c r="BD424" s="1059">
        <v>132.97435897435898</v>
      </c>
      <c r="BE424" s="1069">
        <v>90.15789473684211</v>
      </c>
      <c r="BF424" s="635">
        <v>122.5625</v>
      </c>
      <c r="BG424" s="635">
        <v>108.36363636363636</v>
      </c>
      <c r="BH424" s="359">
        <v>80.615384615384613</v>
      </c>
      <c r="BI424" s="359">
        <v>78</v>
      </c>
      <c r="BJ424" s="635">
        <f t="shared" si="471"/>
        <v>1155.8093677163426</v>
      </c>
      <c r="BK424" s="646">
        <f t="shared" si="466"/>
        <v>96.317447309695225</v>
      </c>
      <c r="BN424" s="322">
        <f t="shared" si="469"/>
        <v>18.804347826086953</v>
      </c>
      <c r="BO424" s="322">
        <f t="shared" si="459"/>
        <v>26.062611887000855</v>
      </c>
      <c r="BP424" s="322">
        <f t="shared" si="460"/>
        <v>312.75134264401026</v>
      </c>
      <c r="BQ424" s="322">
        <f t="shared" si="467"/>
        <v>-2.6153846153846132</v>
      </c>
      <c r="BR424" s="2265">
        <f t="shared" si="461"/>
        <v>80.615384615384613</v>
      </c>
      <c r="BS424" s="2265">
        <f t="shared" si="462"/>
        <v>78</v>
      </c>
    </row>
    <row r="425" spans="1:71" s="172" customFormat="1" ht="18" thickBot="1" x14ac:dyDescent="0.6">
      <c r="A425" s="7532"/>
      <c r="B425" s="255"/>
      <c r="C425" s="183" t="s">
        <v>249</v>
      </c>
      <c r="D425" s="638">
        <v>67.416666666666671</v>
      </c>
      <c r="E425" s="639">
        <v>79.477272727272734</v>
      </c>
      <c r="F425" s="639">
        <v>67.911111111111111</v>
      </c>
      <c r="G425" s="639">
        <v>72.38636363636364</v>
      </c>
      <c r="H425" s="639">
        <v>80.522727272727266</v>
      </c>
      <c r="I425" s="639">
        <v>63.511111111111113</v>
      </c>
      <c r="J425" s="639">
        <v>55.25</v>
      </c>
      <c r="K425" s="639">
        <v>59.875</v>
      </c>
      <c r="L425" s="639">
        <v>46.355555555555554</v>
      </c>
      <c r="M425" s="639">
        <v>71.326086956521735</v>
      </c>
      <c r="N425" s="639">
        <v>53.355555555555554</v>
      </c>
      <c r="O425" s="639">
        <v>43.478260869565219</v>
      </c>
      <c r="P425" s="639">
        <f t="shared" si="482"/>
        <v>760.86571146245069</v>
      </c>
      <c r="Q425" s="648">
        <f t="shared" si="481"/>
        <v>63.405475955204224</v>
      </c>
      <c r="R425" s="372"/>
      <c r="S425" s="638">
        <v>53.953488372093027</v>
      </c>
      <c r="T425" s="639">
        <v>61.418604651162788</v>
      </c>
      <c r="U425" s="639">
        <v>47.714285714285715</v>
      </c>
      <c r="V425" s="639">
        <v>48.904761904761905</v>
      </c>
      <c r="W425" s="639">
        <v>43.5</v>
      </c>
      <c r="X425" s="639">
        <v>42</v>
      </c>
      <c r="Y425" s="639">
        <v>48.738095238095241</v>
      </c>
      <c r="Z425" s="639">
        <v>66.275000000000006</v>
      </c>
      <c r="AA425" s="639">
        <v>49.75</v>
      </c>
      <c r="AB425" s="639">
        <v>59.125</v>
      </c>
      <c r="AC425" s="639">
        <v>42.571428571428569</v>
      </c>
      <c r="AD425" s="639">
        <v>38.268292682926827</v>
      </c>
      <c r="AE425" s="639">
        <f t="shared" si="483"/>
        <v>602.21895713475408</v>
      </c>
      <c r="AF425" s="648">
        <f t="shared" si="484"/>
        <v>50.184913094562837</v>
      </c>
      <c r="AG425" s="372"/>
      <c r="AH425" s="638">
        <v>56.487804878048777</v>
      </c>
      <c r="AI425" s="639">
        <v>50.7</v>
      </c>
      <c r="AJ425" s="639">
        <v>55.763157894736842</v>
      </c>
      <c r="AK425" s="639">
        <v>50.621621621621621</v>
      </c>
      <c r="AL425" s="639">
        <v>52.444444444444443</v>
      </c>
      <c r="AM425" s="639">
        <v>59.885714285714286</v>
      </c>
      <c r="AN425" s="1062">
        <v>66.558823529411768</v>
      </c>
      <c r="AO425" s="1071">
        <v>52.714285714285715</v>
      </c>
      <c r="AP425" s="639">
        <v>57</v>
      </c>
      <c r="AQ425" s="639">
        <v>58.371428571428574</v>
      </c>
      <c r="AR425" s="368">
        <v>65.428571428571431</v>
      </c>
      <c r="AS425" s="368">
        <v>55.647058823529413</v>
      </c>
      <c r="AT425" s="639">
        <f t="shared" si="457"/>
        <v>681.62291119179292</v>
      </c>
      <c r="AU425" s="648">
        <f t="shared" si="473"/>
        <v>56.801909265982744</v>
      </c>
      <c r="AX425" s="638">
        <v>59.090909090909093</v>
      </c>
      <c r="AY425" s="639">
        <v>76.705882352941174</v>
      </c>
      <c r="AZ425" s="639">
        <v>57.969696969696969</v>
      </c>
      <c r="BA425" s="639">
        <v>73.36363636363636</v>
      </c>
      <c r="BB425" s="639">
        <v>88.794117647058826</v>
      </c>
      <c r="BC425" s="639">
        <v>75.258064516129039</v>
      </c>
      <c r="BD425" s="1062">
        <v>106.06896551724138</v>
      </c>
      <c r="BE425" s="1071">
        <v>79.392857142857139</v>
      </c>
      <c r="BF425" s="639">
        <v>93.035714285714292</v>
      </c>
      <c r="BG425" s="639">
        <v>69.515151515151516</v>
      </c>
      <c r="BH425" s="368">
        <v>62.625</v>
      </c>
      <c r="BI425" s="368">
        <v>59.46875</v>
      </c>
      <c r="BJ425" s="639">
        <f t="shared" si="471"/>
        <v>901.28874540133575</v>
      </c>
      <c r="BK425" s="648">
        <f t="shared" si="466"/>
        <v>75.107395450111312</v>
      </c>
      <c r="BN425" s="322">
        <f t="shared" si="469"/>
        <v>3.821691176470587</v>
      </c>
      <c r="BO425" s="322">
        <f t="shared" si="459"/>
        <v>18.305486184128569</v>
      </c>
      <c r="BP425" s="322">
        <f t="shared" si="460"/>
        <v>219.66583420954282</v>
      </c>
      <c r="BQ425" s="322">
        <f t="shared" si="467"/>
        <v>-3.15625</v>
      </c>
      <c r="BR425" s="2265">
        <f t="shared" si="461"/>
        <v>62.625</v>
      </c>
      <c r="BS425" s="2265">
        <f t="shared" si="462"/>
        <v>59.46875</v>
      </c>
    </row>
    <row r="426" spans="1:71" s="173" customFormat="1" ht="6" customHeight="1" thickBot="1" x14ac:dyDescent="0.6">
      <c r="A426" s="174"/>
      <c r="B426" s="256"/>
      <c r="D426" s="362"/>
      <c r="E426" s="362"/>
      <c r="F426" s="362"/>
      <c r="G426" s="362"/>
      <c r="H426" s="362"/>
      <c r="I426" s="362"/>
      <c r="J426" s="362"/>
      <c r="K426" s="362"/>
      <c r="L426" s="362"/>
      <c r="M426" s="362"/>
      <c r="N426" s="362"/>
      <c r="O426" s="362"/>
      <c r="P426" s="362"/>
      <c r="Q426" s="362"/>
      <c r="R426" s="373"/>
      <c r="S426" s="362"/>
      <c r="T426" s="362"/>
      <c r="U426" s="362"/>
      <c r="V426" s="362"/>
      <c r="W426" s="362"/>
      <c r="X426" s="362"/>
      <c r="Y426" s="362"/>
      <c r="Z426" s="362"/>
      <c r="AA426" s="362"/>
      <c r="AB426" s="362"/>
      <c r="AC426" s="362"/>
      <c r="AD426" s="362"/>
      <c r="AE426" s="362"/>
      <c r="AF426" s="362"/>
      <c r="AG426" s="373"/>
      <c r="AH426" s="362"/>
      <c r="AI426" s="362"/>
      <c r="AJ426" s="362"/>
      <c r="AK426" s="637"/>
      <c r="AL426" s="637"/>
      <c r="AM426" s="637"/>
      <c r="AN426" s="1060"/>
      <c r="AO426" s="362"/>
      <c r="AP426" s="362"/>
      <c r="AQ426" s="362"/>
      <c r="AR426" s="362"/>
      <c r="AS426" s="362"/>
      <c r="AT426" s="362">
        <f t="shared" si="457"/>
        <v>0</v>
      </c>
      <c r="AU426" s="362">
        <f t="shared" si="473"/>
        <v>0</v>
      </c>
      <c r="AX426" s="362"/>
      <c r="AY426" s="362"/>
      <c r="AZ426" s="362"/>
      <c r="BA426" s="637"/>
      <c r="BB426" s="637"/>
      <c r="BC426" s="637"/>
      <c r="BD426" s="1060"/>
      <c r="BE426" s="362"/>
      <c r="BF426" s="362"/>
      <c r="BG426" s="362"/>
      <c r="BH426" s="362"/>
      <c r="BI426" s="362"/>
      <c r="BJ426" s="362"/>
      <c r="BK426" s="362"/>
      <c r="BN426" s="322">
        <f t="shared" si="469"/>
        <v>0</v>
      </c>
      <c r="BO426" s="322">
        <f t="shared" si="459"/>
        <v>0</v>
      </c>
      <c r="BP426" s="322">
        <f t="shared" si="460"/>
        <v>0</v>
      </c>
      <c r="BQ426" s="322">
        <f t="shared" si="467"/>
        <v>0</v>
      </c>
      <c r="BR426" s="2265">
        <f t="shared" si="461"/>
        <v>0</v>
      </c>
      <c r="BS426" s="2265">
        <f t="shared" si="462"/>
        <v>0</v>
      </c>
    </row>
    <row r="427" spans="1:71" x14ac:dyDescent="0.55000000000000004">
      <c r="A427" s="7530" t="s">
        <v>407</v>
      </c>
      <c r="B427" s="74" t="s">
        <v>268</v>
      </c>
      <c r="C427" s="27"/>
      <c r="D427" s="686">
        <v>67.265306122448976</v>
      </c>
      <c r="E427" s="650">
        <v>71.469387755102048</v>
      </c>
      <c r="F427" s="650">
        <v>74.163265306122454</v>
      </c>
      <c r="G427" s="650">
        <v>88.204081632653057</v>
      </c>
      <c r="H427" s="650">
        <v>92.142857142857139</v>
      </c>
      <c r="I427" s="650">
        <v>81.714285714285708</v>
      </c>
      <c r="J427" s="650">
        <v>58.326530612244895</v>
      </c>
      <c r="K427" s="650">
        <v>69.204081632653057</v>
      </c>
      <c r="L427" s="650">
        <v>56.775510204081634</v>
      </c>
      <c r="M427" s="650">
        <v>62.612244897959187</v>
      </c>
      <c r="N427" s="650">
        <v>54.306122448979593</v>
      </c>
      <c r="O427" s="650">
        <v>45.204081632653065</v>
      </c>
      <c r="P427" s="650">
        <f>SUM(D427:O427)</f>
        <v>821.38775510204084</v>
      </c>
      <c r="Q427" s="651">
        <f>P427/12</f>
        <v>68.448979591836732</v>
      </c>
      <c r="R427" s="370"/>
      <c r="S427" s="686">
        <v>48.938775510204081</v>
      </c>
      <c r="T427" s="650">
        <v>59.142857142857146</v>
      </c>
      <c r="U427" s="650">
        <v>55.918367346938773</v>
      </c>
      <c r="V427" s="650">
        <v>55.833333333333336</v>
      </c>
      <c r="W427" s="650">
        <v>71.142857142857139</v>
      </c>
      <c r="X427" s="650">
        <v>60.904761904761905</v>
      </c>
      <c r="Y427" s="650">
        <v>55.214285714285715</v>
      </c>
      <c r="Z427" s="650">
        <v>76.404761904761898</v>
      </c>
      <c r="AA427" s="650">
        <v>65.38095238095238</v>
      </c>
      <c r="AB427" s="650">
        <v>68.666666666666671</v>
      </c>
      <c r="AC427" s="650">
        <v>67.166666666666671</v>
      </c>
      <c r="AD427" s="650">
        <v>45.952380952380949</v>
      </c>
      <c r="AE427" s="650">
        <f>SUM(S427:AD427)</f>
        <v>730.66666666666663</v>
      </c>
      <c r="AF427" s="651">
        <f>AE427/12</f>
        <v>60.888888888888886</v>
      </c>
      <c r="AG427" s="688"/>
      <c r="AH427" s="686">
        <v>71.523809523809518</v>
      </c>
      <c r="AI427" s="650">
        <v>60.61904761904762</v>
      </c>
      <c r="AJ427" s="650">
        <v>71.595238095238102</v>
      </c>
      <c r="AK427" s="650">
        <v>67.38095238095238</v>
      </c>
      <c r="AL427" s="650">
        <v>79.642857142857139</v>
      </c>
      <c r="AM427" s="650">
        <v>73.857142857142861</v>
      </c>
      <c r="AN427" s="1053">
        <v>81.2</v>
      </c>
      <c r="AO427" s="1053">
        <v>80.857142857142861</v>
      </c>
      <c r="AP427" s="650">
        <v>81.428600000000003</v>
      </c>
      <c r="AQ427" s="650">
        <v>92.69</v>
      </c>
      <c r="AR427" s="343">
        <v>93.214285714285708</v>
      </c>
      <c r="AS427" s="343">
        <v>87.023809523809518</v>
      </c>
      <c r="AT427" s="650">
        <f t="shared" si="457"/>
        <v>941.03288571428561</v>
      </c>
      <c r="AU427" s="651">
        <f t="shared" si="473"/>
        <v>78.419407142857139</v>
      </c>
      <c r="AX427" s="342">
        <v>82.523809523809518</v>
      </c>
      <c r="AY427" s="650">
        <v>105.11904761904762</v>
      </c>
      <c r="AZ427" s="650">
        <v>92.404761904761898</v>
      </c>
      <c r="BA427" s="650">
        <v>95.571428571428569</v>
      </c>
      <c r="BB427" s="650">
        <v>184.35714285714286</v>
      </c>
      <c r="BC427" s="650">
        <v>144.42857142857142</v>
      </c>
      <c r="BD427" s="1053">
        <v>128.66666666666666</v>
      </c>
      <c r="BE427" s="1053">
        <v>94.333333333333329</v>
      </c>
      <c r="BF427" s="650">
        <v>96.071428571428569</v>
      </c>
      <c r="BG427" s="650">
        <v>90.61904761904762</v>
      </c>
      <c r="BH427" s="343">
        <v>88.11904761904762</v>
      </c>
      <c r="BI427" s="343">
        <v>87.857142857142861</v>
      </c>
      <c r="BJ427" s="650">
        <f t="shared" si="471"/>
        <v>1290.0714285714287</v>
      </c>
      <c r="BK427" s="651">
        <f t="shared" si="466"/>
        <v>107.50595238095239</v>
      </c>
      <c r="BN427" s="322">
        <f t="shared" si="469"/>
        <v>0.83333333333334281</v>
      </c>
      <c r="BO427" s="322">
        <f t="shared" si="459"/>
        <v>29.086545238095255</v>
      </c>
      <c r="BP427" s="322">
        <f t="shared" si="460"/>
        <v>349.03854285714306</v>
      </c>
      <c r="BQ427" s="322">
        <f t="shared" si="467"/>
        <v>-0.2619047619047592</v>
      </c>
      <c r="BR427" s="2265">
        <f t="shared" si="461"/>
        <v>88.11904761904762</v>
      </c>
      <c r="BS427" s="2265">
        <f t="shared" si="462"/>
        <v>87.857142857142861</v>
      </c>
    </row>
    <row r="428" spans="1:71" hidden="1" x14ac:dyDescent="0.55000000000000004">
      <c r="A428" s="7531"/>
      <c r="B428" s="248"/>
      <c r="C428" s="12" t="s">
        <v>267</v>
      </c>
      <c r="D428" s="34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652">
        <f>SUM(D428:O428)</f>
        <v>0</v>
      </c>
      <c r="Q428" s="346">
        <f t="shared" ref="Q428:Q443" si="485">P428/12</f>
        <v>0</v>
      </c>
      <c r="R428" s="370"/>
      <c r="S428" s="34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>
        <f>SUM(S428:AD428)</f>
        <v>0</v>
      </c>
      <c r="AF428" s="346">
        <f>AE428/12</f>
        <v>0</v>
      </c>
      <c r="AG428" s="370"/>
      <c r="AH428" s="345"/>
      <c r="AI428" s="295"/>
      <c r="AJ428" s="295"/>
      <c r="AK428" s="652"/>
      <c r="AL428" s="652"/>
      <c r="AM428" s="652"/>
      <c r="AN428" s="1054"/>
      <c r="AO428" s="1054"/>
      <c r="AP428" s="652"/>
      <c r="AQ428" s="652"/>
      <c r="AR428" s="295"/>
      <c r="AS428" s="295"/>
      <c r="AT428" s="652">
        <f t="shared" si="457"/>
        <v>0</v>
      </c>
      <c r="AU428" s="653">
        <f t="shared" si="473"/>
        <v>0</v>
      </c>
      <c r="AX428" s="345"/>
      <c r="AY428" s="295"/>
      <c r="AZ428" s="295"/>
      <c r="BA428" s="652"/>
      <c r="BB428" s="652"/>
      <c r="BC428" s="652"/>
      <c r="BD428" s="1054"/>
      <c r="BE428" s="1054"/>
      <c r="BF428" s="652"/>
      <c r="BG428" s="652"/>
      <c r="BH428" s="295"/>
      <c r="BI428" s="295"/>
      <c r="BJ428" s="652">
        <f t="shared" si="471"/>
        <v>0</v>
      </c>
      <c r="BK428" s="653" t="e">
        <f t="shared" si="466"/>
        <v>#DIV/0!</v>
      </c>
      <c r="BN428" s="322">
        <f t="shared" si="469"/>
        <v>0</v>
      </c>
      <c r="BO428" s="322" t="e">
        <f t="shared" si="459"/>
        <v>#DIV/0!</v>
      </c>
      <c r="BP428" s="322">
        <f t="shared" si="460"/>
        <v>0</v>
      </c>
      <c r="BQ428" s="322">
        <f t="shared" si="467"/>
        <v>0</v>
      </c>
      <c r="BR428" s="2265">
        <f t="shared" si="461"/>
        <v>0</v>
      </c>
      <c r="BS428" s="2265">
        <f t="shared" si="462"/>
        <v>0</v>
      </c>
    </row>
    <row r="429" spans="1:71" hidden="1" x14ac:dyDescent="0.55000000000000004">
      <c r="A429" s="7531"/>
      <c r="B429" s="248"/>
      <c r="C429" s="12" t="s">
        <v>280</v>
      </c>
      <c r="D429" s="34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652">
        <f>SUM(D429:O429)</f>
        <v>0</v>
      </c>
      <c r="Q429" s="346">
        <f t="shared" si="485"/>
        <v>0</v>
      </c>
      <c r="R429" s="370"/>
      <c r="S429" s="34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>
        <f>SUM(S429:AD429)</f>
        <v>0</v>
      </c>
      <c r="AF429" s="346">
        <f>AE429/12</f>
        <v>0</v>
      </c>
      <c r="AG429" s="370"/>
      <c r="AH429" s="345"/>
      <c r="AI429" s="295"/>
      <c r="AJ429" s="295"/>
      <c r="AK429" s="652"/>
      <c r="AL429" s="652"/>
      <c r="AM429" s="652"/>
      <c r="AN429" s="1054"/>
      <c r="AO429" s="1054"/>
      <c r="AP429" s="652"/>
      <c r="AQ429" s="652"/>
      <c r="AR429" s="295"/>
      <c r="AS429" s="295"/>
      <c r="AT429" s="652">
        <f t="shared" si="457"/>
        <v>0</v>
      </c>
      <c r="AU429" s="653">
        <f t="shared" si="473"/>
        <v>0</v>
      </c>
      <c r="AX429" s="345"/>
      <c r="AY429" s="295"/>
      <c r="AZ429" s="295"/>
      <c r="BA429" s="652"/>
      <c r="BB429" s="652"/>
      <c r="BC429" s="652"/>
      <c r="BD429" s="1054"/>
      <c r="BE429" s="1054"/>
      <c r="BF429" s="652"/>
      <c r="BG429" s="652"/>
      <c r="BH429" s="295"/>
      <c r="BI429" s="295"/>
      <c r="BJ429" s="652">
        <f t="shared" si="471"/>
        <v>0</v>
      </c>
      <c r="BK429" s="653" t="e">
        <f t="shared" si="466"/>
        <v>#DIV/0!</v>
      </c>
      <c r="BN429" s="322">
        <f t="shared" si="469"/>
        <v>0</v>
      </c>
      <c r="BO429" s="322" t="e">
        <f t="shared" si="459"/>
        <v>#DIV/0!</v>
      </c>
      <c r="BP429" s="322">
        <f t="shared" si="460"/>
        <v>0</v>
      </c>
      <c r="BQ429" s="322">
        <f t="shared" si="467"/>
        <v>0</v>
      </c>
      <c r="BR429" s="2265">
        <f t="shared" si="461"/>
        <v>0</v>
      </c>
      <c r="BS429" s="2265">
        <f t="shared" si="462"/>
        <v>0</v>
      </c>
    </row>
    <row r="430" spans="1:71" hidden="1" x14ac:dyDescent="0.55000000000000004">
      <c r="A430" s="7531"/>
      <c r="B430" s="248"/>
      <c r="C430" s="12" t="s">
        <v>279</v>
      </c>
      <c r="D430" s="34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652">
        <f>SUM(D430:O430)</f>
        <v>0</v>
      </c>
      <c r="Q430" s="346">
        <f t="shared" si="485"/>
        <v>0</v>
      </c>
      <c r="R430" s="370"/>
      <c r="S430" s="34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>
        <f>SUM(S430:AD430)</f>
        <v>0</v>
      </c>
      <c r="AF430" s="346">
        <f>AE430/12</f>
        <v>0</v>
      </c>
      <c r="AG430" s="370"/>
      <c r="AH430" s="345"/>
      <c r="AI430" s="295"/>
      <c r="AJ430" s="295"/>
      <c r="AK430" s="652"/>
      <c r="AL430" s="652"/>
      <c r="AM430" s="652"/>
      <c r="AN430" s="1054"/>
      <c r="AO430" s="1054"/>
      <c r="AP430" s="652"/>
      <c r="AQ430" s="652"/>
      <c r="AR430" s="295"/>
      <c r="AS430" s="295"/>
      <c r="AT430" s="652">
        <f t="shared" ref="AT430:AT477" si="486">SUM(AH430:AS430)</f>
        <v>0</v>
      </c>
      <c r="AU430" s="653">
        <f t="shared" si="473"/>
        <v>0</v>
      </c>
      <c r="AX430" s="345"/>
      <c r="AY430" s="295"/>
      <c r="AZ430" s="295"/>
      <c r="BA430" s="652"/>
      <c r="BB430" s="652"/>
      <c r="BC430" s="652"/>
      <c r="BD430" s="1054"/>
      <c r="BE430" s="1054"/>
      <c r="BF430" s="652"/>
      <c r="BG430" s="652"/>
      <c r="BH430" s="295"/>
      <c r="BI430" s="295"/>
      <c r="BJ430" s="652">
        <f t="shared" ref="BJ430:BJ477" si="487">SUM(AX430:BI430)</f>
        <v>0</v>
      </c>
      <c r="BK430" s="653" t="e">
        <f t="shared" si="466"/>
        <v>#DIV/0!</v>
      </c>
      <c r="BN430" s="322">
        <f t="shared" si="469"/>
        <v>0</v>
      </c>
      <c r="BO430" s="322" t="e">
        <f t="shared" ref="BO430:BO477" si="488">BK430-AU430</f>
        <v>#DIV/0!</v>
      </c>
      <c r="BP430" s="322">
        <f t="shared" ref="BP430:BP477" si="489">BJ430-SUM(AH430:AS430)</f>
        <v>0</v>
      </c>
      <c r="BQ430" s="322">
        <f t="shared" si="467"/>
        <v>0</v>
      </c>
      <c r="BR430" s="2265">
        <f t="shared" ref="BR430:BR477" si="490">HLOOKUP($B$1,$AX$1:$BI$500,ROW(),0)</f>
        <v>0</v>
      </c>
      <c r="BS430" s="2265">
        <f t="shared" ref="BS430:BS477" si="491">HLOOKUP($A$1,$AX$1:$BI$500,ROW(),0)</f>
        <v>0</v>
      </c>
    </row>
    <row r="431" spans="1:71" x14ac:dyDescent="0.55000000000000004">
      <c r="A431" s="7531"/>
      <c r="B431" s="249" t="s">
        <v>222</v>
      </c>
      <c r="C431" s="100"/>
      <c r="D431" s="627">
        <v>63.888888888888886</v>
      </c>
      <c r="E431" s="628">
        <v>71.888888888888886</v>
      </c>
      <c r="F431" s="628">
        <v>74.888888888888886</v>
      </c>
      <c r="G431" s="628">
        <v>94.555555555555557</v>
      </c>
      <c r="H431" s="628">
        <v>118.88888888888889</v>
      </c>
      <c r="I431" s="628">
        <v>102.77777777777777</v>
      </c>
      <c r="J431" s="628">
        <v>62.444444444444443</v>
      </c>
      <c r="K431" s="628">
        <v>66.444444444444443</v>
      </c>
      <c r="L431" s="628">
        <v>65</v>
      </c>
      <c r="M431" s="628">
        <v>78.333333333333329</v>
      </c>
      <c r="N431" s="628">
        <v>57.555555555555557</v>
      </c>
      <c r="O431" s="628">
        <v>56.666666666666664</v>
      </c>
      <c r="P431" s="628">
        <f>SUM(D431:O431)</f>
        <v>913.33333333333337</v>
      </c>
      <c r="Q431" s="642">
        <f>P431/12</f>
        <v>76.111111111111114</v>
      </c>
      <c r="R431" s="370"/>
      <c r="S431" s="627">
        <v>52.555555555555557</v>
      </c>
      <c r="T431" s="628">
        <v>71.444444444444443</v>
      </c>
      <c r="U431" s="628">
        <v>72.222222222222229</v>
      </c>
      <c r="V431" s="628">
        <v>52.222222222222221</v>
      </c>
      <c r="W431" s="628">
        <v>66.888888888888886</v>
      </c>
      <c r="X431" s="628">
        <v>65.777777777777771</v>
      </c>
      <c r="Y431" s="628">
        <v>54.666666666666664</v>
      </c>
      <c r="Z431" s="628">
        <v>88.222222222222229</v>
      </c>
      <c r="AA431" s="628">
        <v>82.333333333333329</v>
      </c>
      <c r="AB431" s="628">
        <v>64.666666666666671</v>
      </c>
      <c r="AC431" s="628">
        <v>72.222222222222229</v>
      </c>
      <c r="AD431" s="628">
        <v>45.333333333333336</v>
      </c>
      <c r="AE431" s="628">
        <f>SUM(S431:AD431)</f>
        <v>788.55555555555554</v>
      </c>
      <c r="AF431" s="642">
        <f>AE431/12</f>
        <v>65.712962962962962</v>
      </c>
      <c r="AG431" s="370"/>
      <c r="AH431" s="627">
        <v>75.777777777777771</v>
      </c>
      <c r="AI431" s="628">
        <v>53.111111111111114</v>
      </c>
      <c r="AJ431" s="628">
        <v>62.555555555555557</v>
      </c>
      <c r="AK431" s="628">
        <v>52.333333333333336</v>
      </c>
      <c r="AL431" s="628">
        <v>75.222222222222229</v>
      </c>
      <c r="AM431" s="628">
        <v>68</v>
      </c>
      <c r="AN431" s="1055">
        <v>85</v>
      </c>
      <c r="AO431" s="1055">
        <v>80.444444444444443</v>
      </c>
      <c r="AP431" s="628">
        <v>79.666666666666671</v>
      </c>
      <c r="AQ431" s="628">
        <v>88.444444444444443</v>
      </c>
      <c r="AR431" s="348">
        <v>72.666666666666671</v>
      </c>
      <c r="AS431" s="348">
        <v>60.333333333333336</v>
      </c>
      <c r="AT431" s="628">
        <f t="shared" si="486"/>
        <v>853.55555555555554</v>
      </c>
      <c r="AU431" s="642">
        <f t="shared" si="473"/>
        <v>71.129629629629633</v>
      </c>
      <c r="AX431" s="347">
        <v>64.666666666666671</v>
      </c>
      <c r="AY431" s="628">
        <v>85</v>
      </c>
      <c r="AZ431" s="628">
        <v>69.666666666666671</v>
      </c>
      <c r="BA431" s="628">
        <v>71.888888888888886</v>
      </c>
      <c r="BB431" s="628">
        <v>152</v>
      </c>
      <c r="BC431" s="628">
        <v>88.888888888888886</v>
      </c>
      <c r="BD431" s="1055">
        <v>89.111111111111114</v>
      </c>
      <c r="BE431" s="1055">
        <v>72.222222222222229</v>
      </c>
      <c r="BF431" s="628">
        <v>74.777777777777771</v>
      </c>
      <c r="BG431" s="628">
        <v>65.555555555555557</v>
      </c>
      <c r="BH431" s="348">
        <v>71</v>
      </c>
      <c r="BI431" s="348">
        <v>81.111111111111114</v>
      </c>
      <c r="BJ431" s="628">
        <f t="shared" si="487"/>
        <v>985.88888888888903</v>
      </c>
      <c r="BK431" s="642">
        <f t="shared" ref="BK431:BK477" si="492">AVERAGE(AX431:BI431)</f>
        <v>82.157407407407419</v>
      </c>
      <c r="BN431" s="322">
        <f t="shared" si="469"/>
        <v>20.777777777777779</v>
      </c>
      <c r="BO431" s="322">
        <f t="shared" si="488"/>
        <v>11.027777777777786</v>
      </c>
      <c r="BP431" s="322">
        <f t="shared" si="489"/>
        <v>132.33333333333348</v>
      </c>
      <c r="BQ431" s="322">
        <f t="shared" ref="BQ431:BQ477" si="493">BS431-BR431</f>
        <v>10.111111111111114</v>
      </c>
      <c r="BR431" s="2265">
        <f t="shared" si="490"/>
        <v>71</v>
      </c>
      <c r="BS431" s="2265">
        <f t="shared" si="491"/>
        <v>81.111111111111114</v>
      </c>
    </row>
    <row r="432" spans="1:71" x14ac:dyDescent="0.55000000000000004">
      <c r="A432" s="7531"/>
      <c r="B432" s="250" t="s">
        <v>223</v>
      </c>
      <c r="C432" s="14"/>
      <c r="D432" s="629">
        <v>95.666666666666671</v>
      </c>
      <c r="E432" s="568">
        <v>112.5</v>
      </c>
      <c r="F432" s="568">
        <v>121.83333333333333</v>
      </c>
      <c r="G432" s="568">
        <v>151.66666666666666</v>
      </c>
      <c r="H432" s="568">
        <v>152.16666666666666</v>
      </c>
      <c r="I432" s="568">
        <v>112.33333333333333</v>
      </c>
      <c r="J432" s="568">
        <v>80.333333333333329</v>
      </c>
      <c r="K432" s="568">
        <v>103.66666666666667</v>
      </c>
      <c r="L432" s="568">
        <v>66.166666666666671</v>
      </c>
      <c r="M432" s="568">
        <v>90.833333333333329</v>
      </c>
      <c r="N432" s="568">
        <v>81.5</v>
      </c>
      <c r="O432" s="568">
        <v>67</v>
      </c>
      <c r="P432" s="568">
        <f t="shared" ref="P432:P443" si="494">SUM(D432:O432)</f>
        <v>1235.6666666666665</v>
      </c>
      <c r="Q432" s="643">
        <f t="shared" si="485"/>
        <v>102.97222222222221</v>
      </c>
      <c r="R432" s="370"/>
      <c r="S432" s="629">
        <v>71.666666666666671</v>
      </c>
      <c r="T432" s="568">
        <v>81.166666666666671</v>
      </c>
      <c r="U432" s="568">
        <v>63</v>
      </c>
      <c r="V432" s="568">
        <v>45.833333333333336</v>
      </c>
      <c r="W432" s="568">
        <v>64.333333333333329</v>
      </c>
      <c r="X432" s="568">
        <v>49.166666666666664</v>
      </c>
      <c r="Y432" s="568">
        <v>51</v>
      </c>
      <c r="Z432" s="568">
        <v>61.666666666666664</v>
      </c>
      <c r="AA432" s="568">
        <v>57.666666666666664</v>
      </c>
      <c r="AB432" s="568">
        <v>68.166666666666671</v>
      </c>
      <c r="AC432" s="568">
        <v>63</v>
      </c>
      <c r="AD432" s="568">
        <v>40.833333333333336</v>
      </c>
      <c r="AE432" s="568">
        <f t="shared" ref="AE432:AE443" si="495">SUM(S432:AD432)</f>
        <v>717.5</v>
      </c>
      <c r="AF432" s="643">
        <f t="shared" ref="AF432:AF443" si="496">AE432/12</f>
        <v>59.791666666666664</v>
      </c>
      <c r="AG432" s="370"/>
      <c r="AH432" s="629">
        <v>57</v>
      </c>
      <c r="AI432" s="568">
        <v>50.166666666666664</v>
      </c>
      <c r="AJ432" s="568">
        <v>74.333333333333329</v>
      </c>
      <c r="AK432" s="568">
        <v>71</v>
      </c>
      <c r="AL432" s="568">
        <v>67.666666666666671</v>
      </c>
      <c r="AM432" s="568">
        <v>80.333333333333329</v>
      </c>
      <c r="AN432" s="1056">
        <v>79.666666666666671</v>
      </c>
      <c r="AO432" s="1056">
        <v>112.33333333333333</v>
      </c>
      <c r="AP432" s="568">
        <v>117.83333333333333</v>
      </c>
      <c r="AQ432" s="568">
        <v>118.16666666666667</v>
      </c>
      <c r="AR432" s="280">
        <v>99</v>
      </c>
      <c r="AS432" s="280">
        <v>97.833333333333329</v>
      </c>
      <c r="AT432" s="568">
        <f t="shared" si="486"/>
        <v>1025.3333333333333</v>
      </c>
      <c r="AU432" s="643">
        <f t="shared" si="473"/>
        <v>85.444444444444443</v>
      </c>
      <c r="AX432" s="350">
        <v>88.666666666666671</v>
      </c>
      <c r="AY432" s="568">
        <v>100.33333333333333</v>
      </c>
      <c r="AZ432" s="568">
        <v>81.5</v>
      </c>
      <c r="BA432" s="568">
        <v>76.166666666666671</v>
      </c>
      <c r="BB432" s="568">
        <v>172.5</v>
      </c>
      <c r="BC432" s="568">
        <v>108.83333333333333</v>
      </c>
      <c r="BD432" s="1056">
        <v>102.83333333333333</v>
      </c>
      <c r="BE432" s="1056">
        <v>101</v>
      </c>
      <c r="BF432" s="568">
        <v>101.16666666666667</v>
      </c>
      <c r="BG432" s="568">
        <v>92.666666666666671</v>
      </c>
      <c r="BH432" s="280">
        <v>86.833333333333329</v>
      </c>
      <c r="BI432" s="280">
        <v>95.333333333333329</v>
      </c>
      <c r="BJ432" s="568">
        <f t="shared" si="487"/>
        <v>1207.8333333333333</v>
      </c>
      <c r="BK432" s="643">
        <f t="shared" si="492"/>
        <v>100.65277777777777</v>
      </c>
      <c r="BN432" s="322">
        <f t="shared" si="469"/>
        <v>-2.5</v>
      </c>
      <c r="BO432" s="322">
        <f t="shared" si="488"/>
        <v>15.208333333333329</v>
      </c>
      <c r="BP432" s="322">
        <f t="shared" si="489"/>
        <v>182.5</v>
      </c>
      <c r="BQ432" s="322">
        <f t="shared" si="493"/>
        <v>8.5</v>
      </c>
      <c r="BR432" s="2265">
        <f t="shared" si="490"/>
        <v>86.833333333333329</v>
      </c>
      <c r="BS432" s="2265">
        <f t="shared" si="491"/>
        <v>95.333333333333329</v>
      </c>
    </row>
    <row r="433" spans="1:71" x14ac:dyDescent="0.55000000000000004">
      <c r="A433" s="7531"/>
      <c r="B433" s="250" t="s">
        <v>224</v>
      </c>
      <c r="C433" s="14"/>
      <c r="D433" s="629">
        <v>70</v>
      </c>
      <c r="E433" s="568">
        <v>78.25</v>
      </c>
      <c r="F433" s="568">
        <v>83.125</v>
      </c>
      <c r="G433" s="568">
        <v>100.5</v>
      </c>
      <c r="H433" s="568">
        <v>87.125</v>
      </c>
      <c r="I433" s="568">
        <v>76.625</v>
      </c>
      <c r="J433" s="568">
        <v>56.125</v>
      </c>
      <c r="K433" s="568">
        <v>67.625</v>
      </c>
      <c r="L433" s="568">
        <v>54.125</v>
      </c>
      <c r="M433" s="568">
        <v>59.625</v>
      </c>
      <c r="N433" s="568">
        <v>51.375</v>
      </c>
      <c r="O433" s="568">
        <v>39.5</v>
      </c>
      <c r="P433" s="568">
        <f t="shared" si="494"/>
        <v>824</v>
      </c>
      <c r="Q433" s="643">
        <f t="shared" si="485"/>
        <v>68.666666666666671</v>
      </c>
      <c r="R433" s="370"/>
      <c r="S433" s="629">
        <v>39</v>
      </c>
      <c r="T433" s="568">
        <v>46.375</v>
      </c>
      <c r="U433" s="568">
        <v>46.375</v>
      </c>
      <c r="V433" s="568">
        <v>54.5</v>
      </c>
      <c r="W433" s="568">
        <v>68.666666666666671</v>
      </c>
      <c r="X433" s="568">
        <v>62.166666666666664</v>
      </c>
      <c r="Y433" s="568">
        <v>60.833333333333336</v>
      </c>
      <c r="Z433" s="568">
        <v>68.666666666666671</v>
      </c>
      <c r="AA433" s="568">
        <v>53.666666666666664</v>
      </c>
      <c r="AB433" s="568">
        <v>60.666666666666664</v>
      </c>
      <c r="AC433" s="568">
        <v>67.666666666666671</v>
      </c>
      <c r="AD433" s="568">
        <v>43.166666666666664</v>
      </c>
      <c r="AE433" s="568">
        <f t="shared" si="495"/>
        <v>671.75</v>
      </c>
      <c r="AF433" s="643">
        <f t="shared" si="496"/>
        <v>55.979166666666664</v>
      </c>
      <c r="AG433" s="370"/>
      <c r="AH433" s="629">
        <v>50.166666666666664</v>
      </c>
      <c r="AI433" s="568">
        <v>50.166666666666664</v>
      </c>
      <c r="AJ433" s="568">
        <v>67</v>
      </c>
      <c r="AK433" s="568">
        <v>60.333333333333336</v>
      </c>
      <c r="AL433" s="568">
        <v>88</v>
      </c>
      <c r="AM433" s="568">
        <v>81.833333333333329</v>
      </c>
      <c r="AN433" s="1056">
        <v>91.166666666666671</v>
      </c>
      <c r="AO433" s="1056">
        <v>93.666666666666671</v>
      </c>
      <c r="AP433" s="568">
        <v>82.5</v>
      </c>
      <c r="AQ433" s="568">
        <v>97.333333333333329</v>
      </c>
      <c r="AR433" s="280">
        <v>95.5</v>
      </c>
      <c r="AS433" s="280">
        <v>91.833333333333329</v>
      </c>
      <c r="AT433" s="568">
        <f t="shared" si="486"/>
        <v>949.5</v>
      </c>
      <c r="AU433" s="643">
        <f t="shared" si="473"/>
        <v>79.125</v>
      </c>
      <c r="AX433" s="350">
        <v>80.666666666666671</v>
      </c>
      <c r="AY433" s="568">
        <v>116</v>
      </c>
      <c r="AZ433" s="568">
        <v>113.33333333333333</v>
      </c>
      <c r="BA433" s="568">
        <v>95.333333333333329</v>
      </c>
      <c r="BB433" s="568">
        <v>178.5</v>
      </c>
      <c r="BC433" s="568">
        <v>139.66666666666666</v>
      </c>
      <c r="BD433" s="1056">
        <v>125.5</v>
      </c>
      <c r="BE433" s="1056">
        <v>94.666666666666671</v>
      </c>
      <c r="BF433" s="568">
        <v>107.5</v>
      </c>
      <c r="BG433" s="568">
        <v>97.5</v>
      </c>
      <c r="BH433" s="280">
        <v>82.5</v>
      </c>
      <c r="BI433" s="280">
        <v>84.333333333333329</v>
      </c>
      <c r="BJ433" s="568">
        <f t="shared" si="487"/>
        <v>1315.4999999999998</v>
      </c>
      <c r="BK433" s="643">
        <f t="shared" si="492"/>
        <v>109.62499999999999</v>
      </c>
      <c r="BN433" s="322">
        <f t="shared" si="469"/>
        <v>-7.5</v>
      </c>
      <c r="BO433" s="322">
        <f t="shared" si="488"/>
        <v>30.499999999999986</v>
      </c>
      <c r="BP433" s="322">
        <f t="shared" si="489"/>
        <v>365.99999999999977</v>
      </c>
      <c r="BQ433" s="322">
        <f t="shared" si="493"/>
        <v>1.8333333333333286</v>
      </c>
      <c r="BR433" s="2265">
        <f t="shared" si="490"/>
        <v>82.5</v>
      </c>
      <c r="BS433" s="2265">
        <f t="shared" si="491"/>
        <v>84.333333333333329</v>
      </c>
    </row>
    <row r="434" spans="1:71" x14ac:dyDescent="0.55000000000000004">
      <c r="A434" s="7531"/>
      <c r="B434" s="250" t="s">
        <v>225</v>
      </c>
      <c r="C434" s="14"/>
      <c r="D434" s="629">
        <v>63.615384615384613</v>
      </c>
      <c r="E434" s="568">
        <v>61.846153846153847</v>
      </c>
      <c r="F434" s="568">
        <v>67</v>
      </c>
      <c r="G434" s="568">
        <v>68.615384615384613</v>
      </c>
      <c r="H434" s="568">
        <v>74.615384615384613</v>
      </c>
      <c r="I434" s="568">
        <v>73.538461538461533</v>
      </c>
      <c r="J434" s="568">
        <v>58.92307692307692</v>
      </c>
      <c r="K434" s="568">
        <v>69.84615384615384</v>
      </c>
      <c r="L434" s="568">
        <v>56.46153846153846</v>
      </c>
      <c r="M434" s="568">
        <v>54.692307692307693</v>
      </c>
      <c r="N434" s="568">
        <v>45.692307692307693</v>
      </c>
      <c r="O434" s="568">
        <v>30.23076923076923</v>
      </c>
      <c r="P434" s="568">
        <f t="shared" si="494"/>
        <v>725.07692307692321</v>
      </c>
      <c r="Q434" s="643">
        <f t="shared" si="485"/>
        <v>60.423076923076934</v>
      </c>
      <c r="R434" s="370"/>
      <c r="S434" s="629">
        <v>44.46153846153846</v>
      </c>
      <c r="T434" s="568">
        <v>51.307692307692307</v>
      </c>
      <c r="U434" s="568">
        <v>50</v>
      </c>
      <c r="V434" s="568">
        <v>57.363636363636367</v>
      </c>
      <c r="W434" s="568">
        <v>73.818181818181813</v>
      </c>
      <c r="X434" s="568">
        <v>63.18181818181818</v>
      </c>
      <c r="Y434" s="568">
        <v>55.272727272727273</v>
      </c>
      <c r="Z434" s="568">
        <v>75.36363636363636</v>
      </c>
      <c r="AA434" s="568">
        <v>63.81818181818182</v>
      </c>
      <c r="AB434" s="568">
        <v>73</v>
      </c>
      <c r="AC434" s="568">
        <v>64.818181818181813</v>
      </c>
      <c r="AD434" s="568">
        <v>46.909090909090907</v>
      </c>
      <c r="AE434" s="568">
        <f t="shared" si="495"/>
        <v>719.31468531468533</v>
      </c>
      <c r="AF434" s="643">
        <f t="shared" si="496"/>
        <v>59.942890442890445</v>
      </c>
      <c r="AG434" s="370"/>
      <c r="AH434" s="629">
        <v>84.36363636363636</v>
      </c>
      <c r="AI434" s="568">
        <v>77.818181818181813</v>
      </c>
      <c r="AJ434" s="568">
        <v>85.909090909090907</v>
      </c>
      <c r="AK434" s="568">
        <v>81.090909090909093</v>
      </c>
      <c r="AL434" s="568">
        <v>92.727272727272734</v>
      </c>
      <c r="AM434" s="568">
        <v>77.090909090909093</v>
      </c>
      <c r="AN434" s="1056">
        <v>80.36363636363636</v>
      </c>
      <c r="AO434" s="1056">
        <v>77.090909090909093</v>
      </c>
      <c r="AP434" s="568">
        <v>78.272727272727266</v>
      </c>
      <c r="AQ434" s="568">
        <v>91.909090909090907</v>
      </c>
      <c r="AR434" s="280">
        <v>101.45454545454545</v>
      </c>
      <c r="AS434" s="280">
        <v>101.54545454545455</v>
      </c>
      <c r="AT434" s="568">
        <f t="shared" si="486"/>
        <v>1029.6363636363637</v>
      </c>
      <c r="AU434" s="643">
        <f t="shared" si="473"/>
        <v>85.803030303030312</v>
      </c>
      <c r="AX434" s="350">
        <v>95.36363636363636</v>
      </c>
      <c r="AY434" s="568">
        <v>116.27272727272727</v>
      </c>
      <c r="AZ434" s="568">
        <v>106.27272727272727</v>
      </c>
      <c r="BA434" s="568">
        <v>126.63636363636364</v>
      </c>
      <c r="BB434" s="568">
        <v>258.54545454545456</v>
      </c>
      <c r="BC434" s="568">
        <v>244</v>
      </c>
      <c r="BD434" s="1056">
        <v>193.27272727272728</v>
      </c>
      <c r="BE434" s="1056">
        <v>128.63636363636363</v>
      </c>
      <c r="BF434" s="568">
        <v>115.18181818181819</v>
      </c>
      <c r="BG434" s="568">
        <v>123.45454545454545</v>
      </c>
      <c r="BH434" s="280">
        <v>116.81818181818181</v>
      </c>
      <c r="BI434" s="280">
        <v>106.18181818181819</v>
      </c>
      <c r="BJ434" s="568">
        <f t="shared" si="487"/>
        <v>1730.6363636363637</v>
      </c>
      <c r="BK434" s="643">
        <f t="shared" si="492"/>
        <v>144.21969696969697</v>
      </c>
      <c r="BN434" s="322">
        <f t="shared" si="469"/>
        <v>4.6363636363636402</v>
      </c>
      <c r="BO434" s="322">
        <f t="shared" si="488"/>
        <v>58.416666666666657</v>
      </c>
      <c r="BP434" s="322">
        <f t="shared" si="489"/>
        <v>701</v>
      </c>
      <c r="BQ434" s="322">
        <f t="shared" si="493"/>
        <v>-10.636363636363626</v>
      </c>
      <c r="BR434" s="2265">
        <f t="shared" si="490"/>
        <v>116.81818181818181</v>
      </c>
      <c r="BS434" s="2265">
        <f t="shared" si="491"/>
        <v>106.18181818181819</v>
      </c>
    </row>
    <row r="435" spans="1:71" x14ac:dyDescent="0.55000000000000004">
      <c r="A435" s="7531"/>
      <c r="B435" s="251" t="s">
        <v>226</v>
      </c>
      <c r="C435" s="103"/>
      <c r="D435" s="630">
        <v>58.46153846153846</v>
      </c>
      <c r="E435" s="631">
        <v>57.692307692307693</v>
      </c>
      <c r="F435" s="631">
        <v>53.307692307692307</v>
      </c>
      <c r="G435" s="631">
        <v>66.538461538461533</v>
      </c>
      <c r="H435" s="631">
        <v>66.538461538461533</v>
      </c>
      <c r="I435" s="631">
        <v>64.307692307692307</v>
      </c>
      <c r="J435" s="631">
        <v>46.07692307692308</v>
      </c>
      <c r="K435" s="631">
        <v>55.53846153846154</v>
      </c>
      <c r="L435" s="631">
        <v>48.692307692307693</v>
      </c>
      <c r="M435" s="631">
        <v>48.46153846153846</v>
      </c>
      <c r="N435" s="631">
        <v>49.92307692307692</v>
      </c>
      <c r="O435" s="631">
        <v>45.692307692307693</v>
      </c>
      <c r="P435" s="631">
        <f t="shared" si="494"/>
        <v>661.23076923076928</v>
      </c>
      <c r="Q435" s="644">
        <f t="shared" si="485"/>
        <v>55.102564102564109</v>
      </c>
      <c r="R435" s="370"/>
      <c r="S435" s="630">
        <v>46.53846153846154</v>
      </c>
      <c r="T435" s="631">
        <v>56.153846153846153</v>
      </c>
      <c r="U435" s="631">
        <v>53.153846153846153</v>
      </c>
      <c r="V435" s="631">
        <v>64.2</v>
      </c>
      <c r="W435" s="631">
        <v>77.599999999999994</v>
      </c>
      <c r="X435" s="631">
        <v>60.3</v>
      </c>
      <c r="Y435" s="631">
        <v>54.8</v>
      </c>
      <c r="Z435" s="631">
        <v>80.400000000000006</v>
      </c>
      <c r="AA435" s="631">
        <v>63.5</v>
      </c>
      <c r="AB435" s="631">
        <v>72.599999999999994</v>
      </c>
      <c r="AC435" s="631">
        <v>67.400000000000006</v>
      </c>
      <c r="AD435" s="631">
        <v>50.2</v>
      </c>
      <c r="AE435" s="631">
        <f t="shared" si="495"/>
        <v>746.84615384615392</v>
      </c>
      <c r="AF435" s="644">
        <f t="shared" si="496"/>
        <v>62.237179487179496</v>
      </c>
      <c r="AG435" s="370"/>
      <c r="AH435" s="630">
        <v>75.099999999999994</v>
      </c>
      <c r="AI435" s="631">
        <v>61</v>
      </c>
      <c r="AJ435" s="631">
        <v>65.099999999999994</v>
      </c>
      <c r="AK435" s="631">
        <v>67.900000000000006</v>
      </c>
      <c r="AL435" s="631">
        <v>71.400000000000006</v>
      </c>
      <c r="AM435" s="631">
        <v>66.900000000000006</v>
      </c>
      <c r="AN435" s="1057">
        <v>73.7</v>
      </c>
      <c r="AO435" s="1057">
        <v>58.8</v>
      </c>
      <c r="AP435" s="631">
        <v>64</v>
      </c>
      <c r="AQ435" s="631">
        <v>79.3</v>
      </c>
      <c r="AR435" s="353">
        <v>97.8</v>
      </c>
      <c r="AS435" s="353">
        <v>85.7</v>
      </c>
      <c r="AT435" s="631">
        <f t="shared" si="486"/>
        <v>866.69999999999993</v>
      </c>
      <c r="AU435" s="644">
        <f t="shared" si="473"/>
        <v>72.224999999999994</v>
      </c>
      <c r="AX435" s="352">
        <v>81.900000000000006</v>
      </c>
      <c r="AY435" s="631">
        <v>107.3</v>
      </c>
      <c r="AZ435" s="631">
        <v>91.6</v>
      </c>
      <c r="BA435" s="631">
        <v>94.5</v>
      </c>
      <c r="BB435" s="631">
        <v>142.5</v>
      </c>
      <c r="BC435" s="631">
        <v>109.1</v>
      </c>
      <c r="BD435" s="1057">
        <v>110.6</v>
      </c>
      <c r="BE435" s="1057">
        <v>72.3</v>
      </c>
      <c r="BF435" s="631">
        <v>84.3</v>
      </c>
      <c r="BG435" s="631">
        <v>71.7</v>
      </c>
      <c r="BH435" s="353">
        <v>76.099999999999994</v>
      </c>
      <c r="BI435" s="353">
        <v>71.400000000000006</v>
      </c>
      <c r="BJ435" s="631">
        <f t="shared" si="487"/>
        <v>1113.3</v>
      </c>
      <c r="BK435" s="644">
        <f t="shared" si="492"/>
        <v>92.774999999999991</v>
      </c>
      <c r="BN435" s="322">
        <f t="shared" si="469"/>
        <v>-14.299999999999997</v>
      </c>
      <c r="BO435" s="322">
        <f t="shared" si="488"/>
        <v>20.549999999999997</v>
      </c>
      <c r="BP435" s="322">
        <f t="shared" si="489"/>
        <v>246.60000000000002</v>
      </c>
      <c r="BQ435" s="322">
        <f t="shared" si="493"/>
        <v>-4.6999999999999886</v>
      </c>
      <c r="BR435" s="2265">
        <f t="shared" si="490"/>
        <v>76.099999999999994</v>
      </c>
      <c r="BS435" s="2265">
        <f t="shared" si="491"/>
        <v>71.400000000000006</v>
      </c>
    </row>
    <row r="436" spans="1:71" s="172" customFormat="1" x14ac:dyDescent="0.55000000000000004">
      <c r="A436" s="7531"/>
      <c r="B436" s="252"/>
      <c r="C436" s="180" t="s">
        <v>242</v>
      </c>
      <c r="D436" s="632">
        <v>73.666666666666671</v>
      </c>
      <c r="E436" s="633">
        <v>85.333333333333329</v>
      </c>
      <c r="F436" s="633">
        <v>87.5</v>
      </c>
      <c r="G436" s="633">
        <v>118.33333333333333</v>
      </c>
      <c r="H436" s="633">
        <v>150.33333333333334</v>
      </c>
      <c r="I436" s="633">
        <v>129.66666666666666</v>
      </c>
      <c r="J436" s="633">
        <v>79.833333333333329</v>
      </c>
      <c r="K436" s="633">
        <v>76.333333333333329</v>
      </c>
      <c r="L436" s="633">
        <v>83.666666666666671</v>
      </c>
      <c r="M436" s="633">
        <v>99.666666666666671</v>
      </c>
      <c r="N436" s="633">
        <v>70.166666666666671</v>
      </c>
      <c r="O436" s="633">
        <v>74.833333333333329</v>
      </c>
      <c r="P436" s="633">
        <f t="shared" si="494"/>
        <v>1129.3333333333333</v>
      </c>
      <c r="Q436" s="645">
        <f t="shared" si="485"/>
        <v>94.1111111111111</v>
      </c>
      <c r="R436" s="372"/>
      <c r="S436" s="632">
        <v>68</v>
      </c>
      <c r="T436" s="633">
        <v>93.833333333333329</v>
      </c>
      <c r="U436" s="633">
        <v>81</v>
      </c>
      <c r="V436" s="633">
        <v>61.166666666666664</v>
      </c>
      <c r="W436" s="633">
        <v>77.166666666666671</v>
      </c>
      <c r="X436" s="633">
        <v>75.833333333333329</v>
      </c>
      <c r="Y436" s="633">
        <v>65</v>
      </c>
      <c r="Z436" s="633">
        <v>86.833333333333329</v>
      </c>
      <c r="AA436" s="633">
        <v>83</v>
      </c>
      <c r="AB436" s="633">
        <v>71</v>
      </c>
      <c r="AC436" s="633">
        <v>83.166666666666671</v>
      </c>
      <c r="AD436" s="633">
        <v>45.666666666666664</v>
      </c>
      <c r="AE436" s="633">
        <f t="shared" si="495"/>
        <v>891.66666666666663</v>
      </c>
      <c r="AF436" s="645">
        <f t="shared" si="496"/>
        <v>74.305555555555557</v>
      </c>
      <c r="AG436" s="372"/>
      <c r="AH436" s="632">
        <v>89.166666666666671</v>
      </c>
      <c r="AI436" s="633">
        <v>55</v>
      </c>
      <c r="AJ436" s="633">
        <v>62.5</v>
      </c>
      <c r="AK436" s="633">
        <v>55.666666666666664</v>
      </c>
      <c r="AL436" s="633">
        <v>78.833333333333329</v>
      </c>
      <c r="AM436" s="633">
        <v>74</v>
      </c>
      <c r="AN436" s="1058">
        <v>87.833333333333329</v>
      </c>
      <c r="AO436" s="1058">
        <v>93.666666666666671</v>
      </c>
      <c r="AP436" s="633">
        <v>85.166666666666671</v>
      </c>
      <c r="AQ436" s="633">
        <v>103.33333333333333</v>
      </c>
      <c r="AR436" s="356">
        <v>81.833333333333329</v>
      </c>
      <c r="AS436" s="356">
        <v>68.833333333333329</v>
      </c>
      <c r="AT436" s="633">
        <f t="shared" si="486"/>
        <v>935.83333333333337</v>
      </c>
      <c r="AU436" s="645">
        <f t="shared" si="473"/>
        <v>77.986111111111114</v>
      </c>
      <c r="AX436" s="355">
        <v>65.666666666666671</v>
      </c>
      <c r="AY436" s="633">
        <v>94.833333333333329</v>
      </c>
      <c r="AZ436" s="633">
        <v>75.333333333333329</v>
      </c>
      <c r="BA436" s="633">
        <v>77.5</v>
      </c>
      <c r="BB436" s="633">
        <v>164</v>
      </c>
      <c r="BC436" s="633">
        <v>98.5</v>
      </c>
      <c r="BD436" s="1058">
        <v>89.111111111111114</v>
      </c>
      <c r="BE436" s="1058">
        <v>72.222222222222229</v>
      </c>
      <c r="BF436" s="633">
        <v>74.777777777777771</v>
      </c>
      <c r="BG436" s="633">
        <v>65.555555555555557</v>
      </c>
      <c r="BH436" s="356">
        <v>71</v>
      </c>
      <c r="BI436" s="356">
        <v>81.111111111111114</v>
      </c>
      <c r="BJ436" s="633">
        <f t="shared" si="487"/>
        <v>1029.6111111111111</v>
      </c>
      <c r="BK436" s="645">
        <f t="shared" si="492"/>
        <v>85.800925925925924</v>
      </c>
      <c r="BN436" s="322">
        <f t="shared" ref="BN436:BN477" si="497">HLOOKUP($A$1,$AX$1:$BI$500,ROW(),0)-HLOOKUP($A$1,$AH$1:$AS$500,ROW(),0)</f>
        <v>12.277777777777786</v>
      </c>
      <c r="BO436" s="322">
        <f t="shared" si="488"/>
        <v>7.8148148148148096</v>
      </c>
      <c r="BP436" s="322">
        <f t="shared" si="489"/>
        <v>93.777777777777715</v>
      </c>
      <c r="BQ436" s="322">
        <f t="shared" si="493"/>
        <v>10.111111111111114</v>
      </c>
      <c r="BR436" s="2265">
        <f t="shared" si="490"/>
        <v>71</v>
      </c>
      <c r="BS436" s="2265">
        <f t="shared" si="491"/>
        <v>81.111111111111114</v>
      </c>
    </row>
    <row r="437" spans="1:71" s="172" customFormat="1" x14ac:dyDescent="0.55000000000000004">
      <c r="A437" s="7531"/>
      <c r="B437" s="253"/>
      <c r="C437" s="181" t="s">
        <v>243</v>
      </c>
      <c r="D437" s="634">
        <v>44.333333333333336</v>
      </c>
      <c r="E437" s="635">
        <v>45</v>
      </c>
      <c r="F437" s="635">
        <v>49.666666666666664</v>
      </c>
      <c r="G437" s="635">
        <v>47</v>
      </c>
      <c r="H437" s="635">
        <v>56</v>
      </c>
      <c r="I437" s="635">
        <v>49</v>
      </c>
      <c r="J437" s="635">
        <v>27.666666666666668</v>
      </c>
      <c r="K437" s="635">
        <v>46.666666666666664</v>
      </c>
      <c r="L437" s="635">
        <v>27.666666666666668</v>
      </c>
      <c r="M437" s="635">
        <v>35.666666666666664</v>
      </c>
      <c r="N437" s="635">
        <v>32.333333333333336</v>
      </c>
      <c r="O437" s="635">
        <v>20.333333333333332</v>
      </c>
      <c r="P437" s="635">
        <f t="shared" si="494"/>
        <v>481.33333333333337</v>
      </c>
      <c r="Q437" s="646">
        <f t="shared" si="485"/>
        <v>40.111111111111114</v>
      </c>
      <c r="R437" s="372"/>
      <c r="S437" s="634">
        <v>21.666666666666668</v>
      </c>
      <c r="T437" s="635">
        <v>26.666666666666668</v>
      </c>
      <c r="U437" s="635">
        <v>54.666666666666664</v>
      </c>
      <c r="V437" s="635">
        <v>34.333333333333336</v>
      </c>
      <c r="W437" s="635">
        <v>46.333333333333336</v>
      </c>
      <c r="X437" s="635">
        <v>45.666666666666664</v>
      </c>
      <c r="Y437" s="635">
        <v>34</v>
      </c>
      <c r="Z437" s="635">
        <v>91</v>
      </c>
      <c r="AA437" s="635">
        <v>81</v>
      </c>
      <c r="AB437" s="635">
        <v>52</v>
      </c>
      <c r="AC437" s="635">
        <v>50.333333333333336</v>
      </c>
      <c r="AD437" s="635">
        <v>44.666666666666664</v>
      </c>
      <c r="AE437" s="635">
        <f t="shared" si="495"/>
        <v>582.33333333333337</v>
      </c>
      <c r="AF437" s="646">
        <f t="shared" si="496"/>
        <v>48.527777777777779</v>
      </c>
      <c r="AG437" s="372"/>
      <c r="AH437" s="634">
        <v>49</v>
      </c>
      <c r="AI437" s="635">
        <v>49.333333333333336</v>
      </c>
      <c r="AJ437" s="635">
        <v>62.666666666666664</v>
      </c>
      <c r="AK437" s="635">
        <v>45.666666666666664</v>
      </c>
      <c r="AL437" s="635">
        <v>68</v>
      </c>
      <c r="AM437" s="635">
        <v>56</v>
      </c>
      <c r="AN437" s="1059">
        <v>79.333333333333329</v>
      </c>
      <c r="AO437" s="1059">
        <v>54</v>
      </c>
      <c r="AP437" s="635">
        <v>68.666666666666671</v>
      </c>
      <c r="AQ437" s="635">
        <v>58.666666666666664</v>
      </c>
      <c r="AR437" s="359">
        <v>54.333333333333336</v>
      </c>
      <c r="AS437" s="359">
        <v>43.333333333333336</v>
      </c>
      <c r="AT437" s="635">
        <f t="shared" si="486"/>
        <v>689</v>
      </c>
      <c r="AU437" s="646">
        <f t="shared" si="473"/>
        <v>57.416666666666664</v>
      </c>
      <c r="AX437" s="358">
        <v>62.666666666666664</v>
      </c>
      <c r="AY437" s="635">
        <v>65.333333333333329</v>
      </c>
      <c r="AZ437" s="635">
        <v>58.333333333333336</v>
      </c>
      <c r="BA437" s="635">
        <v>60.666666666666664</v>
      </c>
      <c r="BB437" s="635">
        <v>128</v>
      </c>
      <c r="BC437" s="635">
        <v>69.666666666666671</v>
      </c>
      <c r="BD437" s="2353">
        <v>0</v>
      </c>
      <c r="BE437" s="2353">
        <v>0</v>
      </c>
      <c r="BF437" s="2353">
        <v>0</v>
      </c>
      <c r="BG437" s="2353" t="s">
        <v>482</v>
      </c>
      <c r="BH437" s="2353">
        <v>0</v>
      </c>
      <c r="BI437" s="2353">
        <v>0</v>
      </c>
      <c r="BJ437" s="635">
        <f t="shared" si="487"/>
        <v>444.66666666666669</v>
      </c>
      <c r="BK437" s="646">
        <f t="shared" si="492"/>
        <v>40.424242424242429</v>
      </c>
      <c r="BN437" s="322">
        <f t="shared" si="497"/>
        <v>-43.333333333333336</v>
      </c>
      <c r="BO437" s="322">
        <f t="shared" si="488"/>
        <v>-16.992424242424235</v>
      </c>
      <c r="BP437" s="322">
        <f t="shared" si="489"/>
        <v>-244.33333333333331</v>
      </c>
      <c r="BQ437" s="322">
        <f t="shared" si="493"/>
        <v>0</v>
      </c>
      <c r="BR437" s="2265">
        <f t="shared" si="490"/>
        <v>0</v>
      </c>
      <c r="BS437" s="2265">
        <f t="shared" si="491"/>
        <v>0</v>
      </c>
    </row>
    <row r="438" spans="1:71" s="172" customFormat="1" x14ac:dyDescent="0.55000000000000004">
      <c r="A438" s="7531"/>
      <c r="B438" s="253"/>
      <c r="C438" s="173" t="s">
        <v>244</v>
      </c>
      <c r="D438" s="636">
        <v>95.666666666666671</v>
      </c>
      <c r="E438" s="637">
        <v>112.5</v>
      </c>
      <c r="F438" s="637">
        <v>121.83333333333333</v>
      </c>
      <c r="G438" s="637">
        <v>151.66666666666666</v>
      </c>
      <c r="H438" s="637">
        <v>152.16666666666666</v>
      </c>
      <c r="I438" s="637">
        <v>112.33333333333333</v>
      </c>
      <c r="J438" s="637">
        <v>80.333333333333329</v>
      </c>
      <c r="K438" s="637">
        <v>103.66666666666667</v>
      </c>
      <c r="L438" s="637">
        <v>66.166666666666671</v>
      </c>
      <c r="M438" s="637">
        <v>90.833333333333329</v>
      </c>
      <c r="N438" s="637">
        <v>81.5</v>
      </c>
      <c r="O438" s="637">
        <v>67</v>
      </c>
      <c r="P438" s="637">
        <f t="shared" si="494"/>
        <v>1235.6666666666665</v>
      </c>
      <c r="Q438" s="647">
        <f t="shared" si="485"/>
        <v>102.97222222222221</v>
      </c>
      <c r="R438" s="372"/>
      <c r="S438" s="636">
        <v>71.666666666666671</v>
      </c>
      <c r="T438" s="637">
        <v>81.166666666666671</v>
      </c>
      <c r="U438" s="637">
        <v>63</v>
      </c>
      <c r="V438" s="637">
        <v>45.833333333333336</v>
      </c>
      <c r="W438" s="637">
        <v>64.333333333333329</v>
      </c>
      <c r="X438" s="637">
        <v>49.166666666666664</v>
      </c>
      <c r="Y438" s="637">
        <v>51</v>
      </c>
      <c r="Z438" s="637">
        <v>61.666666666666664</v>
      </c>
      <c r="AA438" s="637">
        <v>57.666666666666664</v>
      </c>
      <c r="AB438" s="637">
        <v>68.166666666666671</v>
      </c>
      <c r="AC438" s="637">
        <v>63</v>
      </c>
      <c r="AD438" s="637">
        <v>40.833333333333336</v>
      </c>
      <c r="AE438" s="637">
        <f t="shared" si="495"/>
        <v>717.5</v>
      </c>
      <c r="AF438" s="647">
        <f t="shared" si="496"/>
        <v>59.791666666666664</v>
      </c>
      <c r="AG438" s="372"/>
      <c r="AH438" s="636">
        <v>57</v>
      </c>
      <c r="AI438" s="637">
        <v>50.166666666666664</v>
      </c>
      <c r="AJ438" s="637">
        <v>74.333333333333329</v>
      </c>
      <c r="AK438" s="637">
        <v>71</v>
      </c>
      <c r="AL438" s="637">
        <v>67.666666666666671</v>
      </c>
      <c r="AM438" s="637">
        <v>80.333333333333329</v>
      </c>
      <c r="AN438" s="1060">
        <v>79.666666666666671</v>
      </c>
      <c r="AO438" s="1060">
        <v>112.33333333333333</v>
      </c>
      <c r="AP438" s="637">
        <v>117.83333333333333</v>
      </c>
      <c r="AQ438" s="637">
        <v>118.16666666666667</v>
      </c>
      <c r="AR438" s="362">
        <v>99</v>
      </c>
      <c r="AS438" s="362">
        <v>97.833333333333329</v>
      </c>
      <c r="AT438" s="637">
        <f t="shared" si="486"/>
        <v>1025.3333333333333</v>
      </c>
      <c r="AU438" s="647">
        <f t="shared" si="473"/>
        <v>85.444444444444443</v>
      </c>
      <c r="AX438" s="361">
        <v>88.666666666666671</v>
      </c>
      <c r="AY438" s="637">
        <v>100.33333333333333</v>
      </c>
      <c r="AZ438" s="637">
        <v>81.5</v>
      </c>
      <c r="BA438" s="637">
        <v>76.166666666666671</v>
      </c>
      <c r="BB438" s="637">
        <v>172.5</v>
      </c>
      <c r="BC438" s="637">
        <v>108.83333333333333</v>
      </c>
      <c r="BD438" s="1060">
        <v>102.83333333333333</v>
      </c>
      <c r="BE438" s="1060">
        <v>101</v>
      </c>
      <c r="BF438" s="637">
        <v>101.16666666666667</v>
      </c>
      <c r="BG438" s="637">
        <v>92.666666666666671</v>
      </c>
      <c r="BH438" s="362">
        <v>86.833333333333329</v>
      </c>
      <c r="BI438" s="362">
        <v>95.333333333333329</v>
      </c>
      <c r="BJ438" s="637">
        <f t="shared" si="487"/>
        <v>1207.8333333333333</v>
      </c>
      <c r="BK438" s="647">
        <f t="shared" si="492"/>
        <v>100.65277777777777</v>
      </c>
      <c r="BN438" s="322">
        <f t="shared" si="497"/>
        <v>-2.5</v>
      </c>
      <c r="BO438" s="322">
        <f t="shared" si="488"/>
        <v>15.208333333333329</v>
      </c>
      <c r="BP438" s="322">
        <f t="shared" si="489"/>
        <v>182.5</v>
      </c>
      <c r="BQ438" s="322">
        <f t="shared" si="493"/>
        <v>8.5</v>
      </c>
      <c r="BR438" s="2265">
        <f t="shared" si="490"/>
        <v>86.833333333333329</v>
      </c>
      <c r="BS438" s="2265">
        <f t="shared" si="491"/>
        <v>95.333333333333329</v>
      </c>
    </row>
    <row r="439" spans="1:71" s="172" customFormat="1" x14ac:dyDescent="0.55000000000000004">
      <c r="A439" s="7531"/>
      <c r="B439" s="253"/>
      <c r="C439" s="181" t="s">
        <v>245</v>
      </c>
      <c r="D439" s="634">
        <v>70</v>
      </c>
      <c r="E439" s="635">
        <v>78.25</v>
      </c>
      <c r="F439" s="635">
        <v>83.125</v>
      </c>
      <c r="G439" s="635">
        <v>100.5</v>
      </c>
      <c r="H439" s="635">
        <v>87.125</v>
      </c>
      <c r="I439" s="635">
        <v>76.625</v>
      </c>
      <c r="J439" s="635">
        <v>56.125</v>
      </c>
      <c r="K439" s="635">
        <v>67.625</v>
      </c>
      <c r="L439" s="635">
        <v>54.125</v>
      </c>
      <c r="M439" s="635">
        <v>59.625</v>
      </c>
      <c r="N439" s="635">
        <v>51.375</v>
      </c>
      <c r="O439" s="635">
        <v>39.5</v>
      </c>
      <c r="P439" s="635">
        <f t="shared" si="494"/>
        <v>824</v>
      </c>
      <c r="Q439" s="646">
        <f t="shared" si="485"/>
        <v>68.666666666666671</v>
      </c>
      <c r="R439" s="372"/>
      <c r="S439" s="634">
        <v>39</v>
      </c>
      <c r="T439" s="635">
        <v>46.375</v>
      </c>
      <c r="U439" s="635">
        <v>46.375</v>
      </c>
      <c r="V439" s="635">
        <v>54.5</v>
      </c>
      <c r="W439" s="635">
        <v>68.666666666666671</v>
      </c>
      <c r="X439" s="635">
        <v>62.166666666666664</v>
      </c>
      <c r="Y439" s="635">
        <v>60.833333333333336</v>
      </c>
      <c r="Z439" s="635">
        <v>68.666666666666671</v>
      </c>
      <c r="AA439" s="635">
        <v>53.666666666666664</v>
      </c>
      <c r="AB439" s="635">
        <v>60.666666666666664</v>
      </c>
      <c r="AC439" s="635">
        <v>67.666666666666671</v>
      </c>
      <c r="AD439" s="635">
        <v>43.166666666666664</v>
      </c>
      <c r="AE439" s="635">
        <f t="shared" si="495"/>
        <v>671.75</v>
      </c>
      <c r="AF439" s="646">
        <f t="shared" si="496"/>
        <v>55.979166666666664</v>
      </c>
      <c r="AG439" s="372"/>
      <c r="AH439" s="634">
        <v>50.166666666666664</v>
      </c>
      <c r="AI439" s="635">
        <v>50.166666666666664</v>
      </c>
      <c r="AJ439" s="635">
        <v>67</v>
      </c>
      <c r="AK439" s="635">
        <v>60.333333333333336</v>
      </c>
      <c r="AL439" s="635">
        <v>88</v>
      </c>
      <c r="AM439" s="635">
        <v>81.833333333333329</v>
      </c>
      <c r="AN439" s="1059">
        <v>91.166666666666671</v>
      </c>
      <c r="AO439" s="1059">
        <v>93.666666666666671</v>
      </c>
      <c r="AP439" s="635">
        <v>82.5</v>
      </c>
      <c r="AQ439" s="635">
        <v>97.333333333333329</v>
      </c>
      <c r="AR439" s="359">
        <v>95.5</v>
      </c>
      <c r="AS439" s="359">
        <v>91.833333333333329</v>
      </c>
      <c r="AT439" s="635">
        <f t="shared" si="486"/>
        <v>949.5</v>
      </c>
      <c r="AU439" s="646">
        <f t="shared" si="473"/>
        <v>79.125</v>
      </c>
      <c r="AX439" s="358">
        <v>80.666666666666671</v>
      </c>
      <c r="AY439" s="635">
        <v>116</v>
      </c>
      <c r="AZ439" s="635">
        <v>113.33333333333333</v>
      </c>
      <c r="BA439" s="635">
        <v>95.333333333333329</v>
      </c>
      <c r="BB439" s="635">
        <v>178.5</v>
      </c>
      <c r="BC439" s="635">
        <v>139.66666666666666</v>
      </c>
      <c r="BD439" s="1059">
        <v>125.5</v>
      </c>
      <c r="BE439" s="1059">
        <v>94.666666666666671</v>
      </c>
      <c r="BF439" s="635">
        <v>107.5</v>
      </c>
      <c r="BG439" s="635">
        <v>97.5</v>
      </c>
      <c r="BH439" s="359">
        <v>82.5</v>
      </c>
      <c r="BI439" s="359">
        <v>84.333333333333329</v>
      </c>
      <c r="BJ439" s="635">
        <f t="shared" si="487"/>
        <v>1315.4999999999998</v>
      </c>
      <c r="BK439" s="646">
        <f t="shared" si="492"/>
        <v>109.62499999999999</v>
      </c>
      <c r="BN439" s="322">
        <f t="shared" si="497"/>
        <v>-7.5</v>
      </c>
      <c r="BO439" s="322">
        <f t="shared" si="488"/>
        <v>30.499999999999986</v>
      </c>
      <c r="BP439" s="322">
        <f t="shared" si="489"/>
        <v>365.99999999999977</v>
      </c>
      <c r="BQ439" s="322">
        <f t="shared" si="493"/>
        <v>1.8333333333333286</v>
      </c>
      <c r="BR439" s="2265">
        <f t="shared" si="490"/>
        <v>82.5</v>
      </c>
      <c r="BS439" s="2265">
        <f t="shared" si="491"/>
        <v>84.333333333333329</v>
      </c>
    </row>
    <row r="440" spans="1:71" s="172" customFormat="1" x14ac:dyDescent="0.55000000000000004">
      <c r="A440" s="7531"/>
      <c r="B440" s="253"/>
      <c r="C440" s="173" t="s">
        <v>246</v>
      </c>
      <c r="D440" s="636">
        <v>55</v>
      </c>
      <c r="E440" s="637">
        <v>50.714285714285715</v>
      </c>
      <c r="F440" s="637">
        <v>59.857142857142854</v>
      </c>
      <c r="G440" s="637">
        <v>60.571428571428569</v>
      </c>
      <c r="H440" s="637">
        <v>67.428571428571431</v>
      </c>
      <c r="I440" s="637">
        <v>76.714285714285708</v>
      </c>
      <c r="J440" s="637">
        <v>67.714285714285708</v>
      </c>
      <c r="K440" s="637">
        <v>74.857142857142861</v>
      </c>
      <c r="L440" s="637">
        <v>66.142857142857139</v>
      </c>
      <c r="M440" s="637">
        <v>63.428571428571431</v>
      </c>
      <c r="N440" s="637">
        <v>54.571428571428569</v>
      </c>
      <c r="O440" s="637">
        <v>41</v>
      </c>
      <c r="P440" s="637">
        <f t="shared" si="494"/>
        <v>738</v>
      </c>
      <c r="Q440" s="647">
        <f t="shared" si="485"/>
        <v>61.5</v>
      </c>
      <c r="R440" s="372"/>
      <c r="S440" s="636">
        <v>55.857142857142854</v>
      </c>
      <c r="T440" s="637">
        <v>63.428571428571431</v>
      </c>
      <c r="U440" s="637">
        <v>63.285714285714285</v>
      </c>
      <c r="V440" s="637">
        <v>66.5</v>
      </c>
      <c r="W440" s="637">
        <v>82.5</v>
      </c>
      <c r="X440" s="637">
        <v>65.666666666666671</v>
      </c>
      <c r="Y440" s="637">
        <v>64.333333333333329</v>
      </c>
      <c r="Z440" s="637">
        <v>90.333333333333329</v>
      </c>
      <c r="AA440" s="637">
        <v>77.333333333333329</v>
      </c>
      <c r="AB440" s="637">
        <v>76.833333333333329</v>
      </c>
      <c r="AC440" s="637">
        <v>69.333333333333329</v>
      </c>
      <c r="AD440" s="637">
        <v>53</v>
      </c>
      <c r="AE440" s="637">
        <f t="shared" si="495"/>
        <v>828.40476190476204</v>
      </c>
      <c r="AF440" s="647">
        <f t="shared" si="496"/>
        <v>69.033730158730165</v>
      </c>
      <c r="AG440" s="372"/>
      <c r="AH440" s="636">
        <v>106</v>
      </c>
      <c r="AI440" s="637">
        <v>91.166666666666671</v>
      </c>
      <c r="AJ440" s="637">
        <v>108.16666666666667</v>
      </c>
      <c r="AK440" s="637">
        <v>100.33333333333333</v>
      </c>
      <c r="AL440" s="637">
        <v>121.66666666666667</v>
      </c>
      <c r="AM440" s="637">
        <v>97.333333333333329</v>
      </c>
      <c r="AN440" s="1060">
        <v>100</v>
      </c>
      <c r="AO440" s="1060">
        <v>83.333333333333329</v>
      </c>
      <c r="AP440" s="637">
        <v>92.166666666666671</v>
      </c>
      <c r="AQ440" s="637">
        <v>114.66666666666667</v>
      </c>
      <c r="AR440" s="362">
        <v>126.66666666666667</v>
      </c>
      <c r="AS440" s="362">
        <v>138.5</v>
      </c>
      <c r="AT440" s="637">
        <f t="shared" si="486"/>
        <v>1280</v>
      </c>
      <c r="AU440" s="647">
        <f t="shared" ref="AU440:AU477" si="498">SUM(AH440:AS440)/12</f>
        <v>106.66666666666667</v>
      </c>
      <c r="AX440" s="361">
        <v>122.33333333333333</v>
      </c>
      <c r="AY440" s="637">
        <v>148.83333333333334</v>
      </c>
      <c r="AZ440" s="637">
        <v>134</v>
      </c>
      <c r="BA440" s="637">
        <v>173.33333333333334</v>
      </c>
      <c r="BB440" s="637">
        <v>344.33333333333331</v>
      </c>
      <c r="BC440" s="637">
        <v>349.16666666666669</v>
      </c>
      <c r="BD440" s="1060">
        <v>271.5</v>
      </c>
      <c r="BE440" s="1060">
        <v>184.5</v>
      </c>
      <c r="BF440" s="637">
        <v>152.5</v>
      </c>
      <c r="BG440" s="637">
        <v>161.66666666666666</v>
      </c>
      <c r="BH440" s="362">
        <v>142.16666666666666</v>
      </c>
      <c r="BI440" s="362">
        <v>128</v>
      </c>
      <c r="BJ440" s="637">
        <f t="shared" si="487"/>
        <v>2312.3333333333335</v>
      </c>
      <c r="BK440" s="647">
        <f t="shared" si="492"/>
        <v>192.69444444444446</v>
      </c>
      <c r="BN440" s="322">
        <f t="shared" si="497"/>
        <v>-10.5</v>
      </c>
      <c r="BO440" s="322">
        <f t="shared" si="488"/>
        <v>86.027777777777786</v>
      </c>
      <c r="BP440" s="322">
        <f t="shared" si="489"/>
        <v>1032.3333333333335</v>
      </c>
      <c r="BQ440" s="322">
        <f t="shared" si="493"/>
        <v>-14.166666666666657</v>
      </c>
      <c r="BR440" s="2265">
        <f t="shared" si="490"/>
        <v>142.16666666666666</v>
      </c>
      <c r="BS440" s="2265">
        <f t="shared" si="491"/>
        <v>128</v>
      </c>
    </row>
    <row r="441" spans="1:71" s="172" customFormat="1" x14ac:dyDescent="0.55000000000000004">
      <c r="A441" s="7531"/>
      <c r="B441" s="253"/>
      <c r="C441" s="173" t="s">
        <v>247</v>
      </c>
      <c r="D441" s="636">
        <v>73.666666666666671</v>
      </c>
      <c r="E441" s="637">
        <v>74.833333333333329</v>
      </c>
      <c r="F441" s="637">
        <v>75.333333333333329</v>
      </c>
      <c r="G441" s="637">
        <v>78</v>
      </c>
      <c r="H441" s="637">
        <v>83</v>
      </c>
      <c r="I441" s="637">
        <v>69.833333333333329</v>
      </c>
      <c r="J441" s="637">
        <v>48.666666666666664</v>
      </c>
      <c r="K441" s="637">
        <v>64</v>
      </c>
      <c r="L441" s="637">
        <v>45.166666666666664</v>
      </c>
      <c r="M441" s="637">
        <v>44.5</v>
      </c>
      <c r="N441" s="637">
        <v>35.333333333333336</v>
      </c>
      <c r="O441" s="637">
        <v>17.666666666666668</v>
      </c>
      <c r="P441" s="637">
        <f t="shared" si="494"/>
        <v>709.99999999999989</v>
      </c>
      <c r="Q441" s="647">
        <f t="shared" si="485"/>
        <v>59.166666666666657</v>
      </c>
      <c r="R441" s="372"/>
      <c r="S441" s="636">
        <v>31.166666666666668</v>
      </c>
      <c r="T441" s="637">
        <v>37.166666666666664</v>
      </c>
      <c r="U441" s="637">
        <v>34.5</v>
      </c>
      <c r="V441" s="637">
        <v>46.4</v>
      </c>
      <c r="W441" s="637">
        <v>63.4</v>
      </c>
      <c r="X441" s="637">
        <v>60.2</v>
      </c>
      <c r="Y441" s="637">
        <v>44.4</v>
      </c>
      <c r="Z441" s="637">
        <v>57.4</v>
      </c>
      <c r="AA441" s="637">
        <v>47.6</v>
      </c>
      <c r="AB441" s="637">
        <v>68.400000000000006</v>
      </c>
      <c r="AC441" s="637">
        <v>59.4</v>
      </c>
      <c r="AD441" s="637">
        <v>39.6</v>
      </c>
      <c r="AE441" s="637">
        <f t="shared" si="495"/>
        <v>589.63333333333333</v>
      </c>
      <c r="AF441" s="647">
        <f t="shared" si="496"/>
        <v>49.136111111111113</v>
      </c>
      <c r="AG441" s="372"/>
      <c r="AH441" s="636">
        <v>58.4</v>
      </c>
      <c r="AI441" s="637">
        <v>61.8</v>
      </c>
      <c r="AJ441" s="637">
        <v>59.2</v>
      </c>
      <c r="AK441" s="637">
        <v>58</v>
      </c>
      <c r="AL441" s="637">
        <v>58</v>
      </c>
      <c r="AM441" s="637">
        <v>52.8</v>
      </c>
      <c r="AN441" s="1060">
        <v>56.8</v>
      </c>
      <c r="AO441" s="1060">
        <v>69.599999999999994</v>
      </c>
      <c r="AP441" s="637">
        <v>61.6</v>
      </c>
      <c r="AQ441" s="637">
        <v>64.599999999999994</v>
      </c>
      <c r="AR441" s="362">
        <v>71.2</v>
      </c>
      <c r="AS441" s="362">
        <v>57.2</v>
      </c>
      <c r="AT441" s="637">
        <f t="shared" si="486"/>
        <v>729.20000000000016</v>
      </c>
      <c r="AU441" s="647">
        <f t="shared" si="498"/>
        <v>60.76666666666668</v>
      </c>
      <c r="AX441" s="361">
        <v>63</v>
      </c>
      <c r="AY441" s="637">
        <v>77.2</v>
      </c>
      <c r="AZ441" s="637">
        <v>73</v>
      </c>
      <c r="BA441" s="637">
        <v>70.599999999999994</v>
      </c>
      <c r="BB441" s="637">
        <v>155.6</v>
      </c>
      <c r="BC441" s="637">
        <v>117.8</v>
      </c>
      <c r="BD441" s="1060">
        <v>99.4</v>
      </c>
      <c r="BE441" s="1060">
        <v>61.6</v>
      </c>
      <c r="BF441" s="637">
        <v>70.400000000000006</v>
      </c>
      <c r="BG441" s="637">
        <v>77.599999999999994</v>
      </c>
      <c r="BH441" s="362">
        <v>86.4</v>
      </c>
      <c r="BI441" s="362">
        <v>80</v>
      </c>
      <c r="BJ441" s="637">
        <f t="shared" si="487"/>
        <v>1032.5999999999999</v>
      </c>
      <c r="BK441" s="647">
        <f t="shared" si="492"/>
        <v>86.05</v>
      </c>
      <c r="BN441" s="322">
        <f t="shared" si="497"/>
        <v>22.799999999999997</v>
      </c>
      <c r="BO441" s="322">
        <f t="shared" si="488"/>
        <v>25.283333333333317</v>
      </c>
      <c r="BP441" s="322">
        <f t="shared" si="489"/>
        <v>303.39999999999975</v>
      </c>
      <c r="BQ441" s="322">
        <f t="shared" si="493"/>
        <v>-6.4000000000000057</v>
      </c>
      <c r="BR441" s="2265">
        <f t="shared" si="490"/>
        <v>86.4</v>
      </c>
      <c r="BS441" s="2265">
        <f t="shared" si="491"/>
        <v>80</v>
      </c>
    </row>
    <row r="442" spans="1:71" s="172" customFormat="1" x14ac:dyDescent="0.55000000000000004">
      <c r="A442" s="7531"/>
      <c r="B442" s="253"/>
      <c r="C442" s="181" t="s">
        <v>248</v>
      </c>
      <c r="D442" s="634">
        <v>72.5</v>
      </c>
      <c r="E442" s="635">
        <v>69.333333333333329</v>
      </c>
      <c r="F442" s="635">
        <v>61</v>
      </c>
      <c r="G442" s="635">
        <v>89.666666666666671</v>
      </c>
      <c r="H442" s="635">
        <v>81</v>
      </c>
      <c r="I442" s="635">
        <v>71.166666666666671</v>
      </c>
      <c r="J442" s="635">
        <v>49.5</v>
      </c>
      <c r="K442" s="635">
        <v>73.333333333333329</v>
      </c>
      <c r="L442" s="635">
        <v>54.5</v>
      </c>
      <c r="M442" s="635">
        <v>54.833333333333336</v>
      </c>
      <c r="N442" s="635">
        <v>56.833333333333336</v>
      </c>
      <c r="O442" s="635">
        <v>67.166666666666671</v>
      </c>
      <c r="P442" s="635">
        <f t="shared" si="494"/>
        <v>800.83333333333337</v>
      </c>
      <c r="Q442" s="646">
        <f t="shared" si="485"/>
        <v>66.736111111111114</v>
      </c>
      <c r="R442" s="372"/>
      <c r="S442" s="634">
        <v>56</v>
      </c>
      <c r="T442" s="635">
        <v>86.166666666666671</v>
      </c>
      <c r="U442" s="635">
        <v>75.833333333333329</v>
      </c>
      <c r="V442" s="635">
        <v>83.8</v>
      </c>
      <c r="W442" s="635">
        <v>103.8</v>
      </c>
      <c r="X442" s="635">
        <v>87.6</v>
      </c>
      <c r="Y442" s="635">
        <v>67.8</v>
      </c>
      <c r="Z442" s="635">
        <v>113.6</v>
      </c>
      <c r="AA442" s="635">
        <v>89.6</v>
      </c>
      <c r="AB442" s="635">
        <v>98.8</v>
      </c>
      <c r="AC442" s="635">
        <v>88.8</v>
      </c>
      <c r="AD442" s="635">
        <v>64.599999999999994</v>
      </c>
      <c r="AE442" s="635">
        <f t="shared" si="495"/>
        <v>1016.4</v>
      </c>
      <c r="AF442" s="646">
        <f t="shared" si="496"/>
        <v>84.7</v>
      </c>
      <c r="AG442" s="372"/>
      <c r="AH442" s="634">
        <v>94.4</v>
      </c>
      <c r="AI442" s="635">
        <v>75.400000000000006</v>
      </c>
      <c r="AJ442" s="635">
        <v>76</v>
      </c>
      <c r="AK442" s="635">
        <v>83.4</v>
      </c>
      <c r="AL442" s="635">
        <v>98.8</v>
      </c>
      <c r="AM442" s="635">
        <v>86.8</v>
      </c>
      <c r="AN442" s="1059">
        <v>96.2</v>
      </c>
      <c r="AO442" s="1059">
        <v>66.599999999999994</v>
      </c>
      <c r="AP442" s="635">
        <v>75.8</v>
      </c>
      <c r="AQ442" s="635">
        <v>89</v>
      </c>
      <c r="AR442" s="359">
        <v>114</v>
      </c>
      <c r="AS442" s="359">
        <v>99.6</v>
      </c>
      <c r="AT442" s="635">
        <f t="shared" si="486"/>
        <v>1056</v>
      </c>
      <c r="AU442" s="646">
        <f t="shared" si="498"/>
        <v>88</v>
      </c>
      <c r="AX442" s="358">
        <v>95</v>
      </c>
      <c r="AY442" s="635">
        <v>121.2</v>
      </c>
      <c r="AZ442" s="635">
        <v>110.6</v>
      </c>
      <c r="BA442" s="635">
        <v>106.6</v>
      </c>
      <c r="BB442" s="635">
        <v>191</v>
      </c>
      <c r="BC442" s="635">
        <v>140.4</v>
      </c>
      <c r="BD442" s="1059">
        <v>141.19999999999999</v>
      </c>
      <c r="BE442" s="1059">
        <v>76.8</v>
      </c>
      <c r="BF442" s="635">
        <v>96.2</v>
      </c>
      <c r="BG442" s="635">
        <v>85</v>
      </c>
      <c r="BH442" s="359">
        <v>95.4</v>
      </c>
      <c r="BI442" s="359">
        <v>86.2</v>
      </c>
      <c r="BJ442" s="635">
        <f t="shared" si="487"/>
        <v>1345.6000000000001</v>
      </c>
      <c r="BK442" s="646">
        <f t="shared" si="492"/>
        <v>112.13333333333334</v>
      </c>
      <c r="BN442" s="322">
        <f t="shared" si="497"/>
        <v>-13.399999999999991</v>
      </c>
      <c r="BO442" s="322">
        <f t="shared" si="488"/>
        <v>24.13333333333334</v>
      </c>
      <c r="BP442" s="322">
        <f t="shared" si="489"/>
        <v>289.60000000000014</v>
      </c>
      <c r="BQ442" s="322">
        <f t="shared" si="493"/>
        <v>-9.2000000000000028</v>
      </c>
      <c r="BR442" s="2265">
        <f t="shared" si="490"/>
        <v>95.4</v>
      </c>
      <c r="BS442" s="2265">
        <f t="shared" si="491"/>
        <v>86.2</v>
      </c>
    </row>
    <row r="443" spans="1:71" s="172" customFormat="1" ht="18" thickBot="1" x14ac:dyDescent="0.6">
      <c r="A443" s="7531"/>
      <c r="B443" s="254"/>
      <c r="C443" s="182" t="s">
        <v>249</v>
      </c>
      <c r="D443" s="640">
        <v>46.428571428571431</v>
      </c>
      <c r="E443" s="641">
        <v>47.714285714285715</v>
      </c>
      <c r="F443" s="641">
        <v>46.714285714285715</v>
      </c>
      <c r="G443" s="641">
        <v>46.714285714285715</v>
      </c>
      <c r="H443" s="641">
        <v>54.142857142857146</v>
      </c>
      <c r="I443" s="641">
        <v>58.428571428571431</v>
      </c>
      <c r="J443" s="641">
        <v>43.142857142857146</v>
      </c>
      <c r="K443" s="641">
        <v>40.285714285714285</v>
      </c>
      <c r="L443" s="641">
        <v>43.714285714285715</v>
      </c>
      <c r="M443" s="641">
        <v>43</v>
      </c>
      <c r="N443" s="641">
        <v>44</v>
      </c>
      <c r="O443" s="641">
        <v>27.285714285714285</v>
      </c>
      <c r="P443" s="641">
        <f t="shared" si="494"/>
        <v>541.57142857142867</v>
      </c>
      <c r="Q443" s="649">
        <f t="shared" si="485"/>
        <v>45.130952380952387</v>
      </c>
      <c r="R443" s="372"/>
      <c r="S443" s="640">
        <v>38.428571428571431</v>
      </c>
      <c r="T443" s="641">
        <v>30.428571428571427</v>
      </c>
      <c r="U443" s="641">
        <v>33.714285714285715</v>
      </c>
      <c r="V443" s="641">
        <v>44.6</v>
      </c>
      <c r="W443" s="641">
        <v>51.4</v>
      </c>
      <c r="X443" s="641">
        <v>33</v>
      </c>
      <c r="Y443" s="641">
        <v>41.8</v>
      </c>
      <c r="Z443" s="641">
        <v>47.2</v>
      </c>
      <c r="AA443" s="641">
        <v>37.4</v>
      </c>
      <c r="AB443" s="641">
        <v>46.4</v>
      </c>
      <c r="AC443" s="641">
        <v>46</v>
      </c>
      <c r="AD443" s="641">
        <v>35.799999999999997</v>
      </c>
      <c r="AE443" s="641">
        <f t="shared" si="495"/>
        <v>486.17142857142852</v>
      </c>
      <c r="AF443" s="649">
        <f t="shared" si="496"/>
        <v>40.514285714285712</v>
      </c>
      <c r="AG443" s="372"/>
      <c r="AH443" s="640">
        <v>55.8</v>
      </c>
      <c r="AI443" s="641">
        <v>46.6</v>
      </c>
      <c r="AJ443" s="641">
        <v>54.2</v>
      </c>
      <c r="AK443" s="641">
        <v>52.4</v>
      </c>
      <c r="AL443" s="641">
        <v>44</v>
      </c>
      <c r="AM443" s="641">
        <v>47</v>
      </c>
      <c r="AN443" s="1061">
        <v>51.2</v>
      </c>
      <c r="AO443" s="1061">
        <v>51</v>
      </c>
      <c r="AP443" s="641">
        <v>52.2</v>
      </c>
      <c r="AQ443" s="641">
        <v>69.599999999999994</v>
      </c>
      <c r="AR443" s="365">
        <v>81.599999999999994</v>
      </c>
      <c r="AS443" s="365">
        <v>71.8</v>
      </c>
      <c r="AT443" s="641">
        <f t="shared" si="486"/>
        <v>677.4</v>
      </c>
      <c r="AU443" s="649">
        <f t="shared" si="498"/>
        <v>56.449999999999996</v>
      </c>
      <c r="AX443" s="364">
        <v>68.8</v>
      </c>
      <c r="AY443" s="641">
        <v>93.4</v>
      </c>
      <c r="AZ443" s="641">
        <v>72.599999999999994</v>
      </c>
      <c r="BA443" s="641">
        <v>82.4</v>
      </c>
      <c r="BB443" s="641">
        <v>94</v>
      </c>
      <c r="BC443" s="641">
        <v>77.8</v>
      </c>
      <c r="BD443" s="1061">
        <v>80</v>
      </c>
      <c r="BE443" s="1061">
        <v>67.8</v>
      </c>
      <c r="BF443" s="641">
        <v>72.400000000000006</v>
      </c>
      <c r="BG443" s="641">
        <v>58.4</v>
      </c>
      <c r="BH443" s="365">
        <v>56.8</v>
      </c>
      <c r="BI443" s="365">
        <v>56.6</v>
      </c>
      <c r="BJ443" s="641">
        <f t="shared" si="487"/>
        <v>880.99999999999989</v>
      </c>
      <c r="BK443" s="649">
        <f t="shared" si="492"/>
        <v>73.416666666666657</v>
      </c>
      <c r="BN443" s="322">
        <f t="shared" si="497"/>
        <v>-15.199999999999996</v>
      </c>
      <c r="BO443" s="322">
        <f t="shared" si="488"/>
        <v>16.966666666666661</v>
      </c>
      <c r="BP443" s="322">
        <f t="shared" si="489"/>
        <v>203.59999999999991</v>
      </c>
      <c r="BQ443" s="322">
        <f t="shared" si="493"/>
        <v>-0.19999999999999574</v>
      </c>
      <c r="BR443" s="2265">
        <f t="shared" si="490"/>
        <v>56.8</v>
      </c>
      <c r="BS443" s="2265">
        <f t="shared" si="491"/>
        <v>56.6</v>
      </c>
    </row>
    <row r="444" spans="1:71" ht="17.399999999999999" customHeight="1" x14ac:dyDescent="0.55000000000000004">
      <c r="A444" s="7530" t="s">
        <v>409</v>
      </c>
      <c r="B444" s="74" t="s">
        <v>268</v>
      </c>
      <c r="C444" s="27"/>
      <c r="D444" s="686">
        <v>3.4369134515119915</v>
      </c>
      <c r="E444" s="650">
        <v>3.377049180327869</v>
      </c>
      <c r="F444" s="650">
        <v>3.6559356136820926</v>
      </c>
      <c r="G444" s="650">
        <v>3.9326660600545953</v>
      </c>
      <c r="H444" s="650">
        <v>4.0675675675675675</v>
      </c>
      <c r="I444" s="650">
        <v>4.1363636363636367</v>
      </c>
      <c r="J444" s="650">
        <v>3.3155452436194897</v>
      </c>
      <c r="K444" s="650">
        <v>3.634512325830654</v>
      </c>
      <c r="L444" s="650">
        <v>3.5575447570332481</v>
      </c>
      <c r="M444" s="650">
        <v>3.7598039215686274</v>
      </c>
      <c r="N444" s="650">
        <v>3.5527369826435247</v>
      </c>
      <c r="O444" s="650">
        <v>3.3208395802098951</v>
      </c>
      <c r="P444" s="650">
        <f>SUM(D444:O444)</f>
        <v>43.747478320413187</v>
      </c>
      <c r="Q444" s="651">
        <f>P444/12</f>
        <v>3.6456231933677654</v>
      </c>
      <c r="R444" s="370"/>
      <c r="S444" s="686">
        <v>3.3870056497175143</v>
      </c>
      <c r="T444" s="650">
        <v>3.5084745762711864</v>
      </c>
      <c r="U444" s="650">
        <v>3.4552332912988653</v>
      </c>
      <c r="V444" s="650">
        <v>3.266016713091922</v>
      </c>
      <c r="W444" s="650">
        <v>3.6617647058823528</v>
      </c>
      <c r="X444" s="650">
        <v>3.5726256983240225</v>
      </c>
      <c r="Y444" s="650">
        <v>3.0920000000000001</v>
      </c>
      <c r="Z444" s="650">
        <v>3.6424517593643588</v>
      </c>
      <c r="AA444" s="650">
        <v>3.6859060402684563</v>
      </c>
      <c r="AB444" s="650">
        <v>3.5473554735547355</v>
      </c>
      <c r="AC444" s="650">
        <v>3.8018867924528301</v>
      </c>
      <c r="AD444" s="650">
        <v>3.2436974789915967</v>
      </c>
      <c r="AE444" s="650">
        <f>SUM(S444:AD444)</f>
        <v>41.864418179217843</v>
      </c>
      <c r="AF444" s="651">
        <f>AE444/12</f>
        <v>3.4887015149348204</v>
      </c>
      <c r="AG444" s="688"/>
      <c r="AH444" s="686">
        <v>3.1621052631578945</v>
      </c>
      <c r="AI444" s="650">
        <v>3.1200980392156863</v>
      </c>
      <c r="AJ444" s="650">
        <v>3.1552990556138512</v>
      </c>
      <c r="AK444" s="650">
        <v>3.0694143167028201</v>
      </c>
      <c r="AL444" s="650">
        <v>3.2729941291585125</v>
      </c>
      <c r="AM444" s="650">
        <v>3.0743310208126857</v>
      </c>
      <c r="AN444" s="1053">
        <v>3.3</v>
      </c>
      <c r="AO444" s="1053">
        <v>3.5523012552301254</v>
      </c>
      <c r="AP444" s="650">
        <v>3.5330599999999999</v>
      </c>
      <c r="AQ444" s="650">
        <v>3.68</v>
      </c>
      <c r="AR444" s="343">
        <v>3.5143626570915618</v>
      </c>
      <c r="AS444" s="650">
        <v>3.7182095625635809</v>
      </c>
      <c r="AT444" s="650">
        <f t="shared" si="486"/>
        <v>40.15217529954672</v>
      </c>
      <c r="AU444" s="651">
        <f t="shared" si="498"/>
        <v>3.34601460829556</v>
      </c>
      <c r="AX444" s="686">
        <v>3.6217345872518285</v>
      </c>
      <c r="AY444" s="650">
        <v>3.8660245183887918</v>
      </c>
      <c r="AZ444" s="650">
        <v>3.8887775551102206</v>
      </c>
      <c r="BA444" s="650">
        <v>3.9352941176470586</v>
      </c>
      <c r="BB444" s="650">
        <v>4.8667504714016339</v>
      </c>
      <c r="BC444" s="650">
        <v>4.5781132075471698</v>
      </c>
      <c r="BD444" s="1053">
        <v>4.3721682847896437</v>
      </c>
      <c r="BE444" s="1053">
        <v>3.9699398797595191</v>
      </c>
      <c r="BF444" s="650">
        <v>3.7257617728531858</v>
      </c>
      <c r="BG444" s="650">
        <v>3.8483316481294239</v>
      </c>
      <c r="BH444" s="343">
        <v>3.795897435897436</v>
      </c>
      <c r="BI444" s="650">
        <v>3.5652173913043477</v>
      </c>
      <c r="BJ444" s="650">
        <f t="shared" si="487"/>
        <v>48.034010870080266</v>
      </c>
      <c r="BK444" s="651">
        <f>AVERAGE(AX444:BI444)</f>
        <v>4.0028342391733558</v>
      </c>
      <c r="BN444" s="322">
        <f t="shared" si="497"/>
        <v>-0.15299217125923326</v>
      </c>
      <c r="BO444" s="322">
        <f t="shared" si="488"/>
        <v>0.65681963087779582</v>
      </c>
      <c r="BP444" s="322">
        <f t="shared" si="489"/>
        <v>7.8818355705335463</v>
      </c>
      <c r="BQ444" s="322">
        <f t="shared" si="493"/>
        <v>-0.23068004459308833</v>
      </c>
      <c r="BR444" s="2265">
        <f t="shared" si="490"/>
        <v>3.795897435897436</v>
      </c>
      <c r="BS444" s="2265">
        <f t="shared" si="491"/>
        <v>3.5652173913043477</v>
      </c>
    </row>
    <row r="445" spans="1:71" ht="17.399999999999999" hidden="1" customHeight="1" x14ac:dyDescent="0.55000000000000004">
      <c r="A445" s="7533"/>
      <c r="B445" s="248"/>
      <c r="C445" s="12" t="s">
        <v>267</v>
      </c>
      <c r="D445" s="34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5">
        <f>SUM(D445:O445)</f>
        <v>0</v>
      </c>
      <c r="Q445" s="346">
        <f t="shared" ref="Q445:Q460" si="499">P445/12</f>
        <v>0</v>
      </c>
      <c r="R445" s="370"/>
      <c r="S445" s="34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  <c r="AE445" s="295">
        <f>SUM(S445:AD445)</f>
        <v>0</v>
      </c>
      <c r="AF445" s="346">
        <f>AE445/12</f>
        <v>0</v>
      </c>
      <c r="AG445" s="370"/>
      <c r="AH445" s="345"/>
      <c r="AI445" s="295"/>
      <c r="AJ445" s="295"/>
      <c r="AK445" s="652"/>
      <c r="AL445" s="652"/>
      <c r="AM445" s="652"/>
      <c r="AN445" s="1054"/>
      <c r="AO445" s="1054"/>
      <c r="AP445" s="652"/>
      <c r="AQ445" s="652"/>
      <c r="AR445" s="295"/>
      <c r="AS445" s="652"/>
      <c r="AT445" s="295">
        <f t="shared" si="486"/>
        <v>0</v>
      </c>
      <c r="AU445" s="346">
        <f t="shared" si="498"/>
        <v>0</v>
      </c>
      <c r="AX445" s="687"/>
      <c r="AY445" s="295"/>
      <c r="AZ445" s="295"/>
      <c r="BA445" s="652"/>
      <c r="BB445" s="652"/>
      <c r="BC445" s="652"/>
      <c r="BD445" s="1054"/>
      <c r="BE445" s="1054"/>
      <c r="BF445" s="652"/>
      <c r="BG445" s="652"/>
      <c r="BH445" s="295"/>
      <c r="BI445" s="652"/>
      <c r="BJ445" s="295">
        <f t="shared" si="487"/>
        <v>0</v>
      </c>
      <c r="BK445" s="346" t="e">
        <f t="shared" si="492"/>
        <v>#DIV/0!</v>
      </c>
      <c r="BN445" s="322">
        <f t="shared" si="497"/>
        <v>0</v>
      </c>
      <c r="BO445" s="322" t="e">
        <f t="shared" si="488"/>
        <v>#DIV/0!</v>
      </c>
      <c r="BP445" s="322">
        <f t="shared" si="489"/>
        <v>0</v>
      </c>
      <c r="BQ445" s="322">
        <f t="shared" si="493"/>
        <v>0</v>
      </c>
      <c r="BR445" s="2265">
        <f t="shared" si="490"/>
        <v>0</v>
      </c>
      <c r="BS445" s="2265">
        <f t="shared" si="491"/>
        <v>0</v>
      </c>
    </row>
    <row r="446" spans="1:71" ht="17.399999999999999" hidden="1" customHeight="1" x14ac:dyDescent="0.55000000000000004">
      <c r="A446" s="7533"/>
      <c r="B446" s="248"/>
      <c r="C446" s="12" t="s">
        <v>280</v>
      </c>
      <c r="D446" s="34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5">
        <f>SUM(D446:O446)</f>
        <v>0</v>
      </c>
      <c r="Q446" s="346">
        <f t="shared" si="499"/>
        <v>0</v>
      </c>
      <c r="R446" s="370"/>
      <c r="S446" s="34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  <c r="AE446" s="295">
        <f>SUM(S446:AD446)</f>
        <v>0</v>
      </c>
      <c r="AF446" s="346">
        <f>AE446/12</f>
        <v>0</v>
      </c>
      <c r="AG446" s="370"/>
      <c r="AH446" s="345"/>
      <c r="AI446" s="295"/>
      <c r="AJ446" s="295"/>
      <c r="AK446" s="652"/>
      <c r="AL446" s="652"/>
      <c r="AM446" s="652"/>
      <c r="AN446" s="1054"/>
      <c r="AO446" s="1054"/>
      <c r="AP446" s="652"/>
      <c r="AQ446" s="652"/>
      <c r="AR446" s="295"/>
      <c r="AS446" s="652"/>
      <c r="AT446" s="295">
        <f t="shared" si="486"/>
        <v>0</v>
      </c>
      <c r="AU446" s="346">
        <f t="shared" si="498"/>
        <v>0</v>
      </c>
      <c r="AX446" s="687"/>
      <c r="AY446" s="295"/>
      <c r="AZ446" s="295"/>
      <c r="BA446" s="652"/>
      <c r="BB446" s="652"/>
      <c r="BC446" s="652"/>
      <c r="BD446" s="1054"/>
      <c r="BE446" s="1054"/>
      <c r="BF446" s="652"/>
      <c r="BG446" s="652"/>
      <c r="BH446" s="295"/>
      <c r="BI446" s="652"/>
      <c r="BJ446" s="295">
        <f t="shared" si="487"/>
        <v>0</v>
      </c>
      <c r="BK446" s="346" t="e">
        <f t="shared" si="492"/>
        <v>#DIV/0!</v>
      </c>
      <c r="BN446" s="322">
        <f t="shared" si="497"/>
        <v>0</v>
      </c>
      <c r="BO446" s="322" t="e">
        <f t="shared" si="488"/>
        <v>#DIV/0!</v>
      </c>
      <c r="BP446" s="322">
        <f t="shared" si="489"/>
        <v>0</v>
      </c>
      <c r="BQ446" s="322">
        <f t="shared" si="493"/>
        <v>0</v>
      </c>
      <c r="BR446" s="2265">
        <f t="shared" si="490"/>
        <v>0</v>
      </c>
      <c r="BS446" s="2265">
        <f t="shared" si="491"/>
        <v>0</v>
      </c>
    </row>
    <row r="447" spans="1:71" ht="17.399999999999999" hidden="1" customHeight="1" x14ac:dyDescent="0.55000000000000004">
      <c r="A447" s="7533"/>
      <c r="B447" s="248"/>
      <c r="C447" s="12" t="s">
        <v>279</v>
      </c>
      <c r="D447" s="34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>
        <f>SUM(D447:O447)</f>
        <v>0</v>
      </c>
      <c r="Q447" s="346">
        <f t="shared" si="499"/>
        <v>0</v>
      </c>
      <c r="R447" s="370"/>
      <c r="S447" s="34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>
        <f>SUM(S447:AD447)</f>
        <v>0</v>
      </c>
      <c r="AF447" s="346">
        <f>AE447/12</f>
        <v>0</v>
      </c>
      <c r="AG447" s="370"/>
      <c r="AH447" s="345"/>
      <c r="AI447" s="295"/>
      <c r="AJ447" s="295"/>
      <c r="AK447" s="652"/>
      <c r="AL447" s="652"/>
      <c r="AM447" s="652"/>
      <c r="AN447" s="1054"/>
      <c r="AO447" s="1054"/>
      <c r="AP447" s="652"/>
      <c r="AQ447" s="652"/>
      <c r="AR447" s="295"/>
      <c r="AS447" s="652"/>
      <c r="AT447" s="295">
        <f t="shared" si="486"/>
        <v>0</v>
      </c>
      <c r="AU447" s="346">
        <f t="shared" si="498"/>
        <v>0</v>
      </c>
      <c r="AX447" s="687"/>
      <c r="AY447" s="295"/>
      <c r="AZ447" s="295"/>
      <c r="BA447" s="652"/>
      <c r="BB447" s="652"/>
      <c r="BC447" s="652"/>
      <c r="BD447" s="1054"/>
      <c r="BE447" s="1054"/>
      <c r="BF447" s="652"/>
      <c r="BG447" s="652"/>
      <c r="BH447" s="295"/>
      <c r="BI447" s="652"/>
      <c r="BJ447" s="295">
        <f t="shared" si="487"/>
        <v>0</v>
      </c>
      <c r="BK447" s="346" t="e">
        <f t="shared" si="492"/>
        <v>#DIV/0!</v>
      </c>
      <c r="BN447" s="322">
        <f t="shared" si="497"/>
        <v>0</v>
      </c>
      <c r="BO447" s="322" t="e">
        <f t="shared" si="488"/>
        <v>#DIV/0!</v>
      </c>
      <c r="BP447" s="322">
        <f t="shared" si="489"/>
        <v>0</v>
      </c>
      <c r="BQ447" s="322">
        <f t="shared" si="493"/>
        <v>0</v>
      </c>
      <c r="BR447" s="2265">
        <f t="shared" si="490"/>
        <v>0</v>
      </c>
      <c r="BS447" s="2265">
        <f t="shared" si="491"/>
        <v>0</v>
      </c>
    </row>
    <row r="448" spans="1:71" ht="17.399999999999999" customHeight="1" x14ac:dyDescent="0.55000000000000004">
      <c r="A448" s="7533"/>
      <c r="B448" s="249" t="s">
        <v>222</v>
      </c>
      <c r="C448" s="100"/>
      <c r="D448" s="627">
        <v>3.3430232558139537</v>
      </c>
      <c r="E448" s="628">
        <v>3.3350515463917527</v>
      </c>
      <c r="F448" s="628">
        <v>3.7032967032967035</v>
      </c>
      <c r="G448" s="628">
        <v>3.5020576131687244</v>
      </c>
      <c r="H448" s="628">
        <v>3.9194139194139193</v>
      </c>
      <c r="I448" s="628">
        <v>3.61328125</v>
      </c>
      <c r="J448" s="628">
        <v>3.1931818181818183</v>
      </c>
      <c r="K448" s="628">
        <v>3.4171428571428573</v>
      </c>
      <c r="L448" s="628">
        <v>3.3238636363636362</v>
      </c>
      <c r="M448" s="628">
        <v>3.7105263157894739</v>
      </c>
      <c r="N448" s="628">
        <v>3.5238095238095237</v>
      </c>
      <c r="O448" s="628">
        <v>3.4</v>
      </c>
      <c r="P448" s="628">
        <f>SUM(D448:O448)</f>
        <v>41.984648439372364</v>
      </c>
      <c r="Q448" s="642">
        <f>P448/12</f>
        <v>3.4987207032810304</v>
      </c>
      <c r="R448" s="370"/>
      <c r="S448" s="627">
        <v>3.2620689655172415</v>
      </c>
      <c r="T448" s="628">
        <v>3.6123595505617976</v>
      </c>
      <c r="U448" s="628">
        <v>4.166666666666667</v>
      </c>
      <c r="V448" s="628">
        <v>3.5338345864661656</v>
      </c>
      <c r="W448" s="628">
        <v>3.9090909090909092</v>
      </c>
      <c r="X448" s="628">
        <v>4.3211678832116789</v>
      </c>
      <c r="Y448" s="628">
        <v>3.215686274509804</v>
      </c>
      <c r="Z448" s="628">
        <v>3.6090909090909089</v>
      </c>
      <c r="AA448" s="628">
        <v>5.4888888888888889</v>
      </c>
      <c r="AB448" s="628">
        <v>4.0137931034482754</v>
      </c>
      <c r="AC448" s="628">
        <v>4.6099290780141846</v>
      </c>
      <c r="AD448" s="628">
        <v>3.6106194690265485</v>
      </c>
      <c r="AE448" s="628">
        <f>SUM(S448:AD448)</f>
        <v>47.353196284493059</v>
      </c>
      <c r="AF448" s="642">
        <f>AE448/12</f>
        <v>3.9460996903744214</v>
      </c>
      <c r="AG448" s="370"/>
      <c r="AH448" s="627">
        <v>3.6666666666666665</v>
      </c>
      <c r="AI448" s="628">
        <v>3.8548387096774195</v>
      </c>
      <c r="AJ448" s="628">
        <v>3.4539877300613497</v>
      </c>
      <c r="AK448" s="628">
        <v>2.9437500000000001</v>
      </c>
      <c r="AL448" s="628">
        <v>3.6203208556149731</v>
      </c>
      <c r="AM448" s="628">
        <v>3.2210526315789472</v>
      </c>
      <c r="AN448" s="1055">
        <v>3.6255924170616112</v>
      </c>
      <c r="AO448" s="1055">
        <v>3.9780219780219781</v>
      </c>
      <c r="AP448" s="628">
        <v>3.9833333333333334</v>
      </c>
      <c r="AQ448" s="628">
        <v>3.6181818181818182</v>
      </c>
      <c r="AR448" s="348">
        <v>2.9459459459459461</v>
      </c>
      <c r="AS448" s="628">
        <v>3.1941176470588237</v>
      </c>
      <c r="AT448" s="628">
        <f t="shared" si="486"/>
        <v>42.105809733202861</v>
      </c>
      <c r="AU448" s="642">
        <f t="shared" si="498"/>
        <v>3.5088174777669052</v>
      </c>
      <c r="AX448" s="627">
        <v>3.3641618497109826</v>
      </c>
      <c r="AY448" s="628">
        <v>3.6428571428571428</v>
      </c>
      <c r="AZ448" s="628">
        <v>3.5224719101123596</v>
      </c>
      <c r="BA448" s="628">
        <v>3.6348314606741572</v>
      </c>
      <c r="BB448" s="628">
        <v>4.75</v>
      </c>
      <c r="BC448" s="628">
        <v>3.5714285714285716</v>
      </c>
      <c r="BD448" s="1055">
        <v>3.7129629629629628</v>
      </c>
      <c r="BE448" s="1055">
        <v>3.5519125683060109</v>
      </c>
      <c r="BF448" s="628">
        <v>3.2200956937799043</v>
      </c>
      <c r="BG448" s="628">
        <v>3.3522727272727271</v>
      </c>
      <c r="BH448" s="348">
        <v>3.260204081632653</v>
      </c>
      <c r="BI448" s="628">
        <v>3.3796296296296298</v>
      </c>
      <c r="BJ448" s="628">
        <f t="shared" si="487"/>
        <v>42.962828598367096</v>
      </c>
      <c r="BK448" s="642">
        <f t="shared" si="492"/>
        <v>3.5802357165305914</v>
      </c>
      <c r="BN448" s="322">
        <f t="shared" si="497"/>
        <v>0.18551198257080603</v>
      </c>
      <c r="BO448" s="322">
        <f t="shared" si="488"/>
        <v>7.1418238763686137E-2</v>
      </c>
      <c r="BP448" s="322">
        <f t="shared" si="489"/>
        <v>0.85701886516423542</v>
      </c>
      <c r="BQ448" s="322">
        <f t="shared" si="493"/>
        <v>0.1194255479969768</v>
      </c>
      <c r="BR448" s="2265">
        <f t="shared" si="490"/>
        <v>3.260204081632653</v>
      </c>
      <c r="BS448" s="2265">
        <f t="shared" si="491"/>
        <v>3.3796296296296298</v>
      </c>
    </row>
    <row r="449" spans="1:71" ht="17.399999999999999" customHeight="1" x14ac:dyDescent="0.55000000000000004">
      <c r="A449" s="7533"/>
      <c r="B449" s="250" t="s">
        <v>223</v>
      </c>
      <c r="C449" s="14"/>
      <c r="D449" s="629">
        <v>2.9895833333333335</v>
      </c>
      <c r="E449" s="568">
        <v>3.7087912087912089</v>
      </c>
      <c r="F449" s="568">
        <v>3.3842592592592591</v>
      </c>
      <c r="G449" s="568">
        <v>4.55</v>
      </c>
      <c r="H449" s="568">
        <v>4.6820512820512823</v>
      </c>
      <c r="I449" s="568">
        <v>4.3483870967741938</v>
      </c>
      <c r="J449" s="568">
        <v>4.2280701754385968</v>
      </c>
      <c r="K449" s="568">
        <v>4.2027027027027026</v>
      </c>
      <c r="L449" s="568">
        <v>3.675925925925926</v>
      </c>
      <c r="M449" s="568">
        <v>3.9781021897810218</v>
      </c>
      <c r="N449" s="568">
        <v>3.6766917293233083</v>
      </c>
      <c r="O449" s="568">
        <v>3.4956521739130433</v>
      </c>
      <c r="P449" s="568">
        <f t="shared" ref="P449:P460" si="500">SUM(D449:O449)</f>
        <v>46.92021707729387</v>
      </c>
      <c r="Q449" s="643">
        <f t="shared" si="499"/>
        <v>3.9100180897744892</v>
      </c>
      <c r="R449" s="370"/>
      <c r="S449" s="629">
        <v>4.0952380952380949</v>
      </c>
      <c r="T449" s="568">
        <v>3.5289855072463769</v>
      </c>
      <c r="U449" s="568">
        <v>3.4678899082568808</v>
      </c>
      <c r="V449" s="568">
        <v>3.4375</v>
      </c>
      <c r="W449" s="568">
        <v>3.9387755102040818</v>
      </c>
      <c r="X449" s="568">
        <v>3.831168831168831</v>
      </c>
      <c r="Y449" s="568">
        <v>3.06</v>
      </c>
      <c r="Z449" s="568">
        <v>3.457943925233645</v>
      </c>
      <c r="AA449" s="568">
        <v>3.008695652173913</v>
      </c>
      <c r="AB449" s="568">
        <v>3.8952380952380952</v>
      </c>
      <c r="AC449" s="568">
        <v>3.7058823529411766</v>
      </c>
      <c r="AD449" s="568">
        <v>2.9518072289156625</v>
      </c>
      <c r="AE449" s="568">
        <f t="shared" ref="AE449:AE460" si="501">SUM(S449:AD449)</f>
        <v>42.379125106616755</v>
      </c>
      <c r="AF449" s="643">
        <f t="shared" ref="AF449:AF460" si="502">AE449/12</f>
        <v>3.5315937588847297</v>
      </c>
      <c r="AG449" s="370"/>
      <c r="AH449" s="629">
        <v>2.7804878048780486</v>
      </c>
      <c r="AI449" s="568">
        <v>2.8130841121495327</v>
      </c>
      <c r="AJ449" s="568">
        <v>3.5396825396825395</v>
      </c>
      <c r="AK449" s="568">
        <v>3.8378378378378377</v>
      </c>
      <c r="AL449" s="568">
        <v>3.5304347826086957</v>
      </c>
      <c r="AM449" s="568">
        <v>3.6793893129770994</v>
      </c>
      <c r="AN449" s="1056">
        <v>3.6769230769230767</v>
      </c>
      <c r="AO449" s="1056">
        <v>4.5850340136054424</v>
      </c>
      <c r="AP449" s="568">
        <v>4.3641975308641978</v>
      </c>
      <c r="AQ449" s="568">
        <v>5.0283687943262407</v>
      </c>
      <c r="AR449" s="280">
        <v>3.8571428571428572</v>
      </c>
      <c r="AS449" s="568">
        <v>4.3805970149253728</v>
      </c>
      <c r="AT449" s="568">
        <f t="shared" si="486"/>
        <v>46.073179677920933</v>
      </c>
      <c r="AU449" s="643">
        <f t="shared" si="498"/>
        <v>3.8394316398267443</v>
      </c>
      <c r="AX449" s="629">
        <v>4.5084745762711869</v>
      </c>
      <c r="AY449" s="568">
        <v>4.1517241379310343</v>
      </c>
      <c r="AZ449" s="568">
        <v>4.3274336283185839</v>
      </c>
      <c r="BA449" s="568">
        <v>4.192660550458716</v>
      </c>
      <c r="BB449" s="568">
        <v>4.7260273972602738</v>
      </c>
      <c r="BC449" s="568">
        <v>3.863905325443787</v>
      </c>
      <c r="BD449" s="1056">
        <v>4.0064935064935066</v>
      </c>
      <c r="BE449" s="1056">
        <v>3.986842105263158</v>
      </c>
      <c r="BF449" s="568">
        <v>3.8417721518987342</v>
      </c>
      <c r="BG449" s="568">
        <v>3.8344827586206898</v>
      </c>
      <c r="BH449" s="280">
        <v>3.8308823529411766</v>
      </c>
      <c r="BI449" s="568">
        <v>4</v>
      </c>
      <c r="BJ449" s="568">
        <f t="shared" si="487"/>
        <v>49.270698490900848</v>
      </c>
      <c r="BK449" s="643">
        <f t="shared" si="492"/>
        <v>4.105891540908404</v>
      </c>
      <c r="BN449" s="322">
        <f t="shared" si="497"/>
        <v>-0.38059701492537279</v>
      </c>
      <c r="BO449" s="322">
        <f t="shared" si="488"/>
        <v>0.26645990108165973</v>
      </c>
      <c r="BP449" s="322">
        <f t="shared" si="489"/>
        <v>3.197518812979915</v>
      </c>
      <c r="BQ449" s="322">
        <f t="shared" si="493"/>
        <v>0.16911764705882337</v>
      </c>
      <c r="BR449" s="2265">
        <f t="shared" si="490"/>
        <v>3.8308823529411766</v>
      </c>
      <c r="BS449" s="2265">
        <f t="shared" si="491"/>
        <v>4</v>
      </c>
    </row>
    <row r="450" spans="1:71" ht="17.399999999999999" customHeight="1" x14ac:dyDescent="0.55000000000000004">
      <c r="A450" s="7533"/>
      <c r="B450" s="250" t="s">
        <v>224</v>
      </c>
      <c r="C450" s="14"/>
      <c r="D450" s="629">
        <v>3.4782608695652173</v>
      </c>
      <c r="E450" s="568">
        <v>3.5977011494252875</v>
      </c>
      <c r="F450" s="568">
        <v>5.0763358778625953</v>
      </c>
      <c r="G450" s="568">
        <v>4</v>
      </c>
      <c r="H450" s="568">
        <v>3.7675675675675677</v>
      </c>
      <c r="I450" s="568">
        <v>4.227586206896552</v>
      </c>
      <c r="J450" s="568">
        <v>3.5920000000000001</v>
      </c>
      <c r="K450" s="568">
        <v>4.4344262295081966</v>
      </c>
      <c r="L450" s="568">
        <v>5.2168674698795181</v>
      </c>
      <c r="M450" s="568">
        <v>5.8888888888888893</v>
      </c>
      <c r="N450" s="568">
        <v>6.3230769230769228</v>
      </c>
      <c r="O450" s="568">
        <v>4.1578947368421053</v>
      </c>
      <c r="P450" s="568">
        <f t="shared" si="500"/>
        <v>53.760605919512848</v>
      </c>
      <c r="Q450" s="643">
        <f t="shared" si="499"/>
        <v>4.4800504932927376</v>
      </c>
      <c r="R450" s="370"/>
      <c r="S450" s="629">
        <v>4.2739726027397262</v>
      </c>
      <c r="T450" s="568">
        <v>4.416666666666667</v>
      </c>
      <c r="U450" s="568">
        <v>4.0326086956521738</v>
      </c>
      <c r="V450" s="568">
        <v>4.3026315789473681</v>
      </c>
      <c r="W450" s="568">
        <v>4.5274725274725274</v>
      </c>
      <c r="X450" s="568">
        <v>4.5487804878048781</v>
      </c>
      <c r="Y450" s="568">
        <v>3.1196581196581197</v>
      </c>
      <c r="Z450" s="568">
        <v>3.46218487394958</v>
      </c>
      <c r="AA450" s="568">
        <v>3.2857142857142856</v>
      </c>
      <c r="AB450" s="568">
        <v>3.25</v>
      </c>
      <c r="AC450" s="568">
        <v>3.3553719008264462</v>
      </c>
      <c r="AD450" s="568">
        <v>3.0833333333333335</v>
      </c>
      <c r="AE450" s="568">
        <f t="shared" si="501"/>
        <v>45.65839507276511</v>
      </c>
      <c r="AF450" s="643">
        <f t="shared" si="502"/>
        <v>3.8048662560637592</v>
      </c>
      <c r="AG450" s="370"/>
      <c r="AH450" s="629">
        <v>2.6875</v>
      </c>
      <c r="AI450" s="568">
        <v>2.8130841121495327</v>
      </c>
      <c r="AJ450" s="568">
        <v>3.140625</v>
      </c>
      <c r="AK450" s="568">
        <v>2.806201550387597</v>
      </c>
      <c r="AL450" s="568">
        <v>3.4064516129032256</v>
      </c>
      <c r="AM450" s="568">
        <v>3.1474358974358974</v>
      </c>
      <c r="AN450" s="1056">
        <v>3.484076433121019</v>
      </c>
      <c r="AO450" s="1056">
        <v>3.4906832298136647</v>
      </c>
      <c r="AP450" s="568">
        <v>3.6940298507462686</v>
      </c>
      <c r="AQ450" s="568">
        <v>3.5609756097560976</v>
      </c>
      <c r="AR450" s="280">
        <v>3.8716216216216215</v>
      </c>
      <c r="AS450" s="568">
        <v>3.9927536231884058</v>
      </c>
      <c r="AT450" s="568">
        <f t="shared" si="486"/>
        <v>40.095438541123329</v>
      </c>
      <c r="AU450" s="643">
        <f t="shared" si="498"/>
        <v>3.3412865450936109</v>
      </c>
      <c r="AX450" s="629">
        <v>3.751937984496124</v>
      </c>
      <c r="AY450" s="568">
        <v>3.9545454545454546</v>
      </c>
      <c r="AZ450" s="568">
        <v>4.9635036496350367</v>
      </c>
      <c r="BA450" s="568">
        <v>3.763157894736842</v>
      </c>
      <c r="BB450" s="568">
        <v>4.8904109589041092</v>
      </c>
      <c r="BC450" s="568">
        <v>4.3195876288659791</v>
      </c>
      <c r="BD450" s="1056">
        <v>4.1373626373626378</v>
      </c>
      <c r="BE450" s="1056">
        <v>3.736842105263158</v>
      </c>
      <c r="BF450" s="568">
        <v>3.9329268292682928</v>
      </c>
      <c r="BG450" s="568">
        <v>3.9795918367346941</v>
      </c>
      <c r="BH450" s="280">
        <v>4.024390243902439</v>
      </c>
      <c r="BI450" s="568">
        <v>3.4189189189189189</v>
      </c>
      <c r="BJ450" s="568">
        <f t="shared" si="487"/>
        <v>48.873176142633682</v>
      </c>
      <c r="BK450" s="643">
        <f t="shared" si="492"/>
        <v>4.0727646785528071</v>
      </c>
      <c r="BN450" s="322">
        <f t="shared" si="497"/>
        <v>-0.57383470426948691</v>
      </c>
      <c r="BO450" s="322">
        <f t="shared" si="488"/>
        <v>0.73147813345919621</v>
      </c>
      <c r="BP450" s="322">
        <f t="shared" si="489"/>
        <v>8.7777376015103528</v>
      </c>
      <c r="BQ450" s="322">
        <f t="shared" si="493"/>
        <v>-0.60547132498352019</v>
      </c>
      <c r="BR450" s="2265">
        <f t="shared" si="490"/>
        <v>4.024390243902439</v>
      </c>
      <c r="BS450" s="2265">
        <f t="shared" si="491"/>
        <v>3.4189189189189189</v>
      </c>
    </row>
    <row r="451" spans="1:71" ht="17.399999999999999" customHeight="1" x14ac:dyDescent="0.55000000000000004">
      <c r="A451" s="7533"/>
      <c r="B451" s="250" t="s">
        <v>225</v>
      </c>
      <c r="C451" s="14"/>
      <c r="D451" s="629">
        <v>4.6460674157303368</v>
      </c>
      <c r="E451" s="568">
        <v>3.7222222222222223</v>
      </c>
      <c r="F451" s="568">
        <v>3.9771689497716896</v>
      </c>
      <c r="G451" s="568">
        <v>4.0180180180180178</v>
      </c>
      <c r="H451" s="568">
        <v>4.6859903381642516</v>
      </c>
      <c r="I451" s="568">
        <v>5.1956521739130439</v>
      </c>
      <c r="J451" s="568">
        <v>3.3304347826086955</v>
      </c>
      <c r="K451" s="568">
        <v>3.452471482889734</v>
      </c>
      <c r="L451" s="568">
        <v>3.5119617224880382</v>
      </c>
      <c r="M451" s="568">
        <v>3.5728643216080402</v>
      </c>
      <c r="N451" s="568">
        <v>3.1764705882352939</v>
      </c>
      <c r="O451" s="568">
        <v>2.911111111111111</v>
      </c>
      <c r="P451" s="568">
        <f t="shared" si="500"/>
        <v>46.200433126760473</v>
      </c>
      <c r="Q451" s="643">
        <f t="shared" si="499"/>
        <v>3.8500360938967062</v>
      </c>
      <c r="R451" s="370"/>
      <c r="S451" s="629">
        <v>3.1413043478260869</v>
      </c>
      <c r="T451" s="568">
        <v>3.237864077669903</v>
      </c>
      <c r="U451" s="568">
        <v>3.1100478468899522</v>
      </c>
      <c r="V451" s="568">
        <v>3.203045685279188</v>
      </c>
      <c r="W451" s="568">
        <v>3.4553191489361703</v>
      </c>
      <c r="X451" s="568">
        <v>3.1735159817351599</v>
      </c>
      <c r="Y451" s="568">
        <v>3.134020618556701</v>
      </c>
      <c r="Z451" s="568">
        <v>4.1243781094527368</v>
      </c>
      <c r="AA451" s="568">
        <v>3.2350230414746544</v>
      </c>
      <c r="AB451" s="568">
        <v>3.2510121457489878</v>
      </c>
      <c r="AC451" s="568">
        <v>3.983240223463687</v>
      </c>
      <c r="AD451" s="568">
        <v>3.2866242038216562</v>
      </c>
      <c r="AE451" s="568">
        <f t="shared" si="501"/>
        <v>40.335395430854888</v>
      </c>
      <c r="AF451" s="643">
        <f t="shared" si="502"/>
        <v>3.3612829525712407</v>
      </c>
      <c r="AG451" s="370"/>
      <c r="AH451" s="629">
        <v>3.6392156862745098</v>
      </c>
      <c r="AI451" s="568">
        <v>3.2796934865900385</v>
      </c>
      <c r="AJ451" s="568">
        <v>3.0191693290734825</v>
      </c>
      <c r="AK451" s="568">
        <v>3.140845070422535</v>
      </c>
      <c r="AL451" s="568">
        <v>3.1578947368421053</v>
      </c>
      <c r="AM451" s="568">
        <v>2.8552188552188551</v>
      </c>
      <c r="AN451" s="1056">
        <v>3.1459074733096086</v>
      </c>
      <c r="AO451" s="1056">
        <v>3.1062271062271063</v>
      </c>
      <c r="AP451" s="568">
        <v>2.9587628865979383</v>
      </c>
      <c r="AQ451" s="568">
        <v>3.4982698961937717</v>
      </c>
      <c r="AR451" s="280">
        <v>3.3920972644376901</v>
      </c>
      <c r="AS451" s="568">
        <v>3.7233333333333332</v>
      </c>
      <c r="AT451" s="568">
        <f t="shared" si="486"/>
        <v>38.91663512452098</v>
      </c>
      <c r="AU451" s="643">
        <f t="shared" si="498"/>
        <v>3.243052927043415</v>
      </c>
      <c r="AX451" s="629">
        <v>3.309148264984227</v>
      </c>
      <c r="AY451" s="568">
        <v>3.8875379939209727</v>
      </c>
      <c r="AZ451" s="568">
        <v>3.6645768025078369</v>
      </c>
      <c r="BA451" s="568">
        <v>4.2469512195121952</v>
      </c>
      <c r="BB451" s="568">
        <v>5.5116279069767442</v>
      </c>
      <c r="BC451" s="568">
        <v>5.8221258134490235</v>
      </c>
      <c r="BD451" s="1056">
        <v>5.2235872235872236</v>
      </c>
      <c r="BE451" s="1056">
        <v>4.7324414715719065</v>
      </c>
      <c r="BF451" s="568">
        <v>3.8393939393939394</v>
      </c>
      <c r="BG451" s="568">
        <v>4.2173913043478262</v>
      </c>
      <c r="BH451" s="280">
        <v>4.2976588628762542</v>
      </c>
      <c r="BI451" s="568">
        <v>3.7435897435897436</v>
      </c>
      <c r="BJ451" s="568">
        <f t="shared" si="487"/>
        <v>52.496030546717897</v>
      </c>
      <c r="BK451" s="643">
        <f t="shared" si="492"/>
        <v>4.3746692122264914</v>
      </c>
      <c r="BN451" s="322">
        <f t="shared" si="497"/>
        <v>2.0256410256410451E-2</v>
      </c>
      <c r="BO451" s="322">
        <f t="shared" si="488"/>
        <v>1.1316162851830764</v>
      </c>
      <c r="BP451" s="322">
        <f t="shared" si="489"/>
        <v>13.579395422196917</v>
      </c>
      <c r="BQ451" s="322">
        <f t="shared" si="493"/>
        <v>-0.55406911928651059</v>
      </c>
      <c r="BR451" s="2265">
        <f t="shared" si="490"/>
        <v>4.2976588628762542</v>
      </c>
      <c r="BS451" s="2265">
        <f t="shared" si="491"/>
        <v>3.7435897435897436</v>
      </c>
    </row>
    <row r="452" spans="1:71" ht="17.399999999999999" customHeight="1" x14ac:dyDescent="0.55000000000000004">
      <c r="A452" s="7533"/>
      <c r="B452" s="251" t="s">
        <v>226</v>
      </c>
      <c r="C452" s="103"/>
      <c r="D452" s="630">
        <v>2.96875</v>
      </c>
      <c r="E452" s="631">
        <v>2.7675276752767526</v>
      </c>
      <c r="F452" s="631">
        <v>2.8170731707317072</v>
      </c>
      <c r="G452" s="631">
        <v>3.7124463519313307</v>
      </c>
      <c r="H452" s="631">
        <v>3.46</v>
      </c>
      <c r="I452" s="631">
        <v>3.6666666666666665</v>
      </c>
      <c r="J452" s="631">
        <v>2.7603686635944702</v>
      </c>
      <c r="K452" s="631">
        <v>3.2088888888888887</v>
      </c>
      <c r="L452" s="631">
        <v>3.0728155339805827</v>
      </c>
      <c r="M452" s="631">
        <v>3.0143540669856459</v>
      </c>
      <c r="N452" s="631">
        <v>2.9907834101382487</v>
      </c>
      <c r="O452" s="631">
        <v>3.1099476439790577</v>
      </c>
      <c r="P452" s="631">
        <f t="shared" si="500"/>
        <v>37.549622072173349</v>
      </c>
      <c r="Q452" s="644">
        <f t="shared" si="499"/>
        <v>3.1291351726811123</v>
      </c>
      <c r="R452" s="370"/>
      <c r="S452" s="630">
        <v>3.0099502487562191</v>
      </c>
      <c r="T452" s="631">
        <v>3.3181818181818183</v>
      </c>
      <c r="U452" s="631">
        <v>3.0440528634361232</v>
      </c>
      <c r="V452" s="631">
        <v>2.7672413793103448</v>
      </c>
      <c r="W452" s="631">
        <v>3.2605042016806722</v>
      </c>
      <c r="X452" s="631">
        <v>3</v>
      </c>
      <c r="Y452" s="631">
        <v>2.946236559139785</v>
      </c>
      <c r="Z452" s="631">
        <v>3.4358974358974357</v>
      </c>
      <c r="AA452" s="631">
        <v>3.5277777777777777</v>
      </c>
      <c r="AB452" s="631">
        <v>3.5588235294117645</v>
      </c>
      <c r="AC452" s="631">
        <v>3.386934673366834</v>
      </c>
      <c r="AD452" s="631">
        <v>3.1772151898734178</v>
      </c>
      <c r="AE452" s="631">
        <f t="shared" si="501"/>
        <v>38.432815676832185</v>
      </c>
      <c r="AF452" s="644">
        <f t="shared" si="502"/>
        <v>3.2027346397360152</v>
      </c>
      <c r="AG452" s="370"/>
      <c r="AH452" s="630">
        <v>2.7408759124087592</v>
      </c>
      <c r="AI452" s="631">
        <v>2.8110599078341014</v>
      </c>
      <c r="AJ452" s="631">
        <v>2.9192825112107625</v>
      </c>
      <c r="AK452" s="631">
        <v>2.8529411764705883</v>
      </c>
      <c r="AL452" s="631">
        <v>2.950413223140496</v>
      </c>
      <c r="AM452" s="631">
        <v>2.8468085106382977</v>
      </c>
      <c r="AN452" s="1057">
        <v>2.7916666666666665</v>
      </c>
      <c r="AO452" s="1057">
        <v>3.0466321243523318</v>
      </c>
      <c r="AP452" s="631">
        <v>3.1840796019900499</v>
      </c>
      <c r="AQ452" s="631">
        <v>3.2768595041322315</v>
      </c>
      <c r="AR452" s="353">
        <v>3.7471264367816093</v>
      </c>
      <c r="AS452" s="631">
        <v>3.5560165975103732</v>
      </c>
      <c r="AT452" s="631">
        <f t="shared" si="486"/>
        <v>36.723762173136265</v>
      </c>
      <c r="AU452" s="644">
        <f t="shared" si="498"/>
        <v>3.0603135144280222</v>
      </c>
      <c r="AX452" s="630">
        <v>3.7227272727272727</v>
      </c>
      <c r="AY452" s="631">
        <v>3.8049645390070923</v>
      </c>
      <c r="AZ452" s="631">
        <v>3.6494023904382469</v>
      </c>
      <c r="BA452" s="631">
        <v>3.7351778656126484</v>
      </c>
      <c r="BB452" s="631">
        <v>4.0830945558739256</v>
      </c>
      <c r="BC452" s="631">
        <v>3.9386281588447654</v>
      </c>
      <c r="BD452" s="1057">
        <v>3.9927797833935017</v>
      </c>
      <c r="BE452" s="1057">
        <v>3.4103773584905661</v>
      </c>
      <c r="BF452" s="631">
        <v>3.7972972972972974</v>
      </c>
      <c r="BG452" s="631">
        <v>3.6030150753768844</v>
      </c>
      <c r="BH452" s="353">
        <v>3.4434389140271495</v>
      </c>
      <c r="BI452" s="631">
        <v>3.3055555555555554</v>
      </c>
      <c r="BJ452" s="631">
        <f t="shared" si="487"/>
        <v>44.486458766644908</v>
      </c>
      <c r="BK452" s="644">
        <f t="shared" si="492"/>
        <v>3.707204897220409</v>
      </c>
      <c r="BN452" s="322">
        <f t="shared" si="497"/>
        <v>-0.25046104195481789</v>
      </c>
      <c r="BO452" s="322">
        <f t="shared" si="488"/>
        <v>0.64689138279238678</v>
      </c>
      <c r="BP452" s="322">
        <f t="shared" si="489"/>
        <v>7.7626965935086432</v>
      </c>
      <c r="BQ452" s="322">
        <f t="shared" si="493"/>
        <v>-0.13788335847159416</v>
      </c>
      <c r="BR452" s="2265">
        <f t="shared" si="490"/>
        <v>3.4434389140271495</v>
      </c>
      <c r="BS452" s="2265">
        <f t="shared" si="491"/>
        <v>3.3055555555555554</v>
      </c>
    </row>
    <row r="453" spans="1:71" s="172" customFormat="1" ht="15.65" customHeight="1" x14ac:dyDescent="0.55000000000000004">
      <c r="A453" s="7533"/>
      <c r="B453" s="252"/>
      <c r="C453" s="180" t="s">
        <v>242</v>
      </c>
      <c r="D453" s="632">
        <v>3.622950819672131</v>
      </c>
      <c r="E453" s="633">
        <v>3.5310344827586206</v>
      </c>
      <c r="F453" s="633">
        <v>3.9179104477611939</v>
      </c>
      <c r="G453" s="633">
        <v>3.7172774869109948</v>
      </c>
      <c r="H453" s="633">
        <v>4.195348837209302</v>
      </c>
      <c r="I453" s="633">
        <v>3.7584541062801931</v>
      </c>
      <c r="J453" s="633">
        <v>3.2147651006711411</v>
      </c>
      <c r="K453" s="633">
        <v>3.3676470588235294</v>
      </c>
      <c r="L453" s="633">
        <v>3.4861111111111112</v>
      </c>
      <c r="M453" s="633">
        <v>3.9602649006622515</v>
      </c>
      <c r="N453" s="633">
        <v>3.692982456140351</v>
      </c>
      <c r="O453" s="633">
        <v>3.5634920634920637</v>
      </c>
      <c r="P453" s="633">
        <f t="shared" si="500"/>
        <v>44.028238871492881</v>
      </c>
      <c r="Q453" s="645">
        <f t="shared" si="499"/>
        <v>3.66901990595774</v>
      </c>
      <c r="R453" s="372"/>
      <c r="S453" s="632">
        <v>3.4</v>
      </c>
      <c r="T453" s="633">
        <v>3.7785234899328861</v>
      </c>
      <c r="U453" s="633">
        <v>4.05</v>
      </c>
      <c r="V453" s="633">
        <v>3.4952380952380953</v>
      </c>
      <c r="W453" s="633">
        <v>3.8583333333333334</v>
      </c>
      <c r="X453" s="633">
        <v>4.2129629629629628</v>
      </c>
      <c r="Y453" s="633">
        <v>3.1707317073170733</v>
      </c>
      <c r="Z453" s="633">
        <v>2.8784530386740332</v>
      </c>
      <c r="AA453" s="633">
        <v>4.568807339449541</v>
      </c>
      <c r="AB453" s="633">
        <v>3.8378378378378377</v>
      </c>
      <c r="AC453" s="633">
        <v>4.4553571428571432</v>
      </c>
      <c r="AD453" s="633">
        <v>3.3012048192771086</v>
      </c>
      <c r="AE453" s="633">
        <f t="shared" si="501"/>
        <v>45.007449766880022</v>
      </c>
      <c r="AF453" s="645">
        <f t="shared" si="502"/>
        <v>3.7506208139066683</v>
      </c>
      <c r="AG453" s="372"/>
      <c r="AH453" s="632">
        <v>3.7152777777777777</v>
      </c>
      <c r="AI453" s="633">
        <v>3.6263736263736264</v>
      </c>
      <c r="AJ453" s="633">
        <v>3.0991735537190084</v>
      </c>
      <c r="AK453" s="633">
        <v>2.8547008547008548</v>
      </c>
      <c r="AL453" s="633">
        <v>3.5833333333333335</v>
      </c>
      <c r="AM453" s="633">
        <v>3.0833333333333335</v>
      </c>
      <c r="AN453" s="1058">
        <v>3.6095890410958904</v>
      </c>
      <c r="AO453" s="1058">
        <v>4.162962962962963</v>
      </c>
      <c r="AP453" s="633">
        <v>3.8712121212121211</v>
      </c>
      <c r="AQ453" s="633">
        <v>3.5838150289017343</v>
      </c>
      <c r="AR453" s="356">
        <v>2.9226190476190474</v>
      </c>
      <c r="AS453" s="633">
        <v>3.3852459016393444</v>
      </c>
      <c r="AT453" s="633">
        <f t="shared" si="486"/>
        <v>41.497636582669038</v>
      </c>
      <c r="AU453" s="645">
        <f t="shared" si="498"/>
        <v>3.4581363818890867</v>
      </c>
      <c r="AX453" s="632">
        <v>3.4260869565217393</v>
      </c>
      <c r="AY453" s="633">
        <v>3.8972602739726026</v>
      </c>
      <c r="AZ453" s="633">
        <v>3.7355371900826446</v>
      </c>
      <c r="BA453" s="633">
        <v>3.8114754098360657</v>
      </c>
      <c r="BB453" s="633">
        <v>4.7766990291262132</v>
      </c>
      <c r="BC453" s="633">
        <v>3.670807453416149</v>
      </c>
      <c r="BD453" s="1058">
        <v>3.7129629629629628</v>
      </c>
      <c r="BE453" s="1058">
        <v>3.5519125683060109</v>
      </c>
      <c r="BF453" s="633">
        <v>3.2200956937799043</v>
      </c>
      <c r="BG453" s="633">
        <v>3.3522727272727271</v>
      </c>
      <c r="BH453" s="356">
        <v>3.260204081632653</v>
      </c>
      <c r="BI453" s="633">
        <v>3.3796296296296298</v>
      </c>
      <c r="BJ453" s="633">
        <f t="shared" si="487"/>
        <v>43.794943976539301</v>
      </c>
      <c r="BK453" s="645">
        <f t="shared" si="492"/>
        <v>3.6495786647116084</v>
      </c>
      <c r="BN453" s="322">
        <f t="shared" si="497"/>
        <v>-5.6162720097145957E-3</v>
      </c>
      <c r="BO453" s="322">
        <f t="shared" si="488"/>
        <v>0.19144228282252174</v>
      </c>
      <c r="BP453" s="322">
        <f t="shared" si="489"/>
        <v>2.2973073938702626</v>
      </c>
      <c r="BQ453" s="322">
        <f t="shared" si="493"/>
        <v>0.1194255479969768</v>
      </c>
      <c r="BR453" s="2265">
        <f t="shared" si="490"/>
        <v>3.260204081632653</v>
      </c>
      <c r="BS453" s="2265">
        <f t="shared" si="491"/>
        <v>3.3796296296296298</v>
      </c>
    </row>
    <row r="454" spans="1:71" s="172" customFormat="1" ht="15.65" customHeight="1" x14ac:dyDescent="0.55000000000000004">
      <c r="A454" s="7533"/>
      <c r="B454" s="253"/>
      <c r="C454" s="181" t="s">
        <v>243</v>
      </c>
      <c r="D454" s="634">
        <v>2.66</v>
      </c>
      <c r="E454" s="635">
        <v>2.7551020408163267</v>
      </c>
      <c r="F454" s="635">
        <v>3.1041666666666665</v>
      </c>
      <c r="G454" s="635">
        <v>2.7115384615384617</v>
      </c>
      <c r="H454" s="635">
        <v>2.896551724137931</v>
      </c>
      <c r="I454" s="635">
        <v>3</v>
      </c>
      <c r="J454" s="635">
        <v>3.074074074074074</v>
      </c>
      <c r="K454" s="635">
        <v>3.5897435897435899</v>
      </c>
      <c r="L454" s="635">
        <v>2.59375</v>
      </c>
      <c r="M454" s="635">
        <v>2.7435897435897436</v>
      </c>
      <c r="N454" s="635">
        <v>2.9393939393939394</v>
      </c>
      <c r="O454" s="635">
        <v>2.5416666666666665</v>
      </c>
      <c r="P454" s="635">
        <f t="shared" si="500"/>
        <v>34.609576906627396</v>
      </c>
      <c r="Q454" s="646">
        <f t="shared" si="499"/>
        <v>2.8841314088856165</v>
      </c>
      <c r="R454" s="372"/>
      <c r="S454" s="634">
        <v>2.6</v>
      </c>
      <c r="T454" s="635">
        <v>2.7586206896551726</v>
      </c>
      <c r="U454" s="635">
        <v>4.5555555555555554</v>
      </c>
      <c r="V454" s="635">
        <v>3.6785714285714284</v>
      </c>
      <c r="W454" s="635">
        <v>4.0882352941176467</v>
      </c>
      <c r="X454" s="635">
        <v>4.7241379310344831</v>
      </c>
      <c r="Y454" s="635">
        <v>3.4</v>
      </c>
      <c r="Z454" s="635">
        <v>7</v>
      </c>
      <c r="AA454" s="635">
        <v>9.3461538461538467</v>
      </c>
      <c r="AB454" s="635">
        <v>4.5882352941176467</v>
      </c>
      <c r="AC454" s="635">
        <v>5.2068965517241379</v>
      </c>
      <c r="AD454" s="635">
        <v>4.4666666666666668</v>
      </c>
      <c r="AE454" s="635">
        <f t="shared" si="501"/>
        <v>56.413073257596579</v>
      </c>
      <c r="AF454" s="646">
        <f t="shared" si="502"/>
        <v>4.7010894381330486</v>
      </c>
      <c r="AG454" s="372"/>
      <c r="AH454" s="634">
        <v>3.5</v>
      </c>
      <c r="AI454" s="635">
        <v>4.4848484848484844</v>
      </c>
      <c r="AJ454" s="635">
        <v>4.4761904761904763</v>
      </c>
      <c r="AK454" s="635">
        <v>3.1860465116279069</v>
      </c>
      <c r="AL454" s="635">
        <v>3.709090909090909</v>
      </c>
      <c r="AM454" s="635">
        <v>3.652173913043478</v>
      </c>
      <c r="AN454" s="1059">
        <v>3.6615384615384614</v>
      </c>
      <c r="AO454" s="1059">
        <v>3.4468085106382977</v>
      </c>
      <c r="AP454" s="635">
        <v>4.291666666666667</v>
      </c>
      <c r="AQ454" s="635">
        <v>3.7446808510638299</v>
      </c>
      <c r="AR454" s="359">
        <v>3.0185185185185186</v>
      </c>
      <c r="AS454" s="635">
        <v>2.7083333333333335</v>
      </c>
      <c r="AT454" s="635">
        <f t="shared" si="486"/>
        <v>43.879896636560368</v>
      </c>
      <c r="AU454" s="646">
        <f t="shared" si="498"/>
        <v>3.6566580530466974</v>
      </c>
      <c r="AX454" s="634">
        <v>3.2413793103448274</v>
      </c>
      <c r="AY454" s="635">
        <v>3.0625</v>
      </c>
      <c r="AZ454" s="635">
        <v>3.0701754385964914</v>
      </c>
      <c r="BA454" s="635">
        <v>3.25</v>
      </c>
      <c r="BB454" s="635">
        <v>4.6829268292682924</v>
      </c>
      <c r="BC454" s="635">
        <v>3.3174603174603177</v>
      </c>
      <c r="BD454" s="2353">
        <v>0</v>
      </c>
      <c r="BE454" s="2353">
        <v>0</v>
      </c>
      <c r="BF454" s="2353">
        <v>0</v>
      </c>
      <c r="BG454" s="2353" t="s">
        <v>482</v>
      </c>
      <c r="BH454" s="2353">
        <v>0</v>
      </c>
      <c r="BI454" s="2353">
        <v>0</v>
      </c>
      <c r="BJ454" s="635">
        <f t="shared" si="487"/>
        <v>20.624441895669928</v>
      </c>
      <c r="BK454" s="646">
        <f t="shared" si="492"/>
        <v>1.8749492632427207</v>
      </c>
      <c r="BN454" s="322">
        <f t="shared" si="497"/>
        <v>-2.7083333333333335</v>
      </c>
      <c r="BO454" s="322">
        <f t="shared" si="488"/>
        <v>-1.7817087898039767</v>
      </c>
      <c r="BP454" s="322">
        <f t="shared" si="489"/>
        <v>-23.255454740890439</v>
      </c>
      <c r="BQ454" s="322">
        <f t="shared" si="493"/>
        <v>0</v>
      </c>
      <c r="BR454" s="2265">
        <f t="shared" si="490"/>
        <v>0</v>
      </c>
      <c r="BS454" s="2265">
        <f t="shared" si="491"/>
        <v>0</v>
      </c>
    </row>
    <row r="455" spans="1:71" s="172" customFormat="1" ht="15.65" customHeight="1" x14ac:dyDescent="0.55000000000000004">
      <c r="A455" s="7533"/>
      <c r="B455" s="253"/>
      <c r="C455" s="173" t="s">
        <v>244</v>
      </c>
      <c r="D455" s="636">
        <v>2.9895833333333335</v>
      </c>
      <c r="E455" s="637">
        <v>3.7087912087912089</v>
      </c>
      <c r="F455" s="637">
        <v>3.3842592592592591</v>
      </c>
      <c r="G455" s="637">
        <v>4.55</v>
      </c>
      <c r="H455" s="637">
        <v>4.6820512820512823</v>
      </c>
      <c r="I455" s="637">
        <v>4.3483870967741938</v>
      </c>
      <c r="J455" s="637">
        <v>4.2280701754385968</v>
      </c>
      <c r="K455" s="637">
        <v>4.2027027027027026</v>
      </c>
      <c r="L455" s="637">
        <v>3.675925925925926</v>
      </c>
      <c r="M455" s="637">
        <v>3.9781021897810218</v>
      </c>
      <c r="N455" s="637">
        <v>3.6766917293233083</v>
      </c>
      <c r="O455" s="637">
        <v>3.4956521739130433</v>
      </c>
      <c r="P455" s="637">
        <f t="shared" si="500"/>
        <v>46.92021707729387</v>
      </c>
      <c r="Q455" s="647">
        <f t="shared" si="499"/>
        <v>3.9100180897744892</v>
      </c>
      <c r="R455" s="372"/>
      <c r="S455" s="636">
        <v>4.0952380952380949</v>
      </c>
      <c r="T455" s="637">
        <v>3.5289855072463769</v>
      </c>
      <c r="U455" s="637">
        <v>3.4678899082568808</v>
      </c>
      <c r="V455" s="637">
        <v>3.4375</v>
      </c>
      <c r="W455" s="637">
        <v>3.9387755102040818</v>
      </c>
      <c r="X455" s="637">
        <v>3.831168831168831</v>
      </c>
      <c r="Y455" s="637">
        <v>3.06</v>
      </c>
      <c r="Z455" s="637">
        <v>3.457943925233645</v>
      </c>
      <c r="AA455" s="637">
        <v>3.008695652173913</v>
      </c>
      <c r="AB455" s="637">
        <v>3.8952380952380952</v>
      </c>
      <c r="AC455" s="637">
        <v>3.7058823529411766</v>
      </c>
      <c r="AD455" s="637">
        <v>2.9518072289156625</v>
      </c>
      <c r="AE455" s="637">
        <f t="shared" si="501"/>
        <v>42.379125106616755</v>
      </c>
      <c r="AF455" s="647">
        <f t="shared" si="502"/>
        <v>3.5315937588847297</v>
      </c>
      <c r="AG455" s="372"/>
      <c r="AH455" s="636">
        <v>2.7804878048780486</v>
      </c>
      <c r="AI455" s="637">
        <v>2.8130841121495327</v>
      </c>
      <c r="AJ455" s="637">
        <v>3.5396825396825395</v>
      </c>
      <c r="AK455" s="637">
        <v>3.8378378378378377</v>
      </c>
      <c r="AL455" s="637">
        <v>3.5304347826086957</v>
      </c>
      <c r="AM455" s="637">
        <v>3.6793893129770994</v>
      </c>
      <c r="AN455" s="1060">
        <v>3.6769230769230767</v>
      </c>
      <c r="AO455" s="1060">
        <v>4.5850340136054424</v>
      </c>
      <c r="AP455" s="637">
        <v>4.3641975308641978</v>
      </c>
      <c r="AQ455" s="637">
        <v>5.0283687943262407</v>
      </c>
      <c r="AR455" s="362">
        <v>3.8571428571428572</v>
      </c>
      <c r="AS455" s="637">
        <v>4.3805970149253728</v>
      </c>
      <c r="AT455" s="637">
        <f t="shared" si="486"/>
        <v>46.073179677920933</v>
      </c>
      <c r="AU455" s="647">
        <f t="shared" si="498"/>
        <v>3.8394316398267443</v>
      </c>
      <c r="AX455" s="636">
        <v>4.5084745762711869</v>
      </c>
      <c r="AY455" s="637">
        <v>4.1517241379310343</v>
      </c>
      <c r="AZ455" s="637">
        <v>4.3274336283185839</v>
      </c>
      <c r="BA455" s="637">
        <v>4.192660550458716</v>
      </c>
      <c r="BB455" s="637">
        <v>4.7260273972602738</v>
      </c>
      <c r="BC455" s="637">
        <v>3.863905325443787</v>
      </c>
      <c r="BD455" s="1060">
        <v>4.0064935064935066</v>
      </c>
      <c r="BE455" s="1060">
        <v>3.986842105263158</v>
      </c>
      <c r="BF455" s="637">
        <v>3.8417721518987342</v>
      </c>
      <c r="BG455" s="637">
        <v>3.8344827586206898</v>
      </c>
      <c r="BH455" s="362">
        <v>3.8308823529411766</v>
      </c>
      <c r="BI455" s="637">
        <v>4</v>
      </c>
      <c r="BJ455" s="637">
        <f t="shared" si="487"/>
        <v>49.270698490900848</v>
      </c>
      <c r="BK455" s="647">
        <f t="shared" si="492"/>
        <v>4.105891540908404</v>
      </c>
      <c r="BN455" s="322">
        <f t="shared" si="497"/>
        <v>-0.38059701492537279</v>
      </c>
      <c r="BO455" s="322">
        <f t="shared" si="488"/>
        <v>0.26645990108165973</v>
      </c>
      <c r="BP455" s="322">
        <f t="shared" si="489"/>
        <v>3.197518812979915</v>
      </c>
      <c r="BQ455" s="322">
        <f t="shared" si="493"/>
        <v>0.16911764705882337</v>
      </c>
      <c r="BR455" s="2265">
        <f t="shared" si="490"/>
        <v>3.8308823529411766</v>
      </c>
      <c r="BS455" s="2265">
        <f t="shared" si="491"/>
        <v>4</v>
      </c>
    </row>
    <row r="456" spans="1:71" s="172" customFormat="1" ht="15.65" customHeight="1" x14ac:dyDescent="0.55000000000000004">
      <c r="A456" s="7533"/>
      <c r="B456" s="253"/>
      <c r="C456" s="181" t="s">
        <v>245</v>
      </c>
      <c r="D456" s="634">
        <v>3.4782608695652173</v>
      </c>
      <c r="E456" s="635">
        <v>3.5977011494252875</v>
      </c>
      <c r="F456" s="635">
        <v>5.0763358778625953</v>
      </c>
      <c r="G456" s="635">
        <v>4</v>
      </c>
      <c r="H456" s="635">
        <v>3.7675675675675677</v>
      </c>
      <c r="I456" s="635">
        <v>4.227586206896552</v>
      </c>
      <c r="J456" s="635">
        <v>3.5920000000000001</v>
      </c>
      <c r="K456" s="635">
        <v>4.4344262295081966</v>
      </c>
      <c r="L456" s="635">
        <v>5.2168674698795181</v>
      </c>
      <c r="M456" s="635">
        <v>5.8888888888888893</v>
      </c>
      <c r="N456" s="635">
        <v>6.3230769230769228</v>
      </c>
      <c r="O456" s="635">
        <v>4.1578947368421053</v>
      </c>
      <c r="P456" s="635">
        <f t="shared" si="500"/>
        <v>53.760605919512848</v>
      </c>
      <c r="Q456" s="646">
        <f t="shared" si="499"/>
        <v>4.4800504932927376</v>
      </c>
      <c r="R456" s="372"/>
      <c r="S456" s="634">
        <v>4.2739726027397262</v>
      </c>
      <c r="T456" s="635">
        <v>4.416666666666667</v>
      </c>
      <c r="U456" s="635">
        <v>4.0326086956521738</v>
      </c>
      <c r="V456" s="635">
        <v>4.3026315789473681</v>
      </c>
      <c r="W456" s="635">
        <v>4.5274725274725274</v>
      </c>
      <c r="X456" s="635">
        <v>4.5487804878048781</v>
      </c>
      <c r="Y456" s="635">
        <v>3.1196581196581197</v>
      </c>
      <c r="Z456" s="635">
        <v>3.46218487394958</v>
      </c>
      <c r="AA456" s="635">
        <v>3.2857142857142856</v>
      </c>
      <c r="AB456" s="635">
        <v>3.25</v>
      </c>
      <c r="AC456" s="635">
        <v>3.3553719008264462</v>
      </c>
      <c r="AD456" s="635">
        <v>3.0833333333333335</v>
      </c>
      <c r="AE456" s="635">
        <f t="shared" si="501"/>
        <v>45.65839507276511</v>
      </c>
      <c r="AF456" s="646">
        <f t="shared" si="502"/>
        <v>3.8048662560637592</v>
      </c>
      <c r="AG456" s="372"/>
      <c r="AH456" s="634">
        <v>2.6875</v>
      </c>
      <c r="AI456" s="635">
        <v>2.8130841121495327</v>
      </c>
      <c r="AJ456" s="635">
        <v>3.140625</v>
      </c>
      <c r="AK456" s="635">
        <v>2.806201550387597</v>
      </c>
      <c r="AL456" s="635">
        <v>3.4064516129032256</v>
      </c>
      <c r="AM456" s="635">
        <v>3.1474358974358974</v>
      </c>
      <c r="AN456" s="1059">
        <v>3.484076433121019</v>
      </c>
      <c r="AO456" s="1059">
        <v>3.4906832298136647</v>
      </c>
      <c r="AP456" s="635">
        <v>3.6940298507462686</v>
      </c>
      <c r="AQ456" s="635">
        <v>3.5609756097560976</v>
      </c>
      <c r="AR456" s="359">
        <v>3.8716216216216215</v>
      </c>
      <c r="AS456" s="635">
        <v>3.9927536231884058</v>
      </c>
      <c r="AT456" s="635">
        <f t="shared" si="486"/>
        <v>40.095438541123329</v>
      </c>
      <c r="AU456" s="646">
        <f t="shared" si="498"/>
        <v>3.3412865450936109</v>
      </c>
      <c r="AX456" s="634">
        <v>3.751937984496124</v>
      </c>
      <c r="AY456" s="635">
        <v>3.9545454545454546</v>
      </c>
      <c r="AZ456" s="635">
        <v>4.9635036496350367</v>
      </c>
      <c r="BA456" s="635">
        <v>3.763157894736842</v>
      </c>
      <c r="BB456" s="635">
        <v>4.8904109589041092</v>
      </c>
      <c r="BC456" s="635">
        <v>4.3195876288659791</v>
      </c>
      <c r="BD456" s="1059">
        <v>4.1373626373626378</v>
      </c>
      <c r="BE456" s="1059">
        <v>3.736842105263158</v>
      </c>
      <c r="BF456" s="635">
        <v>3.9329268292682928</v>
      </c>
      <c r="BG456" s="635">
        <v>3.9795918367346941</v>
      </c>
      <c r="BH456" s="359">
        <v>4.024390243902439</v>
      </c>
      <c r="BI456" s="635">
        <v>3.4189189189189189</v>
      </c>
      <c r="BJ456" s="635">
        <f t="shared" si="487"/>
        <v>48.873176142633682</v>
      </c>
      <c r="BK456" s="646">
        <f t="shared" si="492"/>
        <v>4.0727646785528071</v>
      </c>
      <c r="BN456" s="322">
        <f t="shared" si="497"/>
        <v>-0.57383470426948691</v>
      </c>
      <c r="BO456" s="322">
        <f t="shared" si="488"/>
        <v>0.73147813345919621</v>
      </c>
      <c r="BP456" s="322">
        <f t="shared" si="489"/>
        <v>8.7777376015103528</v>
      </c>
      <c r="BQ456" s="322">
        <f t="shared" si="493"/>
        <v>-0.60547132498352019</v>
      </c>
      <c r="BR456" s="2265">
        <f t="shared" si="490"/>
        <v>4.024390243902439</v>
      </c>
      <c r="BS456" s="2265">
        <f t="shared" si="491"/>
        <v>3.4189189189189189</v>
      </c>
    </row>
    <row r="457" spans="1:71" s="172" customFormat="1" ht="15.65" customHeight="1" x14ac:dyDescent="0.55000000000000004">
      <c r="A457" s="7533"/>
      <c r="B457" s="253"/>
      <c r="C457" s="173" t="s">
        <v>246</v>
      </c>
      <c r="D457" s="636">
        <v>4.010416666666667</v>
      </c>
      <c r="E457" s="637">
        <v>2.7734375</v>
      </c>
      <c r="F457" s="637">
        <v>3.3519999999999999</v>
      </c>
      <c r="G457" s="637">
        <v>3.7857142857142856</v>
      </c>
      <c r="H457" s="637">
        <v>4.4952380952380953</v>
      </c>
      <c r="I457" s="637">
        <v>5.3168316831683171</v>
      </c>
      <c r="J457" s="637">
        <v>3.2465753424657535</v>
      </c>
      <c r="K457" s="637">
        <v>3.1566265060240966</v>
      </c>
      <c r="L457" s="637">
        <v>3.4296296296296296</v>
      </c>
      <c r="M457" s="637">
        <v>3.441860465116279</v>
      </c>
      <c r="N457" s="637">
        <v>3.4107142857142856</v>
      </c>
      <c r="O457" s="637">
        <v>3.0210526315789474</v>
      </c>
      <c r="P457" s="637">
        <f t="shared" si="500"/>
        <v>43.440097091316353</v>
      </c>
      <c r="Q457" s="647">
        <f t="shared" si="499"/>
        <v>3.6200080909430294</v>
      </c>
      <c r="R457" s="372"/>
      <c r="S457" s="636">
        <v>3.8333333333333335</v>
      </c>
      <c r="T457" s="637">
        <v>3.3636363636363638</v>
      </c>
      <c r="U457" s="637">
        <v>3.356060606060606</v>
      </c>
      <c r="V457" s="637">
        <v>3.6944444444444446</v>
      </c>
      <c r="W457" s="637">
        <v>3.613138686131387</v>
      </c>
      <c r="X457" s="637">
        <v>3.6481481481481484</v>
      </c>
      <c r="Y457" s="637">
        <v>3.7475728155339807</v>
      </c>
      <c r="Z457" s="637">
        <v>4.7543859649122808</v>
      </c>
      <c r="AA457" s="637">
        <v>3.6535433070866143</v>
      </c>
      <c r="AB457" s="637">
        <v>4.0438596491228074</v>
      </c>
      <c r="AC457" s="637">
        <v>4.0388349514563107</v>
      </c>
      <c r="AD457" s="637">
        <v>3.5333333333333332</v>
      </c>
      <c r="AE457" s="637">
        <f t="shared" si="501"/>
        <v>45.280291603199608</v>
      </c>
      <c r="AF457" s="647">
        <f t="shared" si="502"/>
        <v>3.7733576335999675</v>
      </c>
      <c r="AG457" s="372"/>
      <c r="AH457" s="636">
        <v>3.9018404907975461</v>
      </c>
      <c r="AI457" s="637">
        <v>3.315151515151515</v>
      </c>
      <c r="AJ457" s="637">
        <v>3.1352657004830919</v>
      </c>
      <c r="AK457" s="637">
        <v>3.0404040404040402</v>
      </c>
      <c r="AL457" s="637">
        <v>3.1877729257641922</v>
      </c>
      <c r="AM457" s="637">
        <v>2.891089108910891</v>
      </c>
      <c r="AN457" s="1060">
        <v>3.278688524590164</v>
      </c>
      <c r="AO457" s="1060">
        <v>3.0120481927710845</v>
      </c>
      <c r="AP457" s="637">
        <v>2.8071065989847717</v>
      </c>
      <c r="AQ457" s="637">
        <v>3.4572864321608039</v>
      </c>
      <c r="AR457" s="362">
        <v>3.5348837209302326</v>
      </c>
      <c r="AS457" s="637">
        <v>4.0144927536231885</v>
      </c>
      <c r="AT457" s="637">
        <f t="shared" si="486"/>
        <v>39.576030004571514</v>
      </c>
      <c r="AU457" s="647">
        <f t="shared" si="498"/>
        <v>3.2980025003809597</v>
      </c>
      <c r="AX457" s="636">
        <v>3.4786729857819907</v>
      </c>
      <c r="AY457" s="637">
        <v>4.1534883720930234</v>
      </c>
      <c r="AZ457" s="637">
        <v>4.0812182741116754</v>
      </c>
      <c r="BA457" s="637">
        <v>4.5021645021645025</v>
      </c>
      <c r="BB457" s="637">
        <v>6.0233236151603498</v>
      </c>
      <c r="BC457" s="637">
        <v>6.5673981191222568</v>
      </c>
      <c r="BD457" s="1060">
        <v>5.9670329670329672</v>
      </c>
      <c r="BE457" s="1060">
        <v>5.4532019704433496</v>
      </c>
      <c r="BF457" s="637">
        <v>4.295774647887324</v>
      </c>
      <c r="BG457" s="637">
        <v>4.70873786407767</v>
      </c>
      <c r="BH457" s="362">
        <v>4.5614973262032086</v>
      </c>
      <c r="BI457" s="637">
        <v>3.9792746113989637</v>
      </c>
      <c r="BJ457" s="637">
        <f t="shared" si="487"/>
        <v>57.77178525547729</v>
      </c>
      <c r="BK457" s="647">
        <f t="shared" si="492"/>
        <v>4.8143154379564406</v>
      </c>
      <c r="BN457" s="322">
        <f t="shared" si="497"/>
        <v>-3.5218142224224813E-2</v>
      </c>
      <c r="BO457" s="322">
        <f t="shared" si="488"/>
        <v>1.5163129375754809</v>
      </c>
      <c r="BP457" s="322">
        <f t="shared" si="489"/>
        <v>18.195755250905776</v>
      </c>
      <c r="BQ457" s="322">
        <f t="shared" si="493"/>
        <v>-0.58222271480424492</v>
      </c>
      <c r="BR457" s="2265">
        <f t="shared" si="490"/>
        <v>4.5614973262032086</v>
      </c>
      <c r="BS457" s="2265">
        <f t="shared" si="491"/>
        <v>3.9792746113989637</v>
      </c>
    </row>
    <row r="458" spans="1:71" s="172" customFormat="1" ht="15.65" customHeight="1" x14ac:dyDescent="0.55000000000000004">
      <c r="A458" s="7533"/>
      <c r="B458" s="253"/>
      <c r="C458" s="173" t="s">
        <v>247</v>
      </c>
      <c r="D458" s="636">
        <v>5.3902439024390247</v>
      </c>
      <c r="E458" s="637">
        <v>5.1022727272727275</v>
      </c>
      <c r="F458" s="637">
        <v>4.8085106382978724</v>
      </c>
      <c r="G458" s="637">
        <v>4.2545454545454549</v>
      </c>
      <c r="H458" s="637">
        <v>4.882352941176471</v>
      </c>
      <c r="I458" s="637">
        <v>5.0481927710843371</v>
      </c>
      <c r="J458" s="637">
        <v>3.4761904761904763</v>
      </c>
      <c r="K458" s="637">
        <v>3.9587628865979383</v>
      </c>
      <c r="L458" s="637">
        <v>3.6621621621621623</v>
      </c>
      <c r="M458" s="637">
        <v>3.8142857142857145</v>
      </c>
      <c r="N458" s="637">
        <v>2.8266666666666667</v>
      </c>
      <c r="O458" s="637">
        <v>2.65</v>
      </c>
      <c r="P458" s="637">
        <f t="shared" si="500"/>
        <v>49.874186340718843</v>
      </c>
      <c r="Q458" s="647">
        <f t="shared" si="499"/>
        <v>4.1561821950599036</v>
      </c>
      <c r="R458" s="372"/>
      <c r="S458" s="636">
        <v>2.2804878048780486</v>
      </c>
      <c r="T458" s="637">
        <v>3.0135135135135136</v>
      </c>
      <c r="U458" s="637">
        <v>2.6883116883116882</v>
      </c>
      <c r="V458" s="637">
        <v>2.606741573033708</v>
      </c>
      <c r="W458" s="637">
        <v>3.2346938775510203</v>
      </c>
      <c r="X458" s="637">
        <v>2.7117117117117115</v>
      </c>
      <c r="Y458" s="637">
        <v>2.4395604395604398</v>
      </c>
      <c r="Z458" s="637">
        <v>3.2988505747126435</v>
      </c>
      <c r="AA458" s="637">
        <v>2.6444444444444444</v>
      </c>
      <c r="AB458" s="637">
        <v>2.5714285714285716</v>
      </c>
      <c r="AC458" s="637">
        <v>3.9078947368421053</v>
      </c>
      <c r="AD458" s="637">
        <v>2.955223880597015</v>
      </c>
      <c r="AE458" s="637">
        <f t="shared" si="501"/>
        <v>34.352862816584917</v>
      </c>
      <c r="AF458" s="647">
        <f t="shared" si="502"/>
        <v>2.8627385680487429</v>
      </c>
      <c r="AG458" s="372"/>
      <c r="AH458" s="636">
        <v>3.1739130434782608</v>
      </c>
      <c r="AI458" s="637">
        <v>3.21875</v>
      </c>
      <c r="AJ458" s="637">
        <v>2.7924528301886791</v>
      </c>
      <c r="AK458" s="637">
        <v>3.3720930232558142</v>
      </c>
      <c r="AL458" s="637">
        <v>3.0851063829787235</v>
      </c>
      <c r="AM458" s="637">
        <v>2.7789473684210528</v>
      </c>
      <c r="AN458" s="1060">
        <v>2.8979591836734695</v>
      </c>
      <c r="AO458" s="1060">
        <v>3.2523364485981308</v>
      </c>
      <c r="AP458" s="637">
        <v>3.2765957446808511</v>
      </c>
      <c r="AQ458" s="637">
        <v>3.588888888888889</v>
      </c>
      <c r="AR458" s="362">
        <v>3.1228070175438596</v>
      </c>
      <c r="AS458" s="637">
        <v>3.075268817204301</v>
      </c>
      <c r="AT458" s="637">
        <f t="shared" si="486"/>
        <v>37.635118748912035</v>
      </c>
      <c r="AU458" s="647">
        <f t="shared" si="498"/>
        <v>3.1362598957426697</v>
      </c>
      <c r="AX458" s="636">
        <v>2.9716981132075473</v>
      </c>
      <c r="AY458" s="637">
        <v>3.3859649122807016</v>
      </c>
      <c r="AZ458" s="637">
        <v>2.9918032786885247</v>
      </c>
      <c r="BA458" s="637">
        <v>3.6391752577319587</v>
      </c>
      <c r="BB458" s="637">
        <v>4.497109826589595</v>
      </c>
      <c r="BC458" s="637">
        <v>4.147887323943662</v>
      </c>
      <c r="BD458" s="1060">
        <v>3.7089552238805972</v>
      </c>
      <c r="BE458" s="1060">
        <v>3.2083333333333335</v>
      </c>
      <c r="BF458" s="637">
        <v>3.0085470085470085</v>
      </c>
      <c r="BG458" s="637">
        <v>3.3448275862068964</v>
      </c>
      <c r="BH458" s="362">
        <v>3.8571428571428572</v>
      </c>
      <c r="BI458" s="637">
        <v>3.3613445378151261</v>
      </c>
      <c r="BJ458" s="637">
        <f t="shared" si="487"/>
        <v>42.122789259367799</v>
      </c>
      <c r="BK458" s="647">
        <f t="shared" si="492"/>
        <v>3.5102324382806498</v>
      </c>
      <c r="BN458" s="322">
        <f t="shared" si="497"/>
        <v>0.28607572061082509</v>
      </c>
      <c r="BO458" s="322">
        <f t="shared" si="488"/>
        <v>0.37397254253798007</v>
      </c>
      <c r="BP458" s="322">
        <f t="shared" si="489"/>
        <v>4.4876705104557644</v>
      </c>
      <c r="BQ458" s="322">
        <f t="shared" si="493"/>
        <v>-0.49579831932773111</v>
      </c>
      <c r="BR458" s="2265">
        <f t="shared" si="490"/>
        <v>3.8571428571428572</v>
      </c>
      <c r="BS458" s="2265">
        <f t="shared" si="491"/>
        <v>3.3613445378151261</v>
      </c>
    </row>
    <row r="459" spans="1:71" s="172" customFormat="1" ht="15.65" customHeight="1" x14ac:dyDescent="0.55000000000000004">
      <c r="A459" s="7533"/>
      <c r="B459" s="253"/>
      <c r="C459" s="181" t="s">
        <v>248</v>
      </c>
      <c r="D459" s="634">
        <v>3.48</v>
      </c>
      <c r="E459" s="635">
        <v>3.1755725190839694</v>
      </c>
      <c r="F459" s="635">
        <v>3.2105263157894739</v>
      </c>
      <c r="G459" s="635">
        <v>4.3739837398373984</v>
      </c>
      <c r="H459" s="635">
        <v>3.9193548387096775</v>
      </c>
      <c r="I459" s="635">
        <v>3.9906542056074765</v>
      </c>
      <c r="J459" s="635">
        <v>2.6283185840707963</v>
      </c>
      <c r="K459" s="635">
        <v>3.52</v>
      </c>
      <c r="L459" s="635">
        <v>3.1142857142857143</v>
      </c>
      <c r="M459" s="635">
        <v>2.9909090909090907</v>
      </c>
      <c r="N459" s="635">
        <v>2.7950819672131146</v>
      </c>
      <c r="O459" s="635">
        <v>3.1484375</v>
      </c>
      <c r="P459" s="635">
        <f t="shared" si="500"/>
        <v>40.34712447550671</v>
      </c>
      <c r="Q459" s="646">
        <f t="shared" si="499"/>
        <v>3.3622603729588927</v>
      </c>
      <c r="R459" s="372"/>
      <c r="S459" s="634">
        <v>2.9734513274336285</v>
      </c>
      <c r="T459" s="635">
        <v>3.8014705882352939</v>
      </c>
      <c r="U459" s="635">
        <v>3.64</v>
      </c>
      <c r="V459" s="635">
        <v>2.9928571428571429</v>
      </c>
      <c r="W459" s="635">
        <v>3.5306122448979593</v>
      </c>
      <c r="X459" s="635">
        <v>3.2686567164179103</v>
      </c>
      <c r="Y459" s="635">
        <v>3.0267857142857144</v>
      </c>
      <c r="Z459" s="635">
        <v>3.8904109589041096</v>
      </c>
      <c r="AA459" s="635">
        <v>3.4461538461538463</v>
      </c>
      <c r="AB459" s="635">
        <v>3.7709923664122136</v>
      </c>
      <c r="AC459" s="635">
        <v>3.3893129770992365</v>
      </c>
      <c r="AD459" s="635">
        <v>3.3645833333333335</v>
      </c>
      <c r="AE459" s="635">
        <f t="shared" si="501"/>
        <v>41.0952872160304</v>
      </c>
      <c r="AF459" s="646">
        <f t="shared" si="502"/>
        <v>3.4246072680025335</v>
      </c>
      <c r="AG459" s="372"/>
      <c r="AH459" s="634">
        <v>3.3956834532374103</v>
      </c>
      <c r="AI459" s="635">
        <v>3.065040650406504</v>
      </c>
      <c r="AJ459" s="635">
        <v>3.2758620689655173</v>
      </c>
      <c r="AK459" s="635">
        <v>3.1590909090909092</v>
      </c>
      <c r="AL459" s="635">
        <v>3.1464968152866244</v>
      </c>
      <c r="AM459" s="635">
        <v>3.056338028169014</v>
      </c>
      <c r="AN459" s="1059">
        <v>3.0636942675159236</v>
      </c>
      <c r="AO459" s="1059">
        <v>2.9732142857142856</v>
      </c>
      <c r="AP459" s="635">
        <v>3.1583333333333332</v>
      </c>
      <c r="AQ459" s="635">
        <v>3.2481751824817517</v>
      </c>
      <c r="AR459" s="359">
        <v>4.1605839416058394</v>
      </c>
      <c r="AS459" s="635">
        <v>3.744360902255639</v>
      </c>
      <c r="AT459" s="635">
        <f t="shared" si="486"/>
        <v>39.446873838062757</v>
      </c>
      <c r="AU459" s="646">
        <f t="shared" si="498"/>
        <v>3.2872394865052299</v>
      </c>
      <c r="AX459" s="634">
        <v>3.8</v>
      </c>
      <c r="AY459" s="635">
        <v>3.986842105263158</v>
      </c>
      <c r="AZ459" s="635">
        <v>3.5677419354838711</v>
      </c>
      <c r="BA459" s="635">
        <v>3.7535211267605635</v>
      </c>
      <c r="BB459" s="635">
        <v>4.483568075117371</v>
      </c>
      <c r="BC459" s="635">
        <v>4.1538461538461542</v>
      </c>
      <c r="BD459" s="1059">
        <v>4.1775147928994079</v>
      </c>
      <c r="BE459" s="1059">
        <v>3.3103448275862069</v>
      </c>
      <c r="BF459" s="635">
        <v>3.387323943661972</v>
      </c>
      <c r="BG459" s="635">
        <v>3.4552845528455283</v>
      </c>
      <c r="BH459" s="359">
        <v>3.5073529411764706</v>
      </c>
      <c r="BI459" s="635">
        <v>3.2651515151515151</v>
      </c>
      <c r="BJ459" s="635">
        <f t="shared" si="487"/>
        <v>44.848491969792214</v>
      </c>
      <c r="BK459" s="646">
        <f t="shared" si="492"/>
        <v>3.7373743308160177</v>
      </c>
      <c r="BN459" s="322">
        <f t="shared" si="497"/>
        <v>-0.47920938710412386</v>
      </c>
      <c r="BO459" s="322">
        <f t="shared" si="488"/>
        <v>0.45013484431078776</v>
      </c>
      <c r="BP459" s="322">
        <f t="shared" si="489"/>
        <v>5.4016181317294567</v>
      </c>
      <c r="BQ459" s="322">
        <f t="shared" si="493"/>
        <v>-0.24220142602495542</v>
      </c>
      <c r="BR459" s="2265">
        <f t="shared" si="490"/>
        <v>3.5073529411764706</v>
      </c>
      <c r="BS459" s="2265">
        <f t="shared" si="491"/>
        <v>3.2651515151515151</v>
      </c>
    </row>
    <row r="460" spans="1:71" s="172" customFormat="1" ht="16.3" customHeight="1" thickBot="1" x14ac:dyDescent="0.6">
      <c r="A460" s="7534"/>
      <c r="B460" s="254"/>
      <c r="C460" s="182" t="s">
        <v>249</v>
      </c>
      <c r="D460" s="640">
        <v>2.4809160305343512</v>
      </c>
      <c r="E460" s="641">
        <v>2.3857142857142857</v>
      </c>
      <c r="F460" s="641">
        <v>2.4772727272727271</v>
      </c>
      <c r="G460" s="641">
        <v>2.9727272727272727</v>
      </c>
      <c r="H460" s="641">
        <v>3.0079365079365079</v>
      </c>
      <c r="I460" s="641">
        <v>3.3801652892561984</v>
      </c>
      <c r="J460" s="641">
        <v>2.9038461538461537</v>
      </c>
      <c r="K460" s="641">
        <v>2.82</v>
      </c>
      <c r="L460" s="641">
        <v>3.0297029702970297</v>
      </c>
      <c r="M460" s="641">
        <v>3.0404040404040402</v>
      </c>
      <c r="N460" s="641">
        <v>3.2421052631578946</v>
      </c>
      <c r="O460" s="641">
        <v>3.0317460317460316</v>
      </c>
      <c r="P460" s="641">
        <f t="shared" si="500"/>
        <v>34.772536572892491</v>
      </c>
      <c r="Q460" s="649">
        <f t="shared" si="499"/>
        <v>2.8977113810743744</v>
      </c>
      <c r="R460" s="372"/>
      <c r="S460" s="640">
        <v>3.0568181818181817</v>
      </c>
      <c r="T460" s="641">
        <v>2.5357142857142856</v>
      </c>
      <c r="U460" s="641">
        <v>2.3137254901960786</v>
      </c>
      <c r="V460" s="641">
        <v>2.4239130434782608</v>
      </c>
      <c r="W460" s="641">
        <v>2.8241758241758244</v>
      </c>
      <c r="X460" s="641">
        <v>2.4626865671641789</v>
      </c>
      <c r="Y460" s="641">
        <v>2.8243243243243241</v>
      </c>
      <c r="Z460" s="641">
        <v>2.6818181818181817</v>
      </c>
      <c r="AA460" s="641">
        <v>3.74</v>
      </c>
      <c r="AB460" s="641">
        <v>3.1780821917808217</v>
      </c>
      <c r="AC460" s="641">
        <v>3.3823529411764706</v>
      </c>
      <c r="AD460" s="641">
        <v>2.8870967741935485</v>
      </c>
      <c r="AE460" s="641">
        <f t="shared" si="501"/>
        <v>34.31070780584016</v>
      </c>
      <c r="AF460" s="649">
        <f t="shared" si="502"/>
        <v>2.85922565048668</v>
      </c>
      <c r="AG460" s="372"/>
      <c r="AH460" s="640">
        <v>2.0666666666666669</v>
      </c>
      <c r="AI460" s="641">
        <v>2.478723404255319</v>
      </c>
      <c r="AJ460" s="641">
        <v>2.5327102803738319</v>
      </c>
      <c r="AK460" s="641">
        <v>2.4716981132075473</v>
      </c>
      <c r="AL460" s="641">
        <v>2.5882352941176472</v>
      </c>
      <c r="AM460" s="641">
        <v>2.5268817204301075</v>
      </c>
      <c r="AN460" s="1061">
        <v>2.3925233644859811</v>
      </c>
      <c r="AO460" s="1061">
        <v>3.1481481481481484</v>
      </c>
      <c r="AP460" s="641">
        <v>3.2222222222222223</v>
      </c>
      <c r="AQ460" s="641">
        <v>3.3142857142857145</v>
      </c>
      <c r="AR460" s="365">
        <v>3.2903225806451615</v>
      </c>
      <c r="AS460" s="641">
        <v>3.324074074074074</v>
      </c>
      <c r="AT460" s="641">
        <f t="shared" si="486"/>
        <v>33.356491582912419</v>
      </c>
      <c r="AU460" s="649">
        <f t="shared" si="498"/>
        <v>2.7797076319093681</v>
      </c>
      <c r="AX460" s="640">
        <v>3.6210526315789475</v>
      </c>
      <c r="AY460" s="641">
        <v>3.5923076923076924</v>
      </c>
      <c r="AZ460" s="641">
        <v>3.78125</v>
      </c>
      <c r="BA460" s="641">
        <v>3.7117117117117115</v>
      </c>
      <c r="BB460" s="641">
        <v>3.4558823529411766</v>
      </c>
      <c r="BC460" s="641">
        <v>3.6018518518518516</v>
      </c>
      <c r="BD460" s="1061">
        <v>3.7037037037037037</v>
      </c>
      <c r="BE460" s="1061">
        <v>3.53125</v>
      </c>
      <c r="BF460" s="641">
        <v>4.5250000000000004</v>
      </c>
      <c r="BG460" s="641">
        <v>3.8421052631578947</v>
      </c>
      <c r="BH460" s="365">
        <v>3.3411764705882354</v>
      </c>
      <c r="BI460" s="641">
        <v>3.3690476190476191</v>
      </c>
      <c r="BJ460" s="641">
        <f t="shared" si="487"/>
        <v>44.07633929688884</v>
      </c>
      <c r="BK460" s="649">
        <f t="shared" si="492"/>
        <v>3.6730282747407368</v>
      </c>
      <c r="BN460" s="322">
        <f t="shared" si="497"/>
        <v>4.497354497354511E-2</v>
      </c>
      <c r="BO460" s="322">
        <f t="shared" si="488"/>
        <v>0.89332064283136869</v>
      </c>
      <c r="BP460" s="322">
        <f t="shared" si="489"/>
        <v>10.719847713976421</v>
      </c>
      <c r="BQ460" s="322">
        <f t="shared" si="493"/>
        <v>2.7871148459383654E-2</v>
      </c>
      <c r="BR460" s="2265">
        <f t="shared" si="490"/>
        <v>3.3411764705882354</v>
      </c>
      <c r="BS460" s="2265">
        <f t="shared" si="491"/>
        <v>3.3690476190476191</v>
      </c>
    </row>
    <row r="461" spans="1:71" ht="17.399999999999999" customHeight="1" x14ac:dyDescent="0.55000000000000004">
      <c r="A461" s="7530" t="s">
        <v>405</v>
      </c>
      <c r="B461" s="74" t="s">
        <v>268</v>
      </c>
      <c r="C461" s="27"/>
      <c r="D461" s="686">
        <v>8.0784313725490193</v>
      </c>
      <c r="E461" s="650">
        <v>8.7114427860696519</v>
      </c>
      <c r="F461" s="650">
        <v>9.0850000000000009</v>
      </c>
      <c r="G461" s="650">
        <v>10.778054862842893</v>
      </c>
      <c r="H461" s="650">
        <v>11.259351620947632</v>
      </c>
      <c r="I461" s="650">
        <v>10.188295165394402</v>
      </c>
      <c r="J461" s="650">
        <v>7.2538071065989849</v>
      </c>
      <c r="K461" s="650">
        <v>8.584810126582278</v>
      </c>
      <c r="L461" s="650">
        <v>7.2072538860103625</v>
      </c>
      <c r="M461" s="650">
        <v>7.989583333333333</v>
      </c>
      <c r="N461" s="650">
        <v>6.9296875</v>
      </c>
      <c r="O461" s="650">
        <v>5.768229166666667</v>
      </c>
      <c r="P461" s="650">
        <f>SUM(D461:O461)</f>
        <v>101.83394692699524</v>
      </c>
      <c r="Q461" s="651">
        <f>P461/12</f>
        <v>8.4861622439162705</v>
      </c>
      <c r="R461" s="370"/>
      <c r="S461" s="686">
        <v>6.3946666666666667</v>
      </c>
      <c r="T461" s="650">
        <v>7.6870026525198938</v>
      </c>
      <c r="U461" s="650">
        <v>7.2679045092838193</v>
      </c>
      <c r="V461" s="650">
        <v>6.3550135501355012</v>
      </c>
      <c r="W461" s="650">
        <v>8.3932584269662929</v>
      </c>
      <c r="X461" s="650">
        <v>7.2464589235127477</v>
      </c>
      <c r="Y461" s="650">
        <v>6.5508474576271185</v>
      </c>
      <c r="Z461" s="650">
        <v>9.3556851311953348</v>
      </c>
      <c r="AA461" s="650">
        <v>8.0058309037900877</v>
      </c>
      <c r="AB461" s="650">
        <v>8.3352601156069372</v>
      </c>
      <c r="AC461" s="650">
        <v>8.1768115942028992</v>
      </c>
      <c r="AD461" s="650">
        <v>5.5619596541786747</v>
      </c>
      <c r="AE461" s="650">
        <f>SUM(S461:AD461)</f>
        <v>89.330699585685991</v>
      </c>
      <c r="AF461" s="651">
        <f>AE461/12</f>
        <v>7.4442249654738326</v>
      </c>
      <c r="AG461" s="688"/>
      <c r="AH461" s="686">
        <v>8.0106666666666673</v>
      </c>
      <c r="AI461" s="650">
        <v>6.7533156498673739</v>
      </c>
      <c r="AJ461" s="650">
        <v>7.9761273209549071</v>
      </c>
      <c r="AK461" s="650">
        <v>7.6693766937669379</v>
      </c>
      <c r="AL461" s="650">
        <v>9.8382352941176467</v>
      </c>
      <c r="AM461" s="650">
        <v>9.3153153153153152</v>
      </c>
      <c r="AN461" s="1053">
        <v>10.4</v>
      </c>
      <c r="AO461" s="1063">
        <v>10.290900000000001</v>
      </c>
      <c r="AP461" s="650">
        <v>10.395099999999999</v>
      </c>
      <c r="AQ461" s="650">
        <v>11.69</v>
      </c>
      <c r="AR461" s="343">
        <v>11.514705882352942</v>
      </c>
      <c r="AS461" s="650">
        <v>10.718475073313783</v>
      </c>
      <c r="AT461" s="650">
        <f t="shared" si="486"/>
        <v>114.57221789635557</v>
      </c>
      <c r="AU461" s="651">
        <f t="shared" si="498"/>
        <v>9.5476848246962973</v>
      </c>
      <c r="AX461" s="686">
        <v>10.164222873900293</v>
      </c>
      <c r="AY461" s="650">
        <v>12.947214076246334</v>
      </c>
      <c r="AZ461" s="650">
        <v>11.414705882352941</v>
      </c>
      <c r="BA461" s="650">
        <v>11.910979228486648</v>
      </c>
      <c r="BB461" s="650">
        <v>23.463636363636365</v>
      </c>
      <c r="BC461" s="650">
        <v>18.897196261682243</v>
      </c>
      <c r="BD461" s="1053">
        <v>17.047318611987382</v>
      </c>
      <c r="BE461" s="1063">
        <v>12.577777777777778</v>
      </c>
      <c r="BF461" s="650">
        <v>12.932692307692308</v>
      </c>
      <c r="BG461" s="650">
        <v>12.27741935483871</v>
      </c>
      <c r="BH461" s="343">
        <v>11.786624203821656</v>
      </c>
      <c r="BI461" s="650">
        <v>11.567398119122258</v>
      </c>
      <c r="BJ461" s="650">
        <f t="shared" si="487"/>
        <v>166.98718506154492</v>
      </c>
      <c r="BK461" s="651">
        <f t="shared" si="492"/>
        <v>13.915598755128743</v>
      </c>
      <c r="BN461" s="322">
        <f t="shared" si="497"/>
        <v>0.84892304580847444</v>
      </c>
      <c r="BO461" s="322">
        <f t="shared" si="488"/>
        <v>4.3679139304324455</v>
      </c>
      <c r="BP461" s="322">
        <f t="shared" si="489"/>
        <v>52.414967165189353</v>
      </c>
      <c r="BQ461" s="322">
        <f t="shared" si="493"/>
        <v>-0.21922608469939853</v>
      </c>
      <c r="BR461" s="2265">
        <f t="shared" si="490"/>
        <v>11.786624203821656</v>
      </c>
      <c r="BS461" s="2265">
        <f t="shared" si="491"/>
        <v>11.567398119122258</v>
      </c>
    </row>
    <row r="462" spans="1:71" ht="17.399999999999999" hidden="1" customHeight="1" x14ac:dyDescent="0.55000000000000004">
      <c r="A462" s="7533"/>
      <c r="B462" s="248"/>
      <c r="C462" s="12" t="s">
        <v>267</v>
      </c>
      <c r="D462" s="34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652">
        <f>SUM(D462:O462)</f>
        <v>0</v>
      </c>
      <c r="Q462" s="346">
        <f t="shared" ref="Q462:Q477" si="503">P462/12</f>
        <v>0</v>
      </c>
      <c r="R462" s="370"/>
      <c r="S462" s="34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  <c r="AE462" s="295">
        <f>SUM(S462:AD462)</f>
        <v>0</v>
      </c>
      <c r="AF462" s="346">
        <f>AE462/12</f>
        <v>0</v>
      </c>
      <c r="AG462" s="370"/>
      <c r="AH462" s="345"/>
      <c r="AI462" s="295"/>
      <c r="AJ462" s="295"/>
      <c r="AK462" s="652"/>
      <c r="AL462" s="652"/>
      <c r="AM462" s="652"/>
      <c r="AN462" s="1054"/>
      <c r="AO462" s="1064"/>
      <c r="AP462" s="652"/>
      <c r="AQ462" s="652"/>
      <c r="AR462" s="295"/>
      <c r="AS462" s="652"/>
      <c r="AT462" s="295">
        <f t="shared" si="486"/>
        <v>0</v>
      </c>
      <c r="AU462" s="346">
        <f t="shared" si="498"/>
        <v>0</v>
      </c>
      <c r="AX462" s="687"/>
      <c r="AY462" s="295"/>
      <c r="AZ462" s="295"/>
      <c r="BA462" s="652"/>
      <c r="BB462" s="652"/>
      <c r="BC462" s="652"/>
      <c r="BD462" s="1054"/>
      <c r="BE462" s="1064"/>
      <c r="BF462" s="652"/>
      <c r="BG462" s="652"/>
      <c r="BH462" s="295"/>
      <c r="BI462" s="652"/>
      <c r="BJ462" s="295">
        <f t="shared" si="487"/>
        <v>0</v>
      </c>
      <c r="BK462" s="346" t="e">
        <f t="shared" si="492"/>
        <v>#DIV/0!</v>
      </c>
      <c r="BN462" s="322">
        <f t="shared" si="497"/>
        <v>0</v>
      </c>
      <c r="BO462" s="322" t="e">
        <f t="shared" si="488"/>
        <v>#DIV/0!</v>
      </c>
      <c r="BP462" s="322">
        <f t="shared" si="489"/>
        <v>0</v>
      </c>
      <c r="BQ462" s="322">
        <f t="shared" si="493"/>
        <v>0</v>
      </c>
      <c r="BR462" s="2265">
        <f t="shared" si="490"/>
        <v>0</v>
      </c>
      <c r="BS462" s="2265">
        <f t="shared" si="491"/>
        <v>0</v>
      </c>
    </row>
    <row r="463" spans="1:71" ht="17.399999999999999" hidden="1" customHeight="1" x14ac:dyDescent="0.55000000000000004">
      <c r="A463" s="7533"/>
      <c r="B463" s="248"/>
      <c r="C463" s="12" t="s">
        <v>280</v>
      </c>
      <c r="D463" s="34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652">
        <f>SUM(D463:O463)</f>
        <v>0</v>
      </c>
      <c r="Q463" s="346">
        <f t="shared" si="503"/>
        <v>0</v>
      </c>
      <c r="R463" s="370"/>
      <c r="S463" s="34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  <c r="AE463" s="295">
        <f>SUM(S463:AD463)</f>
        <v>0</v>
      </c>
      <c r="AF463" s="346">
        <f>AE463/12</f>
        <v>0</v>
      </c>
      <c r="AG463" s="370"/>
      <c r="AH463" s="345"/>
      <c r="AI463" s="295"/>
      <c r="AJ463" s="295"/>
      <c r="AK463" s="652"/>
      <c r="AL463" s="652"/>
      <c r="AM463" s="652"/>
      <c r="AN463" s="1054"/>
      <c r="AO463" s="1064"/>
      <c r="AP463" s="652"/>
      <c r="AQ463" s="652"/>
      <c r="AR463" s="295"/>
      <c r="AS463" s="652"/>
      <c r="AT463" s="295">
        <f t="shared" si="486"/>
        <v>0</v>
      </c>
      <c r="AU463" s="346">
        <f t="shared" si="498"/>
        <v>0</v>
      </c>
      <c r="AX463" s="687"/>
      <c r="AY463" s="295"/>
      <c r="AZ463" s="295"/>
      <c r="BA463" s="652"/>
      <c r="BB463" s="652"/>
      <c r="BC463" s="652"/>
      <c r="BD463" s="1054"/>
      <c r="BE463" s="1064"/>
      <c r="BF463" s="652"/>
      <c r="BG463" s="652"/>
      <c r="BH463" s="295"/>
      <c r="BI463" s="652"/>
      <c r="BJ463" s="295">
        <f t="shared" si="487"/>
        <v>0</v>
      </c>
      <c r="BK463" s="346" t="e">
        <f t="shared" si="492"/>
        <v>#DIV/0!</v>
      </c>
      <c r="BN463" s="322">
        <f t="shared" si="497"/>
        <v>0</v>
      </c>
      <c r="BO463" s="322" t="e">
        <f t="shared" si="488"/>
        <v>#DIV/0!</v>
      </c>
      <c r="BP463" s="322">
        <f t="shared" si="489"/>
        <v>0</v>
      </c>
      <c r="BQ463" s="322">
        <f t="shared" si="493"/>
        <v>0</v>
      </c>
      <c r="BR463" s="2265">
        <f t="shared" si="490"/>
        <v>0</v>
      </c>
      <c r="BS463" s="2265">
        <f t="shared" si="491"/>
        <v>0</v>
      </c>
    </row>
    <row r="464" spans="1:71" ht="17.399999999999999" hidden="1" customHeight="1" x14ac:dyDescent="0.55000000000000004">
      <c r="A464" s="7533"/>
      <c r="B464" s="248"/>
      <c r="C464" s="12" t="s">
        <v>279</v>
      </c>
      <c r="D464" s="34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652">
        <f>SUM(D464:O464)</f>
        <v>0</v>
      </c>
      <c r="Q464" s="346">
        <f t="shared" si="503"/>
        <v>0</v>
      </c>
      <c r="R464" s="370"/>
      <c r="S464" s="34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  <c r="AE464" s="295">
        <f>SUM(S464:AD464)</f>
        <v>0</v>
      </c>
      <c r="AF464" s="346">
        <f>AE464/12</f>
        <v>0</v>
      </c>
      <c r="AG464" s="370"/>
      <c r="AH464" s="345"/>
      <c r="AI464" s="295"/>
      <c r="AJ464" s="295"/>
      <c r="AK464" s="652"/>
      <c r="AL464" s="652"/>
      <c r="AM464" s="652"/>
      <c r="AN464" s="1054"/>
      <c r="AO464" s="1064"/>
      <c r="AP464" s="652"/>
      <c r="AQ464" s="652"/>
      <c r="AR464" s="295"/>
      <c r="AS464" s="652"/>
      <c r="AT464" s="295">
        <f t="shared" si="486"/>
        <v>0</v>
      </c>
      <c r="AU464" s="346">
        <f t="shared" si="498"/>
        <v>0</v>
      </c>
      <c r="AX464" s="687"/>
      <c r="AY464" s="295"/>
      <c r="AZ464" s="295"/>
      <c r="BA464" s="652"/>
      <c r="BB464" s="652"/>
      <c r="BC464" s="652"/>
      <c r="BD464" s="1054"/>
      <c r="BE464" s="1064"/>
      <c r="BF464" s="652"/>
      <c r="BG464" s="652"/>
      <c r="BH464" s="295"/>
      <c r="BI464" s="652"/>
      <c r="BJ464" s="295">
        <f t="shared" si="487"/>
        <v>0</v>
      </c>
      <c r="BK464" s="346" t="e">
        <f t="shared" si="492"/>
        <v>#DIV/0!</v>
      </c>
      <c r="BN464" s="322">
        <f t="shared" si="497"/>
        <v>0</v>
      </c>
      <c r="BO464" s="322" t="e">
        <f t="shared" si="488"/>
        <v>#DIV/0!</v>
      </c>
      <c r="BP464" s="322">
        <f t="shared" si="489"/>
        <v>0</v>
      </c>
      <c r="BQ464" s="322">
        <f t="shared" si="493"/>
        <v>0</v>
      </c>
      <c r="BR464" s="2265">
        <f t="shared" si="490"/>
        <v>0</v>
      </c>
      <c r="BS464" s="2265">
        <f t="shared" si="491"/>
        <v>0</v>
      </c>
    </row>
    <row r="465" spans="1:71" ht="17.399999999999999" customHeight="1" x14ac:dyDescent="0.55000000000000004">
      <c r="A465" s="7533"/>
      <c r="B465" s="249" t="s">
        <v>222</v>
      </c>
      <c r="C465" s="100"/>
      <c r="D465" s="627">
        <v>7.3717948717948714</v>
      </c>
      <c r="E465" s="628">
        <v>8.1898734177215182</v>
      </c>
      <c r="F465" s="628">
        <v>8.5316455696202524</v>
      </c>
      <c r="G465" s="628">
        <v>10.637499999999999</v>
      </c>
      <c r="H465" s="628">
        <v>13.375</v>
      </c>
      <c r="I465" s="628">
        <v>11.858974358974359</v>
      </c>
      <c r="J465" s="628">
        <v>7.2051282051282053</v>
      </c>
      <c r="K465" s="628">
        <v>7.8684210526315788</v>
      </c>
      <c r="L465" s="628">
        <v>7.8</v>
      </c>
      <c r="M465" s="628">
        <v>9.5270270270270263</v>
      </c>
      <c r="N465" s="628">
        <v>6.9066666666666663</v>
      </c>
      <c r="O465" s="628">
        <v>6.7105263157894735</v>
      </c>
      <c r="P465" s="628">
        <f>SUM(D465:O465)</f>
        <v>105.98255748535396</v>
      </c>
      <c r="Q465" s="642">
        <f>P465/12</f>
        <v>8.8318797904461643</v>
      </c>
      <c r="R465" s="370"/>
      <c r="S465" s="627">
        <v>6.3066666666666666</v>
      </c>
      <c r="T465" s="628">
        <v>8.5733333333333341</v>
      </c>
      <c r="U465" s="628">
        <v>8.5526315789473681</v>
      </c>
      <c r="V465" s="628">
        <v>6.2666666666666666</v>
      </c>
      <c r="W465" s="628">
        <v>8.2465753424657535</v>
      </c>
      <c r="X465" s="628">
        <v>8</v>
      </c>
      <c r="Y465" s="628">
        <v>7.2352941176470589</v>
      </c>
      <c r="Z465" s="628">
        <v>11.507246376811594</v>
      </c>
      <c r="AA465" s="628">
        <v>10.739130434782609</v>
      </c>
      <c r="AB465" s="628">
        <v>8.3142857142857149</v>
      </c>
      <c r="AC465" s="628">
        <v>9.2857142857142865</v>
      </c>
      <c r="AD465" s="628">
        <v>6</v>
      </c>
      <c r="AE465" s="628">
        <f>SUM(S465:AD465)</f>
        <v>99.027544517321061</v>
      </c>
      <c r="AF465" s="642">
        <f>AE465/12</f>
        <v>8.2522953764434224</v>
      </c>
      <c r="AG465" s="370"/>
      <c r="AH465" s="627">
        <v>9.0933333333333337</v>
      </c>
      <c r="AI465" s="628">
        <v>6.3733333333333331</v>
      </c>
      <c r="AJ465" s="628">
        <v>7.4078947368421053</v>
      </c>
      <c r="AK465" s="628">
        <v>6.28</v>
      </c>
      <c r="AL465" s="628">
        <v>9.6714285714285708</v>
      </c>
      <c r="AM465" s="628">
        <v>9</v>
      </c>
      <c r="AN465" s="1055">
        <v>11.086956521739131</v>
      </c>
      <c r="AO465" s="1065">
        <v>10.492753623188406</v>
      </c>
      <c r="AP465" s="628">
        <v>10.863636363636363</v>
      </c>
      <c r="AQ465" s="628">
        <v>11.705882352941176</v>
      </c>
      <c r="AR465" s="348">
        <v>9.4782608695652169</v>
      </c>
      <c r="AS465" s="628">
        <v>7.647887323943662</v>
      </c>
      <c r="AT465" s="628">
        <f t="shared" si="486"/>
        <v>109.10136702995131</v>
      </c>
      <c r="AU465" s="642">
        <f t="shared" si="498"/>
        <v>9.0917805858292748</v>
      </c>
      <c r="AX465" s="627">
        <v>8.1971830985915499</v>
      </c>
      <c r="AY465" s="628">
        <v>10.774647887323944</v>
      </c>
      <c r="AZ465" s="628">
        <v>8.7083333333333339</v>
      </c>
      <c r="BA465" s="628">
        <v>8.9861111111111107</v>
      </c>
      <c r="BB465" s="628">
        <v>19.542857142857144</v>
      </c>
      <c r="BC465" s="628">
        <v>11.940298507462687</v>
      </c>
      <c r="BD465" s="1055">
        <v>12.338461538461539</v>
      </c>
      <c r="BE465" s="1065">
        <v>10.15625</v>
      </c>
      <c r="BF465" s="628">
        <v>10.85483870967742</v>
      </c>
      <c r="BG465" s="628">
        <v>9.3650793650793656</v>
      </c>
      <c r="BH465" s="348">
        <v>10.65</v>
      </c>
      <c r="BI465" s="628">
        <v>11.40625</v>
      </c>
      <c r="BJ465" s="628">
        <f t="shared" si="487"/>
        <v>132.9203106938981</v>
      </c>
      <c r="BK465" s="642">
        <f t="shared" si="492"/>
        <v>11.076692557824842</v>
      </c>
      <c r="BN465" s="322">
        <f t="shared" si="497"/>
        <v>3.758362676056338</v>
      </c>
      <c r="BO465" s="322">
        <f t="shared" si="488"/>
        <v>1.984911971995567</v>
      </c>
      <c r="BP465" s="322">
        <f t="shared" si="489"/>
        <v>23.818943663946797</v>
      </c>
      <c r="BQ465" s="322">
        <f t="shared" si="493"/>
        <v>0.75624999999999964</v>
      </c>
      <c r="BR465" s="2265">
        <f t="shared" si="490"/>
        <v>10.65</v>
      </c>
      <c r="BS465" s="2265">
        <f t="shared" si="491"/>
        <v>11.40625</v>
      </c>
    </row>
    <row r="466" spans="1:71" ht="17.399999999999999" customHeight="1" x14ac:dyDescent="0.55000000000000004">
      <c r="A466" s="7533"/>
      <c r="B466" s="250" t="s">
        <v>223</v>
      </c>
      <c r="C466" s="14"/>
      <c r="D466" s="629">
        <v>9.7288135593220346</v>
      </c>
      <c r="E466" s="568">
        <v>11.842105263157896</v>
      </c>
      <c r="F466" s="568">
        <v>12.603448275862069</v>
      </c>
      <c r="G466" s="568">
        <v>15.423728813559322</v>
      </c>
      <c r="H466" s="568">
        <v>15.474576271186441</v>
      </c>
      <c r="I466" s="568">
        <v>12.035714285714286</v>
      </c>
      <c r="J466" s="568">
        <v>8.7636363636363637</v>
      </c>
      <c r="K466" s="568">
        <v>11.735849056603774</v>
      </c>
      <c r="L466" s="568">
        <v>7.784313725490196</v>
      </c>
      <c r="M466" s="568">
        <v>10.686274509803921</v>
      </c>
      <c r="N466" s="568">
        <v>9.4038461538461533</v>
      </c>
      <c r="O466" s="568">
        <v>8.204081632653061</v>
      </c>
      <c r="P466" s="568">
        <f t="shared" ref="P466:P477" si="504">SUM(D466:O466)</f>
        <v>133.68638791083552</v>
      </c>
      <c r="Q466" s="643">
        <f t="shared" si="503"/>
        <v>11.14053232590296</v>
      </c>
      <c r="R466" s="370"/>
      <c r="S466" s="629">
        <v>9.1489361702127656</v>
      </c>
      <c r="T466" s="568">
        <v>10.145833333333334</v>
      </c>
      <c r="U466" s="568">
        <v>7.875</v>
      </c>
      <c r="V466" s="568">
        <v>5.729166666666667</v>
      </c>
      <c r="W466" s="568">
        <v>8.7727272727272734</v>
      </c>
      <c r="X466" s="568">
        <v>6.8604651162790695</v>
      </c>
      <c r="Y466" s="568">
        <v>6.8</v>
      </c>
      <c r="Z466" s="568">
        <v>8.604651162790697</v>
      </c>
      <c r="AA466" s="568">
        <v>7.8636363636363633</v>
      </c>
      <c r="AB466" s="568">
        <v>9.5116279069767433</v>
      </c>
      <c r="AC466" s="568">
        <v>9</v>
      </c>
      <c r="AD466" s="568">
        <v>5.4444444444444446</v>
      </c>
      <c r="AE466" s="568">
        <f t="shared" ref="AE466:AE477" si="505">SUM(S466:AD466)</f>
        <v>95.756488437067347</v>
      </c>
      <c r="AF466" s="643">
        <f t="shared" ref="AF466:AF477" si="506">AE466/12</f>
        <v>7.9797073697556122</v>
      </c>
      <c r="AG466" s="370"/>
      <c r="AH466" s="629">
        <v>7.2765957446808507</v>
      </c>
      <c r="AI466" s="568">
        <v>6.270833333333333</v>
      </c>
      <c r="AJ466" s="568">
        <v>9.2916666666666661</v>
      </c>
      <c r="AK466" s="568">
        <v>8.875</v>
      </c>
      <c r="AL466" s="568">
        <v>8.1199999999999992</v>
      </c>
      <c r="AM466" s="568">
        <v>10.25531914893617</v>
      </c>
      <c r="AN466" s="1056">
        <v>9.9583333333333339</v>
      </c>
      <c r="AO466" s="1066">
        <v>14.340425531914894</v>
      </c>
      <c r="AP466" s="568">
        <v>15.042553191489361</v>
      </c>
      <c r="AQ466" s="568">
        <v>14.770833333333334</v>
      </c>
      <c r="AR466" s="280">
        <v>12.913043478260869</v>
      </c>
      <c r="AS466" s="568">
        <v>12.760869565217391</v>
      </c>
      <c r="AT466" s="568">
        <f t="shared" si="486"/>
        <v>129.87547332716622</v>
      </c>
      <c r="AU466" s="643">
        <f t="shared" si="498"/>
        <v>10.822956110597184</v>
      </c>
      <c r="AX466" s="629">
        <v>11.565217391304348</v>
      </c>
      <c r="AY466" s="568">
        <v>13.086956521739131</v>
      </c>
      <c r="AZ466" s="568">
        <v>10.1875</v>
      </c>
      <c r="BA466" s="568">
        <v>9.9347826086956523</v>
      </c>
      <c r="BB466" s="568">
        <v>23.522727272727273</v>
      </c>
      <c r="BC466" s="568">
        <v>14.511111111111111</v>
      </c>
      <c r="BD466" s="1056">
        <v>14.022727272727273</v>
      </c>
      <c r="BE466" s="1066">
        <v>13.772727272727273</v>
      </c>
      <c r="BF466" s="568">
        <v>14.116279069767442</v>
      </c>
      <c r="BG466" s="568">
        <v>13.560975609756097</v>
      </c>
      <c r="BH466" s="280">
        <v>12.116279069767442</v>
      </c>
      <c r="BI466" s="568">
        <v>13</v>
      </c>
      <c r="BJ466" s="568">
        <f t="shared" si="487"/>
        <v>163.39728320032305</v>
      </c>
      <c r="BK466" s="643">
        <f t="shared" si="492"/>
        <v>13.616440266693587</v>
      </c>
      <c r="BN466" s="322">
        <f t="shared" si="497"/>
        <v>0.23913043478260931</v>
      </c>
      <c r="BO466" s="322">
        <f t="shared" si="488"/>
        <v>2.7934841560964028</v>
      </c>
      <c r="BP466" s="322">
        <f t="shared" si="489"/>
        <v>33.521809873156826</v>
      </c>
      <c r="BQ466" s="322">
        <f t="shared" si="493"/>
        <v>0.88372093023255793</v>
      </c>
      <c r="BR466" s="2265">
        <f t="shared" si="490"/>
        <v>12.116279069767442</v>
      </c>
      <c r="BS466" s="2265">
        <f t="shared" si="491"/>
        <v>13</v>
      </c>
    </row>
    <row r="467" spans="1:71" ht="17.399999999999999" customHeight="1" x14ac:dyDescent="0.55000000000000004">
      <c r="A467" s="7533"/>
      <c r="B467" s="250" t="s">
        <v>224</v>
      </c>
      <c r="C467" s="14"/>
      <c r="D467" s="629">
        <v>9.6551724137931032</v>
      </c>
      <c r="E467" s="568">
        <v>10.793103448275861</v>
      </c>
      <c r="F467" s="568">
        <v>12.090909090909092</v>
      </c>
      <c r="G467" s="568">
        <v>14.357142857142858</v>
      </c>
      <c r="H467" s="568">
        <v>12.446428571428571</v>
      </c>
      <c r="I467" s="568">
        <v>11.351851851851851</v>
      </c>
      <c r="J467" s="568">
        <v>8.8039215686274517</v>
      </c>
      <c r="K467" s="568">
        <v>10.607843137254902</v>
      </c>
      <c r="L467" s="568">
        <v>8.66</v>
      </c>
      <c r="M467" s="568">
        <v>9.3529411764705888</v>
      </c>
      <c r="N467" s="568">
        <v>7.6111111111111107</v>
      </c>
      <c r="O467" s="568">
        <v>6.0769230769230766</v>
      </c>
      <c r="P467" s="568">
        <f t="shared" si="504"/>
        <v>121.80734830378846</v>
      </c>
      <c r="Q467" s="643">
        <f t="shared" si="503"/>
        <v>10.150612358649038</v>
      </c>
      <c r="R467" s="370"/>
      <c r="S467" s="629">
        <v>5.6727272727272728</v>
      </c>
      <c r="T467" s="568">
        <v>6.7454545454545451</v>
      </c>
      <c r="U467" s="568">
        <v>6.625</v>
      </c>
      <c r="V467" s="568">
        <v>6.2884615384615383</v>
      </c>
      <c r="W467" s="568">
        <v>8.7659574468085104</v>
      </c>
      <c r="X467" s="568">
        <v>7.9361702127659575</v>
      </c>
      <c r="Y467" s="568">
        <v>7.4489795918367347</v>
      </c>
      <c r="Z467" s="568">
        <v>8.9565217391304355</v>
      </c>
      <c r="AA467" s="568">
        <v>7</v>
      </c>
      <c r="AB467" s="568">
        <v>7.7446808510638299</v>
      </c>
      <c r="AC467" s="568">
        <v>8.8260869565217384</v>
      </c>
      <c r="AD467" s="568">
        <v>5.2857142857142856</v>
      </c>
      <c r="AE467" s="568">
        <f t="shared" si="505"/>
        <v>87.295754440484856</v>
      </c>
      <c r="AF467" s="643">
        <f t="shared" si="506"/>
        <v>7.274646203373738</v>
      </c>
      <c r="AG467" s="370"/>
      <c r="AH467" s="629">
        <v>5.4727272727272727</v>
      </c>
      <c r="AI467" s="568">
        <v>5.4727272727272727</v>
      </c>
      <c r="AJ467" s="568">
        <v>7.1785714285714288</v>
      </c>
      <c r="AK467" s="568">
        <v>6.9615384615384617</v>
      </c>
      <c r="AL467" s="568">
        <v>12</v>
      </c>
      <c r="AM467" s="568">
        <v>11.418604651162791</v>
      </c>
      <c r="AN467" s="1056">
        <v>13.341463414634147</v>
      </c>
      <c r="AO467" s="1066">
        <v>13.380952380952381</v>
      </c>
      <c r="AP467" s="568">
        <v>11.25</v>
      </c>
      <c r="AQ467" s="568">
        <v>13.581395348837209</v>
      </c>
      <c r="AR467" s="280">
        <v>12.733333333333333</v>
      </c>
      <c r="AS467" s="568">
        <v>12.244444444444444</v>
      </c>
      <c r="AT467" s="568">
        <f t="shared" si="486"/>
        <v>125.03575800892874</v>
      </c>
      <c r="AU467" s="643">
        <f t="shared" si="498"/>
        <v>10.419646500744062</v>
      </c>
      <c r="AX467" s="629">
        <v>10.755555555555556</v>
      </c>
      <c r="AY467" s="568">
        <v>15.466666666666667</v>
      </c>
      <c r="AZ467" s="568">
        <v>15.454545454545455</v>
      </c>
      <c r="BA467" s="568">
        <v>12.71111111111111</v>
      </c>
      <c r="BB467" s="568">
        <v>24.906976744186046</v>
      </c>
      <c r="BC467" s="568">
        <v>20.95</v>
      </c>
      <c r="BD467" s="1056">
        <v>17.511627906976745</v>
      </c>
      <c r="BE467" s="1066">
        <v>13.209302325581396</v>
      </c>
      <c r="BF467" s="568">
        <v>14.333333333333334</v>
      </c>
      <c r="BG467" s="568">
        <v>13.295454545454545</v>
      </c>
      <c r="BH467" s="280">
        <v>12.375</v>
      </c>
      <c r="BI467" s="568">
        <v>12.341463414634147</v>
      </c>
      <c r="BJ467" s="568">
        <f t="shared" si="487"/>
        <v>183.311037058045</v>
      </c>
      <c r="BK467" s="643">
        <f t="shared" si="492"/>
        <v>15.275919754837084</v>
      </c>
      <c r="BN467" s="322">
        <f t="shared" si="497"/>
        <v>9.7018970189703069E-2</v>
      </c>
      <c r="BO467" s="322">
        <f t="shared" si="488"/>
        <v>4.856273254093022</v>
      </c>
      <c r="BP467" s="322">
        <f t="shared" si="489"/>
        <v>58.275279049116264</v>
      </c>
      <c r="BQ467" s="322">
        <f t="shared" si="493"/>
        <v>-3.3536585365853355E-2</v>
      </c>
      <c r="BR467" s="2265">
        <f t="shared" si="490"/>
        <v>12.375</v>
      </c>
      <c r="BS467" s="2265">
        <f t="shared" si="491"/>
        <v>12.341463414634147</v>
      </c>
    </row>
    <row r="468" spans="1:71" ht="17.399999999999999" customHeight="1" x14ac:dyDescent="0.55000000000000004">
      <c r="A468" s="7533"/>
      <c r="B468" s="250" t="s">
        <v>225</v>
      </c>
      <c r="C468" s="14"/>
      <c r="D468" s="629">
        <v>7.2543859649122808</v>
      </c>
      <c r="E468" s="568">
        <v>7.0526315789473681</v>
      </c>
      <c r="F468" s="568">
        <v>7.6403508771929829</v>
      </c>
      <c r="G468" s="568">
        <v>7.6896551724137927</v>
      </c>
      <c r="H468" s="568">
        <v>8.362068965517242</v>
      </c>
      <c r="I468" s="568">
        <v>8.3859649122807021</v>
      </c>
      <c r="J468" s="568">
        <v>6.7192982456140351</v>
      </c>
      <c r="K468" s="568">
        <v>7.6949152542372881</v>
      </c>
      <c r="L468" s="568">
        <v>6.3275862068965516</v>
      </c>
      <c r="M468" s="568">
        <v>6.1826086956521742</v>
      </c>
      <c r="N468" s="568">
        <v>5.3513513513513518</v>
      </c>
      <c r="O468" s="568">
        <v>3.5089285714285716</v>
      </c>
      <c r="P468" s="568">
        <f t="shared" si="504"/>
        <v>82.169745796444332</v>
      </c>
      <c r="Q468" s="643">
        <f t="shared" si="503"/>
        <v>6.8474788163703613</v>
      </c>
      <c r="R468" s="370"/>
      <c r="S468" s="629">
        <v>5.5047619047619047</v>
      </c>
      <c r="T468" s="568">
        <v>6.2924528301886795</v>
      </c>
      <c r="U468" s="568">
        <v>6.0185185185185182</v>
      </c>
      <c r="V468" s="568">
        <v>6.0673076923076925</v>
      </c>
      <c r="W468" s="568">
        <v>8.1199999999999992</v>
      </c>
      <c r="X468" s="568">
        <v>6.8137254901960782</v>
      </c>
      <c r="Y468" s="568">
        <v>5.7358490566037732</v>
      </c>
      <c r="Z468" s="568">
        <v>8.0485436893203879</v>
      </c>
      <c r="AA468" s="568">
        <v>6.882352941176471</v>
      </c>
      <c r="AB468" s="568">
        <v>7.9504950495049505</v>
      </c>
      <c r="AC468" s="568">
        <v>7.13</v>
      </c>
      <c r="AD468" s="568">
        <v>5.2653061224489797</v>
      </c>
      <c r="AE468" s="568">
        <f t="shared" si="505"/>
        <v>79.829313295027433</v>
      </c>
      <c r="AF468" s="643">
        <f t="shared" si="506"/>
        <v>6.6524427745856194</v>
      </c>
      <c r="AG468" s="370"/>
      <c r="AH468" s="629">
        <v>8.8380952380952387</v>
      </c>
      <c r="AI468" s="568">
        <v>8.0754716981132084</v>
      </c>
      <c r="AJ468" s="568">
        <v>8.75</v>
      </c>
      <c r="AK468" s="568">
        <v>8.5769230769230766</v>
      </c>
      <c r="AL468" s="568">
        <v>10.625</v>
      </c>
      <c r="AM468" s="568">
        <v>8.9263157894736835</v>
      </c>
      <c r="AN468" s="1056">
        <v>9.5053763440860219</v>
      </c>
      <c r="AO468" s="1066">
        <v>9.1182795698924739</v>
      </c>
      <c r="AP468" s="568">
        <v>9.258064516129032</v>
      </c>
      <c r="AQ468" s="568">
        <v>10.422680412371134</v>
      </c>
      <c r="AR468" s="280">
        <v>11.272727272727273</v>
      </c>
      <c r="AS468" s="568">
        <v>11.282828282828282</v>
      </c>
      <c r="AT468" s="568">
        <f t="shared" si="486"/>
        <v>114.65176220063942</v>
      </c>
      <c r="AU468" s="643">
        <f t="shared" si="498"/>
        <v>9.5543135167199527</v>
      </c>
      <c r="AX468" s="629">
        <v>10.595959595959595</v>
      </c>
      <c r="AY468" s="568">
        <v>12.919191919191919</v>
      </c>
      <c r="AZ468" s="568">
        <v>11.69</v>
      </c>
      <c r="BA468" s="568">
        <v>14.360824742268042</v>
      </c>
      <c r="BB468" s="568">
        <v>29.020408163265305</v>
      </c>
      <c r="BC468" s="568">
        <v>28.86021505376344</v>
      </c>
      <c r="BD468" s="1056">
        <v>21.917525773195877</v>
      </c>
      <c r="BE468" s="1066">
        <v>14.438775510204081</v>
      </c>
      <c r="BF468" s="568">
        <v>12.421568627450981</v>
      </c>
      <c r="BG468" s="568">
        <v>14.145833333333334</v>
      </c>
      <c r="BH468" s="280">
        <v>12.85</v>
      </c>
      <c r="BI468" s="568">
        <v>12.041237113402062</v>
      </c>
      <c r="BJ468" s="568">
        <f t="shared" si="487"/>
        <v>195.26153983203466</v>
      </c>
      <c r="BK468" s="643">
        <f t="shared" si="492"/>
        <v>16.271794986002888</v>
      </c>
      <c r="BN468" s="322">
        <f t="shared" si="497"/>
        <v>0.75840883057377972</v>
      </c>
      <c r="BO468" s="322">
        <f t="shared" si="488"/>
        <v>6.7174814692829354</v>
      </c>
      <c r="BP468" s="322">
        <f t="shared" si="489"/>
        <v>80.609777631395232</v>
      </c>
      <c r="BQ468" s="322">
        <f t="shared" si="493"/>
        <v>-0.80876288659793794</v>
      </c>
      <c r="BR468" s="2265">
        <f t="shared" si="490"/>
        <v>12.85</v>
      </c>
      <c r="BS468" s="2265">
        <f t="shared" si="491"/>
        <v>12.041237113402062</v>
      </c>
    </row>
    <row r="469" spans="1:71" ht="17.399999999999999" customHeight="1" x14ac:dyDescent="0.55000000000000004">
      <c r="A469" s="7533"/>
      <c r="B469" s="251" t="s">
        <v>226</v>
      </c>
      <c r="C469" s="103"/>
      <c r="D469" s="630">
        <v>7.6767676767676765</v>
      </c>
      <c r="E469" s="631">
        <v>7.9787234042553195</v>
      </c>
      <c r="F469" s="631">
        <v>7.3723404255319149</v>
      </c>
      <c r="G469" s="631">
        <v>9.6111111111111107</v>
      </c>
      <c r="H469" s="631">
        <v>9.6111111111111107</v>
      </c>
      <c r="I469" s="631">
        <v>9.1868131868131861</v>
      </c>
      <c r="J469" s="631">
        <v>6.239583333333333</v>
      </c>
      <c r="K469" s="631">
        <v>7.4432989690721651</v>
      </c>
      <c r="L469" s="631">
        <v>6.7340425531914896</v>
      </c>
      <c r="M469" s="631">
        <v>6.774193548387097</v>
      </c>
      <c r="N469" s="631">
        <v>7.0543478260869561</v>
      </c>
      <c r="O469" s="631">
        <v>6.2526315789473683</v>
      </c>
      <c r="P469" s="631">
        <f t="shared" si="504"/>
        <v>91.934964724608733</v>
      </c>
      <c r="Q469" s="644">
        <f t="shared" si="503"/>
        <v>7.6612470603840608</v>
      </c>
      <c r="R469" s="370"/>
      <c r="S469" s="630">
        <v>6.5053763440860219</v>
      </c>
      <c r="T469" s="631">
        <v>7.849462365591398</v>
      </c>
      <c r="U469" s="631">
        <v>7.7640449438202248</v>
      </c>
      <c r="V469" s="631">
        <v>7.1333333333333337</v>
      </c>
      <c r="W469" s="631">
        <v>8.4347826086956523</v>
      </c>
      <c r="X469" s="631">
        <v>6.931034482758621</v>
      </c>
      <c r="Y469" s="631">
        <v>6.3720930232558137</v>
      </c>
      <c r="Z469" s="631">
        <v>9.8048780487804876</v>
      </c>
      <c r="AA469" s="631">
        <v>7.7439024390243905</v>
      </c>
      <c r="AB469" s="631">
        <v>8.5411764705882351</v>
      </c>
      <c r="AC469" s="631">
        <v>7.7471264367816088</v>
      </c>
      <c r="AD469" s="631">
        <v>5.7701149425287355</v>
      </c>
      <c r="AE469" s="631">
        <f t="shared" si="505"/>
        <v>90.597325439244528</v>
      </c>
      <c r="AF469" s="644">
        <f t="shared" si="506"/>
        <v>7.549777119937044</v>
      </c>
      <c r="AG469" s="370"/>
      <c r="AH469" s="630">
        <v>8.0752688172043019</v>
      </c>
      <c r="AI469" s="631">
        <v>6.559139784946237</v>
      </c>
      <c r="AJ469" s="631">
        <v>7.3146067415730336</v>
      </c>
      <c r="AK469" s="631">
        <v>7.5444444444444398</v>
      </c>
      <c r="AL469" s="631">
        <v>8.9250000000000007</v>
      </c>
      <c r="AM469" s="631">
        <v>8.3625000000000007</v>
      </c>
      <c r="AN469" s="1057">
        <v>9.6973684210526319</v>
      </c>
      <c r="AO469" s="1067">
        <v>7.443037974683544</v>
      </c>
      <c r="AP469" s="631">
        <v>8.1012658227848107</v>
      </c>
      <c r="AQ469" s="631">
        <v>10.2987012987013</v>
      </c>
      <c r="AR469" s="353">
        <v>12.074074074074074</v>
      </c>
      <c r="AS469" s="631">
        <v>10.7125</v>
      </c>
      <c r="AT469" s="631">
        <f t="shared" si="486"/>
        <v>105.10790737946439</v>
      </c>
      <c r="AU469" s="644">
        <f t="shared" si="498"/>
        <v>8.7589922816220334</v>
      </c>
      <c r="AX469" s="630">
        <v>10.237500000000001</v>
      </c>
      <c r="AY469" s="631">
        <v>13.4125</v>
      </c>
      <c r="AZ469" s="631">
        <v>12.052631578947368</v>
      </c>
      <c r="BA469" s="631">
        <v>12.272727272727273</v>
      </c>
      <c r="BB469" s="631">
        <v>19</v>
      </c>
      <c r="BC469" s="631">
        <v>14.355263157894736</v>
      </c>
      <c r="BD469" s="1057">
        <v>16.264705882352942</v>
      </c>
      <c r="BE469" s="1067">
        <v>10.954545454545455</v>
      </c>
      <c r="BF469" s="631">
        <v>14.05</v>
      </c>
      <c r="BG469" s="631">
        <v>10.863636363636363</v>
      </c>
      <c r="BH469" s="353">
        <v>10.71830985915493</v>
      </c>
      <c r="BI469" s="631">
        <v>9.7808219178082183</v>
      </c>
      <c r="BJ469" s="631">
        <f t="shared" si="487"/>
        <v>153.96264148706732</v>
      </c>
      <c r="BK469" s="644">
        <f t="shared" si="492"/>
        <v>12.830220123922276</v>
      </c>
      <c r="BN469" s="322">
        <f t="shared" si="497"/>
        <v>-0.93167808219178205</v>
      </c>
      <c r="BO469" s="322">
        <f t="shared" si="488"/>
        <v>4.0712278423002424</v>
      </c>
      <c r="BP469" s="322">
        <f t="shared" si="489"/>
        <v>48.854734107602923</v>
      </c>
      <c r="BQ469" s="322">
        <f t="shared" si="493"/>
        <v>-0.93748794134671165</v>
      </c>
      <c r="BR469" s="2265">
        <f t="shared" si="490"/>
        <v>10.71830985915493</v>
      </c>
      <c r="BS469" s="2265">
        <f t="shared" si="491"/>
        <v>9.7808219178082183</v>
      </c>
    </row>
    <row r="470" spans="1:71" s="172" customFormat="1" ht="15.65" customHeight="1" x14ac:dyDescent="0.55000000000000004">
      <c r="A470" s="7533"/>
      <c r="B470" s="252"/>
      <c r="C470" s="180" t="s">
        <v>242</v>
      </c>
      <c r="D470" s="632">
        <v>7.8928571428571432</v>
      </c>
      <c r="E470" s="633">
        <v>9.1428571428571423</v>
      </c>
      <c r="F470" s="633">
        <v>9.545454545454545</v>
      </c>
      <c r="G470" s="633">
        <v>12.678571428571429</v>
      </c>
      <c r="H470" s="633">
        <v>16.107142857142858</v>
      </c>
      <c r="I470" s="633">
        <v>14.407407407407407</v>
      </c>
      <c r="J470" s="633">
        <v>9.0377358490566042</v>
      </c>
      <c r="K470" s="633">
        <v>8.8076923076923084</v>
      </c>
      <c r="L470" s="633">
        <v>9.6538461538461533</v>
      </c>
      <c r="M470" s="633">
        <v>11.283018867924529</v>
      </c>
      <c r="N470" s="633">
        <v>7.9433962264150946</v>
      </c>
      <c r="O470" s="633">
        <v>8.4716981132075464</v>
      </c>
      <c r="P470" s="633">
        <f t="shared" si="504"/>
        <v>124.97167804243274</v>
      </c>
      <c r="Q470" s="645">
        <f t="shared" si="503"/>
        <v>10.414306503536062</v>
      </c>
      <c r="R470" s="372"/>
      <c r="S470" s="632">
        <v>7.5555555555555554</v>
      </c>
      <c r="T470" s="633">
        <v>10.425925925925926</v>
      </c>
      <c r="U470" s="633">
        <v>9</v>
      </c>
      <c r="V470" s="633">
        <v>6.9245283018867925</v>
      </c>
      <c r="W470" s="633">
        <v>8.9038461538461533</v>
      </c>
      <c r="X470" s="633">
        <v>8.9215686274509807</v>
      </c>
      <c r="Y470" s="633">
        <v>8.2978723404255312</v>
      </c>
      <c r="Z470" s="633">
        <v>10.854166666666666</v>
      </c>
      <c r="AA470" s="633">
        <v>10.375</v>
      </c>
      <c r="AB470" s="633">
        <v>8.875</v>
      </c>
      <c r="AC470" s="633">
        <v>10.395833333333334</v>
      </c>
      <c r="AD470" s="633">
        <v>5.8297872340425529</v>
      </c>
      <c r="AE470" s="633">
        <f t="shared" si="505"/>
        <v>106.3590841391335</v>
      </c>
      <c r="AF470" s="645">
        <f t="shared" si="506"/>
        <v>8.8632570115944578</v>
      </c>
      <c r="AG470" s="372"/>
      <c r="AH470" s="632">
        <v>9.9074074074074066</v>
      </c>
      <c r="AI470" s="633">
        <v>6.1111111111111107</v>
      </c>
      <c r="AJ470" s="633">
        <v>6.9444444444444446</v>
      </c>
      <c r="AK470" s="633">
        <v>6.3018867924528301</v>
      </c>
      <c r="AL470" s="633">
        <v>10.063829787234043</v>
      </c>
      <c r="AM470" s="633">
        <v>9.8666666666666671</v>
      </c>
      <c r="AN470" s="1058">
        <v>11.71111111111111</v>
      </c>
      <c r="AO470" s="1068">
        <v>12.217391304347826</v>
      </c>
      <c r="AP470" s="633">
        <v>11.355555555555556</v>
      </c>
      <c r="AQ470" s="633">
        <v>13.478260869565217</v>
      </c>
      <c r="AR470" s="356">
        <v>10.229166666666666</v>
      </c>
      <c r="AS470" s="633">
        <v>8.6041666666666661</v>
      </c>
      <c r="AT470" s="633">
        <f t="shared" si="486"/>
        <v>116.79099838322955</v>
      </c>
      <c r="AU470" s="645">
        <f t="shared" si="498"/>
        <v>9.7325831986024625</v>
      </c>
      <c r="AX470" s="632">
        <v>8.2083333333333339</v>
      </c>
      <c r="AY470" s="633">
        <v>11.854166666666666</v>
      </c>
      <c r="AZ470" s="633">
        <v>9.4166666666666661</v>
      </c>
      <c r="BA470" s="633">
        <v>9.6875</v>
      </c>
      <c r="BB470" s="633">
        <v>20.081632653061224</v>
      </c>
      <c r="BC470" s="633">
        <v>12.847826086956522</v>
      </c>
      <c r="BD470" s="1058">
        <v>12.338461538461539</v>
      </c>
      <c r="BE470" s="1068">
        <v>10.15625</v>
      </c>
      <c r="BF470" s="633">
        <v>10.85483870967742</v>
      </c>
      <c r="BG470" s="633">
        <v>9.3650793650793656</v>
      </c>
      <c r="BH470" s="356">
        <v>10.65</v>
      </c>
      <c r="BI470" s="633">
        <v>11.40625</v>
      </c>
      <c r="BJ470" s="633">
        <f t="shared" si="487"/>
        <v>136.86700501990276</v>
      </c>
      <c r="BK470" s="645">
        <f t="shared" si="492"/>
        <v>11.405583751658563</v>
      </c>
      <c r="BN470" s="322">
        <f t="shared" si="497"/>
        <v>2.8020833333333339</v>
      </c>
      <c r="BO470" s="322">
        <f t="shared" si="488"/>
        <v>1.6730005530561005</v>
      </c>
      <c r="BP470" s="322">
        <f t="shared" si="489"/>
        <v>20.076006636673213</v>
      </c>
      <c r="BQ470" s="322">
        <f t="shared" si="493"/>
        <v>0.75624999999999964</v>
      </c>
      <c r="BR470" s="2265">
        <f t="shared" si="490"/>
        <v>10.65</v>
      </c>
      <c r="BS470" s="2265">
        <f t="shared" si="491"/>
        <v>11.40625</v>
      </c>
    </row>
    <row r="471" spans="1:71" s="172" customFormat="1" ht="15.65" customHeight="1" x14ac:dyDescent="0.55000000000000004">
      <c r="A471" s="7533"/>
      <c r="B471" s="253"/>
      <c r="C471" s="181" t="s">
        <v>243</v>
      </c>
      <c r="D471" s="634">
        <v>6.0454545454545459</v>
      </c>
      <c r="E471" s="635">
        <v>5.8695652173913047</v>
      </c>
      <c r="F471" s="635">
        <v>6.208333333333333</v>
      </c>
      <c r="G471" s="635">
        <v>5.875</v>
      </c>
      <c r="H471" s="635">
        <v>7</v>
      </c>
      <c r="I471" s="635">
        <v>6.125</v>
      </c>
      <c r="J471" s="635">
        <v>3.32</v>
      </c>
      <c r="K471" s="635">
        <v>5.833333333333333</v>
      </c>
      <c r="L471" s="635">
        <v>3.6086956521739131</v>
      </c>
      <c r="M471" s="635">
        <v>5.0952380952380949</v>
      </c>
      <c r="N471" s="635">
        <v>4.4090909090909092</v>
      </c>
      <c r="O471" s="635">
        <v>2.652173913043478</v>
      </c>
      <c r="P471" s="635">
        <f t="shared" si="504"/>
        <v>62.041884999058915</v>
      </c>
      <c r="Q471" s="646">
        <f t="shared" si="503"/>
        <v>5.1701570832549093</v>
      </c>
      <c r="R471" s="372"/>
      <c r="S471" s="634">
        <v>3.0952380952380953</v>
      </c>
      <c r="T471" s="635">
        <v>3.8095238095238093</v>
      </c>
      <c r="U471" s="635">
        <v>7.4545454545454541</v>
      </c>
      <c r="V471" s="635">
        <v>4.6818181818181817</v>
      </c>
      <c r="W471" s="635">
        <v>6.6190476190476186</v>
      </c>
      <c r="X471" s="635">
        <v>5.9565217391304346</v>
      </c>
      <c r="Y471" s="635">
        <v>4.8571428571428568</v>
      </c>
      <c r="Z471" s="635">
        <v>13</v>
      </c>
      <c r="AA471" s="635">
        <v>11.571428571428571</v>
      </c>
      <c r="AB471" s="635">
        <v>7.0909090909090908</v>
      </c>
      <c r="AC471" s="635">
        <v>6.8636363636363633</v>
      </c>
      <c r="AD471" s="635">
        <v>6.3809523809523814</v>
      </c>
      <c r="AE471" s="635">
        <f t="shared" si="505"/>
        <v>81.380764163372845</v>
      </c>
      <c r="AF471" s="646">
        <f t="shared" si="506"/>
        <v>6.7817303469477368</v>
      </c>
      <c r="AG471" s="372"/>
      <c r="AH471" s="634">
        <v>7</v>
      </c>
      <c r="AI471" s="635">
        <v>7.0476190476190474</v>
      </c>
      <c r="AJ471" s="635">
        <v>8.545454545454545</v>
      </c>
      <c r="AK471" s="635">
        <v>6.2272727272727275</v>
      </c>
      <c r="AL471" s="635">
        <v>8.8695652173913047</v>
      </c>
      <c r="AM471" s="635">
        <v>7.3043478260869561</v>
      </c>
      <c r="AN471" s="1059">
        <v>9.9166666666666661</v>
      </c>
      <c r="AO471" s="1069">
        <v>7.0434782608695654</v>
      </c>
      <c r="AP471" s="635">
        <v>9.8095238095238102</v>
      </c>
      <c r="AQ471" s="635">
        <v>8</v>
      </c>
      <c r="AR471" s="359">
        <v>7.7619047619047619</v>
      </c>
      <c r="AS471" s="635">
        <v>5.6521739130434785</v>
      </c>
      <c r="AT471" s="635">
        <f t="shared" si="486"/>
        <v>93.178006775832856</v>
      </c>
      <c r="AU471" s="646">
        <f t="shared" si="498"/>
        <v>7.7648338979860716</v>
      </c>
      <c r="AX471" s="634">
        <v>8.1739130434782616</v>
      </c>
      <c r="AY471" s="635">
        <v>8.5217391304347831</v>
      </c>
      <c r="AZ471" s="635">
        <v>7.291666666666667</v>
      </c>
      <c r="BA471" s="635">
        <v>7.583333333333333</v>
      </c>
      <c r="BB471" s="635">
        <v>18.285714285714285</v>
      </c>
      <c r="BC471" s="635">
        <v>9.9523809523809526</v>
      </c>
      <c r="BD471" s="2353">
        <v>0</v>
      </c>
      <c r="BE471" s="2353">
        <v>0</v>
      </c>
      <c r="BF471" s="2353">
        <v>0</v>
      </c>
      <c r="BG471" s="2353" t="s">
        <v>482</v>
      </c>
      <c r="BH471" s="2353">
        <v>0</v>
      </c>
      <c r="BI471" s="2353">
        <v>0</v>
      </c>
      <c r="BJ471" s="635">
        <f t="shared" si="487"/>
        <v>59.808747412008287</v>
      </c>
      <c r="BK471" s="646">
        <f t="shared" si="492"/>
        <v>5.4371588556371169</v>
      </c>
      <c r="BN471" s="322">
        <f t="shared" si="497"/>
        <v>-5.6521739130434785</v>
      </c>
      <c r="BO471" s="322">
        <f t="shared" si="488"/>
        <v>-2.3276750423489547</v>
      </c>
      <c r="BP471" s="322">
        <f t="shared" si="489"/>
        <v>-33.369259363824568</v>
      </c>
      <c r="BQ471" s="322">
        <f t="shared" si="493"/>
        <v>0</v>
      </c>
      <c r="BR471" s="2265">
        <f t="shared" si="490"/>
        <v>0</v>
      </c>
      <c r="BS471" s="2265">
        <f t="shared" si="491"/>
        <v>0</v>
      </c>
    </row>
    <row r="472" spans="1:71" s="172" customFormat="1" ht="15.65" customHeight="1" x14ac:dyDescent="0.55000000000000004">
      <c r="A472" s="7533"/>
      <c r="B472" s="253"/>
      <c r="C472" s="173" t="s">
        <v>244</v>
      </c>
      <c r="D472" s="636">
        <v>9.7288135593220346</v>
      </c>
      <c r="E472" s="637">
        <v>11.842105263157896</v>
      </c>
      <c r="F472" s="637">
        <v>12.603448275862069</v>
      </c>
      <c r="G472" s="637">
        <v>15.423728813559322</v>
      </c>
      <c r="H472" s="637">
        <v>15.474576271186441</v>
      </c>
      <c r="I472" s="637">
        <v>12.035714285714286</v>
      </c>
      <c r="J472" s="637">
        <v>8.7636363636363637</v>
      </c>
      <c r="K472" s="637">
        <v>11.735849056603774</v>
      </c>
      <c r="L472" s="637">
        <v>7.784313725490196</v>
      </c>
      <c r="M472" s="637">
        <v>10.686274509803921</v>
      </c>
      <c r="N472" s="637">
        <v>9.4038461538461533</v>
      </c>
      <c r="O472" s="637">
        <v>8.204081632653061</v>
      </c>
      <c r="P472" s="637">
        <f t="shared" si="504"/>
        <v>133.68638791083552</v>
      </c>
      <c r="Q472" s="647">
        <f t="shared" si="503"/>
        <v>11.14053232590296</v>
      </c>
      <c r="R472" s="372"/>
      <c r="S472" s="636">
        <v>9.1489361702127656</v>
      </c>
      <c r="T472" s="637">
        <v>10.145833333333334</v>
      </c>
      <c r="U472" s="637">
        <v>7.875</v>
      </c>
      <c r="V472" s="637">
        <v>5.729166666666667</v>
      </c>
      <c r="W472" s="637">
        <v>8.7727272727272734</v>
      </c>
      <c r="X472" s="637">
        <v>6.8604651162790695</v>
      </c>
      <c r="Y472" s="637">
        <v>6.8</v>
      </c>
      <c r="Z472" s="637">
        <v>8.604651162790697</v>
      </c>
      <c r="AA472" s="637">
        <v>7.8636363636363633</v>
      </c>
      <c r="AB472" s="637">
        <v>9.5116279069767433</v>
      </c>
      <c r="AC472" s="637">
        <v>9</v>
      </c>
      <c r="AD472" s="637">
        <v>5.4444444444444446</v>
      </c>
      <c r="AE472" s="637">
        <f t="shared" si="505"/>
        <v>95.756488437067347</v>
      </c>
      <c r="AF472" s="647">
        <f t="shared" si="506"/>
        <v>7.9797073697556122</v>
      </c>
      <c r="AG472" s="372"/>
      <c r="AH472" s="636">
        <v>7.2765957446808507</v>
      </c>
      <c r="AI472" s="637">
        <v>6.270833333333333</v>
      </c>
      <c r="AJ472" s="637">
        <v>9.2916666666666661</v>
      </c>
      <c r="AK472" s="637">
        <v>8.875</v>
      </c>
      <c r="AL472" s="637">
        <v>8.1199999999999992</v>
      </c>
      <c r="AM472" s="637">
        <v>10.25531914893617</v>
      </c>
      <c r="AN472" s="1060">
        <v>9.9583333333333339</v>
      </c>
      <c r="AO472" s="1070">
        <v>14.340425531914894</v>
      </c>
      <c r="AP472" s="637">
        <v>15.042553191489361</v>
      </c>
      <c r="AQ472" s="637">
        <v>14.770833333333334</v>
      </c>
      <c r="AR472" s="362">
        <v>12.913043478260869</v>
      </c>
      <c r="AS472" s="637">
        <v>12.760869565217391</v>
      </c>
      <c r="AT472" s="637">
        <f t="shared" si="486"/>
        <v>129.87547332716622</v>
      </c>
      <c r="AU472" s="647">
        <f t="shared" si="498"/>
        <v>10.822956110597184</v>
      </c>
      <c r="AX472" s="636">
        <v>11.565217391304348</v>
      </c>
      <c r="AY472" s="637">
        <v>13.086956521739131</v>
      </c>
      <c r="AZ472" s="637">
        <v>10.1875</v>
      </c>
      <c r="BA472" s="637">
        <v>9.9347826086956523</v>
      </c>
      <c r="BB472" s="637">
        <v>23.522727272727273</v>
      </c>
      <c r="BC472" s="637">
        <v>14.511111111111111</v>
      </c>
      <c r="BD472" s="1060">
        <v>14.022727272727273</v>
      </c>
      <c r="BE472" s="1070">
        <v>13.772727272727273</v>
      </c>
      <c r="BF472" s="637">
        <v>14.116279069767442</v>
      </c>
      <c r="BG472" s="637">
        <v>13.560975609756097</v>
      </c>
      <c r="BH472" s="362">
        <v>12.116279069767442</v>
      </c>
      <c r="BI472" s="637">
        <v>13</v>
      </c>
      <c r="BJ472" s="637">
        <f t="shared" si="487"/>
        <v>163.39728320032305</v>
      </c>
      <c r="BK472" s="647">
        <f t="shared" si="492"/>
        <v>13.616440266693587</v>
      </c>
      <c r="BN472" s="322">
        <f t="shared" si="497"/>
        <v>0.23913043478260931</v>
      </c>
      <c r="BO472" s="322">
        <f t="shared" si="488"/>
        <v>2.7934841560964028</v>
      </c>
      <c r="BP472" s="322">
        <f t="shared" si="489"/>
        <v>33.521809873156826</v>
      </c>
      <c r="BQ472" s="322">
        <f t="shared" si="493"/>
        <v>0.88372093023255793</v>
      </c>
      <c r="BR472" s="2265">
        <f t="shared" si="490"/>
        <v>12.116279069767442</v>
      </c>
      <c r="BS472" s="2265">
        <f t="shared" si="491"/>
        <v>13</v>
      </c>
    </row>
    <row r="473" spans="1:71" s="172" customFormat="1" ht="15.65" customHeight="1" x14ac:dyDescent="0.55000000000000004">
      <c r="A473" s="7533"/>
      <c r="B473" s="253"/>
      <c r="C473" s="181" t="s">
        <v>245</v>
      </c>
      <c r="D473" s="634">
        <v>9.6551724137931032</v>
      </c>
      <c r="E473" s="635">
        <v>10.793103448275861</v>
      </c>
      <c r="F473" s="635">
        <v>12.090909090909092</v>
      </c>
      <c r="G473" s="635">
        <v>14.357142857142858</v>
      </c>
      <c r="H473" s="635">
        <v>12.446428571428571</v>
      </c>
      <c r="I473" s="635">
        <v>11.351851851851851</v>
      </c>
      <c r="J473" s="635">
        <v>8.8039215686274517</v>
      </c>
      <c r="K473" s="635">
        <v>10.607843137254902</v>
      </c>
      <c r="L473" s="635">
        <v>8.66</v>
      </c>
      <c r="M473" s="635">
        <v>9.3529411764705888</v>
      </c>
      <c r="N473" s="635">
        <v>7.6111111111111107</v>
      </c>
      <c r="O473" s="635">
        <v>6.0769230769230766</v>
      </c>
      <c r="P473" s="635">
        <f t="shared" si="504"/>
        <v>121.80734830378846</v>
      </c>
      <c r="Q473" s="646">
        <f t="shared" si="503"/>
        <v>10.150612358649038</v>
      </c>
      <c r="R473" s="372"/>
      <c r="S473" s="634">
        <v>5.6727272727272728</v>
      </c>
      <c r="T473" s="635">
        <v>6.7454545454545451</v>
      </c>
      <c r="U473" s="635">
        <v>6.625</v>
      </c>
      <c r="V473" s="635">
        <v>6.2884615384615383</v>
      </c>
      <c r="W473" s="635">
        <v>8.7659574468085104</v>
      </c>
      <c r="X473" s="635">
        <v>7.9361702127659575</v>
      </c>
      <c r="Y473" s="635">
        <v>7.4489795918367347</v>
      </c>
      <c r="Z473" s="635">
        <v>8.9565217391304355</v>
      </c>
      <c r="AA473" s="635">
        <v>7</v>
      </c>
      <c r="AB473" s="635">
        <v>7.7446808510638299</v>
      </c>
      <c r="AC473" s="635">
        <v>8.8260869565217384</v>
      </c>
      <c r="AD473" s="635">
        <v>5.2857142857142856</v>
      </c>
      <c r="AE473" s="635">
        <f t="shared" si="505"/>
        <v>87.295754440484856</v>
      </c>
      <c r="AF473" s="646">
        <f t="shared" si="506"/>
        <v>7.274646203373738</v>
      </c>
      <c r="AG473" s="372"/>
      <c r="AH473" s="634">
        <v>5.4727272727272727</v>
      </c>
      <c r="AI473" s="635">
        <v>5.4727272727272727</v>
      </c>
      <c r="AJ473" s="635">
        <v>7.1785714285714288</v>
      </c>
      <c r="AK473" s="635">
        <v>6.9615384615384617</v>
      </c>
      <c r="AL473" s="635">
        <v>12</v>
      </c>
      <c r="AM473" s="635">
        <v>11.418604651162791</v>
      </c>
      <c r="AN473" s="1059">
        <v>13.341463414634147</v>
      </c>
      <c r="AO473" s="1069">
        <v>13.380952380952381</v>
      </c>
      <c r="AP473" s="635">
        <v>11.25</v>
      </c>
      <c r="AQ473" s="635">
        <v>13.581395348837209</v>
      </c>
      <c r="AR473" s="359">
        <v>12.733333333333333</v>
      </c>
      <c r="AS473" s="635">
        <v>12.244444444444444</v>
      </c>
      <c r="AT473" s="635">
        <f t="shared" si="486"/>
        <v>125.03575800892874</v>
      </c>
      <c r="AU473" s="646">
        <f t="shared" si="498"/>
        <v>10.419646500744062</v>
      </c>
      <c r="AX473" s="634">
        <v>10.755555555555556</v>
      </c>
      <c r="AY473" s="635">
        <v>15.466666666666667</v>
      </c>
      <c r="AZ473" s="635">
        <v>15.454545454545455</v>
      </c>
      <c r="BA473" s="635">
        <v>12.71111111111111</v>
      </c>
      <c r="BB473" s="635">
        <v>24.906976744186046</v>
      </c>
      <c r="BC473" s="635">
        <v>20.95</v>
      </c>
      <c r="BD473" s="1059">
        <v>17.511627906976745</v>
      </c>
      <c r="BE473" s="1069">
        <v>13.209302325581396</v>
      </c>
      <c r="BF473" s="635">
        <v>14.333333333333334</v>
      </c>
      <c r="BG473" s="635">
        <v>13.295454545454545</v>
      </c>
      <c r="BH473" s="359">
        <v>12.375</v>
      </c>
      <c r="BI473" s="635">
        <v>12.341463414634147</v>
      </c>
      <c r="BJ473" s="635">
        <f t="shared" si="487"/>
        <v>183.311037058045</v>
      </c>
      <c r="BK473" s="646">
        <f t="shared" si="492"/>
        <v>15.275919754837084</v>
      </c>
      <c r="BN473" s="322">
        <f t="shared" si="497"/>
        <v>9.7018970189703069E-2</v>
      </c>
      <c r="BO473" s="322">
        <f t="shared" si="488"/>
        <v>4.856273254093022</v>
      </c>
      <c r="BP473" s="322">
        <f t="shared" si="489"/>
        <v>58.275279049116264</v>
      </c>
      <c r="BQ473" s="322">
        <f t="shared" si="493"/>
        <v>-3.3536585365853355E-2</v>
      </c>
      <c r="BR473" s="2265">
        <f t="shared" si="490"/>
        <v>12.375</v>
      </c>
      <c r="BS473" s="2265">
        <f t="shared" si="491"/>
        <v>12.341463414634147</v>
      </c>
    </row>
    <row r="474" spans="1:71" s="172" customFormat="1" ht="15.65" customHeight="1" x14ac:dyDescent="0.55000000000000004">
      <c r="A474" s="7533"/>
      <c r="B474" s="253"/>
      <c r="C474" s="173" t="s">
        <v>246</v>
      </c>
      <c r="D474" s="636">
        <v>6.1111111111111107</v>
      </c>
      <c r="E474" s="637">
        <v>5.725806451612903</v>
      </c>
      <c r="F474" s="637">
        <v>6.546875</v>
      </c>
      <c r="G474" s="637">
        <v>6.4242424242424239</v>
      </c>
      <c r="H474" s="637">
        <v>7.1515151515151514</v>
      </c>
      <c r="I474" s="637">
        <v>8.390625</v>
      </c>
      <c r="J474" s="637">
        <v>7.645161290322581</v>
      </c>
      <c r="K474" s="637">
        <v>7.9393939393939394</v>
      </c>
      <c r="L474" s="637">
        <v>7.1230769230769226</v>
      </c>
      <c r="M474" s="637">
        <v>6.9375</v>
      </c>
      <c r="N474" s="637">
        <v>6.0634920634920633</v>
      </c>
      <c r="O474" s="637">
        <v>4.484375</v>
      </c>
      <c r="P474" s="637">
        <f t="shared" si="504"/>
        <v>80.543174354767089</v>
      </c>
      <c r="Q474" s="647">
        <f t="shared" si="503"/>
        <v>6.7119311962305908</v>
      </c>
      <c r="R474" s="372"/>
      <c r="S474" s="636">
        <v>6.5166666666666666</v>
      </c>
      <c r="T474" s="637">
        <v>7.278688524590164</v>
      </c>
      <c r="U474" s="637">
        <v>7.145161290322581</v>
      </c>
      <c r="V474" s="637">
        <v>6.65</v>
      </c>
      <c r="W474" s="637">
        <v>9</v>
      </c>
      <c r="X474" s="637">
        <v>6.9122807017543861</v>
      </c>
      <c r="Y474" s="637">
        <v>6.225806451612903</v>
      </c>
      <c r="Z474" s="637">
        <v>9.1864406779661021</v>
      </c>
      <c r="AA474" s="637">
        <v>7.8644067796610173</v>
      </c>
      <c r="AB474" s="637">
        <v>7.9482758620689653</v>
      </c>
      <c r="AC474" s="637">
        <v>7.5636363636363635</v>
      </c>
      <c r="AD474" s="637">
        <v>5.8888888888888893</v>
      </c>
      <c r="AE474" s="637">
        <f t="shared" si="505"/>
        <v>88.180252207168039</v>
      </c>
      <c r="AF474" s="647">
        <f t="shared" si="506"/>
        <v>7.3483543505973365</v>
      </c>
      <c r="AG474" s="372"/>
      <c r="AH474" s="636">
        <v>10.6</v>
      </c>
      <c r="AI474" s="637">
        <v>8.9672131147540988</v>
      </c>
      <c r="AJ474" s="637">
        <v>10.46774193548387</v>
      </c>
      <c r="AK474" s="637">
        <v>10.033333333333333</v>
      </c>
      <c r="AL474" s="637">
        <v>13.518518518518519</v>
      </c>
      <c r="AM474" s="637">
        <v>11.018867924528301</v>
      </c>
      <c r="AN474" s="1060">
        <v>11.320754716981131</v>
      </c>
      <c r="AO474" s="1070">
        <v>9.615384615384615</v>
      </c>
      <c r="AP474" s="637">
        <v>10.843137254901961</v>
      </c>
      <c r="AQ474" s="637">
        <v>12.50909090909091</v>
      </c>
      <c r="AR474" s="362">
        <v>13.333333333333334</v>
      </c>
      <c r="AS474" s="637">
        <v>14.327586206896552</v>
      </c>
      <c r="AT474" s="637">
        <f t="shared" si="486"/>
        <v>136.55496186320661</v>
      </c>
      <c r="AU474" s="647">
        <f t="shared" si="498"/>
        <v>11.379580155267218</v>
      </c>
      <c r="AX474" s="636">
        <v>12.655172413793103</v>
      </c>
      <c r="AY474" s="637">
        <v>15.396551724137931</v>
      </c>
      <c r="AZ474" s="637">
        <v>13.862068965517242</v>
      </c>
      <c r="BA474" s="637">
        <v>18.90909090909091</v>
      </c>
      <c r="BB474" s="637">
        <v>36.892857142857146</v>
      </c>
      <c r="BC474" s="637">
        <v>38.796296296296298</v>
      </c>
      <c r="BD474" s="1060">
        <v>28.578947368421051</v>
      </c>
      <c r="BE474" s="1070">
        <v>19.086206896551722</v>
      </c>
      <c r="BF474" s="637">
        <v>15.508474576271187</v>
      </c>
      <c r="BG474" s="637">
        <v>17.636363636363637</v>
      </c>
      <c r="BH474" s="362">
        <v>14.706896551724139</v>
      </c>
      <c r="BI474" s="637">
        <v>13.473684210526315</v>
      </c>
      <c r="BJ474" s="637">
        <f t="shared" si="487"/>
        <v>245.50261069155067</v>
      </c>
      <c r="BK474" s="647">
        <f t="shared" si="492"/>
        <v>20.458550890962556</v>
      </c>
      <c r="BN474" s="322">
        <f t="shared" si="497"/>
        <v>-0.85390199637023656</v>
      </c>
      <c r="BO474" s="322">
        <f t="shared" si="488"/>
        <v>9.0789707356953375</v>
      </c>
      <c r="BP474" s="322">
        <f t="shared" si="489"/>
        <v>108.94764882834406</v>
      </c>
      <c r="BQ474" s="322">
        <f t="shared" si="493"/>
        <v>-1.2332123411978237</v>
      </c>
      <c r="BR474" s="2265">
        <f t="shared" si="490"/>
        <v>14.706896551724139</v>
      </c>
      <c r="BS474" s="2265">
        <f t="shared" si="491"/>
        <v>13.473684210526315</v>
      </c>
    </row>
    <row r="475" spans="1:71" s="172" customFormat="1" ht="15.65" customHeight="1" x14ac:dyDescent="0.55000000000000004">
      <c r="A475" s="7533"/>
      <c r="B475" s="253"/>
      <c r="C475" s="173" t="s">
        <v>247</v>
      </c>
      <c r="D475" s="636">
        <v>8.6666666666666661</v>
      </c>
      <c r="E475" s="637">
        <v>8.634615384615385</v>
      </c>
      <c r="F475" s="637">
        <v>9.0399999999999991</v>
      </c>
      <c r="G475" s="637">
        <v>9.36</v>
      </c>
      <c r="H475" s="637">
        <v>9.9600000000000009</v>
      </c>
      <c r="I475" s="637">
        <v>8.3800000000000008</v>
      </c>
      <c r="J475" s="637">
        <v>5.615384615384615</v>
      </c>
      <c r="K475" s="637">
        <v>7.384615384615385</v>
      </c>
      <c r="L475" s="637">
        <v>5.3137254901960782</v>
      </c>
      <c r="M475" s="637">
        <v>5.2352941176470589</v>
      </c>
      <c r="N475" s="637">
        <v>4.416666666666667</v>
      </c>
      <c r="O475" s="637">
        <v>2.2083333333333335</v>
      </c>
      <c r="P475" s="637">
        <f t="shared" si="504"/>
        <v>84.215301659125188</v>
      </c>
      <c r="Q475" s="647">
        <f t="shared" si="503"/>
        <v>7.0179418049270987</v>
      </c>
      <c r="R475" s="372"/>
      <c r="S475" s="636">
        <v>4.1555555555555559</v>
      </c>
      <c r="T475" s="637">
        <v>4.9555555555555557</v>
      </c>
      <c r="U475" s="637">
        <v>4.5</v>
      </c>
      <c r="V475" s="637">
        <v>5.2727272727272725</v>
      </c>
      <c r="W475" s="637">
        <v>7.0444444444444443</v>
      </c>
      <c r="X475" s="637">
        <v>6.6888888888888891</v>
      </c>
      <c r="Y475" s="637">
        <v>5.0454545454545459</v>
      </c>
      <c r="Z475" s="637">
        <v>6.5227272727272725</v>
      </c>
      <c r="AA475" s="637">
        <v>5.5348837209302326</v>
      </c>
      <c r="AB475" s="637">
        <v>7.9534883720930232</v>
      </c>
      <c r="AC475" s="637">
        <v>6.6</v>
      </c>
      <c r="AD475" s="637">
        <v>4.5</v>
      </c>
      <c r="AE475" s="637">
        <f t="shared" si="505"/>
        <v>68.773725628376781</v>
      </c>
      <c r="AF475" s="647">
        <f t="shared" si="506"/>
        <v>5.7311438023647314</v>
      </c>
      <c r="AG475" s="372"/>
      <c r="AH475" s="636">
        <v>6.4888888888888889</v>
      </c>
      <c r="AI475" s="637">
        <v>6.8666666666666663</v>
      </c>
      <c r="AJ475" s="637">
        <v>6.4347826086956523</v>
      </c>
      <c r="AK475" s="637">
        <v>6.5909090909090908</v>
      </c>
      <c r="AL475" s="637">
        <v>6.9047619047619051</v>
      </c>
      <c r="AM475" s="637">
        <v>6.2857142857142856</v>
      </c>
      <c r="AN475" s="1060">
        <v>7.1</v>
      </c>
      <c r="AO475" s="1070">
        <v>8.4878048780487809</v>
      </c>
      <c r="AP475" s="637">
        <v>7.333333333333333</v>
      </c>
      <c r="AQ475" s="637">
        <v>7.6904761904761907</v>
      </c>
      <c r="AR475" s="362">
        <v>8.4761904761904763</v>
      </c>
      <c r="AS475" s="637">
        <v>6.975609756097561</v>
      </c>
      <c r="AT475" s="637">
        <f t="shared" si="486"/>
        <v>85.635138079782834</v>
      </c>
      <c r="AU475" s="647">
        <f t="shared" si="498"/>
        <v>7.1362615066485695</v>
      </c>
      <c r="AX475" s="636">
        <v>7.6829268292682924</v>
      </c>
      <c r="AY475" s="637">
        <v>9.4146341463414629</v>
      </c>
      <c r="AZ475" s="637">
        <v>8.6904761904761898</v>
      </c>
      <c r="BA475" s="637">
        <v>8.4047619047619051</v>
      </c>
      <c r="BB475" s="637">
        <v>18.523809523809526</v>
      </c>
      <c r="BC475" s="637">
        <v>15.102564102564102</v>
      </c>
      <c r="BD475" s="1060">
        <v>12.425000000000001</v>
      </c>
      <c r="BE475" s="1070">
        <v>7.7</v>
      </c>
      <c r="BF475" s="637">
        <v>8.1860465116279073</v>
      </c>
      <c r="BG475" s="637">
        <v>9.463414634146341</v>
      </c>
      <c r="BH475" s="362">
        <v>10.285714285714286</v>
      </c>
      <c r="BI475" s="637">
        <v>10</v>
      </c>
      <c r="BJ475" s="637">
        <f t="shared" si="487"/>
        <v>125.87934812871003</v>
      </c>
      <c r="BK475" s="647">
        <f t="shared" si="492"/>
        <v>10.489945677392503</v>
      </c>
      <c r="BN475" s="322">
        <f t="shared" si="497"/>
        <v>3.024390243902439</v>
      </c>
      <c r="BO475" s="322">
        <f t="shared" si="488"/>
        <v>3.353684170743934</v>
      </c>
      <c r="BP475" s="322">
        <f t="shared" si="489"/>
        <v>40.244210048927201</v>
      </c>
      <c r="BQ475" s="322">
        <f t="shared" si="493"/>
        <v>-0.28571428571428648</v>
      </c>
      <c r="BR475" s="2265">
        <f t="shared" si="490"/>
        <v>10.285714285714286</v>
      </c>
      <c r="BS475" s="2265">
        <f t="shared" si="491"/>
        <v>10</v>
      </c>
    </row>
    <row r="476" spans="1:71" s="172" customFormat="1" ht="15.65" customHeight="1" x14ac:dyDescent="0.55000000000000004">
      <c r="A476" s="7533"/>
      <c r="B476" s="253"/>
      <c r="C476" s="181" t="s">
        <v>248</v>
      </c>
      <c r="D476" s="634">
        <v>8.5294117647058822</v>
      </c>
      <c r="E476" s="635">
        <v>8.32</v>
      </c>
      <c r="F476" s="635">
        <v>7.4693877551020407</v>
      </c>
      <c r="G476" s="635">
        <v>11.695652173913043</v>
      </c>
      <c r="H476" s="635">
        <v>10.565217391304348</v>
      </c>
      <c r="I476" s="635">
        <v>9.2826086956521738</v>
      </c>
      <c r="J476" s="635">
        <v>6.1875</v>
      </c>
      <c r="K476" s="635">
        <v>8.9795918367346932</v>
      </c>
      <c r="L476" s="635">
        <v>6.6734693877551017</v>
      </c>
      <c r="M476" s="635">
        <v>7</v>
      </c>
      <c r="N476" s="635">
        <v>7.2553191489361701</v>
      </c>
      <c r="O476" s="635">
        <v>8.2244897959183678</v>
      </c>
      <c r="P476" s="635">
        <f t="shared" si="504"/>
        <v>100.18264795002183</v>
      </c>
      <c r="Q476" s="646">
        <f t="shared" si="503"/>
        <v>8.348553995835152</v>
      </c>
      <c r="R476" s="372"/>
      <c r="S476" s="634">
        <v>6.72</v>
      </c>
      <c r="T476" s="635">
        <v>10.34</v>
      </c>
      <c r="U476" s="635">
        <v>9.6808510638297864</v>
      </c>
      <c r="V476" s="635">
        <v>8.7291666666666661</v>
      </c>
      <c r="W476" s="635">
        <v>10.8125</v>
      </c>
      <c r="X476" s="635">
        <v>9.954545454545455</v>
      </c>
      <c r="Y476" s="635">
        <v>7.7045454545454541</v>
      </c>
      <c r="Z476" s="635">
        <v>13.523809523809524</v>
      </c>
      <c r="AA476" s="635">
        <v>10.666666666666666</v>
      </c>
      <c r="AB476" s="635">
        <v>10.977777777777778</v>
      </c>
      <c r="AC476" s="635">
        <v>9.8666666666666671</v>
      </c>
      <c r="AD476" s="635">
        <v>7.0217391304347823</v>
      </c>
      <c r="AE476" s="635">
        <f t="shared" si="505"/>
        <v>115.99826840494276</v>
      </c>
      <c r="AF476" s="646">
        <f t="shared" si="506"/>
        <v>9.6665223670785636</v>
      </c>
      <c r="AG476" s="372"/>
      <c r="AH476" s="634">
        <v>9.44</v>
      </c>
      <c r="AI476" s="635">
        <v>7.54</v>
      </c>
      <c r="AJ476" s="635">
        <v>8.085106382978724</v>
      </c>
      <c r="AK476" s="635">
        <v>8.6875</v>
      </c>
      <c r="AL476" s="635">
        <v>11.227272727272727</v>
      </c>
      <c r="AM476" s="635">
        <v>9.6444444444444439</v>
      </c>
      <c r="AN476" s="1059">
        <v>11.452380952380953</v>
      </c>
      <c r="AO476" s="1069">
        <v>7.5681818181818183</v>
      </c>
      <c r="AP476" s="635">
        <v>8.8139534883720927</v>
      </c>
      <c r="AQ476" s="635">
        <v>10.595238095238095</v>
      </c>
      <c r="AR476" s="359">
        <v>12.391304347826088</v>
      </c>
      <c r="AS476" s="635">
        <v>10.826086956521738</v>
      </c>
      <c r="AT476" s="635">
        <f t="shared" si="486"/>
        <v>116.27146921321669</v>
      </c>
      <c r="AU476" s="646">
        <f t="shared" si="498"/>
        <v>9.6892891011013909</v>
      </c>
      <c r="AX476" s="634">
        <v>10.326086956521738</v>
      </c>
      <c r="AY476" s="635">
        <v>13.173913043478262</v>
      </c>
      <c r="AZ476" s="635">
        <v>12.86046511627907</v>
      </c>
      <c r="BA476" s="635">
        <v>12.113636363636363</v>
      </c>
      <c r="BB476" s="635">
        <v>23.292682926829269</v>
      </c>
      <c r="BC476" s="635">
        <v>15.6</v>
      </c>
      <c r="BD476" s="1059">
        <v>18.102564102564102</v>
      </c>
      <c r="BE476" s="1069">
        <v>10.105263157894736</v>
      </c>
      <c r="BF476" s="635">
        <v>15.03125</v>
      </c>
      <c r="BG476" s="635">
        <v>12.878787878787879</v>
      </c>
      <c r="BH476" s="359">
        <v>12.23076923076923</v>
      </c>
      <c r="BI476" s="635">
        <v>10.512195121951219</v>
      </c>
      <c r="BJ476" s="635">
        <f t="shared" si="487"/>
        <v>166.22761389871187</v>
      </c>
      <c r="BK476" s="646">
        <f t="shared" si="492"/>
        <v>13.852301158225989</v>
      </c>
      <c r="BN476" s="322">
        <f t="shared" si="497"/>
        <v>-0.31389183457051928</v>
      </c>
      <c r="BO476" s="322">
        <f t="shared" si="488"/>
        <v>4.1630120571245985</v>
      </c>
      <c r="BP476" s="322">
        <f t="shared" si="489"/>
        <v>49.956144685495175</v>
      </c>
      <c r="BQ476" s="322">
        <f t="shared" si="493"/>
        <v>-1.7185741088180109</v>
      </c>
      <c r="BR476" s="2265">
        <f t="shared" si="490"/>
        <v>12.23076923076923</v>
      </c>
      <c r="BS476" s="2265">
        <f t="shared" si="491"/>
        <v>10.512195121951219</v>
      </c>
    </row>
    <row r="477" spans="1:71" s="172" customFormat="1" ht="16.3" customHeight="1" thickBot="1" x14ac:dyDescent="0.6">
      <c r="A477" s="7534"/>
      <c r="B477" s="255"/>
      <c r="C477" s="183" t="s">
        <v>249</v>
      </c>
      <c r="D477" s="638">
        <v>6.770833333333333</v>
      </c>
      <c r="E477" s="639">
        <v>7.5909090909090908</v>
      </c>
      <c r="F477" s="639">
        <v>7.2666666666666666</v>
      </c>
      <c r="G477" s="639">
        <v>7.4318181818181817</v>
      </c>
      <c r="H477" s="639">
        <v>8.6136363636363633</v>
      </c>
      <c r="I477" s="639">
        <v>9.0888888888888886</v>
      </c>
      <c r="J477" s="639">
        <v>6.291666666666667</v>
      </c>
      <c r="K477" s="639">
        <v>5.875</v>
      </c>
      <c r="L477" s="639">
        <v>6.8</v>
      </c>
      <c r="M477" s="639">
        <v>6.5434782608695654</v>
      </c>
      <c r="N477" s="639">
        <v>6.8444444444444441</v>
      </c>
      <c r="O477" s="639">
        <v>4.1521739130434785</v>
      </c>
      <c r="P477" s="639">
        <f t="shared" si="504"/>
        <v>83.269515810276687</v>
      </c>
      <c r="Q477" s="648">
        <f t="shared" si="503"/>
        <v>6.9391263175230575</v>
      </c>
      <c r="R477" s="372"/>
      <c r="S477" s="638">
        <v>6.2558139534883717</v>
      </c>
      <c r="T477" s="639">
        <v>4.9534883720930232</v>
      </c>
      <c r="U477" s="639">
        <v>5.6190476190476186</v>
      </c>
      <c r="V477" s="639">
        <v>5.3095238095238093</v>
      </c>
      <c r="W477" s="639">
        <v>5.8409090909090908</v>
      </c>
      <c r="X477" s="639">
        <v>3.8372093023255816</v>
      </c>
      <c r="Y477" s="639">
        <v>4.9761904761904763</v>
      </c>
      <c r="Z477" s="639">
        <v>5.9</v>
      </c>
      <c r="AA477" s="639">
        <v>4.6749999999999998</v>
      </c>
      <c r="AB477" s="639">
        <v>5.8</v>
      </c>
      <c r="AC477" s="639">
        <v>5.4761904761904763</v>
      </c>
      <c r="AD477" s="639">
        <v>4.3658536585365857</v>
      </c>
      <c r="AE477" s="639">
        <f t="shared" si="505"/>
        <v>63.009226758305026</v>
      </c>
      <c r="AF477" s="648">
        <f t="shared" si="506"/>
        <v>5.2507688965254191</v>
      </c>
      <c r="AG477" s="372"/>
      <c r="AH477" s="638">
        <v>6.4883720930232558</v>
      </c>
      <c r="AI477" s="639">
        <v>5.4186046511627906</v>
      </c>
      <c r="AJ477" s="639">
        <v>6.4523809523809526</v>
      </c>
      <c r="AK477" s="639">
        <v>6.2380952380952381</v>
      </c>
      <c r="AL477" s="639">
        <v>6.1111111111111107</v>
      </c>
      <c r="AM477" s="639">
        <v>6.7142857142857144</v>
      </c>
      <c r="AN477" s="1062">
        <v>7.5294117647058822</v>
      </c>
      <c r="AO477" s="1071">
        <v>7.2857142857142856</v>
      </c>
      <c r="AP477" s="639">
        <v>7.25</v>
      </c>
      <c r="AQ477" s="639">
        <v>9.9428571428571431</v>
      </c>
      <c r="AR477" s="368">
        <v>11.657142857142857</v>
      </c>
      <c r="AS477" s="639">
        <v>10.558823529411764</v>
      </c>
      <c r="AT477" s="639">
        <f t="shared" si="486"/>
        <v>91.64679933989099</v>
      </c>
      <c r="AU477" s="648">
        <f t="shared" si="498"/>
        <v>7.6372332783242491</v>
      </c>
      <c r="AX477" s="638">
        <v>10.117647058823529</v>
      </c>
      <c r="AY477" s="639">
        <v>13.735294117647058</v>
      </c>
      <c r="AZ477" s="639">
        <v>11</v>
      </c>
      <c r="BA477" s="639">
        <v>12.484848484848484</v>
      </c>
      <c r="BB477" s="639">
        <v>13.823529411764707</v>
      </c>
      <c r="BC477" s="639">
        <v>12.548387096774194</v>
      </c>
      <c r="BD477" s="1062">
        <v>13.793103448275861</v>
      </c>
      <c r="BE477" s="1071">
        <v>12.107142857142858</v>
      </c>
      <c r="BF477" s="639">
        <v>12.928571428571429</v>
      </c>
      <c r="BG477" s="639">
        <v>8.8484848484848477</v>
      </c>
      <c r="BH477" s="368">
        <v>8.875</v>
      </c>
      <c r="BI477" s="639">
        <v>8.84375</v>
      </c>
      <c r="BJ477" s="639">
        <f t="shared" si="487"/>
        <v>139.10575875233297</v>
      </c>
      <c r="BK477" s="648">
        <f t="shared" si="492"/>
        <v>11.592146562694415</v>
      </c>
      <c r="BN477" s="322">
        <f t="shared" si="497"/>
        <v>-1.7150735294117645</v>
      </c>
      <c r="BO477" s="322">
        <f t="shared" si="488"/>
        <v>3.954913284370166</v>
      </c>
      <c r="BP477" s="322">
        <f t="shared" si="489"/>
        <v>47.458959412441985</v>
      </c>
      <c r="BQ477" s="322">
        <f t="shared" si="493"/>
        <v>-3.125E-2</v>
      </c>
      <c r="BR477" s="2265">
        <f t="shared" si="490"/>
        <v>8.875</v>
      </c>
      <c r="BS477" s="2265">
        <f t="shared" si="491"/>
        <v>8.84375</v>
      </c>
    </row>
  </sheetData>
  <mergeCells count="26">
    <mergeCell ref="BN214:BP214"/>
    <mergeCell ref="BQ214:BS214"/>
    <mergeCell ref="BT214:BV214"/>
    <mergeCell ref="BW214:BY214"/>
    <mergeCell ref="A216:A233"/>
    <mergeCell ref="A193:A211"/>
    <mergeCell ref="A99:A117"/>
    <mergeCell ref="A118:A136"/>
    <mergeCell ref="A138:A156"/>
    <mergeCell ref="A157:A172"/>
    <mergeCell ref="A174:A192"/>
    <mergeCell ref="A3:A21"/>
    <mergeCell ref="A22:A40"/>
    <mergeCell ref="A41:A59"/>
    <mergeCell ref="A60:A78"/>
    <mergeCell ref="A80:A98"/>
    <mergeCell ref="A427:A443"/>
    <mergeCell ref="A409:A425"/>
    <mergeCell ref="A444:A460"/>
    <mergeCell ref="A461:A477"/>
    <mergeCell ref="A238:A271"/>
    <mergeCell ref="A272:A305"/>
    <mergeCell ref="A306:A339"/>
    <mergeCell ref="A340:A373"/>
    <mergeCell ref="A375:A391"/>
    <mergeCell ref="A392:A40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4352-3DBB-48EE-9734-C4A471CEBF98}">
  <sheetPr codeName="Sheet18">
    <pageSetUpPr fitToPage="1"/>
  </sheetPr>
  <dimension ref="A1:BJ116"/>
  <sheetViews>
    <sheetView showGridLines="0" view="pageBreakPreview" zoomScale="55" zoomScaleNormal="70" zoomScaleSheetLayoutView="55" workbookViewId="0">
      <pane xSplit="3" topLeftCell="D1" activePane="topRight" state="frozen"/>
      <selection activeCell="AG13" sqref="AG13"/>
      <selection pane="topRight" activeCell="AG13" sqref="AG13"/>
    </sheetView>
  </sheetViews>
  <sheetFormatPr defaultColWidth="8.5703125" defaultRowHeight="15" outlineLevelCol="1" x14ac:dyDescent="0.55000000000000004"/>
  <cols>
    <col min="1" max="1" width="10.140625" style="2426" customWidth="1"/>
    <col min="2" max="2" width="18.7109375" style="2426" bestFit="1" customWidth="1"/>
    <col min="3" max="3" width="17.140625" style="2426" customWidth="1"/>
    <col min="4" max="5" width="12.0703125" style="2426" customWidth="1"/>
    <col min="6" max="6" width="12.5" style="2426" customWidth="1"/>
    <col min="7" max="17" width="12.5" style="2426" customWidth="1" outlineLevel="1"/>
    <col min="18" max="18" width="10.92578125" style="2426" bestFit="1" customWidth="1"/>
    <col min="19" max="19" width="14.35546875" style="2426" customWidth="1"/>
    <col min="20" max="20" width="12.2109375" style="2426" customWidth="1"/>
    <col min="21" max="21" width="13.0703125" style="2426" customWidth="1"/>
    <col min="22" max="23" width="11" style="2426" customWidth="1"/>
    <col min="24" max="24" width="8.640625" style="2426" bestFit="1" customWidth="1"/>
    <col min="25" max="16384" width="8.5703125" style="2426"/>
  </cols>
  <sheetData>
    <row r="1" spans="1:62" x14ac:dyDescent="0.55000000000000004">
      <c r="D1" s="2426" t="s">
        <v>792</v>
      </c>
      <c r="E1" s="2988" t="s">
        <v>664</v>
      </c>
      <c r="F1" s="2988" t="s">
        <v>460</v>
      </c>
      <c r="G1" s="2988" t="s">
        <v>459</v>
      </c>
      <c r="H1" s="2988" t="s">
        <v>461</v>
      </c>
      <c r="I1" s="2988" t="s">
        <v>665</v>
      </c>
      <c r="J1" s="2988" t="s">
        <v>642</v>
      </c>
      <c r="K1" s="2988" t="s">
        <v>650</v>
      </c>
      <c r="L1" s="2988" t="s">
        <v>1151</v>
      </c>
      <c r="M1" s="2988" t="s">
        <v>1154</v>
      </c>
      <c r="N1" s="2988" t="s">
        <v>1165</v>
      </c>
      <c r="O1" s="2988" t="s">
        <v>737</v>
      </c>
      <c r="P1" s="2988" t="s">
        <v>929</v>
      </c>
      <c r="Q1" s="2988" t="s">
        <v>1190</v>
      </c>
      <c r="R1" s="2426" t="s">
        <v>468</v>
      </c>
      <c r="S1" s="2426" t="s">
        <v>738</v>
      </c>
      <c r="T1" s="2988" t="s">
        <v>462</v>
      </c>
      <c r="U1" s="2426" t="s">
        <v>467</v>
      </c>
      <c r="V1" s="2426" t="s">
        <v>469</v>
      </c>
      <c r="W1" s="2426" t="s">
        <v>466</v>
      </c>
    </row>
    <row r="2" spans="1:62" ht="15.45" thickBot="1" x14ac:dyDescent="0.6">
      <c r="F2" s="2988"/>
      <c r="G2" s="2988"/>
      <c r="H2" s="2988"/>
      <c r="I2" s="2988"/>
      <c r="J2" s="2988"/>
      <c r="K2" s="2988"/>
      <c r="L2" s="2988"/>
      <c r="M2" s="2988"/>
      <c r="N2" s="2988"/>
      <c r="O2" s="2988"/>
      <c r="P2" s="2988"/>
      <c r="Q2" s="2988"/>
      <c r="T2" s="2988"/>
    </row>
    <row r="3" spans="1:62" s="3165" customFormat="1" ht="60" customHeight="1" thickTop="1" thickBot="1" x14ac:dyDescent="0.6">
      <c r="A3" s="7078" t="s">
        <v>919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  <c r="X3" s="6957"/>
    </row>
    <row r="4" spans="1:62" s="2444" customFormat="1" ht="15.55" customHeight="1" thickTop="1" thickBot="1" x14ac:dyDescent="0.6">
      <c r="A4" s="2447"/>
      <c r="B4" s="2992"/>
      <c r="C4" s="2992"/>
      <c r="D4" s="2992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G4" s="2445"/>
      <c r="AI4" s="2445"/>
      <c r="AJ4" s="2445"/>
      <c r="AK4" s="2446"/>
      <c r="AM4" s="2445"/>
      <c r="AN4" s="2446"/>
      <c r="BF4" s="2449"/>
      <c r="BG4" s="2449"/>
      <c r="BH4" s="2449"/>
      <c r="BI4" s="2449"/>
      <c r="BJ4" s="2449"/>
    </row>
    <row r="5" spans="1:62" ht="16.75" thickBot="1" x14ac:dyDescent="0.6">
      <c r="B5" s="3166"/>
      <c r="C5" s="3167" t="s">
        <v>862</v>
      </c>
      <c r="D5" s="3166"/>
      <c r="E5" s="3166"/>
      <c r="F5" s="7266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93"/>
      <c r="T5" s="7086" t="str">
        <f>"연간누적실적(~"&amp;'※ 재고 세부데이터'!A1-0.001&amp;"월)"</f>
        <v>연간누적실적(~12월)</v>
      </c>
      <c r="U5" s="7087"/>
      <c r="V5" s="7087"/>
      <c r="W5" s="7088"/>
      <c r="X5" s="3168" t="s">
        <v>474</v>
      </c>
    </row>
    <row r="6" spans="1:62" ht="16.75" thickBot="1" x14ac:dyDescent="0.6">
      <c r="A6" s="7553" t="s">
        <v>127</v>
      </c>
      <c r="B6" s="7461"/>
      <c r="C6" s="7554"/>
      <c r="D6" s="2994" t="s">
        <v>906</v>
      </c>
      <c r="E6" s="2995" t="s">
        <v>905</v>
      </c>
      <c r="F6" s="3169" t="str" cm="1">
        <f t="array" aca="1" ref="F6" ca="1">INDIRECT("'※ 재고 세부데이터'!"&amp;F$1&amp;$X6, TRUE)</f>
        <v>'25.1월</v>
      </c>
      <c r="G6" s="3170" t="str" cm="1">
        <f t="array" aca="1" ref="G6" ca="1">INDIRECT("'※ 재고 세부데이터'!"&amp;G$1&amp;$X6, TRUE)</f>
        <v>'25.2월</v>
      </c>
      <c r="H6" s="3171" t="str" cm="1">
        <f t="array" aca="1" ref="H6" ca="1">INDIRECT("'※ 재고 세부데이터'!"&amp;H$1&amp;$X6, TRUE)</f>
        <v>'25.3월</v>
      </c>
      <c r="I6" s="3171" t="str" cm="1">
        <f t="array" aca="1" ref="I6" ca="1">INDIRECT("'※ 재고 세부데이터'!"&amp;I$1&amp;$X6, TRUE)</f>
        <v>'25.4월</v>
      </c>
      <c r="J6" s="3171" t="str" cm="1">
        <f t="array" aca="1" ref="J6" ca="1">INDIRECT("'※ 재고 세부데이터'!"&amp;J$1&amp;$X6, TRUE)</f>
        <v>'25.5월</v>
      </c>
      <c r="K6" s="3171" t="str" cm="1">
        <f t="array" aca="1" ref="K6" ca="1">INDIRECT("'※ 재고 세부데이터'!"&amp;K$1&amp;$X6, TRUE)</f>
        <v>'25.6월</v>
      </c>
      <c r="L6" s="3171" t="str" cm="1">
        <f t="array" aca="1" ref="L6" ca="1">INDIRECT("'※ 재고 세부데이터'!"&amp;L$1&amp;$X6, TRUE)</f>
        <v>'25.7월</v>
      </c>
      <c r="M6" s="3171" t="str" cm="1">
        <f t="array" aca="1" ref="M6" ca="1">INDIRECT("'※ 재고 세부데이터'!"&amp;M$1&amp;$X6, TRUE)</f>
        <v>'25.8월</v>
      </c>
      <c r="N6" s="3171" t="str" cm="1">
        <f t="array" aca="1" ref="N6" ca="1">INDIRECT("'※ 재고 세부데이터'!"&amp;N$1&amp;$X6, TRUE)</f>
        <v>'25.9월</v>
      </c>
      <c r="O6" s="3171" t="str" cm="1">
        <f t="array" aca="1" ref="O6" ca="1">INDIRECT("'※ 재고 세부데이터'!"&amp;O$1&amp;$X6, TRUE)</f>
        <v>'25.10월</v>
      </c>
      <c r="P6" s="3171" t="str" cm="1">
        <f t="array" aca="1" ref="P6" ca="1">INDIRECT("'※ 재고 세부데이터'!"&amp;P$1&amp;$X6, TRUE)</f>
        <v>'25.11월</v>
      </c>
      <c r="Q6" s="3171" t="str" cm="1">
        <f t="array" aca="1" ref="Q6" ca="1">INDIRECT("'※ 재고 세부데이터'!"&amp;Q$1&amp;$X6, TRUE)</f>
        <v>'25.12월</v>
      </c>
      <c r="R6" s="3171" t="str" cm="1">
        <f t="array" aca="1" ref="R6" ca="1">INDIRECT("'※ 재고 세부데이터'!"&amp;R$1&amp;$X6, TRUE)</f>
        <v>전월대비</v>
      </c>
      <c r="S6" s="2997" t="s">
        <v>464</v>
      </c>
      <c r="T6" s="2999" t="s">
        <v>45</v>
      </c>
      <c r="U6" s="3172" t="s">
        <v>609</v>
      </c>
      <c r="V6" s="3000" t="s">
        <v>46</v>
      </c>
      <c r="W6" s="3001" t="s">
        <v>11</v>
      </c>
      <c r="X6" s="3173">
        <f>ROW('※ 재고 세부데이터'!J3)</f>
        <v>3</v>
      </c>
    </row>
    <row r="7" spans="1:62" x14ac:dyDescent="0.55000000000000004">
      <c r="A7" s="7555" t="s">
        <v>949</v>
      </c>
      <c r="B7" s="3174" t="s">
        <v>950</v>
      </c>
      <c r="C7" s="3175" t="s">
        <v>281</v>
      </c>
      <c r="D7" s="3176" cm="1">
        <f t="array" aca="1" ref="D7" ca="1">INDIRECT("'※ 재고 세부데이터'!"&amp;D$1&amp;$X7, TRUE)</f>
        <v>68349.5</v>
      </c>
      <c r="E7" s="3177" cm="1">
        <f t="array" aca="1" ref="E7" ca="1">INDIRECT("'※ 재고 세부데이터'!"&amp;E$1&amp;$X7, TRUE)</f>
        <v>70806.75</v>
      </c>
      <c r="F7" s="3178" cm="1">
        <f t="array" aca="1" ref="F7" ca="1">INDIRECT("'※ 재고 세부데이터'!"&amp;F$1&amp;$X7, TRUE)</f>
        <v>64963</v>
      </c>
      <c r="G7" s="3179" cm="1">
        <f t="array" aca="1" ref="G7" ca="1">INDIRECT("'※ 재고 세부데이터'!"&amp;G$1&amp;$X7, TRUE)</f>
        <v>98658</v>
      </c>
      <c r="H7" s="3179" cm="1">
        <f t="array" aca="1" ref="H7" ca="1">INDIRECT("'※ 재고 세부데이터'!"&amp;H$1&amp;$X7, TRUE)</f>
        <v>64234</v>
      </c>
      <c r="I7" s="3179" cm="1">
        <f t="array" aca="1" ref="I7" ca="1">INDIRECT("'※ 재고 세부데이터'!"&amp;I$1&amp;$X7, TRUE)</f>
        <v>52069</v>
      </c>
      <c r="J7" s="3179" cm="1">
        <f t="array" aca="1" ref="J7" ca="1">INDIRECT("'※ 재고 세부데이터'!"&amp;J$1&amp;$X7, TRUE)</f>
        <v>47488</v>
      </c>
      <c r="K7" s="3179" cm="1">
        <f t="array" aca="1" ref="K7" ca="1">INDIRECT("'※ 재고 세부데이터'!"&amp;K$1&amp;$X7, TRUE)</f>
        <v>45328</v>
      </c>
      <c r="L7" s="3179" cm="1">
        <f t="array" aca="1" ref="L7" ca="1">INDIRECT("'※ 재고 세부데이터'!"&amp;L$1&amp;$X7, TRUE)</f>
        <v>51970</v>
      </c>
      <c r="M7" s="3179" cm="1">
        <f t="array" aca="1" ref="M7" ca="1">INDIRECT("'※ 재고 세부데이터'!"&amp;M$1&amp;$X7, TRUE)</f>
        <v>78074</v>
      </c>
      <c r="N7" s="3179" cm="1">
        <f t="array" aca="1" ref="N7" ca="1">INDIRECT("'※ 재고 세부데이터'!"&amp;N$1&amp;$X7, TRUE)</f>
        <v>64797</v>
      </c>
      <c r="O7" s="3179" cm="1">
        <f t="array" aca="1" ref="O7" ca="1">INDIRECT("'※ 재고 세부데이터'!"&amp;O$1&amp;$X7, TRUE)</f>
        <v>66755</v>
      </c>
      <c r="P7" s="3179" cm="1">
        <f t="array" aca="1" ref="P7" ca="1">INDIRECT("'※ 재고 세부데이터'!"&amp;P$1&amp;$X7, TRUE)</f>
        <v>60321</v>
      </c>
      <c r="Q7" s="3179" cm="1">
        <f t="array" aca="1" ref="Q7" ca="1">INDIRECT("'※ 재고 세부데이터'!"&amp;Q$1&amp;$X7, TRUE)</f>
        <v>58348</v>
      </c>
      <c r="R7" s="3179" cm="1">
        <f t="array" aca="1" ref="R7" ca="1">INDIRECT("'※ 재고 세부데이터'!"&amp;R$1&amp;$X7, TRUE)</f>
        <v>-1973</v>
      </c>
      <c r="S7" s="3179" cm="1">
        <f t="array" aca="1" ref="S7" ca="1">INDIRECT("'※ 재고 세부데이터'!"&amp;S$1&amp;$X7, TRUE)</f>
        <v>-8314</v>
      </c>
      <c r="T7" s="3180" cm="1">
        <f t="array" aca="1" ref="T7" ca="1">INDIRECT("'※ 재고 세부데이터'!"&amp;T$1&amp;$X7, TRUE)</f>
        <v>753005</v>
      </c>
      <c r="U7" s="3179" cm="1">
        <f t="array" aca="1" ref="U7" ca="1">INDIRECT("'※ 재고 세부데이터'!"&amp;U$1&amp;$X7, TRUE)</f>
        <v>682198.25</v>
      </c>
      <c r="V7" s="3179" cm="1">
        <f t="array" aca="1" ref="V7" ca="1">INDIRECT("'※ 재고 세부데이터'!"&amp;V$1&amp;$X7, TRUE)</f>
        <v>62750.416666666664</v>
      </c>
      <c r="W7" s="3181" cm="1">
        <f t="array" aca="1" ref="W7" ca="1">INDIRECT("'※ 재고 세부데이터'!"&amp;W$1&amp;$X7, TRUE)</f>
        <v>-8056.3333333333358</v>
      </c>
      <c r="X7" s="3173">
        <f>ROW('※ 재고 세부데이터'!J4)</f>
        <v>4</v>
      </c>
    </row>
    <row r="8" spans="1:62" x14ac:dyDescent="0.55000000000000004">
      <c r="A8" s="7458"/>
      <c r="B8" s="3182"/>
      <c r="C8" s="2441" t="s">
        <v>951</v>
      </c>
      <c r="D8" s="3183" cm="1">
        <f t="array" aca="1" ref="D8" ca="1">INDIRECT("'※ 재고 세부데이터'!"&amp;D$1&amp;$X8, TRUE)</f>
        <v>50348</v>
      </c>
      <c r="E8" s="3184" cm="1">
        <f t="array" aca="1" ref="E8" ca="1">INDIRECT("'※ 재고 세부데이터'!"&amp;E$1&amp;$X8, TRUE)</f>
        <v>40918.583333333336</v>
      </c>
      <c r="F8" s="3185" cm="1">
        <f t="array" aca="1" ref="F8" ca="1">INDIRECT("'※ 재고 세부데이터'!"&amp;F$1&amp;$X8, TRUE)</f>
        <v>59797</v>
      </c>
      <c r="G8" s="3186" cm="1">
        <f t="array" aca="1" ref="G8" ca="1">INDIRECT("'※ 재고 세부데이터'!"&amp;G$1&amp;$X8, TRUE)</f>
        <v>18164</v>
      </c>
      <c r="H8" s="3186" cm="1">
        <f t="array" aca="1" ref="H8" ca="1">INDIRECT("'※ 재고 세부데이터'!"&amp;H$1&amp;$X8, TRUE)</f>
        <v>18551</v>
      </c>
      <c r="I8" s="3186" cm="1">
        <f t="array" aca="1" ref="I8" ca="1">INDIRECT("'※ 재고 세부데이터'!"&amp;I$1&amp;$X8, TRUE)</f>
        <v>26411</v>
      </c>
      <c r="J8" s="3186" cm="1">
        <f t="array" aca="1" ref="J8" ca="1">INDIRECT("'※ 재고 세부데이터'!"&amp;J$1&amp;$X8, TRUE)</f>
        <v>34238</v>
      </c>
      <c r="K8" s="3186" cm="1">
        <f t="array" aca="1" ref="K8" ca="1">INDIRECT("'※ 재고 세부데이터'!"&amp;K$1&amp;$X8, TRUE)</f>
        <v>35621</v>
      </c>
      <c r="L8" s="3186" cm="1">
        <f t="array" aca="1" ref="L8" ca="1">INDIRECT("'※ 재고 세부데이터'!"&amp;L$1&amp;$X8, TRUE)</f>
        <v>95145</v>
      </c>
      <c r="M8" s="3186" cm="1">
        <f t="array" aca="1" ref="M8" ca="1">INDIRECT("'※ 재고 세부데이터'!"&amp;M$1&amp;$X8, TRUE)</f>
        <v>20105</v>
      </c>
      <c r="N8" s="3186" cm="1">
        <f t="array" aca="1" ref="N8" ca="1">INDIRECT("'※ 재고 세부데이터'!"&amp;N$1&amp;$X8, TRUE)</f>
        <v>52782</v>
      </c>
      <c r="O8" s="3186" cm="1">
        <f t="array" aca="1" ref="O8" ca="1">INDIRECT("'※ 재고 세부데이터'!"&amp;O$1&amp;$X8, TRUE)</f>
        <v>25978</v>
      </c>
      <c r="P8" s="3186" cm="1">
        <f t="array" aca="1" ref="P8" ca="1">INDIRECT("'※ 재고 세부데이터'!"&amp;P$1&amp;$X8, TRUE)</f>
        <v>12343</v>
      </c>
      <c r="Q8" s="3186" cm="1">
        <f t="array" aca="1" ref="Q8" ca="1">INDIRECT("'※ 재고 세부데이터'!"&amp;Q$1&amp;$X8, TRUE)</f>
        <v>28510</v>
      </c>
      <c r="R8" s="3186" cm="1">
        <f t="array" aca="1" ref="R8" ca="1">INDIRECT("'※ 재고 세부데이터'!"&amp;R$1&amp;$X8, TRUE)</f>
        <v>16167</v>
      </c>
      <c r="S8" s="3186" cm="1">
        <f t="array" aca="1" ref="S8" ca="1">INDIRECT("'※ 재고 세부데이터'!"&amp;S$1&amp;$X8, TRUE)</f>
        <v>6528</v>
      </c>
      <c r="T8" s="3187" cm="1">
        <f t="array" aca="1" ref="T8" ca="1">INDIRECT("'※ 재고 세부데이터'!"&amp;T$1&amp;$X8, TRUE)</f>
        <v>427645</v>
      </c>
      <c r="U8" s="3186" cm="1">
        <f t="array" aca="1" ref="U8" ca="1">INDIRECT("'※ 재고 세부데이터'!"&amp;U$1&amp;$X8, TRUE)</f>
        <v>386726.41666666669</v>
      </c>
      <c r="V8" s="3186" cm="1">
        <f t="array" aca="1" ref="V8" ca="1">INDIRECT("'※ 재고 세부데이터'!"&amp;V$1&amp;$X8, TRUE)</f>
        <v>35637.083333333336</v>
      </c>
      <c r="W8" s="3188" cm="1">
        <f t="array" aca="1" ref="W8" ca="1">INDIRECT("'※ 재고 세부데이터'!"&amp;W$1&amp;$X8, TRUE)</f>
        <v>-5281.5</v>
      </c>
      <c r="X8" s="3173">
        <f>ROW('※ 재고 세부데이터'!J5)</f>
        <v>5</v>
      </c>
    </row>
    <row r="9" spans="1:62" x14ac:dyDescent="0.55000000000000004">
      <c r="A9" s="7458"/>
      <c r="B9" s="3182"/>
      <c r="C9" s="2441" t="s">
        <v>952</v>
      </c>
      <c r="D9" s="3183" cm="1">
        <f t="array" aca="1" ref="D9" ca="1">INDIRECT("'※ 재고 세부데이터'!"&amp;D$1&amp;$X9, TRUE)</f>
        <v>49760</v>
      </c>
      <c r="E9" s="3184" cm="1">
        <f t="array" aca="1" ref="E9" ca="1">INDIRECT("'※ 재고 세부데이터'!"&amp;E$1&amp;$X9, TRUE)</f>
        <v>41000.5</v>
      </c>
      <c r="F9" s="3185" cm="1">
        <f t="array" aca="1" ref="F9" ca="1">INDIRECT("'※ 재고 세부데이터'!"&amp;F$1&amp;$X9, TRUE)</f>
        <v>26102</v>
      </c>
      <c r="G9" s="3186" cm="1">
        <f t="array" aca="1" ref="G9" ca="1">INDIRECT("'※ 재고 세부데이터'!"&amp;G$1&amp;$X9, TRUE)</f>
        <v>52588</v>
      </c>
      <c r="H9" s="3186" cm="1">
        <f t="array" aca="1" ref="H9" ca="1">INDIRECT("'※ 재고 세부데이터'!"&amp;H$1&amp;$X9, TRUE)</f>
        <v>30716</v>
      </c>
      <c r="I9" s="3186" cm="1">
        <f t="array" aca="1" ref="I9" ca="1">INDIRECT("'※ 재고 세부데이터'!"&amp;I$1&amp;$X9, TRUE)</f>
        <v>30992</v>
      </c>
      <c r="J9" s="3186" cm="1">
        <f t="array" aca="1" ref="J9" ca="1">INDIRECT("'※ 재고 세부데이터'!"&amp;J$1&amp;$X9, TRUE)</f>
        <v>36398</v>
      </c>
      <c r="K9" s="3186" cm="1">
        <f t="array" aca="1" ref="K9" ca="1">INDIRECT("'※ 재고 세부데이터'!"&amp;K$1&amp;$X9, TRUE)</f>
        <v>28979</v>
      </c>
      <c r="L9" s="3186" cm="1">
        <f t="array" aca="1" ref="L9" ca="1">INDIRECT("'※ 재고 세부데이터'!"&amp;L$1&amp;$X9, TRUE)</f>
        <v>70776</v>
      </c>
      <c r="M9" s="3186" cm="1">
        <f t="array" aca="1" ref="M9" ca="1">INDIRECT("'※ 재고 세부데이터'!"&amp;M$1&amp;$X9, TRUE)</f>
        <v>33382</v>
      </c>
      <c r="N9" s="3186" cm="1">
        <f t="array" aca="1" ref="N9" ca="1">INDIRECT("'※ 재고 세부데이터'!"&amp;N$1&amp;$X9, TRUE)</f>
        <v>50824</v>
      </c>
      <c r="O9" s="3186" cm="1">
        <f t="array" aca="1" ref="O9" ca="1">INDIRECT("'※ 재고 세부데이터'!"&amp;O$1&amp;$X9, TRUE)</f>
        <v>32412</v>
      </c>
      <c r="P9" s="3186" cm="1">
        <f t="array" aca="1" ref="P9" ca="1">INDIRECT("'※ 재고 세부데이터'!"&amp;P$1&amp;$X9, TRUE)</f>
        <v>14316</v>
      </c>
      <c r="Q9" s="3186" cm="1">
        <f t="array" aca="1" ref="Q9" ca="1">INDIRECT("'※ 재고 세부데이터'!"&amp;Q$1&amp;$X9, TRUE)</f>
        <v>27075</v>
      </c>
      <c r="R9" s="3186" cm="1">
        <f t="array" aca="1" ref="R9" ca="1">INDIRECT("'※ 재고 세부데이터'!"&amp;R$1&amp;$X9, TRUE)</f>
        <v>12759</v>
      </c>
      <c r="S9" s="3186" cm="1">
        <f t="array" aca="1" ref="S9" ca="1">INDIRECT("'※ 재고 세부데이터'!"&amp;S$1&amp;$X9, TRUE)</f>
        <v>3394</v>
      </c>
      <c r="T9" s="3187" cm="1">
        <f t="array" aca="1" ref="T9" ca="1">INDIRECT("'※ 재고 세부데이터'!"&amp;T$1&amp;$X9, TRUE)</f>
        <v>434560</v>
      </c>
      <c r="U9" s="3186" cm="1">
        <f t="array" aca="1" ref="U9" ca="1">INDIRECT("'※ 재고 세부데이터'!"&amp;U$1&amp;$X9, TRUE)</f>
        <v>393559.5</v>
      </c>
      <c r="V9" s="3186" cm="1">
        <f t="array" aca="1" ref="V9" ca="1">INDIRECT("'※ 재고 세부데이터'!"&amp;V$1&amp;$X9, TRUE)</f>
        <v>36213.333333333336</v>
      </c>
      <c r="W9" s="3188" cm="1">
        <f t="array" aca="1" ref="W9" ca="1">INDIRECT("'※ 재고 세부데이터'!"&amp;W$1&amp;$X9, TRUE)</f>
        <v>-4787.1666666666642</v>
      </c>
      <c r="X9" s="3173">
        <f>ROW('※ 재고 세부데이터'!J6)</f>
        <v>6</v>
      </c>
    </row>
    <row r="10" spans="1:62" x14ac:dyDescent="0.55000000000000004">
      <c r="A10" s="7458"/>
      <c r="B10" s="3182"/>
      <c r="C10" s="3189" t="s">
        <v>286</v>
      </c>
      <c r="D10" s="3190" cm="1">
        <f t="array" aca="1" ref="D10" ca="1">INDIRECT("'※ 재고 세부데이터'!"&amp;D$1&amp;$X10, TRUE)</f>
        <v>68937.5</v>
      </c>
      <c r="E10" s="3191" cm="1">
        <f t="array" aca="1" ref="E10" ca="1">INDIRECT("'※ 재고 세부데이터'!"&amp;E$1&amp;$X10, TRUE)</f>
        <v>70724.833333333328</v>
      </c>
      <c r="F10" s="3192" cm="1">
        <f t="array" aca="1" ref="F10" ca="1">INDIRECT("'※ 재고 세부데이터'!"&amp;F$1&amp;$X10, TRUE)</f>
        <v>98658</v>
      </c>
      <c r="G10" s="3193" cm="1">
        <f t="array" aca="1" ref="G10" ca="1">INDIRECT("'※ 재고 세부데이터'!"&amp;G$1&amp;$X10, TRUE)</f>
        <v>64234</v>
      </c>
      <c r="H10" s="3193" cm="1">
        <f t="array" aca="1" ref="H10" ca="1">INDIRECT("'※ 재고 세부데이터'!"&amp;H$1&amp;$X10, TRUE)</f>
        <v>52069</v>
      </c>
      <c r="I10" s="3193" cm="1">
        <f t="array" aca="1" ref="I10" ca="1">INDIRECT("'※ 재고 세부데이터'!"&amp;I$1&amp;$X10, TRUE)</f>
        <v>47488</v>
      </c>
      <c r="J10" s="3193" cm="1">
        <f t="array" aca="1" ref="J10" ca="1">INDIRECT("'※ 재고 세부데이터'!"&amp;J$1&amp;$X10, TRUE)</f>
        <v>45328</v>
      </c>
      <c r="K10" s="3193" cm="1">
        <f t="array" aca="1" ref="K10" ca="1">INDIRECT("'※ 재고 세부데이터'!"&amp;K$1&amp;$X10, TRUE)</f>
        <v>51970</v>
      </c>
      <c r="L10" s="3193" cm="1">
        <f t="array" aca="1" ref="L10" ca="1">INDIRECT("'※ 재고 세부데이터'!"&amp;L$1&amp;$X10, TRUE)</f>
        <v>76339</v>
      </c>
      <c r="M10" s="3193" cm="1">
        <f t="array" aca="1" ref="M10" ca="1">INDIRECT("'※ 재고 세부데이터'!"&amp;M$1&amp;$X10, TRUE)</f>
        <v>64797</v>
      </c>
      <c r="N10" s="3193" cm="1">
        <f t="array" aca="1" ref="N10" ca="1">INDIRECT("'※ 재고 세부데이터'!"&amp;N$1&amp;$X10, TRUE)</f>
        <v>66755</v>
      </c>
      <c r="O10" s="3193" cm="1">
        <f t="array" aca="1" ref="O10" ca="1">INDIRECT("'※ 재고 세부데이터'!"&amp;O$1&amp;$X10, TRUE)</f>
        <v>60321</v>
      </c>
      <c r="P10" s="3193" cm="1">
        <f t="array" aca="1" ref="P10" ca="1">INDIRECT("'※ 재고 세부데이터'!"&amp;P$1&amp;$X10, TRUE)</f>
        <v>58348</v>
      </c>
      <c r="Q10" s="3193" cm="1">
        <f t="array" aca="1" ref="Q10" ca="1">INDIRECT("'※ 재고 세부데이터'!"&amp;Q$1&amp;$X10, TRUE)</f>
        <v>59783</v>
      </c>
      <c r="R10" s="3193" cm="1">
        <f t="array" aca="1" ref="R10" ca="1">INDIRECT("'※ 재고 세부데이터'!"&amp;R$1&amp;$X10, TRUE)</f>
        <v>1435</v>
      </c>
      <c r="S10" s="3193" cm="1">
        <f t="array" aca="1" ref="S10" ca="1">INDIRECT("'※ 재고 세부데이터'!"&amp;S$1&amp;$X10, TRUE)</f>
        <v>-5180</v>
      </c>
      <c r="T10" s="3194" cm="1">
        <f t="array" aca="1" ref="T10" ca="1">INDIRECT("'※ 재고 세부데이터'!"&amp;T$1&amp;$X10, TRUE)</f>
        <v>746090</v>
      </c>
      <c r="U10" s="3193" cm="1">
        <f t="array" aca="1" ref="U10" ca="1">INDIRECT("'※ 재고 세부데이터'!"&amp;U$1&amp;$X10, TRUE)</f>
        <v>675365.16666666663</v>
      </c>
      <c r="V10" s="3193" cm="1">
        <f t="array" aca="1" ref="V10" ca="1">INDIRECT("'※ 재고 세부데이터'!"&amp;V$1&amp;$X10, TRUE)</f>
        <v>62174.166666666664</v>
      </c>
      <c r="W10" s="3195" cm="1">
        <f t="array" aca="1" ref="W10" ca="1">INDIRECT("'※ 재고 세부데이터'!"&amp;W$1&amp;$X10, TRUE)</f>
        <v>-8550.6666666666642</v>
      </c>
      <c r="X10" s="3173">
        <f>ROW('※ 재고 세부데이터'!J7)</f>
        <v>7</v>
      </c>
    </row>
    <row r="11" spans="1:62" x14ac:dyDescent="0.55000000000000004">
      <c r="A11" s="7458"/>
      <c r="B11" s="3196"/>
      <c r="C11" s="2441" t="s">
        <v>287</v>
      </c>
      <c r="D11" s="3183" cm="1">
        <f t="array" aca="1" ref="D11" ca="1">INDIRECT("'※ 재고 세부데이터'!"&amp;D$1&amp;$X11, TRUE)</f>
        <v>43.89239785512703</v>
      </c>
      <c r="E11" s="3184" cm="1">
        <f t="array" aca="1" ref="E11" ca="1">INDIRECT("'※ 재고 세부데이터'!"&amp;E$1&amp;$X11, TRUE)</f>
        <v>55.749250580985624</v>
      </c>
      <c r="F11" s="3185" cm="1">
        <f t="array" aca="1" ref="F11" ca="1">INDIRECT("'※ 재고 세부데이터'!"&amp;F$1&amp;$X11, TRUE)</f>
        <v>117.17102137767222</v>
      </c>
      <c r="G11" s="3186" cm="1">
        <f t="array" aca="1" ref="G11" ca="1">INDIRECT("'※ 재고 세부데이터'!"&amp;G$1&amp;$X11, TRUE)</f>
        <v>34.248193504221497</v>
      </c>
      <c r="H11" s="3186" cm="1">
        <f t="array" aca="1" ref="H11" ca="1">INDIRECT("'※ 재고 세부데이터'!"&amp;H$1&amp;$X11, TRUE)</f>
        <v>51.7</v>
      </c>
      <c r="I11" s="3186" cm="1">
        <f t="array" aca="1" ref="I11" ca="1">INDIRECT("'※ 재고 세부데이터'!"&amp;I$1&amp;$X11, TRUE)</f>
        <v>41</v>
      </c>
      <c r="J11" s="3186" cm="1">
        <f t="array" aca="1" ref="J11" ca="1">INDIRECT("'※ 재고 세부데이터'!"&amp;J$1&amp;$X11, TRUE)</f>
        <v>38.5</v>
      </c>
      <c r="K11" s="3186" cm="1">
        <f t="array" aca="1" ref="K11" ca="1">INDIRECT("'※ 재고 세부데이터'!"&amp;K$1&amp;$X11, TRUE)</f>
        <v>54</v>
      </c>
      <c r="L11" s="3186" cm="1">
        <f t="array" aca="1" ref="L11" ca="1">INDIRECT("'※ 재고 세부데이터'!"&amp;L$1&amp;$X11, TRUE)</f>
        <v>44.9</v>
      </c>
      <c r="M11" s="3186" cm="1">
        <f t="array" aca="1" ref="M11" ca="1">INDIRECT("'※ 재고 세부데이터'!"&amp;M$1&amp;$X11, TRUE)</f>
        <v>58</v>
      </c>
      <c r="N11" s="3186" cm="1">
        <f t="array" aca="1" ref="N11" ca="1">INDIRECT("'※ 재고 세부데이터'!"&amp;N$1&amp;$X11, TRUE)</f>
        <v>39.299999999999997</v>
      </c>
      <c r="O11" s="3186" cm="1">
        <f t="array" aca="1" ref="O11" ca="1">INDIRECT("'※ 재고 세부데이터'!"&amp;O$1&amp;$X11, TRUE)</f>
        <v>57.5</v>
      </c>
      <c r="P11" s="3186" cm="1">
        <f t="array" aca="1" ref="P11" ca="1">INDIRECT("'※ 재고 세부데이터'!"&amp;P$1&amp;$X11, TRUE)</f>
        <v>58.3</v>
      </c>
      <c r="Q11" s="3186" cm="1">
        <f t="array" aca="1" ref="Q11" ca="1">INDIRECT("'※ 재고 세부데이터'!"&amp;Q$1&amp;$X11, TRUE)</f>
        <v>61.9</v>
      </c>
      <c r="R11" s="3186" cm="1">
        <f t="array" aca="1" ref="R11" ca="1">INDIRECT("'※ 재고 세부데이터'!"&amp;R$1&amp;$X11, TRUE)</f>
        <v>3.6000000000000014</v>
      </c>
      <c r="S11" s="3186" cm="1">
        <f t="array" aca="1" ref="S11" ca="1">INDIRECT("'※ 재고 세부데이터'!"&amp;S$1&amp;$X11, TRUE)</f>
        <v>-23.140876652168409</v>
      </c>
      <c r="T11" s="3187" cm="1">
        <f t="array" aca="1" ref="T11" ca="1">INDIRECT("'※ 재고 세부데이터'!"&amp;T$1&amp;$X11, TRUE)</f>
        <v>656.51921488189362</v>
      </c>
      <c r="U11" s="3186" cm="1">
        <f t="array" aca="1" ref="U11" ca="1">INDIRECT("'※ 재고 세부데이터'!"&amp;U$1&amp;$X11, TRUE)</f>
        <v>600.76996430090799</v>
      </c>
      <c r="V11" s="3186" cm="1">
        <f t="array" aca="1" ref="V11" ca="1">INDIRECT("'※ 재고 세부데이터'!"&amp;V$1&amp;$X11, TRUE)</f>
        <v>54.709934573491132</v>
      </c>
      <c r="W11" s="3188" cm="1">
        <f t="array" aca="1" ref="W11" ca="1">INDIRECT("'※ 재고 세부데이터'!"&amp;W$1&amp;$X11, TRUE)</f>
        <v>-1.0393160074944916</v>
      </c>
      <c r="X11" s="3173">
        <f>ROW('※ 재고 세부데이터'!J8)</f>
        <v>8</v>
      </c>
    </row>
    <row r="12" spans="1:62" x14ac:dyDescent="0.55000000000000004">
      <c r="A12" s="7458"/>
      <c r="B12" s="3197"/>
      <c r="C12" s="3198" t="s">
        <v>293</v>
      </c>
      <c r="D12" s="3199" cm="1">
        <f t="array" aca="1" ref="D12" ca="1">INDIRECT("'※ 재고 세부데이터'!"&amp;D$1&amp;$X12, TRUE)</f>
        <v>752.05279484416667</v>
      </c>
      <c r="E12" s="3200" cm="1">
        <f t="array" aca="1" ref="E12" ca="1">INDIRECT("'※ 재고 세부데이터'!"&amp;E$1&amp;$X12, TRUE)</f>
        <v>756.61814575816652</v>
      </c>
      <c r="F12" s="3201" cm="1">
        <f t="array" aca="1" ref="F12" ca="1">INDIRECT("'※ 재고 세부데이터'!"&amp;F$1&amp;$X12, TRUE)</f>
        <v>1234.7164789850001</v>
      </c>
      <c r="G12" s="3202" cm="1">
        <f t="array" aca="1" ref="G12" ca="1">INDIRECT("'※ 재고 세부데이터'!"&amp;G$1&amp;$X12, TRUE)</f>
        <v>758.88436597600003</v>
      </c>
      <c r="H12" s="3202" cm="1">
        <f t="array" aca="1" ref="H12" ca="1">INDIRECT("'※ 재고 세부데이터'!"&amp;H$1&amp;$X12, TRUE)</f>
        <v>590.29999999999995</v>
      </c>
      <c r="I12" s="3202" cm="1">
        <f t="array" aca="1" ref="I12" ca="1">INDIRECT("'※ 재고 세부데이터'!"&amp;I$1&amp;$X12, TRUE)</f>
        <v>495.2</v>
      </c>
      <c r="J12" s="3202" cm="1">
        <f t="array" aca="1" ref="J12" ca="1">INDIRECT("'※ 재고 세부데이터'!"&amp;J$1&amp;$X12, TRUE)</f>
        <v>462.6</v>
      </c>
      <c r="K12" s="3202" cm="1">
        <f t="array" aca="1" ref="K12" ca="1">INDIRECT("'※ 재고 세부데이터'!"&amp;K$1&amp;$X12, TRUE)</f>
        <v>449.5</v>
      </c>
      <c r="L12" s="3202" cm="1">
        <f t="array" aca="1" ref="L12" ca="1">INDIRECT("'※ 재고 세부데이터'!"&amp;L$1&amp;$X12, TRUE)</f>
        <v>596.37002298499999</v>
      </c>
      <c r="M12" s="3202" cm="1">
        <f t="array" aca="1" ref="M12" ca="1">INDIRECT("'※ 재고 세부데이터'!"&amp;M$1&amp;$X12, TRUE)</f>
        <v>643.74686898499999</v>
      </c>
      <c r="N12" s="3202" cm="1">
        <f t="array" aca="1" ref="N12" ca="1">INDIRECT("'※ 재고 세부데이터'!"&amp;N$1&amp;$X12, TRUE)</f>
        <v>760.98179998499995</v>
      </c>
      <c r="O12" s="3202" cm="1">
        <f t="array" aca="1" ref="O12" ca="1">INDIRECT("'※ 재고 세부데이터'!"&amp;O$1&amp;$X12, TRUE)</f>
        <v>711.5</v>
      </c>
      <c r="P12" s="3202" cm="1">
        <f t="array" aca="1" ref="P12" ca="1">INDIRECT("'※ 재고 세부데이터'!"&amp;P$1&amp;$X12, TRUE)</f>
        <v>633.96036698499995</v>
      </c>
      <c r="Q12" s="3202" cm="1">
        <f t="array" aca="1" ref="Q12" ca="1">INDIRECT("'※ 재고 세부데이터'!"&amp;Q$1&amp;$X12, TRUE)</f>
        <v>616.09745598500001</v>
      </c>
      <c r="R12" s="3202" cm="1">
        <f t="array" aca="1" ref="R12" ca="1">INDIRECT("'※ 재고 세부데이터'!"&amp;R$1&amp;$X12, TRUE)</f>
        <v>-17.86291099999994</v>
      </c>
      <c r="S12" s="3202" cm="1">
        <f t="array" aca="1" ref="S12" ca="1">INDIRECT("'※ 재고 세부데이터'!"&amp;S$1&amp;$X12, TRUE)</f>
        <v>-139.96886550900012</v>
      </c>
      <c r="T12" s="3203" cm="1">
        <f t="array" aca="1" ref="T12" ca="1">INDIRECT("'※ 재고 세부데이터'!"&amp;T$1&amp;$X12, TRUE)</f>
        <v>7953.8573598860003</v>
      </c>
      <c r="U12" s="3202" cm="1">
        <f t="array" aca="1" ref="U12" ca="1">INDIRECT("'※ 재고 세부데이터'!"&amp;U$1&amp;$X12, TRUE)</f>
        <v>7197.2392141278342</v>
      </c>
      <c r="V12" s="3202" cm="1">
        <f t="array" aca="1" ref="V12" ca="1">INDIRECT("'※ 재고 세부데이터'!"&amp;V$1&amp;$X12, TRUE)</f>
        <v>662.82144665716669</v>
      </c>
      <c r="W12" s="3204" cm="1">
        <f t="array" aca="1" ref="W12" ca="1">INDIRECT("'※ 재고 세부데이터'!"&amp;W$1&amp;$X12, TRUE)</f>
        <v>-93.796699100999831</v>
      </c>
      <c r="X12" s="3173">
        <f>ROW('※ 재고 세부데이터'!J9)</f>
        <v>9</v>
      </c>
    </row>
    <row r="13" spans="1:62" x14ac:dyDescent="0.55000000000000004">
      <c r="A13" s="7458"/>
      <c r="B13" s="3205" t="s">
        <v>841</v>
      </c>
      <c r="C13" s="2493" t="s">
        <v>859</v>
      </c>
      <c r="D13" s="3183" cm="1">
        <f t="array" aca="1" ref="D13" ca="1">INDIRECT("'※ 재고 세부데이터'!"&amp;D$1&amp;$X13, TRUE)</f>
        <v>118219.58333333333</v>
      </c>
      <c r="E13" s="3184" cm="1">
        <f t="array" aca="1" ref="E13" ca="1">INDIRECT("'※ 재고 세부데이터'!"&amp;E$1&amp;$X13, TRUE)</f>
        <v>209043.91666666666</v>
      </c>
      <c r="F13" s="3185" cm="1">
        <f t="array" aca="1" ref="F13" ca="1">INDIRECT("'※ 재고 세부데이터'!"&amp;F$1&amp;$X13, TRUE)</f>
        <v>349281</v>
      </c>
      <c r="G13" s="3186" cm="1">
        <f t="array" aca="1" ref="G13" ca="1">INDIRECT("'※ 재고 세부데이터'!"&amp;G$1&amp;$X13, TRUE)</f>
        <v>293011</v>
      </c>
      <c r="H13" s="3186" cm="1">
        <f t="array" aca="1" ref="H13" ca="1">INDIRECT("'※ 재고 세부데이터'!"&amp;H$1&amp;$X13, TRUE)</f>
        <v>242534</v>
      </c>
      <c r="I13" s="3186" cm="1">
        <f t="array" aca="1" ref="I13" ca="1">INDIRECT("'※ 재고 세부데이터'!"&amp;I$1&amp;$X13, TRUE)</f>
        <v>369716</v>
      </c>
      <c r="J13" s="3186" cm="1">
        <f t="array" aca="1" ref="J13" ca="1">INDIRECT("'※ 재고 세부데이터'!"&amp;J$1&amp;$X13, TRUE)</f>
        <v>252570</v>
      </c>
      <c r="K13" s="3186" cm="1">
        <f t="array" aca="1" ref="K13" ca="1">INDIRECT("'※ 재고 세부데이터'!"&amp;K$1&amp;$X13, TRUE)</f>
        <v>395000</v>
      </c>
      <c r="L13" s="3186" cm="1">
        <f t="array" aca="1" ref="L13" ca="1">INDIRECT("'※ 재고 세부데이터'!"&amp;L$1&amp;$X13, TRUE)</f>
        <v>590428</v>
      </c>
      <c r="M13" s="3186" cm="1">
        <f t="array" aca="1" ref="M13" ca="1">INDIRECT("'※ 재고 세부데이터'!"&amp;M$1&amp;$X13, TRUE)</f>
        <v>528874</v>
      </c>
      <c r="N13" s="3186" cm="1">
        <f t="array" aca="1" ref="N13" ca="1">INDIRECT("'※ 재고 세부데이터'!"&amp;N$1&amp;$X13, TRUE)</f>
        <v>484601</v>
      </c>
      <c r="O13" s="3186" cm="1">
        <f t="array" aca="1" ref="O13" ca="1">INDIRECT("'※ 재고 세부데이터'!"&amp;O$1&amp;$X13, TRUE)</f>
        <v>640083</v>
      </c>
      <c r="P13" s="3186" cm="1">
        <f t="array" aca="1" ref="P13" ca="1">INDIRECT("'※ 재고 세부데이터'!"&amp;P$1&amp;$X13, TRUE)</f>
        <v>835185</v>
      </c>
      <c r="Q13" s="3186" cm="1">
        <f t="array" aca="1" ref="Q13" ca="1">INDIRECT("'※ 재고 세부데이터'!"&amp;Q$1&amp;$X13, TRUE)</f>
        <v>859282</v>
      </c>
      <c r="R13" s="3186" cm="1">
        <f t="array" aca="1" ref="R13" ca="1">INDIRECT("'※ 재고 세부데이터'!"&amp;R$1&amp;$X13, TRUE)</f>
        <v>24097</v>
      </c>
      <c r="S13" s="3186" cm="1">
        <f t="array" aca="1" ref="S13" ca="1">INDIRECT("'※ 재고 세부데이터'!"&amp;S$1&amp;$X13, TRUE)</f>
        <v>474116</v>
      </c>
      <c r="T13" s="3187" cm="1">
        <f t="array" aca="1" ref="T13" ca="1">INDIRECT("'※ 재고 세부데이터'!"&amp;T$1&amp;$X13, TRUE)</f>
        <v>5840565</v>
      </c>
      <c r="U13" s="3186" cm="1">
        <f t="array" aca="1" ref="U13" ca="1">INDIRECT("'※ 재고 세부데이터'!"&amp;U$1&amp;$X13, TRUE)</f>
        <v>5631521.083333333</v>
      </c>
      <c r="V13" s="3186" cm="1">
        <f t="array" aca="1" ref="V13" ca="1">INDIRECT("'※ 재고 세부데이터'!"&amp;V$1&amp;$X13, TRUE)</f>
        <v>486713.75</v>
      </c>
      <c r="W13" s="3188" cm="1">
        <f t="array" aca="1" ref="W13" ca="1">INDIRECT("'※ 재고 세부데이터'!"&amp;W$1&amp;$X13, TRUE)</f>
        <v>277669.83333333337</v>
      </c>
      <c r="X13" s="3173">
        <f>ROW('※ 재고 세부데이터'!J10)</f>
        <v>10</v>
      </c>
    </row>
    <row r="14" spans="1:62" ht="15.45" thickBot="1" x14ac:dyDescent="0.6">
      <c r="A14" s="7556"/>
      <c r="B14" s="3206"/>
      <c r="C14" s="3207" t="s">
        <v>842</v>
      </c>
      <c r="D14" s="3208" cm="1">
        <f t="array" aca="1" ref="D14" ca="1">INDIRECT("'※ 재고 세부데이터'!"&amp;D$1&amp;$X14, TRUE)</f>
        <v>9.0932499166666645</v>
      </c>
      <c r="E14" s="3209" cm="1">
        <f t="array" aca="1" ref="E14" ca="1">INDIRECT("'※ 재고 세부데이터'!"&amp;E$1&amp;$X14, TRUE)</f>
        <v>16.086742833333336</v>
      </c>
      <c r="F14" s="3210" cm="1">
        <f t="array" aca="1" ref="F14" ca="1">INDIRECT("'※ 재고 세부데이터'!"&amp;F$1&amp;$X14, TRUE)</f>
        <v>26.885000999999999</v>
      </c>
      <c r="G14" s="3211" cm="1">
        <f t="array" aca="1" ref="G14" ca="1">INDIRECT("'※ 재고 세부데이터'!"&amp;G$1&amp;$X14, TRUE)</f>
        <v>22.552211</v>
      </c>
      <c r="H14" s="3211" cm="1">
        <f t="array" aca="1" ref="H14" ca="1">INDIRECT("'※ 재고 세부데이터'!"&amp;H$1&amp;$X14, TRUE)</f>
        <v>18.7</v>
      </c>
      <c r="I14" s="3211" cm="1">
        <f t="array" aca="1" ref="I14" ca="1">INDIRECT("'※ 재고 세부데이터'!"&amp;I$1&amp;$X14, TRUE)</f>
        <v>28.5</v>
      </c>
      <c r="J14" s="3211" cm="1">
        <f t="array" aca="1" ref="J14" ca="1">INDIRECT("'※ 재고 세부데이터'!"&amp;J$1&amp;$X14, TRUE)</f>
        <v>19.399999999999999</v>
      </c>
      <c r="K14" s="3211" cm="1">
        <f t="array" aca="1" ref="K14" ca="1">INDIRECT("'※ 재고 세부데이터'!"&amp;K$1&amp;$X14, TRUE)</f>
        <v>30.4</v>
      </c>
      <c r="L14" s="3211" cm="1">
        <f t="array" aca="1" ref="L14" ca="1">INDIRECT("'※ 재고 세부데이터'!"&amp;L$1&amp;$X14, TRUE)</f>
        <v>45.5</v>
      </c>
      <c r="M14" s="3211" cm="1">
        <f t="array" aca="1" ref="M14" ca="1">INDIRECT("'※ 재고 세부데이터'!"&amp;M$1&amp;$X14, TRUE)</f>
        <v>40.713661999999999</v>
      </c>
      <c r="N14" s="3211" cm="1">
        <f t="array" aca="1" ref="N14" ca="1">INDIRECT("'※ 재고 세부데이터'!"&amp;N$1&amp;$X14, TRUE)</f>
        <v>37.304640999999997</v>
      </c>
      <c r="O14" s="3211" cm="1">
        <f t="array" aca="1" ref="O14" ca="1">INDIRECT("'※ 재고 세부데이터'!"&amp;O$1&amp;$X14, TRUE)</f>
        <v>49.3</v>
      </c>
      <c r="P14" s="3211" cm="1">
        <f t="array" aca="1" ref="P14" ca="1">INDIRECT("'※ 재고 세부데이터'!"&amp;P$1&amp;$X14, TRUE)</f>
        <v>64.299576000000002</v>
      </c>
      <c r="Q14" s="3211" cm="1">
        <f t="array" aca="1" ref="Q14" ca="1">INDIRECT("'※ 재고 세부데이터'!"&amp;Q$1&amp;$X14, TRUE)</f>
        <v>66.155045000000001</v>
      </c>
      <c r="R14" s="3211" cm="1">
        <f t="array" aca="1" ref="R14" ca="1">INDIRECT("'※ 재고 세부데이터'!"&amp;R$1&amp;$X14, TRUE)</f>
        <v>1.8554689999999994</v>
      </c>
      <c r="S14" s="3211" cm="1">
        <f t="array" aca="1" ref="S14" ca="1">INDIRECT("'※ 재고 세부데이터'!"&amp;S$1&amp;$X14, TRUE)</f>
        <v>36.506899000000004</v>
      </c>
      <c r="T14" s="3212" cm="1">
        <f t="array" aca="1" ref="T14" ca="1">INDIRECT("'※ 재고 세부데이터'!"&amp;T$1&amp;$X14, TRUE)</f>
        <v>449.71013600000003</v>
      </c>
      <c r="U14" s="3211" cm="1">
        <f t="array" aca="1" ref="U14" ca="1">INDIRECT("'※ 재고 세부데이터'!"&amp;U$1&amp;$X14, TRUE)</f>
        <v>433.62339316666669</v>
      </c>
      <c r="V14" s="3211" cm="1">
        <f t="array" aca="1" ref="V14" ca="1">INDIRECT("'※ 재고 세부데이터'!"&amp;V$1&amp;$X14, TRUE)</f>
        <v>37.475844666666667</v>
      </c>
      <c r="W14" s="3213" cm="1">
        <f t="array" aca="1" ref="W14" ca="1">INDIRECT("'※ 재고 세부데이터'!"&amp;W$1&amp;$X14, TRUE)</f>
        <v>21.389101833333331</v>
      </c>
      <c r="X14" s="3173">
        <f>ROW('※ 재고 세부데이터'!J11)</f>
        <v>11</v>
      </c>
    </row>
    <row r="15" spans="1:62" ht="10.5" customHeight="1" thickBot="1" x14ac:dyDescent="0.6">
      <c r="A15" s="3214"/>
      <c r="B15" s="2493"/>
      <c r="C15" s="2493"/>
      <c r="D15" s="3215"/>
      <c r="E15" s="3216"/>
      <c r="F15" s="3217"/>
      <c r="G15" s="2493"/>
      <c r="H15" s="2493"/>
      <c r="I15" s="2493"/>
      <c r="J15" s="2493"/>
      <c r="K15" s="2493"/>
      <c r="L15" s="2493"/>
      <c r="M15" s="2493"/>
      <c r="N15" s="2493"/>
      <c r="O15" s="2493"/>
      <c r="P15" s="2493"/>
      <c r="Q15" s="2493"/>
      <c r="R15" s="2493"/>
      <c r="S15" s="3218"/>
      <c r="T15" s="3219"/>
      <c r="U15" s="3218"/>
      <c r="V15" s="3218"/>
      <c r="W15" s="3220"/>
      <c r="X15" s="3173">
        <f>ROW('※ 재고 세부데이터'!J12)</f>
        <v>12</v>
      </c>
    </row>
    <row r="16" spans="1:62" ht="16.5" customHeight="1" x14ac:dyDescent="0.55000000000000004">
      <c r="A16" s="7549" t="s">
        <v>843</v>
      </c>
      <c r="B16" s="3174" t="s">
        <v>844</v>
      </c>
      <c r="C16" s="3221" t="s">
        <v>845</v>
      </c>
      <c r="D16" s="3222" cm="1">
        <f t="array" aca="1" ref="D16" ca="1">INDIRECT("'※ 재고 세부데이터'!"&amp;D$1&amp;$X16, TRUE)</f>
        <v>135.33413267666668</v>
      </c>
      <c r="E16" s="3223" cm="1">
        <f t="array" aca="1" ref="E16" ca="1">INDIRECT("'※ 재고 세부데이터'!"&amp;E$1&amp;$X16, TRUE)</f>
        <v>156.26902118683333</v>
      </c>
      <c r="F16" s="3224" cm="1">
        <f t="array" aca="1" ref="F16" ca="1">INDIRECT("'※ 재고 세부데이터'!"&amp;F$1&amp;$X16, TRUE)</f>
        <v>313.3</v>
      </c>
      <c r="G16" s="3225" cm="1">
        <f t="array" aca="1" ref="G16" ca="1">INDIRECT("'※ 재고 세부데이터'!"&amp;G$1&amp;$X16, TRUE)</f>
        <v>94.699999999999989</v>
      </c>
      <c r="H16" s="3225" cm="1">
        <f t="array" aca="1" ref="H16" ca="1">INDIRECT("'※ 재고 세부데이터'!"&amp;H$1&amp;$X16, TRUE)</f>
        <v>27.69</v>
      </c>
      <c r="I16" s="3225" cm="1">
        <f t="array" aca="1" ref="I16" ca="1">INDIRECT("'※ 재고 세부데이터'!"&amp;I$1&amp;$X16, TRUE)</f>
        <v>60.4</v>
      </c>
      <c r="J16" s="3225" cm="1">
        <f t="array" aca="1" ref="J16" ca="1">INDIRECT("'※ 재고 세부데이터'!"&amp;J$1&amp;$X16, TRUE)</f>
        <v>42</v>
      </c>
      <c r="K16" s="3225" cm="1">
        <f t="array" aca="1" ref="K16" ca="1">INDIRECT("'※ 재고 세부데이터'!"&amp;K$1&amp;$X16, TRUE)</f>
        <v>106.4</v>
      </c>
      <c r="L16" s="3225" cm="1">
        <f t="array" aca="1" ref="L16" ca="1">INDIRECT("'※ 재고 세부데이터'!"&amp;L$1&amp;$X16, TRUE)</f>
        <v>261.40000000000003</v>
      </c>
      <c r="M16" s="3225" cm="1">
        <f t="array" aca="1" ref="M16" ca="1">INDIRECT("'※ 재고 세부데이터'!"&amp;M$1&amp;$X16, TRUE)</f>
        <v>120.35</v>
      </c>
      <c r="N16" s="3225" cm="1">
        <f t="array" aca="1" ref="N16" ca="1">INDIRECT("'※ 재고 세부데이터'!"&amp;N$1&amp;$X16, TRUE)</f>
        <v>269.18</v>
      </c>
      <c r="O16" s="3225" cm="1">
        <f t="array" aca="1" ref="O16" ca="1">INDIRECT("'※ 재고 세부데이터'!"&amp;O$1&amp;$X16, TRUE)</f>
        <v>159.82999999999998</v>
      </c>
      <c r="P16" s="3225" cm="1">
        <f t="array" aca="1" ref="P16" ca="1">INDIRECT("'※ 재고 세부데이터'!"&amp;P$1&amp;$X16, TRUE)</f>
        <v>76.06</v>
      </c>
      <c r="Q16" s="3225" cm="1">
        <f t="array" aca="1" ref="Q16" ca="1">INDIRECT("'※ 재고 세부데이터'!"&amp;Q$1&amp;$X16, TRUE)</f>
        <v>105.1</v>
      </c>
      <c r="R16" s="3225" cm="1">
        <f t="array" aca="1" ref="R16" ca="1">INDIRECT("'※ 재고 세부데이터'!"&amp;R$1&amp;$X16, TRUE)</f>
        <v>29.039999999999992</v>
      </c>
      <c r="S16" s="3225" cm="1">
        <f t="array" aca="1" ref="S16" ca="1">INDIRECT("'※ 재고 세부데이터'!"&amp;S$1&amp;$X16, TRUE)</f>
        <v>2.0999999999999943</v>
      </c>
      <c r="T16" s="3226" cm="1">
        <f t="array" aca="1" ref="T16" ca="1">INDIRECT("'※ 재고 세부데이터'!"&amp;T$1&amp;$X16, TRUE)</f>
        <v>1636.4099999999996</v>
      </c>
      <c r="U16" s="3225" cm="1">
        <f t="array" aca="1" ref="U16" ca="1">INDIRECT("'※ 재고 세부데이터'!"&amp;U$1&amp;$X16, TRUE)</f>
        <v>1480.1409788131664</v>
      </c>
      <c r="V16" s="3225" cm="1">
        <f t="array" aca="1" ref="V16" ca="1">INDIRECT("'※ 재고 세부데이터'!"&amp;V$1&amp;$X16, TRUE)</f>
        <v>136.36749999999998</v>
      </c>
      <c r="W16" s="3227" cm="1">
        <f t="array" aca="1" ref="W16" ca="1">INDIRECT("'※ 재고 세부데이터'!"&amp;W$1&amp;$X16, TRUE)</f>
        <v>-19.901521186833349</v>
      </c>
      <c r="X16" s="3173">
        <f>ROW('※ 재고 세부데이터'!J13)</f>
        <v>13</v>
      </c>
    </row>
    <row r="17" spans="1:24" x14ac:dyDescent="0.55000000000000004">
      <c r="A17" s="7550"/>
      <c r="B17" s="3228"/>
      <c r="C17" s="2857" t="s">
        <v>846</v>
      </c>
      <c r="D17" s="3229" cm="1">
        <f t="array" aca="1" ref="D17" ca="1">INDIRECT("'※ 재고 세부데이터'!"&amp;D$1&amp;$X17, TRUE)</f>
        <v>4.2780173233333318</v>
      </c>
      <c r="E17" s="3230" cm="1">
        <f t="array" aca="1" ref="E17" ca="1">INDIRECT("'※ 재고 세부데이터'!"&amp;E$1&amp;$X17, TRUE)</f>
        <v>5.3675538131666656</v>
      </c>
      <c r="F17" s="3231" cm="1">
        <f t="array" aca="1" ref="F17" ca="1">INDIRECT("'※ 재고 세부데이터'!"&amp;F$1&amp;$X17, TRUE)</f>
        <v>7.9125799999999993</v>
      </c>
      <c r="G17" s="3232" cm="1">
        <f t="array" aca="1" ref="G17" ca="1">INDIRECT("'※ 재고 세부데이터'!"&amp;G$1&amp;$X17, TRUE)</f>
        <v>3.5977399999999995</v>
      </c>
      <c r="H17" s="3232" cm="1">
        <f t="array" aca="1" ref="H17" ca="1">INDIRECT("'※ 재고 세부데이터'!"&amp;H$1&amp;$X17, TRUE)</f>
        <v>0.91479999999999995</v>
      </c>
      <c r="I17" s="3232" cm="1">
        <f t="array" aca="1" ref="I17" ca="1">INDIRECT("'※ 재고 세부데이터'!"&amp;I$1&amp;$X17, TRUE)</f>
        <v>1.4083999999999999</v>
      </c>
      <c r="J17" s="3232" cm="1">
        <f t="array" aca="1" ref="J17" ca="1">INDIRECT("'※ 재고 세부데이터'!"&amp;J$1&amp;$X17, TRUE)</f>
        <v>1.1219599999999998</v>
      </c>
      <c r="K17" s="3232" cm="1">
        <f t="array" aca="1" ref="K17" ca="1">INDIRECT("'※ 재고 세부데이터'!"&amp;K$1&amp;$X17, TRUE)</f>
        <v>2.7713199999999998</v>
      </c>
      <c r="L17" s="3232" cm="1">
        <f t="array" aca="1" ref="L17" ca="1">INDIRECT("'※ 재고 세부데이터'!"&amp;L$1&amp;$X17, TRUE)</f>
        <v>6.3900000000000006</v>
      </c>
      <c r="M17" s="3232" cm="1">
        <f t="array" aca="1" ref="M17" ca="1">INDIRECT("'※ 재고 세부데이터'!"&amp;M$1&amp;$X17, TRUE)</f>
        <v>2.93</v>
      </c>
      <c r="N17" s="3232" cm="1">
        <f t="array" aca="1" ref="N17" ca="1">INDIRECT("'※ 재고 세부데이터'!"&amp;N$1&amp;$X17, TRUE)</f>
        <v>12.916971</v>
      </c>
      <c r="O17" s="3232" cm="1">
        <f t="array" aca="1" ref="O17" ca="1">INDIRECT("'※ 재고 세부데이터'!"&amp;O$1&amp;$X17, TRUE)</f>
        <v>7.0308000000000002</v>
      </c>
      <c r="P17" s="3232" cm="1">
        <f t="array" aca="1" ref="P17" ca="1">INDIRECT("'※ 재고 세부데이터'!"&amp;P$1&amp;$X17, TRUE)</f>
        <v>2.2000000000000002</v>
      </c>
      <c r="Q17" s="3232" cm="1">
        <f t="array" aca="1" ref="Q17" ca="1">INDIRECT("'※ 재고 세부데이터'!"&amp;Q$1&amp;$X17, TRUE)</f>
        <v>3.4400000000000004</v>
      </c>
      <c r="R17" s="3232" cm="1">
        <f t="array" aca="1" ref="R17" ca="1">INDIRECT("'※ 재고 세부데이터'!"&amp;R$1&amp;$X17, TRUE)</f>
        <v>1.2400000000000002</v>
      </c>
      <c r="S17" s="3232" cm="1">
        <f t="array" aca="1" ref="S17" ca="1">INDIRECT("'※ 재고 세부데이터'!"&amp;S$1&amp;$X17, TRUE)</f>
        <v>-4.2277999999999993</v>
      </c>
      <c r="T17" s="3233" cm="1">
        <f t="array" aca="1" ref="T17" ca="1">INDIRECT("'※ 재고 세부데이터'!"&amp;T$1&amp;$X17, TRUE)</f>
        <v>52.634570999999994</v>
      </c>
      <c r="U17" s="3232" cm="1">
        <f t="array" aca="1" ref="U17" ca="1">INDIRECT("'※ 재고 세부데이터'!"&amp;U$1&amp;$X17, TRUE)</f>
        <v>47.267017186833328</v>
      </c>
      <c r="V17" s="3232" cm="1">
        <f t="array" aca="1" ref="V17" ca="1">INDIRECT("'※ 재고 세부데이터'!"&amp;V$1&amp;$X17, TRUE)</f>
        <v>4.3862142499999992</v>
      </c>
      <c r="W17" s="3234" cm="1">
        <f t="array" aca="1" ref="W17" ca="1">INDIRECT("'※ 재고 세부데이터'!"&amp;W$1&amp;$X17, TRUE)</f>
        <v>-0.98133956316666637</v>
      </c>
      <c r="X17" s="3173">
        <f>ROW('※ 재고 세부데이터'!J14)</f>
        <v>14</v>
      </c>
    </row>
    <row r="18" spans="1:24" x14ac:dyDescent="0.55000000000000004">
      <c r="A18" s="7550"/>
      <c r="B18" s="3235" t="s">
        <v>274</v>
      </c>
      <c r="C18" s="3236" t="s">
        <v>847</v>
      </c>
      <c r="D18" s="3237" cm="1">
        <f t="array" aca="1" ref="D18" ca="1">INDIRECT("'※ 재고 세부데이터'!"&amp;D$1&amp;$X18, TRUE)</f>
        <v>19926</v>
      </c>
      <c r="E18" s="3238" cm="1">
        <f t="array" aca="1" ref="E18" ca="1">INDIRECT("'※ 재고 세부데이터'!"&amp;E$1&amp;$X18, TRUE)</f>
        <v>16229.75</v>
      </c>
      <c r="F18" s="3239" cm="1">
        <f t="array" aca="1" ref="F18" ca="1">INDIRECT("'※ 재고 세부데이터'!"&amp;F$1&amp;$X18, TRUE)</f>
        <v>28284</v>
      </c>
      <c r="G18" s="3240" cm="1">
        <f t="array" aca="1" ref="G18" ca="1">INDIRECT("'※ 재고 세부데이터'!"&amp;G$1&amp;$X18, TRUE)</f>
        <v>10167</v>
      </c>
      <c r="H18" s="3240" cm="1">
        <f t="array" aca="1" ref="H18" ca="1">INDIRECT("'※ 재고 세부데이터'!"&amp;H$1&amp;$X18, TRUE)</f>
        <v>6161</v>
      </c>
      <c r="I18" s="3240" cm="1">
        <f t="array" aca="1" ref="I18" ca="1">INDIRECT("'※ 재고 세부데이터'!"&amp;I$1&amp;$X18, TRUE)</f>
        <v>7981</v>
      </c>
      <c r="J18" s="3240" cm="1">
        <f t="array" aca="1" ref="J18" ca="1">INDIRECT("'※ 재고 세부데이터'!"&amp;J$1&amp;$X18, TRUE)</f>
        <v>7816</v>
      </c>
      <c r="K18" s="3240" cm="1">
        <f t="array" aca="1" ref="K18" ca="1">INDIRECT("'※ 재고 세부데이터'!"&amp;K$1&amp;$X18, TRUE)</f>
        <v>18188</v>
      </c>
      <c r="L18" s="3240" cm="1">
        <f t="array" aca="1" ref="L18" ca="1">INDIRECT("'※ 재고 세부데이터'!"&amp;L$1&amp;$X18, TRUE)</f>
        <v>48182</v>
      </c>
      <c r="M18" s="3240" cm="1">
        <f t="array" aca="1" ref="M18" ca="1">INDIRECT("'※ 재고 세부데이터'!"&amp;M$1&amp;$X18, TRUE)</f>
        <v>14015</v>
      </c>
      <c r="N18" s="3240" cm="1">
        <f t="array" aca="1" ref="N18" ca="1">INDIRECT("'※ 재고 세부데이터'!"&amp;N$1&amp;$X18, TRUE)</f>
        <v>9174</v>
      </c>
      <c r="O18" s="3240" cm="1">
        <f t="array" aca="1" ref="O18" ca="1">INDIRECT("'※ 재고 세부데이터'!"&amp;O$1&amp;$X18, TRUE)</f>
        <v>7138</v>
      </c>
      <c r="P18" s="3240" cm="1">
        <f t="array" aca="1" ref="P18" ca="1">INDIRECT("'※ 재고 세부데이터'!"&amp;P$1&amp;$X18, TRUE)</f>
        <v>7263</v>
      </c>
      <c r="Q18" s="3240" cm="1">
        <f t="array" aca="1" ref="Q18" ca="1">INDIRECT("'※ 재고 세부데이터'!"&amp;Q$1&amp;$X18, TRUE)</f>
        <v>113362</v>
      </c>
      <c r="R18" s="3240" cm="1">
        <f t="array" aca="1" ref="R18" ca="1">INDIRECT("'※ 재고 세부데이터'!"&amp;R$1&amp;$X18, TRUE)</f>
        <v>106099</v>
      </c>
      <c r="S18" s="3240" cm="1">
        <f t="array" aca="1" ref="S18" ca="1">INDIRECT("'※ 재고 세부데이터'!"&amp;S$1&amp;$X18, TRUE)</f>
        <v>110641</v>
      </c>
      <c r="T18" s="3241" cm="1">
        <f t="array" aca="1" ref="T18" ca="1">INDIRECT("'※ 재고 세부데이터'!"&amp;T$1&amp;$X18, TRUE)</f>
        <v>277731</v>
      </c>
      <c r="U18" s="3240" cm="1">
        <f t="array" aca="1" ref="U18" ca="1">INDIRECT("'※ 재고 세부데이터'!"&amp;U$1&amp;$X18, TRUE)</f>
        <v>261501.25</v>
      </c>
      <c r="V18" s="3240" cm="1">
        <f t="array" aca="1" ref="V18" ca="1">INDIRECT("'※ 재고 세부데이터'!"&amp;V$1&amp;$X18, TRUE)</f>
        <v>23144.25</v>
      </c>
      <c r="W18" s="3242" cm="1">
        <f t="array" aca="1" ref="W18" ca="1">INDIRECT("'※ 재고 세부데이터'!"&amp;W$1&amp;$X18, TRUE)</f>
        <v>6914.5</v>
      </c>
      <c r="X18" s="3173">
        <f>ROW('※ 재고 세부데이터'!J15)</f>
        <v>15</v>
      </c>
    </row>
    <row r="19" spans="1:24" x14ac:dyDescent="0.55000000000000004">
      <c r="A19" s="7550"/>
      <c r="B19" s="3228"/>
      <c r="C19" s="2493" t="s">
        <v>848</v>
      </c>
      <c r="D19" s="3243" cm="1">
        <f t="array" aca="1" ref="D19" ca="1">INDIRECT("'※ 재고 세부데이터'!"&amp;D$1&amp;$X19, TRUE)</f>
        <v>16625.5</v>
      </c>
      <c r="E19" s="3244" cm="1">
        <f t="array" aca="1" ref="E19" ca="1">INDIRECT("'※ 재고 세부데이터'!"&amp;E$1&amp;$X19, TRUE)</f>
        <v>15300.166666666666</v>
      </c>
      <c r="F19" s="3245" cm="1">
        <f t="array" aca="1" ref="F19" ca="1">INDIRECT("'※ 재고 세부데이터'!"&amp;F$1&amp;$X19, TRUE)</f>
        <v>28558</v>
      </c>
      <c r="G19" s="3246" cm="1">
        <f t="array" aca="1" ref="G19" ca="1">INDIRECT("'※ 재고 세부데이터'!"&amp;G$1&amp;$X19, TRUE)</f>
        <v>9237</v>
      </c>
      <c r="H19" s="3246" cm="1">
        <f t="array" aca="1" ref="H19" ca="1">INDIRECT("'※ 재고 세부데이터'!"&amp;H$1&amp;$X19, TRUE)</f>
        <v>5229</v>
      </c>
      <c r="I19" s="3246" cm="1">
        <f t="array" aca="1" ref="I19" ca="1">INDIRECT("'※ 재고 세부데이터'!"&amp;I$1&amp;$X19, TRUE)</f>
        <v>7352</v>
      </c>
      <c r="J19" s="3246" cm="1">
        <f t="array" aca="1" ref="J19" ca="1">INDIRECT("'※ 재고 세부데이터'!"&amp;J$1&amp;$X19, TRUE)</f>
        <v>6441</v>
      </c>
      <c r="K19" s="3246" cm="1">
        <f t="array" aca="1" ref="K19" ca="1">INDIRECT("'※ 재고 세부데이터'!"&amp;K$1&amp;$X19, TRUE)</f>
        <v>18201</v>
      </c>
      <c r="L19" s="3246" cm="1">
        <f t="array" aca="1" ref="L19" ca="1">INDIRECT("'※ 재고 세부데이터'!"&amp;L$1&amp;$X19, TRUE)</f>
        <v>48309</v>
      </c>
      <c r="M19" s="3246" cm="1">
        <f t="array" aca="1" ref="M19" ca="1">INDIRECT("'※ 재고 세부데이터'!"&amp;M$1&amp;$X19, TRUE)</f>
        <v>13639</v>
      </c>
      <c r="N19" s="3246" cm="1">
        <f t="array" aca="1" ref="N19" ca="1">INDIRECT("'※ 재고 세부데이터'!"&amp;N$1&amp;$X19, TRUE)</f>
        <v>6099</v>
      </c>
      <c r="O19" s="3246" cm="1">
        <f t="array" aca="1" ref="O19" ca="1">INDIRECT("'※ 재고 세부데이터'!"&amp;O$1&amp;$X19, TRUE)</f>
        <v>6049</v>
      </c>
      <c r="P19" s="3246" cm="1">
        <f t="array" aca="1" ref="P19" ca="1">INDIRECT("'※ 재고 세부데이터'!"&amp;P$1&amp;$X19, TRUE)</f>
        <v>8039</v>
      </c>
      <c r="Q19" s="3246" cm="1">
        <f t="array" aca="1" ref="Q19" ca="1">INDIRECT("'※ 재고 세부데이터'!"&amp;Q$1&amp;$X19, TRUE)</f>
        <v>11744</v>
      </c>
      <c r="R19" s="3246" cm="1">
        <f t="array" aca="1" ref="R19" ca="1">INDIRECT("'※ 재고 세부데이터'!"&amp;R$1&amp;$X19, TRUE)</f>
        <v>3705</v>
      </c>
      <c r="S19" s="3246" cm="1">
        <f t="array" aca="1" ref="S19" ca="1">INDIRECT("'※ 재고 세부데이터'!"&amp;S$1&amp;$X19, TRUE)</f>
        <v>9396</v>
      </c>
      <c r="T19" s="3247" cm="1">
        <f t="array" aca="1" ref="T19" ca="1">INDIRECT("'※ 재고 세부데이터'!"&amp;T$1&amp;$X19, TRUE)</f>
        <v>168897</v>
      </c>
      <c r="U19" s="3246" cm="1">
        <f t="array" aca="1" ref="U19" ca="1">INDIRECT("'※ 재고 세부데이터'!"&amp;U$1&amp;$X19, TRUE)</f>
        <v>153596.83333333334</v>
      </c>
      <c r="V19" s="3246" cm="1">
        <f t="array" aca="1" ref="V19" ca="1">INDIRECT("'※ 재고 세부데이터'!"&amp;V$1&amp;$X19, TRUE)</f>
        <v>14074.75</v>
      </c>
      <c r="W19" s="3248" cm="1">
        <f t="array" aca="1" ref="W19" ca="1">INDIRECT("'※ 재고 세부데이터'!"&amp;W$1&amp;$X19, TRUE)</f>
        <v>-1225.4166666666661</v>
      </c>
      <c r="X19" s="3173">
        <f>ROW('※ 재고 세부데이터'!J16)</f>
        <v>16</v>
      </c>
    </row>
    <row r="20" spans="1:24" x14ac:dyDescent="0.55000000000000004">
      <c r="A20" s="7550"/>
      <c r="B20" s="3228"/>
      <c r="C20" s="2493" t="s">
        <v>845</v>
      </c>
      <c r="D20" s="3249" cm="1">
        <f t="array" aca="1" ref="D20" ca="1">INDIRECT("'※ 재고 세부데이터'!"&amp;D$1&amp;$X20, TRUE)</f>
        <v>90.958333333333329</v>
      </c>
      <c r="E20" s="3250" cm="1">
        <f t="array" aca="1" ref="E20" ca="1">INDIRECT("'※ 재고 세부데이터'!"&amp;E$1&amp;$X20, TRUE)</f>
        <v>93.041666666666643</v>
      </c>
      <c r="F20" s="3251" cm="1">
        <f t="array" aca="1" ref="F20" ca="1">INDIRECT("'※ 재고 세부데이터'!"&amp;F$1&amp;$X20, TRUE)</f>
        <v>293.7</v>
      </c>
      <c r="G20" s="3252" cm="1">
        <f t="array" aca="1" ref="G20" ca="1">INDIRECT("'※ 재고 세부데이터'!"&amp;G$1&amp;$X20, TRUE)</f>
        <v>81.099999999999994</v>
      </c>
      <c r="H20" s="3252" cm="1">
        <f t="array" aca="1" ref="H20" ca="1">INDIRECT("'※ 재고 세부데이터'!"&amp;H$1&amp;$X20, TRUE)</f>
        <v>22</v>
      </c>
      <c r="I20" s="3252" cm="1">
        <f t="array" aca="1" ref="I20" ca="1">INDIRECT("'※ 재고 세부데이터'!"&amp;I$1&amp;$X20, TRUE)</f>
        <v>26</v>
      </c>
      <c r="J20" s="3252" cm="1">
        <f t="array" aca="1" ref="J20" ca="1">INDIRECT("'※ 재고 세부데이터'!"&amp;J$1&amp;$X20, TRUE)</f>
        <v>39.4</v>
      </c>
      <c r="K20" s="3252" cm="1">
        <f t="array" aca="1" ref="K20" ca="1">INDIRECT("'※ 재고 세부데이터'!"&amp;K$1&amp;$X20, TRUE)</f>
        <v>89.8</v>
      </c>
      <c r="L20" s="3252" cm="1">
        <f t="array" aca="1" ref="L20" ca="1">INDIRECT("'※ 재고 세부데이터'!"&amp;L$1&amp;$X20, TRUE)</f>
        <v>257.10000000000002</v>
      </c>
      <c r="M20" s="3252" cm="1">
        <f t="array" aca="1" ref="M20" ca="1">INDIRECT("'※ 재고 세부데이터'!"&amp;M$1&amp;$X20, TRUE)</f>
        <v>116.85</v>
      </c>
      <c r="N20" s="3252" cm="1">
        <f t="array" aca="1" ref="N20" ca="1">INDIRECT("'※ 재고 세부데이터'!"&amp;N$1&amp;$X20, TRUE)</f>
        <v>62.78</v>
      </c>
      <c r="O20" s="3252" cm="1">
        <f t="array" aca="1" ref="O20" ca="1">INDIRECT("'※ 재고 세부데이터'!"&amp;O$1&amp;$X20, TRUE)</f>
        <v>38.950000000000003</v>
      </c>
      <c r="P20" s="3252" cm="1">
        <f t="array" aca="1" ref="P20" ca="1">INDIRECT("'※ 재고 세부데이터'!"&amp;P$1&amp;$X20, TRUE)</f>
        <v>53.6</v>
      </c>
      <c r="Q20" s="3252" cm="1">
        <f t="array" aca="1" ref="Q20" ca="1">INDIRECT("'※ 재고 세부데이터'!"&amp;Q$1&amp;$X20, TRUE)</f>
        <v>55.4</v>
      </c>
      <c r="R20" s="3252" cm="1">
        <f t="array" aca="1" ref="R20" ca="1">INDIRECT("'※ 재고 세부데이터'!"&amp;R$1&amp;$X20, TRUE)</f>
        <v>1.7999999999999972</v>
      </c>
      <c r="S20" s="3252" cm="1">
        <f t="array" aca="1" ref="S20" ca="1">INDIRECT("'※ 재고 세부데이터'!"&amp;S$1&amp;$X20, TRUE)</f>
        <v>23.299999999999997</v>
      </c>
      <c r="T20" s="3226" cm="1">
        <f t="array" aca="1" ref="T20" ca="1">INDIRECT("'※ 재고 세부데이터'!"&amp;T$1&amp;$X20, TRUE)</f>
        <v>1136.6799999999998</v>
      </c>
      <c r="U20" s="3252" cm="1">
        <f t="array" aca="1" ref="U20" ca="1">INDIRECT("'※ 재고 세부데이터'!"&amp;U$1&amp;$X20, TRUE)</f>
        <v>1043.6383333333331</v>
      </c>
      <c r="V20" s="3252" cm="1">
        <f t="array" aca="1" ref="V20" ca="1">INDIRECT("'※ 재고 세부데이터'!"&amp;V$1&amp;$X20, TRUE)</f>
        <v>94.723333333333315</v>
      </c>
      <c r="W20" s="3253" cm="1">
        <f t="array" aca="1" ref="W20" ca="1">INDIRECT("'※ 재고 세부데이터'!"&amp;W$1&amp;$X20, TRUE)</f>
        <v>1.681666666666672</v>
      </c>
      <c r="X20" s="3173">
        <f>ROW('※ 재고 세부데이터'!J17)</f>
        <v>17</v>
      </c>
    </row>
    <row r="21" spans="1:24" x14ac:dyDescent="0.55000000000000004">
      <c r="A21" s="7550"/>
      <c r="B21" s="3254"/>
      <c r="C21" s="3255" t="s">
        <v>846</v>
      </c>
      <c r="D21" s="3256" cm="1">
        <f t="array" aca="1" ref="D21" ca="1">INDIRECT("'※ 재고 세부데이터'!"&amp;D$1&amp;$X21, TRUE)</f>
        <v>2.1284249999999996</v>
      </c>
      <c r="E21" s="3257" cm="1">
        <f t="array" aca="1" ref="E21" ca="1">INDIRECT("'※ 재고 세부데이터'!"&amp;E$1&amp;$X21, TRUE)</f>
        <v>2.1316349999999997</v>
      </c>
      <c r="F21" s="3258" cm="1">
        <f t="array" aca="1" ref="F21" ca="1">INDIRECT("'※ 재고 세부데이터'!"&amp;F$1&amp;$X21, TRUE)</f>
        <v>6.8725799999999992</v>
      </c>
      <c r="G21" s="3259" cm="1">
        <f t="array" aca="1" ref="G21" ca="1">INDIRECT("'※ 재고 세부데이터'!"&amp;G$1&amp;$X21, TRUE)</f>
        <v>1.8977399999999995</v>
      </c>
      <c r="H21" s="3259" cm="1">
        <f t="array" aca="1" ref="H21" ca="1">INDIRECT("'※ 재고 세부데이터'!"&amp;H$1&amp;$X21, TRUE)</f>
        <v>0.51479999999999992</v>
      </c>
      <c r="I21" s="3259" cm="1">
        <f t="array" aca="1" ref="I21" ca="1">INDIRECT("'※ 재고 세부데이터'!"&amp;I$1&amp;$X21, TRUE)</f>
        <v>0.60839999999999994</v>
      </c>
      <c r="J21" s="3259" cm="1">
        <f t="array" aca="1" ref="J21" ca="1">INDIRECT("'※ 재고 세부데이터'!"&amp;J$1&amp;$X21, TRUE)</f>
        <v>0.92195999999999989</v>
      </c>
      <c r="K21" s="3259" cm="1">
        <f t="array" aca="1" ref="K21" ca="1">INDIRECT("'※ 재고 세부데이터'!"&amp;K$1&amp;$X21, TRUE)</f>
        <v>2.1013199999999999</v>
      </c>
      <c r="L21" s="3259" cm="1">
        <f t="array" aca="1" ref="L21" ca="1">INDIRECT("'※ 재고 세부데이터'!"&amp;L$1&amp;$X21, TRUE)</f>
        <v>5.99</v>
      </c>
      <c r="M21" s="3259" cm="1">
        <f t="array" aca="1" ref="M21" ca="1">INDIRECT("'※ 재고 세부데이터'!"&amp;M$1&amp;$X21, TRUE)</f>
        <v>2.73</v>
      </c>
      <c r="N21" s="3259" cm="1">
        <f t="array" aca="1" ref="N21" ca="1">INDIRECT("'※ 재고 세부데이터'!"&amp;N$1&amp;$X21, TRUE)</f>
        <v>1.4690519999999998</v>
      </c>
      <c r="O21" s="3259" cm="1">
        <f t="array" aca="1" ref="O21" ca="1">INDIRECT("'※ 재고 세부데이터'!"&amp;O$1&amp;$X21, TRUE)</f>
        <v>0.91142999999999996</v>
      </c>
      <c r="P21" s="3259" cm="1">
        <f t="array" aca="1" ref="P21" ca="1">INDIRECT("'※ 재고 세부데이터'!"&amp;P$1&amp;$X21, TRUE)</f>
        <v>1.2006400000000002</v>
      </c>
      <c r="Q21" s="3259" cm="1">
        <f t="array" aca="1" ref="Q21" ca="1">INDIRECT("'※ 재고 세부데이터'!"&amp;Q$1&amp;$X21, TRUE)</f>
        <v>1.24</v>
      </c>
      <c r="R21" s="3259" cm="1">
        <f t="array" aca="1" ref="R21" ca="1">INDIRECT("'※ 재고 세부데이터'!"&amp;R$1&amp;$X21, TRUE)</f>
        <v>3.935999999999984E-2</v>
      </c>
      <c r="S21" s="3259" cm="1">
        <f t="array" aca="1" ref="S21" ca="1">INDIRECT("'※ 재고 세부데이터'!"&amp;S$1&amp;$X21, TRUE)</f>
        <v>0.6621999999999999</v>
      </c>
      <c r="T21" s="3260" cm="1">
        <f t="array" aca="1" ref="T21" ca="1">INDIRECT("'※ 재고 세부데이터'!"&amp;T$1&amp;$X21, TRUE)</f>
        <v>26.457921999999996</v>
      </c>
      <c r="U21" s="3259" cm="1">
        <f t="array" aca="1" ref="U21" ca="1">INDIRECT("'※ 재고 세부데이터'!"&amp;U$1&amp;$X21, TRUE)</f>
        <v>24.326286999999997</v>
      </c>
      <c r="V21" s="3259" cm="1">
        <f t="array" aca="1" ref="V21" ca="1">INDIRECT("'※ 재고 세부데이터'!"&amp;V$1&amp;$X21, TRUE)</f>
        <v>2.2048268333333332</v>
      </c>
      <c r="W21" s="3261" cm="1">
        <f t="array" aca="1" ref="W21" ca="1">INDIRECT("'※ 재고 세부데이터'!"&amp;W$1&amp;$X21, TRUE)</f>
        <v>7.3191833333333456E-2</v>
      </c>
      <c r="X21" s="3173">
        <f>ROW('※ 재고 세부데이터'!J18)</f>
        <v>18</v>
      </c>
    </row>
    <row r="22" spans="1:24" x14ac:dyDescent="0.55000000000000004">
      <c r="A22" s="7550"/>
      <c r="B22" s="3228" t="s">
        <v>275</v>
      </c>
      <c r="C22" s="2493" t="s">
        <v>849</v>
      </c>
      <c r="D22" s="3243" cm="1">
        <f t="array" aca="1" ref="D22" ca="1">INDIRECT("'※ 재고 세부데이터'!"&amp;D$1&amp;$X22, TRUE)</f>
        <v>4323.333333333333</v>
      </c>
      <c r="E22" s="3244" cm="1">
        <f t="array" aca="1" ref="E22" ca="1">INDIRECT("'※ 재고 세부데이터'!"&amp;E$1&amp;$X22, TRUE)</f>
        <v>4836.666666666667</v>
      </c>
      <c r="F22" s="3262" cm="1">
        <f t="array" aca="1" ref="F22" ca="1">INDIRECT("'※ 재고 세부데이터'!"&amp;F$1&amp;$X22, TRUE)</f>
        <v>0</v>
      </c>
      <c r="G22" s="3263" cm="1">
        <f t="array" aca="1" ref="G22" ca="1">INDIRECT("'※ 재고 세부데이터'!"&amp;G$1&amp;$X22, TRUE)</f>
        <v>0</v>
      </c>
      <c r="H22" s="3263" cm="1">
        <f t="array" aca="1" ref="H22" ca="1">INDIRECT("'※ 재고 세부데이터'!"&amp;H$1&amp;$X22, TRUE)</f>
        <v>0</v>
      </c>
      <c r="I22" s="3263" cm="1">
        <f t="array" aca="1" ref="I22" ca="1">INDIRECT("'※ 재고 세부데이터'!"&amp;I$1&amp;$X22, TRUE)</f>
        <v>0</v>
      </c>
      <c r="J22" s="3263" cm="1">
        <f t="array" aca="1" ref="J22" ca="1">INDIRECT("'※ 재고 세부데이터'!"&amp;J$1&amp;$X22, TRUE)</f>
        <v>500</v>
      </c>
      <c r="K22" s="3263" cm="1">
        <f t="array" aca="1" ref="K22" ca="1">INDIRECT("'※ 재고 세부데이터'!"&amp;K$1&amp;$X22, TRUE)</f>
        <v>0</v>
      </c>
      <c r="L22" s="3263" cm="1">
        <f t="array" aca="1" ref="L22" ca="1">INDIRECT("'※ 재고 세부데이터'!"&amp;L$1&amp;$X22, TRUE)</f>
        <v>0</v>
      </c>
      <c r="M22" s="3263" cm="1">
        <f t="array" aca="1" ref="M22" ca="1">INDIRECT("'※ 재고 세부데이터'!"&amp;M$1&amp;$X22, TRUE)</f>
        <v>0</v>
      </c>
      <c r="N22" s="3263" cm="1">
        <f t="array" aca="1" ref="N22" ca="1">INDIRECT("'※ 재고 세부데이터'!"&amp;N$1&amp;$X22, TRUE)</f>
        <v>25080</v>
      </c>
      <c r="O22" s="3263" cm="1">
        <f t="array" aca="1" ref="O22" ca="1">INDIRECT("'※ 재고 세부데이터'!"&amp;O$1&amp;$X22, TRUE)</f>
        <v>7020</v>
      </c>
      <c r="P22" s="3263" cm="1">
        <f t="array" aca="1" ref="P22" ca="1">INDIRECT("'※ 재고 세부데이터'!"&amp;P$1&amp;$X22, TRUE)</f>
        <v>0</v>
      </c>
      <c r="Q22" s="3263" cm="1">
        <f t="array" aca="1" ref="Q22" ca="1">INDIRECT("'※ 재고 세부데이터'!"&amp;Q$1&amp;$X22, TRUE)</f>
        <v>0</v>
      </c>
      <c r="R22" s="3263" cm="1">
        <f t="array" aca="1" ref="R22" ca="1">INDIRECT("'※ 재고 세부데이터'!"&amp;R$1&amp;$X22, TRUE)</f>
        <v>0</v>
      </c>
      <c r="S22" s="3263" cm="1">
        <f t="array" aca="1" ref="S22" ca="1">INDIRECT("'※ 재고 세부데이터'!"&amp;S$1&amp;$X22, TRUE)</f>
        <v>0</v>
      </c>
      <c r="T22" s="3247" cm="1">
        <f t="array" aca="1" ref="T22" ca="1">INDIRECT("'※ 재고 세부데이터'!"&amp;T$1&amp;$X22, TRUE)</f>
        <v>32600</v>
      </c>
      <c r="U22" s="3246" cm="1">
        <f t="array" aca="1" ref="U22" ca="1">INDIRECT("'※ 재고 세부데이터'!"&amp;U$1&amp;$X22, TRUE)</f>
        <v>27763.333333333332</v>
      </c>
      <c r="V22" s="3246" cm="1">
        <f t="array" aca="1" ref="V22" ca="1">INDIRECT("'※ 재고 세부데이터'!"&amp;V$1&amp;$X22, TRUE)</f>
        <v>2716.6666666666665</v>
      </c>
      <c r="W22" s="3248" cm="1">
        <f t="array" aca="1" ref="W22" ca="1">INDIRECT("'※ 재고 세부데이터'!"&amp;W$1&amp;$X22, TRUE)</f>
        <v>-2120.0000000000005</v>
      </c>
      <c r="X22" s="3173">
        <f>ROW('※ 재고 세부데이터'!J19)</f>
        <v>19</v>
      </c>
    </row>
    <row r="23" spans="1:24" x14ac:dyDescent="0.55000000000000004">
      <c r="A23" s="7550"/>
      <c r="B23" s="3228"/>
      <c r="C23" s="2493" t="s">
        <v>848</v>
      </c>
      <c r="D23" s="3243" cm="1">
        <f t="array" aca="1" ref="D23" ca="1">INDIRECT("'※ 재고 세부데이터'!"&amp;D$1&amp;$X23, TRUE)</f>
        <v>4717.5</v>
      </c>
      <c r="E23" s="3244" cm="1">
        <f t="array" aca="1" ref="E23" ca="1">INDIRECT("'※ 재고 세부데이터'!"&amp;E$1&amp;$X23, TRUE)</f>
        <v>5009.5</v>
      </c>
      <c r="F23" s="3245" cm="1">
        <f t="array" aca="1" ref="F23" ca="1">INDIRECT("'※ 재고 세부데이터'!"&amp;F$1&amp;$X23, TRUE)</f>
        <v>1260</v>
      </c>
      <c r="G23" s="3246" cm="1">
        <f t="array" aca="1" ref="G23" ca="1">INDIRECT("'※ 재고 세부데이터'!"&amp;G$1&amp;$X23, TRUE)</f>
        <v>1350</v>
      </c>
      <c r="H23" s="3246" cm="1">
        <f t="array" aca="1" ref="H23" ca="1">INDIRECT("'※ 재고 세부데이터'!"&amp;H$1&amp;$X23, TRUE)</f>
        <v>358</v>
      </c>
      <c r="I23" s="3246" cm="1">
        <f t="array" aca="1" ref="I23" ca="1">INDIRECT("'※ 재고 세부데이터'!"&amp;I$1&amp;$X23, TRUE)</f>
        <v>3371</v>
      </c>
      <c r="J23" s="3246" cm="1">
        <f t="array" aca="1" ref="J23" ca="1">INDIRECT("'※ 재고 세부데이터'!"&amp;J$1&amp;$X23, TRUE)</f>
        <v>160</v>
      </c>
      <c r="K23" s="3246" cm="1">
        <f t="array" aca="1" ref="K23" ca="1">INDIRECT("'※ 재고 세부데이터'!"&amp;K$1&amp;$X23, TRUE)</f>
        <v>3160</v>
      </c>
      <c r="L23" s="3246" cm="1">
        <f t="array" aca="1" ref="L23" ca="1">INDIRECT("'※ 재고 세부데이터'!"&amp;L$1&amp;$X23, TRUE)</f>
        <v>460</v>
      </c>
      <c r="M23" s="3246" cm="1">
        <f t="array" aca="1" ref="M23" ca="1">INDIRECT("'※ 재고 세부데이터'!"&amp;M$1&amp;$X23, TRUE)</f>
        <v>210</v>
      </c>
      <c r="N23" s="3246" cm="1">
        <f t="array" aca="1" ref="N23" ca="1">INDIRECT("'※ 재고 세부데이터'!"&amp;N$1&amp;$X23, TRUE)</f>
        <v>13500</v>
      </c>
      <c r="O23" s="3246" cm="1">
        <f t="array" aca="1" ref="O23" ca="1">INDIRECT("'※ 재고 세부데이터'!"&amp;O$1&amp;$X23, TRUE)</f>
        <v>8640</v>
      </c>
      <c r="P23" s="3246" cm="1">
        <f t="array" aca="1" ref="P23" ca="1">INDIRECT("'※ 재고 세부데이터'!"&amp;P$1&amp;$X23, TRUE)</f>
        <v>2042</v>
      </c>
      <c r="Q23" s="3246" cm="1">
        <f t="array" aca="1" ref="Q23" ca="1">INDIRECT("'※ 재고 세부데이터'!"&amp;Q$1&amp;$X23, TRUE)</f>
        <v>3740</v>
      </c>
      <c r="R23" s="3246" cm="1">
        <f t="array" aca="1" ref="R23" ca="1">INDIRECT("'※ 재고 세부데이터'!"&amp;R$1&amp;$X23, TRUE)</f>
        <v>1698</v>
      </c>
      <c r="S23" s="3246" cm="1">
        <f t="array" aca="1" ref="S23" ca="1">INDIRECT("'※ 재고 세부데이터'!"&amp;S$1&amp;$X23, TRUE)</f>
        <v>-4180</v>
      </c>
      <c r="T23" s="3247" cm="1">
        <f t="array" aca="1" ref="T23" ca="1">INDIRECT("'※ 재고 세부데이터'!"&amp;T$1&amp;$X23, TRUE)</f>
        <v>38251</v>
      </c>
      <c r="U23" s="3246" cm="1">
        <f t="array" aca="1" ref="U23" ca="1">INDIRECT("'※ 재고 세부데이터'!"&amp;U$1&amp;$X23, TRUE)</f>
        <v>33241.5</v>
      </c>
      <c r="V23" s="3246" cm="1">
        <f t="array" aca="1" ref="V23" ca="1">INDIRECT("'※ 재고 세부데이터'!"&amp;V$1&amp;$X23, TRUE)</f>
        <v>3187.5833333333335</v>
      </c>
      <c r="W23" s="3248" cm="1">
        <f t="array" aca="1" ref="W23" ca="1">INDIRECT("'※ 재고 세부데이터'!"&amp;W$1&amp;$X23, TRUE)</f>
        <v>-1821.9166666666665</v>
      </c>
      <c r="X23" s="3173">
        <f>ROW('※ 재고 세부데이터'!J20)</f>
        <v>20</v>
      </c>
    </row>
    <row r="24" spans="1:24" x14ac:dyDescent="0.55000000000000004">
      <c r="A24" s="7551"/>
      <c r="B24" s="2493"/>
      <c r="C24" s="2493" t="s">
        <v>845</v>
      </c>
      <c r="D24" s="3249" cm="1">
        <f t="array" aca="1" ref="D24" ca="1">INDIRECT("'※ 재고 세부데이터'!"&amp;D$1&amp;$X24, TRUE)</f>
        <v>44.375799343333341</v>
      </c>
      <c r="E24" s="3250" cm="1">
        <f t="array" aca="1" ref="E24" ca="1">INDIRECT("'※ 재고 세부데이터'!"&amp;E$1&amp;$X24, TRUE)</f>
        <v>63.227354520166664</v>
      </c>
      <c r="F24" s="3251" cm="1">
        <f t="array" aca="1" ref="F24" ca="1">INDIRECT("'※ 재고 세부데이터'!"&amp;F$1&amp;$X24, TRUE)</f>
        <v>19.600000000000001</v>
      </c>
      <c r="G24" s="3252" cm="1">
        <f t="array" aca="1" ref="G24" ca="1">INDIRECT("'※ 재고 세부데이터'!"&amp;G$1&amp;$X24, TRUE)</f>
        <v>13.6</v>
      </c>
      <c r="H24" s="3252" cm="1">
        <f t="array" aca="1" ref="H24" ca="1">INDIRECT("'※ 재고 세부데이터'!"&amp;H$1&amp;$X24, TRUE)</f>
        <v>5.69</v>
      </c>
      <c r="I24" s="3252" cm="1">
        <f t="array" aca="1" ref="I24" ca="1">INDIRECT("'※ 재고 세부데이터'!"&amp;I$1&amp;$X24, TRUE)</f>
        <v>34.4</v>
      </c>
      <c r="J24" s="3252" cm="1">
        <f t="array" aca="1" ref="J24" ca="1">INDIRECT("'※ 재고 세부데이터'!"&amp;J$1&amp;$X24, TRUE)</f>
        <v>2.6</v>
      </c>
      <c r="K24" s="3252" cm="1">
        <f t="array" aca="1" ref="K24" ca="1">INDIRECT("'※ 재고 세부데이터'!"&amp;K$1&amp;$X24, TRUE)</f>
        <v>16.600000000000001</v>
      </c>
      <c r="L24" s="3252" cm="1">
        <f t="array" aca="1" ref="L24" ca="1">INDIRECT("'※ 재고 세부데이터'!"&amp;L$1&amp;$X24, TRUE)</f>
        <v>4.3</v>
      </c>
      <c r="M24" s="3252" cm="1">
        <f t="array" aca="1" ref="M24" ca="1">INDIRECT("'※ 재고 세부데이터'!"&amp;M$1&amp;$X24, TRUE)</f>
        <v>3.5</v>
      </c>
      <c r="N24" s="3252" cm="1">
        <f t="array" aca="1" ref="N24" ca="1">INDIRECT("'※ 재고 세부데이터'!"&amp;N$1&amp;$X24, TRUE)</f>
        <v>206.4</v>
      </c>
      <c r="O24" s="3252" cm="1">
        <f t="array" aca="1" ref="O24" ca="1">INDIRECT("'※ 재고 세부데이터'!"&amp;O$1&amp;$X24, TRUE)</f>
        <v>120.88</v>
      </c>
      <c r="P24" s="3252" cm="1">
        <f t="array" aca="1" ref="P24" ca="1">INDIRECT("'※ 재고 세부데이터'!"&amp;P$1&amp;$X24, TRUE)</f>
        <v>22.46</v>
      </c>
      <c r="Q24" s="3252" cm="1">
        <f t="array" aca="1" ref="Q24" ca="1">INDIRECT("'※ 재고 세부데이터'!"&amp;Q$1&amp;$X24, TRUE)</f>
        <v>49.7</v>
      </c>
      <c r="R24" s="3252" cm="1">
        <f t="array" aca="1" ref="R24" ca="1">INDIRECT("'※ 재고 세부데이터'!"&amp;R$1&amp;$X24, TRUE)</f>
        <v>27.240000000000002</v>
      </c>
      <c r="S24" s="3252" cm="1">
        <f t="array" aca="1" ref="S24" ca="1">INDIRECT("'※ 재고 세부데이터'!"&amp;S$1&amp;$X24, TRUE)</f>
        <v>-21.200000000000003</v>
      </c>
      <c r="T24" s="3226" cm="1">
        <f t="array" aca="1" ref="T24" ca="1">INDIRECT("'※ 재고 세부데이터'!"&amp;T$1&amp;$X24, TRUE)</f>
        <v>499.72999999999996</v>
      </c>
      <c r="U24" s="3252" cm="1">
        <f t="array" aca="1" ref="U24" ca="1">INDIRECT("'※ 재고 세부데이터'!"&amp;U$1&amp;$X24, TRUE)</f>
        <v>436.50264547983329</v>
      </c>
      <c r="V24" s="3252" cm="1">
        <f t="array" aca="1" ref="V24" ca="1">INDIRECT("'※ 재고 세부데이터'!"&amp;V$1&amp;$X24, TRUE)</f>
        <v>41.644166666666663</v>
      </c>
      <c r="W24" s="3253" cm="1">
        <f t="array" aca="1" ref="W24" ca="1">INDIRECT("'※ 재고 세부데이터'!"&amp;W$1&amp;$X24, TRUE)</f>
        <v>-21.5831878535</v>
      </c>
      <c r="X24" s="3173">
        <f>ROW('※ 재고 세부데이터'!J21)</f>
        <v>21</v>
      </c>
    </row>
    <row r="25" spans="1:24" ht="15.45" thickBot="1" x14ac:dyDescent="0.6">
      <c r="A25" s="7552"/>
      <c r="B25" s="3206"/>
      <c r="C25" s="3264" t="s">
        <v>846</v>
      </c>
      <c r="D25" s="3265" cm="1">
        <f t="array" aca="1" ref="D25" ca="1">INDIRECT("'※ 재고 세부데이터'!"&amp;D$1&amp;$X25, TRUE)</f>
        <v>2.1495923233333323</v>
      </c>
      <c r="E25" s="3266" cm="1">
        <f t="array" aca="1" ref="E25" ca="1">INDIRECT("'※ 재고 세부데이터'!"&amp;E$1&amp;$X25, TRUE)</f>
        <v>3.2359188131666663</v>
      </c>
      <c r="F25" s="3267" cm="1">
        <f t="array" aca="1" ref="F25" ca="1">INDIRECT("'※ 재고 세부데이터'!"&amp;F$1&amp;$X25, TRUE)</f>
        <v>1.04</v>
      </c>
      <c r="G25" s="3268" cm="1">
        <f t="array" aca="1" ref="G25" ca="1">INDIRECT("'※ 재고 세부데이터'!"&amp;G$1&amp;$X25, TRUE)</f>
        <v>1.7</v>
      </c>
      <c r="H25" s="3268" cm="1">
        <f t="array" aca="1" ref="H25" ca="1">INDIRECT("'※ 재고 세부데이터'!"&amp;H$1&amp;$X25, TRUE)</f>
        <v>0.4</v>
      </c>
      <c r="I25" s="3268" cm="1">
        <f t="array" aca="1" ref="I25" ca="1">INDIRECT("'※ 재고 세부데이터'!"&amp;I$1&amp;$X25, TRUE)</f>
        <v>0.8</v>
      </c>
      <c r="J25" s="3268" cm="1">
        <f t="array" aca="1" ref="J25" ca="1">INDIRECT("'※ 재고 세부데이터'!"&amp;J$1&amp;$X25, TRUE)</f>
        <v>0.2</v>
      </c>
      <c r="K25" s="3268" cm="1">
        <f t="array" aca="1" ref="K25" ca="1">INDIRECT("'※ 재고 세부데이터'!"&amp;K$1&amp;$X25, TRUE)</f>
        <v>0.67</v>
      </c>
      <c r="L25" s="3268" cm="1">
        <f t="array" aca="1" ref="L25" ca="1">INDIRECT("'※ 재고 세부데이터'!"&amp;L$1&amp;$X25, TRUE)</f>
        <v>0.4</v>
      </c>
      <c r="M25" s="3268" cm="1">
        <f t="array" aca="1" ref="M25" ca="1">INDIRECT("'※ 재고 세부데이터'!"&amp;M$1&amp;$X25, TRUE)</f>
        <v>0.2</v>
      </c>
      <c r="N25" s="3268" cm="1">
        <f t="array" aca="1" ref="N25" ca="1">INDIRECT("'※ 재고 세부데이터'!"&amp;N$1&amp;$X25, TRUE)</f>
        <v>11.447919000000001</v>
      </c>
      <c r="O25" s="3268" cm="1">
        <f t="array" aca="1" ref="O25" ca="1">INDIRECT("'※ 재고 세부데이터'!"&amp;O$1&amp;$X25, TRUE)</f>
        <v>6.11937</v>
      </c>
      <c r="P25" s="3268" cm="1">
        <f t="array" aca="1" ref="P25" ca="1">INDIRECT("'※ 재고 세부데이터'!"&amp;P$1&amp;$X25, TRUE)</f>
        <v>0.98</v>
      </c>
      <c r="Q25" s="3268" cm="1">
        <f t="array" aca="1" ref="Q25" ca="1">INDIRECT("'※ 재고 세부데이터'!"&amp;Q$1&amp;$X25, TRUE)</f>
        <v>2.2000000000000002</v>
      </c>
      <c r="R25" s="3268" cm="1">
        <f t="array" aca="1" ref="R25" ca="1">INDIRECT("'※ 재고 세부데이터'!"&amp;R$1&amp;$X25, TRUE)</f>
        <v>1.2200000000000002</v>
      </c>
      <c r="S25" s="3268" cm="1">
        <f t="array" aca="1" ref="S25" ca="1">INDIRECT("'※ 재고 세부데이터'!"&amp;S$1&amp;$X25, TRUE)</f>
        <v>-4.8899999999999997</v>
      </c>
      <c r="T25" s="3212" cm="1">
        <f t="array" aca="1" ref="T25" ca="1">INDIRECT("'※ 재고 세부데이터'!"&amp;T$1&amp;$X25, TRUE)</f>
        <v>26.157289000000002</v>
      </c>
      <c r="U25" s="3268" cm="1">
        <f t="array" aca="1" ref="U25" ca="1">INDIRECT("'※ 재고 세부데이터'!"&amp;U$1&amp;$X25, TRUE)</f>
        <v>22.921370186833336</v>
      </c>
      <c r="V25" s="3268" cm="1">
        <f t="array" aca="1" ref="V25" ca="1">INDIRECT("'※ 재고 세부데이터'!"&amp;V$1&amp;$X25, TRUE)</f>
        <v>2.1797740833333337</v>
      </c>
      <c r="W25" s="3269" cm="1">
        <f t="array" aca="1" ref="W25" ca="1">INDIRECT("'※ 재고 세부데이터'!"&amp;W$1&amp;$X25, TRUE)</f>
        <v>-1.0561447298333326</v>
      </c>
      <c r="X25" s="3173">
        <f>ROW('※ 재고 세부데이터'!J22)</f>
        <v>22</v>
      </c>
    </row>
    <row r="26" spans="1:24" ht="10.5" customHeight="1" thickBot="1" x14ac:dyDescent="0.6">
      <c r="A26" s="3214"/>
      <c r="B26" s="2493"/>
      <c r="C26" s="2493"/>
      <c r="D26" s="3215"/>
      <c r="E26" s="3216"/>
      <c r="F26" s="3217"/>
      <c r="G26" s="2493"/>
      <c r="H26" s="2493"/>
      <c r="I26" s="2493"/>
      <c r="J26" s="2493"/>
      <c r="K26" s="2493"/>
      <c r="L26" s="2493"/>
      <c r="M26" s="2493"/>
      <c r="N26" s="2493"/>
      <c r="O26" s="2493"/>
      <c r="P26" s="2493"/>
      <c r="Q26" s="2493"/>
      <c r="R26" s="2493"/>
      <c r="S26" s="3218"/>
      <c r="T26" s="3270"/>
      <c r="U26" s="3218"/>
      <c r="V26" s="3218"/>
      <c r="W26" s="3220"/>
      <c r="X26" s="3173">
        <f>ROW('※ 재고 세부데이터'!J23)</f>
        <v>23</v>
      </c>
    </row>
    <row r="27" spans="1:24" x14ac:dyDescent="0.55000000000000004">
      <c r="A27" s="7549" t="s">
        <v>850</v>
      </c>
      <c r="B27" s="3174" t="s">
        <v>851</v>
      </c>
      <c r="C27" s="3175" t="s">
        <v>852</v>
      </c>
      <c r="D27" s="3271" cm="1">
        <f t="array" aca="1" ref="D27" ca="1">INDIRECT("'※ 재고 세부데이터'!"&amp;D$1&amp;$X27, TRUE)</f>
        <v>43584.5</v>
      </c>
      <c r="E27" s="3272" cm="1">
        <f t="array" aca="1" ref="E27" ca="1">INDIRECT("'※ 재고 세부데이터'!"&amp;E$1&amp;$X27, TRUE)</f>
        <v>45782.75</v>
      </c>
      <c r="F27" s="3273" cm="1">
        <f t="array" aca="1" ref="F27" ca="1">INDIRECT("'※ 재고 세부데이터'!"&amp;F$1&amp;$X27, TRUE)</f>
        <v>33725</v>
      </c>
      <c r="G27" s="3274" cm="1">
        <f t="array" aca="1" ref="G27" ca="1">INDIRECT("'※ 재고 세부데이터'!"&amp;G$1&amp;$X27, TRUE)</f>
        <v>67573</v>
      </c>
      <c r="H27" s="3274" cm="1">
        <f t="array" aca="1" ref="H27" ca="1">INDIRECT("'※ 재고 세부데이터'!"&amp;H$1&amp;$X27, TRUE)</f>
        <v>43042</v>
      </c>
      <c r="I27" s="3274" cm="1">
        <f t="array" aca="1" ref="I27" ca="1">INDIRECT("'※ 재고 세부데이터'!"&amp;I$1&amp;$X27, TRUE)</f>
        <v>46783</v>
      </c>
      <c r="J27" s="3274" cm="1">
        <f t="array" aca="1" ref="J27" ca="1">INDIRECT("'※ 재고 세부데이터'!"&amp;J$1&amp;$X27, TRUE)</f>
        <v>63245</v>
      </c>
      <c r="K27" s="3274" cm="1">
        <f t="array" aca="1" ref="K27" ca="1">INDIRECT("'※ 재고 세부데이터'!"&amp;K$1&amp;$X27, TRUE)</f>
        <v>51217</v>
      </c>
      <c r="L27" s="3274" cm="1">
        <f t="array" aca="1" ref="L27" ca="1">INDIRECT("'※ 재고 세부데이터'!"&amp;L$1&amp;$X27, TRUE)</f>
        <v>68808</v>
      </c>
      <c r="M27" s="3274" cm="1">
        <f t="array" aca="1" ref="M27" ca="1">INDIRECT("'※ 재고 세부데이터'!"&amp;M$1&amp;$X27, TRUE)</f>
        <v>49766</v>
      </c>
      <c r="N27" s="3274" cm="1">
        <f t="array" aca="1" ref="N27" ca="1">INDIRECT("'※ 재고 세부데이터'!"&amp;N$1&amp;$X27, TRUE)</f>
        <v>69431</v>
      </c>
      <c r="O27" s="3274" cm="1">
        <f t="array" aca="1" ref="O27" ca="1">INDIRECT("'※ 재고 세부데이터'!"&amp;O$1&amp;$X27, TRUE)</f>
        <v>56294</v>
      </c>
      <c r="P27" s="3274" cm="1">
        <f t="array" aca="1" ref="P27" ca="1">INDIRECT("'※ 재고 세부데이터'!"&amp;P$1&amp;$X27, TRUE)</f>
        <v>46695</v>
      </c>
      <c r="Q27" s="3274" cm="1">
        <f t="array" aca="1" ref="Q27" ca="1">INDIRECT("'※ 재고 세부데이터'!"&amp;Q$1&amp;$X27, TRUE)</f>
        <v>46355</v>
      </c>
      <c r="R27" s="3274" cm="1">
        <f t="array" aca="1" ref="R27" ca="1">INDIRECT("'※ 재고 세부데이터'!"&amp;R$1&amp;$X27, TRUE)</f>
        <v>-340</v>
      </c>
      <c r="S27" s="3274" cm="1">
        <f t="array" aca="1" ref="S27" ca="1">INDIRECT("'※ 재고 세부데이터'!"&amp;S$1&amp;$X27, TRUE)</f>
        <v>10563</v>
      </c>
      <c r="T27" s="3194" cm="1">
        <f t="array" aca="1" ref="T27" ca="1">INDIRECT("'※ 재고 세부데이터'!"&amp;T$1&amp;$X27, TRUE)</f>
        <v>642934</v>
      </c>
      <c r="U27" s="3274" cm="1">
        <f t="array" aca="1" ref="U27" ca="1">INDIRECT("'※ 재고 세부데이터'!"&amp;U$1&amp;$X27, TRUE)</f>
        <v>597151.25</v>
      </c>
      <c r="V27" s="3274" cm="1">
        <f t="array" aca="1" ref="V27" ca="1">INDIRECT("'※ 재고 세부데이터'!"&amp;V$1&amp;$X27, TRUE)</f>
        <v>53577.833333333336</v>
      </c>
      <c r="W27" s="3275" cm="1">
        <f t="array" aca="1" ref="W27" ca="1">INDIRECT("'※ 재고 세부데이터'!"&amp;W$1&amp;$X27, TRUE)</f>
        <v>7795.0833333333358</v>
      </c>
      <c r="X27" s="3173">
        <f>ROW('※ 재고 세부데이터'!J24)</f>
        <v>24</v>
      </c>
    </row>
    <row r="28" spans="1:24" x14ac:dyDescent="0.55000000000000004">
      <c r="A28" s="7550"/>
      <c r="B28" s="3228"/>
      <c r="C28" s="3276" t="s">
        <v>853</v>
      </c>
      <c r="D28" s="3243" cm="1">
        <f t="array" aca="1" ref="D28" ca="1">INDIRECT("'※ 재고 세부데이터'!"&amp;D$1&amp;$X28, TRUE)</f>
        <v>29516.416666666668</v>
      </c>
      <c r="E28" s="3244" cm="1">
        <f t="array" aca="1" ref="E28" ca="1">INDIRECT("'※ 재고 세부데이터'!"&amp;E$1&amp;$X28, TRUE)</f>
        <v>30039.25</v>
      </c>
      <c r="F28" s="3245" cm="1">
        <f t="array" aca="1" ref="F28" ca="1">INDIRECT("'※ 재고 세부데이터'!"&amp;F$1&amp;$X28, TRUE)</f>
        <v>18825</v>
      </c>
      <c r="G28" s="3246" cm="1">
        <f t="array" aca="1" ref="G28" ca="1">INDIRECT("'※ 재고 세부데이터'!"&amp;G$1&amp;$X28, TRUE)</f>
        <v>52112</v>
      </c>
      <c r="H28" s="3246" cm="1">
        <f t="array" aca="1" ref="H28" ca="1">INDIRECT("'※ 재고 세부데이터'!"&amp;H$1&amp;$X28, TRUE)</f>
        <v>29071</v>
      </c>
      <c r="I28" s="3246" cm="1">
        <f t="array" aca="1" ref="I28" ca="1">INDIRECT("'※ 재고 세부데이터'!"&amp;I$1&amp;$X28, TRUE)</f>
        <v>33608</v>
      </c>
      <c r="J28" s="3246" cm="1">
        <f t="array" aca="1" ref="J28" ca="1">INDIRECT("'※ 재고 세부데이터'!"&amp;J$1&amp;$X28, TRUE)</f>
        <v>46831</v>
      </c>
      <c r="K28" s="3246" cm="1">
        <f t="array" aca="1" ref="K28" ca="1">INDIRECT("'※ 재고 세부데이터'!"&amp;K$1&amp;$X28, TRUE)</f>
        <v>38015</v>
      </c>
      <c r="L28" s="3246" cm="1">
        <f t="array" aca="1" ref="L28" ca="1">INDIRECT("'※ 재고 세부데이터'!"&amp;L$1&amp;$X28, TRUE)</f>
        <v>58238</v>
      </c>
      <c r="M28" s="3246" cm="1">
        <f t="array" aca="1" ref="M28" ca="1">INDIRECT("'※ 재고 세부데이터'!"&amp;M$1&amp;$X28, TRUE)</f>
        <v>39445</v>
      </c>
      <c r="N28" s="3246" cm="1">
        <f t="array" aca="1" ref="N28" ca="1">INDIRECT("'※ 재고 세부데이터'!"&amp;N$1&amp;$X28, TRUE)</f>
        <v>33724</v>
      </c>
      <c r="O28" s="3246" cm="1">
        <f t="array" aca="1" ref="O28" ca="1">INDIRECT("'※ 재고 세부데이터'!"&amp;O$1&amp;$X28, TRUE)</f>
        <v>31427</v>
      </c>
      <c r="P28" s="3246" cm="1">
        <f t="array" aca="1" ref="P28" ca="1">INDIRECT("'※ 재고 세부데이터'!"&amp;P$1&amp;$X28, TRUE)</f>
        <v>27926</v>
      </c>
      <c r="Q28" s="3246" cm="1">
        <f t="array" aca="1" ref="Q28" ca="1">INDIRECT("'※ 재고 세부데이터'!"&amp;Q$1&amp;$X28, TRUE)</f>
        <v>30886</v>
      </c>
      <c r="R28" s="3246" cm="1">
        <f t="array" aca="1" ref="R28" ca="1">INDIRECT("'※ 재고 세부데이터'!"&amp;R$1&amp;$X28, TRUE)</f>
        <v>2960</v>
      </c>
      <c r="S28" s="3246" cm="1">
        <f t="array" aca="1" ref="S28" ca="1">INDIRECT("'※ 재고 세부데이터'!"&amp;S$1&amp;$X28, TRUE)</f>
        <v>8696</v>
      </c>
      <c r="T28" s="3247" cm="1">
        <f t="array" aca="1" ref="T28" ca="1">INDIRECT("'※ 재고 세부데이터'!"&amp;T$1&amp;$X28, TRUE)</f>
        <v>440108</v>
      </c>
      <c r="U28" s="3246" cm="1">
        <f t="array" aca="1" ref="U28" ca="1">INDIRECT("'※ 재고 세부데이터'!"&amp;U$1&amp;$X28, TRUE)</f>
        <v>410068.75</v>
      </c>
      <c r="V28" s="3246" cm="1">
        <f t="array" aca="1" ref="V28" ca="1">INDIRECT("'※ 재고 세부데이터'!"&amp;V$1&amp;$X28, TRUE)</f>
        <v>36675.666666666664</v>
      </c>
      <c r="W28" s="3248" cm="1">
        <f t="array" aca="1" ref="W28" ca="1">INDIRECT("'※ 재고 세부데이터'!"&amp;W$1&amp;$X28, TRUE)</f>
        <v>6636.4166666666642</v>
      </c>
      <c r="X28" s="3173">
        <f>ROW('※ 재고 세부데이터'!J25)</f>
        <v>25</v>
      </c>
    </row>
    <row r="29" spans="1:24" x14ac:dyDescent="0.55000000000000004">
      <c r="A29" s="7550"/>
      <c r="B29" s="3228"/>
      <c r="C29" s="2493" t="s">
        <v>854</v>
      </c>
      <c r="D29" s="3243" cm="1">
        <f t="array" aca="1" ref="D29" ca="1">INDIRECT("'※ 재고 세부데이터'!"&amp;D$1&amp;$X29, TRUE)</f>
        <v>11206.416666666666</v>
      </c>
      <c r="E29" s="3244" cm="1">
        <f t="array" aca="1" ref="E29" ca="1">INDIRECT("'※ 재고 세부데이터'!"&amp;E$1&amp;$X29, TRUE)</f>
        <v>12776.5</v>
      </c>
      <c r="F29" s="3245" cm="1">
        <f t="array" aca="1" ref="F29" ca="1">INDIRECT("'※ 재고 세부데이터'!"&amp;F$1&amp;$X29, TRUE)</f>
        <v>11359</v>
      </c>
      <c r="G29" s="3246" cm="1">
        <f t="array" aca="1" ref="G29" ca="1">INDIRECT("'※ 재고 세부데이터'!"&amp;G$1&amp;$X29, TRUE)</f>
        <v>11001</v>
      </c>
      <c r="H29" s="3246" cm="1">
        <f t="array" aca="1" ref="H29" ca="1">INDIRECT("'※ 재고 세부데이터'!"&amp;H$1&amp;$X29, TRUE)</f>
        <v>10507</v>
      </c>
      <c r="I29" s="3246" cm="1">
        <f t="array" aca="1" ref="I29" ca="1">INDIRECT("'※ 재고 세부데이터'!"&amp;I$1&amp;$X29, TRUE)</f>
        <v>10969</v>
      </c>
      <c r="J29" s="3246" cm="1">
        <f t="array" aca="1" ref="J29" ca="1">INDIRECT("'※ 재고 세부데이터'!"&amp;J$1&amp;$X29, TRUE)</f>
        <v>13331</v>
      </c>
      <c r="K29" s="3246" cm="1">
        <f t="array" aca="1" ref="K29" ca="1">INDIRECT("'※ 재고 세부데이터'!"&amp;K$1&amp;$X29, TRUE)</f>
        <v>11529</v>
      </c>
      <c r="L29" s="3246" cm="1">
        <f t="array" aca="1" ref="L29" ca="1">INDIRECT("'※ 재고 세부데이터'!"&amp;L$1&amp;$X29, TRUE)</f>
        <v>9277</v>
      </c>
      <c r="M29" s="3246" cm="1">
        <f t="array" aca="1" ref="M29" ca="1">INDIRECT("'※ 재고 세부데이터'!"&amp;M$1&amp;$X29, TRUE)</f>
        <v>8471</v>
      </c>
      <c r="N29" s="3246" cm="1">
        <f t="array" aca="1" ref="N29" ca="1">INDIRECT("'※ 재고 세부데이터'!"&amp;N$1&amp;$X29, TRUE)</f>
        <v>33999</v>
      </c>
      <c r="O29" s="3246" cm="1">
        <f t="array" aca="1" ref="O29" ca="1">INDIRECT("'※ 재고 세부데이터'!"&amp;O$1&amp;$X29, TRUE)</f>
        <v>20789</v>
      </c>
      <c r="P29" s="3246" cm="1">
        <f t="array" aca="1" ref="P29" ca="1">INDIRECT("'※ 재고 세부데이터'!"&amp;P$1&amp;$X29, TRUE)</f>
        <v>14921</v>
      </c>
      <c r="Q29" s="3246" cm="1">
        <f t="array" aca="1" ref="Q29" ca="1">INDIRECT("'※ 재고 세부데이터'!"&amp;Q$1&amp;$X29, TRUE)</f>
        <v>13688</v>
      </c>
      <c r="R29" s="3246" cm="1">
        <f t="array" aca="1" ref="R29" ca="1">INDIRECT("'※ 재고 세부데이터'!"&amp;R$1&amp;$X29, TRUE)</f>
        <v>-1233</v>
      </c>
      <c r="S29" s="3246" cm="1">
        <f t="array" aca="1" ref="S29" ca="1">INDIRECT("'※ 재고 세부데이터'!"&amp;S$1&amp;$X29, TRUE)</f>
        <v>2402</v>
      </c>
      <c r="T29" s="3247" cm="1">
        <f t="array" aca="1" ref="T29" ca="1">INDIRECT("'※ 재고 세부데이터'!"&amp;T$1&amp;$X29, TRUE)</f>
        <v>169841</v>
      </c>
      <c r="U29" s="3246" cm="1">
        <f t="array" aca="1" ref="U29" ca="1">INDIRECT("'※ 재고 세부데이터'!"&amp;U$1&amp;$X29, TRUE)</f>
        <v>157064.5</v>
      </c>
      <c r="V29" s="3246" cm="1">
        <f t="array" aca="1" ref="V29" ca="1">INDIRECT("'※ 재고 세부데이터'!"&amp;V$1&amp;$X29, TRUE)</f>
        <v>14153.416666666666</v>
      </c>
      <c r="W29" s="3248" cm="1">
        <f t="array" aca="1" ref="W29" ca="1">INDIRECT("'※ 재고 세부데이터'!"&amp;W$1&amp;$X29, TRUE)</f>
        <v>1376.9166666666661</v>
      </c>
      <c r="X29" s="3173">
        <f>ROW('※ 재고 세부데이터'!J26)</f>
        <v>26</v>
      </c>
    </row>
    <row r="30" spans="1:24" x14ac:dyDescent="0.55000000000000004">
      <c r="A30" s="7550"/>
      <c r="B30" s="3228"/>
      <c r="C30" s="2493" t="s">
        <v>428</v>
      </c>
      <c r="D30" s="3243" cm="1">
        <f t="array" aca="1" ref="D30" ca="1">INDIRECT("'※ 재고 세부데이터'!"&amp;D$1&amp;$X30, TRUE)</f>
        <v>2861.6666666666665</v>
      </c>
      <c r="E30" s="3244" cm="1">
        <f t="array" aca="1" ref="E30" ca="1">INDIRECT("'※ 재고 세부데이터'!"&amp;E$1&amp;$X30, TRUE)</f>
        <v>2967</v>
      </c>
      <c r="F30" s="3245" cm="1">
        <f t="array" aca="1" ref="F30" ca="1">INDIRECT("'※ 재고 세부데이터'!"&amp;F$1&amp;$X30, TRUE)</f>
        <v>3541</v>
      </c>
      <c r="G30" s="3246" cm="1">
        <f t="array" aca="1" ref="G30" ca="1">INDIRECT("'※ 재고 세부데이터'!"&amp;G$1&amp;$X30, TRUE)</f>
        <v>4460</v>
      </c>
      <c r="H30" s="3246" cm="1">
        <f t="array" aca="1" ref="H30" ca="1">INDIRECT("'※ 재고 세부데이터'!"&amp;H$1&amp;$X30, TRUE)</f>
        <v>3464</v>
      </c>
      <c r="I30" s="3246" cm="1">
        <f t="array" aca="1" ref="I30" ca="1">INDIRECT("'※ 재고 세부데이터'!"&amp;I$1&amp;$X30, TRUE)</f>
        <v>2206</v>
      </c>
      <c r="J30" s="3246" cm="1">
        <f t="array" aca="1" ref="J30" ca="1">INDIRECT("'※ 재고 세부데이터'!"&amp;J$1&amp;$X30, TRUE)</f>
        <v>3083</v>
      </c>
      <c r="K30" s="3246" cm="1">
        <f t="array" aca="1" ref="K30" ca="1">INDIRECT("'※ 재고 세부데이터'!"&amp;K$1&amp;$X30, TRUE)</f>
        <v>1673</v>
      </c>
      <c r="L30" s="3246" cm="1">
        <f t="array" aca="1" ref="L30" ca="1">INDIRECT("'※ 재고 세부데이터'!"&amp;L$1&amp;$X30, TRUE)</f>
        <v>1293</v>
      </c>
      <c r="M30" s="3246" cm="1">
        <f t="array" aca="1" ref="M30" ca="1">INDIRECT("'※ 재고 세부데이터'!"&amp;M$1&amp;$X30, TRUE)</f>
        <v>1850</v>
      </c>
      <c r="N30" s="3246" cm="1">
        <f t="array" aca="1" ref="N30" ca="1">INDIRECT("'※ 재고 세부데이터'!"&amp;N$1&amp;$X30, TRUE)</f>
        <v>1708</v>
      </c>
      <c r="O30" s="3246" cm="1">
        <f t="array" aca="1" ref="O30" ca="1">INDIRECT("'※ 재고 세부데이터'!"&amp;O$1&amp;$X30, TRUE)</f>
        <v>4078</v>
      </c>
      <c r="P30" s="3246" cm="1">
        <f t="array" aca="1" ref="P30" ca="1">INDIRECT("'※ 재고 세부데이터'!"&amp;P$1&amp;$X30, TRUE)</f>
        <v>3848</v>
      </c>
      <c r="Q30" s="3246" cm="1">
        <f t="array" aca="1" ref="Q30" ca="1">INDIRECT("'※ 재고 세부데이터'!"&amp;Q$1&amp;$X30, TRUE)</f>
        <v>1781</v>
      </c>
      <c r="R30" s="3246" cm="1">
        <f t="array" aca="1" ref="R30" ca="1">INDIRECT("'※ 재고 세부데이터'!"&amp;R$1&amp;$X30, TRUE)</f>
        <v>-2067</v>
      </c>
      <c r="S30" s="3246" cm="1">
        <f t="array" aca="1" ref="S30" ca="1">INDIRECT("'※ 재고 세부데이터'!"&amp;S$1&amp;$X30, TRUE)</f>
        <v>-535</v>
      </c>
      <c r="T30" s="3247" cm="1">
        <f t="array" aca="1" ref="T30" ca="1">INDIRECT("'※ 재고 세부데이터'!"&amp;T$1&amp;$X30, TRUE)</f>
        <v>32985</v>
      </c>
      <c r="U30" s="3246" cm="1">
        <f t="array" aca="1" ref="U30" ca="1">INDIRECT("'※ 재고 세부데이터'!"&amp;U$1&amp;$X30, TRUE)</f>
        <v>30018</v>
      </c>
      <c r="V30" s="3246" cm="1">
        <f t="array" aca="1" ref="V30" ca="1">INDIRECT("'※ 재고 세부데이터'!"&amp;V$1&amp;$X30, TRUE)</f>
        <v>2748.75</v>
      </c>
      <c r="W30" s="3248" cm="1">
        <f t="array" aca="1" ref="W30" ca="1">INDIRECT("'※ 재고 세부데이터'!"&amp;W$1&amp;$X30, TRUE)</f>
        <v>-218.25</v>
      </c>
      <c r="X30" s="3173">
        <f>ROW('※ 재고 세부데이터'!J27)</f>
        <v>27</v>
      </c>
    </row>
    <row r="31" spans="1:24" x14ac:dyDescent="0.55000000000000004">
      <c r="A31" s="7550"/>
      <c r="B31" s="3235" t="s">
        <v>855</v>
      </c>
      <c r="C31" s="3277" t="s">
        <v>852</v>
      </c>
      <c r="D31" s="3278" cm="1">
        <f t="array" aca="1" ref="D31" ca="1">INDIRECT("'※ 재고 세부데이터'!"&amp;D$1&amp;$X31, TRUE)</f>
        <v>264173</v>
      </c>
      <c r="E31" s="3279" cm="1">
        <f t="array" aca="1" ref="E31" ca="1">INDIRECT("'※ 재고 세부데이터'!"&amp;E$1&amp;$X31, TRUE)</f>
        <v>246958.16666666666</v>
      </c>
      <c r="F31" s="3280" cm="1">
        <f t="array" aca="1" ref="F31" ca="1">INDIRECT("'※ 재고 세부데이터'!"&amp;F$1&amp;$X31, TRUE)</f>
        <v>191324</v>
      </c>
      <c r="G31" s="3281" cm="1">
        <f t="array" aca="1" ref="G31" ca="1">INDIRECT("'※ 재고 세부데이터'!"&amp;G$1&amp;$X31, TRUE)</f>
        <v>322683</v>
      </c>
      <c r="H31" s="3281" cm="1">
        <f t="array" aca="1" ref="H31" ca="1">INDIRECT("'※ 재고 세부데이터'!"&amp;H$1&amp;$X31, TRUE)</f>
        <v>236817</v>
      </c>
      <c r="I31" s="3281" cm="1">
        <f t="array" aca="1" ref="I31" ca="1">INDIRECT("'※ 재고 세부데이터'!"&amp;I$1&amp;$X31, TRUE)</f>
        <v>252716</v>
      </c>
      <c r="J31" s="3281" cm="1">
        <f t="array" aca="1" ref="J31" ca="1">INDIRECT("'※ 재고 세부데이터'!"&amp;J$1&amp;$X31, TRUE)</f>
        <v>335340</v>
      </c>
      <c r="K31" s="3281" cm="1">
        <f t="array" aca="1" ref="K31" ca="1">INDIRECT("'※ 재고 세부데이터'!"&amp;K$1&amp;$X31, TRUE)</f>
        <v>277684</v>
      </c>
      <c r="L31" s="3281" cm="1">
        <f t="array" aca="1" ref="L31" ca="1">INDIRECT("'※ 재고 세부데이터'!"&amp;L$1&amp;$X31, TRUE)</f>
        <v>338393</v>
      </c>
      <c r="M31" s="3281" cm="1">
        <f t="array" aca="1" ref="M31" ca="1">INDIRECT("'※ 재고 세부데이터'!"&amp;M$1&amp;$X31, TRUE)</f>
        <v>273596</v>
      </c>
      <c r="N31" s="3281" cm="1">
        <f t="array" aca="1" ref="N31" ca="1">INDIRECT("'※ 재고 세부데이터'!"&amp;N$1&amp;$X31, TRUE)</f>
        <v>321082</v>
      </c>
      <c r="O31" s="3281" cm="1">
        <f t="array" aca="1" ref="O31" ca="1">INDIRECT("'※ 재고 세부데이터'!"&amp;O$1&amp;$X31, TRUE)</f>
        <v>278603</v>
      </c>
      <c r="P31" s="3281" cm="1">
        <f t="array" aca="1" ref="P31" ca="1">INDIRECT("'※ 재고 세부데이터'!"&amp;P$1&amp;$X31, TRUE)</f>
        <v>233497</v>
      </c>
      <c r="Q31" s="3281" cm="1">
        <f t="array" aca="1" ref="Q31" ca="1">INDIRECT("'※ 재고 세부데이터'!"&amp;Q$1&amp;$X31, TRUE)</f>
        <v>248535</v>
      </c>
      <c r="R31" s="3281" cm="1">
        <f t="array" aca="1" ref="R31" ca="1">INDIRECT("'※ 재고 세부데이터'!"&amp;R$1&amp;$X31, TRUE)</f>
        <v>15038</v>
      </c>
      <c r="S31" s="3281" cm="1">
        <f t="array" aca="1" ref="S31" ca="1">INDIRECT("'※ 재고 세부데이터'!"&amp;S$1&amp;$X31, TRUE)</f>
        <v>39356</v>
      </c>
      <c r="T31" s="3282" cm="1">
        <f t="array" aca="1" ref="T31" ca="1">INDIRECT("'※ 재고 세부데이터'!"&amp;T$1&amp;$X31, TRUE)</f>
        <v>3310270</v>
      </c>
      <c r="U31" s="3281" cm="1">
        <f t="array" aca="1" ref="U31" ca="1">INDIRECT("'※ 재고 세부데이터'!"&amp;U$1&amp;$X31, TRUE)</f>
        <v>3063311.8333333335</v>
      </c>
      <c r="V31" s="3281" cm="1">
        <f t="array" aca="1" ref="V31" ca="1">INDIRECT("'※ 재고 세부데이터'!"&amp;V$1&amp;$X31, TRUE)</f>
        <v>275855.83333333331</v>
      </c>
      <c r="W31" s="3283" cm="1">
        <f t="array" aca="1" ref="W31" ca="1">INDIRECT("'※ 재고 세부데이터'!"&amp;W$1&amp;$X31, TRUE)</f>
        <v>28897.666666666657</v>
      </c>
      <c r="X31" s="3173">
        <f>ROW('※ 재고 세부데이터'!J28)</f>
        <v>28</v>
      </c>
    </row>
    <row r="32" spans="1:24" x14ac:dyDescent="0.55000000000000004">
      <c r="A32" s="7550"/>
      <c r="B32" s="3228"/>
      <c r="C32" s="2493" t="s">
        <v>853</v>
      </c>
      <c r="D32" s="3243" cm="1">
        <f t="array" aca="1" ref="D32" ca="1">INDIRECT("'※ 재고 세부데이터'!"&amp;D$1&amp;$X32, TRUE)</f>
        <v>194394</v>
      </c>
      <c r="E32" s="3244" cm="1">
        <f t="array" aca="1" ref="E32" ca="1">INDIRECT("'※ 재고 세부데이터'!"&amp;E$1&amp;$X32, TRUE)</f>
        <v>179273.41666666666</v>
      </c>
      <c r="F32" s="3245" cm="1">
        <f t="array" aca="1" ref="F32" ca="1">INDIRECT("'※ 재고 세부데이터'!"&amp;F$1&amp;$X32, TRUE)</f>
        <v>125207</v>
      </c>
      <c r="G32" s="3246" cm="1">
        <f t="array" aca="1" ref="G32" ca="1">INDIRECT("'※ 재고 세부데이터'!"&amp;G$1&amp;$X32, TRUE)</f>
        <v>255630</v>
      </c>
      <c r="H32" s="3246" cm="1">
        <f t="array" aca="1" ref="H32" ca="1">INDIRECT("'※ 재고 세부데이터'!"&amp;H$1&amp;$X32, TRUE)</f>
        <v>173218</v>
      </c>
      <c r="I32" s="3246" cm="1">
        <f t="array" aca="1" ref="I32" ca="1">INDIRECT("'※ 재고 세부데이터'!"&amp;I$1&amp;$X32, TRUE)</f>
        <v>194811</v>
      </c>
      <c r="J32" s="3246" cm="1">
        <f t="array" aca="1" ref="J32" ca="1">INDIRECT("'※ 재고 세부데이터'!"&amp;J$1&amp;$X32, TRUE)</f>
        <v>262757</v>
      </c>
      <c r="K32" s="3246" cm="1">
        <f t="array" aca="1" ref="K32" ca="1">INDIRECT("'※ 재고 세부데이터'!"&amp;K$1&amp;$X32, TRUE)</f>
        <v>218670</v>
      </c>
      <c r="L32" s="3246" cm="1">
        <f t="array" aca="1" ref="L32" ca="1">INDIRECT("'※ 재고 세부데이터'!"&amp;L$1&amp;$X32, TRUE)</f>
        <v>287152</v>
      </c>
      <c r="M32" s="3246" cm="1">
        <f t="array" aca="1" ref="M32" ca="1">INDIRECT("'※ 재고 세부데이터'!"&amp;M$1&amp;$X32, TRUE)</f>
        <v>223793</v>
      </c>
      <c r="N32" s="3246" cm="1">
        <f t="array" aca="1" ref="N32" ca="1">INDIRECT("'※ 재고 세부데이터'!"&amp;N$1&amp;$X32, TRUE)</f>
        <v>199824</v>
      </c>
      <c r="O32" s="3246" cm="1">
        <f t="array" aca="1" ref="O32" ca="1">INDIRECT("'※ 재고 세부데이터'!"&amp;O$1&amp;$X32, TRUE)</f>
        <v>182219</v>
      </c>
      <c r="P32" s="3246" cm="1">
        <f t="array" aca="1" ref="P32" ca="1">INDIRECT("'※ 재고 세부데이터'!"&amp;P$1&amp;$X32, TRUE)</f>
        <v>159194</v>
      </c>
      <c r="Q32" s="3246" cm="1">
        <f t="array" aca="1" ref="Q32" ca="1">INDIRECT("'※ 재고 세부데이터'!"&amp;Q$1&amp;$X32, TRUE)</f>
        <v>176692</v>
      </c>
      <c r="R32" s="3246" cm="1">
        <f t="array" aca="1" ref="R32" ca="1">INDIRECT("'※ 재고 세부데이터'!"&amp;R$1&amp;$X32, TRUE)</f>
        <v>17498</v>
      </c>
      <c r="S32" s="3246" cm="1">
        <f t="array" aca="1" ref="S32" ca="1">INDIRECT("'※ 재고 세부데이터'!"&amp;S$1&amp;$X32, TRUE)</f>
        <v>30029</v>
      </c>
      <c r="T32" s="3247" cm="1">
        <f t="array" aca="1" ref="T32" ca="1">INDIRECT("'※ 재고 세부데이터'!"&amp;T$1&amp;$X32, TRUE)</f>
        <v>2459167</v>
      </c>
      <c r="U32" s="3246" cm="1">
        <f t="array" aca="1" ref="U32" ca="1">INDIRECT("'※ 재고 세부데이터'!"&amp;U$1&amp;$X32, TRUE)</f>
        <v>2279893.5833333335</v>
      </c>
      <c r="V32" s="3246" cm="1">
        <f t="array" aca="1" ref="V32" ca="1">INDIRECT("'※ 재고 세부데이터'!"&amp;V$1&amp;$X32, TRUE)</f>
        <v>204930.58333333334</v>
      </c>
      <c r="W32" s="3248" cm="1">
        <f t="array" aca="1" ref="W32" ca="1">INDIRECT("'※ 재고 세부데이터'!"&amp;W$1&amp;$X32, TRUE)</f>
        <v>25657.166666666686</v>
      </c>
      <c r="X32" s="3173">
        <f>ROW('※ 재고 세부데이터'!J29)</f>
        <v>29</v>
      </c>
    </row>
    <row r="33" spans="1:25" x14ac:dyDescent="0.55000000000000004">
      <c r="A33" s="7550"/>
      <c r="B33" s="3228"/>
      <c r="C33" s="2493" t="s">
        <v>854</v>
      </c>
      <c r="D33" s="3243" cm="1">
        <f t="array" aca="1" ref="D33" ca="1">INDIRECT("'※ 재고 세부데이터'!"&amp;D$1&amp;$X33, TRUE)</f>
        <v>57482.916666666664</v>
      </c>
      <c r="E33" s="3244" cm="1">
        <f t="array" aca="1" ref="E33" ca="1">INDIRECT("'※ 재고 세부데이터'!"&amp;E$1&amp;$X33, TRUE)</f>
        <v>54152.083333333336</v>
      </c>
      <c r="F33" s="3245" cm="1">
        <f t="array" aca="1" ref="F33" ca="1">INDIRECT("'※ 재고 세부데이터'!"&amp;F$1&amp;$X33, TRUE)</f>
        <v>51092</v>
      </c>
      <c r="G33" s="3246" cm="1">
        <f t="array" aca="1" ref="G33" ca="1">INDIRECT("'※ 재고 세부데이터'!"&amp;G$1&amp;$X33, TRUE)</f>
        <v>46633</v>
      </c>
      <c r="H33" s="3246" cm="1">
        <f t="array" aca="1" ref="H33" ca="1">INDIRECT("'※ 재고 세부데이터'!"&amp;H$1&amp;$X33, TRUE)</f>
        <v>45585</v>
      </c>
      <c r="I33" s="3246" cm="1">
        <f t="array" aca="1" ref="I33" ca="1">INDIRECT("'※ 재고 세부데이터'!"&amp;I$1&amp;$X33, TRUE)</f>
        <v>43888</v>
      </c>
      <c r="J33" s="3246" cm="1">
        <f t="array" aca="1" ref="J33" ca="1">INDIRECT("'※ 재고 세부데이터'!"&amp;J$1&amp;$X33, TRUE)</f>
        <v>57921</v>
      </c>
      <c r="K33" s="3246" cm="1">
        <f t="array" aca="1" ref="K33" ca="1">INDIRECT("'※ 재고 세부데이터'!"&amp;K$1&amp;$X33, TRUE)</f>
        <v>50853</v>
      </c>
      <c r="L33" s="3246" cm="1">
        <f t="array" aca="1" ref="L33" ca="1">INDIRECT("'※ 재고 세부데이터'!"&amp;L$1&amp;$X33, TRUE)</f>
        <v>44940</v>
      </c>
      <c r="M33" s="3246" cm="1">
        <f t="array" aca="1" ref="M33" ca="1">INDIRECT("'※ 재고 세부데이터'!"&amp;M$1&amp;$X33, TRUE)</f>
        <v>40306</v>
      </c>
      <c r="N33" s="3246" cm="1">
        <f t="array" aca="1" ref="N33" ca="1">INDIRECT("'※ 재고 세부데이터'!"&amp;N$1&amp;$X33, TRUE)</f>
        <v>110273</v>
      </c>
      <c r="O33" s="3246" cm="1">
        <f t="array" aca="1" ref="O33" ca="1">INDIRECT("'※ 재고 세부데이터'!"&amp;O$1&amp;$X33, TRUE)</f>
        <v>81993</v>
      </c>
      <c r="P33" s="3246" cm="1">
        <f t="array" aca="1" ref="P33" ca="1">INDIRECT("'※ 재고 세부데이터'!"&amp;P$1&amp;$X33, TRUE)</f>
        <v>62072</v>
      </c>
      <c r="Q33" s="3246" cm="1">
        <f t="array" aca="1" ref="Q33" ca="1">INDIRECT("'※ 재고 세부데이터'!"&amp;Q$1&amp;$X33, TRUE)</f>
        <v>59604</v>
      </c>
      <c r="R33" s="3246" cm="1">
        <f t="array" aca="1" ref="R33" ca="1">INDIRECT("'※ 재고 세부데이터'!"&amp;R$1&amp;$X33, TRUE)</f>
        <v>-2468</v>
      </c>
      <c r="S33" s="3246" cm="1">
        <f t="array" aca="1" ref="S33" ca="1">INDIRECT("'※ 재고 세부데이터'!"&amp;S$1&amp;$X33, TRUE)</f>
        <v>8153</v>
      </c>
      <c r="T33" s="3247" cm="1">
        <f t="array" aca="1" ref="T33" ca="1">INDIRECT("'※ 재고 세부데이터'!"&amp;T$1&amp;$X33, TRUE)</f>
        <v>695160</v>
      </c>
      <c r="U33" s="3246" cm="1">
        <f t="array" aca="1" ref="U33" ca="1">INDIRECT("'※ 재고 세부데이터'!"&amp;U$1&amp;$X33, TRUE)</f>
        <v>641007.91666666663</v>
      </c>
      <c r="V33" s="3246" cm="1">
        <f t="array" aca="1" ref="V33" ca="1">INDIRECT("'※ 재고 세부데이터'!"&amp;V$1&amp;$X33, TRUE)</f>
        <v>57930</v>
      </c>
      <c r="W33" s="3248" cm="1">
        <f t="array" aca="1" ref="W33" ca="1">INDIRECT("'※ 재고 세부데이터'!"&amp;W$1&amp;$X33, TRUE)</f>
        <v>3777.9166666666642</v>
      </c>
      <c r="X33" s="3173">
        <f>ROW('※ 재고 세부데이터'!J30)</f>
        <v>30</v>
      </c>
    </row>
    <row r="34" spans="1:25" x14ac:dyDescent="0.55000000000000004">
      <c r="A34" s="7550"/>
      <c r="B34" s="3254"/>
      <c r="C34" s="2493" t="s">
        <v>428</v>
      </c>
      <c r="D34" s="3243" cm="1">
        <f t="array" aca="1" ref="D34" ca="1">INDIRECT("'※ 재고 세부데이터'!"&amp;D$1&amp;$X34, TRUE)</f>
        <v>12296.083333333334</v>
      </c>
      <c r="E34" s="3244" cm="1">
        <f t="array" aca="1" ref="E34" ca="1">INDIRECT("'※ 재고 세부데이터'!"&amp;E$1&amp;$X34, TRUE)</f>
        <v>13532.666666666666</v>
      </c>
      <c r="F34" s="3245" cm="1">
        <f t="array" aca="1" ref="F34" ca="1">INDIRECT("'※ 재고 세부데이터'!"&amp;F$1&amp;$X34, TRUE)</f>
        <v>15025</v>
      </c>
      <c r="G34" s="3246" cm="1">
        <f t="array" aca="1" ref="G34" ca="1">INDIRECT("'※ 재고 세부데이터'!"&amp;G$1&amp;$X34, TRUE)</f>
        <v>20420</v>
      </c>
      <c r="H34" s="3246" cm="1">
        <f t="array" aca="1" ref="H34" ca="1">INDIRECT("'※ 재고 세부데이터'!"&amp;H$1&amp;$X34, TRUE)</f>
        <v>18014</v>
      </c>
      <c r="I34" s="3246" cm="1">
        <f t="array" aca="1" ref="I34" ca="1">INDIRECT("'※ 재고 세부데이터'!"&amp;I$1&amp;$X34, TRUE)</f>
        <v>14017</v>
      </c>
      <c r="J34" s="3246" cm="1">
        <f t="array" aca="1" ref="J34" ca="1">INDIRECT("'※ 재고 세부데이터'!"&amp;J$1&amp;$X34, TRUE)</f>
        <v>14662</v>
      </c>
      <c r="K34" s="3246" cm="1">
        <f t="array" aca="1" ref="K34" ca="1">INDIRECT("'※ 재고 세부데이터'!"&amp;K$1&amp;$X34, TRUE)</f>
        <v>8161</v>
      </c>
      <c r="L34" s="3246" cm="1">
        <f t="array" aca="1" ref="L34" ca="1">INDIRECT("'※ 재고 세부데이터'!"&amp;L$1&amp;$X34, TRUE)</f>
        <v>6301</v>
      </c>
      <c r="M34" s="3246" cm="1">
        <f t="array" aca="1" ref="M34" ca="1">INDIRECT("'※ 재고 세부데이터'!"&amp;M$1&amp;$X34, TRUE)</f>
        <v>9497</v>
      </c>
      <c r="N34" s="3246" cm="1">
        <f t="array" aca="1" ref="N34" ca="1">INDIRECT("'※ 재고 세부데이터'!"&amp;N$1&amp;$X34, TRUE)</f>
        <v>10985</v>
      </c>
      <c r="O34" s="3246" cm="1">
        <f t="array" aca="1" ref="O34" ca="1">INDIRECT("'※ 재고 세부데이터'!"&amp;O$1&amp;$X34, TRUE)</f>
        <v>14391</v>
      </c>
      <c r="P34" s="3246" cm="1">
        <f t="array" aca="1" ref="P34" ca="1">INDIRECT("'※ 재고 세부데이터'!"&amp;P$1&amp;$X34, TRUE)</f>
        <v>12231</v>
      </c>
      <c r="Q34" s="3246" cm="1">
        <f t="array" aca="1" ref="Q34" ca="1">INDIRECT("'※ 재고 세부데이터'!"&amp;Q$1&amp;$X34, TRUE)</f>
        <v>12239</v>
      </c>
      <c r="R34" s="3246" cm="1">
        <f t="array" aca="1" ref="R34" ca="1">INDIRECT("'※ 재고 세부데이터'!"&amp;R$1&amp;$X34, TRUE)</f>
        <v>8</v>
      </c>
      <c r="S34" s="3246" cm="1">
        <f t="array" aca="1" ref="S34" ca="1">INDIRECT("'※ 재고 세부데이터'!"&amp;S$1&amp;$X34, TRUE)</f>
        <v>1174</v>
      </c>
      <c r="T34" s="3247" cm="1">
        <f t="array" aca="1" ref="T34" ca="1">INDIRECT("'※ 재고 세부데이터'!"&amp;T$1&amp;$X34, TRUE)</f>
        <v>155943</v>
      </c>
      <c r="U34" s="3246" cm="1">
        <f t="array" aca="1" ref="U34" ca="1">INDIRECT("'※ 재고 세부데이터'!"&amp;U$1&amp;$X34, TRUE)</f>
        <v>142410.33333333334</v>
      </c>
      <c r="V34" s="3246" cm="1">
        <f t="array" aca="1" ref="V34" ca="1">INDIRECT("'※ 재고 세부데이터'!"&amp;V$1&amp;$X34, TRUE)</f>
        <v>12995.25</v>
      </c>
      <c r="W34" s="3248" cm="1">
        <f t="array" aca="1" ref="W34" ca="1">INDIRECT("'※ 재고 세부데이터'!"&amp;W$1&amp;$X34, TRUE)</f>
        <v>-537.41666666666606</v>
      </c>
      <c r="X34" s="3173">
        <f>ROW('※ 재고 세부데이터'!J31)</f>
        <v>31</v>
      </c>
    </row>
    <row r="35" spans="1:25" x14ac:dyDescent="0.55000000000000004">
      <c r="A35" s="7550"/>
      <c r="B35" s="3228" t="s">
        <v>856</v>
      </c>
      <c r="C35" s="3277" t="s">
        <v>852</v>
      </c>
      <c r="D35" s="3284" cm="1">
        <f t="array" aca="1" ref="D35" ca="1">INDIRECT("'※ 재고 세부데이터'!"&amp;D$1&amp;$X35, TRUE)</f>
        <v>0.16498468806426092</v>
      </c>
      <c r="E35" s="3285" cm="1">
        <f t="array" aca="1" ref="E35" ca="1">INDIRECT("'※ 재고 세부데이터'!"&amp;E$1&amp;$X35, TRUE)</f>
        <v>0.18444948639597503</v>
      </c>
      <c r="F35" s="3286" cm="1">
        <f t="array" aca="1" ref="F35" ca="1">INDIRECT("'※ 재고 세부데이터'!"&amp;F$1&amp;$X35, TRUE)</f>
        <v>0.17627166481988668</v>
      </c>
      <c r="G35" s="3287" cm="1">
        <f t="array" aca="1" ref="G35" ca="1">INDIRECT("'※ 재고 세부데이터'!"&amp;G$1&amp;$X35, TRUE)</f>
        <v>0.20940985425324546</v>
      </c>
      <c r="H35" s="3287" cm="1">
        <f t="array" aca="1" ref="H35" ca="1">INDIRECT("'※ 재고 세부데이터'!"&amp;H$1&amp;$X35, TRUE)</f>
        <v>0.18175215461727831</v>
      </c>
      <c r="I35" s="3287" cm="1">
        <f t="array" aca="1" ref="I35" ca="1">INDIRECT("'※ 재고 세부데이터'!"&amp;I$1&amp;$X35, TRUE)</f>
        <v>0.18512084711692176</v>
      </c>
      <c r="J35" s="3287" cm="1">
        <f t="array" aca="1" ref="J35" ca="1">INDIRECT("'※ 재고 세부데이터'!"&amp;J$1&amp;$X35, TRUE)</f>
        <v>0.18859963022603923</v>
      </c>
      <c r="K35" s="3287" cm="1">
        <f t="array" aca="1" ref="K35" ca="1">INDIRECT("'※ 재고 세부데이터'!"&amp;K$1&amp;$X35, TRUE)</f>
        <v>0.18444346811483556</v>
      </c>
      <c r="L35" s="3287" cm="1">
        <f t="array" aca="1" ref="L35" ca="1">INDIRECT("'※ 재고 세부데이터'!"&amp;L$1&amp;$X35, TRUE)</f>
        <v>0.20333753948810998</v>
      </c>
      <c r="M35" s="3287" cm="1">
        <f t="array" aca="1" ref="M35" ca="1">INDIRECT("'※ 재고 세부데이터'!"&amp;M$1&amp;$X35, TRUE)</f>
        <v>0.18189593415108407</v>
      </c>
      <c r="N35" s="3287" cm="1">
        <f t="array" aca="1" ref="N35" ca="1">INDIRECT("'※ 재고 세부데이터'!"&amp;N$1&amp;$X35, TRUE)</f>
        <v>0.21624071109560797</v>
      </c>
      <c r="O35" s="3287" cm="1">
        <f t="array" aca="1" ref="O35" ca="1">INDIRECT("'※ 재고 세부데이터'!"&amp;O$1&amp;$X35, TRUE)</f>
        <v>0.2020581257201107</v>
      </c>
      <c r="P35" s="3287" cm="1">
        <f t="array" aca="1" ref="P35" ca="1">INDIRECT("'※ 재고 세부데이터'!"&amp;P$1&amp;$X35, TRUE)</f>
        <v>0.19998115607481037</v>
      </c>
      <c r="Q35" s="3287" cm="1">
        <f t="array" aca="1" ref="Q35" ca="1">INDIRECT("'※ 재고 세부데이터'!"&amp;Q$1&amp;$X35, TRUE)</f>
        <v>0.18651296598064659</v>
      </c>
      <c r="R35" s="3287" cm="1">
        <f t="array" aca="1" ref="R35" ca="1">INDIRECT("'※ 재고 세부데이터'!"&amp;R$1&amp;$X35, TRUE)</f>
        <v>-1.3468190094163779E-2</v>
      </c>
      <c r="S35" s="3287" cm="1">
        <f t="array" aca="1" ref="S35" ca="1">INDIRECT("'※ 재고 세부데이터'!"&amp;S$1&amp;$X35, TRUE)</f>
        <v>1.5405923686726081E-2</v>
      </c>
      <c r="T35" s="3288" cm="1">
        <f t="array" aca="1" ref="T35" ca="1">INDIRECT("'※ 재고 세부데이터'!"&amp;T$1&amp;$X35, TRUE)</f>
        <v>2.3156240516585762</v>
      </c>
      <c r="U35" s="3287" cm="1">
        <f t="array" aca="1" ref="U35" ca="1">INDIRECT("'※ 재고 세부데이터'!"&amp;U$1&amp;$X35, TRUE)</f>
        <v>2.1311745652626013</v>
      </c>
      <c r="V35" s="3287" cm="1">
        <f t="array" aca="1" ref="V35" ca="1">INDIRECT("'※ 재고 세부데이터'!"&amp;V$1&amp;$X35, TRUE)</f>
        <v>0.19296867097154802</v>
      </c>
      <c r="W35" s="3289" cm="1">
        <f t="array" aca="1" ref="W35" ca="1">INDIRECT("'※ 재고 세부데이터'!"&amp;W$1&amp;$X35, TRUE)</f>
        <v>8.5191845755729911E-3</v>
      </c>
      <c r="X35" s="3173">
        <f>ROW('※ 재고 세부데이터'!J32)</f>
        <v>32</v>
      </c>
    </row>
    <row r="36" spans="1:25" x14ac:dyDescent="0.55000000000000004">
      <c r="A36" s="7550"/>
      <c r="B36" s="3228"/>
      <c r="C36" s="2493" t="s">
        <v>853</v>
      </c>
      <c r="D36" s="3290" cm="1">
        <f t="array" aca="1" ref="D36" ca="1">INDIRECT("'※ 재고 세부데이터'!"&amp;D$1&amp;$X36, TRUE)</f>
        <v>0.14980257637067265</v>
      </c>
      <c r="E36" s="3291" cm="1">
        <f t="array" aca="1" ref="E36" ca="1">INDIRECT("'※ 재고 세부데이터'!"&amp;E$1&amp;$X36, TRUE)</f>
        <v>0.16647218871181005</v>
      </c>
      <c r="F36" s="3292" cm="1">
        <f t="array" aca="1" ref="F36" ca="1">INDIRECT("'※ 재고 세부데이터'!"&amp;F$1&amp;$X36, TRUE)</f>
        <v>0.15035101871301126</v>
      </c>
      <c r="G36" s="3293" cm="1">
        <f t="array" aca="1" ref="G36" ca="1">INDIRECT("'※ 재고 세부데이터'!"&amp;G$1&amp;$X36, TRUE)</f>
        <v>0.20385713726870869</v>
      </c>
      <c r="H36" s="3293" cm="1">
        <f t="array" aca="1" ref="H36" ca="1">INDIRECT("'※ 재고 세부데이터'!"&amp;H$1&amp;$X36, TRUE)</f>
        <v>0.16782897851262571</v>
      </c>
      <c r="I36" s="3293" cm="1">
        <f t="array" aca="1" ref="I36" ca="1">INDIRECT("'※ 재고 세부데이터'!"&amp;I$1&amp;$X36, TRUE)</f>
        <v>0.17251592569208105</v>
      </c>
      <c r="J36" s="3293" cm="1">
        <f t="array" aca="1" ref="J36" ca="1">INDIRECT("'※ 재고 세부데이터'!"&amp;J$1&amp;$X36, TRUE)</f>
        <v>0.17822931453776683</v>
      </c>
      <c r="K36" s="3293" cm="1">
        <f t="array" aca="1" ref="K36" ca="1">INDIRECT("'※ 재고 세부데이터'!"&amp;K$1&amp;$X36, TRUE)</f>
        <v>0.17384643526775506</v>
      </c>
      <c r="L36" s="3293" cm="1">
        <f t="array" aca="1" ref="L36" ca="1">INDIRECT("'※ 재고 세부데이터'!"&amp;L$1&amp;$X36, TRUE)</f>
        <v>0.20281244776285731</v>
      </c>
      <c r="M36" s="3293" cm="1">
        <f t="array" aca="1" ref="M36" ca="1">INDIRECT("'※ 재고 세부데이터'!"&amp;M$1&amp;$X36, TRUE)</f>
        <v>0.17625663001076888</v>
      </c>
      <c r="N36" s="3293" cm="1">
        <f t="array" aca="1" ref="N36" ca="1">INDIRECT("'※ 재고 세부데이터'!"&amp;N$1&amp;$X36, TRUE)</f>
        <v>0.168768516294339</v>
      </c>
      <c r="O36" s="3293" cm="1">
        <f t="array" aca="1" ref="O36" ca="1">INDIRECT("'※ 재고 세부데이터'!"&amp;O$1&amp;$X36, TRUE)</f>
        <v>0.17246829364665595</v>
      </c>
      <c r="P36" s="3293" cm="1">
        <f t="array" aca="1" ref="P36" ca="1">INDIRECT("'※ 재고 세부데이터'!"&amp;P$1&amp;$X36, TRUE)</f>
        <v>0.1754211842154855</v>
      </c>
      <c r="Q36" s="3293" cm="1">
        <f t="array" aca="1" ref="Q36" ca="1">INDIRECT("'※ 재고 세부데이터'!"&amp;Q$1&amp;$X36, TRUE)</f>
        <v>0.17480134924048626</v>
      </c>
      <c r="R36" s="3293" cm="1">
        <f t="array" aca="1" ref="R36" ca="1">INDIRECT("'※ 재고 세부데이터'!"&amp;R$1&amp;$X36, TRUE)</f>
        <v>-6.1983497499923379E-4</v>
      </c>
      <c r="S36" s="3293" cm="1">
        <f t="array" aca="1" ref="S36" ca="1">INDIRECT("'※ 재고 세부데이터'!"&amp;S$1&amp;$X36, TRUE)</f>
        <v>2.3502112214106058E-2</v>
      </c>
      <c r="T36" s="3294" cm="1">
        <f t="array" aca="1" ref="T36" ca="1">INDIRECT("'※ 재고 세부데이터'!"&amp;T$1&amp;$X36, TRUE)</f>
        <v>2.1171572311625413</v>
      </c>
      <c r="U36" s="3293" cm="1">
        <f t="array" aca="1" ref="U36" ca="1">INDIRECT("'※ 재고 세부데이터'!"&amp;U$1&amp;$X36, TRUE)</f>
        <v>1.9506850424507312</v>
      </c>
      <c r="V36" s="3293" cm="1">
        <f t="array" aca="1" ref="V36" ca="1">INDIRECT("'※ 재고 세부데이터'!"&amp;V$1&amp;$X36, TRUE)</f>
        <v>0.17642976926354512</v>
      </c>
      <c r="W36" s="3295" cm="1">
        <f t="array" aca="1" ref="W36" ca="1">INDIRECT("'※ 재고 세부데이터'!"&amp;W$1&amp;$X36, TRUE)</f>
        <v>9.957580551735068E-3</v>
      </c>
      <c r="X36" s="3173">
        <f>ROW('※ 재고 세부데이터'!J33)</f>
        <v>33</v>
      </c>
    </row>
    <row r="37" spans="1:25" x14ac:dyDescent="0.55000000000000004">
      <c r="A37" s="7551"/>
      <c r="B37" s="2493"/>
      <c r="C37" s="2493" t="s">
        <v>854</v>
      </c>
      <c r="D37" s="3290" cm="1">
        <f t="array" aca="1" ref="D37" ca="1">INDIRECT("'※ 재고 세부데이터'!"&amp;D$1&amp;$X37, TRUE)</f>
        <v>0.18260872399271677</v>
      </c>
      <c r="E37" s="3291" cm="1">
        <f t="array" aca="1" ref="E37" ca="1">INDIRECT("'※ 재고 세부데이터'!"&amp;E$1&amp;$X37, TRUE)</f>
        <v>0.22281544660194261</v>
      </c>
      <c r="F37" s="3292" cm="1">
        <f t="array" aca="1" ref="F37" ca="1">INDIRECT("'※ 재고 세부데이터'!"&amp;F$1&amp;$X37, TRUE)</f>
        <v>0.22232443435371488</v>
      </c>
      <c r="G37" s="3293" cm="1">
        <f t="array" aca="1" ref="G37" ca="1">INDIRECT("'※ 재고 세부데이터'!"&amp;G$1&amp;$X37, TRUE)</f>
        <v>0.23590590354470012</v>
      </c>
      <c r="H37" s="3293" cm="1">
        <f t="array" aca="1" ref="H37" ca="1">INDIRECT("'※ 재고 세부데이터'!"&amp;H$1&amp;$X37, TRUE)</f>
        <v>0.23049248656356258</v>
      </c>
      <c r="I37" s="3293" cm="1">
        <f t="array" aca="1" ref="I37" ca="1">INDIRECT("'※ 재고 세부데이터'!"&amp;I$1&amp;$X37, TRUE)</f>
        <v>0.2499316441851987</v>
      </c>
      <c r="J37" s="3293" cm="1">
        <f t="array" aca="1" ref="J37" ca="1">INDIRECT("'※ 재고 세부데이터'!"&amp;J$1&amp;$X37, TRUE)</f>
        <v>0.23015831908979473</v>
      </c>
      <c r="K37" s="3293" cm="1">
        <f t="array" aca="1" ref="K37" ca="1">INDIRECT("'※ 재고 세부데이터'!"&amp;K$1&amp;$X37, TRUE)</f>
        <v>0.2267122883605687</v>
      </c>
      <c r="L37" s="3293" cm="1">
        <f t="array" aca="1" ref="L37" ca="1">INDIRECT("'※ 재고 세부데이터'!"&amp;L$1&amp;$X37, TRUE)</f>
        <v>0.20643079661771249</v>
      </c>
      <c r="M37" s="3293" cm="1">
        <f t="array" aca="1" ref="M37" ca="1">INDIRECT("'※ 재고 세부데이터'!"&amp;M$1&amp;$X37, TRUE)</f>
        <v>0.210167220761177</v>
      </c>
      <c r="N37" s="3293" cm="1">
        <f t="array" aca="1" ref="N37" ca="1">INDIRECT("'※ 재고 세부데이터'!"&amp;N$1&amp;$X37, TRUE)</f>
        <v>0.30831663235787543</v>
      </c>
      <c r="O37" s="3293" cm="1">
        <f t="array" aca="1" ref="O37" ca="1">INDIRECT("'※ 재고 세부데이터'!"&amp;O$1&amp;$X37, TRUE)</f>
        <v>0.25354603441757223</v>
      </c>
      <c r="P37" s="3293" cm="1">
        <f t="array" aca="1" ref="P37" ca="1">INDIRECT("'※ 재고 세부데이터'!"&amp;P$1&amp;$X37, TRUE)</f>
        <v>0.24038213687330842</v>
      </c>
      <c r="Q37" s="3293" cm="1">
        <f t="array" aca="1" ref="Q37" ca="1">INDIRECT("'※ 재고 세부데이터'!"&amp;Q$1&amp;$X37, TRUE)</f>
        <v>0.22964901684450709</v>
      </c>
      <c r="R37" s="3293" cm="1">
        <f t="array" aca="1" ref="R37" ca="1">INDIRECT("'※ 재고 세부데이터'!"&amp;R$1&amp;$X37, TRUE)</f>
        <v>-1.0733120028801335E-2</v>
      </c>
      <c r="S37" s="3293" cm="1">
        <f t="array" aca="1" ref="S37" ca="1">INDIRECT("'※ 재고 세부데이터'!"&amp;S$1&amp;$X37, TRUE)</f>
        <v>1.0294679708202636E-2</v>
      </c>
      <c r="T37" s="3294" cm="1">
        <f t="array" aca="1" ref="T37" ca="1">INDIRECT("'※ 재고 세부데이터'!"&amp;T$1&amp;$X37, TRUE)</f>
        <v>2.8440169139696927</v>
      </c>
      <c r="U37" s="3293" cm="1">
        <f t="array" aca="1" ref="U37" ca="1">INDIRECT("'※ 재고 세부데이터'!"&amp;U$1&amp;$X37, TRUE)</f>
        <v>2.6212014673677499</v>
      </c>
      <c r="V37" s="3293" cm="1">
        <f t="array" aca="1" ref="V37" ca="1">INDIRECT("'※ 재고 세부데이터'!"&amp;V$1&amp;$X37, TRUE)</f>
        <v>0.23700140949747439</v>
      </c>
      <c r="W37" s="3295" cm="1">
        <f t="array" aca="1" ref="W37" ca="1">INDIRECT("'※ 재고 세부데이터'!"&amp;W$1&amp;$X37, TRUE)</f>
        <v>1.4185962895531784E-2</v>
      </c>
      <c r="X37" s="3173">
        <f>ROW('※ 재고 세부데이터'!J34)</f>
        <v>34</v>
      </c>
    </row>
    <row r="38" spans="1:25" ht="15.45" thickBot="1" x14ac:dyDescent="0.6">
      <c r="A38" s="7552"/>
      <c r="B38" s="3206"/>
      <c r="C38" s="3206" t="s">
        <v>428</v>
      </c>
      <c r="D38" s="3296" cm="1">
        <f t="array" aca="1" ref="D38" ca="1">INDIRECT("'※ 재고 세부데이터'!"&amp;D$1&amp;$X38, TRUE)</f>
        <v>0.2251118221091776</v>
      </c>
      <c r="E38" s="3297" cm="1">
        <f t="array" aca="1" ref="E38" ca="1">INDIRECT("'※ 재고 세부데이터'!"&amp;E$1&amp;$X38, TRUE)</f>
        <v>0.22204483649849829</v>
      </c>
      <c r="F38" s="3298" cm="1">
        <f t="array" aca="1" ref="F38" ca="1">INDIRECT("'※ 재고 세부데이터'!"&amp;F$1&amp;$X38, TRUE)</f>
        <v>0.23567387687188021</v>
      </c>
      <c r="G38" s="3299" cm="1">
        <f t="array" aca="1" ref="G38" ca="1">INDIRECT("'※ 재고 세부데이터'!"&amp;G$1&amp;$X38, TRUE)</f>
        <v>0.21841332027424093</v>
      </c>
      <c r="H38" s="3299" cm="1">
        <f t="array" aca="1" ref="H38" ca="1">INDIRECT("'※ 재고 세부데이터'!"&amp;H$1&amp;$X38, TRUE)</f>
        <v>0.19229488175863219</v>
      </c>
      <c r="I38" s="3299" cm="1">
        <f t="array" aca="1" ref="I38" ca="1">INDIRECT("'※ 재고 세부데이터'!"&amp;I$1&amp;$X38, TRUE)</f>
        <v>0.15738032389241635</v>
      </c>
      <c r="J38" s="3299" cm="1">
        <f t="array" aca="1" ref="J38" ca="1">INDIRECT("'※ 재고 세부데이터'!"&amp;J$1&amp;$X38, TRUE)</f>
        <v>0.21027145000682035</v>
      </c>
      <c r="K38" s="3299" cm="1">
        <f t="array" aca="1" ref="K38" ca="1">INDIRECT("'※ 재고 세부데이터'!"&amp;K$1&amp;$X38, TRUE)</f>
        <v>0.20499938732998407</v>
      </c>
      <c r="L38" s="3299" cm="1">
        <f t="array" aca="1" ref="L38" ca="1">INDIRECT("'※ 재고 세부데이터'!"&amp;L$1&amp;$X38, TRUE)</f>
        <v>0.20520552293286781</v>
      </c>
      <c r="M38" s="3299" cm="1">
        <f t="array" aca="1" ref="M38" ca="1">INDIRECT("'※ 재고 세부데이터'!"&amp;M$1&amp;$X38, TRUE)</f>
        <v>0.19479835737601348</v>
      </c>
      <c r="N38" s="3299" cm="1">
        <f t="array" aca="1" ref="N38" ca="1">INDIRECT("'※ 재고 세부데이터'!"&amp;N$1&amp;$X38, TRUE)</f>
        <v>0.15548475193445607</v>
      </c>
      <c r="O38" s="3299" cm="1">
        <f t="array" aca="1" ref="O38" ca="1">INDIRECT("'※ 재고 세부데이터'!"&amp;O$1&amp;$X38, TRUE)</f>
        <v>0.28337155166423461</v>
      </c>
      <c r="P38" s="3299" cm="1">
        <f t="array" aca="1" ref="P38" ca="1">INDIRECT("'※ 재고 세부데이터'!"&amp;P$1&amp;$X38, TRUE)</f>
        <v>0.31461041615567004</v>
      </c>
      <c r="Q38" s="3299" cm="1">
        <f t="array" aca="1" ref="Q38" ca="1">INDIRECT("'※ 재고 세부데이터'!"&amp;Q$1&amp;$X38, TRUE)</f>
        <v>0.14551842470790097</v>
      </c>
      <c r="R38" s="3299" cm="1">
        <f t="array" aca="1" ref="R38" ca="1">INDIRECT("'※ 재고 세부데이터'!"&amp;R$1&amp;$X38, TRUE)</f>
        <v>-0.16909199144776907</v>
      </c>
      <c r="S38" s="3300" t="s">
        <v>483</v>
      </c>
      <c r="T38" s="3301" cm="1">
        <f t="array" aca="1" ref="T38" ca="1">INDIRECT("'※ 재고 세부데이터'!"&amp;T$1&amp;$X38, TRUE)</f>
        <v>2.5180222649051167</v>
      </c>
      <c r="U38" s="3300" t="s">
        <v>483</v>
      </c>
      <c r="V38" s="3299" cm="1">
        <f t="array" aca="1" ref="V38" ca="1">INDIRECT("'※ 재고 세부데이터'!"&amp;V$1&amp;$X38, TRUE)</f>
        <v>0.20983518874209306</v>
      </c>
      <c r="W38" s="3302" t="s">
        <v>483</v>
      </c>
      <c r="X38" s="3173">
        <f>ROW('※ 재고 세부데이터'!J35)</f>
        <v>35</v>
      </c>
    </row>
    <row r="39" spans="1:25" ht="10.5" customHeight="1" thickBot="1" x14ac:dyDescent="0.6">
      <c r="A39" s="3214"/>
      <c r="B39" s="2493"/>
      <c r="C39" s="2493"/>
      <c r="D39" s="3215"/>
      <c r="E39" s="3216"/>
      <c r="F39" s="3217"/>
      <c r="G39" s="2493"/>
      <c r="H39" s="2493"/>
      <c r="I39" s="2493"/>
      <c r="J39" s="2493"/>
      <c r="K39" s="2493"/>
      <c r="L39" s="2493"/>
      <c r="M39" s="2493"/>
      <c r="N39" s="2493"/>
      <c r="O39" s="2493"/>
      <c r="P39" s="2493"/>
      <c r="Q39" s="2493"/>
      <c r="R39" s="2493"/>
      <c r="S39" s="3218"/>
      <c r="T39" s="3270"/>
      <c r="U39" s="3218"/>
      <c r="V39" s="3218"/>
      <c r="W39" s="3220"/>
      <c r="X39" s="3173">
        <f>ROW('※ 재고 세부데이터'!J36)</f>
        <v>36</v>
      </c>
    </row>
    <row r="40" spans="1:25" x14ac:dyDescent="0.55000000000000004">
      <c r="A40" s="7548" t="s">
        <v>953</v>
      </c>
      <c r="B40" s="3174" t="s">
        <v>858</v>
      </c>
      <c r="C40" s="3303" t="s">
        <v>859</v>
      </c>
      <c r="D40" s="3304" cm="1">
        <f t="array" aca="1" ref="D40" ca="1">INDIRECT("'※ 재고 세부데이터'!"&amp;D$1&amp;$X40, TRUE)</f>
        <v>0</v>
      </c>
      <c r="E40" s="3305" cm="1">
        <f t="array" aca="1" ref="E40" ca="1">INDIRECT("'※ 재고 세부데이터'!"&amp;E$1&amp;$X40, TRUE)</f>
        <v>1312.9166666666667</v>
      </c>
      <c r="F40" s="3306" cm="1">
        <f t="array" aca="1" ref="F40" ca="1">INDIRECT("'※ 재고 세부데이터'!"&amp;F$1&amp;$X40, TRUE)</f>
        <v>818</v>
      </c>
      <c r="G40" s="3307" cm="1">
        <f t="array" aca="1" ref="G40" ca="1">INDIRECT("'※ 재고 세부데이터'!"&amp;G$1&amp;$X40, TRUE)</f>
        <v>0</v>
      </c>
      <c r="H40" s="3307" cm="1">
        <f t="array" aca="1" ref="H40" ca="1">INDIRECT("'※ 재고 세부데이터'!"&amp;H$1&amp;$X40, TRUE)</f>
        <v>0</v>
      </c>
      <c r="I40" s="3307" cm="1">
        <f t="array" aca="1" ref="I40" ca="1">INDIRECT("'※ 재고 세부데이터'!"&amp;I$1&amp;$X40, TRUE)</f>
        <v>0</v>
      </c>
      <c r="J40" s="3307" cm="1">
        <f t="array" aca="1" ref="J40" ca="1">INDIRECT("'※ 재고 세부데이터'!"&amp;J$1&amp;$X40, TRUE)</f>
        <v>0</v>
      </c>
      <c r="K40" s="3307" cm="1">
        <f t="array" aca="1" ref="K40" ca="1">INDIRECT("'※ 재고 세부데이터'!"&amp;K$1&amp;$X40, TRUE)</f>
        <v>0</v>
      </c>
      <c r="L40" s="3307" cm="1">
        <f t="array" aca="1" ref="L40" ca="1">INDIRECT("'※ 재고 세부데이터'!"&amp;L$1&amp;$X40, TRUE)</f>
        <v>0</v>
      </c>
      <c r="M40" s="3307" cm="1">
        <f t="array" aca="1" ref="M40" ca="1">INDIRECT("'※ 재고 세부데이터'!"&amp;M$1&amp;$X40, TRUE)</f>
        <v>0</v>
      </c>
      <c r="N40" s="3307" cm="1">
        <f t="array" aca="1" ref="N40" ca="1">INDIRECT("'※ 재고 세부데이터'!"&amp;N$1&amp;$X40, TRUE)</f>
        <v>0</v>
      </c>
      <c r="O40" s="3307" cm="1">
        <f t="array" aca="1" ref="O40" ca="1">INDIRECT("'※ 재고 세부데이터'!"&amp;O$1&amp;$X40, TRUE)</f>
        <v>0</v>
      </c>
      <c r="P40" s="3307" cm="1">
        <f t="array" aca="1" ref="P40" ca="1">INDIRECT("'※ 재고 세부데이터'!"&amp;P$1&amp;$X40, TRUE)</f>
        <v>0</v>
      </c>
      <c r="Q40" s="3307" cm="1">
        <f t="array" aca="1" ref="Q40" ca="1">INDIRECT("'※ 재고 세부데이터'!"&amp;Q$1&amp;$X40, TRUE)</f>
        <v>0</v>
      </c>
      <c r="R40" s="3307" cm="1">
        <f t="array" aca="1" ref="R40" ca="1">INDIRECT("'※ 재고 세부데이터'!"&amp;R$1&amp;$X40, TRUE)</f>
        <v>0</v>
      </c>
      <c r="S40" s="3307" cm="1">
        <f t="array" aca="1" ref="S40" ca="1">INDIRECT("'※ 재고 세부데이터'!"&amp;S$1&amp;$X40, TRUE)</f>
        <v>-4600</v>
      </c>
      <c r="T40" s="3247" cm="1">
        <f t="array" aca="1" ref="T40" ca="1">INDIRECT("'※ 재고 세부데이터'!"&amp;T$1&amp;$X40, TRUE)</f>
        <v>818</v>
      </c>
      <c r="U40" s="3307" cm="1">
        <f t="array" aca="1" ref="U40" ca="1">INDIRECT("'※ 재고 세부데이터'!"&amp;U$1&amp;$X40, TRUE)</f>
        <v>-494.91666666666674</v>
      </c>
      <c r="V40" s="3307" cm="1">
        <f t="array" aca="1" ref="V40" ca="1">INDIRECT("'※ 재고 세부데이터'!"&amp;V$1&amp;$X40, TRUE)</f>
        <v>68.166666666666671</v>
      </c>
      <c r="W40" s="3308" cm="1">
        <f t="array" aca="1" ref="W40" ca="1">INDIRECT("'※ 재고 세부데이터'!"&amp;W$1&amp;$X40, TRUE)</f>
        <v>-1244.75</v>
      </c>
      <c r="X40" s="3173">
        <f>ROW('※ 재고 세부데이터'!J37)</f>
        <v>37</v>
      </c>
    </row>
    <row r="41" spans="1:25" ht="15.45" thickBot="1" x14ac:dyDescent="0.6">
      <c r="A41" s="7453"/>
      <c r="B41" s="3309"/>
      <c r="C41" s="3207" t="s">
        <v>860</v>
      </c>
      <c r="D41" s="3208" cm="1">
        <f t="array" aca="1" ref="D41" ca="1">INDIRECT("'※ 재고 세부데이터'!"&amp;D$1&amp;$X41, TRUE)</f>
        <v>0</v>
      </c>
      <c r="E41" s="3209" cm="1">
        <f t="array" aca="1" ref="E41" ca="1">INDIRECT("'※ 재고 세부데이터'!"&amp;E$1&amp;$X41, TRUE)</f>
        <v>0.37707132856060571</v>
      </c>
      <c r="F41" s="3210" cm="1">
        <f t="array" aca="1" ref="F41" ca="1">INDIRECT("'※ 재고 세부데이터'!"&amp;F$1&amp;$X41, TRUE)</f>
        <v>0.44187030181818171</v>
      </c>
      <c r="G41" s="3211" cm="1">
        <f t="array" aca="1" ref="G41" ca="1">INDIRECT("'※ 재고 세부데이터'!"&amp;G$1&amp;$X41, TRUE)</f>
        <v>0</v>
      </c>
      <c r="H41" s="3211" cm="1">
        <f t="array" aca="1" ref="H41" ca="1">INDIRECT("'※ 재고 세부데이터'!"&amp;H$1&amp;$X41, TRUE)</f>
        <v>0</v>
      </c>
      <c r="I41" s="3211" cm="1">
        <f t="array" aca="1" ref="I41" ca="1">INDIRECT("'※ 재고 세부데이터'!"&amp;I$1&amp;$X41, TRUE)</f>
        <v>0</v>
      </c>
      <c r="J41" s="3211" cm="1">
        <f t="array" aca="1" ref="J41" ca="1">INDIRECT("'※ 재고 세부데이터'!"&amp;J$1&amp;$X41, TRUE)</f>
        <v>0</v>
      </c>
      <c r="K41" s="3211" cm="1">
        <f t="array" aca="1" ref="K41" ca="1">INDIRECT("'※ 재고 세부데이터'!"&amp;K$1&amp;$X41, TRUE)</f>
        <v>0</v>
      </c>
      <c r="L41" s="3211" cm="1">
        <f t="array" aca="1" ref="L41" ca="1">INDIRECT("'※ 재고 세부데이터'!"&amp;L$1&amp;$X41, TRUE)</f>
        <v>0</v>
      </c>
      <c r="M41" s="3211" cm="1">
        <f t="array" aca="1" ref="M41" ca="1">INDIRECT("'※ 재고 세부데이터'!"&amp;M$1&amp;$X41, TRUE)</f>
        <v>0</v>
      </c>
      <c r="N41" s="3211" cm="1">
        <f t="array" aca="1" ref="N41" ca="1">INDIRECT("'※ 재고 세부데이터'!"&amp;N$1&amp;$X41, TRUE)</f>
        <v>0</v>
      </c>
      <c r="O41" s="3211" cm="1">
        <f t="array" aca="1" ref="O41" ca="1">INDIRECT("'※ 재고 세부데이터'!"&amp;O$1&amp;$X41, TRUE)</f>
        <v>0</v>
      </c>
      <c r="P41" s="3211" cm="1">
        <f t="array" aca="1" ref="P41" ca="1">INDIRECT("'※ 재고 세부데이터'!"&amp;P$1&amp;$X41, TRUE)</f>
        <v>0</v>
      </c>
      <c r="Q41" s="3211" cm="1">
        <f t="array" aca="1" ref="Q41" ca="1">INDIRECT("'※ 재고 세부데이터'!"&amp;Q$1&amp;$X41, TRUE)</f>
        <v>0</v>
      </c>
      <c r="R41" s="3211" cm="1">
        <f t="array" aca="1" ref="R41" ca="1">INDIRECT("'※ 재고 세부데이터'!"&amp;R$1&amp;$X41, TRUE)</f>
        <v>0</v>
      </c>
      <c r="S41" s="3211" cm="1">
        <f t="array" aca="1" ref="S41" ca="1">INDIRECT("'※ 재고 세부데이터'!"&amp;S$1&amp;$X41, TRUE)</f>
        <v>-1.4230560000000001</v>
      </c>
      <c r="T41" s="3212" cm="1">
        <f t="array" aca="1" ref="T41" ca="1">INDIRECT("'※ 재고 세부데이터'!"&amp;T$1&amp;$X41, TRUE)</f>
        <v>0.44187030181818171</v>
      </c>
      <c r="U41" s="3211" cm="1">
        <f t="array" aca="1" ref="U41" ca="1">INDIRECT("'※ 재고 세부데이터'!"&amp;U$1&amp;$X41, TRUE)</f>
        <v>6.4798973257575998E-2</v>
      </c>
      <c r="V41" s="3211" cm="1">
        <f t="array" aca="1" ref="V41" ca="1">INDIRECT("'※ 재고 세부데이터'!"&amp;V$1&amp;$X41, TRUE)</f>
        <v>3.6822525151515142E-2</v>
      </c>
      <c r="W41" s="3213" cm="1">
        <f t="array" aca="1" ref="W41" ca="1">INDIRECT("'※ 재고 세부데이터'!"&amp;W$1&amp;$X41, TRUE)</f>
        <v>-0.34024880340909058</v>
      </c>
      <c r="X41" s="3173">
        <f>ROW('※ 재고 세부데이터'!J38)</f>
        <v>38</v>
      </c>
    </row>
    <row r="42" spans="1:25" ht="16.5" customHeight="1" x14ac:dyDescent="0.55000000000000004">
      <c r="F42" s="2441"/>
      <c r="G42" s="2441"/>
      <c r="H42" s="2441"/>
      <c r="I42" s="2441"/>
      <c r="J42" s="2441"/>
      <c r="K42" s="2441"/>
      <c r="L42" s="2441"/>
      <c r="M42" s="2441"/>
      <c r="N42" s="2441"/>
      <c r="O42" s="2441"/>
      <c r="P42" s="2441"/>
      <c r="Q42" s="2441"/>
    </row>
    <row r="45" spans="1:25" x14ac:dyDescent="0.55000000000000004">
      <c r="B45" s="3310"/>
      <c r="C45" s="3310"/>
      <c r="D45" s="3310"/>
      <c r="E45" s="3310"/>
      <c r="F45" s="3310"/>
      <c r="G45" s="3310"/>
      <c r="H45" s="3310"/>
      <c r="I45" s="3310"/>
      <c r="J45" s="3310"/>
      <c r="K45" s="3310"/>
      <c r="L45" s="3310"/>
      <c r="M45" s="3310"/>
      <c r="N45" s="3310"/>
      <c r="O45" s="3310"/>
      <c r="P45" s="3310"/>
      <c r="Q45" s="3310"/>
      <c r="R45" s="3310"/>
      <c r="S45" s="3310"/>
      <c r="T45" s="3310"/>
      <c r="U45" s="3310"/>
      <c r="V45" s="3310"/>
      <c r="W45" s="3310"/>
      <c r="X45" s="3310"/>
      <c r="Y45" s="3310"/>
    </row>
    <row r="46" spans="1:25" x14ac:dyDescent="0.55000000000000004">
      <c r="B46" s="3310"/>
      <c r="C46" s="3310"/>
      <c r="D46" s="3310"/>
      <c r="E46" s="3310"/>
      <c r="F46" s="3310"/>
      <c r="G46" s="3310"/>
      <c r="H46" s="3310"/>
      <c r="I46" s="3310"/>
      <c r="J46" s="3310"/>
      <c r="K46" s="3310"/>
      <c r="L46" s="3310"/>
      <c r="M46" s="3310"/>
      <c r="N46" s="3310"/>
      <c r="O46" s="3310"/>
      <c r="P46" s="3310"/>
      <c r="Q46" s="3310"/>
      <c r="R46" s="3310"/>
      <c r="S46" s="3310"/>
      <c r="T46" s="3310"/>
      <c r="U46" s="3310"/>
      <c r="V46" s="3310"/>
      <c r="W46" s="3310"/>
      <c r="X46" s="3310"/>
      <c r="Y46" s="3310"/>
    </row>
    <row r="47" spans="1:25" x14ac:dyDescent="0.55000000000000004">
      <c r="B47" s="3310"/>
      <c r="C47" s="3310"/>
      <c r="D47" s="3310"/>
      <c r="E47" s="3310"/>
      <c r="F47" s="3310"/>
      <c r="G47" s="3310"/>
      <c r="H47" s="3310"/>
      <c r="I47" s="3310"/>
      <c r="J47" s="3310"/>
      <c r="K47" s="3310"/>
      <c r="L47" s="3310"/>
      <c r="M47" s="3310"/>
      <c r="N47" s="3310"/>
      <c r="O47" s="3310"/>
      <c r="P47" s="3310"/>
      <c r="Q47" s="3310"/>
      <c r="R47" s="3310"/>
      <c r="S47" s="3310"/>
      <c r="T47" s="3310"/>
      <c r="U47" s="3310"/>
      <c r="V47" s="3310"/>
      <c r="W47" s="3310"/>
      <c r="X47" s="3310"/>
      <c r="Y47" s="3310"/>
    </row>
    <row r="48" spans="1:25" x14ac:dyDescent="0.55000000000000004">
      <c r="B48" s="3310"/>
      <c r="C48" s="3310"/>
      <c r="D48" s="3310"/>
      <c r="E48" s="3310"/>
      <c r="F48" s="3310"/>
      <c r="G48" s="3310"/>
      <c r="H48" s="3310"/>
      <c r="I48" s="3310"/>
      <c r="J48" s="3310"/>
      <c r="K48" s="3310"/>
      <c r="L48" s="3310"/>
      <c r="M48" s="3310"/>
      <c r="N48" s="3310"/>
      <c r="O48" s="3310"/>
      <c r="P48" s="3310"/>
      <c r="Q48" s="3310"/>
      <c r="R48" s="3310"/>
      <c r="S48" s="3310"/>
      <c r="T48" s="3310"/>
      <c r="U48" s="3310"/>
      <c r="V48" s="3310"/>
      <c r="W48" s="3310"/>
      <c r="X48" s="3310"/>
      <c r="Y48" s="3310"/>
    </row>
    <row r="49" spans="2:25" x14ac:dyDescent="0.55000000000000004">
      <c r="B49" s="3310"/>
      <c r="C49" s="3310"/>
      <c r="D49" s="3310"/>
      <c r="E49" s="3310"/>
      <c r="F49" s="3310"/>
      <c r="G49" s="3310"/>
      <c r="H49" s="3310"/>
      <c r="I49" s="3310"/>
      <c r="J49" s="3310"/>
      <c r="K49" s="3310"/>
      <c r="L49" s="3310"/>
      <c r="M49" s="3310"/>
      <c r="N49" s="3310"/>
      <c r="O49" s="3310"/>
      <c r="P49" s="3310"/>
      <c r="Q49" s="3310"/>
      <c r="R49" s="3310"/>
      <c r="S49" s="3310"/>
      <c r="T49" s="3310"/>
      <c r="U49" s="3310"/>
      <c r="V49" s="3310"/>
      <c r="W49" s="3310"/>
      <c r="X49" s="3310"/>
      <c r="Y49" s="3310"/>
    </row>
    <row r="50" spans="2:25" x14ac:dyDescent="0.55000000000000004">
      <c r="B50" s="3310"/>
      <c r="C50" s="3310"/>
      <c r="D50" s="3310"/>
      <c r="E50" s="3310"/>
      <c r="F50" s="3310"/>
      <c r="G50" s="3310"/>
      <c r="H50" s="3310"/>
      <c r="I50" s="3310"/>
      <c r="J50" s="3310"/>
      <c r="K50" s="3310"/>
      <c r="L50" s="3310"/>
      <c r="M50" s="3310"/>
      <c r="N50" s="3310"/>
      <c r="O50" s="3310"/>
      <c r="P50" s="3310"/>
      <c r="Q50" s="3310"/>
      <c r="R50" s="3310"/>
      <c r="S50" s="3310"/>
      <c r="T50" s="3310"/>
      <c r="U50" s="3310"/>
      <c r="V50" s="3310"/>
      <c r="W50" s="3310"/>
      <c r="X50" s="3310"/>
      <c r="Y50" s="3310"/>
    </row>
    <row r="51" spans="2:25" x14ac:dyDescent="0.55000000000000004">
      <c r="B51" s="3310"/>
      <c r="C51" s="3310"/>
      <c r="D51" s="3310"/>
      <c r="E51" s="3310"/>
      <c r="F51" s="3310"/>
      <c r="G51" s="3310"/>
      <c r="H51" s="3310"/>
      <c r="I51" s="3310"/>
      <c r="J51" s="3310"/>
      <c r="K51" s="3310"/>
      <c r="L51" s="3310"/>
      <c r="M51" s="3310"/>
      <c r="N51" s="3310"/>
      <c r="O51" s="3310"/>
      <c r="P51" s="3310"/>
      <c r="Q51" s="3310"/>
      <c r="R51" s="3310"/>
      <c r="S51" s="3310"/>
      <c r="T51" s="3310"/>
      <c r="U51" s="3310"/>
      <c r="V51" s="3310"/>
      <c r="W51" s="3310"/>
      <c r="X51" s="3310"/>
      <c r="Y51" s="3310"/>
    </row>
    <row r="52" spans="2:25" x14ac:dyDescent="0.55000000000000004">
      <c r="B52" s="3310"/>
      <c r="C52" s="3310"/>
      <c r="D52" s="3310"/>
      <c r="E52" s="3310"/>
      <c r="F52" s="3310"/>
      <c r="G52" s="3310"/>
      <c r="H52" s="3310"/>
      <c r="I52" s="3310"/>
      <c r="J52" s="3310"/>
      <c r="K52" s="3310"/>
      <c r="L52" s="3310"/>
      <c r="M52" s="3310"/>
      <c r="N52" s="3310"/>
      <c r="O52" s="3310"/>
      <c r="P52" s="3310"/>
      <c r="Q52" s="3310"/>
      <c r="R52" s="3310"/>
      <c r="S52" s="3310"/>
      <c r="T52" s="3310"/>
      <c r="U52" s="3310"/>
      <c r="V52" s="3310"/>
      <c r="W52" s="3310"/>
      <c r="X52" s="3310"/>
      <c r="Y52" s="3310"/>
    </row>
    <row r="53" spans="2:25" x14ac:dyDescent="0.55000000000000004">
      <c r="B53" s="3310"/>
      <c r="C53" s="3310"/>
      <c r="D53" s="3310"/>
      <c r="E53" s="3310"/>
      <c r="F53" s="3310"/>
      <c r="G53" s="3310"/>
      <c r="H53" s="3310"/>
      <c r="I53" s="3310"/>
      <c r="J53" s="3310"/>
      <c r="K53" s="3310"/>
      <c r="L53" s="3310"/>
      <c r="M53" s="3310"/>
      <c r="N53" s="3310"/>
      <c r="O53" s="3310"/>
      <c r="P53" s="3310"/>
      <c r="Q53" s="3310"/>
      <c r="R53" s="3310"/>
      <c r="S53" s="3310"/>
      <c r="T53" s="3310"/>
      <c r="U53" s="3310"/>
      <c r="V53" s="3310"/>
      <c r="W53" s="3310"/>
      <c r="X53" s="3310"/>
      <c r="Y53" s="3310"/>
    </row>
    <row r="54" spans="2:25" x14ac:dyDescent="0.55000000000000004">
      <c r="B54" s="3310"/>
      <c r="C54" s="3310"/>
      <c r="D54" s="3310"/>
      <c r="E54" s="3310"/>
      <c r="F54" s="3310"/>
      <c r="G54" s="3310"/>
      <c r="H54" s="3310"/>
      <c r="I54" s="3310"/>
      <c r="J54" s="3310"/>
      <c r="K54" s="3310"/>
      <c r="L54" s="3310"/>
      <c r="M54" s="3310"/>
      <c r="N54" s="3310"/>
      <c r="O54" s="3310"/>
      <c r="P54" s="3310"/>
      <c r="Q54" s="3310"/>
      <c r="R54" s="3310"/>
      <c r="S54" s="3310"/>
      <c r="T54" s="3310"/>
      <c r="U54" s="3310"/>
      <c r="V54" s="3310"/>
      <c r="W54" s="3310"/>
      <c r="X54" s="3310"/>
      <c r="Y54" s="3310"/>
    </row>
    <row r="55" spans="2:25" x14ac:dyDescent="0.55000000000000004">
      <c r="B55" s="3310"/>
      <c r="C55" s="3310"/>
      <c r="D55" s="3310"/>
      <c r="E55" s="3310"/>
      <c r="F55" s="3310"/>
      <c r="G55" s="3310"/>
      <c r="H55" s="3310"/>
      <c r="I55" s="3310"/>
      <c r="J55" s="3310"/>
      <c r="K55" s="3310"/>
      <c r="L55" s="3310"/>
      <c r="M55" s="3310"/>
      <c r="N55" s="3310"/>
      <c r="O55" s="3310"/>
      <c r="P55" s="3310"/>
      <c r="Q55" s="3310"/>
      <c r="R55" s="3310"/>
      <c r="S55" s="3310"/>
      <c r="T55" s="3310"/>
      <c r="U55" s="3310"/>
      <c r="V55" s="3310"/>
      <c r="W55" s="3310"/>
      <c r="X55" s="3310"/>
      <c r="Y55" s="3310"/>
    </row>
    <row r="56" spans="2:25" x14ac:dyDescent="0.55000000000000004">
      <c r="B56" s="3310"/>
      <c r="C56" s="3310"/>
      <c r="D56" s="3310"/>
      <c r="E56" s="3310"/>
      <c r="F56" s="3310"/>
      <c r="G56" s="3310"/>
      <c r="H56" s="3310"/>
      <c r="I56" s="3310"/>
      <c r="J56" s="3310"/>
      <c r="K56" s="3310"/>
      <c r="L56" s="3310"/>
      <c r="M56" s="3310"/>
      <c r="N56" s="3310"/>
      <c r="O56" s="3310"/>
      <c r="P56" s="3310"/>
      <c r="Q56" s="3310"/>
      <c r="R56" s="3310"/>
      <c r="S56" s="3310"/>
      <c r="T56" s="3310"/>
      <c r="U56" s="3310"/>
      <c r="V56" s="3310"/>
      <c r="W56" s="3310"/>
      <c r="X56" s="3310"/>
      <c r="Y56" s="3310"/>
    </row>
    <row r="57" spans="2:25" x14ac:dyDescent="0.55000000000000004">
      <c r="B57" s="3310"/>
      <c r="C57" s="3310"/>
      <c r="D57" s="3310"/>
      <c r="E57" s="3310"/>
      <c r="F57" s="3310"/>
      <c r="G57" s="3310"/>
      <c r="H57" s="3310"/>
      <c r="I57" s="3310"/>
      <c r="J57" s="3310"/>
      <c r="K57" s="3310"/>
      <c r="L57" s="3310"/>
      <c r="M57" s="3310"/>
      <c r="N57" s="3310"/>
      <c r="O57" s="3310"/>
      <c r="P57" s="3310"/>
      <c r="Q57" s="3310"/>
      <c r="R57" s="3310"/>
      <c r="S57" s="3310"/>
      <c r="T57" s="3310"/>
      <c r="U57" s="3310"/>
      <c r="V57" s="3310"/>
      <c r="W57" s="3310"/>
      <c r="X57" s="3310"/>
      <c r="Y57" s="3310"/>
    </row>
    <row r="58" spans="2:25" x14ac:dyDescent="0.55000000000000004">
      <c r="B58" s="3310"/>
      <c r="C58" s="3310"/>
      <c r="D58" s="3310"/>
      <c r="E58" s="3310"/>
      <c r="F58" s="3310"/>
      <c r="G58" s="3310"/>
      <c r="H58" s="3310"/>
      <c r="I58" s="3310"/>
      <c r="J58" s="3310"/>
      <c r="K58" s="3310"/>
      <c r="L58" s="3310"/>
      <c r="M58" s="3310"/>
      <c r="N58" s="3310"/>
      <c r="O58" s="3310"/>
      <c r="P58" s="3310"/>
      <c r="Q58" s="3310"/>
      <c r="R58" s="3310"/>
      <c r="S58" s="3310"/>
      <c r="T58" s="3310"/>
      <c r="U58" s="3310"/>
      <c r="V58" s="3310"/>
      <c r="W58" s="3310"/>
      <c r="X58" s="3310"/>
      <c r="Y58" s="3310"/>
    </row>
    <row r="59" spans="2:25" x14ac:dyDescent="0.55000000000000004">
      <c r="B59" s="3310"/>
      <c r="C59" s="3310"/>
      <c r="D59" s="3310"/>
      <c r="E59" s="3310"/>
      <c r="F59" s="3310"/>
      <c r="G59" s="3310"/>
      <c r="H59" s="3310"/>
      <c r="I59" s="3310"/>
      <c r="J59" s="3310"/>
      <c r="K59" s="3310"/>
      <c r="L59" s="3310"/>
      <c r="M59" s="3310"/>
      <c r="N59" s="3310"/>
      <c r="O59" s="3310"/>
      <c r="P59" s="3310"/>
      <c r="Q59" s="3310"/>
      <c r="R59" s="3310"/>
      <c r="S59" s="3310"/>
      <c r="T59" s="3310"/>
      <c r="U59" s="3310"/>
      <c r="V59" s="3310"/>
      <c r="W59" s="3310"/>
      <c r="X59" s="3310"/>
      <c r="Y59" s="3310"/>
    </row>
    <row r="60" spans="2:25" x14ac:dyDescent="0.55000000000000004">
      <c r="B60" s="3310"/>
      <c r="C60" s="3310"/>
      <c r="D60" s="3310"/>
      <c r="E60" s="3310"/>
      <c r="F60" s="3310"/>
      <c r="G60" s="3310"/>
      <c r="H60" s="3310"/>
      <c r="I60" s="3310"/>
      <c r="J60" s="3310"/>
      <c r="K60" s="3310"/>
      <c r="L60" s="3310"/>
      <c r="M60" s="3310"/>
      <c r="N60" s="3310"/>
      <c r="O60" s="3310"/>
      <c r="P60" s="3310"/>
      <c r="Q60" s="3310"/>
      <c r="R60" s="3310"/>
      <c r="S60" s="3310"/>
      <c r="T60" s="3310"/>
      <c r="U60" s="3310"/>
      <c r="V60" s="3310"/>
      <c r="W60" s="3310"/>
      <c r="X60" s="3310"/>
      <c r="Y60" s="3310"/>
    </row>
    <row r="62" spans="2:25" x14ac:dyDescent="0.55000000000000004">
      <c r="B62" s="3310"/>
      <c r="C62" s="3310"/>
      <c r="D62" s="3310"/>
      <c r="E62" s="3310"/>
      <c r="F62" s="3310"/>
      <c r="G62" s="3310"/>
      <c r="H62" s="3310"/>
      <c r="I62" s="3310"/>
      <c r="J62" s="3310"/>
      <c r="K62" s="3310"/>
      <c r="L62" s="3310"/>
      <c r="M62" s="3310"/>
      <c r="N62" s="3310"/>
      <c r="O62" s="3310"/>
      <c r="P62" s="3310"/>
      <c r="Q62" s="3310"/>
      <c r="R62" s="3310"/>
      <c r="S62" s="3310"/>
      <c r="T62" s="3310"/>
      <c r="U62" s="3310"/>
      <c r="V62" s="3310"/>
      <c r="W62" s="3310"/>
      <c r="X62" s="3310"/>
      <c r="Y62" s="3310"/>
    </row>
    <row r="63" spans="2:25" x14ac:dyDescent="0.55000000000000004">
      <c r="B63" s="3310"/>
      <c r="C63" s="3310"/>
      <c r="D63" s="3310"/>
      <c r="E63" s="3310"/>
      <c r="F63" s="3310"/>
      <c r="G63" s="3310"/>
      <c r="H63" s="3310"/>
      <c r="I63" s="3310"/>
      <c r="J63" s="3310"/>
      <c r="K63" s="3310"/>
      <c r="L63" s="3310"/>
      <c r="M63" s="3310"/>
      <c r="N63" s="3310"/>
      <c r="O63" s="3310"/>
      <c r="P63" s="3310"/>
      <c r="Q63" s="3310"/>
      <c r="R63" s="3310"/>
      <c r="S63" s="3310"/>
      <c r="T63" s="3310"/>
      <c r="U63" s="3310"/>
      <c r="V63" s="3310"/>
      <c r="W63" s="3310"/>
      <c r="X63" s="3310"/>
      <c r="Y63" s="3310"/>
    </row>
    <row r="64" spans="2:25" x14ac:dyDescent="0.55000000000000004">
      <c r="B64" s="3310"/>
      <c r="C64" s="3310"/>
      <c r="D64" s="3310"/>
      <c r="E64" s="3310"/>
      <c r="F64" s="3310"/>
      <c r="G64" s="3310"/>
      <c r="H64" s="3310"/>
      <c r="I64" s="3310"/>
      <c r="J64" s="3310"/>
      <c r="K64" s="3310"/>
      <c r="L64" s="3310"/>
      <c r="M64" s="3310"/>
      <c r="N64" s="3310"/>
      <c r="O64" s="3310"/>
      <c r="P64" s="3310"/>
      <c r="Q64" s="3310"/>
      <c r="R64" s="3310"/>
      <c r="S64" s="3310"/>
      <c r="T64" s="3310"/>
      <c r="U64" s="3310"/>
      <c r="V64" s="3310"/>
      <c r="W64" s="3310"/>
      <c r="X64" s="3310"/>
      <c r="Y64" s="3310"/>
    </row>
    <row r="65" spans="2:25" x14ac:dyDescent="0.55000000000000004">
      <c r="B65" s="3310"/>
      <c r="C65" s="3310"/>
      <c r="D65" s="3310"/>
      <c r="E65" s="3310"/>
      <c r="F65" s="3310"/>
      <c r="G65" s="3310"/>
      <c r="H65" s="3310"/>
      <c r="I65" s="3310"/>
      <c r="J65" s="3310"/>
      <c r="K65" s="3310"/>
      <c r="L65" s="3310"/>
      <c r="M65" s="3310"/>
      <c r="N65" s="3310"/>
      <c r="O65" s="3310"/>
      <c r="P65" s="3310"/>
      <c r="Q65" s="3310"/>
      <c r="R65" s="3310"/>
      <c r="S65" s="3310"/>
      <c r="T65" s="3310"/>
      <c r="U65" s="3310"/>
      <c r="V65" s="3310"/>
      <c r="W65" s="3310"/>
      <c r="X65" s="3310"/>
      <c r="Y65" s="3310"/>
    </row>
    <row r="66" spans="2:25" x14ac:dyDescent="0.55000000000000004">
      <c r="B66" s="3310"/>
      <c r="C66" s="3310"/>
      <c r="D66" s="3310"/>
      <c r="E66" s="3310"/>
      <c r="F66" s="3310"/>
      <c r="G66" s="3310"/>
      <c r="H66" s="3310"/>
      <c r="I66" s="3310"/>
      <c r="J66" s="3310"/>
      <c r="K66" s="3310"/>
      <c r="L66" s="3310"/>
      <c r="M66" s="3310"/>
      <c r="N66" s="3310"/>
      <c r="O66" s="3310"/>
      <c r="P66" s="3310"/>
      <c r="Q66" s="3310"/>
      <c r="R66" s="3310"/>
      <c r="S66" s="3310"/>
      <c r="T66" s="3310"/>
      <c r="U66" s="3310"/>
      <c r="V66" s="3310"/>
      <c r="W66" s="3310"/>
      <c r="X66" s="3310"/>
      <c r="Y66" s="3310"/>
    </row>
    <row r="67" spans="2:25" x14ac:dyDescent="0.55000000000000004">
      <c r="B67" s="3310"/>
      <c r="C67" s="3310"/>
      <c r="D67" s="3310"/>
      <c r="E67" s="3310"/>
      <c r="F67" s="3310"/>
      <c r="G67" s="3310"/>
      <c r="H67" s="3310"/>
      <c r="I67" s="3310"/>
      <c r="J67" s="3310"/>
      <c r="K67" s="3310"/>
      <c r="L67" s="3310"/>
      <c r="M67" s="3310"/>
      <c r="N67" s="3310"/>
      <c r="O67" s="3310"/>
      <c r="P67" s="3310"/>
      <c r="Q67" s="3310"/>
      <c r="R67" s="3310"/>
      <c r="S67" s="3310"/>
      <c r="T67" s="3310"/>
      <c r="U67" s="3310"/>
      <c r="V67" s="3310"/>
      <c r="W67" s="3310"/>
      <c r="X67" s="3310"/>
      <c r="Y67" s="3310"/>
    </row>
    <row r="68" spans="2:25" x14ac:dyDescent="0.55000000000000004">
      <c r="B68" s="3310"/>
      <c r="C68" s="3310"/>
      <c r="D68" s="3310"/>
      <c r="E68" s="3310"/>
      <c r="F68" s="3310"/>
      <c r="G68" s="3310"/>
      <c r="H68" s="3310"/>
      <c r="I68" s="3310"/>
      <c r="J68" s="3310"/>
      <c r="K68" s="3310"/>
      <c r="L68" s="3310"/>
      <c r="M68" s="3310"/>
      <c r="N68" s="3310"/>
      <c r="O68" s="3310"/>
      <c r="P68" s="3310"/>
      <c r="Q68" s="3310"/>
      <c r="R68" s="3310"/>
      <c r="S68" s="3310"/>
      <c r="T68" s="3310"/>
      <c r="U68" s="3310"/>
      <c r="V68" s="3310"/>
      <c r="W68" s="3310"/>
      <c r="X68" s="3310"/>
      <c r="Y68" s="3310"/>
    </row>
    <row r="69" spans="2:25" x14ac:dyDescent="0.55000000000000004">
      <c r="B69" s="3310"/>
      <c r="C69" s="3310"/>
      <c r="D69" s="3310"/>
      <c r="E69" s="3310"/>
      <c r="F69" s="3310"/>
      <c r="G69" s="3310"/>
      <c r="H69" s="3310"/>
      <c r="I69" s="3310"/>
      <c r="J69" s="3310"/>
      <c r="K69" s="3310"/>
      <c r="L69" s="3310"/>
      <c r="M69" s="3310"/>
      <c r="N69" s="3310"/>
      <c r="O69" s="3310"/>
      <c r="P69" s="3310"/>
      <c r="Q69" s="3310"/>
      <c r="R69" s="3310"/>
      <c r="S69" s="3310"/>
      <c r="T69" s="3310"/>
      <c r="U69" s="3310"/>
      <c r="V69" s="3310"/>
      <c r="W69" s="3310"/>
      <c r="X69" s="3310"/>
      <c r="Y69" s="3310"/>
    </row>
    <row r="70" spans="2:25" x14ac:dyDescent="0.55000000000000004">
      <c r="B70" s="3310"/>
      <c r="C70" s="3310"/>
      <c r="D70" s="3310"/>
      <c r="E70" s="3310"/>
      <c r="F70" s="3310"/>
      <c r="G70" s="3310"/>
      <c r="H70" s="3310"/>
      <c r="I70" s="3310"/>
      <c r="J70" s="3310"/>
      <c r="K70" s="3310"/>
      <c r="L70" s="3310"/>
      <c r="M70" s="3310"/>
      <c r="N70" s="3310"/>
      <c r="O70" s="3310"/>
      <c r="P70" s="3310"/>
      <c r="Q70" s="3310"/>
      <c r="R70" s="3310"/>
      <c r="S70" s="3310"/>
      <c r="T70" s="3310"/>
      <c r="U70" s="3310"/>
      <c r="V70" s="3310"/>
      <c r="W70" s="3310"/>
      <c r="X70" s="3310"/>
      <c r="Y70" s="3310"/>
    </row>
    <row r="71" spans="2:25" x14ac:dyDescent="0.55000000000000004">
      <c r="B71" s="3310"/>
      <c r="C71" s="3310"/>
      <c r="D71" s="3310"/>
      <c r="E71" s="3310"/>
      <c r="F71" s="3310"/>
      <c r="G71" s="3310"/>
      <c r="H71" s="3310"/>
      <c r="I71" s="3310"/>
      <c r="J71" s="3310"/>
      <c r="K71" s="3310"/>
      <c r="L71" s="3310"/>
      <c r="M71" s="3310"/>
      <c r="N71" s="3310"/>
      <c r="O71" s="3310"/>
      <c r="P71" s="3310"/>
      <c r="Q71" s="3310"/>
      <c r="R71" s="3310"/>
      <c r="S71" s="3310"/>
      <c r="T71" s="3310"/>
      <c r="U71" s="3310"/>
      <c r="V71" s="3310"/>
      <c r="W71" s="3310"/>
      <c r="X71" s="3310"/>
      <c r="Y71" s="3310"/>
    </row>
    <row r="72" spans="2:25" x14ac:dyDescent="0.55000000000000004">
      <c r="B72" s="3310"/>
      <c r="C72" s="3310"/>
      <c r="D72" s="3310"/>
      <c r="E72" s="3310"/>
      <c r="F72" s="3310"/>
      <c r="G72" s="3310"/>
      <c r="H72" s="3310"/>
      <c r="I72" s="3310"/>
      <c r="J72" s="3310"/>
      <c r="K72" s="3310"/>
      <c r="L72" s="3310"/>
      <c r="M72" s="3310"/>
      <c r="N72" s="3310"/>
      <c r="O72" s="3310"/>
      <c r="P72" s="3310"/>
      <c r="Q72" s="3310"/>
      <c r="R72" s="3310"/>
      <c r="S72" s="3310"/>
      <c r="T72" s="3310"/>
      <c r="U72" s="3310"/>
      <c r="V72" s="3310"/>
      <c r="W72" s="3310"/>
      <c r="X72" s="3310"/>
      <c r="Y72" s="3310"/>
    </row>
    <row r="73" spans="2:25" x14ac:dyDescent="0.55000000000000004">
      <c r="B73" s="3310"/>
      <c r="C73" s="3310"/>
      <c r="D73" s="3310"/>
      <c r="E73" s="3310"/>
      <c r="F73" s="3310"/>
      <c r="G73" s="3310"/>
      <c r="H73" s="3310"/>
      <c r="I73" s="3310"/>
      <c r="J73" s="3310"/>
      <c r="K73" s="3310"/>
      <c r="L73" s="3310"/>
      <c r="M73" s="3310"/>
      <c r="N73" s="3310"/>
      <c r="O73" s="3310"/>
      <c r="P73" s="3310"/>
      <c r="Q73" s="3310"/>
      <c r="R73" s="3310"/>
      <c r="S73" s="3310"/>
      <c r="T73" s="3310"/>
      <c r="U73" s="3310"/>
      <c r="V73" s="3310"/>
      <c r="W73" s="3310"/>
      <c r="X73" s="3310"/>
      <c r="Y73" s="3310"/>
    </row>
    <row r="74" spans="2:25" x14ac:dyDescent="0.55000000000000004">
      <c r="B74" s="3310"/>
      <c r="C74" s="3310"/>
      <c r="D74" s="3310"/>
      <c r="E74" s="3310"/>
      <c r="F74" s="3310"/>
      <c r="G74" s="3310"/>
      <c r="H74" s="3310"/>
      <c r="I74" s="3310"/>
      <c r="J74" s="3310"/>
      <c r="K74" s="3310"/>
      <c r="L74" s="3310"/>
      <c r="M74" s="3310"/>
      <c r="N74" s="3310"/>
      <c r="O74" s="3310"/>
      <c r="P74" s="3310"/>
      <c r="Q74" s="3310"/>
      <c r="R74" s="3310"/>
      <c r="S74" s="3310"/>
      <c r="T74" s="3310"/>
      <c r="U74" s="3310"/>
      <c r="V74" s="3310"/>
      <c r="W74" s="3310"/>
      <c r="X74" s="3310"/>
      <c r="Y74" s="3310"/>
    </row>
    <row r="75" spans="2:25" x14ac:dyDescent="0.55000000000000004">
      <c r="B75" s="3310"/>
      <c r="C75" s="3310"/>
      <c r="D75" s="3310"/>
      <c r="E75" s="3310"/>
      <c r="F75" s="3310"/>
      <c r="G75" s="3310"/>
      <c r="H75" s="3310"/>
      <c r="I75" s="3310"/>
      <c r="J75" s="3310"/>
      <c r="K75" s="3310"/>
      <c r="L75" s="3310"/>
      <c r="M75" s="3310"/>
      <c r="N75" s="3310"/>
      <c r="O75" s="3310"/>
      <c r="P75" s="3310"/>
      <c r="Q75" s="3310"/>
      <c r="R75" s="3310"/>
      <c r="S75" s="3310"/>
      <c r="T75" s="3310"/>
      <c r="U75" s="3310"/>
      <c r="V75" s="3310"/>
      <c r="W75" s="3310"/>
      <c r="X75" s="3310"/>
      <c r="Y75" s="3310"/>
    </row>
    <row r="76" spans="2:25" x14ac:dyDescent="0.55000000000000004">
      <c r="B76" s="3310"/>
      <c r="C76" s="3310"/>
      <c r="D76" s="3310"/>
      <c r="E76" s="3310"/>
      <c r="F76" s="3310"/>
      <c r="G76" s="3310"/>
      <c r="H76" s="3310"/>
      <c r="I76" s="3310"/>
      <c r="J76" s="3310"/>
      <c r="K76" s="3310"/>
      <c r="L76" s="3310"/>
      <c r="M76" s="3310"/>
      <c r="N76" s="3310"/>
      <c r="O76" s="3310"/>
      <c r="P76" s="3310"/>
      <c r="Q76" s="3310"/>
      <c r="R76" s="3310"/>
      <c r="S76" s="3310"/>
      <c r="T76" s="3310"/>
      <c r="U76" s="3310"/>
      <c r="V76" s="3310"/>
      <c r="W76" s="3310"/>
      <c r="X76" s="3310"/>
      <c r="Y76" s="3310"/>
    </row>
    <row r="77" spans="2:25" x14ac:dyDescent="0.55000000000000004">
      <c r="B77" s="3310"/>
      <c r="C77" s="3310"/>
      <c r="D77" s="3310"/>
      <c r="E77" s="3310"/>
      <c r="F77" s="3310"/>
      <c r="G77" s="3310"/>
      <c r="H77" s="3310"/>
      <c r="I77" s="3310"/>
      <c r="J77" s="3310"/>
      <c r="K77" s="3310"/>
      <c r="L77" s="3310"/>
      <c r="M77" s="3310"/>
      <c r="N77" s="3310"/>
      <c r="O77" s="3310"/>
      <c r="P77" s="3310"/>
      <c r="Q77" s="3310"/>
      <c r="R77" s="3310"/>
      <c r="S77" s="3310"/>
      <c r="T77" s="3310"/>
      <c r="U77" s="3310"/>
      <c r="V77" s="3310"/>
      <c r="W77" s="3310"/>
      <c r="X77" s="3310"/>
      <c r="Y77" s="3310"/>
    </row>
    <row r="78" spans="2:25" x14ac:dyDescent="0.55000000000000004">
      <c r="B78" s="3310"/>
      <c r="C78" s="3310"/>
      <c r="D78" s="3310"/>
      <c r="E78" s="3310"/>
      <c r="F78" s="3310"/>
      <c r="G78" s="3310"/>
      <c r="H78" s="3310"/>
      <c r="I78" s="3310"/>
      <c r="J78" s="3310"/>
      <c r="K78" s="3310"/>
      <c r="L78" s="3310"/>
      <c r="M78" s="3310"/>
      <c r="N78" s="3310"/>
      <c r="O78" s="3310"/>
      <c r="P78" s="3310"/>
      <c r="Q78" s="3310"/>
      <c r="R78" s="3310"/>
      <c r="S78" s="3310"/>
      <c r="T78" s="3310"/>
      <c r="U78" s="3310"/>
      <c r="V78" s="3310"/>
      <c r="W78" s="3310"/>
      <c r="X78" s="3310"/>
      <c r="Y78" s="3310"/>
    </row>
    <row r="79" spans="2:25" x14ac:dyDescent="0.55000000000000004">
      <c r="B79" s="3310"/>
      <c r="C79" s="3310"/>
      <c r="D79" s="3310"/>
      <c r="E79" s="3310"/>
      <c r="F79" s="3310"/>
      <c r="G79" s="3310"/>
      <c r="H79" s="3310"/>
      <c r="I79" s="3310"/>
      <c r="J79" s="3310"/>
      <c r="K79" s="3310"/>
      <c r="L79" s="3310"/>
      <c r="M79" s="3310"/>
      <c r="N79" s="3310"/>
      <c r="O79" s="3310"/>
      <c r="P79" s="3310"/>
      <c r="Q79" s="3310"/>
      <c r="R79" s="3310"/>
      <c r="S79" s="3310"/>
      <c r="T79" s="3310"/>
      <c r="U79" s="3310"/>
      <c r="V79" s="3310"/>
      <c r="W79" s="3310"/>
      <c r="X79" s="3310"/>
      <c r="Y79" s="3310"/>
    </row>
    <row r="80" spans="2:25" x14ac:dyDescent="0.55000000000000004">
      <c r="B80" s="3310"/>
      <c r="C80" s="3310"/>
      <c r="D80" s="3310"/>
      <c r="E80" s="3310"/>
      <c r="F80" s="3310"/>
      <c r="G80" s="3310"/>
      <c r="H80" s="3310"/>
      <c r="I80" s="3310"/>
      <c r="J80" s="3310"/>
      <c r="K80" s="3310"/>
      <c r="L80" s="3310"/>
      <c r="M80" s="3310"/>
      <c r="N80" s="3310"/>
      <c r="O80" s="3310"/>
      <c r="P80" s="3310"/>
      <c r="Q80" s="3310"/>
      <c r="R80" s="3310"/>
      <c r="S80" s="3310"/>
      <c r="T80" s="3310"/>
      <c r="U80" s="3310"/>
      <c r="V80" s="3310"/>
      <c r="W80" s="3310"/>
      <c r="X80" s="3310"/>
      <c r="Y80" s="3310"/>
    </row>
    <row r="81" spans="2:25" x14ac:dyDescent="0.55000000000000004">
      <c r="B81" s="3310"/>
      <c r="C81" s="3310"/>
      <c r="D81" s="3310"/>
      <c r="E81" s="3310"/>
      <c r="F81" s="3310"/>
      <c r="G81" s="3310"/>
      <c r="H81" s="3310"/>
      <c r="I81" s="3310"/>
      <c r="J81" s="3310"/>
      <c r="K81" s="3310"/>
      <c r="L81" s="3310"/>
      <c r="M81" s="3310"/>
      <c r="N81" s="3310"/>
      <c r="O81" s="3310"/>
      <c r="P81" s="3310"/>
      <c r="Q81" s="3310"/>
      <c r="R81" s="3310"/>
      <c r="S81" s="3310"/>
      <c r="T81" s="3310"/>
      <c r="U81" s="3310"/>
      <c r="V81" s="3310"/>
      <c r="W81" s="3310"/>
      <c r="X81" s="3310"/>
      <c r="Y81" s="3310"/>
    </row>
    <row r="82" spans="2:25" x14ac:dyDescent="0.55000000000000004">
      <c r="B82" s="3310"/>
      <c r="C82" s="3310"/>
      <c r="D82" s="3310"/>
      <c r="E82" s="3310"/>
      <c r="F82" s="3310"/>
      <c r="G82" s="3310"/>
      <c r="H82" s="3310"/>
      <c r="I82" s="3310"/>
      <c r="J82" s="3310"/>
      <c r="K82" s="3310"/>
      <c r="L82" s="3310"/>
      <c r="M82" s="3310"/>
      <c r="N82" s="3310"/>
      <c r="O82" s="3310"/>
      <c r="P82" s="3310"/>
      <c r="Q82" s="3310"/>
      <c r="R82" s="3310"/>
      <c r="S82" s="3310"/>
      <c r="T82" s="3310"/>
      <c r="U82" s="3310"/>
      <c r="V82" s="3310"/>
      <c r="W82" s="3310"/>
      <c r="X82" s="3310"/>
      <c r="Y82" s="3310"/>
    </row>
    <row r="83" spans="2:25" x14ac:dyDescent="0.55000000000000004">
      <c r="B83" s="3310"/>
      <c r="C83" s="3310"/>
      <c r="D83" s="3310"/>
      <c r="E83" s="3310"/>
      <c r="F83" s="3310"/>
      <c r="G83" s="3310"/>
      <c r="H83" s="3310"/>
      <c r="I83" s="3310"/>
      <c r="J83" s="3310"/>
      <c r="K83" s="3310"/>
      <c r="L83" s="3310"/>
      <c r="M83" s="3310"/>
      <c r="N83" s="3310"/>
      <c r="O83" s="3310"/>
      <c r="P83" s="3310"/>
      <c r="Q83" s="3310"/>
      <c r="R83" s="3310"/>
      <c r="S83" s="3310"/>
      <c r="T83" s="3310"/>
      <c r="U83" s="3310"/>
      <c r="V83" s="3310"/>
      <c r="W83" s="3310"/>
      <c r="X83" s="3310"/>
      <c r="Y83" s="3310"/>
    </row>
    <row r="84" spans="2:25" x14ac:dyDescent="0.55000000000000004">
      <c r="B84" s="3310"/>
      <c r="C84" s="3310"/>
      <c r="D84" s="3310"/>
      <c r="E84" s="3310"/>
      <c r="F84" s="3310"/>
      <c r="G84" s="3310"/>
      <c r="H84" s="3310"/>
      <c r="I84" s="3310"/>
      <c r="J84" s="3310"/>
      <c r="K84" s="3310"/>
      <c r="L84" s="3310"/>
      <c r="M84" s="3310"/>
      <c r="N84" s="3310"/>
      <c r="O84" s="3310"/>
      <c r="P84" s="3310"/>
      <c r="Q84" s="3310"/>
      <c r="R84" s="3310"/>
      <c r="S84" s="3310"/>
      <c r="T84" s="3310"/>
      <c r="U84" s="3310"/>
      <c r="V84" s="3310"/>
      <c r="W84" s="3310"/>
      <c r="X84" s="3310"/>
      <c r="Y84" s="3310"/>
    </row>
    <row r="85" spans="2:25" x14ac:dyDescent="0.55000000000000004">
      <c r="B85" s="3310"/>
      <c r="C85" s="3310"/>
      <c r="D85" s="3310"/>
      <c r="E85" s="3310"/>
      <c r="F85" s="3310"/>
      <c r="G85" s="3310"/>
      <c r="H85" s="3310"/>
      <c r="I85" s="3310"/>
      <c r="J85" s="3310"/>
      <c r="K85" s="3310"/>
      <c r="L85" s="3310"/>
      <c r="M85" s="3310"/>
      <c r="N85" s="3310"/>
      <c r="O85" s="3310"/>
      <c r="P85" s="3310"/>
      <c r="Q85" s="3310"/>
      <c r="R85" s="3310"/>
      <c r="S85" s="3310"/>
      <c r="T85" s="3310"/>
      <c r="U85" s="3310"/>
      <c r="V85" s="3310"/>
      <c r="W85" s="3310"/>
      <c r="X85" s="3310"/>
      <c r="Y85" s="3310"/>
    </row>
    <row r="86" spans="2:25" x14ac:dyDescent="0.55000000000000004">
      <c r="B86" s="3310"/>
      <c r="C86" s="3310"/>
      <c r="D86" s="3310"/>
      <c r="E86" s="3310"/>
      <c r="F86" s="3310"/>
      <c r="G86" s="3310"/>
      <c r="H86" s="3310"/>
      <c r="I86" s="3310"/>
      <c r="J86" s="3310"/>
      <c r="K86" s="3310"/>
      <c r="L86" s="3310"/>
      <c r="M86" s="3310"/>
      <c r="N86" s="3310"/>
      <c r="O86" s="3310"/>
      <c r="P86" s="3310"/>
      <c r="Q86" s="3310"/>
      <c r="R86" s="3310"/>
      <c r="S86" s="3310"/>
      <c r="T86" s="3310"/>
      <c r="U86" s="3310"/>
      <c r="V86" s="3310"/>
      <c r="W86" s="3310"/>
      <c r="X86" s="3310"/>
      <c r="Y86" s="3310"/>
    </row>
    <row r="87" spans="2:25" x14ac:dyDescent="0.55000000000000004">
      <c r="B87" s="3310"/>
      <c r="C87" s="3310"/>
      <c r="D87" s="3310"/>
      <c r="E87" s="3310"/>
      <c r="F87" s="3310"/>
      <c r="G87" s="3310"/>
      <c r="H87" s="3310"/>
      <c r="I87" s="3310"/>
      <c r="J87" s="3310"/>
      <c r="K87" s="3310"/>
      <c r="L87" s="3310"/>
      <c r="M87" s="3310"/>
      <c r="N87" s="3310"/>
      <c r="O87" s="3310"/>
      <c r="P87" s="3310"/>
      <c r="Q87" s="3310"/>
      <c r="R87" s="3310"/>
      <c r="S87" s="3310"/>
      <c r="T87" s="3310"/>
      <c r="U87" s="3310"/>
      <c r="V87" s="3310"/>
      <c r="W87" s="3310"/>
      <c r="X87" s="3310"/>
      <c r="Y87" s="3310"/>
    </row>
    <row r="88" spans="2:25" x14ac:dyDescent="0.55000000000000004">
      <c r="B88" s="3310"/>
      <c r="C88" s="3310"/>
      <c r="D88" s="3310"/>
      <c r="E88" s="3310"/>
      <c r="F88" s="3310"/>
      <c r="G88" s="3310"/>
      <c r="H88" s="3310"/>
      <c r="I88" s="3310"/>
      <c r="J88" s="3310"/>
      <c r="K88" s="3310"/>
      <c r="L88" s="3310"/>
      <c r="M88" s="3310"/>
      <c r="N88" s="3310"/>
      <c r="O88" s="3310"/>
      <c r="P88" s="3310"/>
      <c r="Q88" s="3310"/>
      <c r="R88" s="3310"/>
      <c r="S88" s="3310"/>
      <c r="T88" s="3310"/>
      <c r="U88" s="3310"/>
      <c r="V88" s="3310"/>
      <c r="W88" s="3310"/>
      <c r="X88" s="3310"/>
      <c r="Y88" s="3310"/>
    </row>
    <row r="89" spans="2:25" x14ac:dyDescent="0.55000000000000004">
      <c r="B89" s="3310"/>
      <c r="C89" s="3310"/>
      <c r="D89" s="3310"/>
      <c r="E89" s="3310"/>
      <c r="F89" s="3310"/>
      <c r="G89" s="3310"/>
      <c r="H89" s="3310"/>
      <c r="I89" s="3310"/>
      <c r="J89" s="3310"/>
      <c r="K89" s="3310"/>
      <c r="L89" s="3310"/>
      <c r="M89" s="3310"/>
      <c r="N89" s="3310"/>
      <c r="O89" s="3310"/>
      <c r="P89" s="3310"/>
      <c r="Q89" s="3310"/>
      <c r="R89" s="3310"/>
      <c r="S89" s="3310"/>
      <c r="T89" s="3310"/>
      <c r="U89" s="3310"/>
      <c r="V89" s="3310"/>
      <c r="W89" s="3310"/>
      <c r="X89" s="3310"/>
      <c r="Y89" s="3310"/>
    </row>
    <row r="90" spans="2:25" x14ac:dyDescent="0.55000000000000004">
      <c r="B90" s="3310"/>
      <c r="C90" s="3310"/>
      <c r="D90" s="3310"/>
      <c r="E90" s="3310"/>
      <c r="F90" s="3310"/>
      <c r="G90" s="3310"/>
      <c r="H90" s="3310"/>
      <c r="I90" s="3310"/>
      <c r="J90" s="3310"/>
      <c r="K90" s="3310"/>
      <c r="L90" s="3310"/>
      <c r="M90" s="3310"/>
      <c r="N90" s="3310"/>
      <c r="O90" s="3310"/>
      <c r="P90" s="3310"/>
      <c r="Q90" s="3310"/>
      <c r="R90" s="3310"/>
      <c r="S90" s="3310"/>
      <c r="T90" s="3310"/>
      <c r="U90" s="3310"/>
      <c r="V90" s="3310"/>
      <c r="W90" s="3310"/>
      <c r="X90" s="3310"/>
      <c r="Y90" s="3310"/>
    </row>
    <row r="91" spans="2:25" x14ac:dyDescent="0.55000000000000004">
      <c r="B91" s="3310"/>
      <c r="C91" s="3310"/>
      <c r="D91" s="3310"/>
      <c r="E91" s="3310"/>
      <c r="F91" s="3310"/>
      <c r="G91" s="3310"/>
      <c r="H91" s="3310"/>
      <c r="I91" s="3310"/>
      <c r="J91" s="3310"/>
      <c r="K91" s="3310"/>
      <c r="L91" s="3310"/>
      <c r="M91" s="3310"/>
      <c r="N91" s="3310"/>
      <c r="O91" s="3310"/>
      <c r="P91" s="3310"/>
      <c r="Q91" s="3310"/>
      <c r="R91" s="3310"/>
      <c r="S91" s="3310"/>
      <c r="T91" s="3310"/>
      <c r="U91" s="3310"/>
      <c r="V91" s="3310"/>
      <c r="W91" s="3310"/>
      <c r="X91" s="3310"/>
      <c r="Y91" s="3310"/>
    </row>
    <row r="92" spans="2:25" x14ac:dyDescent="0.55000000000000004">
      <c r="B92" s="3310"/>
      <c r="C92" s="3310"/>
      <c r="D92" s="3310"/>
      <c r="E92" s="3310"/>
      <c r="F92" s="3310"/>
      <c r="G92" s="3310"/>
      <c r="H92" s="3310"/>
      <c r="I92" s="3310"/>
      <c r="J92" s="3310"/>
      <c r="K92" s="3310"/>
      <c r="L92" s="3310"/>
      <c r="M92" s="3310"/>
      <c r="N92" s="3310"/>
      <c r="O92" s="3310"/>
      <c r="P92" s="3310"/>
      <c r="Q92" s="3310"/>
      <c r="R92" s="3310"/>
      <c r="S92" s="3310"/>
      <c r="T92" s="3310"/>
      <c r="U92" s="3310"/>
      <c r="V92" s="3310"/>
      <c r="W92" s="3310"/>
      <c r="X92" s="3310"/>
      <c r="Y92" s="3310"/>
    </row>
    <row r="93" spans="2:25" x14ac:dyDescent="0.55000000000000004">
      <c r="B93" s="3310"/>
      <c r="C93" s="3310"/>
      <c r="D93" s="3310"/>
      <c r="E93" s="3310"/>
      <c r="F93" s="3310"/>
      <c r="G93" s="3310"/>
      <c r="H93" s="3310"/>
      <c r="I93" s="3310"/>
      <c r="J93" s="3310"/>
      <c r="K93" s="3310"/>
      <c r="L93" s="3310"/>
      <c r="M93" s="3310"/>
      <c r="N93" s="3310"/>
      <c r="O93" s="3310"/>
      <c r="P93" s="3310"/>
      <c r="Q93" s="3310"/>
      <c r="R93" s="3310"/>
      <c r="S93" s="3310"/>
      <c r="T93" s="3310"/>
      <c r="U93" s="3310"/>
      <c r="V93" s="3310"/>
      <c r="W93" s="3310"/>
      <c r="X93" s="3310"/>
      <c r="Y93" s="3310"/>
    </row>
    <row r="94" spans="2:25" x14ac:dyDescent="0.55000000000000004">
      <c r="B94" s="3310"/>
      <c r="C94" s="3310"/>
      <c r="D94" s="3310"/>
      <c r="E94" s="3310"/>
      <c r="F94" s="3310"/>
      <c r="G94" s="3310"/>
      <c r="H94" s="3310"/>
      <c r="I94" s="3310"/>
      <c r="J94" s="3310"/>
      <c r="K94" s="3310"/>
      <c r="L94" s="3310"/>
      <c r="M94" s="3310"/>
      <c r="N94" s="3310"/>
      <c r="O94" s="3310"/>
      <c r="P94" s="3310"/>
      <c r="Q94" s="3310"/>
      <c r="R94" s="3310"/>
      <c r="S94" s="3310"/>
      <c r="T94" s="3310"/>
      <c r="U94" s="3310"/>
      <c r="V94" s="3310"/>
      <c r="W94" s="3310"/>
      <c r="X94" s="3310"/>
      <c r="Y94" s="3310"/>
    </row>
    <row r="95" spans="2:25" x14ac:dyDescent="0.55000000000000004">
      <c r="B95" s="3310"/>
      <c r="C95" s="3310"/>
      <c r="D95" s="3310"/>
      <c r="E95" s="3310"/>
      <c r="F95" s="3310"/>
      <c r="G95" s="3310"/>
      <c r="H95" s="3310"/>
      <c r="I95" s="3310"/>
      <c r="J95" s="3310"/>
      <c r="K95" s="3310"/>
      <c r="L95" s="3310"/>
      <c r="M95" s="3310"/>
      <c r="N95" s="3310"/>
      <c r="O95" s="3310"/>
      <c r="P95" s="3310"/>
      <c r="Q95" s="3310"/>
      <c r="R95" s="3310"/>
      <c r="S95" s="3310"/>
      <c r="T95" s="3310"/>
      <c r="U95" s="3310"/>
      <c r="V95" s="3310"/>
      <c r="W95" s="3310"/>
      <c r="X95" s="3310"/>
      <c r="Y95" s="3310"/>
    </row>
    <row r="96" spans="2:25" x14ac:dyDescent="0.55000000000000004">
      <c r="B96" s="3310"/>
      <c r="C96" s="3310"/>
      <c r="D96" s="3310"/>
      <c r="E96" s="3310"/>
      <c r="F96" s="3310"/>
      <c r="G96" s="3310"/>
      <c r="H96" s="3310"/>
      <c r="I96" s="3310"/>
      <c r="J96" s="3310"/>
      <c r="K96" s="3310"/>
      <c r="L96" s="3310"/>
      <c r="M96" s="3310"/>
      <c r="N96" s="3310"/>
      <c r="O96" s="3310"/>
      <c r="P96" s="3310"/>
      <c r="Q96" s="3310"/>
      <c r="R96" s="3310"/>
      <c r="S96" s="3310"/>
      <c r="T96" s="3310"/>
      <c r="U96" s="3310"/>
      <c r="V96" s="3310"/>
      <c r="W96" s="3310"/>
      <c r="X96" s="3310"/>
      <c r="Y96" s="3310"/>
    </row>
    <row r="97" spans="2:25" x14ac:dyDescent="0.55000000000000004">
      <c r="B97" s="3310"/>
      <c r="C97" s="3310"/>
      <c r="D97" s="3310"/>
      <c r="E97" s="3310"/>
      <c r="F97" s="3310"/>
      <c r="G97" s="3310"/>
      <c r="H97" s="3310"/>
      <c r="I97" s="3310"/>
      <c r="J97" s="3310"/>
      <c r="K97" s="3310"/>
      <c r="L97" s="3310"/>
      <c r="M97" s="3310"/>
      <c r="N97" s="3310"/>
      <c r="O97" s="3310"/>
      <c r="P97" s="3310"/>
      <c r="Q97" s="3310"/>
      <c r="R97" s="3310"/>
      <c r="S97" s="3310"/>
      <c r="T97" s="3310"/>
      <c r="U97" s="3310"/>
      <c r="V97" s="3310"/>
      <c r="W97" s="3310"/>
      <c r="X97" s="3310"/>
      <c r="Y97" s="3310"/>
    </row>
    <row r="98" spans="2:25" x14ac:dyDescent="0.55000000000000004">
      <c r="B98" s="3310"/>
      <c r="C98" s="3310"/>
      <c r="D98" s="3310"/>
      <c r="E98" s="3310"/>
      <c r="F98" s="3310"/>
      <c r="G98" s="3310"/>
      <c r="H98" s="3310"/>
      <c r="I98" s="3310"/>
      <c r="J98" s="3310"/>
      <c r="K98" s="3310"/>
      <c r="L98" s="3310"/>
      <c r="M98" s="3310"/>
      <c r="N98" s="3310"/>
      <c r="O98" s="3310"/>
      <c r="P98" s="3310"/>
      <c r="Q98" s="3310"/>
      <c r="R98" s="3310"/>
      <c r="S98" s="3310"/>
      <c r="T98" s="3310"/>
      <c r="U98" s="3310"/>
      <c r="V98" s="3310"/>
      <c r="W98" s="3310"/>
      <c r="X98" s="3310"/>
      <c r="Y98" s="3310"/>
    </row>
    <row r="99" spans="2:25" x14ac:dyDescent="0.55000000000000004">
      <c r="B99" s="3310"/>
      <c r="C99" s="3310"/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310"/>
      <c r="O99" s="3310"/>
      <c r="P99" s="3310"/>
      <c r="Q99" s="3310"/>
      <c r="R99" s="3310"/>
      <c r="S99" s="3310"/>
      <c r="T99" s="3310"/>
      <c r="U99" s="3310"/>
      <c r="V99" s="3310"/>
      <c r="W99" s="3310"/>
      <c r="X99" s="3310"/>
      <c r="Y99" s="3310"/>
    </row>
    <row r="100" spans="2:25" x14ac:dyDescent="0.55000000000000004">
      <c r="B100" s="3310"/>
      <c r="C100" s="3310"/>
      <c r="D100" s="3310"/>
      <c r="E100" s="3310"/>
      <c r="F100" s="3310"/>
      <c r="G100" s="3310"/>
      <c r="H100" s="3310"/>
      <c r="I100" s="3310"/>
      <c r="J100" s="3310"/>
      <c r="K100" s="3310"/>
      <c r="L100" s="3310"/>
      <c r="M100" s="3310"/>
      <c r="N100" s="3310"/>
      <c r="O100" s="3310"/>
      <c r="P100" s="3310"/>
      <c r="Q100" s="3310"/>
      <c r="R100" s="3310"/>
      <c r="S100" s="3310"/>
      <c r="T100" s="3310"/>
      <c r="U100" s="3310"/>
      <c r="V100" s="3310"/>
      <c r="W100" s="3310"/>
      <c r="X100" s="3310"/>
      <c r="Y100" s="3310"/>
    </row>
    <row r="101" spans="2:25" x14ac:dyDescent="0.55000000000000004">
      <c r="B101" s="3310"/>
      <c r="C101" s="3310"/>
      <c r="D101" s="3310"/>
      <c r="E101" s="3310"/>
      <c r="F101" s="3310"/>
      <c r="G101" s="3310"/>
      <c r="H101" s="3310"/>
      <c r="I101" s="3310"/>
      <c r="J101" s="3310"/>
      <c r="K101" s="3310"/>
      <c r="L101" s="3310"/>
      <c r="M101" s="3310"/>
      <c r="N101" s="3310"/>
      <c r="O101" s="3310"/>
      <c r="P101" s="3310"/>
      <c r="Q101" s="3310"/>
      <c r="R101" s="3310"/>
      <c r="S101" s="3310"/>
      <c r="T101" s="3310"/>
      <c r="U101" s="3310"/>
      <c r="V101" s="3310"/>
      <c r="W101" s="3310"/>
      <c r="X101" s="3310"/>
      <c r="Y101" s="3310"/>
    </row>
    <row r="102" spans="2:25" x14ac:dyDescent="0.55000000000000004">
      <c r="B102" s="3310"/>
      <c r="C102" s="3310"/>
      <c r="D102" s="3310"/>
      <c r="E102" s="3310"/>
      <c r="F102" s="3310"/>
      <c r="G102" s="3310"/>
      <c r="H102" s="3310"/>
      <c r="I102" s="3310"/>
      <c r="J102" s="3310"/>
      <c r="K102" s="3310"/>
      <c r="L102" s="3310"/>
      <c r="M102" s="3310"/>
      <c r="N102" s="3310"/>
      <c r="O102" s="3310"/>
      <c r="P102" s="3310"/>
      <c r="Q102" s="3310"/>
      <c r="R102" s="3310"/>
      <c r="S102" s="3310"/>
      <c r="T102" s="3310"/>
      <c r="U102" s="3310"/>
      <c r="V102" s="3310"/>
      <c r="W102" s="3310"/>
      <c r="X102" s="3310"/>
      <c r="Y102" s="3310"/>
    </row>
    <row r="103" spans="2:25" x14ac:dyDescent="0.55000000000000004">
      <c r="B103" s="3310"/>
      <c r="C103" s="3310"/>
      <c r="D103" s="3310"/>
      <c r="E103" s="3310"/>
      <c r="F103" s="3310"/>
      <c r="G103" s="3310"/>
      <c r="H103" s="3310"/>
      <c r="I103" s="3310"/>
      <c r="J103" s="3310"/>
      <c r="K103" s="3310"/>
      <c r="L103" s="3310"/>
      <c r="M103" s="3310"/>
      <c r="N103" s="3310"/>
      <c r="O103" s="3310"/>
      <c r="P103" s="3310"/>
      <c r="Q103" s="3310"/>
      <c r="R103" s="3310"/>
      <c r="S103" s="3310"/>
      <c r="T103" s="3310"/>
      <c r="U103" s="3310"/>
      <c r="V103" s="3310"/>
      <c r="W103" s="3310"/>
      <c r="X103" s="3310"/>
      <c r="Y103" s="3310"/>
    </row>
    <row r="104" spans="2:25" x14ac:dyDescent="0.55000000000000004">
      <c r="B104" s="3310"/>
      <c r="C104" s="3310"/>
      <c r="D104" s="3310"/>
      <c r="E104" s="3310"/>
      <c r="F104" s="3310"/>
      <c r="G104" s="3310"/>
      <c r="H104" s="3310"/>
      <c r="I104" s="3310"/>
      <c r="J104" s="3310"/>
      <c r="K104" s="3310"/>
      <c r="L104" s="3310"/>
      <c r="M104" s="3310"/>
      <c r="N104" s="3310"/>
      <c r="O104" s="3310"/>
      <c r="P104" s="3310"/>
      <c r="Q104" s="3310"/>
      <c r="R104" s="3310"/>
      <c r="S104" s="3310"/>
      <c r="T104" s="3310"/>
      <c r="U104" s="3310"/>
      <c r="V104" s="3310"/>
      <c r="W104" s="3310"/>
      <c r="X104" s="3310"/>
      <c r="Y104" s="3310"/>
    </row>
    <row r="105" spans="2:25" x14ac:dyDescent="0.55000000000000004">
      <c r="B105" s="3310"/>
      <c r="C105" s="3310"/>
      <c r="D105" s="3310"/>
      <c r="E105" s="3310"/>
      <c r="F105" s="3310"/>
      <c r="G105" s="3310"/>
      <c r="H105" s="3310"/>
      <c r="I105" s="3310"/>
      <c r="J105" s="3310"/>
      <c r="K105" s="3310"/>
      <c r="L105" s="3310"/>
      <c r="M105" s="3310"/>
      <c r="N105" s="3310"/>
      <c r="O105" s="3310"/>
      <c r="P105" s="3310"/>
      <c r="Q105" s="3310"/>
      <c r="R105" s="3310"/>
      <c r="S105" s="3310"/>
      <c r="T105" s="3310"/>
      <c r="U105" s="3310"/>
      <c r="V105" s="3310"/>
      <c r="W105" s="3310"/>
      <c r="X105" s="3310"/>
      <c r="Y105" s="3310"/>
    </row>
    <row r="106" spans="2:25" x14ac:dyDescent="0.55000000000000004">
      <c r="B106" s="3310"/>
      <c r="C106" s="3310"/>
      <c r="D106" s="3310"/>
      <c r="E106" s="3310"/>
      <c r="F106" s="3310"/>
      <c r="G106" s="3310"/>
      <c r="H106" s="3310"/>
      <c r="I106" s="3310"/>
      <c r="J106" s="3310"/>
      <c r="K106" s="3310"/>
      <c r="L106" s="3310"/>
      <c r="M106" s="3310"/>
      <c r="N106" s="3310"/>
      <c r="O106" s="3310"/>
      <c r="P106" s="3310"/>
      <c r="Q106" s="3310"/>
      <c r="R106" s="3310"/>
      <c r="S106" s="3310"/>
      <c r="T106" s="3310"/>
      <c r="U106" s="3310"/>
      <c r="V106" s="3310"/>
      <c r="W106" s="3310"/>
      <c r="X106" s="3310"/>
      <c r="Y106" s="3310"/>
    </row>
    <row r="107" spans="2:25" x14ac:dyDescent="0.55000000000000004">
      <c r="B107" s="3310"/>
      <c r="C107" s="3310"/>
      <c r="D107" s="3310"/>
      <c r="E107" s="3310"/>
      <c r="F107" s="3310"/>
      <c r="G107" s="3310"/>
      <c r="H107" s="3310"/>
      <c r="I107" s="3310"/>
      <c r="J107" s="3310"/>
      <c r="K107" s="3310"/>
      <c r="L107" s="3310"/>
      <c r="M107" s="3310"/>
      <c r="N107" s="3310"/>
      <c r="O107" s="3310"/>
      <c r="P107" s="3310"/>
      <c r="Q107" s="3310"/>
      <c r="R107" s="3310"/>
      <c r="S107" s="3310"/>
      <c r="T107" s="3310"/>
      <c r="U107" s="3310"/>
      <c r="V107" s="3310"/>
      <c r="W107" s="3310"/>
      <c r="X107" s="3310"/>
      <c r="Y107" s="3310"/>
    </row>
    <row r="108" spans="2:25" x14ac:dyDescent="0.55000000000000004">
      <c r="B108" s="3310"/>
      <c r="C108" s="3310"/>
      <c r="D108" s="3310"/>
      <c r="E108" s="3310"/>
      <c r="F108" s="3310"/>
      <c r="G108" s="3310"/>
      <c r="H108" s="3310"/>
      <c r="I108" s="3310"/>
      <c r="J108" s="3310"/>
      <c r="K108" s="3310"/>
      <c r="L108" s="3310"/>
      <c r="M108" s="3310"/>
      <c r="N108" s="3310"/>
      <c r="O108" s="3310"/>
      <c r="P108" s="3310"/>
      <c r="Q108" s="3310"/>
      <c r="R108" s="3310"/>
      <c r="S108" s="3310"/>
      <c r="T108" s="3310"/>
      <c r="U108" s="3310"/>
      <c r="V108" s="3310"/>
      <c r="W108" s="3310"/>
      <c r="X108" s="3310"/>
      <c r="Y108" s="3310"/>
    </row>
    <row r="109" spans="2:25" x14ac:dyDescent="0.55000000000000004">
      <c r="B109" s="3310"/>
      <c r="C109" s="3310"/>
      <c r="D109" s="3310"/>
      <c r="E109" s="3310"/>
      <c r="F109" s="3310"/>
      <c r="G109" s="3310"/>
      <c r="H109" s="3310"/>
      <c r="I109" s="3310"/>
      <c r="J109" s="3310"/>
      <c r="K109" s="3310"/>
      <c r="L109" s="3310"/>
      <c r="M109" s="3310"/>
      <c r="N109" s="3310"/>
      <c r="O109" s="3310"/>
      <c r="P109" s="3310"/>
      <c r="Q109" s="3310"/>
      <c r="R109" s="3310"/>
      <c r="S109" s="3310"/>
      <c r="T109" s="3310"/>
      <c r="U109" s="3310"/>
      <c r="V109" s="3310"/>
      <c r="W109" s="3310"/>
      <c r="X109" s="3310"/>
      <c r="Y109" s="3310"/>
    </row>
    <row r="110" spans="2:25" x14ac:dyDescent="0.55000000000000004">
      <c r="B110" s="3310"/>
      <c r="C110" s="3310"/>
      <c r="D110" s="3310"/>
      <c r="E110" s="3310"/>
      <c r="F110" s="3310"/>
      <c r="G110" s="3310"/>
      <c r="H110" s="3310"/>
      <c r="I110" s="3310"/>
      <c r="J110" s="3310"/>
      <c r="K110" s="3310"/>
      <c r="L110" s="3310"/>
      <c r="M110" s="3310"/>
      <c r="N110" s="3310"/>
      <c r="O110" s="3310"/>
      <c r="P110" s="3310"/>
      <c r="Q110" s="3310"/>
      <c r="R110" s="3310"/>
      <c r="S110" s="3310"/>
      <c r="T110" s="3310"/>
      <c r="U110" s="3310"/>
      <c r="V110" s="3310"/>
      <c r="W110" s="3310"/>
      <c r="X110" s="3310"/>
      <c r="Y110" s="3310"/>
    </row>
    <row r="111" spans="2:25" x14ac:dyDescent="0.55000000000000004">
      <c r="B111" s="3310"/>
      <c r="C111" s="3310"/>
      <c r="D111" s="3310"/>
      <c r="E111" s="3310"/>
      <c r="F111" s="3310"/>
      <c r="G111" s="3310"/>
      <c r="H111" s="3310"/>
      <c r="I111" s="3310"/>
      <c r="J111" s="3310"/>
      <c r="K111" s="3310"/>
      <c r="L111" s="3310"/>
      <c r="M111" s="3310"/>
      <c r="N111" s="3310"/>
      <c r="O111" s="3310"/>
      <c r="P111" s="3310"/>
      <c r="Q111" s="3310"/>
      <c r="R111" s="3310"/>
      <c r="S111" s="3310"/>
      <c r="T111" s="3310"/>
      <c r="U111" s="3310"/>
      <c r="V111" s="3310"/>
      <c r="W111" s="3310"/>
      <c r="X111" s="3310"/>
      <c r="Y111" s="3310"/>
    </row>
    <row r="112" spans="2:25" x14ac:dyDescent="0.55000000000000004">
      <c r="B112" s="3310"/>
      <c r="C112" s="3310"/>
      <c r="D112" s="3310"/>
      <c r="E112" s="3310"/>
      <c r="F112" s="3310"/>
      <c r="G112" s="3310"/>
      <c r="H112" s="3310"/>
      <c r="I112" s="3310"/>
      <c r="J112" s="3310"/>
      <c r="K112" s="3310"/>
      <c r="L112" s="3310"/>
      <c r="M112" s="3310"/>
      <c r="N112" s="3310"/>
      <c r="O112" s="3310"/>
      <c r="P112" s="3310"/>
      <c r="Q112" s="3310"/>
      <c r="R112" s="3310"/>
      <c r="S112" s="3310"/>
      <c r="T112" s="3310"/>
      <c r="U112" s="3310"/>
      <c r="V112" s="3310"/>
      <c r="W112" s="3310"/>
      <c r="X112" s="3310"/>
      <c r="Y112" s="3310"/>
    </row>
    <row r="113" spans="2:25" x14ac:dyDescent="0.55000000000000004">
      <c r="B113" s="3310"/>
      <c r="C113" s="3310"/>
      <c r="D113" s="3310"/>
      <c r="E113" s="3310"/>
      <c r="F113" s="3310"/>
      <c r="G113" s="3310"/>
      <c r="H113" s="3310"/>
      <c r="I113" s="3310"/>
      <c r="J113" s="3310"/>
      <c r="K113" s="3310"/>
      <c r="L113" s="3310"/>
      <c r="M113" s="3310"/>
      <c r="N113" s="3310"/>
      <c r="O113" s="3310"/>
      <c r="P113" s="3310"/>
      <c r="Q113" s="3310"/>
      <c r="R113" s="3310"/>
      <c r="S113" s="3310"/>
      <c r="T113" s="3310"/>
      <c r="U113" s="3310"/>
      <c r="V113" s="3310"/>
      <c r="W113" s="3310"/>
      <c r="X113" s="3310"/>
      <c r="Y113" s="3310"/>
    </row>
    <row r="114" spans="2:25" x14ac:dyDescent="0.55000000000000004">
      <c r="B114" s="3310"/>
      <c r="C114" s="3310"/>
      <c r="D114" s="3310"/>
      <c r="E114" s="3310"/>
      <c r="F114" s="3310"/>
      <c r="G114" s="3310"/>
      <c r="H114" s="3310"/>
      <c r="I114" s="3310"/>
      <c r="J114" s="3310"/>
      <c r="K114" s="3310"/>
      <c r="L114" s="3310"/>
      <c r="M114" s="3310"/>
      <c r="N114" s="3310"/>
      <c r="O114" s="3310"/>
      <c r="P114" s="3310"/>
      <c r="Q114" s="3310"/>
      <c r="R114" s="3310"/>
      <c r="S114" s="3310"/>
      <c r="T114" s="3310"/>
      <c r="U114" s="3310"/>
      <c r="V114" s="3310"/>
      <c r="W114" s="3310"/>
      <c r="X114" s="3310"/>
      <c r="Y114" s="3310"/>
    </row>
    <row r="115" spans="2:25" x14ac:dyDescent="0.55000000000000004">
      <c r="B115" s="3310"/>
      <c r="C115" s="3310"/>
      <c r="D115" s="3310"/>
      <c r="E115" s="3310"/>
      <c r="F115" s="3310"/>
      <c r="G115" s="3310"/>
      <c r="H115" s="3310"/>
      <c r="I115" s="3310"/>
      <c r="J115" s="3310"/>
      <c r="K115" s="3310"/>
      <c r="L115" s="3310"/>
      <c r="M115" s="3310"/>
      <c r="N115" s="3310"/>
      <c r="O115" s="3310"/>
      <c r="P115" s="3310"/>
      <c r="Q115" s="3310"/>
      <c r="R115" s="3310"/>
      <c r="S115" s="3310"/>
      <c r="T115" s="3310"/>
      <c r="U115" s="3310"/>
      <c r="V115" s="3310"/>
      <c r="W115" s="3310"/>
      <c r="X115" s="3310"/>
      <c r="Y115" s="3310"/>
    </row>
    <row r="116" spans="2:25" x14ac:dyDescent="0.55000000000000004">
      <c r="B116" s="3310"/>
      <c r="C116" s="3310"/>
      <c r="D116" s="3310"/>
      <c r="E116" s="3310"/>
      <c r="F116" s="3310"/>
      <c r="G116" s="3310"/>
      <c r="H116" s="3310"/>
      <c r="I116" s="3310"/>
      <c r="J116" s="3310"/>
      <c r="K116" s="3310"/>
      <c r="L116" s="3310"/>
      <c r="M116" s="3310"/>
      <c r="N116" s="3310"/>
      <c r="O116" s="3310"/>
      <c r="P116" s="3310"/>
      <c r="Q116" s="3310"/>
      <c r="R116" s="3310"/>
      <c r="S116" s="3310"/>
      <c r="T116" s="3310"/>
      <c r="U116" s="3310"/>
      <c r="V116" s="3310"/>
      <c r="W116" s="3310"/>
      <c r="X116" s="3310"/>
      <c r="Y116" s="3310"/>
    </row>
  </sheetData>
  <mergeCells count="8">
    <mergeCell ref="A3:W3"/>
    <mergeCell ref="A40:A41"/>
    <mergeCell ref="T5:W5"/>
    <mergeCell ref="A16:A25"/>
    <mergeCell ref="A27:A38"/>
    <mergeCell ref="A6:C6"/>
    <mergeCell ref="A7:A14"/>
    <mergeCell ref="F5:S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5" fitToHeight="0" orientation="landscape" r:id="rId1"/>
  <headerFooter scaleWithDoc="0">
    <oddFooter>&amp;R&amp;"-,기울임꼴"&amp;8&amp;P &amp; 페이지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BH120"/>
  <sheetViews>
    <sheetView showGridLines="0" view="pageBreakPreview" zoomScale="55" zoomScaleNormal="100" zoomScaleSheetLayoutView="55" workbookViewId="0">
      <pane xSplit="3" ySplit="6" topLeftCell="D25" activePane="bottomRight" state="frozen"/>
      <selection activeCell="AG13" sqref="AG13"/>
      <selection pane="topRight" activeCell="AG13" sqref="AG13"/>
      <selection pane="bottomLeft" activeCell="AG13" sqref="AG13"/>
      <selection pane="bottomRight" activeCell="F34" sqref="F34:Q34"/>
    </sheetView>
  </sheetViews>
  <sheetFormatPr defaultRowHeight="15" outlineLevelCol="1" x14ac:dyDescent="0.55000000000000004"/>
  <cols>
    <col min="1" max="1" width="9.85546875" style="2441" customWidth="1"/>
    <col min="2" max="2" width="10.92578125" style="2441" customWidth="1"/>
    <col min="3" max="3" width="12.42578125" style="2441" customWidth="1"/>
    <col min="4" max="6" width="12.5" style="2441" customWidth="1"/>
    <col min="7" max="17" width="12.5" style="2441" customWidth="1" outlineLevel="1"/>
    <col min="18" max="23" width="12.5" style="2441" customWidth="1"/>
    <col min="24" max="27" width="3.7109375" style="2441" customWidth="1"/>
    <col min="28" max="40" width="8.640625" style="2441" hidden="1" customWidth="1"/>
    <col min="41" max="41" width="7.42578125" style="2441" hidden="1" customWidth="1"/>
    <col min="42" max="16384" width="9.140625" style="2441"/>
  </cols>
  <sheetData>
    <row r="1" spans="1:60" x14ac:dyDescent="0.55000000000000004">
      <c r="C1" s="2987"/>
      <c r="D1" s="2987" t="s">
        <v>792</v>
      </c>
      <c r="E1" s="2987" t="s">
        <v>664</v>
      </c>
      <c r="F1" s="2990" t="s">
        <v>460</v>
      </c>
      <c r="G1" s="2990" t="s">
        <v>459</v>
      </c>
      <c r="H1" s="2990" t="s">
        <v>461</v>
      </c>
      <c r="I1" s="2990" t="s">
        <v>665</v>
      </c>
      <c r="J1" s="2990" t="s">
        <v>642</v>
      </c>
      <c r="K1" s="2990" t="s">
        <v>650</v>
      </c>
      <c r="L1" s="2990" t="s">
        <v>1151</v>
      </c>
      <c r="M1" s="2990" t="s">
        <v>1154</v>
      </c>
      <c r="N1" s="2990" t="s">
        <v>1165</v>
      </c>
      <c r="O1" s="2990" t="s">
        <v>737</v>
      </c>
      <c r="P1" s="2990" t="s">
        <v>929</v>
      </c>
      <c r="Q1" s="2990" t="s">
        <v>1190</v>
      </c>
      <c r="R1" s="2989" t="s">
        <v>468</v>
      </c>
      <c r="S1" s="2989" t="s">
        <v>738</v>
      </c>
      <c r="T1" s="2990" t="s">
        <v>462</v>
      </c>
      <c r="U1" s="2989" t="s">
        <v>467</v>
      </c>
      <c r="V1" s="2989" t="s">
        <v>469</v>
      </c>
      <c r="W1" s="2989" t="s">
        <v>466</v>
      </c>
      <c r="X1" s="2991" t="s">
        <v>474</v>
      </c>
      <c r="Y1" s="2991"/>
      <c r="Z1" s="2991"/>
      <c r="AA1" s="2991"/>
    </row>
    <row r="2" spans="1:60" ht="15.45" thickBot="1" x14ac:dyDescent="0.6">
      <c r="C2" s="2987"/>
      <c r="D2" s="2987"/>
      <c r="E2" s="2987"/>
      <c r="F2" s="2990" t="s">
        <v>460</v>
      </c>
      <c r="G2" s="2990" t="s">
        <v>459</v>
      </c>
      <c r="H2" s="2990" t="s">
        <v>461</v>
      </c>
      <c r="I2" s="2990" t="s">
        <v>665</v>
      </c>
      <c r="J2" s="2990" t="s">
        <v>642</v>
      </c>
      <c r="K2" s="2990" t="s">
        <v>650</v>
      </c>
      <c r="L2" s="2990" t="s">
        <v>1151</v>
      </c>
      <c r="M2" s="2990" t="s">
        <v>1154</v>
      </c>
      <c r="N2" s="2990" t="s">
        <v>1165</v>
      </c>
      <c r="O2" s="2990" t="s">
        <v>737</v>
      </c>
      <c r="P2" s="2990" t="s">
        <v>929</v>
      </c>
      <c r="Q2" s="2990" t="s">
        <v>1190</v>
      </c>
    </row>
    <row r="3" spans="1:60" ht="60" customHeight="1" thickTop="1" thickBot="1" x14ac:dyDescent="0.6">
      <c r="A3" s="7078" t="s">
        <v>920</v>
      </c>
      <c r="B3" s="7078"/>
      <c r="C3" s="7078"/>
      <c r="D3" s="7078"/>
      <c r="E3" s="7078"/>
      <c r="F3" s="7078"/>
      <c r="G3" s="7078"/>
      <c r="H3" s="7078"/>
      <c r="I3" s="7078"/>
      <c r="J3" s="7078"/>
      <c r="K3" s="7078"/>
      <c r="L3" s="7078"/>
      <c r="M3" s="7078"/>
      <c r="N3" s="7078"/>
      <c r="O3" s="7078"/>
      <c r="P3" s="7078"/>
      <c r="Q3" s="7078"/>
      <c r="R3" s="7078"/>
      <c r="S3" s="7078"/>
      <c r="T3" s="7078"/>
      <c r="U3" s="7078"/>
      <c r="V3" s="7078"/>
      <c r="W3" s="7078"/>
    </row>
    <row r="4" spans="1:60" s="2444" customFormat="1" ht="15.55" customHeight="1" thickTop="1" thickBot="1" x14ac:dyDescent="0.6">
      <c r="A4" s="2447"/>
      <c r="B4" s="2992"/>
      <c r="C4" s="2992"/>
      <c r="D4" s="2992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E4" s="2445"/>
      <c r="AG4" s="2445"/>
      <c r="AH4" s="2445"/>
      <c r="AI4" s="2446"/>
      <c r="AK4" s="2445"/>
      <c r="AL4" s="2446"/>
      <c r="BD4" s="2449"/>
      <c r="BE4" s="2449"/>
      <c r="BF4" s="2449"/>
      <c r="BG4" s="2449"/>
      <c r="BH4" s="2449"/>
    </row>
    <row r="5" spans="1:60" ht="16.75" thickBot="1" x14ac:dyDescent="0.6">
      <c r="B5" s="2450"/>
      <c r="C5" s="2450"/>
      <c r="D5" s="2450"/>
      <c r="E5" s="2450"/>
      <c r="F5" s="7152" t="s">
        <v>1152</v>
      </c>
      <c r="G5" s="7160"/>
      <c r="H5" s="7160"/>
      <c r="I5" s="7160"/>
      <c r="J5" s="7160"/>
      <c r="K5" s="7160"/>
      <c r="L5" s="7160"/>
      <c r="M5" s="7160"/>
      <c r="N5" s="7160"/>
      <c r="O5" s="7160"/>
      <c r="P5" s="7160"/>
      <c r="Q5" s="7160"/>
      <c r="R5" s="7160"/>
      <c r="S5" s="7193"/>
      <c r="T5" s="7086" t="str">
        <f>"연간누적실적(~"&amp;'※ 기타지표 세부데이터'!A1-0.001&amp;"월)"</f>
        <v>연간누적실적(~12월)</v>
      </c>
      <c r="U5" s="7087"/>
      <c r="V5" s="7087"/>
      <c r="W5" s="7088"/>
      <c r="X5" s="2993"/>
      <c r="Y5" s="2993"/>
      <c r="Z5" s="2993"/>
      <c r="AA5" s="2993"/>
    </row>
    <row r="6" spans="1:60" ht="16.75" thickBot="1" x14ac:dyDescent="0.6">
      <c r="A6" s="7503" t="s">
        <v>127</v>
      </c>
      <c r="B6" s="7294"/>
      <c r="C6" s="7295"/>
      <c r="D6" s="2994" t="s">
        <v>906</v>
      </c>
      <c r="E6" s="2995" t="s">
        <v>905</v>
      </c>
      <c r="F6" s="2996" t="str" cm="1">
        <f t="array" aca="1" ref="F6" ca="1">INDIRECT("'※ 기타지표 세부데이터'!"&amp;F$1&amp;$X6, TRUE)</f>
        <v>'25.1월</v>
      </c>
      <c r="G6" s="2429" t="str" cm="1">
        <f t="array" aca="1" ref="G6" ca="1">INDIRECT("'※ 기타지표 세부데이터'!"&amp;G$1&amp;$X6, TRUE)</f>
        <v>'25.2월</v>
      </c>
      <c r="H6" s="2429" t="str" cm="1">
        <f t="array" aca="1" ref="H6" ca="1">INDIRECT("'※ 기타지표 세부데이터'!"&amp;H$1&amp;$X6, TRUE)</f>
        <v>'25.3월</v>
      </c>
      <c r="I6" s="2429" t="str" cm="1">
        <f t="array" aca="1" ref="I6" ca="1">INDIRECT("'※ 기타지표 세부데이터'!"&amp;I$1&amp;$X6, TRUE)</f>
        <v>'25.4월</v>
      </c>
      <c r="J6" s="2429" t="str" cm="1">
        <f t="array" aca="1" ref="J6" ca="1">INDIRECT("'※ 기타지표 세부데이터'!"&amp;J$1&amp;$X6, TRUE)</f>
        <v>'25.5월</v>
      </c>
      <c r="K6" s="2429" t="str" cm="1">
        <f t="array" aca="1" ref="K6" ca="1">INDIRECT("'※ 기타지표 세부데이터'!"&amp;K$1&amp;$X6, TRUE)</f>
        <v>'25.6월</v>
      </c>
      <c r="L6" s="2429" t="str" cm="1">
        <f t="array" aca="1" ref="L6" ca="1">INDIRECT("'※ 기타지표 세부데이터'!"&amp;L$1&amp;$X6, TRUE)</f>
        <v>'25.7월</v>
      </c>
      <c r="M6" s="2429" t="str" cm="1">
        <f t="array" aca="1" ref="M6" ca="1">INDIRECT("'※ 기타지표 세부데이터'!"&amp;M$1&amp;$X6, TRUE)</f>
        <v>'25.8월</v>
      </c>
      <c r="N6" s="2429" t="str" cm="1">
        <f t="array" aca="1" ref="N6" ca="1">INDIRECT("'※ 기타지표 세부데이터'!"&amp;N$1&amp;$X6, TRUE)</f>
        <v>'25.9월</v>
      </c>
      <c r="O6" s="2429" t="str" cm="1">
        <f t="array" aca="1" ref="O6" ca="1">INDIRECT("'※ 기타지표 세부데이터'!"&amp;O$1&amp;$X6, TRUE)</f>
        <v>'25.10월</v>
      </c>
      <c r="P6" s="2429" t="str" cm="1">
        <f t="array" aca="1" ref="P6" ca="1">INDIRECT("'※ 기타지표 세부데이터'!"&amp;P$1&amp;$X6, TRUE)</f>
        <v>'25.11월</v>
      </c>
      <c r="Q6" s="2429" t="str" cm="1">
        <f t="array" aca="1" ref="Q6" ca="1">INDIRECT("'※ 기타지표 세부데이터'!"&amp;Q$1&amp;$X6, TRUE)</f>
        <v>'25.12월</v>
      </c>
      <c r="R6" s="2997" t="s">
        <v>133</v>
      </c>
      <c r="S6" s="2998" t="s">
        <v>463</v>
      </c>
      <c r="T6" s="2999" t="s">
        <v>45</v>
      </c>
      <c r="U6" s="2993" t="s">
        <v>609</v>
      </c>
      <c r="V6" s="3000" t="s">
        <v>46</v>
      </c>
      <c r="W6" s="3001" t="s">
        <v>11</v>
      </c>
      <c r="X6" s="3002">
        <f>ROW('※ 기타지표 세부데이터'!J3)</f>
        <v>3</v>
      </c>
      <c r="Y6" s="3003"/>
      <c r="Z6" s="3003"/>
      <c r="AA6" s="3003"/>
      <c r="AB6" s="2455" t="s">
        <v>615</v>
      </c>
      <c r="AC6" s="2455" t="s">
        <v>581</v>
      </c>
      <c r="AD6" s="2455" t="s">
        <v>614</v>
      </c>
      <c r="AE6" s="2455" t="s">
        <v>583</v>
      </c>
      <c r="AF6" s="2455" t="s">
        <v>584</v>
      </c>
      <c r="AG6" s="2455" t="s">
        <v>585</v>
      </c>
      <c r="AH6" s="2455" t="s">
        <v>586</v>
      </c>
      <c r="AI6" s="2455" t="s">
        <v>587</v>
      </c>
      <c r="AJ6" s="2455" t="s">
        <v>588</v>
      </c>
      <c r="AK6" s="2455" t="s">
        <v>589</v>
      </c>
      <c r="AL6" s="2455" t="s">
        <v>590</v>
      </c>
      <c r="AM6" s="2455" t="s">
        <v>591</v>
      </c>
      <c r="AN6" s="2455" t="s">
        <v>592</v>
      </c>
    </row>
    <row r="7" spans="1:60" x14ac:dyDescent="0.55000000000000004">
      <c r="A7" s="7560" t="s">
        <v>292</v>
      </c>
      <c r="B7" s="3004" t="s">
        <v>291</v>
      </c>
      <c r="C7" s="3005"/>
      <c r="D7" s="3006" cm="1">
        <f t="array" aca="1" ref="D7" ca="1">INDIRECT("'※ 기타지표 세부데이터'!"&amp;D$1&amp;$X7, TRUE)</f>
        <v>98.399443716211621</v>
      </c>
      <c r="E7" s="3006" cm="1">
        <f t="array" aca="1" ref="E7" ca="1">INDIRECT("'※ 기타지표 세부데이터'!"&amp;E$1&amp;$X7, TRUE)</f>
        <v>97.5</v>
      </c>
      <c r="F7" s="3007" cm="1">
        <f t="array" aca="1" ref="F7" ca="1">INDIRECT("'※ 기타지표 세부데이터'!"&amp;F$1&amp;$X7, TRUE)</f>
        <v>98.3</v>
      </c>
      <c r="G7" s="3008" cm="1">
        <f t="array" aca="1" ref="G7" ca="1">INDIRECT("'※ 기타지표 세부데이터'!"&amp;G$1&amp;$X7, TRUE)</f>
        <v>98.3</v>
      </c>
      <c r="H7" s="3008" cm="1">
        <f t="array" aca="1" ref="H7" ca="1">INDIRECT("'※ 기타지표 세부데이터'!"&amp;H$1&amp;$X7, TRUE)</f>
        <v>98.4</v>
      </c>
      <c r="I7" s="3008" cm="1">
        <f t="array" aca="1" ref="I7" ca="1">INDIRECT("'※ 기타지표 세부데이터'!"&amp;I$1&amp;$X7, TRUE)</f>
        <v>98.6</v>
      </c>
      <c r="J7" s="3008" cm="1">
        <f t="array" aca="1" ref="J7" ca="1">INDIRECT("'※ 기타지표 세부데이터'!"&amp;J$1&amp;$X7, TRUE)</f>
        <v>98.2</v>
      </c>
      <c r="K7" s="3008" cm="1">
        <f t="array" aca="1" ref="K7" ca="1">INDIRECT("'※ 기타지표 세부데이터'!"&amp;K$1&amp;$X7, TRUE)</f>
        <v>98.4</v>
      </c>
      <c r="L7" s="3008" cm="1">
        <f t="array" aca="1" ref="L7" ca="1">INDIRECT("'※ 기타지표 세부데이터'!"&amp;L$1&amp;$X7, TRUE)</f>
        <v>98.3</v>
      </c>
      <c r="M7" s="3008" cm="1">
        <f t="array" aca="1" ref="M7" ca="1">INDIRECT("'※ 기타지표 세부데이터'!"&amp;M$1&amp;$X7, TRUE)</f>
        <v>98.4</v>
      </c>
      <c r="N7" s="3008" cm="1">
        <f t="array" aca="1" ref="N7" ca="1">INDIRECT("'※ 기타지표 세부데이터'!"&amp;N$1&amp;$X7, TRUE)</f>
        <v>98.3</v>
      </c>
      <c r="O7" s="3008" cm="1">
        <f t="array" aca="1" ref="O7" ca="1">INDIRECT("'※ 기타지표 세부데이터'!"&amp;O$1&amp;$X7, TRUE)</f>
        <v>98.1</v>
      </c>
      <c r="P7" s="3008" cm="1">
        <f t="array" aca="1" ref="P7" ca="1">INDIRECT("'※ 기타지표 세부데이터'!"&amp;P$1&amp;$X7, TRUE)</f>
        <v>98.6</v>
      </c>
      <c r="Q7" s="3008" cm="1">
        <f t="array" aca="1" ref="Q7" ca="1">INDIRECT("'※ 기타지표 세부데이터'!"&amp;Q$1&amp;$X7, TRUE)</f>
        <v>98.7</v>
      </c>
      <c r="R7" s="3009" cm="1">
        <f t="array" aca="1" ref="R7" ca="1">INDIRECT("'※ 기타지표 세부데이터'!"&amp;R$1&amp;$X7, TRUE)</f>
        <v>0</v>
      </c>
      <c r="S7" s="3010" cm="1">
        <f t="array" aca="1" ref="S7" ca="1">INDIRECT("'※ 기타지표 세부데이터'!"&amp;S$1&amp;$X7, TRUE)</f>
        <v>0.20000000000000284</v>
      </c>
      <c r="T7" s="3011" cm="1">
        <f t="array" aca="1" ref="T7" ca="1">INDIRECT("'※ 기타지표 세부데이터'!"&amp;T$1&amp;$X7, TRUE)</f>
        <v>98.383333333333326</v>
      </c>
      <c r="U7" s="3012" cm="1">
        <f t="array" aca="1" ref="U7" ca="1">INDIRECT("'※ 기타지표 세부데이터'!"&amp;U$1&amp;$X7, TRUE)</f>
        <v>0.88333333333332575</v>
      </c>
      <c r="V7" s="3009" cm="1">
        <f t="array" aca="1" ref="V7" ca="1">INDIRECT("'※ 기타지표 세부데이터'!"&amp;V$1&amp;$X7, TRUE)</f>
        <v>98.383333333333326</v>
      </c>
      <c r="W7" s="3013" cm="1">
        <f t="array" aca="1" ref="W7" ca="1">INDIRECT("'※ 기타지표 세부데이터'!"&amp;W$1&amp;$X7, TRUE)</f>
        <v>0.88333333333332575</v>
      </c>
      <c r="X7" s="3002">
        <f>ROW('※ 기타지표 세부데이터'!J4)</f>
        <v>4</v>
      </c>
      <c r="Y7" s="3014"/>
      <c r="Z7" s="3014"/>
      <c r="AA7" s="3014"/>
      <c r="AB7" s="3015">
        <v>98.399443716211621</v>
      </c>
      <c r="AC7" s="3015">
        <v>98.68915370632196</v>
      </c>
      <c r="AD7" s="3015">
        <v>97.776355596928084</v>
      </c>
      <c r="AE7" s="3015">
        <v>98.709973954343496</v>
      </c>
      <c r="AF7" s="3015">
        <v>98.676118578530662</v>
      </c>
      <c r="AG7" s="3015">
        <v>98.227590591226956</v>
      </c>
      <c r="AH7" s="3015">
        <v>98.428591489959274</v>
      </c>
      <c r="AI7" s="3015">
        <v>98.389112003569835</v>
      </c>
      <c r="AJ7" s="3015">
        <v>97.647587990554371</v>
      </c>
      <c r="AK7" s="3015">
        <v>98.363116511794132</v>
      </c>
      <c r="AL7" s="3015">
        <v>98.641300286461572</v>
      </c>
      <c r="AM7" s="3015">
        <v>99.157969885773625</v>
      </c>
      <c r="AN7" s="3015">
        <v>98.08645399907536</v>
      </c>
    </row>
    <row r="8" spans="1:60" x14ac:dyDescent="0.55000000000000004">
      <c r="A8" s="7561"/>
      <c r="B8" s="3016" t="s">
        <v>617</v>
      </c>
      <c r="C8" s="3014"/>
      <c r="D8" s="3017" cm="1">
        <f t="array" aca="1" ref="D8" ca="1">INDIRECT("'※ 기타지표 세부데이터'!"&amp;D$1&amp;$X8, TRUE)</f>
        <v>95.345346447535178</v>
      </c>
      <c r="E8" s="3017" cm="1">
        <f t="array" aca="1" ref="E8" ca="1">INDIRECT("'※ 기타지표 세부데이터'!"&amp;E$1&amp;$X8, TRUE)</f>
        <v>96.733333333333334</v>
      </c>
      <c r="F8" s="3018" cm="1">
        <f t="array" aca="1" ref="F8" ca="1">INDIRECT("'※ 기타지표 세부데이터'!"&amp;F$1&amp;$X8, TRUE)</f>
        <v>97.5</v>
      </c>
      <c r="G8" s="3019" cm="1">
        <f t="array" aca="1" ref="G8" ca="1">INDIRECT("'※ 기타지표 세부데이터'!"&amp;G$1&amp;$X8, TRUE)</f>
        <v>97.7</v>
      </c>
      <c r="H8" s="3019" cm="1">
        <f t="array" aca="1" ref="H8" ca="1">INDIRECT("'※ 기타지표 세부데이터'!"&amp;H$1&amp;$X8, TRUE)</f>
        <v>97.7</v>
      </c>
      <c r="I8" s="3019" cm="1">
        <f t="array" aca="1" ref="I8" ca="1">INDIRECT("'※ 기타지표 세부데이터'!"&amp;I$1&amp;$X8, TRUE)</f>
        <v>97.8</v>
      </c>
      <c r="J8" s="3019" cm="1">
        <f t="array" aca="1" ref="J8" ca="1">INDIRECT("'※ 기타지표 세부데이터'!"&amp;J$1&amp;$X8, TRUE)</f>
        <v>97.4</v>
      </c>
      <c r="K8" s="3019" cm="1">
        <f t="array" aca="1" ref="K8" ca="1">INDIRECT("'※ 기타지표 세부데이터'!"&amp;K$1&amp;$X8, TRUE)</f>
        <v>97.6</v>
      </c>
      <c r="L8" s="3019" cm="1">
        <f t="array" aca="1" ref="L8" ca="1">INDIRECT("'※ 기타지표 세부데이터'!"&amp;L$1&amp;$X8, TRUE)</f>
        <v>97.703432317778635</v>
      </c>
      <c r="M8" s="3019" cm="1">
        <f t="array" aca="1" ref="M8" ca="1">INDIRECT("'※ 기타지표 세부데이터'!"&amp;M$1&amp;$X8, TRUE)</f>
        <v>97.4</v>
      </c>
      <c r="N8" s="3019" cm="1">
        <f t="array" aca="1" ref="N8" ca="1">INDIRECT("'※ 기타지표 세부데이터'!"&amp;N$1&amp;$X8, TRUE)</f>
        <v>97.7</v>
      </c>
      <c r="O8" s="3019" cm="1">
        <f t="array" aca="1" ref="O8" ca="1">INDIRECT("'※ 기타지표 세부데이터'!"&amp;O$1&amp;$X8, TRUE)</f>
        <v>97.3</v>
      </c>
      <c r="P8" s="3019" cm="1">
        <f t="array" aca="1" ref="P8" ca="1">INDIRECT("'※ 기타지표 세부데이터'!"&amp;P$1&amp;$X8, TRUE)</f>
        <v>97.7</v>
      </c>
      <c r="Q8" s="3019" cm="1">
        <f t="array" aca="1" ref="Q8" ca="1">INDIRECT("'※ 기타지표 세부데이터'!"&amp;Q$1&amp;$X8, TRUE)</f>
        <v>97.7</v>
      </c>
      <c r="R8" s="3020" cm="1">
        <f t="array" aca="1" ref="R8" ca="1">INDIRECT("'※ 기타지표 세부데이터'!"&amp;R$1&amp;$X8, TRUE)</f>
        <v>0.10000000000000853</v>
      </c>
      <c r="S8" s="3021" cm="1">
        <f t="array" aca="1" ref="S8" ca="1">INDIRECT("'※ 기타지표 세부데이터'!"&amp;S$1&amp;$X8, TRUE)</f>
        <v>-9.9999999999994316E-2</v>
      </c>
      <c r="T8" s="3022" cm="1">
        <f t="array" aca="1" ref="T8" ca="1">INDIRECT("'※ 기타지표 세부데이터'!"&amp;T$1&amp;$X8, TRUE)</f>
        <v>97.600286026481555</v>
      </c>
      <c r="U8" s="3023" cm="1">
        <f t="array" aca="1" ref="U8" ca="1">INDIRECT("'※ 기타지표 세부데이터'!"&amp;U$1&amp;$X8, TRUE)</f>
        <v>0.86695269314822099</v>
      </c>
      <c r="V8" s="3024" cm="1">
        <f t="array" aca="1" ref="V8" ca="1">INDIRECT("'※ 기타지표 세부데이터'!"&amp;V$1&amp;$X8, TRUE)</f>
        <v>97.600286026481555</v>
      </c>
      <c r="W8" s="3025" cm="1">
        <f t="array" aca="1" ref="W8" ca="1">INDIRECT("'※ 기타지표 세부데이터'!"&amp;W$1&amp;$X8, TRUE)</f>
        <v>0.86695269314822099</v>
      </c>
      <c r="X8" s="3002">
        <f>ROW('※ 기타지표 세부데이터'!J5)</f>
        <v>5</v>
      </c>
      <c r="Y8" s="3014"/>
      <c r="Z8" s="3014"/>
      <c r="AA8" s="3014"/>
      <c r="AB8" s="3015">
        <v>95.345346447535178</v>
      </c>
      <c r="AC8" s="3015">
        <v>95.459761321909426</v>
      </c>
      <c r="AD8" s="3015">
        <v>94.60164194421121</v>
      </c>
      <c r="AE8" s="3015">
        <v>95.525611501836067</v>
      </c>
      <c r="AF8" s="3015">
        <v>95.177967348139433</v>
      </c>
      <c r="AG8" s="3015">
        <v>94.847599830076462</v>
      </c>
      <c r="AH8" s="3015">
        <v>94.777662277662273</v>
      </c>
      <c r="AI8" s="3015">
        <v>94.870935716058568</v>
      </c>
      <c r="AJ8" s="3015">
        <v>94.193355581013094</v>
      </c>
      <c r="AK8" s="3015">
        <v>94.905660377358487</v>
      </c>
      <c r="AL8" s="3015">
        <v>96.904410593917518</v>
      </c>
      <c r="AM8" s="3015">
        <v>97.942293126301834</v>
      </c>
      <c r="AN8" s="3015">
        <v>94.937257751937977</v>
      </c>
    </row>
    <row r="9" spans="1:60" x14ac:dyDescent="0.55000000000000004">
      <c r="A9" s="7561"/>
      <c r="B9" s="3016" t="s">
        <v>616</v>
      </c>
      <c r="C9" s="3014"/>
      <c r="D9" s="3017" cm="1">
        <f t="array" aca="1" ref="D9" ca="1">INDIRECT("'※ 기타지표 세부데이터'!"&amp;D$1&amp;$X9, TRUE)</f>
        <v>93.278423287341823</v>
      </c>
      <c r="E9" s="3017" cm="1">
        <f t="array" aca="1" ref="E9" ca="1">INDIRECT("'※ 기타지표 세부데이터'!"&amp;E$1&amp;$X9, TRUE)</f>
        <v>96.483333333333334</v>
      </c>
      <c r="F9" s="3018" cm="1">
        <f t="array" aca="1" ref="F9" ca="1">INDIRECT("'※ 기타지표 세부데이터'!"&amp;F$1&amp;$X9, TRUE)</f>
        <v>97.3</v>
      </c>
      <c r="G9" s="3019" cm="1">
        <f t="array" aca="1" ref="G9" ca="1">INDIRECT("'※ 기타지표 세부데이터'!"&amp;G$1&amp;$X9, TRUE)</f>
        <v>97.4</v>
      </c>
      <c r="H9" s="3019" cm="1">
        <f t="array" aca="1" ref="H9" ca="1">INDIRECT("'※ 기타지표 세부데이터'!"&amp;H$1&amp;$X9, TRUE)</f>
        <v>97.5</v>
      </c>
      <c r="I9" s="3019" cm="1">
        <f t="array" aca="1" ref="I9" ca="1">INDIRECT("'※ 기타지표 세부데이터'!"&amp;I$1&amp;$X9, TRUE)</f>
        <v>97.5</v>
      </c>
      <c r="J9" s="3019" cm="1">
        <f t="array" aca="1" ref="J9" ca="1">INDIRECT("'※ 기타지표 세부데이터'!"&amp;J$1&amp;$X9, TRUE)</f>
        <v>97.1</v>
      </c>
      <c r="K9" s="3019" cm="1">
        <f t="array" aca="1" ref="K9" ca="1">INDIRECT("'※ 기타지표 세부데이터'!"&amp;K$1&amp;$X9, TRUE)</f>
        <v>97.3</v>
      </c>
      <c r="L9" s="3019" cm="1">
        <f t="array" aca="1" ref="L9" ca="1">INDIRECT("'※ 기타지표 세부데이터'!"&amp;L$1&amp;$X9, TRUE)</f>
        <v>97.277335264301229</v>
      </c>
      <c r="M9" s="3019" cm="1">
        <f t="array" aca="1" ref="M9" ca="1">INDIRECT("'※ 기타지표 세부데이터'!"&amp;M$1&amp;$X9, TRUE)</f>
        <v>97.1</v>
      </c>
      <c r="N9" s="3019" cm="1">
        <f t="array" aca="1" ref="N9" ca="1">INDIRECT("'※ 기타지표 세부데이터'!"&amp;N$1&amp;$X9, TRUE)</f>
        <v>97.4</v>
      </c>
      <c r="O9" s="3019" cm="1">
        <f t="array" aca="1" ref="O9" ca="1">INDIRECT("'※ 기타지표 세부데이터'!"&amp;O$1&amp;$X9, TRUE)</f>
        <v>97</v>
      </c>
      <c r="P9" s="3019" cm="1">
        <f t="array" aca="1" ref="P9" ca="1">INDIRECT("'※ 기타지표 세부데이터'!"&amp;P$1&amp;$X9, TRUE)</f>
        <v>97.3</v>
      </c>
      <c r="Q9" s="3019" cm="1">
        <f t="array" aca="1" ref="Q9" ca="1">INDIRECT("'※ 기타지표 세부데이터'!"&amp;Q$1&amp;$X9, TRUE)</f>
        <v>97.4</v>
      </c>
      <c r="R9" s="3020" cm="1">
        <f t="array" aca="1" ref="R9" ca="1">INDIRECT("'※ 기타지표 세부데이터'!"&amp;R$1&amp;$X9, TRUE)</f>
        <v>0</v>
      </c>
      <c r="S9" s="3021" cm="1">
        <f t="array" aca="1" ref="S9" ca="1">INDIRECT("'※ 기타지표 세부데이터'!"&amp;S$1&amp;$X9, TRUE)</f>
        <v>-0.29999999999999716</v>
      </c>
      <c r="T9" s="3022" cm="1">
        <f t="array" aca="1" ref="T9" ca="1">INDIRECT("'※ 기타지표 세부데이터'!"&amp;T$1&amp;$X9, TRUE)</f>
        <v>97.298111272025096</v>
      </c>
      <c r="U9" s="3023" cm="1">
        <f t="array" aca="1" ref="U9" ca="1">INDIRECT("'※ 기타지표 세부데이터'!"&amp;U$1&amp;$X9, TRUE)</f>
        <v>0.81477793869176196</v>
      </c>
      <c r="V9" s="3024" cm="1">
        <f t="array" aca="1" ref="V9" ca="1">INDIRECT("'※ 기타지표 세부데이터'!"&amp;V$1&amp;$X9, TRUE)</f>
        <v>97.298111272025096</v>
      </c>
      <c r="W9" s="3025" cm="1">
        <f t="array" aca="1" ref="W9" ca="1">INDIRECT("'※ 기타지표 세부데이터'!"&amp;W$1&amp;$X9, TRUE)</f>
        <v>0.81477793869176196</v>
      </c>
      <c r="X9" s="3002">
        <f>ROW('※ 기타지표 세부데이터'!J6)</f>
        <v>6</v>
      </c>
      <c r="Y9" s="3014"/>
      <c r="Z9" s="3014"/>
      <c r="AA9" s="3014"/>
      <c r="AB9" s="3015">
        <v>93.278423287341823</v>
      </c>
      <c r="AC9" s="3015">
        <v>93.490949390469154</v>
      </c>
      <c r="AD9" s="3015">
        <v>92.477421364061044</v>
      </c>
      <c r="AE9" s="3015">
        <v>93.346960167714883</v>
      </c>
      <c r="AF9" s="3015">
        <v>92.851720337945395</v>
      </c>
      <c r="AG9" s="3015">
        <v>92.423634539983581</v>
      </c>
      <c r="AH9" s="3015">
        <v>92.227562530652278</v>
      </c>
      <c r="AI9" s="3015">
        <v>92.352815926753962</v>
      </c>
      <c r="AJ9" s="3015">
        <v>91.446709585121596</v>
      </c>
      <c r="AK9" s="3015">
        <v>92.618147448015122</v>
      </c>
      <c r="AL9" s="3015">
        <v>95.614594894561591</v>
      </c>
      <c r="AM9" s="3015">
        <v>97.24441132637854</v>
      </c>
      <c r="AN9" s="3015">
        <v>93.246151936444889</v>
      </c>
    </row>
    <row r="10" spans="1:60" x14ac:dyDescent="0.55000000000000004">
      <c r="A10" s="7561"/>
      <c r="B10" s="2493" t="s">
        <v>294</v>
      </c>
      <c r="C10" s="2493"/>
      <c r="D10" s="3026" cm="1">
        <f t="array" aca="1" ref="D10" ca="1">INDIRECT("'※ 기타지표 세부데이터'!"&amp;D$1&amp;$X10, TRUE)</f>
        <v>97.894890942135774</v>
      </c>
      <c r="E10" s="3026" cm="1">
        <f t="array" aca="1" ref="E10" ca="1">INDIRECT("'※ 기타지표 세부데이터'!"&amp;E$1&amp;$X10, TRUE)</f>
        <v>96.683333333333351</v>
      </c>
      <c r="F10" s="3027" cm="1">
        <f t="array" aca="1" ref="F10" ca="1">INDIRECT("'※ 기타지표 세부데이터'!"&amp;F$1&amp;$X10, TRUE)</f>
        <v>98.3</v>
      </c>
      <c r="G10" s="3028" cm="1">
        <f t="array" aca="1" ref="G10" ca="1">INDIRECT("'※ 기타지표 세부데이터'!"&amp;G$1&amp;$X10, TRUE)</f>
        <v>98</v>
      </c>
      <c r="H10" s="3028" cm="1">
        <f t="array" aca="1" ref="H10" ca="1">INDIRECT("'※ 기타지표 세부데이터'!"&amp;H$1&amp;$X10, TRUE)</f>
        <v>98.7</v>
      </c>
      <c r="I10" s="3028" cm="1">
        <f t="array" aca="1" ref="I10" ca="1">INDIRECT("'※ 기타지표 세부데이터'!"&amp;I$1&amp;$X10, TRUE)</f>
        <v>98.7</v>
      </c>
      <c r="J10" s="3028" cm="1">
        <f t="array" aca="1" ref="J10" ca="1">INDIRECT("'※ 기타지표 세부데이터'!"&amp;J$1&amp;$X10, TRUE)</f>
        <v>97.6</v>
      </c>
      <c r="K10" s="3028" cm="1">
        <f t="array" aca="1" ref="K10" ca="1">INDIRECT("'※ 기타지표 세부데이터'!"&amp;K$1&amp;$X10, TRUE)</f>
        <v>97.8</v>
      </c>
      <c r="L10" s="3028" cm="1">
        <f t="array" aca="1" ref="L10" ca="1">INDIRECT("'※ 기타지표 세부데이터'!"&amp;L$1&amp;$X10, TRUE)</f>
        <v>97.6</v>
      </c>
      <c r="M10" s="3028" cm="1">
        <f t="array" aca="1" ref="M10" ca="1">INDIRECT("'※ 기타지표 세부데이터'!"&amp;M$1&amp;$X10, TRUE)</f>
        <v>97.9</v>
      </c>
      <c r="N10" s="3028" cm="1">
        <f t="array" aca="1" ref="N10" ca="1">INDIRECT("'※ 기타지표 세부데이터'!"&amp;N$1&amp;$X10, TRUE)</f>
        <v>99.1</v>
      </c>
      <c r="O10" s="3028" cm="1">
        <f t="array" aca="1" ref="O10" ca="1">INDIRECT("'※ 기타지표 세부데이터'!"&amp;O$1&amp;$X10, TRUE)</f>
        <v>98.3</v>
      </c>
      <c r="P10" s="3028" cm="1">
        <f t="array" aca="1" ref="P10" ca="1">INDIRECT("'※ 기타지표 세부데이터'!"&amp;P$1&amp;$X10, TRUE)</f>
        <v>98.9</v>
      </c>
      <c r="Q10" s="3028" cm="1">
        <f t="array" aca="1" ref="Q10" ca="1">INDIRECT("'※ 기타지표 세부데이터'!"&amp;Q$1&amp;$X10, TRUE)</f>
        <v>98.9</v>
      </c>
      <c r="R10" s="2499" cm="1">
        <f t="array" aca="1" ref="R10" ca="1">INDIRECT("'※ 기타지표 세부데이터'!"&amp;R$1&amp;$X10, TRUE)</f>
        <v>-0.10000000000000853</v>
      </c>
      <c r="S10" s="3029" cm="1">
        <f t="array" aca="1" ref="S10" ca="1">INDIRECT("'※ 기타지표 세부데이터'!"&amp;S$1&amp;$X10, TRUE)</f>
        <v>1.2000000000000028</v>
      </c>
      <c r="T10" s="3030" cm="1">
        <f t="array" aca="1" ref="T10" ca="1">INDIRECT("'※ 기타지표 세부데이터'!"&amp;T$1&amp;$X10, TRUE)</f>
        <v>98.316666666666663</v>
      </c>
      <c r="U10" s="2500" cm="1">
        <f t="array" aca="1" ref="U10" ca="1">INDIRECT("'※ 기타지표 세부데이터'!"&amp;U$1&amp;$X10, TRUE)</f>
        <v>1.6333333333333115</v>
      </c>
      <c r="V10" s="3031" cm="1">
        <f t="array" aca="1" ref="V10" ca="1">INDIRECT("'※ 기타지표 세부데이터'!"&amp;V$1&amp;$X10, TRUE)</f>
        <v>98.316666666666663</v>
      </c>
      <c r="W10" s="3032" cm="1">
        <f t="array" aca="1" ref="W10" ca="1">INDIRECT("'※ 기타지표 세부데이터'!"&amp;W$1&amp;$X10, TRUE)</f>
        <v>1.6333333333333115</v>
      </c>
      <c r="X10" s="3002">
        <f>ROW('※ 기타지표 세부데이터'!J7)</f>
        <v>7</v>
      </c>
      <c r="Y10" s="3033"/>
      <c r="Z10" s="3033"/>
      <c r="AA10" s="3033"/>
      <c r="AB10" s="3015">
        <v>97.894890942135774</v>
      </c>
      <c r="AC10" s="3015">
        <v>97.932011331444755</v>
      </c>
      <c r="AD10" s="3015">
        <v>97.078651685393254</v>
      </c>
      <c r="AE10" s="3015">
        <v>98.288888888888891</v>
      </c>
      <c r="AF10" s="3015">
        <v>98.935361216730044</v>
      </c>
      <c r="AG10" s="3015">
        <v>98.019943019943014</v>
      </c>
      <c r="AH10" s="3015">
        <v>98.336025848142171</v>
      </c>
      <c r="AI10" s="3015">
        <v>97.755834829443444</v>
      </c>
      <c r="AJ10" s="3015">
        <v>96.869983948635635</v>
      </c>
      <c r="AK10" s="3015">
        <v>97.752808988764045</v>
      </c>
      <c r="AL10" s="3015">
        <v>97.906930693069313</v>
      </c>
      <c r="AM10" s="3015">
        <v>98.762633996937211</v>
      </c>
      <c r="AN10" s="3015">
        <v>97.099616858237553</v>
      </c>
    </row>
    <row r="11" spans="1:60" x14ac:dyDescent="0.55000000000000004">
      <c r="A11" s="7561"/>
      <c r="B11" s="2493" t="s">
        <v>295</v>
      </c>
      <c r="C11" s="2493"/>
      <c r="D11" s="3026" cm="1">
        <f t="array" aca="1" ref="D11" ca="1">INDIRECT("'※ 기타지표 세부데이터'!"&amp;D$1&amp;$X11, TRUE)</f>
        <v>97.786365556312319</v>
      </c>
      <c r="E11" s="3026" cm="1">
        <f t="array" aca="1" ref="E11" ca="1">INDIRECT("'※ 기타지표 세부데이터'!"&amp;E$1&amp;$X11, TRUE)</f>
        <v>97.141666666666666</v>
      </c>
      <c r="F11" s="3027" cm="1">
        <f t="array" aca="1" ref="F11" ca="1">INDIRECT("'※ 기타지표 세부데이터'!"&amp;F$1&amp;$X11, TRUE)</f>
        <v>98</v>
      </c>
      <c r="G11" s="3028" cm="1">
        <f t="array" aca="1" ref="G11" ca="1">INDIRECT("'※ 기타지표 세부데이터'!"&amp;G$1&amp;$X11, TRUE)</f>
        <v>98.1</v>
      </c>
      <c r="H11" s="3028" cm="1">
        <f t="array" aca="1" ref="H11" ca="1">INDIRECT("'※ 기타지표 세부데이터'!"&amp;H$1&amp;$X11, TRUE)</f>
        <v>98.3</v>
      </c>
      <c r="I11" s="3028" cm="1">
        <f t="array" aca="1" ref="I11" ca="1">INDIRECT("'※ 기타지표 세부데이터'!"&amp;I$1&amp;$X11, TRUE)</f>
        <v>98.7</v>
      </c>
      <c r="J11" s="3028" cm="1">
        <f t="array" aca="1" ref="J11" ca="1">INDIRECT("'※ 기타지표 세부데이터'!"&amp;J$1&amp;$X11, TRUE)</f>
        <v>98.2</v>
      </c>
      <c r="K11" s="3028" cm="1">
        <f t="array" aca="1" ref="K11" ca="1">INDIRECT("'※ 기타지표 세부데이터'!"&amp;K$1&amp;$X11, TRUE)</f>
        <v>98.3</v>
      </c>
      <c r="L11" s="3028" cm="1">
        <f t="array" aca="1" ref="L11" ca="1">INDIRECT("'※ 기타지표 세부데이터'!"&amp;L$1&amp;$X11, TRUE)</f>
        <v>98.4</v>
      </c>
      <c r="M11" s="3028" cm="1">
        <f t="array" aca="1" ref="M11" ca="1">INDIRECT("'※ 기타지표 세부데이터'!"&amp;M$1&amp;$X11, TRUE)</f>
        <v>98</v>
      </c>
      <c r="N11" s="3028" cm="1">
        <f t="array" aca="1" ref="N11" ca="1">INDIRECT("'※ 기타지표 세부데이터'!"&amp;N$1&amp;$X11, TRUE)</f>
        <v>98.3</v>
      </c>
      <c r="O11" s="3028" cm="1">
        <f t="array" aca="1" ref="O11" ca="1">INDIRECT("'※ 기타지표 세부데이터'!"&amp;O$1&amp;$X11, TRUE)</f>
        <v>97.8</v>
      </c>
      <c r="P11" s="3028" cm="1">
        <f t="array" aca="1" ref="P11" ca="1">INDIRECT("'※ 기타지표 세부데이터'!"&amp;P$1&amp;$X11, TRUE)</f>
        <v>98.4</v>
      </c>
      <c r="Q11" s="3028" cm="1">
        <f t="array" aca="1" ref="Q11" ca="1">INDIRECT("'※ 기타지표 세부데이터'!"&amp;Q$1&amp;$X11, TRUE)</f>
        <v>98.3</v>
      </c>
      <c r="R11" s="2499" cm="1">
        <f t="array" aca="1" ref="R11" ca="1">INDIRECT("'※ 기타지표 세부데이터'!"&amp;R$1&amp;$X11, TRUE)</f>
        <v>0.29999999999999716</v>
      </c>
      <c r="S11" s="3029" cm="1">
        <f t="array" aca="1" ref="S11" ca="1">INDIRECT("'※ 기타지표 세부데이터'!"&amp;S$1&amp;$X11, TRUE)</f>
        <v>0.29999999999999716</v>
      </c>
      <c r="T11" s="3030" cm="1">
        <f t="array" aca="1" ref="T11" ca="1">INDIRECT("'※ 기타지표 세부데이터'!"&amp;T$1&amp;$X11, TRUE)</f>
        <v>98.233333333333306</v>
      </c>
      <c r="U11" s="2500" cm="1">
        <f t="array" aca="1" ref="U11" ca="1">INDIRECT("'※ 기타지표 세부데이터'!"&amp;U$1&amp;$X11, TRUE)</f>
        <v>1.0916666666666401</v>
      </c>
      <c r="V11" s="3031" cm="1">
        <f t="array" aca="1" ref="V11" ca="1">INDIRECT("'※ 기타지표 세부데이터'!"&amp;V$1&amp;$X11, TRUE)</f>
        <v>98.233333333333306</v>
      </c>
      <c r="W11" s="3032" cm="1">
        <f t="array" aca="1" ref="W11" ca="1">INDIRECT("'※ 기타지표 세부데이터'!"&amp;W$1&amp;$X11, TRUE)</f>
        <v>1.0916666666666401</v>
      </c>
      <c r="X11" s="3002">
        <f>ROW('※ 기타지표 세부데이터'!J8)</f>
        <v>8</v>
      </c>
      <c r="Y11" s="3033"/>
      <c r="Z11" s="3033"/>
      <c r="AA11" s="3033"/>
      <c r="AB11" s="3015">
        <v>97.786365556312319</v>
      </c>
      <c r="AC11" s="3015">
        <v>98.914549653579684</v>
      </c>
      <c r="AD11" s="3015">
        <v>96.642958748221901</v>
      </c>
      <c r="AE11" s="3015">
        <v>97.76</v>
      </c>
      <c r="AF11" s="3015">
        <v>98.050458715596335</v>
      </c>
      <c r="AG11" s="3015">
        <v>97.541729893778452</v>
      </c>
      <c r="AH11" s="3015">
        <v>98.427876823338735</v>
      </c>
      <c r="AI11" s="3015">
        <v>97.583333333333329</v>
      </c>
      <c r="AJ11" s="3015">
        <v>97.206851119894594</v>
      </c>
      <c r="AK11" s="3015">
        <v>97.896440129449843</v>
      </c>
      <c r="AL11" s="3015">
        <v>98.072968490878935</v>
      </c>
      <c r="AM11" s="3015">
        <v>98.131672597864764</v>
      </c>
      <c r="AN11" s="3015">
        <v>97.20754716981132</v>
      </c>
    </row>
    <row r="12" spans="1:60" x14ac:dyDescent="0.55000000000000004">
      <c r="A12" s="7561"/>
      <c r="B12" s="2493" t="s">
        <v>296</v>
      </c>
      <c r="C12" s="2493"/>
      <c r="D12" s="3026" cm="1">
        <f t="array" aca="1" ref="D12" ca="1">INDIRECT("'※ 기타지표 세부데이터'!"&amp;D$1&amp;$X12, TRUE)</f>
        <v>98.53148159899979</v>
      </c>
      <c r="E12" s="3026" cm="1">
        <f t="array" aca="1" ref="E12" ca="1">INDIRECT("'※ 기타지표 세부데이터'!"&amp;E$1&amp;$X12, TRUE)</f>
        <v>97.183333333333337</v>
      </c>
      <c r="F12" s="3027" cm="1">
        <f t="array" aca="1" ref="F12" ca="1">INDIRECT("'※ 기타지표 세부데이터'!"&amp;F$1&amp;$X12, TRUE)</f>
        <v>98.6</v>
      </c>
      <c r="G12" s="3028" cm="1">
        <f t="array" aca="1" ref="G12" ca="1">INDIRECT("'※ 기타지표 세부데이터'!"&amp;G$1&amp;$X12, TRUE)</f>
        <v>97.1</v>
      </c>
      <c r="H12" s="3028" cm="1">
        <f t="array" aca="1" ref="H12" ca="1">INDIRECT("'※ 기타지표 세부데이터'!"&amp;H$1&amp;$X12, TRUE)</f>
        <v>98.2</v>
      </c>
      <c r="I12" s="3028" cm="1">
        <f t="array" aca="1" ref="I12" ca="1">INDIRECT("'※ 기타지표 세부데이터'!"&amp;I$1&amp;$X12, TRUE)</f>
        <v>97.7</v>
      </c>
      <c r="J12" s="3028" cm="1">
        <f t="array" aca="1" ref="J12" ca="1">INDIRECT("'※ 기타지표 세부데이터'!"&amp;J$1&amp;$X12, TRUE)</f>
        <v>98</v>
      </c>
      <c r="K12" s="3028" cm="1">
        <f t="array" aca="1" ref="K12" ca="1">INDIRECT("'※ 기타지표 세부데이터'!"&amp;K$1&amp;$X12, TRUE)</f>
        <v>97.8</v>
      </c>
      <c r="L12" s="3028" cm="1">
        <f t="array" aca="1" ref="L12" ca="1">INDIRECT("'※ 기타지표 세부데이터'!"&amp;L$1&amp;$X12, TRUE)</f>
        <v>98.2</v>
      </c>
      <c r="M12" s="3028" cm="1">
        <f t="array" aca="1" ref="M12" ca="1">INDIRECT("'※ 기타지표 세부데이터'!"&amp;M$1&amp;$X12, TRUE)</f>
        <v>98.6</v>
      </c>
      <c r="N12" s="3028" cm="1">
        <f t="array" aca="1" ref="N12" ca="1">INDIRECT("'※ 기타지표 세부데이터'!"&amp;N$1&amp;$X12, TRUE)</f>
        <v>96.4</v>
      </c>
      <c r="O12" s="3028" cm="1">
        <f t="array" aca="1" ref="O12" ca="1">INDIRECT("'※ 기타지표 세부데이터'!"&amp;O$1&amp;$X12, TRUE)</f>
        <v>97.6</v>
      </c>
      <c r="P12" s="3028" cm="1">
        <f t="array" aca="1" ref="P12" ca="1">INDIRECT("'※ 기타지표 세부데이터'!"&amp;P$1&amp;$X12, TRUE)</f>
        <v>98.5</v>
      </c>
      <c r="Q12" s="3028" cm="1">
        <f t="array" aca="1" ref="Q12" ca="1">INDIRECT("'※ 기타지표 세부데이터'!"&amp;Q$1&amp;$X12, TRUE)</f>
        <v>98.8</v>
      </c>
      <c r="R12" s="2499" cm="1">
        <f t="array" aca="1" ref="R12" ca="1">INDIRECT("'※ 기타지표 세부데이터'!"&amp;R$1&amp;$X12, TRUE)</f>
        <v>0.5</v>
      </c>
      <c r="S12" s="3029" cm="1">
        <f t="array" aca="1" ref="S12" ca="1">INDIRECT("'※ 기타지표 세부데이터'!"&amp;S$1&amp;$X12, TRUE)</f>
        <v>-0.10000000000000853</v>
      </c>
      <c r="T12" s="3030" cm="1">
        <f t="array" aca="1" ref="T12" ca="1">INDIRECT("'※ 기타지표 세부데이터'!"&amp;T$1&amp;$X12, TRUE)</f>
        <v>97.958333333333329</v>
      </c>
      <c r="U12" s="2500" cm="1">
        <f t="array" aca="1" ref="U12" ca="1">INDIRECT("'※ 기타지표 세부데이터'!"&amp;U$1&amp;$X12, TRUE)</f>
        <v>0.77499999999999147</v>
      </c>
      <c r="V12" s="3031" cm="1">
        <f t="array" aca="1" ref="V12" ca="1">INDIRECT("'※ 기타지표 세부데이터'!"&amp;V$1&amp;$X12, TRUE)</f>
        <v>97.958333333333329</v>
      </c>
      <c r="W12" s="3032" cm="1">
        <f t="array" aca="1" ref="W12" ca="1">INDIRECT("'※ 기타지표 세부데이터'!"&amp;W$1&amp;$X12, TRUE)</f>
        <v>0.77499999999999147</v>
      </c>
      <c r="X12" s="3002">
        <f>ROW('※ 기타지표 세부데이터'!J9)</f>
        <v>9</v>
      </c>
      <c r="Y12" s="3033"/>
      <c r="Z12" s="3033"/>
      <c r="AA12" s="3033"/>
      <c r="AB12" s="3015">
        <v>98.53148159899979</v>
      </c>
      <c r="AC12" s="3015">
        <v>98.876080691642656</v>
      </c>
      <c r="AD12" s="3015">
        <v>99.034369885433719</v>
      </c>
      <c r="AE12" s="3015">
        <v>98.919491525423723</v>
      </c>
      <c r="AF12" s="3015">
        <v>98.297872340425528</v>
      </c>
      <c r="AG12" s="3015">
        <v>98.158319870759286</v>
      </c>
      <c r="AH12" s="3015">
        <v>98.760162601626021</v>
      </c>
      <c r="AI12" s="3015">
        <v>98.615384615384613</v>
      </c>
      <c r="AJ12" s="3015">
        <v>98.415545590433481</v>
      </c>
      <c r="AK12" s="3015">
        <v>98.903654485049827</v>
      </c>
      <c r="AL12" s="3015">
        <v>96.861460957178835</v>
      </c>
      <c r="AM12" s="3015">
        <v>99.396092362344589</v>
      </c>
      <c r="AN12" s="3015">
        <v>98.139344262295083</v>
      </c>
    </row>
    <row r="13" spans="1:60" x14ac:dyDescent="0.55000000000000004">
      <c r="A13" s="7561"/>
      <c r="B13" s="2493" t="s">
        <v>297</v>
      </c>
      <c r="C13" s="3033"/>
      <c r="D13" s="3026" cm="1">
        <f t="array" aca="1" ref="D13" ca="1">INDIRECT("'※ 기타지표 세부데이터'!"&amp;D$1&amp;$X13, TRUE)</f>
        <v>98.88991512061375</v>
      </c>
      <c r="E13" s="3026" cm="1">
        <f t="array" aca="1" ref="E13" ca="1">INDIRECT("'※ 기타지표 세부데이터'!"&amp;E$1&amp;$X13, TRUE)</f>
        <v>97.333333333333329</v>
      </c>
      <c r="F13" s="3027" cm="1">
        <f t="array" aca="1" ref="F13" ca="1">INDIRECT("'※ 기타지표 세부데이터'!"&amp;F$1&amp;$X13, TRUE)</f>
        <v>98.4</v>
      </c>
      <c r="G13" s="3028" cm="1">
        <f t="array" aca="1" ref="G13" ca="1">INDIRECT("'※ 기타지표 세부데이터'!"&amp;G$1&amp;$X13, TRUE)</f>
        <v>98.1</v>
      </c>
      <c r="H13" s="3028" cm="1">
        <f t="array" aca="1" ref="H13" ca="1">INDIRECT("'※ 기타지표 세부데이터'!"&amp;H$1&amp;$X13, TRUE)</f>
        <v>98.7</v>
      </c>
      <c r="I13" s="3028" cm="1">
        <f t="array" aca="1" ref="I13" ca="1">INDIRECT("'※ 기타지표 세부데이터'!"&amp;I$1&amp;$X13, TRUE)</f>
        <v>98.4</v>
      </c>
      <c r="J13" s="3028" cm="1">
        <f t="array" aca="1" ref="J13" ca="1">INDIRECT("'※ 기타지표 세부데이터'!"&amp;J$1&amp;$X13, TRUE)</f>
        <v>98.7</v>
      </c>
      <c r="K13" s="3028" cm="1">
        <f t="array" aca="1" ref="K13" ca="1">INDIRECT("'※ 기타지표 세부데이터'!"&amp;K$1&amp;$X13, TRUE)</f>
        <v>97.9</v>
      </c>
      <c r="L13" s="3028" cm="1">
        <f t="array" aca="1" ref="L13" ca="1">INDIRECT("'※ 기타지표 세부데이터'!"&amp;L$1&amp;$X13, TRUE)</f>
        <v>98.9</v>
      </c>
      <c r="M13" s="3028" cm="1">
        <f t="array" aca="1" ref="M13" ca="1">INDIRECT("'※ 기타지표 세부데이터'!"&amp;M$1&amp;$X13, TRUE)</f>
        <v>98.4</v>
      </c>
      <c r="N13" s="3028" cm="1">
        <f t="array" aca="1" ref="N13" ca="1">INDIRECT("'※ 기타지표 세부데이터'!"&amp;N$1&amp;$X13, TRUE)</f>
        <v>98.1</v>
      </c>
      <c r="O13" s="3028" cm="1">
        <f t="array" aca="1" ref="O13" ca="1">INDIRECT("'※ 기타지표 세부데이터'!"&amp;O$1&amp;$X13, TRUE)</f>
        <v>98.4</v>
      </c>
      <c r="P13" s="3028" cm="1">
        <f t="array" aca="1" ref="P13" ca="1">INDIRECT("'※ 기타지표 세부데이터'!"&amp;P$1&amp;$X13, TRUE)</f>
        <v>97.8</v>
      </c>
      <c r="Q13" s="3028" cm="1">
        <f t="array" aca="1" ref="Q13" ca="1">INDIRECT("'※ 기타지표 세부데이터'!"&amp;Q$1&amp;$X13, TRUE)</f>
        <v>98.3</v>
      </c>
      <c r="R13" s="2499" cm="1">
        <f t="array" aca="1" ref="R13" ca="1">INDIRECT("'※ 기타지표 세부데이터'!"&amp;R$1&amp;$X13, TRUE)</f>
        <v>-0.5</v>
      </c>
      <c r="S13" s="3029" cm="1">
        <f t="array" aca="1" ref="S13" ca="1">INDIRECT("'※ 기타지표 세부데이터'!"&amp;S$1&amp;$X13, TRUE)</f>
        <v>-0.5</v>
      </c>
      <c r="T13" s="3030" cm="1">
        <f t="array" aca="1" ref="T13" ca="1">INDIRECT("'※ 기타지표 세부데이터'!"&amp;T$1&amp;$X13, TRUE)</f>
        <v>98.341666666666654</v>
      </c>
      <c r="U13" s="2500" cm="1">
        <f t="array" aca="1" ref="U13" ca="1">INDIRECT("'※ 기타지표 세부데이터'!"&amp;U$1&amp;$X13, TRUE)</f>
        <v>1.0083333333333258</v>
      </c>
      <c r="V13" s="3031" cm="1">
        <f t="array" aca="1" ref="V13" ca="1">INDIRECT("'※ 기타지표 세부데이터'!"&amp;V$1&amp;$X13, TRUE)</f>
        <v>98.341666666666654</v>
      </c>
      <c r="W13" s="3032" cm="1">
        <f t="array" aca="1" ref="W13" ca="1">INDIRECT("'※ 기타지표 세부데이터'!"&amp;W$1&amp;$X13, TRUE)</f>
        <v>1.0083333333333258</v>
      </c>
      <c r="X13" s="3002">
        <f>ROW('※ 기타지표 세부데이터'!J10)</f>
        <v>10</v>
      </c>
      <c r="Y13" s="3033"/>
      <c r="Z13" s="3033"/>
      <c r="AA13" s="3033"/>
      <c r="AB13" s="3015">
        <v>98.88991512061375</v>
      </c>
      <c r="AC13" s="3015">
        <v>98.793103448275858</v>
      </c>
      <c r="AD13" s="3015">
        <v>98.857493857493864</v>
      </c>
      <c r="AE13" s="3015">
        <v>99.157212317666122</v>
      </c>
      <c r="AF13" s="3015">
        <v>98.637873754152821</v>
      </c>
      <c r="AG13" s="3015">
        <v>98.585485854858547</v>
      </c>
      <c r="AH13" s="3015">
        <v>98.995633187772924</v>
      </c>
      <c r="AI13" s="3015">
        <v>99.194187582562748</v>
      </c>
      <c r="AJ13" s="3015">
        <v>98.638373121131735</v>
      </c>
      <c r="AK13" s="3015">
        <v>99.009009009009006</v>
      </c>
      <c r="AL13" s="3015">
        <v>99.034207525655646</v>
      </c>
      <c r="AM13" s="3015">
        <v>99.318885448916404</v>
      </c>
      <c r="AN13" s="3015">
        <v>98.457516339869287</v>
      </c>
    </row>
    <row r="14" spans="1:60" x14ac:dyDescent="0.55000000000000004">
      <c r="A14" s="7561"/>
      <c r="B14" s="2493" t="s">
        <v>298</v>
      </c>
      <c r="C14" s="3033"/>
      <c r="D14" s="3026" cm="1">
        <f t="array" aca="1" ref="D14" ca="1">INDIRECT("'※ 기타지표 세부데이터'!"&amp;D$1&amp;$X14, TRUE)</f>
        <v>99.47116495250674</v>
      </c>
      <c r="E14" s="3026" cm="1">
        <f t="array" aca="1" ref="E14" ca="1">INDIRECT("'※ 기타지표 세부데이터'!"&amp;E$1&amp;$X14, TRUE)</f>
        <v>98.40833333333336</v>
      </c>
      <c r="F14" s="3027" cm="1">
        <f t="array" aca="1" ref="F14" ca="1">INDIRECT("'※ 기타지표 세부데이터'!"&amp;F$1&amp;$X14, TRUE)</f>
        <v>98.9</v>
      </c>
      <c r="G14" s="3028" cm="1">
        <f t="array" aca="1" ref="G14" ca="1">INDIRECT("'※ 기타지표 세부데이터'!"&amp;G$1&amp;$X14, TRUE)</f>
        <v>99.4</v>
      </c>
      <c r="H14" s="3028" cm="1">
        <f t="array" aca="1" ref="H14" ca="1">INDIRECT("'※ 기타지표 세부데이터'!"&amp;H$1&amp;$X14, TRUE)</f>
        <v>98.7</v>
      </c>
      <c r="I14" s="3028" cm="1">
        <f t="array" aca="1" ref="I14" ca="1">INDIRECT("'※ 기타지표 세부데이터'!"&amp;I$1&amp;$X14, TRUE)</f>
        <v>99.2</v>
      </c>
      <c r="J14" s="3028" cm="1">
        <f t="array" aca="1" ref="J14" ca="1">INDIRECT("'※ 기타지표 세부데이터'!"&amp;J$1&amp;$X14, TRUE)</f>
        <v>98.1</v>
      </c>
      <c r="K14" s="3028" cm="1">
        <f t="array" aca="1" ref="K14" ca="1">INDIRECT("'※ 기타지표 세부데이터'!"&amp;K$1&amp;$X14, TRUE)</f>
        <v>98.8</v>
      </c>
      <c r="L14" s="3028" cm="1">
        <f t="array" aca="1" ref="L14" ca="1">INDIRECT("'※ 기타지표 세부데이터'!"&amp;L$1&amp;$X14, TRUE)</f>
        <v>98.8</v>
      </c>
      <c r="M14" s="3028" cm="1">
        <f t="array" aca="1" ref="M14" ca="1">INDIRECT("'※ 기타지표 세부데이터'!"&amp;M$1&amp;$X14, TRUE)</f>
        <v>99.3</v>
      </c>
      <c r="N14" s="3028" cm="1">
        <f t="array" aca="1" ref="N14" ca="1">INDIRECT("'※ 기타지표 세부데이터'!"&amp;N$1&amp;$X14, TRUE)</f>
        <v>98.9</v>
      </c>
      <c r="O14" s="3028" cm="1">
        <f t="array" aca="1" ref="O14" ca="1">INDIRECT("'※ 기타지표 세부데이터'!"&amp;O$1&amp;$X14, TRUE)</f>
        <v>99</v>
      </c>
      <c r="P14" s="3028" cm="1">
        <f t="array" aca="1" ref="P14" ca="1">INDIRECT("'※ 기타지표 세부데이터'!"&amp;P$1&amp;$X14, TRUE)</f>
        <v>99.4</v>
      </c>
      <c r="Q14" s="3028" cm="1">
        <f t="array" aca="1" ref="Q14" ca="1">INDIRECT("'※ 기타지표 세부데이터'!"&amp;Q$1&amp;$X14, TRUE)</f>
        <v>98.9</v>
      </c>
      <c r="R14" s="2499" cm="1">
        <f t="array" aca="1" ref="R14" ca="1">INDIRECT("'※ 기타지표 세부데이터'!"&amp;R$1&amp;$X14, TRUE)</f>
        <v>0.79999999999999716</v>
      </c>
      <c r="S14" s="3029" cm="1">
        <f t="array" aca="1" ref="S14" ca="1">INDIRECT("'※ 기타지표 세부데이터'!"&amp;S$1&amp;$X14, TRUE)</f>
        <v>0.20000000000000284</v>
      </c>
      <c r="T14" s="3030" cm="1">
        <f t="array" aca="1" ref="T14" ca="1">INDIRECT("'※ 기타지표 세부데이터'!"&amp;T$1&amp;$X14, TRUE)</f>
        <v>98.949999999999989</v>
      </c>
      <c r="U14" s="2500" cm="1">
        <f t="array" aca="1" ref="U14" ca="1">INDIRECT("'※ 기타지표 세부데이터'!"&amp;U$1&amp;$X14, TRUE)</f>
        <v>0.54166666666662877</v>
      </c>
      <c r="V14" s="3031" cm="1">
        <f t="array" aca="1" ref="V14" ca="1">INDIRECT("'※ 기타지표 세부데이터'!"&amp;V$1&amp;$X14, TRUE)</f>
        <v>98.949999999999989</v>
      </c>
      <c r="W14" s="3032" cm="1">
        <f t="array" aca="1" ref="W14" ca="1">INDIRECT("'※ 기타지표 세부데이터'!"&amp;W$1&amp;$X14, TRUE)</f>
        <v>0.54166666666662877</v>
      </c>
      <c r="X14" s="3002">
        <f>ROW('※ 기타지표 세부데이터'!J11)</f>
        <v>11</v>
      </c>
      <c r="Y14" s="3033"/>
      <c r="Z14" s="3033"/>
      <c r="AA14" s="3033"/>
      <c r="AB14" s="3015">
        <v>99.47116495250674</v>
      </c>
      <c r="AC14" s="3015">
        <v>99.468599033816432</v>
      </c>
      <c r="AD14" s="3015">
        <v>99.258181818181825</v>
      </c>
      <c r="AE14" s="3015">
        <v>99.50629235237173</v>
      </c>
      <c r="AF14" s="3015">
        <v>99.537037037037038</v>
      </c>
      <c r="AG14" s="3015">
        <v>99.576271186440678</v>
      </c>
      <c r="AH14" s="3015">
        <v>99.444891391794044</v>
      </c>
      <c r="AI14" s="3015">
        <v>99.401778496362169</v>
      </c>
      <c r="AJ14" s="3015">
        <v>99.450171821305844</v>
      </c>
      <c r="AK14" s="3015">
        <v>99.572107765451662</v>
      </c>
      <c r="AL14" s="3015">
        <v>99.455319148936169</v>
      </c>
      <c r="AM14" s="3015">
        <v>99.694319880418533</v>
      </c>
      <c r="AN14" s="3015">
        <v>99.289009497964727</v>
      </c>
    </row>
    <row r="15" spans="1:60" x14ac:dyDescent="0.55000000000000004">
      <c r="A15" s="7561"/>
      <c r="B15" s="2493" t="s">
        <v>299</v>
      </c>
      <c r="C15" s="3033"/>
      <c r="D15" s="3026" cm="1">
        <f t="array" aca="1" ref="D15" ca="1">INDIRECT("'※ 기타지표 세부데이터'!"&amp;D$1&amp;$X15, TRUE)</f>
        <v>98.302352843224526</v>
      </c>
      <c r="E15" s="3026" cm="1">
        <f t="array" aca="1" ref="E15" ca="1">INDIRECT("'※ 기타지표 세부데이터'!"&amp;E$1&amp;$X15, TRUE)</f>
        <v>97.225000000000009</v>
      </c>
      <c r="F15" s="3027" cm="1">
        <f t="array" aca="1" ref="F15" ca="1">INDIRECT("'※ 기타지표 세부데이터'!"&amp;F$1&amp;$X15, TRUE)</f>
        <v>97.6</v>
      </c>
      <c r="G15" s="3028" cm="1">
        <f t="array" aca="1" ref="G15" ca="1">INDIRECT("'※ 기타지표 세부데이터'!"&amp;G$1&amp;$X15, TRUE)</f>
        <v>98.3</v>
      </c>
      <c r="H15" s="3028" cm="1">
        <f t="array" aca="1" ref="H15" ca="1">INDIRECT("'※ 기타지표 세부데이터'!"&amp;H$1&amp;$X15, TRUE)</f>
        <v>98.1</v>
      </c>
      <c r="I15" s="3028" cm="1">
        <f t="array" aca="1" ref="I15" ca="1">INDIRECT("'※ 기타지표 세부데이터'!"&amp;I$1&amp;$X15, TRUE)</f>
        <v>98.7</v>
      </c>
      <c r="J15" s="3028" cm="1">
        <f t="array" aca="1" ref="J15" ca="1">INDIRECT("'※ 기타지표 세부데이터'!"&amp;J$1&amp;$X15, TRUE)</f>
        <v>98.4</v>
      </c>
      <c r="K15" s="3028" cm="1">
        <f t="array" aca="1" ref="K15" ca="1">INDIRECT("'※ 기타지표 세부데이터'!"&amp;K$1&amp;$X15, TRUE)</f>
        <v>98.2</v>
      </c>
      <c r="L15" s="3028" cm="1">
        <f t="array" aca="1" ref="L15" ca="1">INDIRECT("'※ 기타지표 세부데이터'!"&amp;L$1&amp;$X15, TRUE)</f>
        <v>98.5</v>
      </c>
      <c r="M15" s="3028" cm="1">
        <f t="array" aca="1" ref="M15" ca="1">INDIRECT("'※ 기타지표 세부데이터'!"&amp;M$1&amp;$X15, TRUE)</f>
        <v>98.1</v>
      </c>
      <c r="N15" s="3028" cm="1">
        <f t="array" aca="1" ref="N15" ca="1">INDIRECT("'※ 기타지표 세부데이터'!"&amp;N$1&amp;$X15, TRUE)</f>
        <v>97.7</v>
      </c>
      <c r="O15" s="3028" cm="1">
        <f t="array" aca="1" ref="O15" ca="1">INDIRECT("'※ 기타지표 세부데이터'!"&amp;O$1&amp;$X15, TRUE)</f>
        <v>97.5</v>
      </c>
      <c r="P15" s="3028" cm="1">
        <f t="array" aca="1" ref="P15" ca="1">INDIRECT("'※ 기타지표 세부데이터'!"&amp;P$1&amp;$X15, TRUE)</f>
        <v>98</v>
      </c>
      <c r="Q15" s="3028" cm="1">
        <f t="array" aca="1" ref="Q15" ca="1">INDIRECT("'※ 기타지표 세부데이터'!"&amp;Q$1&amp;$X15, TRUE)</f>
        <v>98.8</v>
      </c>
      <c r="R15" s="2499" cm="1">
        <f t="array" aca="1" ref="R15" ca="1">INDIRECT("'※ 기타지표 세부데이터'!"&amp;R$1&amp;$X15, TRUE)</f>
        <v>0.40000000000000568</v>
      </c>
      <c r="S15" s="3029" cm="1">
        <f t="array" aca="1" ref="S15" ca="1">INDIRECT("'※ 기타지표 세부데이터'!"&amp;S$1&amp;$X15, TRUE)</f>
        <v>0.39999999999999147</v>
      </c>
      <c r="T15" s="3030" cm="1">
        <f t="array" aca="1" ref="T15" ca="1">INDIRECT("'※ 기타지표 세부데이터'!"&amp;T$1&amp;$X15, TRUE)</f>
        <v>98.158333333333346</v>
      </c>
      <c r="U15" s="2500" cm="1">
        <f t="array" aca="1" ref="U15" ca="1">INDIRECT("'※ 기타지표 세부데이터'!"&amp;U$1&amp;$X15, TRUE)</f>
        <v>0.93333333333333712</v>
      </c>
      <c r="V15" s="3031" cm="1">
        <f t="array" aca="1" ref="V15" ca="1">INDIRECT("'※ 기타지표 세부데이터'!"&amp;V$1&amp;$X15, TRUE)</f>
        <v>98.158333333333346</v>
      </c>
      <c r="W15" s="3032" cm="1">
        <f t="array" aca="1" ref="W15" ca="1">INDIRECT("'※ 기타지표 세부데이터'!"&amp;W$1&amp;$X15, TRUE)</f>
        <v>0.93333333333333712</v>
      </c>
      <c r="X15" s="3002">
        <f>ROW('※ 기타지표 세부데이터'!J12)</f>
        <v>12</v>
      </c>
      <c r="Y15" s="3033"/>
      <c r="Z15" s="3033"/>
      <c r="AA15" s="3033"/>
      <c r="AB15" s="3015">
        <v>98.302352843224526</v>
      </c>
      <c r="AC15" s="3015">
        <v>98.508287292817684</v>
      </c>
      <c r="AD15" s="3015">
        <v>97.517146776406037</v>
      </c>
      <c r="AE15" s="3015">
        <v>98.606811145510832</v>
      </c>
      <c r="AF15" s="3015">
        <v>98.764705882352942</v>
      </c>
      <c r="AG15" s="3015">
        <v>98.297872340425528</v>
      </c>
      <c r="AH15" s="3015">
        <v>98.414814814814818</v>
      </c>
      <c r="AI15" s="3015">
        <v>97.917448405253282</v>
      </c>
      <c r="AJ15" s="3015">
        <v>97.006060606060601</v>
      </c>
      <c r="AK15" s="3015">
        <v>98.70069605568446</v>
      </c>
      <c r="AL15" s="3015">
        <v>98.941031941031937</v>
      </c>
      <c r="AM15" s="3015">
        <v>99.071005917159766</v>
      </c>
      <c r="AN15" s="3015">
        <v>97.882352941176464</v>
      </c>
    </row>
    <row r="16" spans="1:60" x14ac:dyDescent="0.55000000000000004">
      <c r="A16" s="7561"/>
      <c r="B16" s="2493" t="s">
        <v>300</v>
      </c>
      <c r="C16" s="3033"/>
      <c r="D16" s="3026" cm="1">
        <f t="array" aca="1" ref="D16" ca="1">INDIRECT("'※ 기타지표 세부데이터'!"&amp;D$1&amp;$X16, TRUE)</f>
        <v>97.869736963094581</v>
      </c>
      <c r="E16" s="3026" cm="1">
        <f t="array" aca="1" ref="E16" ca="1">INDIRECT("'※ 기타지표 세부데이터'!"&amp;E$1&amp;$X16, TRUE)</f>
        <v>97.183333333333323</v>
      </c>
      <c r="F16" s="3027" cm="1">
        <f t="array" aca="1" ref="F16" ca="1">INDIRECT("'※ 기타지표 세부데이터'!"&amp;F$1&amp;$X16, TRUE)</f>
        <v>98.5</v>
      </c>
      <c r="G16" s="3028" cm="1">
        <f t="array" aca="1" ref="G16" ca="1">INDIRECT("'※ 기타지표 세부데이터'!"&amp;G$1&amp;$X16, TRUE)</f>
        <v>98.3</v>
      </c>
      <c r="H16" s="3028" cm="1">
        <f t="array" aca="1" ref="H16" ca="1">INDIRECT("'※ 기타지표 세부데이터'!"&amp;H$1&amp;$X16, TRUE)</f>
        <v>98.1</v>
      </c>
      <c r="I16" s="3028" cm="1">
        <f t="array" aca="1" ref="I16" ca="1">INDIRECT("'※ 기타지표 세부데이터'!"&amp;I$1&amp;$X16, TRUE)</f>
        <v>98.4</v>
      </c>
      <c r="J16" s="3028" cm="1">
        <f t="array" aca="1" ref="J16" ca="1">INDIRECT("'※ 기타지표 세부데이터'!"&amp;J$1&amp;$X16, TRUE)</f>
        <v>98.3</v>
      </c>
      <c r="K16" s="3028" cm="1">
        <f t="array" aca="1" ref="K16" ca="1">INDIRECT("'※ 기타지표 세부데이터'!"&amp;K$1&amp;$X16, TRUE)</f>
        <v>98.9</v>
      </c>
      <c r="L16" s="3028" cm="1">
        <f t="array" aca="1" ref="L16" ca="1">INDIRECT("'※ 기타지표 세부데이터'!"&amp;L$1&amp;$X16, TRUE)</f>
        <v>98.2</v>
      </c>
      <c r="M16" s="3028" cm="1">
        <f t="array" aca="1" ref="M16" ca="1">INDIRECT("'※ 기타지표 세부데이터'!"&amp;M$1&amp;$X16, TRUE)</f>
        <v>97.8</v>
      </c>
      <c r="N16" s="3028" cm="1">
        <f t="array" aca="1" ref="N16" ca="1">INDIRECT("'※ 기타지표 세부데이터'!"&amp;N$1&amp;$X16, TRUE)</f>
        <v>97.8</v>
      </c>
      <c r="O16" s="3028" cm="1">
        <f t="array" aca="1" ref="O16" ca="1">INDIRECT("'※ 기타지표 세부데이터'!"&amp;O$1&amp;$X16, TRUE)</f>
        <v>97.6</v>
      </c>
      <c r="P16" s="3028" cm="1">
        <f t="array" aca="1" ref="P16" ca="1">INDIRECT("'※ 기타지표 세부데이터'!"&amp;P$1&amp;$X16, TRUE)</f>
        <v>98.5</v>
      </c>
      <c r="Q16" s="3028" cm="1">
        <f t="array" aca="1" ref="Q16" ca="1">INDIRECT("'※ 기타지표 세부데이터'!"&amp;Q$1&amp;$X16, TRUE)</f>
        <v>98.9</v>
      </c>
      <c r="R16" s="2499" cm="1">
        <f t="array" aca="1" ref="R16" ca="1">INDIRECT("'※ 기타지표 세부데이터'!"&amp;R$1&amp;$X16, TRUE)</f>
        <v>0.70000000000000284</v>
      </c>
      <c r="S16" s="3029" cm="1">
        <f t="array" aca="1" ref="S16" ca="1">INDIRECT("'※ 기타지표 세부데이터'!"&amp;S$1&amp;$X16, TRUE)</f>
        <v>0.20000000000000284</v>
      </c>
      <c r="T16" s="3030" cm="1">
        <f t="array" aca="1" ref="T16" ca="1">INDIRECT("'※ 기타지표 세부데이터'!"&amp;T$1&amp;$X16, TRUE)</f>
        <v>98.27500000000002</v>
      </c>
      <c r="U16" s="2500" cm="1">
        <f t="array" aca="1" ref="U16" ca="1">INDIRECT("'※ 기타지표 세부데이터'!"&amp;U$1&amp;$X16, TRUE)</f>
        <v>1.091666666666697</v>
      </c>
      <c r="V16" s="3031" cm="1">
        <f t="array" aca="1" ref="V16" ca="1">INDIRECT("'※ 기타지표 세부데이터'!"&amp;V$1&amp;$X16, TRUE)</f>
        <v>98.27500000000002</v>
      </c>
      <c r="W16" s="3032" cm="1">
        <f t="array" aca="1" ref="W16" ca="1">INDIRECT("'※ 기타지표 세부데이터'!"&amp;W$1&amp;$X16, TRUE)</f>
        <v>1.091666666666697</v>
      </c>
      <c r="X16" s="3002">
        <f>ROW('※ 기타지표 세부데이터'!J13)</f>
        <v>13</v>
      </c>
      <c r="Y16" s="3033"/>
      <c r="Z16" s="3033"/>
      <c r="AA16" s="3033"/>
      <c r="AB16" s="3015">
        <v>97.869736963094581</v>
      </c>
      <c r="AC16" s="3015">
        <v>98.8</v>
      </c>
      <c r="AD16" s="3015">
        <v>96.499517839922859</v>
      </c>
      <c r="AE16" s="3015">
        <v>98.799149840595106</v>
      </c>
      <c r="AF16" s="3015">
        <v>98.739054290718045</v>
      </c>
      <c r="AG16" s="3015">
        <v>97.729789590254711</v>
      </c>
      <c r="AH16" s="3015">
        <v>97.975308641975303</v>
      </c>
      <c r="AI16" s="3015">
        <v>97.875968992248062</v>
      </c>
      <c r="AJ16" s="3015">
        <v>95.056320400500624</v>
      </c>
      <c r="AK16" s="3015">
        <v>97.376237623762378</v>
      </c>
      <c r="AL16" s="3015">
        <v>98.135294117647064</v>
      </c>
      <c r="AM16" s="3015">
        <v>99.414959928762244</v>
      </c>
      <c r="AN16" s="3015">
        <v>98.035242290748897</v>
      </c>
    </row>
    <row r="17" spans="1:40" x14ac:dyDescent="0.55000000000000004">
      <c r="A17" s="7561"/>
      <c r="B17" s="2493" t="s">
        <v>301</v>
      </c>
      <c r="C17" s="3033"/>
      <c r="D17" s="3026" cm="1">
        <f t="array" aca="1" ref="D17" ca="1">INDIRECT("'※ 기타지표 세부데이터'!"&amp;D$1&amp;$X17, TRUE)</f>
        <v>98.01588101932704</v>
      </c>
      <c r="E17" s="3026" cm="1">
        <f t="array" aca="1" ref="E17" ca="1">INDIRECT("'※ 기타지표 세부데이터'!"&amp;E$1&amp;$X17, TRUE)</f>
        <v>97.55</v>
      </c>
      <c r="F17" s="3027" cm="1">
        <f t="array" aca="1" ref="F17" ca="1">INDIRECT("'※ 기타지표 세부데이터'!"&amp;F$1&amp;$X17, TRUE)</f>
        <v>98.1</v>
      </c>
      <c r="G17" s="3028" cm="1">
        <f t="array" aca="1" ref="G17" ca="1">INDIRECT("'※ 기타지표 세부데이터'!"&amp;G$1&amp;$X17, TRUE)</f>
        <v>98</v>
      </c>
      <c r="H17" s="3028" cm="1">
        <f t="array" aca="1" ref="H17" ca="1">INDIRECT("'※ 기타지표 세부데이터'!"&amp;H$1&amp;$X17, TRUE)</f>
        <v>98.4</v>
      </c>
      <c r="I17" s="3028" cm="1">
        <f t="array" aca="1" ref="I17" ca="1">INDIRECT("'※ 기타지표 세부데이터'!"&amp;I$1&amp;$X17, TRUE)</f>
        <v>98.8</v>
      </c>
      <c r="J17" s="3028" cm="1">
        <f t="array" aca="1" ref="J17" ca="1">INDIRECT("'※ 기타지표 세부데이터'!"&amp;J$1&amp;$X17, TRUE)</f>
        <v>97.6</v>
      </c>
      <c r="K17" s="3028" cm="1">
        <f t="array" aca="1" ref="K17" ca="1">INDIRECT("'※ 기타지표 세부데이터'!"&amp;K$1&amp;$X17, TRUE)</f>
        <v>98.3</v>
      </c>
      <c r="L17" s="3028" cm="1">
        <f t="array" aca="1" ref="L17" ca="1">INDIRECT("'※ 기타지표 세부데이터'!"&amp;L$1&amp;$X17, TRUE)</f>
        <v>98.1</v>
      </c>
      <c r="M17" s="3028" cm="1">
        <f t="array" aca="1" ref="M17" ca="1">INDIRECT("'※ 기타지표 세부데이터'!"&amp;M$1&amp;$X17, TRUE)</f>
        <v>98.1</v>
      </c>
      <c r="N17" s="3028" cm="1">
        <f t="array" aca="1" ref="N17" ca="1">INDIRECT("'※ 기타지표 세부데이터'!"&amp;N$1&amp;$X17, TRUE)</f>
        <v>98.1</v>
      </c>
      <c r="O17" s="3028" cm="1">
        <f t="array" aca="1" ref="O17" ca="1">INDIRECT("'※ 기타지표 세부데이터'!"&amp;O$1&amp;$X17, TRUE)</f>
        <v>97.9</v>
      </c>
      <c r="P17" s="3028" cm="1">
        <f t="array" aca="1" ref="P17" ca="1">INDIRECT("'※ 기타지표 세부데이터'!"&amp;P$1&amp;$X17, TRUE)</f>
        <v>98</v>
      </c>
      <c r="Q17" s="3028" cm="1">
        <f t="array" aca="1" ref="Q17" ca="1">INDIRECT("'※ 기타지표 세부데이터'!"&amp;Q$1&amp;$X17, TRUE)</f>
        <v>98.7</v>
      </c>
      <c r="R17" s="2499" cm="1">
        <f t="array" aca="1" ref="R17" ca="1">INDIRECT("'※ 기타지표 세부데이터'!"&amp;R$1&amp;$X17, TRUE)</f>
        <v>0.10000000000000853</v>
      </c>
      <c r="S17" s="3029" cm="1">
        <f t="array" aca="1" ref="S17" ca="1">INDIRECT("'※ 기타지표 세부데이터'!"&amp;S$1&amp;$X17, TRUE)</f>
        <v>-9.9999999999994316E-2</v>
      </c>
      <c r="T17" s="3030" cm="1">
        <f t="array" aca="1" ref="T17" ca="1">INDIRECT("'※ 기타지표 세부데이터'!"&amp;T$1&amp;$X17, TRUE)</f>
        <v>98.175000000000011</v>
      </c>
      <c r="U17" s="2500" cm="1">
        <f t="array" aca="1" ref="U17" ca="1">INDIRECT("'※ 기타지표 세부데이터'!"&amp;U$1&amp;$X17, TRUE)</f>
        <v>0.62500000000001421</v>
      </c>
      <c r="V17" s="3031" cm="1">
        <f t="array" aca="1" ref="V17" ca="1">INDIRECT("'※ 기타지표 세부데이터'!"&amp;V$1&amp;$X17, TRUE)</f>
        <v>98.175000000000011</v>
      </c>
      <c r="W17" s="3032" cm="1">
        <f t="array" aca="1" ref="W17" ca="1">INDIRECT("'※ 기타지표 세부데이터'!"&amp;W$1&amp;$X17, TRUE)</f>
        <v>0.62500000000001421</v>
      </c>
      <c r="X17" s="3002">
        <f>ROW('※ 기타지표 세부데이터'!J14)</f>
        <v>14</v>
      </c>
      <c r="Y17" s="3033"/>
      <c r="Z17" s="3033"/>
      <c r="AA17" s="3033"/>
      <c r="AB17" s="3015">
        <v>98.01588101932704</v>
      </c>
      <c r="AC17" s="3015">
        <v>98.519924098671723</v>
      </c>
      <c r="AD17" s="3015">
        <v>97.319485657764588</v>
      </c>
      <c r="AE17" s="3015">
        <v>98.428372739916554</v>
      </c>
      <c r="AF17" s="3015">
        <v>98.545150501672239</v>
      </c>
      <c r="AG17" s="3015">
        <v>97.247058823529414</v>
      </c>
      <c r="AH17" s="3015">
        <v>97.776315789473685</v>
      </c>
      <c r="AI17" s="3015">
        <v>97.745098039215691</v>
      </c>
      <c r="AJ17" s="3015">
        <v>96.960580912863065</v>
      </c>
      <c r="AK17" s="3015">
        <v>97.544642857142861</v>
      </c>
      <c r="AL17" s="3015">
        <v>98.978444236176202</v>
      </c>
      <c r="AM17" s="3015">
        <v>99.321794871794879</v>
      </c>
      <c r="AN17" s="3015">
        <v>97.803703703703704</v>
      </c>
    </row>
    <row r="18" spans="1:40" x14ac:dyDescent="0.55000000000000004">
      <c r="A18" s="7561"/>
      <c r="B18" s="2493" t="s">
        <v>302</v>
      </c>
      <c r="C18" s="3033"/>
      <c r="D18" s="3026" cm="1">
        <f t="array" aca="1" ref="D18" ca="1">INDIRECT("'※ 기타지표 세부데이터'!"&amp;D$1&amp;$X18, TRUE)</f>
        <v>98.376403610593059</v>
      </c>
      <c r="E18" s="3026" cm="1">
        <f t="array" aca="1" ref="E18" ca="1">INDIRECT("'※ 기타지표 세부데이터'!"&amp;E$1&amp;$X18, TRUE)</f>
        <v>97.366666666666674</v>
      </c>
      <c r="F18" s="3027" cm="1">
        <f t="array" aca="1" ref="F18" ca="1">INDIRECT("'※ 기타지표 세부데이터'!"&amp;F$1&amp;$X18, TRUE)</f>
        <v>98.3</v>
      </c>
      <c r="G18" s="3028" cm="1">
        <f t="array" aca="1" ref="G18" ca="1">INDIRECT("'※ 기타지표 세부데이터'!"&amp;G$1&amp;$X18, TRUE)</f>
        <v>98.4</v>
      </c>
      <c r="H18" s="3028" cm="1">
        <f t="array" aca="1" ref="H18" ca="1">INDIRECT("'※ 기타지표 세부데이터'!"&amp;H$1&amp;$X18, TRUE)</f>
        <v>98.8</v>
      </c>
      <c r="I18" s="3028" cm="1">
        <f t="array" aca="1" ref="I18" ca="1">INDIRECT("'※ 기타지표 세부데이터'!"&amp;I$1&amp;$X18, TRUE)</f>
        <v>99.2</v>
      </c>
      <c r="J18" s="3028" cm="1">
        <f t="array" aca="1" ref="J18" ca="1">INDIRECT("'※ 기타지표 세부데이터'!"&amp;J$1&amp;$X18, TRUE)</f>
        <v>98.8</v>
      </c>
      <c r="K18" s="3028" cm="1">
        <f t="array" aca="1" ref="K18" ca="1">INDIRECT("'※ 기타지표 세부데이터'!"&amp;K$1&amp;$X18, TRUE)</f>
        <v>98.9</v>
      </c>
      <c r="L18" s="3028" cm="1">
        <f t="array" aca="1" ref="L18" ca="1">INDIRECT("'※ 기타지표 세부데이터'!"&amp;L$1&amp;$X18, TRUE)</f>
        <v>98.5</v>
      </c>
      <c r="M18" s="3028" cm="1">
        <f t="array" aca="1" ref="M18" ca="1">INDIRECT("'※ 기타지표 세부데이터'!"&amp;M$1&amp;$X18, TRUE)</f>
        <v>98.6</v>
      </c>
      <c r="N18" s="3028" cm="1">
        <f t="array" aca="1" ref="N18" ca="1">INDIRECT("'※ 기타지표 세부데이터'!"&amp;N$1&amp;$X18, TRUE)</f>
        <v>98.6</v>
      </c>
      <c r="O18" s="3028" cm="1">
        <f t="array" aca="1" ref="O18" ca="1">INDIRECT("'※ 기타지표 세부데이터'!"&amp;O$1&amp;$X18, TRUE)</f>
        <v>98.8</v>
      </c>
      <c r="P18" s="3028" cm="1">
        <f t="array" aca="1" ref="P18" ca="1">INDIRECT("'※ 기타지표 세부데이터'!"&amp;P$1&amp;$X18, TRUE)</f>
        <v>98.8</v>
      </c>
      <c r="Q18" s="3028" cm="1">
        <f t="array" aca="1" ref="Q18" ca="1">INDIRECT("'※ 기타지표 세부데이터'!"&amp;Q$1&amp;$X18, TRUE)</f>
        <v>98.9</v>
      </c>
      <c r="R18" s="2499" cm="1">
        <f t="array" aca="1" ref="R18" ca="1">INDIRECT("'※ 기타지표 세부데이터'!"&amp;R$1&amp;$X18, TRUE)</f>
        <v>-0.39999999999999147</v>
      </c>
      <c r="S18" s="3029" cm="1">
        <f t="array" aca="1" ref="S18" ca="1">INDIRECT("'※ 기타지표 세부데이터'!"&amp;S$1&amp;$X18, TRUE)</f>
        <v>0.20000000000000284</v>
      </c>
      <c r="T18" s="3030" cm="1">
        <f t="array" aca="1" ref="T18" ca="1">INDIRECT("'※ 기타지표 세부데이터'!"&amp;T$1&amp;$X18, TRUE)</f>
        <v>98.716666666666683</v>
      </c>
      <c r="U18" s="2500" cm="1">
        <f t="array" aca="1" ref="U18" ca="1">INDIRECT("'※ 기타지표 세부데이터'!"&amp;U$1&amp;$X18, TRUE)</f>
        <v>1.3500000000000085</v>
      </c>
      <c r="V18" s="3031" cm="1">
        <f t="array" aca="1" ref="V18" ca="1">INDIRECT("'※ 기타지표 세부데이터'!"&amp;V$1&amp;$X18, TRUE)</f>
        <v>98.716666666666683</v>
      </c>
      <c r="W18" s="3032" cm="1">
        <f t="array" aca="1" ref="W18" ca="1">INDIRECT("'※ 기타지표 세부데이터'!"&amp;W$1&amp;$X18, TRUE)</f>
        <v>1.3500000000000085</v>
      </c>
      <c r="X18" s="3002">
        <f>ROW('※ 기타지표 세부데이터'!J15)</f>
        <v>15</v>
      </c>
      <c r="Y18" s="3033"/>
      <c r="Z18" s="3033"/>
      <c r="AA18" s="3033"/>
      <c r="AB18" s="3015">
        <v>98.376403610593059</v>
      </c>
      <c r="AC18" s="3015">
        <v>98.187919463087255</v>
      </c>
      <c r="AD18" s="3015">
        <v>97.790563866513239</v>
      </c>
      <c r="AE18" s="3015">
        <v>98.590163934426229</v>
      </c>
      <c r="AF18" s="3015">
        <v>98.370883882149045</v>
      </c>
      <c r="AG18" s="3015">
        <v>98.759036144578317</v>
      </c>
      <c r="AH18" s="3015">
        <v>98.489116517285538</v>
      </c>
      <c r="AI18" s="3015">
        <v>98.326474622770917</v>
      </c>
      <c r="AJ18" s="3015">
        <v>97.371349095966622</v>
      </c>
      <c r="AK18" s="3015">
        <v>98.21052631578948</v>
      </c>
      <c r="AL18" s="3015">
        <v>98.579234972677597</v>
      </c>
      <c r="AM18" s="3015">
        <v>99.234355828220856</v>
      </c>
      <c r="AN18" s="3015">
        <v>98.607218683651809</v>
      </c>
    </row>
    <row r="19" spans="1:40" ht="15.45" thickBot="1" x14ac:dyDescent="0.6">
      <c r="A19" s="7562"/>
      <c r="B19" s="3034" t="s">
        <v>303</v>
      </c>
      <c r="C19" s="3035"/>
      <c r="D19" s="3036" cm="1">
        <f t="array" aca="1" ref="D19" ca="1">INDIRECT("'※ 기타지표 세부데이터'!"&amp;D$1&amp;$X19, TRUE)</f>
        <v>97.637452660640236</v>
      </c>
      <c r="E19" s="3036" cm="1">
        <f t="array" aca="1" ref="E19" ca="1">INDIRECT("'※ 기타지표 세부데이터'!"&amp;E$1&amp;$X19, TRUE)</f>
        <v>97.108333333333334</v>
      </c>
      <c r="F19" s="3037" cm="1">
        <f t="array" aca="1" ref="F19" ca="1">INDIRECT("'※ 기타지표 세부데이터'!"&amp;F$1&amp;$X19, TRUE)</f>
        <v>98.1</v>
      </c>
      <c r="G19" s="3038" cm="1">
        <f t="array" aca="1" ref="G19" ca="1">INDIRECT("'※ 기타지표 세부데이터'!"&amp;G$1&amp;$X19, TRUE)</f>
        <v>98.4</v>
      </c>
      <c r="H19" s="3038" cm="1">
        <f t="array" aca="1" ref="H19" ca="1">INDIRECT("'※ 기타지표 세부데이터'!"&amp;H$1&amp;$X19, TRUE)</f>
        <v>98.1</v>
      </c>
      <c r="I19" s="3038" cm="1">
        <f t="array" aca="1" ref="I19" ca="1">INDIRECT("'※ 기타지표 세부데이터'!"&amp;I$1&amp;$X19, TRUE)</f>
        <v>97.8</v>
      </c>
      <c r="J19" s="3038" cm="1">
        <f t="array" aca="1" ref="J19" ca="1">INDIRECT("'※ 기타지표 세부데이터'!"&amp;J$1&amp;$X19, TRUE)</f>
        <v>97.7</v>
      </c>
      <c r="K19" s="3038" cm="1">
        <f t="array" aca="1" ref="K19" ca="1">INDIRECT("'※ 기타지표 세부데이터'!"&amp;K$1&amp;$X19, TRUE)</f>
        <v>98.2</v>
      </c>
      <c r="L19" s="3038" cm="1">
        <f t="array" aca="1" ref="L19" ca="1">INDIRECT("'※ 기타지표 세부데이터'!"&amp;L$1&amp;$X19, TRUE)</f>
        <v>98.2</v>
      </c>
      <c r="M19" s="3038" cm="1">
        <f t="array" aca="1" ref="M19" ca="1">INDIRECT("'※ 기타지표 세부데이터'!"&amp;M$1&amp;$X19, TRUE)</f>
        <v>98.7</v>
      </c>
      <c r="N19" s="3038" cm="1">
        <f t="array" aca="1" ref="N19" ca="1">INDIRECT("'※ 기타지표 세부데이터'!"&amp;N$1&amp;$X19, TRUE)</f>
        <v>98.3</v>
      </c>
      <c r="O19" s="3038" cm="1">
        <f t="array" aca="1" ref="O19" ca="1">INDIRECT("'※ 기타지표 세부데이터'!"&amp;O$1&amp;$X19, TRUE)</f>
        <v>97.7</v>
      </c>
      <c r="P19" s="3038" cm="1">
        <f t="array" aca="1" ref="P19" ca="1">INDIRECT("'※ 기타지표 세부데이터'!"&amp;P$1&amp;$X19, TRUE)</f>
        <v>99.1</v>
      </c>
      <c r="Q19" s="3038" cm="1">
        <f t="array" aca="1" ref="Q19" ca="1">INDIRECT("'※ 기타지표 세부데이터'!"&amp;Q$1&amp;$X19, TRUE)</f>
        <v>98.7</v>
      </c>
      <c r="R19" s="3039" cm="1">
        <f t="array" aca="1" ref="R19" ca="1">INDIRECT("'※ 기타지표 세부데이터'!"&amp;R$1&amp;$X19, TRUE)</f>
        <v>0</v>
      </c>
      <c r="S19" s="3040" cm="1">
        <f t="array" aca="1" ref="S19" ca="1">INDIRECT("'※ 기타지표 세부데이터'!"&amp;S$1&amp;$X19, TRUE)</f>
        <v>-0.29999999999999716</v>
      </c>
      <c r="T19" s="3041" cm="1">
        <f t="array" aca="1" ref="T19" ca="1">INDIRECT("'※ 기타지표 세부데이터'!"&amp;T$1&amp;$X19, TRUE)</f>
        <v>98.250000000000014</v>
      </c>
      <c r="U19" s="3042" cm="1">
        <f t="array" aca="1" ref="U19" ca="1">INDIRECT("'※ 기타지표 세부데이터'!"&amp;U$1&amp;$X19, TRUE)</f>
        <v>1.1416666666666799</v>
      </c>
      <c r="V19" s="3043" cm="1">
        <f t="array" aca="1" ref="V19" ca="1">INDIRECT("'※ 기타지표 세부데이터'!"&amp;V$1&amp;$X19, TRUE)</f>
        <v>98.250000000000014</v>
      </c>
      <c r="W19" s="3044" cm="1">
        <f t="array" aca="1" ref="W19" ca="1">INDIRECT("'※ 기타지표 세부데이터'!"&amp;W$1&amp;$X19, TRUE)</f>
        <v>1.1416666666666799</v>
      </c>
      <c r="X19" s="3002">
        <f>ROW('※ 기타지표 세부데이터'!J16)</f>
        <v>16</v>
      </c>
      <c r="Y19" s="3033"/>
      <c r="Z19" s="3033"/>
      <c r="AA19" s="3033"/>
      <c r="AB19" s="3015">
        <v>97.637452660640236</v>
      </c>
      <c r="AC19" s="3015">
        <v>97.93413173652695</v>
      </c>
      <c r="AD19" s="3015">
        <v>97.177615571776158</v>
      </c>
      <c r="AE19" s="3015">
        <v>98.200371057513919</v>
      </c>
      <c r="AF19" s="3015">
        <v>97.95148247978436</v>
      </c>
      <c r="AG19" s="3015">
        <v>97.483443708609272</v>
      </c>
      <c r="AH19" s="3015">
        <v>96.292906178489702</v>
      </c>
      <c r="AI19" s="3015">
        <v>97.993197278911566</v>
      </c>
      <c r="AJ19" s="3015">
        <v>97.671232876712324</v>
      </c>
      <c r="AK19" s="3015">
        <v>97.964824120603012</v>
      </c>
      <c r="AL19" s="3015">
        <v>98.451986754966882</v>
      </c>
      <c r="AM19" s="3015">
        <v>98.171532846715323</v>
      </c>
      <c r="AN19" s="3015">
        <v>96.356707317073173</v>
      </c>
    </row>
    <row r="20" spans="1:40" ht="6.65" customHeight="1" x14ac:dyDescent="0.55000000000000004">
      <c r="D20" s="2467"/>
      <c r="E20" s="2467"/>
      <c r="F20" s="3045"/>
      <c r="G20" s="3045"/>
      <c r="H20" s="3045"/>
      <c r="I20" s="3045"/>
      <c r="J20" s="3045"/>
      <c r="K20" s="3045"/>
      <c r="L20" s="3045"/>
      <c r="M20" s="3045"/>
      <c r="N20" s="3045"/>
      <c r="O20" s="3045"/>
      <c r="P20" s="3045"/>
      <c r="Q20" s="3045"/>
      <c r="R20" s="3045"/>
      <c r="S20" s="3045"/>
      <c r="T20" s="2467"/>
      <c r="U20" s="2467"/>
      <c r="V20" s="2467"/>
      <c r="W20" s="2467"/>
      <c r="X20" s="3002"/>
    </row>
    <row r="21" spans="1:40" ht="8.4" customHeight="1" thickBot="1" x14ac:dyDescent="0.6">
      <c r="D21" s="2467"/>
      <c r="E21" s="2467"/>
      <c r="F21" s="3045"/>
      <c r="G21" s="3045"/>
      <c r="H21" s="3045"/>
      <c r="I21" s="3045"/>
      <c r="J21" s="3045"/>
      <c r="K21" s="3045"/>
      <c r="L21" s="3045"/>
      <c r="M21" s="3045"/>
      <c r="N21" s="3045"/>
      <c r="O21" s="3045"/>
      <c r="P21" s="3045"/>
      <c r="Q21" s="3045"/>
      <c r="R21" s="3045"/>
      <c r="S21" s="3045"/>
      <c r="T21" s="2467"/>
      <c r="U21" s="2467"/>
      <c r="V21" s="2467"/>
      <c r="W21" s="2467"/>
      <c r="X21" s="3002"/>
    </row>
    <row r="22" spans="1:40" ht="16" customHeight="1" x14ac:dyDescent="0.55000000000000004">
      <c r="A22" s="7557" t="s">
        <v>329</v>
      </c>
      <c r="B22" s="7565" t="s">
        <v>325</v>
      </c>
      <c r="C22" s="3005" t="s">
        <v>958</v>
      </c>
      <c r="D22" s="3046" cm="1">
        <f t="array" aca="1" ref="D22" ca="1">INDIRECT("'※ 기타지표 세부데이터'!"&amp;D$1&amp;$X22, TRUE)</f>
        <v>11.1</v>
      </c>
      <c r="E22" s="3046" cm="1">
        <f t="array" aca="1" ref="E22" ca="1">INDIRECT("'※ 기타지표 세부데이터'!"&amp;E$1&amp;$X22, TRUE)</f>
        <v>46.166666666666664</v>
      </c>
      <c r="F22" s="3047" cm="1">
        <f t="array" aca="1" ref="F22" ca="1">INDIRECT("'※ 기타지표 세부데이터'!"&amp;F$1&amp;$X22, TRUE)</f>
        <v>25</v>
      </c>
      <c r="G22" s="3048" cm="1">
        <f t="array" aca="1" ref="G22" ca="1">INDIRECT("'※ 기타지표 세부데이터'!"&amp;G$1&amp;$X22, TRUE)</f>
        <v>49</v>
      </c>
      <c r="H22" s="3048" cm="1">
        <f t="array" aca="1" ref="H22" ca="1">INDIRECT("'※ 기타지표 세부데이터'!"&amp;H$1&amp;$X22, TRUE)</f>
        <v>75</v>
      </c>
      <c r="I22" s="3048" cm="1">
        <f t="array" aca="1" ref="I22" ca="1">INDIRECT("'※ 기타지표 세부데이터'!"&amp;I$1&amp;$X22, TRUE)</f>
        <v>114</v>
      </c>
      <c r="J22" s="3048" cm="1">
        <f t="array" aca="1" ref="J22" ca="1">INDIRECT("'※ 기타지표 세부데이터'!"&amp;J$1&amp;$X22, TRUE)</f>
        <v>112</v>
      </c>
      <c r="K22" s="3048" cm="1">
        <f t="array" aca="1" ref="K22" ca="1">INDIRECT("'※ 기타지표 세부데이터'!"&amp;K$1&amp;$X22, TRUE)</f>
        <v>103</v>
      </c>
      <c r="L22" s="3048" cm="1">
        <f t="array" aca="1" ref="L22" ca="1">INDIRECT("'※ 기타지표 세부데이터'!"&amp;L$1&amp;$X22, TRUE)</f>
        <v>96</v>
      </c>
      <c r="M22" s="3048" cm="1">
        <f t="array" aca="1" ref="M22" ca="1">INDIRECT("'※ 기타지표 세부데이터'!"&amp;M$1&amp;$X22, TRUE)</f>
        <v>93</v>
      </c>
      <c r="N22" s="3048" cm="1">
        <f t="array" aca="1" ref="N22" ca="1">INDIRECT("'※ 기타지표 세부데이터'!"&amp;N$1&amp;$X22, TRUE)</f>
        <v>124</v>
      </c>
      <c r="O22" s="3048" cm="1">
        <f t="array" aca="1" ref="O22" ca="1">INDIRECT("'※ 기타지표 세부데이터'!"&amp;O$1&amp;$X22, TRUE)</f>
        <v>63</v>
      </c>
      <c r="P22" s="3048" cm="1">
        <f t="array" aca="1" ref="P22" ca="1">INDIRECT("'※ 기타지표 세부데이터'!"&amp;P$1&amp;$X22, TRUE)</f>
        <v>64</v>
      </c>
      <c r="Q22" s="3048" cm="1">
        <f t="array" aca="1" ref="Q22" ca="1">INDIRECT("'※ 기타지표 세부데이터'!"&amp;Q$1&amp;$X22, TRUE)</f>
        <v>57</v>
      </c>
      <c r="R22" s="3049" cm="1">
        <f t="array" aca="1" ref="R22" ca="1">INDIRECT("'※ 기타지표 세부데이터'!"&amp;R$1&amp;$X22, TRUE)</f>
        <v>-111</v>
      </c>
      <c r="S22" s="3050" cm="1">
        <f t="array" aca="1" ref="S22" ca="1">INDIRECT("'※ 기타지표 세부데이터'!"&amp;S$1&amp;$X22, TRUE)</f>
        <v>22</v>
      </c>
      <c r="T22" s="3050" cm="1">
        <f t="array" aca="1" ref="T22" ca="1">INDIRECT("'※ 기타지표 세부데이터'!"&amp;T$1&amp;$X22, TRUE)</f>
        <v>975</v>
      </c>
      <c r="U22" s="3051" cm="1">
        <f t="array" aca="1" ref="U22" ca="1">INDIRECT("'※ 기타지표 세부데이터'!"&amp;U$1&amp;$X22, TRUE)</f>
        <v>421</v>
      </c>
      <c r="V22" s="3052" cm="1">
        <f t="array" aca="1" ref="V22" ca="1">INDIRECT("'※ 기타지표 세부데이터'!"&amp;V$1&amp;$X22, TRUE)</f>
        <v>81.25</v>
      </c>
      <c r="W22" s="3051" cm="1">
        <f t="array" aca="1" ref="W22" ca="1">INDIRECT("'※ 기타지표 세부데이터'!"&amp;W$1&amp;$X22, TRUE)</f>
        <v>35.083333333333336</v>
      </c>
      <c r="X22" s="3002">
        <f>ROW('※ 기타지표 세부데이터'!J41)</f>
        <v>41</v>
      </c>
      <c r="Y22" s="3014"/>
      <c r="Z22" s="3014"/>
      <c r="AA22" s="3014"/>
      <c r="AB22" s="3053">
        <v>11.1</v>
      </c>
      <c r="AE22" s="2441">
        <v>5</v>
      </c>
      <c r="AF22" s="2441">
        <v>2</v>
      </c>
      <c r="AG22" s="2441">
        <v>10</v>
      </c>
      <c r="AH22" s="2441">
        <v>15</v>
      </c>
      <c r="AI22" s="2441">
        <v>17</v>
      </c>
      <c r="AJ22" s="2441">
        <v>19</v>
      </c>
      <c r="AK22" s="2441">
        <v>10</v>
      </c>
      <c r="AL22" s="2441">
        <v>6</v>
      </c>
      <c r="AM22" s="2441">
        <v>16</v>
      </c>
      <c r="AN22" s="2441">
        <v>11</v>
      </c>
    </row>
    <row r="23" spans="1:40" ht="16" customHeight="1" x14ac:dyDescent="0.55000000000000004">
      <c r="A23" s="7558"/>
      <c r="B23" s="7566"/>
      <c r="C23" s="3014" t="s">
        <v>326</v>
      </c>
      <c r="D23" s="3054" cm="1">
        <f t="array" aca="1" ref="D23" ca="1">INDIRECT("'※ 기타지표 세부데이터'!"&amp;D$1&amp;$X23, TRUE)</f>
        <v>188.8</v>
      </c>
      <c r="E23" s="3054" cm="1">
        <f t="array" aca="1" ref="E23" ca="1">INDIRECT("'※ 기타지표 세부데이터'!"&amp;E$1&amp;$X23, TRUE)</f>
        <v>657.66666666666663</v>
      </c>
      <c r="F23" s="3055" cm="1">
        <f t="array" aca="1" ref="F23" ca="1">INDIRECT("'※ 기타지표 세부데이터'!"&amp;F$1&amp;$X23, TRUE)</f>
        <v>364</v>
      </c>
      <c r="G23" s="3056" cm="1">
        <f t="array" aca="1" ref="G23" ca="1">INDIRECT("'※ 기타지표 세부데이터'!"&amp;G$1&amp;$X23, TRUE)</f>
        <v>761</v>
      </c>
      <c r="H23" s="3056" cm="1">
        <f t="array" aca="1" ref="H23" ca="1">INDIRECT("'※ 기타지표 세부데이터'!"&amp;H$1&amp;$X23, TRUE)</f>
        <v>1122</v>
      </c>
      <c r="I23" s="3056" cm="1">
        <f t="array" aca="1" ref="I23" ca="1">INDIRECT("'※ 기타지표 세부데이터'!"&amp;I$1&amp;$X23, TRUE)</f>
        <v>1576</v>
      </c>
      <c r="J23" s="3056" cm="1">
        <f t="array" aca="1" ref="J23" ca="1">INDIRECT("'※ 기타지표 세부데이터'!"&amp;J$1&amp;$X23, TRUE)</f>
        <v>1575</v>
      </c>
      <c r="K23" s="3056" cm="1">
        <f t="array" aca="1" ref="K23" ca="1">INDIRECT("'※ 기타지표 세부데이터'!"&amp;K$1&amp;$X23, TRUE)</f>
        <v>1536</v>
      </c>
      <c r="L23" s="3056" cm="1">
        <f t="array" aca="1" ref="L23" ca="1">INDIRECT("'※ 기타지표 세부데이터'!"&amp;L$1&amp;$X23, TRUE)</f>
        <v>1390</v>
      </c>
      <c r="M23" s="3056" cm="1">
        <f t="array" aca="1" ref="M23" ca="1">INDIRECT("'※ 기타지표 세부데이터'!"&amp;M$1&amp;$X23, TRUE)</f>
        <v>1297</v>
      </c>
      <c r="N23" s="3056" cm="1">
        <f t="array" aca="1" ref="N23" ca="1">INDIRECT("'※ 기타지표 세부데이터'!"&amp;N$1&amp;$X23, TRUE)</f>
        <v>1898</v>
      </c>
      <c r="O23" s="3056" cm="1">
        <f t="array" aca="1" ref="O23" ca="1">INDIRECT("'※ 기타지표 세부데이터'!"&amp;O$1&amp;$X23, TRUE)</f>
        <v>930</v>
      </c>
      <c r="P23" s="3056" cm="1">
        <f t="array" aca="1" ref="P23" ca="1">INDIRECT("'※ 기타지표 세부데이터'!"&amp;P$1&amp;$X23, TRUE)</f>
        <v>940</v>
      </c>
      <c r="Q23" s="3056" cm="1">
        <f t="array" aca="1" ref="Q23" ca="1">INDIRECT("'※ 기타지표 세부데이터'!"&amp;Q$1&amp;$X23, TRUE)</f>
        <v>829</v>
      </c>
      <c r="R23" s="3057" cm="1">
        <f t="array" aca="1" ref="R23" ca="1">INDIRECT("'※ 기타지표 세부데이터'!"&amp;R$1&amp;$X23, TRUE)</f>
        <v>-7</v>
      </c>
      <c r="S23" s="3058" cm="1">
        <f t="array" aca="1" ref="S23" ca="1">INDIRECT("'※ 기타지표 세부데이터'!"&amp;S$1&amp;$X23, TRUE)</f>
        <v>374</v>
      </c>
      <c r="T23" s="3059" cm="1">
        <f t="array" aca="1" ref="T23" ca="1">INDIRECT("'※ 기타지표 세부데이터'!"&amp;T$1&amp;$X23, TRUE)</f>
        <v>14218</v>
      </c>
      <c r="U23" s="3060" cm="1">
        <f t="array" aca="1" ref="U23" ca="1">INDIRECT("'※ 기타지표 세부데이터'!"&amp;U$1&amp;$X23, TRUE)</f>
        <v>6326</v>
      </c>
      <c r="V23" s="3057" cm="1">
        <f t="array" aca="1" ref="V23" ca="1">INDIRECT("'※ 기타지표 세부데이터'!"&amp;V$1&amp;$X23, TRUE)</f>
        <v>1184.8333333333333</v>
      </c>
      <c r="W23" s="3061" cm="1">
        <f t="array" aca="1" ref="W23" ca="1">INDIRECT("'※ 기타지표 세부데이터'!"&amp;W$1&amp;$X23, TRUE)</f>
        <v>527.16666666666663</v>
      </c>
      <c r="X23" s="3002">
        <f>ROW('※ 기타지표 세부데이터'!J42)</f>
        <v>42</v>
      </c>
      <c r="Y23" s="3014"/>
      <c r="Z23" s="3014"/>
      <c r="AA23" s="3014"/>
      <c r="AB23" s="3053">
        <v>188.8</v>
      </c>
      <c r="AE23" s="2441">
        <v>86</v>
      </c>
      <c r="AF23" s="2441">
        <v>25</v>
      </c>
      <c r="AG23" s="2441">
        <v>126</v>
      </c>
      <c r="AH23" s="2441">
        <v>267</v>
      </c>
      <c r="AI23" s="2441">
        <v>337</v>
      </c>
      <c r="AJ23" s="2441">
        <v>325</v>
      </c>
      <c r="AK23" s="2441">
        <v>173</v>
      </c>
      <c r="AL23" s="2441">
        <v>111</v>
      </c>
      <c r="AM23" s="2441">
        <v>287</v>
      </c>
      <c r="AN23" s="2441">
        <v>151</v>
      </c>
    </row>
    <row r="24" spans="1:40" ht="16" customHeight="1" x14ac:dyDescent="0.55000000000000004">
      <c r="A24" s="7558"/>
      <c r="B24" s="7567" t="s">
        <v>1019</v>
      </c>
      <c r="C24" s="3062" t="s">
        <v>958</v>
      </c>
      <c r="D24" s="3063" cm="1">
        <f t="array" aca="1" ref="D24" ca="1">INDIRECT("'※ 기타지표 세부데이터'!"&amp;D$1&amp;$X24, TRUE)</f>
        <v>11.1</v>
      </c>
      <c r="E24" s="3063" cm="1">
        <f t="array" aca="1" ref="E24" ca="1">INDIRECT("'※ 기타지표 세부데이터'!"&amp;E$1&amp;$X24, TRUE)</f>
        <v>40.333333333333336</v>
      </c>
      <c r="F24" s="2683" cm="1">
        <f t="array" aca="1" ref="F24" ca="1">INDIRECT("'※ 기타지표 세부데이터'!"&amp;F$1&amp;$X24, TRUE)</f>
        <v>21</v>
      </c>
      <c r="G24" s="3045" cm="1">
        <f t="array" aca="1" ref="G24" ca="1">INDIRECT("'※ 기타지표 세부데이터'!"&amp;G$1&amp;$X24, TRUE)</f>
        <v>41</v>
      </c>
      <c r="H24" s="3045" cm="1">
        <f t="array" aca="1" ref="H24" ca="1">INDIRECT("'※ 기타지표 세부데이터'!"&amp;H$1&amp;$X24, TRUE)</f>
        <v>49</v>
      </c>
      <c r="I24" s="3045" cm="1">
        <f t="array" aca="1" ref="I24" ca="1">INDIRECT("'※ 기타지표 세부데이터'!"&amp;I$1&amp;$X24, TRUE)</f>
        <v>84</v>
      </c>
      <c r="J24" s="3045" cm="1">
        <f t="array" aca="1" ref="J24" ca="1">INDIRECT("'※ 기타지표 세부데이터'!"&amp;J$1&amp;$X24, TRUE)</f>
        <v>74</v>
      </c>
      <c r="K24" s="3045" cm="1">
        <f t="array" aca="1" ref="K24" ca="1">INDIRECT("'※ 기타지표 세부데이터'!"&amp;K$1&amp;$X24, TRUE)</f>
        <v>56</v>
      </c>
      <c r="L24" s="3045" cm="1">
        <f t="array" aca="1" ref="L24" ca="1">INDIRECT("'※ 기타지표 세부데이터'!"&amp;L$1&amp;$X24, TRUE)</f>
        <v>50</v>
      </c>
      <c r="M24" s="3045" cm="1">
        <f t="array" aca="1" ref="M24" ca="1">INDIRECT("'※ 기타지표 세부데이터'!"&amp;M$1&amp;$X24, TRUE)</f>
        <v>49</v>
      </c>
      <c r="N24" s="3045" cm="1">
        <f t="array" aca="1" ref="N24" ca="1">INDIRECT("'※ 기타지표 세부데이터'!"&amp;N$1&amp;$X24, TRUE)</f>
        <v>77</v>
      </c>
      <c r="O24" s="3045" cm="1">
        <f t="array" aca="1" ref="O24" ca="1">INDIRECT("'※ 기타지표 세부데이터'!"&amp;O$1&amp;$X24, TRUE)</f>
        <v>51</v>
      </c>
      <c r="P24" s="3045" cm="1">
        <f t="array" aca="1" ref="P24" ca="1">INDIRECT("'※ 기타지표 세부데이터'!"&amp;P$1&amp;$X24, TRUE)</f>
        <v>41</v>
      </c>
      <c r="Q24" s="3045" cm="1">
        <f t="array" aca="1" ref="Q24" ca="1">INDIRECT("'※ 기타지표 세부데이터'!"&amp;Q$1&amp;$X24, TRUE)</f>
        <v>34</v>
      </c>
      <c r="R24" s="3064" cm="1">
        <f t="array" aca="1" ref="R24" ca="1">INDIRECT("'※ 기타지표 세부데이터'!"&amp;R$1&amp;$X24, TRUE)</f>
        <v>-48</v>
      </c>
      <c r="S24" s="3065" cm="1">
        <f t="array" aca="1" ref="S24" ca="1">INDIRECT("'※ 기타지표 세부데이터'!"&amp;S$1&amp;$X24, TRUE)</f>
        <v>-1</v>
      </c>
      <c r="T24" s="3066" cm="1">
        <f t="array" aca="1" ref="T24" ca="1">INDIRECT("'※ 기타지표 세부데이터'!"&amp;T$1&amp;$X24, TRUE)</f>
        <v>627</v>
      </c>
      <c r="U24" s="3067" cm="1">
        <f t="array" aca="1" ref="U24" ca="1">INDIRECT("'※ 기타지표 세부데이터'!"&amp;U$1&amp;$X24, TRUE)</f>
        <v>143</v>
      </c>
      <c r="V24" s="3064" cm="1">
        <f t="array" aca="1" ref="V24" ca="1">INDIRECT("'※ 기타지표 세부데이터'!"&amp;V$1&amp;$X24, TRUE)</f>
        <v>52.25</v>
      </c>
      <c r="W24" s="3068" cm="1">
        <f t="array" aca="1" ref="W24" ca="1">INDIRECT("'※ 기타지표 세부데이터'!"&amp;W$1&amp;$X24, TRUE)</f>
        <v>11.916666666666664</v>
      </c>
      <c r="X24" s="3002">
        <f>ROW('※ 기타지표 세부데이터'!J43)</f>
        <v>43</v>
      </c>
      <c r="Y24" s="3033"/>
      <c r="Z24" s="3033"/>
      <c r="AA24" s="3033"/>
      <c r="AB24" s="3053">
        <v>11.1</v>
      </c>
      <c r="AE24" s="2441">
        <v>5</v>
      </c>
      <c r="AF24" s="2441">
        <v>2</v>
      </c>
      <c r="AG24" s="2441">
        <v>10</v>
      </c>
      <c r="AH24" s="2441">
        <v>15</v>
      </c>
      <c r="AI24" s="2441">
        <v>17</v>
      </c>
      <c r="AJ24" s="2441">
        <v>19</v>
      </c>
      <c r="AK24" s="2441">
        <v>10</v>
      </c>
      <c r="AL24" s="2441">
        <v>6</v>
      </c>
      <c r="AM24" s="2441">
        <v>16</v>
      </c>
      <c r="AN24" s="2441">
        <v>11</v>
      </c>
    </row>
    <row r="25" spans="1:40" ht="16" customHeight="1" x14ac:dyDescent="0.55000000000000004">
      <c r="A25" s="7558"/>
      <c r="B25" s="7568"/>
      <c r="C25" s="3033" t="s">
        <v>326</v>
      </c>
      <c r="D25" s="3063" cm="1">
        <f t="array" aca="1" ref="D25" ca="1">INDIRECT("'※ 기타지표 세부데이터'!"&amp;D$1&amp;$X25, TRUE)</f>
        <v>188.8</v>
      </c>
      <c r="E25" s="3063" cm="1">
        <f t="array" aca="1" ref="E25" ca="1">INDIRECT("'※ 기타지표 세부데이터'!"&amp;E$1&amp;$X25, TRUE)</f>
        <v>583.5</v>
      </c>
      <c r="F25" s="2683" cm="1">
        <f t="array" aca="1" ref="F25" ca="1">INDIRECT("'※ 기타지표 세부데이터'!"&amp;F$1&amp;$X25, TRUE)</f>
        <v>313</v>
      </c>
      <c r="G25" s="3045" cm="1">
        <f t="array" aca="1" ref="G25" ca="1">INDIRECT("'※ 기타지표 세부데이터'!"&amp;G$1&amp;$X25, TRUE)</f>
        <v>669</v>
      </c>
      <c r="H25" s="3045" cm="1">
        <f t="array" aca="1" ref="H25" ca="1">INDIRECT("'※ 기타지표 세부데이터'!"&amp;H$1&amp;$X25, TRUE)</f>
        <v>803</v>
      </c>
      <c r="I25" s="3045" cm="1">
        <f t="array" aca="1" ref="I25" ca="1">INDIRECT("'※ 기타지표 세부데이터'!"&amp;I$1&amp;$X25, TRUE)</f>
        <v>1178</v>
      </c>
      <c r="J25" s="3045" cm="1">
        <f t="array" aca="1" ref="J25" ca="1">INDIRECT("'※ 기타지표 세부데이터'!"&amp;J$1&amp;$X25, TRUE)</f>
        <v>1081</v>
      </c>
      <c r="K25" s="3045" cm="1">
        <f t="array" aca="1" ref="K25" ca="1">INDIRECT("'※ 기타지표 세부데이터'!"&amp;K$1&amp;$X25, TRUE)</f>
        <v>883</v>
      </c>
      <c r="L25" s="3045" cm="1">
        <f t="array" aca="1" ref="L25" ca="1">INDIRECT("'※ 기타지표 세부데이터'!"&amp;L$1&amp;$X25, TRUE)</f>
        <v>768</v>
      </c>
      <c r="M25" s="3045" cm="1">
        <f t="array" aca="1" ref="M25" ca="1">INDIRECT("'※ 기타지표 세부데이터'!"&amp;M$1&amp;$X25, TRUE)</f>
        <v>661</v>
      </c>
      <c r="N25" s="3045" cm="1">
        <f t="array" aca="1" ref="N25" ca="1">INDIRECT("'※ 기타지표 세부데이터'!"&amp;N$1&amp;$X25, TRUE)</f>
        <v>1263</v>
      </c>
      <c r="O25" s="3045" cm="1">
        <f t="array" aca="1" ref="O25" ca="1">INDIRECT("'※ 기타지표 세부데이터'!"&amp;O$1&amp;$X25, TRUE)</f>
        <v>748</v>
      </c>
      <c r="P25" s="3045" cm="1">
        <f t="array" aca="1" ref="P25" ca="1">INDIRECT("'※ 기타지표 세부데이터'!"&amp;P$1&amp;$X25, TRUE)</f>
        <v>591</v>
      </c>
      <c r="Q25" s="3045" cm="1">
        <f t="array" aca="1" ref="Q25" ca="1">INDIRECT("'※ 기타지표 세부데이터'!"&amp;Q$1&amp;$X25, TRUE)</f>
        <v>543</v>
      </c>
      <c r="R25" s="3064" cm="1">
        <f t="array" aca="1" ref="R25" ca="1">INDIRECT("'※ 기타지표 세부데이터'!"&amp;R$1&amp;$X25, TRUE)</f>
        <v>0</v>
      </c>
      <c r="S25" s="3065" cm="1">
        <f t="array" aca="1" ref="S25" ca="1">INDIRECT("'※ 기타지표 세부데이터'!"&amp;S$1&amp;$X25, TRUE)</f>
        <v>88</v>
      </c>
      <c r="T25" s="3066" cm="1">
        <f t="array" aca="1" ref="T25" ca="1">INDIRECT("'※ 기타지표 세부데이터'!"&amp;T$1&amp;$X25, TRUE)</f>
        <v>9501</v>
      </c>
      <c r="U25" s="3067" cm="1">
        <f t="array" aca="1" ref="U25" ca="1">INDIRECT("'※ 기타지표 세부데이터'!"&amp;U$1&amp;$X25, TRUE)</f>
        <v>2499</v>
      </c>
      <c r="V25" s="3064" cm="1">
        <f t="array" aca="1" ref="V25" ca="1">INDIRECT("'※ 기타지표 세부데이터'!"&amp;V$1&amp;$X25, TRUE)</f>
        <v>791.75</v>
      </c>
      <c r="W25" s="3068" cm="1">
        <f t="array" aca="1" ref="W25" ca="1">INDIRECT("'※ 기타지표 세부데이터'!"&amp;W$1&amp;$X25, TRUE)</f>
        <v>208.25</v>
      </c>
      <c r="X25" s="3002">
        <f>ROW('※ 기타지표 세부데이터'!J44)</f>
        <v>44</v>
      </c>
      <c r="Y25" s="3033"/>
      <c r="Z25" s="3033"/>
      <c r="AA25" s="3033"/>
      <c r="AB25" s="3053">
        <v>188.8</v>
      </c>
      <c r="AE25" s="2441">
        <v>86</v>
      </c>
      <c r="AF25" s="2441">
        <v>25</v>
      </c>
      <c r="AG25" s="2441">
        <v>126</v>
      </c>
      <c r="AH25" s="2441">
        <v>267</v>
      </c>
      <c r="AI25" s="2441">
        <v>337</v>
      </c>
      <c r="AJ25" s="2441">
        <v>325</v>
      </c>
      <c r="AK25" s="2441">
        <v>173</v>
      </c>
      <c r="AL25" s="2441">
        <v>111</v>
      </c>
      <c r="AM25" s="2441">
        <v>287</v>
      </c>
      <c r="AN25" s="2441">
        <v>151</v>
      </c>
    </row>
    <row r="26" spans="1:40" ht="16" customHeight="1" x14ac:dyDescent="0.55000000000000004">
      <c r="A26" s="7558"/>
      <c r="B26" s="7569" t="s">
        <v>327</v>
      </c>
      <c r="C26" s="3069" t="s">
        <v>958</v>
      </c>
      <c r="D26" s="3070" cm="1">
        <f t="array" aca="1" ref="D26" ca="1">INDIRECT("'※ 기타지표 세부데이터'!"&amp;D$1&amp;$X26, TRUE)</f>
        <v>0</v>
      </c>
      <c r="E26" s="3070" cm="1">
        <f t="array" aca="1" ref="E26" ca="1">INDIRECT("'※ 기타지표 세부데이터'!"&amp;E$1&amp;$X26, TRUE)</f>
        <v>5.416666666666667</v>
      </c>
      <c r="F26" s="3071" cm="1">
        <f t="array" aca="1" ref="F26" ca="1">INDIRECT("'※ 기타지표 세부데이터'!"&amp;F$1&amp;$X26, TRUE)</f>
        <v>4</v>
      </c>
      <c r="G26" s="3072" cm="1">
        <f t="array" aca="1" ref="G26" ca="1">INDIRECT("'※ 기타지표 세부데이터'!"&amp;G$1&amp;$X26, TRUE)</f>
        <v>8</v>
      </c>
      <c r="H26" s="3072" cm="1">
        <f t="array" aca="1" ref="H26" ca="1">INDIRECT("'※ 기타지표 세부데이터'!"&amp;H$1&amp;$X26, TRUE)</f>
        <v>26</v>
      </c>
      <c r="I26" s="3072" cm="1">
        <f t="array" aca="1" ref="I26" ca="1">INDIRECT("'※ 기타지표 세부데이터'!"&amp;I$1&amp;$X26, TRUE)</f>
        <v>30</v>
      </c>
      <c r="J26" s="3072" cm="1">
        <f t="array" aca="1" ref="J26" ca="1">INDIRECT("'※ 기타지표 세부데이터'!"&amp;J$1&amp;$X26, TRUE)</f>
        <v>38</v>
      </c>
      <c r="K26" s="3072" cm="1">
        <f t="array" aca="1" ref="K26" ca="1">INDIRECT("'※ 기타지표 세부데이터'!"&amp;K$1&amp;$X26, TRUE)</f>
        <v>47</v>
      </c>
      <c r="L26" s="3072" cm="1">
        <f t="array" aca="1" ref="L26" ca="1">INDIRECT("'※ 기타지표 세부데이터'!"&amp;L$1&amp;$X26, TRUE)</f>
        <v>46</v>
      </c>
      <c r="M26" s="3072" cm="1">
        <f t="array" aca="1" ref="M26" ca="1">INDIRECT("'※ 기타지표 세부데이터'!"&amp;M$1&amp;$X26, TRUE)</f>
        <v>44</v>
      </c>
      <c r="N26" s="3072" cm="1">
        <f t="array" aca="1" ref="N26" ca="1">INDIRECT("'※ 기타지표 세부데이터'!"&amp;N$1&amp;$X26, TRUE)</f>
        <v>47</v>
      </c>
      <c r="O26" s="3072" cm="1">
        <f t="array" aca="1" ref="O26" ca="1">INDIRECT("'※ 기타지표 세부데이터'!"&amp;O$1&amp;$X26, TRUE)</f>
        <v>12</v>
      </c>
      <c r="P26" s="3072" cm="1">
        <f t="array" aca="1" ref="P26" ca="1">INDIRECT("'※ 기타지표 세부데이터'!"&amp;P$1&amp;$X26, TRUE)</f>
        <v>23</v>
      </c>
      <c r="Q26" s="3072" cm="1">
        <f t="array" aca="1" ref="Q26" ca="1">INDIRECT("'※ 기타지표 세부데이터'!"&amp;Q$1&amp;$X26, TRUE)</f>
        <v>23</v>
      </c>
      <c r="R26" s="3073" cm="1">
        <f t="array" aca="1" ref="R26" ca="1">INDIRECT("'※ 기타지표 세부데이터'!"&amp;R$1&amp;$X26, TRUE)</f>
        <v>-63</v>
      </c>
      <c r="S26" s="3074" cm="1">
        <f t="array" aca="1" ref="S26" ca="1">INDIRECT("'※ 기타지표 세부데이터'!"&amp;S$1&amp;$X26, TRUE)</f>
        <v>23</v>
      </c>
      <c r="T26" s="3075" cm="1">
        <f t="array" aca="1" ref="T26" ca="1">INDIRECT("'※ 기타지표 세부데이터'!"&amp;T$1&amp;$X26, TRUE)</f>
        <v>348</v>
      </c>
      <c r="U26" s="3076" cm="1">
        <f t="array" aca="1" ref="U26" ca="1">INDIRECT("'※ 기타지표 세부데이터'!"&amp;U$1&amp;$X26, TRUE)</f>
        <v>283</v>
      </c>
      <c r="V26" s="3073" cm="1">
        <f t="array" aca="1" ref="V26" ca="1">INDIRECT("'※ 기타지표 세부데이터'!"&amp;V$1&amp;$X26, TRUE)</f>
        <v>29</v>
      </c>
      <c r="W26" s="3077" cm="1">
        <f t="array" aca="1" ref="W26" ca="1">INDIRECT("'※ 기타지표 세부데이터'!"&amp;W$1&amp;$X26, TRUE)</f>
        <v>23.583333333333332</v>
      </c>
      <c r="X26" s="3002">
        <f>ROW('※ 기타지표 세부데이터'!J45)</f>
        <v>45</v>
      </c>
      <c r="Y26" s="3033"/>
      <c r="Z26" s="3033"/>
      <c r="AA26" s="3033"/>
      <c r="AB26" s="3053">
        <v>0</v>
      </c>
    </row>
    <row r="27" spans="1:40" ht="16" customHeight="1" x14ac:dyDescent="0.55000000000000004">
      <c r="A27" s="7558"/>
      <c r="B27" s="7570"/>
      <c r="C27" s="3078" t="s">
        <v>326</v>
      </c>
      <c r="D27" s="3079" cm="1">
        <f t="array" aca="1" ref="D27" ca="1">INDIRECT("'※ 기타지표 세부데이터'!"&amp;D$1&amp;$X27, TRUE)</f>
        <v>0</v>
      </c>
      <c r="E27" s="3079" cm="1">
        <f t="array" aca="1" ref="E27" ca="1">INDIRECT("'※ 기타지표 세부데이터'!"&amp;E$1&amp;$X27, TRUE)</f>
        <v>64.416666666666671</v>
      </c>
      <c r="F27" s="3080" cm="1">
        <f t="array" aca="1" ref="F27" ca="1">INDIRECT("'※ 기타지표 세부데이터'!"&amp;F$1&amp;$X27, TRUE)</f>
        <v>51</v>
      </c>
      <c r="G27" s="3081" cm="1">
        <f t="array" aca="1" ref="G27" ca="1">INDIRECT("'※ 기타지표 세부데이터'!"&amp;G$1&amp;$X27, TRUE)</f>
        <v>92</v>
      </c>
      <c r="H27" s="3081" cm="1">
        <f t="array" aca="1" ref="H27" ca="1">INDIRECT("'※ 기타지표 세부데이터'!"&amp;H$1&amp;$X27, TRUE)</f>
        <v>319</v>
      </c>
      <c r="I27" s="3081" cm="1">
        <f t="array" aca="1" ref="I27" ca="1">INDIRECT("'※ 기타지표 세부데이터'!"&amp;I$1&amp;$X27, TRUE)</f>
        <v>398</v>
      </c>
      <c r="J27" s="3081" cm="1">
        <f t="array" aca="1" ref="J27" ca="1">INDIRECT("'※ 기타지표 세부데이터'!"&amp;J$1&amp;$X27, TRUE)</f>
        <v>494</v>
      </c>
      <c r="K27" s="3081" cm="1">
        <f t="array" aca="1" ref="K27" ca="1">INDIRECT("'※ 기타지표 세부데이터'!"&amp;K$1&amp;$X27, TRUE)</f>
        <v>653</v>
      </c>
      <c r="L27" s="3081" cm="1">
        <f t="array" aca="1" ref="L27" ca="1">INDIRECT("'※ 기타지표 세부데이터'!"&amp;L$1&amp;$X27, TRUE)</f>
        <v>622</v>
      </c>
      <c r="M27" s="3081" cm="1">
        <f t="array" aca="1" ref="M27" ca="1">INDIRECT("'※ 기타지표 세부데이터'!"&amp;M$1&amp;$X27, TRUE)</f>
        <v>636</v>
      </c>
      <c r="N27" s="3081" cm="1">
        <f t="array" aca="1" ref="N27" ca="1">INDIRECT("'※ 기타지표 세부데이터'!"&amp;N$1&amp;$X27, TRUE)</f>
        <v>635</v>
      </c>
      <c r="O27" s="3081" cm="1">
        <f t="array" aca="1" ref="O27" ca="1">INDIRECT("'※ 기타지표 세부데이터'!"&amp;O$1&amp;$X27, TRUE)</f>
        <v>182</v>
      </c>
      <c r="P27" s="3081" cm="1">
        <f t="array" aca="1" ref="P27" ca="1">INDIRECT("'※ 기타지표 세부데이터'!"&amp;P$1&amp;$X27, TRUE)</f>
        <v>349</v>
      </c>
      <c r="Q27" s="3081" cm="1">
        <f t="array" aca="1" ref="Q27" ca="1">INDIRECT("'※ 기타지표 세부데이터'!"&amp;Q$1&amp;$X27, TRUE)</f>
        <v>286</v>
      </c>
      <c r="R27" s="3082" cm="1">
        <f t="array" aca="1" ref="R27" ca="1">INDIRECT("'※ 기타지표 세부데이터'!"&amp;R$1&amp;$X27, TRUE)</f>
        <v>0</v>
      </c>
      <c r="S27" s="3083" cm="1">
        <f t="array" aca="1" ref="S27" ca="1">INDIRECT("'※ 기타지표 세부데이터'!"&amp;S$1&amp;$X27, TRUE)</f>
        <v>286</v>
      </c>
      <c r="T27" s="3084" cm="1">
        <f t="array" aca="1" ref="T27" ca="1">INDIRECT("'※ 기타지표 세부데이터'!"&amp;T$1&amp;$X27, TRUE)</f>
        <v>4717</v>
      </c>
      <c r="U27" s="3085" cm="1">
        <f t="array" aca="1" ref="U27" ca="1">INDIRECT("'※ 기타지표 세부데이터'!"&amp;U$1&amp;$X27, TRUE)</f>
        <v>3944</v>
      </c>
      <c r="V27" s="3082" cm="1">
        <f t="array" aca="1" ref="V27" ca="1">INDIRECT("'※ 기타지표 세부데이터'!"&amp;V$1&amp;$X27, TRUE)</f>
        <v>393.08333333333331</v>
      </c>
      <c r="W27" s="3086" cm="1">
        <f t="array" aca="1" ref="W27" ca="1">INDIRECT("'※ 기타지표 세부데이터'!"&amp;W$1&amp;$X27, TRUE)</f>
        <v>328.66666666666663</v>
      </c>
      <c r="X27" s="3002">
        <f>ROW('※ 기타지표 세부데이터'!J46)</f>
        <v>46</v>
      </c>
      <c r="Y27" s="3033"/>
      <c r="Z27" s="3033"/>
      <c r="AA27" s="3033"/>
      <c r="AB27" s="3053">
        <v>0</v>
      </c>
    </row>
    <row r="28" spans="1:40" ht="16" customHeight="1" x14ac:dyDescent="0.55000000000000004">
      <c r="A28" s="7558"/>
      <c r="B28" s="7569" t="s">
        <v>67</v>
      </c>
      <c r="C28" s="3069" t="s">
        <v>958</v>
      </c>
      <c r="D28" s="3063" cm="1">
        <f t="array" aca="1" ref="D28" ca="1">INDIRECT("'※ 기타지표 세부데이터'!"&amp;D$1&amp;$X28, TRUE)</f>
        <v>0</v>
      </c>
      <c r="E28" s="3063" cm="1">
        <f t="array" aca="1" ref="E28" ca="1">INDIRECT("'※ 기타지표 세부데이터'!"&amp;E$1&amp;$X28, TRUE)</f>
        <v>0</v>
      </c>
      <c r="F28" s="2683" cm="1">
        <f t="array" aca="1" ref="F28" ca="1">INDIRECT("'※ 기타지표 세부데이터'!"&amp;F$1&amp;$X28, TRUE)</f>
        <v>0</v>
      </c>
      <c r="G28" s="3045" cm="1">
        <f t="array" aca="1" ref="G28" ca="1">INDIRECT("'※ 기타지표 세부데이터'!"&amp;G$1&amp;$X28, TRUE)</f>
        <v>0</v>
      </c>
      <c r="H28" s="3045" cm="1">
        <f t="array" aca="1" ref="H28" ca="1">INDIRECT("'※ 기타지표 세부데이터'!"&amp;H$1&amp;$X28, TRUE)</f>
        <v>0</v>
      </c>
      <c r="I28" s="3045" cm="1">
        <f t="array" aca="1" ref="I28" ca="1">INDIRECT("'※ 기타지표 세부데이터'!"&amp;I$1&amp;$X28, TRUE)</f>
        <v>0</v>
      </c>
      <c r="J28" s="3045" cm="1">
        <f t="array" aca="1" ref="J28" ca="1">INDIRECT("'※ 기타지표 세부데이터'!"&amp;J$1&amp;$X28, TRUE)</f>
        <v>0</v>
      </c>
      <c r="K28" s="3045" cm="1">
        <f t="array" aca="1" ref="K28" ca="1">INDIRECT("'※ 기타지표 세부데이터'!"&amp;K$1&amp;$X28, TRUE)</f>
        <v>0</v>
      </c>
      <c r="L28" s="3045" cm="1">
        <f t="array" aca="1" ref="L28" ca="1">INDIRECT("'※ 기타지표 세부데이터'!"&amp;L$1&amp;$X28, TRUE)</f>
        <v>0</v>
      </c>
      <c r="M28" s="3045" cm="1">
        <f t="array" aca="1" ref="M28" ca="1">INDIRECT("'※ 기타지표 세부데이터'!"&amp;M$1&amp;$X28, TRUE)</f>
        <v>0</v>
      </c>
      <c r="N28" s="3045" cm="1">
        <f t="array" aca="1" ref="N28" ca="1">INDIRECT("'※ 기타지표 세부데이터'!"&amp;N$1&amp;$X28, TRUE)</f>
        <v>0</v>
      </c>
      <c r="O28" s="3045" cm="1">
        <f t="array" aca="1" ref="O28" ca="1">INDIRECT("'※ 기타지표 세부데이터'!"&amp;O$1&amp;$X28, TRUE)</f>
        <v>0</v>
      </c>
      <c r="P28" s="3045" cm="1">
        <f t="array" aca="1" ref="P28" ca="1">INDIRECT("'※ 기타지표 세부데이터'!"&amp;P$1&amp;$X28, TRUE)</f>
        <v>0</v>
      </c>
      <c r="Q28" s="3045" cm="1">
        <f t="array" aca="1" ref="Q28" ca="1">INDIRECT("'※ 기타지표 세부데이터'!"&amp;Q$1&amp;$X28, TRUE)</f>
        <v>0</v>
      </c>
      <c r="R28" s="3064" cm="1">
        <f t="array" aca="1" ref="R28" ca="1">INDIRECT("'※ 기타지표 세부데이터'!"&amp;R$1&amp;$X28, TRUE)</f>
        <v>0</v>
      </c>
      <c r="S28" s="3065" cm="1">
        <f t="array" aca="1" ref="S28" ca="1">INDIRECT("'※ 기타지표 세부데이터'!"&amp;S$1&amp;$X28, TRUE)</f>
        <v>0</v>
      </c>
      <c r="T28" s="3066" cm="1">
        <f t="array" aca="1" ref="T28" ca="1">INDIRECT("'※ 기타지표 세부데이터'!"&amp;T$1&amp;$X28, TRUE)</f>
        <v>0</v>
      </c>
      <c r="U28" s="3067" cm="1">
        <f t="array" aca="1" ref="U28" ca="1">INDIRECT("'※ 기타지표 세부데이터'!"&amp;U$1&amp;$X28, TRUE)</f>
        <v>0</v>
      </c>
      <c r="V28" s="3064" cm="1">
        <f t="array" aca="1" ref="V28" ca="1">INDIRECT("'※ 기타지표 세부데이터'!"&amp;V$1&amp;$X28, TRUE)</f>
        <v>0</v>
      </c>
      <c r="W28" s="3068" cm="1">
        <f t="array" aca="1" ref="W28" ca="1">INDIRECT("'※ 기타지표 세부데이터'!"&amp;W$1&amp;$X28, TRUE)</f>
        <v>0</v>
      </c>
      <c r="X28" s="3002">
        <f>ROW('※ 기타지표 세부데이터'!J47)</f>
        <v>47</v>
      </c>
      <c r="Y28" s="3033"/>
      <c r="Z28" s="3033"/>
      <c r="AA28" s="3033"/>
      <c r="AB28" s="3053">
        <v>0</v>
      </c>
    </row>
    <row r="29" spans="1:40" ht="16" customHeight="1" x14ac:dyDescent="0.55000000000000004">
      <c r="A29" s="7558"/>
      <c r="B29" s="7570"/>
      <c r="C29" s="3078" t="s">
        <v>326</v>
      </c>
      <c r="D29" s="3063" cm="1">
        <f t="array" aca="1" ref="D29" ca="1">INDIRECT("'※ 기타지표 세부데이터'!"&amp;D$1&amp;$X29, TRUE)</f>
        <v>0</v>
      </c>
      <c r="E29" s="3063" cm="1">
        <f t="array" aca="1" ref="E29" ca="1">INDIRECT("'※ 기타지표 세부데이터'!"&amp;E$1&amp;$X29, TRUE)</f>
        <v>0</v>
      </c>
      <c r="F29" s="2683" cm="1">
        <f t="array" aca="1" ref="F29" ca="1">INDIRECT("'※ 기타지표 세부데이터'!"&amp;F$1&amp;$X29, TRUE)</f>
        <v>0</v>
      </c>
      <c r="G29" s="3045" cm="1">
        <f t="array" aca="1" ref="G29" ca="1">INDIRECT("'※ 기타지표 세부데이터'!"&amp;G$1&amp;$X29, TRUE)</f>
        <v>0</v>
      </c>
      <c r="H29" s="3045" cm="1">
        <f t="array" aca="1" ref="H29" ca="1">INDIRECT("'※ 기타지표 세부데이터'!"&amp;H$1&amp;$X29, TRUE)</f>
        <v>0</v>
      </c>
      <c r="I29" s="3045" cm="1">
        <f t="array" aca="1" ref="I29" ca="1">INDIRECT("'※ 기타지표 세부데이터'!"&amp;I$1&amp;$X29, TRUE)</f>
        <v>0</v>
      </c>
      <c r="J29" s="3045" cm="1">
        <f t="array" aca="1" ref="J29" ca="1">INDIRECT("'※ 기타지표 세부데이터'!"&amp;J$1&amp;$X29, TRUE)</f>
        <v>0</v>
      </c>
      <c r="K29" s="3045" cm="1">
        <f t="array" aca="1" ref="K29" ca="1">INDIRECT("'※ 기타지표 세부데이터'!"&amp;K$1&amp;$X29, TRUE)</f>
        <v>0</v>
      </c>
      <c r="L29" s="3045" cm="1">
        <f t="array" aca="1" ref="L29" ca="1">INDIRECT("'※ 기타지표 세부데이터'!"&amp;L$1&amp;$X29, TRUE)</f>
        <v>0</v>
      </c>
      <c r="M29" s="3045" cm="1">
        <f t="array" aca="1" ref="M29" ca="1">INDIRECT("'※ 기타지표 세부데이터'!"&amp;M$1&amp;$X29, TRUE)</f>
        <v>0</v>
      </c>
      <c r="N29" s="3045" cm="1">
        <f t="array" aca="1" ref="N29" ca="1">INDIRECT("'※ 기타지표 세부데이터'!"&amp;N$1&amp;$X29, TRUE)</f>
        <v>0</v>
      </c>
      <c r="O29" s="3045" cm="1">
        <f t="array" aca="1" ref="O29" ca="1">INDIRECT("'※ 기타지표 세부데이터'!"&amp;O$1&amp;$X29, TRUE)</f>
        <v>0</v>
      </c>
      <c r="P29" s="3045" cm="1">
        <f t="array" aca="1" ref="P29" ca="1">INDIRECT("'※ 기타지표 세부데이터'!"&amp;P$1&amp;$X29, TRUE)</f>
        <v>0</v>
      </c>
      <c r="Q29" s="3045" cm="1">
        <f t="array" aca="1" ref="Q29" ca="1">INDIRECT("'※ 기타지표 세부데이터'!"&amp;Q$1&amp;$X29, TRUE)</f>
        <v>0</v>
      </c>
      <c r="R29" s="3064" cm="1">
        <f t="array" aca="1" ref="R29" ca="1">INDIRECT("'※ 기타지표 세부데이터'!"&amp;R$1&amp;$X29, TRUE)</f>
        <v>0</v>
      </c>
      <c r="S29" s="3065" cm="1">
        <f t="array" aca="1" ref="S29" ca="1">INDIRECT("'※ 기타지표 세부데이터'!"&amp;S$1&amp;$X29, TRUE)</f>
        <v>0</v>
      </c>
      <c r="T29" s="3066" cm="1">
        <f t="array" aca="1" ref="T29" ca="1">INDIRECT("'※ 기타지표 세부데이터'!"&amp;T$1&amp;$X29, TRUE)</f>
        <v>0</v>
      </c>
      <c r="U29" s="3067" cm="1">
        <f t="array" aca="1" ref="U29" ca="1">INDIRECT("'※ 기타지표 세부데이터'!"&amp;U$1&amp;$X29, TRUE)</f>
        <v>0</v>
      </c>
      <c r="V29" s="3064" cm="1">
        <f t="array" aca="1" ref="V29" ca="1">INDIRECT("'※ 기타지표 세부데이터'!"&amp;V$1&amp;$X29, TRUE)</f>
        <v>0</v>
      </c>
      <c r="W29" s="3068" cm="1">
        <f t="array" aca="1" ref="W29" ca="1">INDIRECT("'※ 기타지표 세부데이터'!"&amp;W$1&amp;$X29, TRUE)</f>
        <v>0</v>
      </c>
      <c r="X29" s="3002">
        <f>ROW('※ 기타지표 세부데이터'!J48)</f>
        <v>48</v>
      </c>
      <c r="Y29" s="3033"/>
      <c r="Z29" s="3033"/>
      <c r="AA29" s="3033"/>
      <c r="AB29" s="3053">
        <v>0</v>
      </c>
    </row>
    <row r="30" spans="1:40" ht="16" customHeight="1" x14ac:dyDescent="0.55000000000000004">
      <c r="A30" s="7558"/>
      <c r="B30" s="7569" t="s">
        <v>816</v>
      </c>
      <c r="C30" s="3069" t="s">
        <v>958</v>
      </c>
      <c r="D30" s="3070" cm="1">
        <f t="array" aca="1" ref="D30" ca="1">INDIRECT("'※ 기타지표 세부데이터'!"&amp;D$1&amp;$X30, TRUE)</f>
        <v>0</v>
      </c>
      <c r="E30" s="3070" cm="1">
        <f t="array" aca="1" ref="E30" ca="1">INDIRECT("'※ 기타지표 세부데이터'!"&amp;E$1&amp;$X30, TRUE)</f>
        <v>0.41666666666666669</v>
      </c>
      <c r="F30" s="3071" cm="1">
        <f t="array" aca="1" ref="F30" ca="1">INDIRECT("'※ 기타지표 세부데이터'!"&amp;F$1&amp;$X30, TRUE)</f>
        <v>0</v>
      </c>
      <c r="G30" s="3072" cm="1">
        <f t="array" aca="1" ref="G30" ca="1">INDIRECT("'※ 기타지표 세부데이터'!"&amp;G$1&amp;$X30, TRUE)</f>
        <v>0</v>
      </c>
      <c r="H30" s="3072" cm="1">
        <f t="array" aca="1" ref="H30" ca="1">INDIRECT("'※ 기타지표 세부데이터'!"&amp;H$1&amp;$X30, TRUE)</f>
        <v>0</v>
      </c>
      <c r="I30" s="3072" cm="1">
        <f t="array" aca="1" ref="I30" ca="1">INDIRECT("'※ 기타지표 세부데이터'!"&amp;I$1&amp;$X30, TRUE)</f>
        <v>0</v>
      </c>
      <c r="J30" s="3072" cm="1">
        <f t="array" aca="1" ref="J30" ca="1">INDIRECT("'※ 기타지표 세부데이터'!"&amp;J$1&amp;$X30, TRUE)</f>
        <v>0</v>
      </c>
      <c r="K30" s="3072" cm="1">
        <f t="array" aca="1" ref="K30" ca="1">INDIRECT("'※ 기타지표 세부데이터'!"&amp;K$1&amp;$X30, TRUE)</f>
        <v>0</v>
      </c>
      <c r="L30" s="3072" cm="1">
        <f t="array" aca="1" ref="L30" ca="1">INDIRECT("'※ 기타지표 세부데이터'!"&amp;L$1&amp;$X30, TRUE)</f>
        <v>0</v>
      </c>
      <c r="M30" s="3072" cm="1">
        <f t="array" aca="1" ref="M30" ca="1">INDIRECT("'※ 기타지표 세부데이터'!"&amp;M$1&amp;$X30, TRUE)</f>
        <v>0</v>
      </c>
      <c r="N30" s="3072" cm="1">
        <f t="array" aca="1" ref="N30" ca="1">INDIRECT("'※ 기타지표 세부데이터'!"&amp;N$1&amp;$X30, TRUE)</f>
        <v>0</v>
      </c>
      <c r="O30" s="3072" cm="1">
        <f t="array" aca="1" ref="O30" ca="1">INDIRECT("'※ 기타지표 세부데이터'!"&amp;O$1&amp;$X30, TRUE)</f>
        <v>0</v>
      </c>
      <c r="P30" s="3072" cm="1">
        <f t="array" aca="1" ref="P30" ca="1">INDIRECT("'※ 기타지표 세부데이터'!"&amp;P$1&amp;$X30, TRUE)</f>
        <v>0</v>
      </c>
      <c r="Q30" s="3072" cm="1">
        <f t="array" aca="1" ref="Q30" ca="1">INDIRECT("'※ 기타지표 세부데이터'!"&amp;Q$1&amp;$X30, TRUE)</f>
        <v>0</v>
      </c>
      <c r="R30" s="3073" cm="1">
        <f t="array" aca="1" ref="R30" ca="1">INDIRECT("'※ 기타지표 세부데이터'!"&amp;R$1&amp;$X30, TRUE)</f>
        <v>0</v>
      </c>
      <c r="S30" s="3074" cm="1">
        <f t="array" aca="1" ref="S30" ca="1">INDIRECT("'※ 기타지표 세부데이터'!"&amp;S$1&amp;$X30, TRUE)</f>
        <v>0</v>
      </c>
      <c r="T30" s="3075" cm="1">
        <f t="array" aca="1" ref="T30" ca="1">INDIRECT("'※ 기타지표 세부데이터'!"&amp;T$1&amp;$X30, TRUE)</f>
        <v>0</v>
      </c>
      <c r="U30" s="3076" cm="1">
        <f t="array" aca="1" ref="U30" ca="1">INDIRECT("'※ 기타지표 세부데이터'!"&amp;U$1&amp;$X30, TRUE)</f>
        <v>-5</v>
      </c>
      <c r="V30" s="3073" cm="1">
        <f t="array" aca="1" ref="V30" ca="1">INDIRECT("'※ 기타지표 세부데이터'!"&amp;V$1&amp;$X30, TRUE)</f>
        <v>0</v>
      </c>
      <c r="W30" s="3077" cm="1">
        <f t="array" aca="1" ref="W30" ca="1">INDIRECT("'※ 기타지표 세부데이터'!"&amp;W$1&amp;$X30, TRUE)</f>
        <v>-0.41666666666666669</v>
      </c>
      <c r="X30" s="3002">
        <f>ROW('※ 기타지표 세부데이터'!J49)</f>
        <v>49</v>
      </c>
      <c r="Y30" s="3033"/>
      <c r="Z30" s="3033"/>
      <c r="AA30" s="3033"/>
      <c r="AB30" s="3053">
        <v>0</v>
      </c>
    </row>
    <row r="31" spans="1:40" ht="16" customHeight="1" x14ac:dyDescent="0.55000000000000004">
      <c r="A31" s="7558"/>
      <c r="B31" s="7570"/>
      <c r="C31" s="3078" t="s">
        <v>326</v>
      </c>
      <c r="D31" s="3079" cm="1">
        <f t="array" aca="1" ref="D31" ca="1">INDIRECT("'※ 기타지표 세부데이터'!"&amp;D$1&amp;$X31, TRUE)</f>
        <v>0</v>
      </c>
      <c r="E31" s="3079" cm="1">
        <f t="array" aca="1" ref="E31" ca="1">INDIRECT("'※ 기타지표 세부데이터'!"&amp;E$1&amp;$X31, TRUE)</f>
        <v>9.75</v>
      </c>
      <c r="F31" s="3080" cm="1">
        <f t="array" aca="1" ref="F31" ca="1">INDIRECT("'※ 기타지표 세부데이터'!"&amp;F$1&amp;$X31, TRUE)</f>
        <v>0</v>
      </c>
      <c r="G31" s="3081" cm="1">
        <f t="array" aca="1" ref="G31" ca="1">INDIRECT("'※ 기타지표 세부데이터'!"&amp;G$1&amp;$X31, TRUE)</f>
        <v>0</v>
      </c>
      <c r="H31" s="3081" cm="1">
        <f t="array" aca="1" ref="H31" ca="1">INDIRECT("'※ 기타지표 세부데이터'!"&amp;H$1&amp;$X31, TRUE)</f>
        <v>0</v>
      </c>
      <c r="I31" s="3081" cm="1">
        <f t="array" aca="1" ref="I31" ca="1">INDIRECT("'※ 기타지표 세부데이터'!"&amp;I$1&amp;$X31, TRUE)</f>
        <v>0</v>
      </c>
      <c r="J31" s="3081" cm="1">
        <f t="array" aca="1" ref="J31" ca="1">INDIRECT("'※ 기타지표 세부데이터'!"&amp;J$1&amp;$X31, TRUE)</f>
        <v>0</v>
      </c>
      <c r="K31" s="3081" cm="1">
        <f t="array" aca="1" ref="K31" ca="1">INDIRECT("'※ 기타지표 세부데이터'!"&amp;K$1&amp;$X31, TRUE)</f>
        <v>0</v>
      </c>
      <c r="L31" s="3081" cm="1">
        <f t="array" aca="1" ref="L31" ca="1">INDIRECT("'※ 기타지표 세부데이터'!"&amp;L$1&amp;$X31, TRUE)</f>
        <v>0</v>
      </c>
      <c r="M31" s="3081" cm="1">
        <f t="array" aca="1" ref="M31" ca="1">INDIRECT("'※ 기타지표 세부데이터'!"&amp;M$1&amp;$X31, TRUE)</f>
        <v>0</v>
      </c>
      <c r="N31" s="3081" cm="1">
        <f t="array" aca="1" ref="N31" ca="1">INDIRECT("'※ 기타지표 세부데이터'!"&amp;N$1&amp;$X31, TRUE)</f>
        <v>0</v>
      </c>
      <c r="O31" s="3081" cm="1">
        <f t="array" aca="1" ref="O31" ca="1">INDIRECT("'※ 기타지표 세부데이터'!"&amp;O$1&amp;$X31, TRUE)</f>
        <v>0</v>
      </c>
      <c r="P31" s="3081" cm="1">
        <f t="array" aca="1" ref="P31" ca="1">INDIRECT("'※ 기타지표 세부데이터'!"&amp;P$1&amp;$X31, TRUE)</f>
        <v>0</v>
      </c>
      <c r="Q31" s="3081" cm="1">
        <f t="array" aca="1" ref="Q31" ca="1">INDIRECT("'※ 기타지표 세부데이터'!"&amp;Q$1&amp;$X31, TRUE)</f>
        <v>0</v>
      </c>
      <c r="R31" s="3082" cm="1">
        <f t="array" aca="1" ref="R31" ca="1">INDIRECT("'※ 기타지표 세부데이터'!"&amp;R$1&amp;$X31, TRUE)</f>
        <v>0</v>
      </c>
      <c r="S31" s="3083" cm="1">
        <f t="array" aca="1" ref="S31" ca="1">INDIRECT("'※ 기타지표 세부데이터'!"&amp;S$1&amp;$X31, TRUE)</f>
        <v>0</v>
      </c>
      <c r="T31" s="3084" cm="1">
        <f t="array" aca="1" ref="T31" ca="1">INDIRECT("'※ 기타지표 세부데이터'!"&amp;T$1&amp;$X31, TRUE)</f>
        <v>0</v>
      </c>
      <c r="U31" s="3085" cm="1">
        <f t="array" aca="1" ref="U31" ca="1">INDIRECT("'※ 기타지표 세부데이터'!"&amp;U$1&amp;$X31, TRUE)</f>
        <v>-117</v>
      </c>
      <c r="V31" s="3082" cm="1">
        <f t="array" aca="1" ref="V31" ca="1">INDIRECT("'※ 기타지표 세부데이터'!"&amp;V$1&amp;$X31, TRUE)</f>
        <v>0</v>
      </c>
      <c r="W31" s="3086" cm="1">
        <f t="array" aca="1" ref="W31" ca="1">INDIRECT("'※ 기타지표 세부데이터'!"&amp;W$1&amp;$X31, TRUE)</f>
        <v>-9.75</v>
      </c>
      <c r="X31" s="3002">
        <f>ROW('※ 기타지표 세부데이터'!J50)</f>
        <v>50</v>
      </c>
      <c r="Y31" s="3033"/>
      <c r="Z31" s="3033"/>
      <c r="AA31" s="3033"/>
      <c r="AB31" s="3053">
        <v>0</v>
      </c>
    </row>
    <row r="32" spans="1:40" ht="16" customHeight="1" x14ac:dyDescent="0.55000000000000004">
      <c r="A32" s="7558"/>
      <c r="B32" s="7571" t="s">
        <v>815</v>
      </c>
      <c r="C32" s="3033" t="s">
        <v>958</v>
      </c>
      <c r="D32" s="3063" cm="1">
        <f t="array" aca="1" ref="D32" ca="1">INDIRECT("'※ 기타지표 세부데이터'!"&amp;D$1&amp;$X32, TRUE)</f>
        <v>0</v>
      </c>
      <c r="E32" s="3063" cm="1">
        <f t="array" aca="1" ref="E32" ca="1">INDIRECT("'※ 기타지표 세부데이터'!"&amp;E$1&amp;$X32, TRUE)</f>
        <v>0</v>
      </c>
      <c r="F32" s="2683" cm="1">
        <f t="array" aca="1" ref="F32" ca="1">INDIRECT("'※ 기타지표 세부데이터'!"&amp;F$1&amp;$X32, TRUE)</f>
        <v>0</v>
      </c>
      <c r="G32" s="3045" cm="1">
        <f t="array" aca="1" ref="G32" ca="1">INDIRECT("'※ 기타지표 세부데이터'!"&amp;G$1&amp;$X32, TRUE)</f>
        <v>0</v>
      </c>
      <c r="H32" s="3045" cm="1">
        <f t="array" aca="1" ref="H32" ca="1">INDIRECT("'※ 기타지표 세부데이터'!"&amp;H$1&amp;$X32, TRUE)</f>
        <v>0</v>
      </c>
      <c r="I32" s="3045" cm="1">
        <f t="array" aca="1" ref="I32" ca="1">INDIRECT("'※ 기타지표 세부데이터'!"&amp;I$1&amp;$X32, TRUE)</f>
        <v>0</v>
      </c>
      <c r="J32" s="3045" cm="1">
        <f t="array" aca="1" ref="J32" ca="1">INDIRECT("'※ 기타지표 세부데이터'!"&amp;J$1&amp;$X32, TRUE)</f>
        <v>0</v>
      </c>
      <c r="K32" s="3045" cm="1">
        <f t="array" aca="1" ref="K32" ca="1">INDIRECT("'※ 기타지표 세부데이터'!"&amp;K$1&amp;$X32, TRUE)</f>
        <v>0</v>
      </c>
      <c r="L32" s="3045" cm="1">
        <f t="array" aca="1" ref="L32" ca="1">INDIRECT("'※ 기타지표 세부데이터'!"&amp;L$1&amp;$X32, TRUE)</f>
        <v>0</v>
      </c>
      <c r="M32" s="3045" cm="1">
        <f t="array" aca="1" ref="M32" ca="1">INDIRECT("'※ 기타지표 세부데이터'!"&amp;M$1&amp;$X32, TRUE)</f>
        <v>0</v>
      </c>
      <c r="N32" s="3045" cm="1">
        <f t="array" aca="1" ref="N32" ca="1">INDIRECT("'※ 기타지표 세부데이터'!"&amp;N$1&amp;$X32, TRUE)</f>
        <v>0</v>
      </c>
      <c r="O32" s="3045" cm="1">
        <f t="array" aca="1" ref="O32" ca="1">INDIRECT("'※ 기타지표 세부데이터'!"&amp;O$1&amp;$X32, TRUE)</f>
        <v>0</v>
      </c>
      <c r="P32" s="3045" cm="1">
        <f t="array" aca="1" ref="P32" ca="1">INDIRECT("'※ 기타지표 세부데이터'!"&amp;P$1&amp;$X32, TRUE)</f>
        <v>0</v>
      </c>
      <c r="Q32" s="3045" cm="1">
        <f t="array" aca="1" ref="Q32" ca="1">INDIRECT("'※ 기타지표 세부데이터'!"&amp;Q$1&amp;$X32, TRUE)</f>
        <v>0</v>
      </c>
      <c r="R32" s="3064" cm="1">
        <f t="array" aca="1" ref="R32" ca="1">INDIRECT("'※ 기타지표 세부데이터'!"&amp;R$1&amp;$X32, TRUE)</f>
        <v>0</v>
      </c>
      <c r="S32" s="3065" cm="1">
        <f t="array" aca="1" ref="S32" ca="1">INDIRECT("'※ 기타지표 세부데이터'!"&amp;S$1&amp;$X32, TRUE)</f>
        <v>0</v>
      </c>
      <c r="T32" s="3066" cm="1">
        <f t="array" aca="1" ref="T32" ca="1">INDIRECT("'※ 기타지표 세부데이터'!"&amp;T$1&amp;$X32, TRUE)</f>
        <v>0</v>
      </c>
      <c r="U32" s="3067" cm="1">
        <f t="array" aca="1" ref="U32" ca="1">INDIRECT("'※ 기타지표 세부데이터'!"&amp;U$1&amp;$X32, TRUE)</f>
        <v>0</v>
      </c>
      <c r="V32" s="3064" cm="1">
        <f t="array" aca="1" ref="V32" ca="1">INDIRECT("'※ 기타지표 세부데이터'!"&amp;V$1&amp;$X32, TRUE)</f>
        <v>0</v>
      </c>
      <c r="W32" s="3068" cm="1">
        <f t="array" aca="1" ref="W32" ca="1">INDIRECT("'※ 기타지표 세부데이터'!"&amp;W$1&amp;$X32, TRUE)</f>
        <v>0</v>
      </c>
      <c r="X32" s="3002">
        <f>ROW('※ 기타지표 세부데이터'!J51)</f>
        <v>51</v>
      </c>
      <c r="Y32" s="3033"/>
      <c r="Z32" s="3033"/>
      <c r="AA32" s="3033"/>
      <c r="AB32" s="3053">
        <v>0</v>
      </c>
    </row>
    <row r="33" spans="1:40" ht="16" customHeight="1" x14ac:dyDescent="0.55000000000000004">
      <c r="A33" s="7558"/>
      <c r="B33" s="7564"/>
      <c r="C33" s="3087" t="s">
        <v>326</v>
      </c>
      <c r="D33" s="3063" cm="1">
        <f t="array" aca="1" ref="D33" ca="1">INDIRECT("'※ 기타지표 세부데이터'!"&amp;D$1&amp;$X33, TRUE)</f>
        <v>0</v>
      </c>
      <c r="E33" s="3063" cm="1">
        <f t="array" aca="1" ref="E33" ca="1">INDIRECT("'※ 기타지표 세부데이터'!"&amp;E$1&amp;$X33, TRUE)</f>
        <v>0</v>
      </c>
      <c r="F33" s="2683" cm="1">
        <f t="array" aca="1" ref="F33" ca="1">INDIRECT("'※ 기타지표 세부데이터'!"&amp;F$1&amp;$X33, TRUE)</f>
        <v>0</v>
      </c>
      <c r="G33" s="3045" cm="1">
        <f t="array" aca="1" ref="G33" ca="1">INDIRECT("'※ 기타지표 세부데이터'!"&amp;G$1&amp;$X33, TRUE)</f>
        <v>0</v>
      </c>
      <c r="H33" s="3045" cm="1">
        <f t="array" aca="1" ref="H33" ca="1">INDIRECT("'※ 기타지표 세부데이터'!"&amp;H$1&amp;$X33, TRUE)</f>
        <v>0</v>
      </c>
      <c r="I33" s="3045" cm="1">
        <f t="array" aca="1" ref="I33" ca="1">INDIRECT("'※ 기타지표 세부데이터'!"&amp;I$1&amp;$X33, TRUE)</f>
        <v>0</v>
      </c>
      <c r="J33" s="3045" cm="1">
        <f t="array" aca="1" ref="J33" ca="1">INDIRECT("'※ 기타지표 세부데이터'!"&amp;J$1&amp;$X33, TRUE)</f>
        <v>0</v>
      </c>
      <c r="K33" s="3045" cm="1">
        <f t="array" aca="1" ref="K33" ca="1">INDIRECT("'※ 기타지표 세부데이터'!"&amp;K$1&amp;$X33, TRUE)</f>
        <v>0</v>
      </c>
      <c r="L33" s="3045" cm="1">
        <f t="array" aca="1" ref="L33" ca="1">INDIRECT("'※ 기타지표 세부데이터'!"&amp;L$1&amp;$X33, TRUE)</f>
        <v>0</v>
      </c>
      <c r="M33" s="3045" cm="1">
        <f t="array" aca="1" ref="M33" ca="1">INDIRECT("'※ 기타지표 세부데이터'!"&amp;M$1&amp;$X33, TRUE)</f>
        <v>0</v>
      </c>
      <c r="N33" s="3045" cm="1">
        <f t="array" aca="1" ref="N33" ca="1">INDIRECT("'※ 기타지표 세부데이터'!"&amp;N$1&amp;$X33, TRUE)</f>
        <v>0</v>
      </c>
      <c r="O33" s="3045" cm="1">
        <f t="array" aca="1" ref="O33" ca="1">INDIRECT("'※ 기타지표 세부데이터'!"&amp;O$1&amp;$X33, TRUE)</f>
        <v>0</v>
      </c>
      <c r="P33" s="3045" cm="1">
        <f t="array" aca="1" ref="P33" ca="1">INDIRECT("'※ 기타지표 세부데이터'!"&amp;P$1&amp;$X33, TRUE)</f>
        <v>0</v>
      </c>
      <c r="Q33" s="3045" cm="1">
        <f t="array" aca="1" ref="Q33" ca="1">INDIRECT("'※ 기타지표 세부데이터'!"&amp;Q$1&amp;$X33, TRUE)</f>
        <v>0</v>
      </c>
      <c r="R33" s="3064" cm="1">
        <f t="array" aca="1" ref="R33" ca="1">INDIRECT("'※ 기타지표 세부데이터'!"&amp;R$1&amp;$X33, TRUE)</f>
        <v>-2</v>
      </c>
      <c r="S33" s="3065" cm="1">
        <f t="array" aca="1" ref="S33" ca="1">INDIRECT("'※ 기타지표 세부데이터'!"&amp;S$1&amp;$X33, TRUE)</f>
        <v>0</v>
      </c>
      <c r="T33" s="3066" cm="1">
        <f t="array" aca="1" ref="T33" ca="1">INDIRECT("'※ 기타지표 세부데이터'!"&amp;T$1&amp;$X33, TRUE)</f>
        <v>0</v>
      </c>
      <c r="U33" s="3067" cm="1">
        <f t="array" aca="1" ref="U33" ca="1">INDIRECT("'※ 기타지표 세부데이터'!"&amp;U$1&amp;$X33, TRUE)</f>
        <v>0</v>
      </c>
      <c r="V33" s="3064" cm="1">
        <f t="array" aca="1" ref="V33" ca="1">INDIRECT("'※ 기타지표 세부데이터'!"&amp;V$1&amp;$X33, TRUE)</f>
        <v>0</v>
      </c>
      <c r="W33" s="3068" cm="1">
        <f t="array" aca="1" ref="W33" ca="1">INDIRECT("'※ 기타지표 세부데이터'!"&amp;W$1&amp;$X33, TRUE)</f>
        <v>0</v>
      </c>
      <c r="X33" s="3002">
        <f>ROW('※ 기타지표 세부데이터'!J52)</f>
        <v>52</v>
      </c>
      <c r="Y33" s="3033"/>
      <c r="Z33" s="3033"/>
      <c r="AA33" s="3033"/>
      <c r="AB33" s="3053">
        <v>0</v>
      </c>
    </row>
    <row r="34" spans="1:40" ht="16" customHeight="1" x14ac:dyDescent="0.55000000000000004">
      <c r="A34" s="7558"/>
      <c r="B34" s="3088" t="s">
        <v>328</v>
      </c>
      <c r="C34" s="3089"/>
      <c r="D34" s="3090" cm="1">
        <f t="array" aca="1" ref="D34" ca="1">INDIRECT("'※ 기타지표 세부데이터'!"&amp;D$1&amp;$X34, TRUE)</f>
        <v>1.25</v>
      </c>
      <c r="E34" s="3090" cm="1">
        <f t="array" aca="1" ref="E34" ca="1">INDIRECT("'※ 기타지표 세부데이터'!"&amp;E$1&amp;$X34, TRUE)</f>
        <v>5.75</v>
      </c>
      <c r="F34" s="3091" cm="1">
        <f t="array" aca="1" ref="F34" ca="1">INDIRECT("'※ 기타지표 세부데이터'!"&amp;F$1&amp;$X34, TRUE)</f>
        <v>1</v>
      </c>
      <c r="G34" s="3092" cm="1">
        <f t="array" aca="1" ref="G34" ca="1">INDIRECT("'※ 기타지표 세부데이터'!"&amp;G$1&amp;$X34, TRUE)</f>
        <v>2</v>
      </c>
      <c r="H34" s="3092" cm="1">
        <f t="array" aca="1" ref="H34" ca="1">INDIRECT("'※ 기타지표 세부데이터'!"&amp;H$1&amp;$X34, TRUE)</f>
        <v>8</v>
      </c>
      <c r="I34" s="3092" cm="1">
        <f t="array" aca="1" ref="I34" ca="1">INDIRECT("'※ 기타지표 세부데이터'!"&amp;I$1&amp;$X34, TRUE)</f>
        <v>3</v>
      </c>
      <c r="J34" s="3092" cm="1">
        <f t="array" aca="1" ref="J34" ca="1">INDIRECT("'※ 기타지표 세부데이터'!"&amp;J$1&amp;$X34, TRUE)</f>
        <v>15</v>
      </c>
      <c r="K34" s="3092" cm="1">
        <f t="array" aca="1" ref="K34" ca="1">INDIRECT("'※ 기타지표 세부데이터'!"&amp;K$1&amp;$X34, TRUE)</f>
        <v>0</v>
      </c>
      <c r="L34" s="3092" cm="1">
        <f t="array" aca="1" ref="L34" ca="1">INDIRECT("'※ 기타지표 세부데이터'!"&amp;L$1&amp;$X34, TRUE)</f>
        <v>1</v>
      </c>
      <c r="M34" s="3092" cm="1">
        <f t="array" aca="1" ref="M34" ca="1">INDIRECT("'※ 기타지표 세부데이터'!"&amp;M$1&amp;$X34, TRUE)</f>
        <v>3</v>
      </c>
      <c r="N34" s="3092" cm="1">
        <f t="array" aca="1" ref="N34" ca="1">INDIRECT("'※ 기타지표 세부데이터'!"&amp;N$1&amp;$X34, TRUE)</f>
        <v>3</v>
      </c>
      <c r="O34" s="3092" cm="1">
        <f t="array" aca="1" ref="O34" ca="1">INDIRECT("'※ 기타지표 세부데이터'!"&amp;O$1&amp;$X34, TRUE)</f>
        <v>0</v>
      </c>
      <c r="P34" s="3092" cm="1">
        <f t="array" aca="1" ref="P34" ca="1">INDIRECT("'※ 기타지표 세부데이터'!"&amp;P$1&amp;$X34, TRUE)</f>
        <v>2</v>
      </c>
      <c r="Q34" s="3092" cm="1">
        <f t="array" aca="1" ref="Q34" ca="1">INDIRECT("'※ 기타지표 세부데이터'!"&amp;Q$1&amp;$X34, TRUE)</f>
        <v>0</v>
      </c>
      <c r="R34" s="3093" cm="1">
        <f t="array" aca="1" ref="R34" ca="1">INDIRECT("'※ 기타지표 세부데이터'!"&amp;R$1&amp;$X34, TRUE)</f>
        <v>-2</v>
      </c>
      <c r="S34" s="3094" cm="1">
        <f t="array" aca="1" ref="S34" ca="1">INDIRECT("'※ 기타지표 세부데이터'!"&amp;S$1&amp;$X34, TRUE)</f>
        <v>0</v>
      </c>
      <c r="T34" s="3095" cm="1">
        <f t="array" aca="1" ref="T34" ca="1">INDIRECT("'※ 기타지표 세부데이터'!"&amp;T$1&amp;$X34, TRUE)</f>
        <v>38</v>
      </c>
      <c r="U34" s="3096" cm="1">
        <f t="array" aca="1" ref="U34" ca="1">INDIRECT("'※ 기타지표 세부데이터'!"&amp;U$1&amp;$X34, TRUE)</f>
        <v>-31</v>
      </c>
      <c r="V34" s="3093" cm="1">
        <f t="array" aca="1" ref="V34" ca="1">INDIRECT("'※ 기타지표 세부데이터'!"&amp;V$1&amp;$X34, TRUE)</f>
        <v>3.1666666666666665</v>
      </c>
      <c r="W34" s="3097" cm="1">
        <f t="array" aca="1" ref="W34" ca="1">INDIRECT("'※ 기타지표 세부데이터'!"&amp;W$1&amp;$X34, TRUE)</f>
        <v>-2.5833333333333335</v>
      </c>
      <c r="X34" s="3002">
        <f>ROW('※ 기타지표 세부데이터'!J53)</f>
        <v>53</v>
      </c>
      <c r="Y34" s="3014"/>
      <c r="Z34" s="3014"/>
      <c r="AA34" s="3014"/>
      <c r="AB34" s="3053">
        <v>1.25</v>
      </c>
      <c r="AC34" s="2441">
        <v>1</v>
      </c>
      <c r="AD34" s="2441">
        <v>0</v>
      </c>
      <c r="AE34" s="2441">
        <v>0</v>
      </c>
      <c r="AF34" s="2441">
        <v>2</v>
      </c>
      <c r="AG34" s="2441">
        <v>4</v>
      </c>
      <c r="AH34" s="2441">
        <v>0</v>
      </c>
      <c r="AI34" s="2441">
        <v>1</v>
      </c>
      <c r="AJ34" s="2441">
        <v>0</v>
      </c>
      <c r="AK34" s="2441">
        <v>3</v>
      </c>
      <c r="AL34" s="2441">
        <v>1</v>
      </c>
      <c r="AM34" s="2441">
        <v>3</v>
      </c>
      <c r="AN34" s="2441">
        <v>0</v>
      </c>
    </row>
    <row r="35" spans="1:40" ht="16" customHeight="1" x14ac:dyDescent="0.55000000000000004">
      <c r="A35" s="7558"/>
      <c r="B35" s="3098" t="s">
        <v>1019</v>
      </c>
      <c r="C35" s="3033"/>
      <c r="D35" s="3063" cm="1">
        <f t="array" aca="1" ref="D35" ca="1">INDIRECT("'※ 기타지표 세부데이터'!"&amp;D$1&amp;$X35, TRUE)</f>
        <v>1.25</v>
      </c>
      <c r="E35" s="3063" cm="1">
        <f t="array" aca="1" ref="E35" ca="1">INDIRECT("'※ 기타지표 세부데이터'!"&amp;E$1&amp;$X35, TRUE)</f>
        <v>5.333333333333333</v>
      </c>
      <c r="F35" s="2683" cm="1">
        <f t="array" aca="1" ref="F35" ca="1">INDIRECT("'※ 기타지표 세부데이터'!"&amp;F$1&amp;$X35, TRUE)</f>
        <v>1</v>
      </c>
      <c r="G35" s="3045" cm="1">
        <f t="array" aca="1" ref="G35" ca="1">INDIRECT("'※ 기타지표 세부데이터'!"&amp;G$1&amp;$X35, TRUE)</f>
        <v>2</v>
      </c>
      <c r="H35" s="3045" cm="1">
        <f t="array" aca="1" ref="H35" ca="1">INDIRECT("'※ 기타지표 세부데이터'!"&amp;H$1&amp;$X35, TRUE)</f>
        <v>8</v>
      </c>
      <c r="I35" s="3045" cm="1">
        <f t="array" aca="1" ref="I35" ca="1">INDIRECT("'※ 기타지표 세부데이터'!"&amp;I$1&amp;$X35, TRUE)</f>
        <v>3</v>
      </c>
      <c r="J35" s="3045" cm="1">
        <f t="array" aca="1" ref="J35" ca="1">INDIRECT("'※ 기타지표 세부데이터'!"&amp;J$1&amp;$X35, TRUE)</f>
        <v>15</v>
      </c>
      <c r="K35" s="3045" cm="1">
        <f t="array" aca="1" ref="K35" ca="1">INDIRECT("'※ 기타지표 세부데이터'!"&amp;K$1&amp;$X35, TRUE)</f>
        <v>0</v>
      </c>
      <c r="L35" s="3045" cm="1">
        <f t="array" aca="1" ref="L35" ca="1">INDIRECT("'※ 기타지표 세부데이터'!"&amp;L$1&amp;$X35, TRUE)</f>
        <v>1</v>
      </c>
      <c r="M35" s="3045" cm="1">
        <f t="array" aca="1" ref="M35" ca="1">INDIRECT("'※ 기타지표 세부데이터'!"&amp;M$1&amp;$X35, TRUE)</f>
        <v>3</v>
      </c>
      <c r="N35" s="3045" cm="1">
        <f t="array" aca="1" ref="N35" ca="1">INDIRECT("'※ 기타지표 세부데이터'!"&amp;N$1&amp;$X35, TRUE)</f>
        <v>3</v>
      </c>
      <c r="O35" s="3045" cm="1">
        <f t="array" aca="1" ref="O35" ca="1">INDIRECT("'※ 기타지표 세부데이터'!"&amp;O$1&amp;$X35, TRUE)</f>
        <v>0</v>
      </c>
      <c r="P35" s="3045" cm="1">
        <f t="array" aca="1" ref="P35" ca="1">INDIRECT("'※ 기타지표 세부데이터'!"&amp;P$1&amp;$X35, TRUE)</f>
        <v>2</v>
      </c>
      <c r="Q35" s="3045" cm="1">
        <f t="array" aca="1" ref="Q35" ca="1">INDIRECT("'※ 기타지표 세부데이터'!"&amp;Q$1&amp;$X35, TRUE)</f>
        <v>0</v>
      </c>
      <c r="R35" s="3064" cm="1">
        <f t="array" aca="1" ref="R35" ca="1">INDIRECT("'※ 기타지표 세부데이터'!"&amp;R$1&amp;$X35, TRUE)</f>
        <v>0</v>
      </c>
      <c r="S35" s="3065" cm="1">
        <f t="array" aca="1" ref="S35" ca="1">INDIRECT("'※ 기타지표 세부데이터'!"&amp;S$1&amp;$X35, TRUE)</f>
        <v>0</v>
      </c>
      <c r="T35" s="3066" cm="1">
        <f t="array" aca="1" ref="T35" ca="1">INDIRECT("'※ 기타지표 세부데이터'!"&amp;T$1&amp;$X35, TRUE)</f>
        <v>38</v>
      </c>
      <c r="U35" s="3067" cm="1">
        <f t="array" aca="1" ref="U35" ca="1">INDIRECT("'※ 기타지표 세부데이터'!"&amp;U$1&amp;$X35, TRUE)</f>
        <v>-26</v>
      </c>
      <c r="V35" s="3064" cm="1">
        <f t="array" aca="1" ref="V35" ca="1">INDIRECT("'※ 기타지표 세부데이터'!"&amp;V$1&amp;$X35, TRUE)</f>
        <v>3.1666666666666665</v>
      </c>
      <c r="W35" s="3068" cm="1">
        <f t="array" aca="1" ref="W35" ca="1">INDIRECT("'※ 기타지표 세부데이터'!"&amp;W$1&amp;$X35, TRUE)</f>
        <v>-2.1666666666666665</v>
      </c>
      <c r="X35" s="3002">
        <f>ROW('※ 기타지표 세부데이터'!J54)</f>
        <v>54</v>
      </c>
      <c r="Y35" s="3033"/>
      <c r="Z35" s="3033"/>
      <c r="AA35" s="3033"/>
      <c r="AB35" s="3053">
        <v>1.25</v>
      </c>
      <c r="AC35" s="2441">
        <v>1</v>
      </c>
      <c r="AD35" s="2441">
        <v>0</v>
      </c>
      <c r="AE35" s="2441">
        <v>0</v>
      </c>
      <c r="AF35" s="2441">
        <v>2</v>
      </c>
      <c r="AG35" s="2441">
        <v>4</v>
      </c>
      <c r="AH35" s="2441">
        <v>0</v>
      </c>
      <c r="AI35" s="2441">
        <v>1</v>
      </c>
      <c r="AJ35" s="2441">
        <v>0</v>
      </c>
      <c r="AK35" s="2441">
        <v>3</v>
      </c>
      <c r="AL35" s="2441">
        <v>1</v>
      </c>
      <c r="AM35" s="2441">
        <v>3</v>
      </c>
      <c r="AN35" s="2441">
        <v>0</v>
      </c>
    </row>
    <row r="36" spans="1:40" ht="16" customHeight="1" x14ac:dyDescent="0.55000000000000004">
      <c r="A36" s="7558"/>
      <c r="B36" s="3099" t="s">
        <v>22</v>
      </c>
      <c r="C36" s="3100"/>
      <c r="D36" s="3101" cm="1">
        <f t="array" aca="1" ref="D36" ca="1">INDIRECT("'※ 기타지표 세부데이터'!"&amp;D$1&amp;$X36, TRUE)</f>
        <v>0</v>
      </c>
      <c r="E36" s="3101" cm="1">
        <f t="array" aca="1" ref="E36" ca="1">INDIRECT("'※ 기타지표 세부데이터'!"&amp;E$1&amp;$X36, TRUE)</f>
        <v>0</v>
      </c>
      <c r="F36" s="3102" cm="1">
        <f t="array" aca="1" ref="F36" ca="1">INDIRECT("'※ 기타지표 세부데이터'!"&amp;F$1&amp;$X36, TRUE)</f>
        <v>0</v>
      </c>
      <c r="G36" s="3103" cm="1">
        <f t="array" aca="1" ref="G36" ca="1">INDIRECT("'※ 기타지표 세부데이터'!"&amp;G$1&amp;$X36, TRUE)</f>
        <v>0</v>
      </c>
      <c r="H36" s="3103" cm="1">
        <f t="array" aca="1" ref="H36" ca="1">INDIRECT("'※ 기타지표 세부데이터'!"&amp;H$1&amp;$X36, TRUE)</f>
        <v>0</v>
      </c>
      <c r="I36" s="3103" cm="1">
        <f t="array" aca="1" ref="I36" ca="1">INDIRECT("'※ 기타지표 세부데이터'!"&amp;I$1&amp;$X36, TRUE)</f>
        <v>0</v>
      </c>
      <c r="J36" s="3103" cm="1">
        <f t="array" aca="1" ref="J36" ca="1">INDIRECT("'※ 기타지표 세부데이터'!"&amp;J$1&amp;$X36, TRUE)</f>
        <v>0</v>
      </c>
      <c r="K36" s="3103" cm="1">
        <f t="array" aca="1" ref="K36" ca="1">INDIRECT("'※ 기타지표 세부데이터'!"&amp;K$1&amp;$X36, TRUE)</f>
        <v>0</v>
      </c>
      <c r="L36" s="3103" cm="1">
        <f t="array" aca="1" ref="L36" ca="1">INDIRECT("'※ 기타지표 세부데이터'!"&amp;L$1&amp;$X36, TRUE)</f>
        <v>0</v>
      </c>
      <c r="M36" s="3103" cm="1">
        <f t="array" aca="1" ref="M36" ca="1">INDIRECT("'※ 기타지표 세부데이터'!"&amp;M$1&amp;$X36, TRUE)</f>
        <v>0</v>
      </c>
      <c r="N36" s="3103" cm="1">
        <f t="array" aca="1" ref="N36" ca="1">INDIRECT("'※ 기타지표 세부데이터'!"&amp;N$1&amp;$X36, TRUE)</f>
        <v>0</v>
      </c>
      <c r="O36" s="3103" cm="1">
        <f t="array" aca="1" ref="O36" ca="1">INDIRECT("'※ 기타지표 세부데이터'!"&amp;O$1&amp;$X36, TRUE)</f>
        <v>0</v>
      </c>
      <c r="P36" s="3103" cm="1">
        <f t="array" aca="1" ref="P36" ca="1">INDIRECT("'※ 기타지표 세부데이터'!"&amp;P$1&amp;$X36, TRUE)</f>
        <v>0</v>
      </c>
      <c r="Q36" s="3103" cm="1">
        <f t="array" aca="1" ref="Q36" ca="1">INDIRECT("'※ 기타지표 세부데이터'!"&amp;Q$1&amp;$X36, TRUE)</f>
        <v>0</v>
      </c>
      <c r="R36" s="3104" cm="1">
        <f t="array" aca="1" ref="R36" ca="1">INDIRECT("'※ 기타지표 세부데이터'!"&amp;R$1&amp;$X36, TRUE)</f>
        <v>0</v>
      </c>
      <c r="S36" s="3105" cm="1">
        <f t="array" aca="1" ref="S36" ca="1">INDIRECT("'※ 기타지표 세부데이터'!"&amp;S$1&amp;$X36, TRUE)</f>
        <v>0</v>
      </c>
      <c r="T36" s="3106" cm="1">
        <f t="array" aca="1" ref="T36" ca="1">INDIRECT("'※ 기타지표 세부데이터'!"&amp;T$1&amp;$X36, TRUE)</f>
        <v>0</v>
      </c>
      <c r="U36" s="3107" cm="1">
        <f t="array" aca="1" ref="U36" ca="1">INDIRECT("'※ 기타지표 세부데이터'!"&amp;U$1&amp;$X36, TRUE)</f>
        <v>0</v>
      </c>
      <c r="V36" s="3104" cm="1">
        <f t="array" aca="1" ref="V36" ca="1">INDIRECT("'※ 기타지표 세부데이터'!"&amp;V$1&amp;$X36, TRUE)</f>
        <v>0</v>
      </c>
      <c r="W36" s="3108" cm="1">
        <f t="array" aca="1" ref="W36" ca="1">INDIRECT("'※ 기타지표 세부데이터'!"&amp;W$1&amp;$X36, TRUE)</f>
        <v>0</v>
      </c>
      <c r="X36" s="3002">
        <f>ROW('※ 기타지표 세부데이터'!J55)</f>
        <v>55</v>
      </c>
      <c r="Y36" s="3033"/>
      <c r="Z36" s="3033"/>
      <c r="AA36" s="3033"/>
      <c r="AB36" s="3053">
        <v>0</v>
      </c>
    </row>
    <row r="37" spans="1:40" ht="16" customHeight="1" x14ac:dyDescent="0.55000000000000004">
      <c r="A37" s="7558"/>
      <c r="B37" s="3109" t="s">
        <v>67</v>
      </c>
      <c r="C37" s="3033"/>
      <c r="D37" s="3063" cm="1">
        <f t="array" aca="1" ref="D37" ca="1">INDIRECT("'※ 기타지표 세부데이터'!"&amp;D$1&amp;$X37, TRUE)</f>
        <v>0</v>
      </c>
      <c r="E37" s="3063" cm="1">
        <f t="array" aca="1" ref="E37" ca="1">INDIRECT("'※ 기타지표 세부데이터'!"&amp;E$1&amp;$X37, TRUE)</f>
        <v>0.41666666666666669</v>
      </c>
      <c r="F37" s="2683" cm="1">
        <f t="array" aca="1" ref="F37" ca="1">INDIRECT("'※ 기타지표 세부데이터'!"&amp;F$1&amp;$X37, TRUE)</f>
        <v>0</v>
      </c>
      <c r="G37" s="3045" cm="1">
        <f t="array" aca="1" ref="G37" ca="1">INDIRECT("'※ 기타지표 세부데이터'!"&amp;G$1&amp;$X37, TRUE)</f>
        <v>0</v>
      </c>
      <c r="H37" s="3045" cm="1">
        <f t="array" aca="1" ref="H37" ca="1">INDIRECT("'※ 기타지표 세부데이터'!"&amp;H$1&amp;$X37, TRUE)</f>
        <v>0</v>
      </c>
      <c r="I37" s="3045" cm="1">
        <f t="array" aca="1" ref="I37" ca="1">INDIRECT("'※ 기타지표 세부데이터'!"&amp;I$1&amp;$X37, TRUE)</f>
        <v>0</v>
      </c>
      <c r="J37" s="3045" cm="1">
        <f t="array" aca="1" ref="J37" ca="1">INDIRECT("'※ 기타지표 세부데이터'!"&amp;J$1&amp;$X37, TRUE)</f>
        <v>0</v>
      </c>
      <c r="K37" s="3045" cm="1">
        <f t="array" aca="1" ref="K37" ca="1">INDIRECT("'※ 기타지표 세부데이터'!"&amp;K$1&amp;$X37, TRUE)</f>
        <v>0</v>
      </c>
      <c r="L37" s="3045" cm="1">
        <f t="array" aca="1" ref="L37" ca="1">INDIRECT("'※ 기타지표 세부데이터'!"&amp;L$1&amp;$X37, TRUE)</f>
        <v>0</v>
      </c>
      <c r="M37" s="3045" cm="1">
        <f t="array" aca="1" ref="M37" ca="1">INDIRECT("'※ 기타지표 세부데이터'!"&amp;M$1&amp;$X37, TRUE)</f>
        <v>0</v>
      </c>
      <c r="N37" s="3045" cm="1">
        <f t="array" aca="1" ref="N37" ca="1">INDIRECT("'※ 기타지표 세부데이터'!"&amp;N$1&amp;$X37, TRUE)</f>
        <v>0</v>
      </c>
      <c r="O37" s="3045" cm="1">
        <f t="array" aca="1" ref="O37" ca="1">INDIRECT("'※ 기타지표 세부데이터'!"&amp;O$1&amp;$X37, TRUE)</f>
        <v>0</v>
      </c>
      <c r="P37" s="3045" cm="1">
        <f t="array" aca="1" ref="P37" ca="1">INDIRECT("'※ 기타지표 세부데이터'!"&amp;P$1&amp;$X37, TRUE)</f>
        <v>0</v>
      </c>
      <c r="Q37" s="3045" cm="1">
        <f t="array" aca="1" ref="Q37" ca="1">INDIRECT("'※ 기타지표 세부데이터'!"&amp;Q$1&amp;$X37, TRUE)</f>
        <v>0</v>
      </c>
      <c r="R37" s="3064" cm="1">
        <f t="array" aca="1" ref="R37" ca="1">INDIRECT("'※ 기타지표 세부데이터'!"&amp;R$1&amp;$X37, TRUE)</f>
        <v>-438</v>
      </c>
      <c r="S37" s="3065" cm="1">
        <f t="array" aca="1" ref="S37" ca="1">INDIRECT("'※ 기타지표 세부데이터'!"&amp;S$1&amp;$X37, TRUE)</f>
        <v>0</v>
      </c>
      <c r="T37" s="3066" cm="1">
        <f t="array" aca="1" ref="T37" ca="1">INDIRECT("'※ 기타지표 세부데이터'!"&amp;T$1&amp;$X37, TRUE)</f>
        <v>0</v>
      </c>
      <c r="U37" s="3067" cm="1">
        <f t="array" aca="1" ref="U37" ca="1">INDIRECT("'※ 기타지표 세부데이터'!"&amp;U$1&amp;$X37, TRUE)</f>
        <v>-5</v>
      </c>
      <c r="V37" s="3064" cm="1">
        <f t="array" aca="1" ref="V37" ca="1">INDIRECT("'※ 기타지표 세부데이터'!"&amp;V$1&amp;$X37, TRUE)</f>
        <v>0</v>
      </c>
      <c r="W37" s="3068" cm="1">
        <f t="array" aca="1" ref="W37" ca="1">INDIRECT("'※ 기타지표 세부데이터'!"&amp;W$1&amp;$X37, TRUE)</f>
        <v>-0.41666666666666669</v>
      </c>
      <c r="X37" s="3002">
        <f>ROW('※ 기타지표 세부데이터'!J56)</f>
        <v>56</v>
      </c>
      <c r="Y37" s="3033"/>
      <c r="Z37" s="3033"/>
      <c r="AA37" s="3033"/>
      <c r="AB37" s="3053">
        <v>0</v>
      </c>
    </row>
    <row r="38" spans="1:40" ht="16" customHeight="1" x14ac:dyDescent="0.55000000000000004">
      <c r="A38" s="7558"/>
      <c r="B38" s="3088" t="s">
        <v>572</v>
      </c>
      <c r="C38" s="3089"/>
      <c r="D38" s="3090" cm="1">
        <f t="array" aca="1" ref="D38" ca="1">INDIRECT("'※ 기타지표 세부데이터'!"&amp;D$1&amp;$X38, TRUE)</f>
        <v>302.83333333333331</v>
      </c>
      <c r="E38" s="3090" cm="1">
        <f t="array" aca="1" ref="E38" ca="1">INDIRECT("'※ 기타지표 세부데이터'!"&amp;E$1&amp;$X38, TRUE)</f>
        <v>266.91666666666669</v>
      </c>
      <c r="F38" s="3091" cm="1">
        <f t="array" aca="1" ref="F38" ca="1">INDIRECT("'※ 기타지표 세부데이터'!"&amp;F$1&amp;$X38, TRUE)</f>
        <v>184</v>
      </c>
      <c r="G38" s="3092" cm="1">
        <f t="array" aca="1" ref="G38" ca="1">INDIRECT("'※ 기타지표 세부데이터'!"&amp;G$1&amp;$X38, TRUE)</f>
        <v>547</v>
      </c>
      <c r="H38" s="3092" cm="1">
        <f t="array" aca="1" ref="H38" ca="1">INDIRECT("'※ 기타지표 세부데이터'!"&amp;H$1&amp;$X38, TRUE)</f>
        <v>1273</v>
      </c>
      <c r="I38" s="3092" cm="1">
        <f t="array" aca="1" ref="I38" ca="1">INDIRECT("'※ 기타지표 세부데이터'!"&amp;I$1&amp;$X38, TRUE)</f>
        <v>1370</v>
      </c>
      <c r="J38" s="3092" cm="1">
        <f t="array" aca="1" ref="J38" ca="1">INDIRECT("'※ 기타지표 세부데이터'!"&amp;J$1&amp;$X38, TRUE)</f>
        <v>1299</v>
      </c>
      <c r="K38" s="3092" cm="1">
        <f t="array" aca="1" ref="K38" ca="1">INDIRECT("'※ 기타지표 세부데이터'!"&amp;K$1&amp;$X38, TRUE)</f>
        <v>1366</v>
      </c>
      <c r="L38" s="3092" cm="1">
        <f t="array" aca="1" ref="L38" ca="1">INDIRECT("'※ 기타지표 세부데이터'!"&amp;L$1&amp;$X38, TRUE)</f>
        <v>2040</v>
      </c>
      <c r="M38" s="3092" cm="1">
        <f t="array" aca="1" ref="M38" ca="1">INDIRECT("'※ 기타지표 세부데이터'!"&amp;M$1&amp;$X38, TRUE)</f>
        <v>1586</v>
      </c>
      <c r="N38" s="3092" cm="1">
        <f t="array" aca="1" ref="N38" ca="1">INDIRECT("'※ 기타지표 세부데이터'!"&amp;N$1&amp;$X38, TRUE)</f>
        <v>2459</v>
      </c>
      <c r="O38" s="3092" cm="1">
        <f t="array" aca="1" ref="O38" ca="1">INDIRECT("'※ 기타지표 세부데이터'!"&amp;O$1&amp;$X38, TRUE)</f>
        <v>2050</v>
      </c>
      <c r="P38" s="3092" cm="1">
        <f t="array" aca="1" ref="P38" ca="1">INDIRECT("'※ 기타지표 세부데이터'!"&amp;P$1&amp;$X38, TRUE)</f>
        <v>1839</v>
      </c>
      <c r="Q38" s="3092" cm="1">
        <f t="array" aca="1" ref="Q38" ca="1">INDIRECT("'※ 기타지표 세부데이터'!"&amp;Q$1&amp;$X38, TRUE)</f>
        <v>1401</v>
      </c>
      <c r="R38" s="3093" cm="1">
        <f t="array" aca="1" ref="R38" ca="1">INDIRECT("'※ 기타지표 세부데이터'!"&amp;R$1&amp;$X38, TRUE)</f>
        <v>-28</v>
      </c>
      <c r="S38" s="3094" cm="1">
        <f t="array" aca="1" ref="S38" ca="1">INDIRECT("'※ 기타지표 세부데이터'!"&amp;S$1&amp;$X38, TRUE)</f>
        <v>1114</v>
      </c>
      <c r="T38" s="3095" cm="1">
        <f t="array" aca="1" ref="T38" ca="1">INDIRECT("'※ 기타지표 세부데이터'!"&amp;T$1&amp;$X38, TRUE)</f>
        <v>17414</v>
      </c>
      <c r="U38" s="3096" cm="1">
        <f t="array" aca="1" ref="U38" ca="1">INDIRECT("'※ 기타지표 세부데이터'!"&amp;U$1&amp;$X38, TRUE)</f>
        <v>14211</v>
      </c>
      <c r="V38" s="3093" cm="1">
        <f t="array" aca="1" ref="V38" ca="1">INDIRECT("'※ 기타지표 세부데이터'!"&amp;V$1&amp;$X38, TRUE)</f>
        <v>1451.1666666666667</v>
      </c>
      <c r="W38" s="3097" cm="1">
        <f t="array" aca="1" ref="W38" ca="1">INDIRECT("'※ 기타지표 세부데이터'!"&amp;W$1&amp;$X38, TRUE)</f>
        <v>1184.25</v>
      </c>
      <c r="X38" s="3002">
        <f>ROW('※ 기타지표 세부데이터'!J57)</f>
        <v>57</v>
      </c>
      <c r="Y38" s="3014"/>
      <c r="Z38" s="3014"/>
      <c r="AA38" s="3014"/>
      <c r="AB38" s="3053">
        <v>302.83333333333331</v>
      </c>
      <c r="AC38" s="2441">
        <v>175</v>
      </c>
      <c r="AD38" s="2441">
        <v>233</v>
      </c>
      <c r="AE38" s="2441">
        <v>342</v>
      </c>
      <c r="AF38" s="2441">
        <v>263</v>
      </c>
      <c r="AG38" s="2441">
        <v>363</v>
      </c>
      <c r="AH38" s="2441">
        <v>312</v>
      </c>
      <c r="AI38" s="2441">
        <v>355</v>
      </c>
      <c r="AJ38" s="2441">
        <v>343</v>
      </c>
      <c r="AK38" s="2441">
        <v>271</v>
      </c>
      <c r="AL38" s="2441">
        <v>293</v>
      </c>
      <c r="AM38" s="2441">
        <v>372</v>
      </c>
      <c r="AN38" s="2441">
        <v>312</v>
      </c>
    </row>
    <row r="39" spans="1:40" ht="16" customHeight="1" x14ac:dyDescent="0.55000000000000004">
      <c r="A39" s="7558"/>
      <c r="B39" s="3110" t="s">
        <v>570</v>
      </c>
      <c r="C39" s="3014"/>
      <c r="D39" s="3054" cm="1">
        <f t="array" aca="1" ref="D39" ca="1">INDIRECT("'※ 기타지표 세부데이터'!"&amp;D$1&amp;$X39, TRUE)</f>
        <v>302.83333333333331</v>
      </c>
      <c r="E39" s="3054" cm="1">
        <f t="array" aca="1" ref="E39" ca="1">INDIRECT("'※ 기타지표 세부데이터'!"&amp;E$1&amp;$X39, TRUE)</f>
        <v>258.41666666666669</v>
      </c>
      <c r="F39" s="3055" cm="1">
        <f t="array" aca="1" ref="F39" ca="1">INDIRECT("'※ 기타지표 세부데이터'!"&amp;F$1&amp;$X39, TRUE)</f>
        <v>141</v>
      </c>
      <c r="G39" s="3056" cm="1">
        <f t="array" aca="1" ref="G39" ca="1">INDIRECT("'※ 기타지표 세부데이터'!"&amp;G$1&amp;$X39, TRUE)</f>
        <v>150</v>
      </c>
      <c r="H39" s="3056" cm="1">
        <f t="array" aca="1" ref="H39" ca="1">INDIRECT("'※ 기타지표 세부데이터'!"&amp;H$1&amp;$X39, TRUE)</f>
        <v>235</v>
      </c>
      <c r="I39" s="3056" cm="1">
        <f t="array" aca="1" ref="I39" ca="1">INDIRECT("'※ 기타지표 세부데이터'!"&amp;I$1&amp;$X39, TRUE)</f>
        <v>168</v>
      </c>
      <c r="J39" s="3056" cm="1">
        <f t="array" aca="1" ref="J39" ca="1">INDIRECT("'※ 기타지표 세부데이터'!"&amp;J$1&amp;$X39, TRUE)</f>
        <v>241</v>
      </c>
      <c r="K39" s="3056" cm="1">
        <f t="array" aca="1" ref="K39" ca="1">INDIRECT("'※ 기타지표 세부데이터'!"&amp;K$1&amp;$X39, TRUE)</f>
        <v>168</v>
      </c>
      <c r="L39" s="3056" cm="1">
        <f t="array" aca="1" ref="L39" ca="1">INDIRECT("'※ 기타지표 세부데이터'!"&amp;L$1&amp;$X39, TRUE)</f>
        <v>149</v>
      </c>
      <c r="M39" s="3056" cm="1">
        <f t="array" aca="1" ref="M39" ca="1">INDIRECT("'※ 기타지표 세부데이터'!"&amp;M$1&amp;$X39, TRUE)</f>
        <v>123</v>
      </c>
      <c r="N39" s="3056" cm="1">
        <f t="array" aca="1" ref="N39" ca="1">INDIRECT("'※ 기타지표 세부데이터'!"&amp;N$1&amp;$X39, TRUE)</f>
        <v>111</v>
      </c>
      <c r="O39" s="3056" cm="1">
        <f t="array" aca="1" ref="O39" ca="1">INDIRECT("'※ 기타지표 세부데이터'!"&amp;O$1&amp;$X39, TRUE)</f>
        <v>114</v>
      </c>
      <c r="P39" s="3056" cm="1">
        <f t="array" aca="1" ref="P39" ca="1">INDIRECT("'※ 기타지표 세부데이터'!"&amp;P$1&amp;$X39, TRUE)</f>
        <v>118</v>
      </c>
      <c r="Q39" s="3056" cm="1">
        <f t="array" aca="1" ref="Q39" ca="1">INDIRECT("'※ 기타지표 세부데이터'!"&amp;Q$1&amp;$X39, TRUE)</f>
        <v>90</v>
      </c>
      <c r="R39" s="3057" cm="1">
        <f t="array" aca="1" ref="R39" ca="1">INDIRECT("'※ 기타지표 세부데이터'!"&amp;R$1&amp;$X39, TRUE)</f>
        <v>-492</v>
      </c>
      <c r="S39" s="3058" cm="1">
        <f t="array" aca="1" ref="S39" ca="1">INDIRECT("'※ 기타지표 세부데이터'!"&amp;S$1&amp;$X39, TRUE)</f>
        <v>-184</v>
      </c>
      <c r="T39" s="3059" cm="1">
        <f t="array" aca="1" ref="T39" ca="1">INDIRECT("'※ 기타지표 세부데이터'!"&amp;T$1&amp;$X39, TRUE)</f>
        <v>1808</v>
      </c>
      <c r="U39" s="3060" cm="1">
        <f t="array" aca="1" ref="U39" ca="1">INDIRECT("'※ 기타지표 세부데이터'!"&amp;U$1&amp;$X39, TRUE)</f>
        <v>-1293</v>
      </c>
      <c r="V39" s="3057" cm="1">
        <f t="array" aca="1" ref="V39" ca="1">INDIRECT("'※ 기타지표 세부데이터'!"&amp;V$1&amp;$X39, TRUE)</f>
        <v>150.66666666666666</v>
      </c>
      <c r="W39" s="3061" cm="1">
        <f t="array" aca="1" ref="W39" ca="1">INDIRECT("'※ 기타지표 세부데이터'!"&amp;W$1&amp;$X39, TRUE)</f>
        <v>-107.75000000000003</v>
      </c>
      <c r="X39" s="3002">
        <f>ROW('※ 기타지표 세부데이터'!J58)</f>
        <v>58</v>
      </c>
      <c r="Y39" s="3014"/>
      <c r="Z39" s="3014"/>
      <c r="AA39" s="3014"/>
      <c r="AB39" s="3053">
        <v>302.83333333333331</v>
      </c>
      <c r="AC39" s="2441">
        <v>175</v>
      </c>
      <c r="AD39" s="2441">
        <v>233</v>
      </c>
      <c r="AE39" s="2441">
        <v>342</v>
      </c>
      <c r="AF39" s="2441">
        <v>263</v>
      </c>
      <c r="AG39" s="2441">
        <v>363</v>
      </c>
      <c r="AH39" s="2441">
        <v>312</v>
      </c>
      <c r="AI39" s="2441">
        <v>355</v>
      </c>
      <c r="AJ39" s="2441">
        <v>343</v>
      </c>
      <c r="AK39" s="2441">
        <v>271</v>
      </c>
      <c r="AL39" s="2441">
        <v>293</v>
      </c>
      <c r="AM39" s="2441">
        <v>372</v>
      </c>
      <c r="AN39" s="2441">
        <v>312</v>
      </c>
    </row>
    <row r="40" spans="1:40" ht="16" customHeight="1" x14ac:dyDescent="0.55000000000000004">
      <c r="A40" s="7558"/>
      <c r="B40" s="3110" t="s">
        <v>571</v>
      </c>
      <c r="C40" s="3014"/>
      <c r="D40" s="3054" cm="1">
        <f t="array" aca="1" ref="D40" ca="1">INDIRECT("'※ 기타지표 세부데이터'!"&amp;D$1&amp;$X40, TRUE)</f>
        <v>0</v>
      </c>
      <c r="E40" s="3054" cm="1">
        <f t="array" aca="1" ref="E40" ca="1">INDIRECT("'※ 기타지표 세부데이터'!"&amp;E$1&amp;$X40, TRUE)</f>
        <v>8.5</v>
      </c>
      <c r="F40" s="3055" cm="1">
        <f t="array" aca="1" ref="F40" ca="1">INDIRECT("'※ 기타지표 세부데이터'!"&amp;F$1&amp;$X40, TRUE)</f>
        <v>43</v>
      </c>
      <c r="G40" s="3056" cm="1">
        <f t="array" aca="1" ref="G40" ca="1">INDIRECT("'※ 기타지표 세부데이터'!"&amp;G$1&amp;$X40, TRUE)</f>
        <v>397</v>
      </c>
      <c r="H40" s="3056" cm="1">
        <f t="array" aca="1" ref="H40" ca="1">INDIRECT("'※ 기타지표 세부데이터'!"&amp;H$1&amp;$X40, TRUE)</f>
        <v>1038</v>
      </c>
      <c r="I40" s="3056" cm="1">
        <f t="array" aca="1" ref="I40" ca="1">INDIRECT("'※ 기타지표 세부데이터'!"&amp;I$1&amp;$X40, TRUE)</f>
        <v>1202</v>
      </c>
      <c r="J40" s="3056" cm="1">
        <f t="array" aca="1" ref="J40" ca="1">INDIRECT("'※ 기타지표 세부데이터'!"&amp;J$1&amp;$X40, TRUE)</f>
        <v>1058</v>
      </c>
      <c r="K40" s="3056" cm="1">
        <f t="array" aca="1" ref="K40" ca="1">INDIRECT("'※ 기타지표 세부데이터'!"&amp;K$1&amp;$X40, TRUE)</f>
        <v>1198</v>
      </c>
      <c r="L40" s="3056" cm="1">
        <f t="array" aca="1" ref="L40" ca="1">INDIRECT("'※ 기타지표 세부데이터'!"&amp;L$1&amp;$X40, TRUE)</f>
        <v>1891</v>
      </c>
      <c r="M40" s="3056" cm="1">
        <f t="array" aca="1" ref="M40" ca="1">INDIRECT("'※ 기타지표 세부데이터'!"&amp;M$1&amp;$X40, TRUE)</f>
        <v>1463</v>
      </c>
      <c r="N40" s="3056" cm="1">
        <f t="array" aca="1" ref="N40" ca="1">INDIRECT("'※ 기타지표 세부데이터'!"&amp;N$1&amp;$X40, TRUE)</f>
        <v>2348</v>
      </c>
      <c r="O40" s="3056" cm="1">
        <f t="array" aca="1" ref="O40" ca="1">INDIRECT("'※ 기타지표 세부데이터'!"&amp;O$1&amp;$X40, TRUE)</f>
        <v>1936</v>
      </c>
      <c r="P40" s="3056" cm="1">
        <f t="array" aca="1" ref="P40" ca="1">INDIRECT("'※ 기타지표 세부데이터'!"&amp;P$1&amp;$X40, TRUE)</f>
        <v>1803</v>
      </c>
      <c r="Q40" s="3056" cm="1">
        <f t="array" aca="1" ref="Q40" ca="1">INDIRECT("'※ 기타지표 세부데이터'!"&amp;Q$1&amp;$X40, TRUE)</f>
        <v>1311</v>
      </c>
      <c r="R40" s="3057" cm="1">
        <f t="array" aca="1" ref="R40" ca="1">INDIRECT("'※ 기타지표 세부데이터'!"&amp;R$1&amp;$X40, TRUE)</f>
        <v>-27</v>
      </c>
      <c r="S40" s="3058" cm="1">
        <f t="array" aca="1" ref="S40" ca="1">INDIRECT("'※ 기타지표 세부데이터'!"&amp;S$1&amp;$X40, TRUE)</f>
        <v>1298</v>
      </c>
      <c r="T40" s="3059" cm="1">
        <f t="array" aca="1" ref="T40" ca="1">INDIRECT("'※ 기타지표 세부데이터'!"&amp;T$1&amp;$X40, TRUE)</f>
        <v>15688</v>
      </c>
      <c r="U40" s="3060" cm="1">
        <f t="array" aca="1" ref="U40" ca="1">INDIRECT("'※ 기타지표 세부데이터'!"&amp;U$1&amp;$X40, TRUE)</f>
        <v>15586</v>
      </c>
      <c r="V40" s="3057" cm="1">
        <f t="array" aca="1" ref="V40" ca="1">INDIRECT("'※ 기타지표 세부데이터'!"&amp;V$1&amp;$X40, TRUE)</f>
        <v>1307.3333333333333</v>
      </c>
      <c r="W40" s="3061" cm="1">
        <f t="array" aca="1" ref="W40" ca="1">INDIRECT("'※ 기타지표 세부데이터'!"&amp;W$1&amp;$X40, TRUE)</f>
        <v>1298.8333333333333</v>
      </c>
      <c r="X40" s="3002">
        <f>ROW('※ 기타지표 세부데이터'!J59)</f>
        <v>59</v>
      </c>
      <c r="Y40" s="3014"/>
      <c r="Z40" s="3014"/>
      <c r="AA40" s="3014"/>
      <c r="AB40" s="3053">
        <v>0</v>
      </c>
    </row>
    <row r="41" spans="1:40" ht="16" customHeight="1" x14ac:dyDescent="0.55000000000000004">
      <c r="A41" s="7558"/>
      <c r="B41" s="7567" t="s">
        <v>1019</v>
      </c>
      <c r="C41" s="3062" t="s">
        <v>574</v>
      </c>
      <c r="D41" s="3063" cm="1">
        <f t="array" aca="1" ref="D41" ca="1">INDIRECT("'※ 기타지표 세부데이터'!"&amp;D$1&amp;$X41, TRUE)</f>
        <v>302.83333333333331</v>
      </c>
      <c r="E41" s="3063" cm="1">
        <f t="array" aca="1" ref="E41" ca="1">INDIRECT("'※ 기타지표 세부데이터'!"&amp;E$1&amp;$X41, TRUE)</f>
        <v>258.25</v>
      </c>
      <c r="F41" s="2683" cm="1">
        <f t="array" aca="1" ref="F41" ca="1">INDIRECT("'※ 기타지표 세부데이터'!"&amp;F$1&amp;$X41, TRUE)</f>
        <v>141</v>
      </c>
      <c r="G41" s="3045" cm="1">
        <f t="array" aca="1" ref="G41" ca="1">INDIRECT("'※ 기타지표 세부데이터'!"&amp;G$1&amp;$X41, TRUE)</f>
        <v>132</v>
      </c>
      <c r="H41" s="3045" cm="1">
        <f t="array" aca="1" ref="H41" ca="1">INDIRECT("'※ 기타지표 세부데이터'!"&amp;H$1&amp;$X41, TRUE)</f>
        <v>212</v>
      </c>
      <c r="I41" s="3045" cm="1">
        <f t="array" aca="1" ref="I41" ca="1">INDIRECT("'※ 기타지표 세부데이터'!"&amp;I$1&amp;$X41, TRUE)</f>
        <v>128</v>
      </c>
      <c r="J41" s="3045" cm="1">
        <f t="array" aca="1" ref="J41" ca="1">INDIRECT("'※ 기타지표 세부데이터'!"&amp;J$1&amp;$X41, TRUE)</f>
        <v>177</v>
      </c>
      <c r="K41" s="3045" cm="1">
        <f t="array" aca="1" ref="K41" ca="1">INDIRECT("'※ 기타지표 세부데이터'!"&amp;K$1&amp;$X41, TRUE)</f>
        <v>98</v>
      </c>
      <c r="L41" s="3045" cm="1">
        <f t="array" aca="1" ref="L41" ca="1">INDIRECT("'※ 기타지표 세부데이터'!"&amp;L$1&amp;$X41, TRUE)</f>
        <v>82</v>
      </c>
      <c r="M41" s="3045" cm="1">
        <f t="array" aca="1" ref="M41" ca="1">INDIRECT("'※ 기타지표 세부데이터'!"&amp;M$1&amp;$X41, TRUE)</f>
        <v>65</v>
      </c>
      <c r="N41" s="3045" cm="1">
        <f t="array" aca="1" ref="N41" ca="1">INDIRECT("'※ 기타지표 세부데이터'!"&amp;N$1&amp;$X41, TRUE)</f>
        <v>78</v>
      </c>
      <c r="O41" s="3045" cm="1">
        <f t="array" aca="1" ref="O41" ca="1">INDIRECT("'※ 기타지표 세부데이터'!"&amp;O$1&amp;$X41, TRUE)</f>
        <v>63</v>
      </c>
      <c r="P41" s="3045" cm="1">
        <f t="array" aca="1" ref="P41" ca="1">INDIRECT("'※ 기타지표 세부데이터'!"&amp;P$1&amp;$X41, TRUE)</f>
        <v>89</v>
      </c>
      <c r="Q41" s="3045" cm="1">
        <f t="array" aca="1" ref="Q41" ca="1">INDIRECT("'※ 기타지표 세부데이터'!"&amp;Q$1&amp;$X41, TRUE)</f>
        <v>62</v>
      </c>
      <c r="R41" s="3064" cm="1">
        <f t="array" aca="1" ref="R41" ca="1">INDIRECT("'※ 기타지표 세부데이터'!"&amp;R$1&amp;$X41, TRUE)</f>
        <v>-492</v>
      </c>
      <c r="S41" s="3065" cm="1">
        <f t="array" aca="1" ref="S41" ca="1">INDIRECT("'※ 기타지표 세부데이터'!"&amp;S$1&amp;$X41, TRUE)</f>
        <v>-212</v>
      </c>
      <c r="T41" s="3066" cm="1">
        <f t="array" aca="1" ref="T41" ca="1">INDIRECT("'※ 기타지표 세부데이터'!"&amp;T$1&amp;$X41, TRUE)</f>
        <v>1327</v>
      </c>
      <c r="U41" s="3067" cm="1">
        <f t="array" aca="1" ref="U41" ca="1">INDIRECT("'※ 기타지표 세부데이터'!"&amp;U$1&amp;$X41, TRUE)</f>
        <v>-1772</v>
      </c>
      <c r="V41" s="3064" cm="1">
        <f t="array" aca="1" ref="V41" ca="1">INDIRECT("'※ 기타지표 세부데이터'!"&amp;V$1&amp;$X41, TRUE)</f>
        <v>110.58333333333333</v>
      </c>
      <c r="W41" s="3068" cm="1">
        <f t="array" aca="1" ref="W41" ca="1">INDIRECT("'※ 기타지표 세부데이터'!"&amp;W$1&amp;$X41, TRUE)</f>
        <v>-147.66666666666669</v>
      </c>
      <c r="X41" s="3002">
        <f>ROW('※ 기타지표 세부데이터'!J60)</f>
        <v>60</v>
      </c>
      <c r="Y41" s="3033"/>
      <c r="Z41" s="3033"/>
      <c r="AA41" s="3033"/>
      <c r="AB41" s="3053">
        <v>302.83333333333331</v>
      </c>
      <c r="AC41" s="2441">
        <v>175</v>
      </c>
      <c r="AD41" s="2441">
        <v>233</v>
      </c>
      <c r="AE41" s="2441">
        <v>342</v>
      </c>
      <c r="AF41" s="2441">
        <v>263</v>
      </c>
      <c r="AG41" s="2441">
        <v>363</v>
      </c>
      <c r="AH41" s="2441">
        <v>312</v>
      </c>
      <c r="AI41" s="2441">
        <v>355</v>
      </c>
      <c r="AJ41" s="2441">
        <v>343</v>
      </c>
      <c r="AK41" s="2441">
        <v>271</v>
      </c>
      <c r="AL41" s="2441">
        <v>293</v>
      </c>
      <c r="AM41" s="2441">
        <v>372</v>
      </c>
      <c r="AN41" s="2441">
        <v>312</v>
      </c>
    </row>
    <row r="42" spans="1:40" ht="16" customHeight="1" x14ac:dyDescent="0.55000000000000004">
      <c r="A42" s="7558"/>
      <c r="B42" s="7568"/>
      <c r="C42" s="3033" t="s">
        <v>576</v>
      </c>
      <c r="D42" s="3063" cm="1">
        <f t="array" aca="1" ref="D42" ca="1">INDIRECT("'※ 기타지표 세부데이터'!"&amp;D$1&amp;$X42, TRUE)</f>
        <v>0</v>
      </c>
      <c r="E42" s="3063" cm="1">
        <f t="array" aca="1" ref="E42" ca="1">INDIRECT("'※ 기타지표 세부데이터'!"&amp;E$1&amp;$X42, TRUE)</f>
        <v>8.5</v>
      </c>
      <c r="F42" s="2683" cm="1">
        <f t="array" aca="1" ref="F42" ca="1">INDIRECT("'※ 기타지표 세부데이터'!"&amp;F$1&amp;$X42, TRUE)</f>
        <v>43</v>
      </c>
      <c r="G42" s="3045" cm="1">
        <f t="array" aca="1" ref="G42" ca="1">INDIRECT("'※ 기타지표 세부데이터'!"&amp;G$1&amp;$X42, TRUE)</f>
        <v>393</v>
      </c>
      <c r="H42" s="3045" cm="1">
        <f t="array" aca="1" ref="H42" ca="1">INDIRECT("'※ 기타지표 세부데이터'!"&amp;H$1&amp;$X42, TRUE)</f>
        <v>1038</v>
      </c>
      <c r="I42" s="3045" cm="1">
        <f t="array" aca="1" ref="I42" ca="1">INDIRECT("'※ 기타지표 세부데이터'!"&amp;I$1&amp;$X42, TRUE)</f>
        <v>1202</v>
      </c>
      <c r="J42" s="3045" cm="1">
        <f t="array" aca="1" ref="J42" ca="1">INDIRECT("'※ 기타지표 세부데이터'!"&amp;J$1&amp;$X42, TRUE)</f>
        <v>1046</v>
      </c>
      <c r="K42" s="3045" cm="1">
        <f t="array" aca="1" ref="K42" ca="1">INDIRECT("'※ 기타지표 세부데이터'!"&amp;K$1&amp;$X42, TRUE)</f>
        <v>1168</v>
      </c>
      <c r="L42" s="3045" cm="1">
        <f t="array" aca="1" ref="L42" ca="1">INDIRECT("'※ 기타지표 세부데이터'!"&amp;L$1&amp;$X42, TRUE)</f>
        <v>1891</v>
      </c>
      <c r="M42" s="3045" cm="1">
        <f t="array" aca="1" ref="M42" ca="1">INDIRECT("'※ 기타지표 세부데이터'!"&amp;M$1&amp;$X42, TRUE)</f>
        <v>1462</v>
      </c>
      <c r="N42" s="3045" cm="1">
        <f t="array" aca="1" ref="N42" ca="1">INDIRECT("'※ 기타지표 세부데이터'!"&amp;N$1&amp;$X42, TRUE)</f>
        <v>2348</v>
      </c>
      <c r="O42" s="3045" cm="1">
        <f t="array" aca="1" ref="O42" ca="1">INDIRECT("'※ 기타지표 세부데이터'!"&amp;O$1&amp;$X42, TRUE)</f>
        <v>1927</v>
      </c>
      <c r="P42" s="3045" cm="1">
        <f t="array" aca="1" ref="P42" ca="1">INDIRECT("'※ 기타지표 세부데이터'!"&amp;P$1&amp;$X42, TRUE)</f>
        <v>1803</v>
      </c>
      <c r="Q42" s="3045" cm="1">
        <f t="array" aca="1" ref="Q42" ca="1">INDIRECT("'※ 기타지표 세부데이터'!"&amp;Q$1&amp;$X42, TRUE)</f>
        <v>1311</v>
      </c>
      <c r="R42" s="3064" cm="1">
        <f t="array" aca="1" ref="R42" ca="1">INDIRECT("'※ 기타지표 세부데이터'!"&amp;R$1&amp;$X42, TRUE)</f>
        <v>-1</v>
      </c>
      <c r="S42" s="3065" cm="1">
        <f t="array" aca="1" ref="S42" ca="1">INDIRECT("'※ 기타지표 세부데이터'!"&amp;S$1&amp;$X42, TRUE)</f>
        <v>1298</v>
      </c>
      <c r="T42" s="3066" cm="1">
        <f t="array" aca="1" ref="T42" ca="1">INDIRECT("'※ 기타지표 세부데이터'!"&amp;T$1&amp;$X42, TRUE)</f>
        <v>15632</v>
      </c>
      <c r="U42" s="3067" cm="1">
        <f t="array" aca="1" ref="U42" ca="1">INDIRECT("'※ 기타지표 세부데이터'!"&amp;U$1&amp;$X42, TRUE)</f>
        <v>15530</v>
      </c>
      <c r="V42" s="3064" cm="1">
        <f t="array" aca="1" ref="V42" ca="1">INDIRECT("'※ 기타지표 세부데이터'!"&amp;V$1&amp;$X42, TRUE)</f>
        <v>1302.6666666666667</v>
      </c>
      <c r="W42" s="3068" cm="1">
        <f t="array" aca="1" ref="W42" ca="1">INDIRECT("'※ 기타지표 세부데이터'!"&amp;W$1&amp;$X42, TRUE)</f>
        <v>1294.1666666666667</v>
      </c>
      <c r="X42" s="3002">
        <f>ROW('※ 기타지표 세부데이터'!J61)</f>
        <v>61</v>
      </c>
      <c r="Y42" s="3033"/>
      <c r="Z42" s="3033"/>
      <c r="AA42" s="3033"/>
      <c r="AB42" s="3053">
        <v>0</v>
      </c>
    </row>
    <row r="43" spans="1:40" ht="16" customHeight="1" x14ac:dyDescent="0.55000000000000004">
      <c r="A43" s="7558"/>
      <c r="B43" s="7569" t="s">
        <v>327</v>
      </c>
      <c r="C43" s="3069" t="s">
        <v>573</v>
      </c>
      <c r="D43" s="3070" cm="1">
        <f t="array" aca="1" ref="D43" ca="1">INDIRECT("'※ 기타지표 세부데이터'!"&amp;D$1&amp;$X43, TRUE)</f>
        <v>0</v>
      </c>
      <c r="E43" s="3070" cm="1">
        <f t="array" aca="1" ref="E43" ca="1">INDIRECT("'※ 기타지표 세부데이터'!"&amp;E$1&amp;$X43, TRUE)</f>
        <v>0</v>
      </c>
      <c r="F43" s="3071" cm="1">
        <f t="array" aca="1" ref="F43" ca="1">INDIRECT("'※ 기타지표 세부데이터'!"&amp;F$1&amp;$X43, TRUE)</f>
        <v>0</v>
      </c>
      <c r="G43" s="3072" cm="1">
        <f t="array" aca="1" ref="G43" ca="1">INDIRECT("'※ 기타지표 세부데이터'!"&amp;G$1&amp;$X43, TRUE)</f>
        <v>18</v>
      </c>
      <c r="H43" s="3072" cm="1">
        <f t="array" aca="1" ref="H43" ca="1">INDIRECT("'※ 기타지표 세부데이터'!"&amp;H$1&amp;$X43, TRUE)</f>
        <v>23</v>
      </c>
      <c r="I43" s="3072" cm="1">
        <f t="array" aca="1" ref="I43" ca="1">INDIRECT("'※ 기타지표 세부데이터'!"&amp;I$1&amp;$X43, TRUE)</f>
        <v>40</v>
      </c>
      <c r="J43" s="3072" cm="1">
        <f t="array" aca="1" ref="J43" ca="1">INDIRECT("'※ 기타지표 세부데이터'!"&amp;J$1&amp;$X43, TRUE)</f>
        <v>64</v>
      </c>
      <c r="K43" s="3072" cm="1">
        <f t="array" aca="1" ref="K43" ca="1">INDIRECT("'※ 기타지표 세부데이터'!"&amp;K$1&amp;$X43, TRUE)</f>
        <v>70</v>
      </c>
      <c r="L43" s="3072" cm="1">
        <f t="array" aca="1" ref="L43" ca="1">INDIRECT("'※ 기타지표 세부데이터'!"&amp;L$1&amp;$X43, TRUE)</f>
        <v>67</v>
      </c>
      <c r="M43" s="3072" cm="1">
        <f t="array" aca="1" ref="M43" ca="1">INDIRECT("'※ 기타지표 세부데이터'!"&amp;M$1&amp;$X43, TRUE)</f>
        <v>58</v>
      </c>
      <c r="N43" s="3072" cm="1">
        <f t="array" aca="1" ref="N43" ca="1">INDIRECT("'※ 기타지표 세부데이터'!"&amp;N$1&amp;$X43, TRUE)</f>
        <v>33</v>
      </c>
      <c r="O43" s="3072" cm="1">
        <f t="array" aca="1" ref="O43" ca="1">INDIRECT("'※ 기타지표 세부데이터'!"&amp;O$1&amp;$X43, TRUE)</f>
        <v>51</v>
      </c>
      <c r="P43" s="3072" cm="1">
        <f t="array" aca="1" ref="P43" ca="1">INDIRECT("'※ 기타지표 세부데이터'!"&amp;P$1&amp;$X43, TRUE)</f>
        <v>29</v>
      </c>
      <c r="Q43" s="3072" cm="1">
        <f t="array" aca="1" ref="Q43" ca="1">INDIRECT("'※ 기타지표 세부데이터'!"&amp;Q$1&amp;$X43, TRUE)</f>
        <v>28</v>
      </c>
      <c r="R43" s="3073" cm="1">
        <f t="array" aca="1" ref="R43" ca="1">INDIRECT("'※ 기타지표 세부데이터'!"&amp;R$1&amp;$X43, TRUE)</f>
        <v>0</v>
      </c>
      <c r="S43" s="3074" cm="1">
        <f t="array" aca="1" ref="S43" ca="1">INDIRECT("'※ 기타지표 세부데이터'!"&amp;S$1&amp;$X43, TRUE)</f>
        <v>28</v>
      </c>
      <c r="T43" s="3075" cm="1">
        <f t="array" aca="1" ref="T43" ca="1">INDIRECT("'※ 기타지표 세부데이터'!"&amp;T$1&amp;$X43, TRUE)</f>
        <v>481</v>
      </c>
      <c r="U43" s="3076" cm="1">
        <f t="array" aca="1" ref="U43" ca="1">INDIRECT("'※ 기타지표 세부데이터'!"&amp;U$1&amp;$X43, TRUE)</f>
        <v>481</v>
      </c>
      <c r="V43" s="3073" cm="1">
        <f t="array" aca="1" ref="V43" ca="1">INDIRECT("'※ 기타지표 세부데이터'!"&amp;V$1&amp;$X43, TRUE)</f>
        <v>40.083333333333336</v>
      </c>
      <c r="W43" s="3077" cm="1">
        <f t="array" aca="1" ref="W43" ca="1">INDIRECT("'※ 기타지표 세부데이터'!"&amp;W$1&amp;$X43, TRUE)</f>
        <v>40.083333333333336</v>
      </c>
      <c r="X43" s="3002">
        <f>ROW('※ 기타지표 세부데이터'!J62)</f>
        <v>62</v>
      </c>
      <c r="Y43" s="3033"/>
      <c r="Z43" s="3033"/>
      <c r="AA43" s="3033"/>
      <c r="AB43" s="3053">
        <v>0</v>
      </c>
    </row>
    <row r="44" spans="1:40" ht="16" customHeight="1" x14ac:dyDescent="0.55000000000000004">
      <c r="A44" s="7558"/>
      <c r="B44" s="7570"/>
      <c r="C44" s="3078" t="s">
        <v>575</v>
      </c>
      <c r="D44" s="3079" cm="1">
        <f t="array" aca="1" ref="D44" ca="1">INDIRECT("'※ 기타지표 세부데이터'!"&amp;D$1&amp;$X44, TRUE)</f>
        <v>0</v>
      </c>
      <c r="E44" s="3079" cm="1">
        <f t="array" aca="1" ref="E44" ca="1">INDIRECT("'※ 기타지표 세부데이터'!"&amp;E$1&amp;$X44, TRUE)</f>
        <v>0</v>
      </c>
      <c r="F44" s="3080" cm="1">
        <f t="array" aca="1" ref="F44" ca="1">INDIRECT("'※ 기타지표 세부데이터'!"&amp;F$1&amp;$X44, TRUE)</f>
        <v>0</v>
      </c>
      <c r="G44" s="3081" cm="1">
        <f t="array" aca="1" ref="G44" ca="1">INDIRECT("'※ 기타지표 세부데이터'!"&amp;G$1&amp;$X44, TRUE)</f>
        <v>4</v>
      </c>
      <c r="H44" s="3081" cm="1">
        <f t="array" aca="1" ref="H44" ca="1">INDIRECT("'※ 기타지표 세부데이터'!"&amp;H$1&amp;$X44, TRUE)</f>
        <v>0</v>
      </c>
      <c r="I44" s="3081" cm="1">
        <f t="array" aca="1" ref="I44" ca="1">INDIRECT("'※ 기타지표 세부데이터'!"&amp;I$1&amp;$X44, TRUE)</f>
        <v>0</v>
      </c>
      <c r="J44" s="3081" cm="1">
        <f t="array" aca="1" ref="J44" ca="1">INDIRECT("'※ 기타지표 세부데이터'!"&amp;J$1&amp;$X44, TRUE)</f>
        <v>12</v>
      </c>
      <c r="K44" s="3081" cm="1">
        <f t="array" aca="1" ref="K44" ca="1">INDIRECT("'※ 기타지표 세부데이터'!"&amp;K$1&amp;$X44, TRUE)</f>
        <v>30</v>
      </c>
      <c r="L44" s="3081" cm="1">
        <f t="array" aca="1" ref="L44" ca="1">INDIRECT("'※ 기타지표 세부데이터'!"&amp;L$1&amp;$X44, TRUE)</f>
        <v>0</v>
      </c>
      <c r="M44" s="3081" cm="1">
        <f t="array" aca="1" ref="M44" ca="1">INDIRECT("'※ 기타지표 세부데이터'!"&amp;M$1&amp;$X44, TRUE)</f>
        <v>1</v>
      </c>
      <c r="N44" s="3081" cm="1">
        <f t="array" aca="1" ref="N44" ca="1">INDIRECT("'※ 기타지표 세부데이터'!"&amp;N$1&amp;$X44, TRUE)</f>
        <v>0</v>
      </c>
      <c r="O44" s="3081" cm="1">
        <f t="array" aca="1" ref="O44" ca="1">INDIRECT("'※ 기타지표 세부데이터'!"&amp;O$1&amp;$X44, TRUE)</f>
        <v>9</v>
      </c>
      <c r="P44" s="3081" cm="1">
        <f t="array" aca="1" ref="P44" ca="1">INDIRECT("'※ 기타지표 세부데이터'!"&amp;P$1&amp;$X44, TRUE)</f>
        <v>0</v>
      </c>
      <c r="Q44" s="3081" cm="1">
        <f t="array" aca="1" ref="Q44" ca="1">INDIRECT("'※ 기타지표 세부데이터'!"&amp;Q$1&amp;$X44, TRUE)</f>
        <v>0</v>
      </c>
      <c r="R44" s="3082" cm="1">
        <f t="array" aca="1" ref="R44" ca="1">INDIRECT("'※ 기타지표 세부데이터'!"&amp;R$1&amp;$X44, TRUE)</f>
        <v>0</v>
      </c>
      <c r="S44" s="3083" cm="1">
        <f t="array" aca="1" ref="S44" ca="1">INDIRECT("'※ 기타지표 세부데이터'!"&amp;S$1&amp;$X44, TRUE)</f>
        <v>0</v>
      </c>
      <c r="T44" s="3084" cm="1">
        <f t="array" aca="1" ref="T44" ca="1">INDIRECT("'※ 기타지표 세부데이터'!"&amp;T$1&amp;$X44, TRUE)</f>
        <v>56</v>
      </c>
      <c r="U44" s="3085" cm="1">
        <f t="array" aca="1" ref="U44" ca="1">INDIRECT("'※ 기타지표 세부데이터'!"&amp;U$1&amp;$X44, TRUE)</f>
        <v>56</v>
      </c>
      <c r="V44" s="3082" cm="1">
        <f t="array" aca="1" ref="V44" ca="1">INDIRECT("'※ 기타지표 세부데이터'!"&amp;V$1&amp;$X44, TRUE)</f>
        <v>4.666666666666667</v>
      </c>
      <c r="W44" s="3086" cm="1">
        <f t="array" aca="1" ref="W44" ca="1">INDIRECT("'※ 기타지표 세부데이터'!"&amp;W$1&amp;$X44, TRUE)</f>
        <v>4.666666666666667</v>
      </c>
      <c r="X44" s="3002">
        <f>ROW('※ 기타지표 세부데이터'!J63)</f>
        <v>63</v>
      </c>
      <c r="Y44" s="3033"/>
      <c r="Z44" s="3033"/>
      <c r="AA44" s="3033"/>
      <c r="AB44" s="3053">
        <v>0</v>
      </c>
    </row>
    <row r="45" spans="1:40" ht="16" customHeight="1" x14ac:dyDescent="0.55000000000000004">
      <c r="A45" s="7558"/>
      <c r="B45" s="7563" t="s">
        <v>67</v>
      </c>
      <c r="C45" s="3033" t="s">
        <v>573</v>
      </c>
      <c r="D45" s="3063" cm="1">
        <f t="array" aca="1" ref="D45" ca="1">INDIRECT("'※ 기타지표 세부데이터'!"&amp;D$1&amp;$X45, TRUE)</f>
        <v>0</v>
      </c>
      <c r="E45" s="3063" cm="1">
        <f t="array" aca="1" ref="E45" ca="1">INDIRECT("'※ 기타지표 세부데이터'!"&amp;E$1&amp;$X45, TRUE)</f>
        <v>0.16666666666666666</v>
      </c>
      <c r="F45" s="2683" cm="1">
        <f t="array" aca="1" ref="F45" ca="1">INDIRECT("'※ 기타지표 세부데이터'!"&amp;F$1&amp;$X45, TRUE)</f>
        <v>0</v>
      </c>
      <c r="G45" s="3045" cm="1">
        <f t="array" aca="1" ref="G45" ca="1">INDIRECT("'※ 기타지표 세부데이터'!"&amp;G$1&amp;$X45, TRUE)</f>
        <v>0</v>
      </c>
      <c r="H45" s="3045" cm="1">
        <f t="array" aca="1" ref="H45" ca="1">INDIRECT("'※ 기타지표 세부데이터'!"&amp;H$1&amp;$X45, TRUE)</f>
        <v>0</v>
      </c>
      <c r="I45" s="3045" cm="1">
        <f t="array" aca="1" ref="I45" ca="1">INDIRECT("'※ 기타지표 세부데이터'!"&amp;I$1&amp;$X45, TRUE)</f>
        <v>0</v>
      </c>
      <c r="J45" s="3045" cm="1">
        <f t="array" aca="1" ref="J45" ca="1">INDIRECT("'※ 기타지표 세부데이터'!"&amp;J$1&amp;$X45, TRUE)</f>
        <v>0</v>
      </c>
      <c r="K45" s="3045" cm="1">
        <f t="array" aca="1" ref="K45" ca="1">INDIRECT("'※ 기타지표 세부데이터'!"&amp;K$1&amp;$X45, TRUE)</f>
        <v>0</v>
      </c>
      <c r="L45" s="3045" cm="1">
        <f t="array" aca="1" ref="L45" ca="1">INDIRECT("'※ 기타지표 세부데이터'!"&amp;L$1&amp;$X45, TRUE)</f>
        <v>0</v>
      </c>
      <c r="M45" s="3045" cm="1">
        <f t="array" aca="1" ref="M45" ca="1">INDIRECT("'※ 기타지표 세부데이터'!"&amp;M$1&amp;$X45, TRUE)</f>
        <v>0</v>
      </c>
      <c r="N45" s="3045" cm="1">
        <f t="array" aca="1" ref="N45" ca="1">INDIRECT("'※ 기타지표 세부데이터'!"&amp;N$1&amp;$X45, TRUE)</f>
        <v>0</v>
      </c>
      <c r="O45" s="3045" cm="1">
        <f t="array" aca="1" ref="O45" ca="1">INDIRECT("'※ 기타지표 세부데이터'!"&amp;O$1&amp;$X45, TRUE)</f>
        <v>0</v>
      </c>
      <c r="P45" s="3045" cm="1">
        <f t="array" aca="1" ref="P45" ca="1">INDIRECT("'※ 기타지표 세부데이터'!"&amp;P$1&amp;$X45, TRUE)</f>
        <v>0</v>
      </c>
      <c r="Q45" s="3045" cm="1">
        <f t="array" aca="1" ref="Q45" ca="1">INDIRECT("'※ 기타지표 세부데이터'!"&amp;Q$1&amp;$X45, TRUE)</f>
        <v>0</v>
      </c>
      <c r="R45" s="3064" cm="1">
        <f t="array" aca="1" ref="R45" ca="1">INDIRECT("'※ 기타지표 세부데이터'!"&amp;R$1&amp;$X45, TRUE)</f>
        <v>0</v>
      </c>
      <c r="S45" s="3065" cm="1">
        <f t="array" aca="1" ref="S45" ca="1">INDIRECT("'※ 기타지표 세부데이터'!"&amp;S$1&amp;$X45, TRUE)</f>
        <v>0</v>
      </c>
      <c r="T45" s="3066" cm="1">
        <f t="array" aca="1" ref="T45" ca="1">INDIRECT("'※ 기타지표 세부데이터'!"&amp;T$1&amp;$X45, TRUE)</f>
        <v>0</v>
      </c>
      <c r="U45" s="3067" cm="1">
        <f t="array" aca="1" ref="U45" ca="1">INDIRECT("'※ 기타지표 세부데이터'!"&amp;U$1&amp;$X45, TRUE)</f>
        <v>-2</v>
      </c>
      <c r="V45" s="3064" cm="1">
        <f t="array" aca="1" ref="V45" ca="1">INDIRECT("'※ 기타지표 세부데이터'!"&amp;V$1&amp;$X45, TRUE)</f>
        <v>0</v>
      </c>
      <c r="W45" s="3068" cm="1">
        <f t="array" aca="1" ref="W45" ca="1">INDIRECT("'※ 기타지표 세부데이터'!"&amp;W$1&amp;$X45, TRUE)</f>
        <v>-0.16666666666666666</v>
      </c>
      <c r="X45" s="3002">
        <f>ROW('※ 기타지표 세부데이터'!J64)</f>
        <v>64</v>
      </c>
      <c r="Y45" s="3033"/>
      <c r="Z45" s="3033"/>
      <c r="AA45" s="3033"/>
      <c r="AB45" s="3053">
        <v>0</v>
      </c>
    </row>
    <row r="46" spans="1:40" ht="16" customHeight="1" x14ac:dyDescent="0.55000000000000004">
      <c r="A46" s="7558"/>
      <c r="B46" s="7564"/>
      <c r="C46" s="3087" t="s">
        <v>575</v>
      </c>
      <c r="D46" s="3111" cm="1">
        <f t="array" aca="1" ref="D46" ca="1">INDIRECT("'※ 기타지표 세부데이터'!"&amp;D$1&amp;$X46, TRUE)</f>
        <v>0</v>
      </c>
      <c r="E46" s="3111" cm="1">
        <f t="array" aca="1" ref="E46" ca="1">INDIRECT("'※ 기타지표 세부데이터'!"&amp;E$1&amp;$X46, TRUE)</f>
        <v>0</v>
      </c>
      <c r="F46" s="3112" cm="1">
        <f t="array" aca="1" ref="F46" ca="1">INDIRECT("'※ 기타지표 세부데이터'!"&amp;F$1&amp;$X46, TRUE)</f>
        <v>0</v>
      </c>
      <c r="G46" s="3113" cm="1">
        <f t="array" aca="1" ref="G46" ca="1">INDIRECT("'※ 기타지표 세부데이터'!"&amp;G$1&amp;$X46, TRUE)</f>
        <v>0</v>
      </c>
      <c r="H46" s="3113" cm="1">
        <f t="array" aca="1" ref="H46" ca="1">INDIRECT("'※ 기타지표 세부데이터'!"&amp;H$1&amp;$X46, TRUE)</f>
        <v>0</v>
      </c>
      <c r="I46" s="3113" cm="1">
        <f t="array" aca="1" ref="I46" ca="1">INDIRECT("'※ 기타지표 세부데이터'!"&amp;I$1&amp;$X46, TRUE)</f>
        <v>0</v>
      </c>
      <c r="J46" s="3113" cm="1">
        <f t="array" aca="1" ref="J46" ca="1">INDIRECT("'※ 기타지표 세부데이터'!"&amp;J$1&amp;$X46, TRUE)</f>
        <v>0</v>
      </c>
      <c r="K46" s="3113" cm="1">
        <f t="array" aca="1" ref="K46" ca="1">INDIRECT("'※ 기타지표 세부데이터'!"&amp;K$1&amp;$X46, TRUE)</f>
        <v>0</v>
      </c>
      <c r="L46" s="3113" cm="1">
        <f t="array" aca="1" ref="L46" ca="1">INDIRECT("'※ 기타지표 세부데이터'!"&amp;L$1&amp;$X46, TRUE)</f>
        <v>0</v>
      </c>
      <c r="M46" s="3113" cm="1">
        <f t="array" aca="1" ref="M46" ca="1">INDIRECT("'※ 기타지표 세부데이터'!"&amp;M$1&amp;$X46, TRUE)</f>
        <v>0</v>
      </c>
      <c r="N46" s="3113" cm="1">
        <f t="array" aca="1" ref="N46" ca="1">INDIRECT("'※ 기타지표 세부데이터'!"&amp;N$1&amp;$X46, TRUE)</f>
        <v>0</v>
      </c>
      <c r="O46" s="3113" cm="1">
        <f t="array" aca="1" ref="O46" ca="1">INDIRECT("'※ 기타지표 세부데이터'!"&amp;O$1&amp;$X46, TRUE)</f>
        <v>0</v>
      </c>
      <c r="P46" s="3113" cm="1">
        <f t="array" aca="1" ref="P46" ca="1">INDIRECT("'※ 기타지표 세부데이터'!"&amp;P$1&amp;$X46, TRUE)</f>
        <v>0</v>
      </c>
      <c r="Q46" s="3113" cm="1">
        <f t="array" aca="1" ref="Q46" ca="1">INDIRECT("'※ 기타지표 세부데이터'!"&amp;Q$1&amp;$X46, TRUE)</f>
        <v>0</v>
      </c>
      <c r="R46" s="3114" cm="1">
        <f t="array" aca="1" ref="R46" ca="1">INDIRECT("'※ 기타지표 세부데이터'!"&amp;R$1&amp;$X46, TRUE)</f>
        <v>0</v>
      </c>
      <c r="S46" s="3115" cm="1">
        <f t="array" aca="1" ref="S46" ca="1">INDIRECT("'※ 기타지표 세부데이터'!"&amp;S$1&amp;$X46, TRUE)</f>
        <v>0</v>
      </c>
      <c r="T46" s="3116" cm="1">
        <f t="array" aca="1" ref="T46" ca="1">INDIRECT("'※ 기타지표 세부데이터'!"&amp;T$1&amp;$X46, TRUE)</f>
        <v>0</v>
      </c>
      <c r="U46" s="3117" cm="1">
        <f t="array" aca="1" ref="U46" ca="1">INDIRECT("'※ 기타지표 세부데이터'!"&amp;U$1&amp;$X46, TRUE)</f>
        <v>0</v>
      </c>
      <c r="V46" s="3114" cm="1">
        <f t="array" aca="1" ref="V46" ca="1">INDIRECT("'※ 기타지표 세부데이터'!"&amp;V$1&amp;$X46, TRUE)</f>
        <v>0</v>
      </c>
      <c r="W46" s="3118" cm="1">
        <f t="array" aca="1" ref="W46" ca="1">INDIRECT("'※ 기타지표 세부데이터'!"&amp;W$1&amp;$X46, TRUE)</f>
        <v>0</v>
      </c>
      <c r="X46" s="3002">
        <f>ROW('※ 기타지표 세부데이터'!J65)</f>
        <v>65</v>
      </c>
      <c r="Y46" s="3033"/>
      <c r="Z46" s="3033"/>
      <c r="AA46" s="3033"/>
      <c r="AB46" s="3053">
        <v>0</v>
      </c>
    </row>
    <row r="47" spans="1:40" ht="16" customHeight="1" x14ac:dyDescent="0.55000000000000004">
      <c r="A47" s="7558"/>
      <c r="B47" s="3088" t="s">
        <v>577</v>
      </c>
      <c r="C47" s="3089"/>
      <c r="D47" s="3090" cm="1">
        <f t="array" aca="1" ref="D47" ca="1">INDIRECT("'※ 기타지표 세부데이터'!"&amp;D$1&amp;$X47, TRUE)</f>
        <v>0</v>
      </c>
      <c r="E47" s="3090" cm="1">
        <f t="array" aca="1" ref="E47" ca="1">INDIRECT("'※ 기타지표 세부데이터'!"&amp;E$1&amp;$X47, TRUE)</f>
        <v>0</v>
      </c>
      <c r="F47" s="3091" cm="1">
        <f t="array" aca="1" ref="F47" ca="1">INDIRECT("'※ 기타지표 세부데이터'!"&amp;F$1&amp;$X47, TRUE)</f>
        <v>0</v>
      </c>
      <c r="G47" s="3092" cm="1">
        <f t="array" aca="1" ref="G47" ca="1">INDIRECT("'※ 기타지표 세부데이터'!"&amp;G$1&amp;$X47, TRUE)</f>
        <v>0</v>
      </c>
      <c r="H47" s="3092" cm="1">
        <f t="array" aca="1" ref="H47" ca="1">INDIRECT("'※ 기타지표 세부데이터'!"&amp;H$1&amp;$X47, TRUE)</f>
        <v>0</v>
      </c>
      <c r="I47" s="3092" cm="1">
        <f t="array" aca="1" ref="I47" ca="1">INDIRECT("'※ 기타지표 세부데이터'!"&amp;I$1&amp;$X47, TRUE)</f>
        <v>0</v>
      </c>
      <c r="J47" s="3092" cm="1">
        <f t="array" aca="1" ref="J47" ca="1">INDIRECT("'※ 기타지표 세부데이터'!"&amp;J$1&amp;$X47, TRUE)</f>
        <v>0</v>
      </c>
      <c r="K47" s="3092" cm="1">
        <f t="array" aca="1" ref="K47" ca="1">INDIRECT("'※ 기타지표 세부데이터'!"&amp;K$1&amp;$X47, TRUE)</f>
        <v>0</v>
      </c>
      <c r="L47" s="3092" cm="1">
        <f t="array" aca="1" ref="L47" ca="1">INDIRECT("'※ 기타지표 세부데이터'!"&amp;L$1&amp;$X47, TRUE)</f>
        <v>0</v>
      </c>
      <c r="M47" s="3092" cm="1">
        <f t="array" aca="1" ref="M47" ca="1">INDIRECT("'※ 기타지표 세부데이터'!"&amp;M$1&amp;$X47, TRUE)</f>
        <v>0</v>
      </c>
      <c r="N47" s="3092" cm="1">
        <f t="array" aca="1" ref="N47" ca="1">INDIRECT("'※ 기타지표 세부데이터'!"&amp;N$1&amp;$X47, TRUE)</f>
        <v>0</v>
      </c>
      <c r="O47" s="3092" cm="1">
        <f t="array" aca="1" ref="O47" ca="1">INDIRECT("'※ 기타지표 세부데이터'!"&amp;O$1&amp;$X47, TRUE)</f>
        <v>0</v>
      </c>
      <c r="P47" s="3092" cm="1">
        <f t="array" aca="1" ref="P47" ca="1">INDIRECT("'※ 기타지표 세부데이터'!"&amp;P$1&amp;$X47, TRUE)</f>
        <v>0</v>
      </c>
      <c r="Q47" s="3092" cm="1">
        <f t="array" aca="1" ref="Q47" ca="1">INDIRECT("'※ 기타지표 세부데이터'!"&amp;Q$1&amp;$X47, TRUE)</f>
        <v>0</v>
      </c>
      <c r="R47" s="3093" cm="1">
        <f t="array" aca="1" ref="R47" ca="1">INDIRECT("'※ 기타지표 세부데이터'!"&amp;R$1&amp;$X47, TRUE)</f>
        <v>0</v>
      </c>
      <c r="S47" s="3119"/>
      <c r="T47" s="3095" cm="1">
        <f t="array" aca="1" ref="T47" ca="1">INDIRECT("'※ 기타지표 세부데이터'!"&amp;T$1&amp;$X47, TRUE)</f>
        <v>0</v>
      </c>
      <c r="U47" s="3120"/>
      <c r="V47" s="3093" cm="1">
        <f t="array" aca="1" ref="V47" ca="1">INDIRECT("'※ 기타지표 세부데이터'!"&amp;V$1&amp;$X47, TRUE)</f>
        <v>0</v>
      </c>
      <c r="W47" s="3121"/>
      <c r="X47" s="3002">
        <f>ROW('※ 기타지표 세부데이터'!J66)</f>
        <v>66</v>
      </c>
      <c r="Y47" s="3014"/>
      <c r="Z47" s="3014"/>
      <c r="AA47" s="3014"/>
      <c r="AB47" s="3053">
        <v>0</v>
      </c>
    </row>
    <row r="48" spans="1:40" ht="16" customHeight="1" x14ac:dyDescent="0.55000000000000004">
      <c r="A48" s="7558"/>
      <c r="B48" s="3122" t="s">
        <v>1019</v>
      </c>
      <c r="C48" s="3078"/>
      <c r="D48" s="3079" cm="1">
        <f t="array" aca="1" ref="D48" ca="1">INDIRECT("'※ 기타지표 세부데이터'!"&amp;D$1&amp;$X48, TRUE)</f>
        <v>0</v>
      </c>
      <c r="E48" s="3079" cm="1">
        <f t="array" aca="1" ref="E48" ca="1">INDIRECT("'※ 기타지표 세부데이터'!"&amp;E$1&amp;$X48, TRUE)</f>
        <v>0</v>
      </c>
      <c r="F48" s="3080" cm="1">
        <f t="array" aca="1" ref="F48" ca="1">INDIRECT("'※ 기타지표 세부데이터'!"&amp;F$1&amp;$X48, TRUE)</f>
        <v>0</v>
      </c>
      <c r="G48" s="3081" cm="1">
        <f t="array" aca="1" ref="G48" ca="1">INDIRECT("'※ 기타지표 세부데이터'!"&amp;G$1&amp;$X48, TRUE)</f>
        <v>0</v>
      </c>
      <c r="H48" s="3081" cm="1">
        <f t="array" aca="1" ref="H48" ca="1">INDIRECT("'※ 기타지표 세부데이터'!"&amp;H$1&amp;$X48, TRUE)</f>
        <v>0</v>
      </c>
      <c r="I48" s="3081" cm="1">
        <f t="array" aca="1" ref="I48" ca="1">INDIRECT("'※ 기타지표 세부데이터'!"&amp;I$1&amp;$X48, TRUE)</f>
        <v>0</v>
      </c>
      <c r="J48" s="3081" cm="1">
        <f t="array" aca="1" ref="J48" ca="1">INDIRECT("'※ 기타지표 세부데이터'!"&amp;J$1&amp;$X48, TRUE)</f>
        <v>0</v>
      </c>
      <c r="K48" s="3081" cm="1">
        <f t="array" aca="1" ref="K48" ca="1">INDIRECT("'※ 기타지표 세부데이터'!"&amp;K$1&amp;$X48, TRUE)</f>
        <v>0</v>
      </c>
      <c r="L48" s="3081" cm="1">
        <f t="array" aca="1" ref="L48" ca="1">INDIRECT("'※ 기타지표 세부데이터'!"&amp;L$1&amp;$X48, TRUE)</f>
        <v>0</v>
      </c>
      <c r="M48" s="3081" cm="1">
        <f t="array" aca="1" ref="M48" ca="1">INDIRECT("'※ 기타지표 세부데이터'!"&amp;M$1&amp;$X48, TRUE)</f>
        <v>0</v>
      </c>
      <c r="N48" s="3081" cm="1">
        <f t="array" aca="1" ref="N48" ca="1">INDIRECT("'※ 기타지표 세부데이터'!"&amp;N$1&amp;$X48, TRUE)</f>
        <v>0</v>
      </c>
      <c r="O48" s="3081" cm="1">
        <f t="array" aca="1" ref="O48" ca="1">INDIRECT("'※ 기타지표 세부데이터'!"&amp;O$1&amp;$X48, TRUE)</f>
        <v>0</v>
      </c>
      <c r="P48" s="3081" cm="1">
        <f t="array" aca="1" ref="P48" ca="1">INDIRECT("'※ 기타지표 세부데이터'!"&amp;P$1&amp;$X48, TRUE)</f>
        <v>0</v>
      </c>
      <c r="Q48" s="3081" cm="1">
        <f t="array" aca="1" ref="Q48" ca="1">INDIRECT("'※ 기타지표 세부데이터'!"&amp;Q$1&amp;$X48, TRUE)</f>
        <v>0</v>
      </c>
      <c r="R48" s="3082" cm="1">
        <f t="array" aca="1" ref="R48" ca="1">INDIRECT("'※ 기타지표 세부데이터'!"&amp;R$1&amp;$X48, TRUE)</f>
        <v>0</v>
      </c>
      <c r="S48" s="3123"/>
      <c r="T48" s="3084" cm="1">
        <f t="array" aca="1" ref="T48" ca="1">INDIRECT("'※ 기타지표 세부데이터'!"&amp;T$1&amp;$X48, TRUE)</f>
        <v>0</v>
      </c>
      <c r="U48" s="3124"/>
      <c r="V48" s="3082" cm="1">
        <f t="array" aca="1" ref="V48" ca="1">INDIRECT("'※ 기타지표 세부데이터'!"&amp;V$1&amp;$X48, TRUE)</f>
        <v>0</v>
      </c>
      <c r="W48" s="3125"/>
      <c r="X48" s="3002">
        <f>ROW('※ 기타지표 세부데이터'!J67)</f>
        <v>67</v>
      </c>
      <c r="Y48" s="3033"/>
      <c r="Z48" s="3033"/>
      <c r="AA48" s="3033"/>
      <c r="AB48" s="3053">
        <v>0</v>
      </c>
    </row>
    <row r="49" spans="1:40" ht="16" customHeight="1" x14ac:dyDescent="0.55000000000000004">
      <c r="A49" s="7558"/>
      <c r="B49" s="3098" t="s">
        <v>327</v>
      </c>
      <c r="C49" s="2639"/>
      <c r="D49" s="3126" cm="1">
        <f t="array" aca="1" ref="D49" ca="1">INDIRECT("'※ 기타지표 세부데이터'!"&amp;D$1&amp;$X49, TRUE)</f>
        <v>0</v>
      </c>
      <c r="E49" s="3126" cm="1">
        <f t="array" aca="1" ref="E49" ca="1">INDIRECT("'※ 기타지표 세부데이터'!"&amp;E$1&amp;$X49, TRUE)</f>
        <v>0</v>
      </c>
      <c r="F49" s="3127" cm="1">
        <f t="array" aca="1" ref="F49" ca="1">INDIRECT("'※ 기타지표 세부데이터'!"&amp;F$1&amp;$X49, TRUE)</f>
        <v>0</v>
      </c>
      <c r="G49" s="3128" cm="1">
        <f t="array" aca="1" ref="G49" ca="1">INDIRECT("'※ 기타지표 세부데이터'!"&amp;G$1&amp;$X49, TRUE)</f>
        <v>0</v>
      </c>
      <c r="H49" s="3128" cm="1">
        <f t="array" aca="1" ref="H49" ca="1">INDIRECT("'※ 기타지표 세부데이터'!"&amp;H$1&amp;$X49, TRUE)</f>
        <v>0</v>
      </c>
      <c r="I49" s="3128" cm="1">
        <f t="array" aca="1" ref="I49" ca="1">INDIRECT("'※ 기타지표 세부데이터'!"&amp;I$1&amp;$X49, TRUE)</f>
        <v>0</v>
      </c>
      <c r="J49" s="3128" cm="1">
        <f t="array" aca="1" ref="J49" ca="1">INDIRECT("'※ 기타지표 세부데이터'!"&amp;J$1&amp;$X49, TRUE)</f>
        <v>0</v>
      </c>
      <c r="K49" s="3128" cm="1">
        <f t="array" aca="1" ref="K49" ca="1">INDIRECT("'※ 기타지표 세부데이터'!"&amp;K$1&amp;$X49, TRUE)</f>
        <v>0</v>
      </c>
      <c r="L49" s="3128" cm="1">
        <f t="array" aca="1" ref="L49" ca="1">INDIRECT("'※ 기타지표 세부데이터'!"&amp;L$1&amp;$X49, TRUE)</f>
        <v>0</v>
      </c>
      <c r="M49" s="3128" cm="1">
        <f t="array" aca="1" ref="M49" ca="1">INDIRECT("'※ 기타지표 세부데이터'!"&amp;M$1&amp;$X49, TRUE)</f>
        <v>0</v>
      </c>
      <c r="N49" s="3128" cm="1">
        <f t="array" aca="1" ref="N49" ca="1">INDIRECT("'※ 기타지표 세부데이터'!"&amp;N$1&amp;$X49, TRUE)</f>
        <v>0</v>
      </c>
      <c r="O49" s="3128" cm="1">
        <f t="array" aca="1" ref="O49" ca="1">INDIRECT("'※ 기타지표 세부데이터'!"&amp;O$1&amp;$X49, TRUE)</f>
        <v>0</v>
      </c>
      <c r="P49" s="3128" cm="1">
        <f t="array" aca="1" ref="P49" ca="1">INDIRECT("'※ 기타지표 세부데이터'!"&amp;P$1&amp;$X49, TRUE)</f>
        <v>0</v>
      </c>
      <c r="Q49" s="3128" cm="1">
        <f t="array" aca="1" ref="Q49" ca="1">INDIRECT("'※ 기타지표 세부데이터'!"&amp;Q$1&amp;$X49, TRUE)</f>
        <v>0</v>
      </c>
      <c r="R49" s="3129" cm="1">
        <f t="array" aca="1" ref="R49" ca="1">INDIRECT("'※ 기타지표 세부데이터'!"&amp;R$1&amp;$X49, TRUE)</f>
        <v>-6</v>
      </c>
      <c r="S49" s="3130"/>
      <c r="T49" s="3131" cm="1">
        <f t="array" aca="1" ref="T49" ca="1">INDIRECT("'※ 기타지표 세부데이터'!"&amp;T$1&amp;$X49, TRUE)</f>
        <v>0</v>
      </c>
      <c r="U49" s="3132"/>
      <c r="V49" s="3129" cm="1">
        <f t="array" aca="1" ref="V49" ca="1">INDIRECT("'※ 기타지표 세부데이터'!"&amp;V$1&amp;$X49, TRUE)</f>
        <v>0</v>
      </c>
      <c r="W49" s="3133"/>
      <c r="X49" s="3134">
        <f>ROW('※ 기타지표 세부데이터'!J68)</f>
        <v>68</v>
      </c>
      <c r="Y49" s="2639"/>
      <c r="Z49" s="3033"/>
      <c r="AA49" s="3033"/>
      <c r="AB49" s="3053">
        <v>0</v>
      </c>
    </row>
    <row r="50" spans="1:40" ht="16" customHeight="1" x14ac:dyDescent="0.55000000000000004">
      <c r="A50" s="7558"/>
      <c r="B50" s="3135" t="s">
        <v>578</v>
      </c>
      <c r="C50" s="3136"/>
      <c r="D50" s="3137" cm="1">
        <f t="array" aca="1" ref="D50" ca="1">INDIRECT("'※ 기타지표 세부데이터'!"&amp;D$1&amp;$X50, TRUE)</f>
        <v>29.2</v>
      </c>
      <c r="E50" s="3137" cm="1">
        <f t="array" aca="1" ref="E50" ca="1">INDIRECT("'※ 기타지표 세부데이터'!"&amp;E$1&amp;$X50, TRUE)</f>
        <v>12.833333333333334</v>
      </c>
      <c r="F50" s="3138" cm="1">
        <f t="array" aca="1" ref="F50" ca="1">INDIRECT("'※ 기타지표 세부데이터'!"&amp;F$1&amp;$X50, TRUE)</f>
        <v>3</v>
      </c>
      <c r="G50" s="3139" cm="1">
        <f t="array" aca="1" ref="G50" ca="1">INDIRECT("'※ 기타지표 세부데이터'!"&amp;G$1&amp;$X50, TRUE)</f>
        <v>19</v>
      </c>
      <c r="H50" s="3139" cm="1">
        <f t="array" aca="1" ref="H50" ca="1">INDIRECT("'※ 기타지표 세부데이터'!"&amp;H$1&amp;$X50, TRUE)</f>
        <v>14</v>
      </c>
      <c r="I50" s="3139" cm="1">
        <f t="array" aca="1" ref="I50" ca="1">INDIRECT("'※ 기타지표 세부데이터'!"&amp;I$1&amp;$X50, TRUE)</f>
        <v>14</v>
      </c>
      <c r="J50" s="3139" cm="1">
        <f t="array" aca="1" ref="J50" ca="1">INDIRECT("'※ 기타지표 세부데이터'!"&amp;J$1&amp;$X50, TRUE)</f>
        <v>11</v>
      </c>
      <c r="K50" s="3139" cm="1">
        <f t="array" aca="1" ref="K50" ca="1">INDIRECT("'※ 기타지표 세부데이터'!"&amp;K$1&amp;$X50, TRUE)</f>
        <v>14</v>
      </c>
      <c r="L50" s="3139" cm="1">
        <f t="array" aca="1" ref="L50" ca="1">INDIRECT("'※ 기타지표 세부데이터'!"&amp;L$1&amp;$X50, TRUE)</f>
        <v>11</v>
      </c>
      <c r="M50" s="3139" cm="1">
        <f t="array" aca="1" ref="M50" ca="1">INDIRECT("'※ 기타지표 세부데이터'!"&amp;M$1&amp;$X50, TRUE)</f>
        <v>10</v>
      </c>
      <c r="N50" s="3139" cm="1">
        <f t="array" aca="1" ref="N50" ca="1">INDIRECT("'※ 기타지표 세부데이터'!"&amp;N$1&amp;$X50, TRUE)</f>
        <v>7</v>
      </c>
      <c r="O50" s="3139" cm="1">
        <f t="array" aca="1" ref="O50" ca="1">INDIRECT("'※ 기타지표 세부데이터'!"&amp;O$1&amp;$X50, TRUE)</f>
        <v>5</v>
      </c>
      <c r="P50" s="3139" cm="1">
        <f t="array" aca="1" ref="P50" ca="1">INDIRECT("'※ 기타지표 세부데이터'!"&amp;P$1&amp;$X50, TRUE)</f>
        <v>12</v>
      </c>
      <c r="Q50" s="3139" cm="1">
        <f t="array" aca="1" ref="Q50" ca="1">INDIRECT("'※ 기타지표 세부데이터'!"&amp;Q$1&amp;$X50, TRUE)</f>
        <v>6</v>
      </c>
      <c r="R50" s="3140" cm="1">
        <f t="array" aca="1" ref="R50" ca="1">INDIRECT("'※ 기타지표 세부데이터'!"&amp;R$1&amp;$X50, TRUE)</f>
        <v>-5</v>
      </c>
      <c r="S50" s="3141"/>
      <c r="T50" s="3142" cm="1">
        <f t="array" aca="1" ref="T50" ca="1">INDIRECT("'※ 기타지표 세부데이터'!"&amp;T$1&amp;$X50, TRUE)</f>
        <v>126</v>
      </c>
      <c r="U50" s="3143"/>
      <c r="V50" s="3140" cm="1">
        <f t="array" aca="1" ref="V50" ca="1">INDIRECT("'※ 기타지표 세부데이터'!"&amp;V$1&amp;$X50, TRUE)</f>
        <v>10.5</v>
      </c>
      <c r="W50" s="3144" cm="1">
        <f t="array" aca="1" ref="W50" ca="1">INDIRECT("'※ 기타지표 세부데이터'!"&amp;W$1&amp;$X50, TRUE)</f>
        <v>-2.3333333333333339</v>
      </c>
      <c r="X50" s="3134">
        <f>ROW('※ 기타지표 세부데이터'!J69)</f>
        <v>69</v>
      </c>
      <c r="Y50" s="3145"/>
      <c r="Z50" s="3014"/>
      <c r="AA50" s="3014"/>
      <c r="AB50" s="3053">
        <v>29.2</v>
      </c>
      <c r="AJ50" s="2441">
        <v>11</v>
      </c>
      <c r="AK50" s="2441">
        <v>30</v>
      </c>
      <c r="AL50" s="2441">
        <v>35</v>
      </c>
      <c r="AM50" s="2441">
        <v>21</v>
      </c>
      <c r="AN50" s="2441">
        <v>49</v>
      </c>
    </row>
    <row r="51" spans="1:40" ht="16" customHeight="1" x14ac:dyDescent="0.55000000000000004">
      <c r="A51" s="7558"/>
      <c r="B51" s="3122" t="s">
        <v>1019</v>
      </c>
      <c r="C51" s="3146"/>
      <c r="D51" s="3147" cm="1">
        <f t="array" aca="1" ref="D51" ca="1">INDIRECT("'※ 기타지표 세부데이터'!"&amp;D$1&amp;$X51, TRUE)</f>
        <v>29.2</v>
      </c>
      <c r="E51" s="3147" cm="1">
        <f t="array" aca="1" ref="E51" ca="1">INDIRECT("'※ 기타지표 세부데이터'!"&amp;E$1&amp;$X51, TRUE)</f>
        <v>12.583333333333334</v>
      </c>
      <c r="F51" s="3148" cm="1">
        <f t="array" aca="1" ref="F51" ca="1">INDIRECT("'※ 기타지표 세부데이터'!"&amp;F$1&amp;$X51, TRUE)</f>
        <v>3</v>
      </c>
      <c r="G51" s="3149" cm="1">
        <f t="array" aca="1" ref="G51" ca="1">INDIRECT("'※ 기타지표 세부데이터'!"&amp;G$1&amp;$X51, TRUE)</f>
        <v>19</v>
      </c>
      <c r="H51" s="3149" cm="1">
        <f t="array" aca="1" ref="H51" ca="1">INDIRECT("'※ 기타지표 세부데이터'!"&amp;H$1&amp;$X51, TRUE)</f>
        <v>14</v>
      </c>
      <c r="I51" s="3149" cm="1">
        <f t="array" aca="1" ref="I51" ca="1">INDIRECT("'※ 기타지표 세부데이터'!"&amp;I$1&amp;$X51, TRUE)</f>
        <v>14</v>
      </c>
      <c r="J51" s="3149" cm="1">
        <f t="array" aca="1" ref="J51" ca="1">INDIRECT("'※ 기타지표 세부데이터'!"&amp;J$1&amp;$X51, TRUE)</f>
        <v>11</v>
      </c>
      <c r="K51" s="3149" cm="1">
        <f t="array" aca="1" ref="K51" ca="1">INDIRECT("'※ 기타지표 세부데이터'!"&amp;K$1&amp;$X51, TRUE)</f>
        <v>12</v>
      </c>
      <c r="L51" s="3149" cm="1">
        <f t="array" aca="1" ref="L51" ca="1">INDIRECT("'※ 기타지표 세부데이터'!"&amp;L$1&amp;$X51, TRUE)</f>
        <v>10</v>
      </c>
      <c r="M51" s="3149" cm="1">
        <f t="array" aca="1" ref="M51" ca="1">INDIRECT("'※ 기타지표 세부데이터'!"&amp;M$1&amp;$X51, TRUE)</f>
        <v>7</v>
      </c>
      <c r="N51" s="3149" cm="1">
        <f t="array" aca="1" ref="N51" ca="1">INDIRECT("'※ 기타지표 세부데이터'!"&amp;N$1&amp;$X51, TRUE)</f>
        <v>7</v>
      </c>
      <c r="O51" s="3149" cm="1">
        <f t="array" aca="1" ref="O51" ca="1">INDIRECT("'※ 기타지표 세부데이터'!"&amp;O$1&amp;$X51, TRUE)</f>
        <v>5</v>
      </c>
      <c r="P51" s="3149" cm="1">
        <f t="array" aca="1" ref="P51" ca="1">INDIRECT("'※ 기타지표 세부데이터'!"&amp;P$1&amp;$X51, TRUE)</f>
        <v>11</v>
      </c>
      <c r="Q51" s="3149" cm="1">
        <f t="array" aca="1" ref="Q51" ca="1">INDIRECT("'※ 기타지표 세부데이터'!"&amp;Q$1&amp;$X51, TRUE)</f>
        <v>6</v>
      </c>
      <c r="R51" s="3150" cm="1">
        <f t="array" aca="1" ref="R51" ca="1">INDIRECT("'※ 기타지표 세부데이터'!"&amp;R$1&amp;$X51, TRUE)</f>
        <v>-1</v>
      </c>
      <c r="S51" s="3151"/>
      <c r="T51" s="3152" cm="1">
        <f t="array" aca="1" ref="T51" ca="1">INDIRECT("'※ 기타지표 세부데이터'!"&amp;T$1&amp;$X51, TRUE)</f>
        <v>119</v>
      </c>
      <c r="U51" s="3153"/>
      <c r="V51" s="3150" cm="1">
        <f t="array" aca="1" ref="V51" ca="1">INDIRECT("'※ 기타지표 세부데이터'!"&amp;V$1&amp;$X51, TRUE)</f>
        <v>9.9166666666666661</v>
      </c>
      <c r="W51" s="3154" cm="1">
        <f t="array" aca="1" ref="W51" ca="1">INDIRECT("'※ 기타지표 세부데이터'!"&amp;W$1&amp;$X51, TRUE)</f>
        <v>-2.6666666666666679</v>
      </c>
      <c r="X51" s="3134">
        <f>ROW('※ 기타지표 세부데이터'!J70)</f>
        <v>70</v>
      </c>
      <c r="Y51" s="2639"/>
      <c r="Z51" s="3033"/>
      <c r="AA51" s="3033"/>
      <c r="AB51" s="3053">
        <v>29.2</v>
      </c>
      <c r="AJ51" s="2441">
        <v>11</v>
      </c>
      <c r="AK51" s="2441">
        <v>30</v>
      </c>
      <c r="AL51" s="2441">
        <v>35</v>
      </c>
      <c r="AM51" s="2441">
        <v>21</v>
      </c>
      <c r="AN51" s="2441">
        <v>49</v>
      </c>
    </row>
    <row r="52" spans="1:40" ht="16" customHeight="1" thickBot="1" x14ac:dyDescent="0.6">
      <c r="A52" s="7558"/>
      <c r="B52" s="3155" t="s">
        <v>327</v>
      </c>
      <c r="C52" s="3156"/>
      <c r="D52" s="3157" cm="1">
        <f t="array" aca="1" ref="D52" ca="1">INDIRECT("'※ 기타지표 세부데이터'!"&amp;D$1&amp;$X52, TRUE)</f>
        <v>0</v>
      </c>
      <c r="E52" s="3157" cm="1">
        <f t="array" aca="1" ref="E52" ca="1">INDIRECT("'※ 기타지표 세부데이터'!"&amp;E$1&amp;$X52, TRUE)</f>
        <v>0.25</v>
      </c>
      <c r="F52" s="3158" cm="1">
        <f t="array" aca="1" ref="F52" ca="1">INDIRECT("'※ 기타지표 세부데이터'!"&amp;F$1&amp;$X52, TRUE)</f>
        <v>0</v>
      </c>
      <c r="G52" s="3159" cm="1">
        <f t="array" aca="1" ref="G52" ca="1">INDIRECT("'※ 기타지표 세부데이터'!"&amp;G$1&amp;$X52, TRUE)</f>
        <v>0</v>
      </c>
      <c r="H52" s="3159" cm="1">
        <f t="array" aca="1" ref="H52" ca="1">INDIRECT("'※ 기타지표 세부데이터'!"&amp;H$1&amp;$X52, TRUE)</f>
        <v>0</v>
      </c>
      <c r="I52" s="3159" cm="1">
        <f t="array" aca="1" ref="I52" ca="1">INDIRECT("'※ 기타지표 세부데이터'!"&amp;I$1&amp;$X52, TRUE)</f>
        <v>0</v>
      </c>
      <c r="J52" s="3159" cm="1">
        <f t="array" aca="1" ref="J52" ca="1">INDIRECT("'※ 기타지표 세부데이터'!"&amp;J$1&amp;$X52, TRUE)</f>
        <v>0</v>
      </c>
      <c r="K52" s="3159" cm="1">
        <f t="array" aca="1" ref="K52" ca="1">INDIRECT("'※ 기타지표 세부데이터'!"&amp;K$1&amp;$X52, TRUE)</f>
        <v>2</v>
      </c>
      <c r="L52" s="3159" cm="1">
        <f t="array" aca="1" ref="L52" ca="1">INDIRECT("'※ 기타지표 세부데이터'!"&amp;L$1&amp;$X52, TRUE)</f>
        <v>1</v>
      </c>
      <c r="M52" s="3159" cm="1">
        <f t="array" aca="1" ref="M52" ca="1">INDIRECT("'※ 기타지표 세부데이터'!"&amp;M$1&amp;$X52, TRUE)</f>
        <v>3</v>
      </c>
      <c r="N52" s="3159" cm="1">
        <f t="array" aca="1" ref="N52" ca="1">INDIRECT("'※ 기타지표 세부데이터'!"&amp;N$1&amp;$X52, TRUE)</f>
        <v>0</v>
      </c>
      <c r="O52" s="3159" cm="1">
        <f t="array" aca="1" ref="O52" ca="1">INDIRECT("'※ 기타지표 세부데이터'!"&amp;O$1&amp;$X52, TRUE)</f>
        <v>0</v>
      </c>
      <c r="P52" s="3159" cm="1">
        <f t="array" aca="1" ref="P52" ca="1">INDIRECT("'※ 기타지표 세부데이터'!"&amp;P$1&amp;$X52, TRUE)</f>
        <v>1</v>
      </c>
      <c r="Q52" s="3159" cm="1">
        <f t="array" aca="1" ref="Q52" ca="1">INDIRECT("'※ 기타지표 세부데이터'!"&amp;Q$1&amp;$X52, TRUE)</f>
        <v>0</v>
      </c>
      <c r="R52" s="3160" cm="1">
        <f t="array" aca="1" ref="R52" ca="1">INDIRECT("'※ 기타지표 세부데이터'!"&amp;R$1&amp;$X52, TRUE)</f>
        <v>0</v>
      </c>
      <c r="S52" s="3161"/>
      <c r="T52" s="3162" cm="1">
        <f t="array" aca="1" ref="T52" ca="1">INDIRECT("'※ 기타지표 세부데이터'!"&amp;T$1&amp;$X52, TRUE)</f>
        <v>7</v>
      </c>
      <c r="U52" s="3163"/>
      <c r="V52" s="3160" cm="1">
        <f t="array" aca="1" ref="V52" ca="1">INDIRECT("'※ 기타지표 세부데이터'!"&amp;V$1&amp;$X52, TRUE)</f>
        <v>0.58333333333333337</v>
      </c>
      <c r="W52" s="3164" cm="1">
        <f t="array" aca="1" ref="W52" ca="1">INDIRECT("'※ 기타지표 세부데이터'!"&amp;W$1&amp;$X52, TRUE)</f>
        <v>0.33333333333333337</v>
      </c>
      <c r="X52" s="3134">
        <f>ROW('※ 기타지표 세부데이터'!J71)</f>
        <v>71</v>
      </c>
      <c r="Y52" s="2639"/>
      <c r="Z52" s="3033"/>
      <c r="AA52" s="3033"/>
      <c r="AB52" s="3053">
        <v>0</v>
      </c>
    </row>
    <row r="53" spans="1:40" ht="16" customHeight="1" x14ac:dyDescent="0.55000000000000004">
      <c r="A53" s="7558"/>
      <c r="B53" s="3135" t="s">
        <v>1132</v>
      </c>
      <c r="C53" s="3136"/>
      <c r="D53" s="3137" cm="1">
        <f t="array" aca="1" ref="D53" ca="1">INDIRECT("'※ 기타지표 세부데이터'!"&amp;D$1&amp;$X53, TRUE)</f>
        <v>3.8333333333333335</v>
      </c>
      <c r="E53" s="3137" cm="1">
        <f t="array" aca="1" ref="E53" ca="1">INDIRECT("'※ 기타지표 세부데이터'!"&amp;E$1&amp;$X53, TRUE)</f>
        <v>0.75</v>
      </c>
      <c r="F53" s="3138" cm="1">
        <f t="array" aca="1" ref="F53" ca="1">INDIRECT("'※ 기타지표 세부데이터'!"&amp;F$1&amp;$X53, TRUE)</f>
        <v>2</v>
      </c>
      <c r="G53" s="3139" cm="1">
        <f t="array" aca="1" ref="G53" ca="1">INDIRECT("'※ 기타지표 세부데이터'!"&amp;G$1&amp;$X53, TRUE)</f>
        <v>0</v>
      </c>
      <c r="H53" s="3139" cm="1">
        <f t="array" aca="1" ref="H53" ca="1">INDIRECT("'※ 기타지표 세부데이터'!"&amp;H$1&amp;$X53, TRUE)</f>
        <v>2</v>
      </c>
      <c r="I53" s="3139" cm="1">
        <f t="array" aca="1" ref="I53" ca="1">INDIRECT("'※ 기타지표 세부데이터'!"&amp;I$1&amp;$X53, TRUE)</f>
        <v>2</v>
      </c>
      <c r="J53" s="3139" cm="1">
        <f t="array" aca="1" ref="J53" ca="1">INDIRECT("'※ 기타지표 세부데이터'!"&amp;J$1&amp;$X53, TRUE)</f>
        <v>1</v>
      </c>
      <c r="K53" s="3139" cm="1">
        <f t="array" aca="1" ref="K53" ca="1">INDIRECT("'※ 기타지표 세부데이터'!"&amp;K$1&amp;$X53, TRUE)</f>
        <v>0</v>
      </c>
      <c r="L53" s="3139" cm="1">
        <f t="array" aca="1" ref="L53" ca="1">INDIRECT("'※ 기타지표 세부데이터'!"&amp;L$1&amp;$X53, TRUE)</f>
        <v>1</v>
      </c>
      <c r="M53" s="3139" cm="1">
        <f t="array" aca="1" ref="M53" ca="1">INDIRECT("'※ 기타지표 세부데이터'!"&amp;M$1&amp;$X53, TRUE)</f>
        <v>4</v>
      </c>
      <c r="N53" s="3139" cm="1">
        <f t="array" aca="1" ref="N53" ca="1">INDIRECT("'※ 기타지표 세부데이터'!"&amp;N$1&amp;$X53, TRUE)</f>
        <v>5</v>
      </c>
      <c r="O53" s="3139" cm="1">
        <f t="array" aca="1" ref="O53" ca="1">INDIRECT("'※ 기타지표 세부데이터'!"&amp;O$1&amp;$X53, TRUE)</f>
        <v>0</v>
      </c>
      <c r="P53" s="3139" cm="1">
        <f t="array" aca="1" ref="P53" ca="1">INDIRECT("'※ 기타지표 세부데이터'!"&amp;P$1&amp;$X53, TRUE)</f>
        <v>0</v>
      </c>
      <c r="Q53" s="3139" cm="1">
        <f t="array" aca="1" ref="Q53" ca="1">INDIRECT("'※ 기타지표 세부데이터'!"&amp;Q$1&amp;$X53, TRUE)</f>
        <v>0</v>
      </c>
      <c r="R53" s="3140" cm="1">
        <f t="array" aca="1" ref="R53" ca="1">INDIRECT("'※ 기타지표 세부데이터'!"&amp;R$1&amp;$X53, TRUE)</f>
        <v>0</v>
      </c>
      <c r="S53" s="3141"/>
      <c r="T53" s="3142" cm="1">
        <f t="array" aca="1" ref="T53" ca="1">INDIRECT("'※ 기타지표 세부데이터'!"&amp;T$1&amp;$X53, TRUE)</f>
        <v>17</v>
      </c>
      <c r="U53" s="3143"/>
      <c r="V53" s="3140" cm="1">
        <f t="array" aca="1" ref="V53" ca="1">INDIRECT("'※ 기타지표 세부데이터'!"&amp;V$1&amp;$X53, TRUE)</f>
        <v>1.4166666666666667</v>
      </c>
      <c r="W53" s="3144" cm="1">
        <f t="array" aca="1" ref="W53" ca="1">INDIRECT("'※ 기타지표 세부데이터'!"&amp;W$1&amp;$X53, TRUE)</f>
        <v>0.66666666666666674</v>
      </c>
      <c r="X53" s="3134">
        <f>ROW('※ 기타지표 세부데이터'!J72)</f>
        <v>72</v>
      </c>
      <c r="Y53" s="3145"/>
      <c r="Z53" s="3014"/>
      <c r="AA53" s="3014"/>
      <c r="AB53" s="3053">
        <v>29.2</v>
      </c>
      <c r="AJ53" s="2441">
        <v>11</v>
      </c>
      <c r="AK53" s="2441">
        <v>30</v>
      </c>
      <c r="AL53" s="2441">
        <v>35</v>
      </c>
      <c r="AM53" s="2441">
        <v>21</v>
      </c>
      <c r="AN53" s="2441">
        <v>49</v>
      </c>
    </row>
    <row r="54" spans="1:40" ht="16" customHeight="1" x14ac:dyDescent="0.55000000000000004">
      <c r="A54" s="7558"/>
      <c r="B54" s="3122" t="s">
        <v>1019</v>
      </c>
      <c r="C54" s="3146"/>
      <c r="D54" s="3147" cm="1">
        <f t="array" aca="1" ref="D54" ca="1">INDIRECT("'※ 기타지표 세부데이터'!"&amp;D$1&amp;$X54, TRUE)</f>
        <v>3.8333333333333335</v>
      </c>
      <c r="E54" s="3147" cm="1">
        <f t="array" aca="1" ref="E54" ca="1">INDIRECT("'※ 기타지표 세부데이터'!"&amp;E$1&amp;$X54, TRUE)</f>
        <v>0.75</v>
      </c>
      <c r="F54" s="3148" cm="1">
        <f t="array" aca="1" ref="F54" ca="1">INDIRECT("'※ 기타지표 세부데이터'!"&amp;F$1&amp;$X54, TRUE)</f>
        <v>2</v>
      </c>
      <c r="G54" s="3149" cm="1">
        <f t="array" aca="1" ref="G54" ca="1">INDIRECT("'※ 기타지표 세부데이터'!"&amp;G$1&amp;$X54, TRUE)</f>
        <v>0</v>
      </c>
      <c r="H54" s="3149" cm="1">
        <f t="array" aca="1" ref="H54" ca="1">INDIRECT("'※ 기타지표 세부데이터'!"&amp;H$1&amp;$X54, TRUE)</f>
        <v>2</v>
      </c>
      <c r="I54" s="3149" cm="1">
        <f t="array" aca="1" ref="I54" ca="1">INDIRECT("'※ 기타지표 세부데이터'!"&amp;I$1&amp;$X54, TRUE)</f>
        <v>2</v>
      </c>
      <c r="J54" s="3149" cm="1">
        <f t="array" aca="1" ref="J54" ca="1">INDIRECT("'※ 기타지표 세부데이터'!"&amp;J$1&amp;$X54, TRUE)</f>
        <v>1</v>
      </c>
      <c r="K54" s="3149" cm="1">
        <f t="array" aca="1" ref="K54" ca="1">INDIRECT("'※ 기타지표 세부데이터'!"&amp;K$1&amp;$X54, TRUE)</f>
        <v>0</v>
      </c>
      <c r="L54" s="3149" cm="1">
        <f t="array" aca="1" ref="L54" ca="1">INDIRECT("'※ 기타지표 세부데이터'!"&amp;L$1&amp;$X54, TRUE)</f>
        <v>1</v>
      </c>
      <c r="M54" s="3149" cm="1">
        <f t="array" aca="1" ref="M54" ca="1">INDIRECT("'※ 기타지표 세부데이터'!"&amp;M$1&amp;$X54, TRUE)</f>
        <v>4</v>
      </c>
      <c r="N54" s="3149" cm="1">
        <f t="array" aca="1" ref="N54" ca="1">INDIRECT("'※ 기타지표 세부데이터'!"&amp;N$1&amp;$X54, TRUE)</f>
        <v>5</v>
      </c>
      <c r="O54" s="3149" cm="1">
        <f t="array" aca="1" ref="O54" ca="1">INDIRECT("'※ 기타지표 세부데이터'!"&amp;O$1&amp;$X54, TRUE)</f>
        <v>0</v>
      </c>
      <c r="P54" s="3149" cm="1">
        <f t="array" aca="1" ref="P54" ca="1">INDIRECT("'※ 기타지표 세부데이터'!"&amp;P$1&amp;$X54, TRUE)</f>
        <v>0</v>
      </c>
      <c r="Q54" s="3149" cm="1">
        <f t="array" aca="1" ref="Q54" ca="1">INDIRECT("'※ 기타지표 세부데이터'!"&amp;Q$1&amp;$X54, TRUE)</f>
        <v>0</v>
      </c>
      <c r="R54" s="3150" cm="1">
        <f t="array" aca="1" ref="R54" ca="1">INDIRECT("'※ 기타지표 세부데이터'!"&amp;R$1&amp;$X54, TRUE)</f>
        <v>0</v>
      </c>
      <c r="S54" s="3151"/>
      <c r="T54" s="3152" cm="1">
        <f t="array" aca="1" ref="T54" ca="1">INDIRECT("'※ 기타지표 세부데이터'!"&amp;T$1&amp;$X54, TRUE)</f>
        <v>17</v>
      </c>
      <c r="U54" s="3153"/>
      <c r="V54" s="3150" cm="1">
        <f t="array" aca="1" ref="V54" ca="1">INDIRECT("'※ 기타지표 세부데이터'!"&amp;V$1&amp;$X54, TRUE)</f>
        <v>1.4166666666666667</v>
      </c>
      <c r="W54" s="3154" cm="1">
        <f t="array" aca="1" ref="W54" ca="1">INDIRECT("'※ 기타지표 세부데이터'!"&amp;W$1&amp;$X54, TRUE)</f>
        <v>0.66666666666666674</v>
      </c>
      <c r="X54" s="3134">
        <f>ROW('※ 기타지표 세부데이터'!J73)</f>
        <v>73</v>
      </c>
      <c r="Y54" s="2639"/>
      <c r="Z54" s="3033"/>
      <c r="AA54" s="3033"/>
      <c r="AB54" s="3053">
        <v>29.2</v>
      </c>
      <c r="AJ54" s="2441">
        <v>11</v>
      </c>
      <c r="AK54" s="2441">
        <v>30</v>
      </c>
      <c r="AL54" s="2441">
        <v>35</v>
      </c>
      <c r="AM54" s="2441">
        <v>21</v>
      </c>
      <c r="AN54" s="2441">
        <v>49</v>
      </c>
    </row>
    <row r="55" spans="1:40" ht="16" customHeight="1" thickBot="1" x14ac:dyDescent="0.6">
      <c r="A55" s="7559"/>
      <c r="B55" s="3155" t="s">
        <v>327</v>
      </c>
      <c r="C55" s="3156"/>
      <c r="D55" s="3157" cm="1">
        <f t="array" aca="1" ref="D55" ca="1">INDIRECT("'※ 기타지표 세부데이터'!"&amp;D$1&amp;$X55, TRUE)</f>
        <v>0</v>
      </c>
      <c r="E55" s="3157" cm="1">
        <f t="array" aca="1" ref="E55" ca="1">INDIRECT("'※ 기타지표 세부데이터'!"&amp;E$1&amp;$X55, TRUE)</f>
        <v>0</v>
      </c>
      <c r="F55" s="3158" cm="1">
        <f t="array" aca="1" ref="F55" ca="1">INDIRECT("'※ 기타지표 세부데이터'!"&amp;F$1&amp;$X55, TRUE)</f>
        <v>0</v>
      </c>
      <c r="G55" s="3159" cm="1">
        <f t="array" aca="1" ref="G55" ca="1">INDIRECT("'※ 기타지표 세부데이터'!"&amp;G$1&amp;$X55, TRUE)</f>
        <v>0</v>
      </c>
      <c r="H55" s="3159" cm="1">
        <f t="array" aca="1" ref="H55" ca="1">INDIRECT("'※ 기타지표 세부데이터'!"&amp;H$1&amp;$X55, TRUE)</f>
        <v>0</v>
      </c>
      <c r="I55" s="3159" cm="1">
        <f t="array" aca="1" ref="I55" ca="1">INDIRECT("'※ 기타지표 세부데이터'!"&amp;I$1&amp;$X55, TRUE)</f>
        <v>0</v>
      </c>
      <c r="J55" s="3159" cm="1">
        <f t="array" aca="1" ref="J55" ca="1">INDIRECT("'※ 기타지표 세부데이터'!"&amp;J$1&amp;$X55, TRUE)</f>
        <v>0</v>
      </c>
      <c r="K55" s="3159" cm="1">
        <f t="array" aca="1" ref="K55" ca="1">INDIRECT("'※ 기타지표 세부데이터'!"&amp;K$1&amp;$X55, TRUE)</f>
        <v>0</v>
      </c>
      <c r="L55" s="3159" cm="1">
        <f t="array" aca="1" ref="L55" ca="1">INDIRECT("'※ 기타지표 세부데이터'!"&amp;L$1&amp;$X55, TRUE)</f>
        <v>0</v>
      </c>
      <c r="M55" s="3159" cm="1">
        <f t="array" aca="1" ref="M55" ca="1">INDIRECT("'※ 기타지표 세부데이터'!"&amp;M$1&amp;$X55, TRUE)</f>
        <v>0</v>
      </c>
      <c r="N55" s="3159" cm="1">
        <f t="array" aca="1" ref="N55" ca="1">INDIRECT("'※ 기타지표 세부데이터'!"&amp;N$1&amp;$X55, TRUE)</f>
        <v>0</v>
      </c>
      <c r="O55" s="3159" cm="1">
        <f t="array" aca="1" ref="O55" ca="1">INDIRECT("'※ 기타지표 세부데이터'!"&amp;O$1&amp;$X55, TRUE)</f>
        <v>0</v>
      </c>
      <c r="P55" s="3159" cm="1">
        <f t="array" aca="1" ref="P55" ca="1">INDIRECT("'※ 기타지표 세부데이터'!"&amp;P$1&amp;$X55, TRUE)</f>
        <v>0</v>
      </c>
      <c r="Q55" s="3159" cm="1">
        <f t="array" aca="1" ref="Q55" ca="1">INDIRECT("'※ 기타지표 세부데이터'!"&amp;Q$1&amp;$X55, TRUE)</f>
        <v>0</v>
      </c>
      <c r="R55" s="3160" cm="1">
        <f t="array" aca="1" ref="R55" ca="1">INDIRECT("'※ 기타지표 세부데이터'!"&amp;R$1&amp;$X55, TRUE)</f>
        <v>0</v>
      </c>
      <c r="S55" s="3161"/>
      <c r="T55" s="3162" cm="1">
        <f t="array" aca="1" ref="T55" ca="1">INDIRECT("'※ 기타지표 세부데이터'!"&amp;T$1&amp;$X55, TRUE)</f>
        <v>0</v>
      </c>
      <c r="U55" s="3163"/>
      <c r="V55" s="3160" cm="1">
        <f t="array" aca="1" ref="V55" ca="1">INDIRECT("'※ 기타지표 세부데이터'!"&amp;V$1&amp;$X55, TRUE)</f>
        <v>0</v>
      </c>
      <c r="W55" s="3164" cm="1">
        <f t="array" aca="1" ref="W55" ca="1">INDIRECT("'※ 기타지표 세부데이터'!"&amp;W$1&amp;$X55, TRUE)</f>
        <v>0</v>
      </c>
      <c r="X55" s="3134">
        <f>ROW('※ 기타지표 세부데이터'!J74)</f>
        <v>74</v>
      </c>
      <c r="Y55" s="2639"/>
      <c r="Z55" s="3033"/>
      <c r="AA55" s="3033"/>
      <c r="AB55" s="3053">
        <v>0</v>
      </c>
    </row>
    <row r="56" spans="1:40" x14ac:dyDescent="0.55000000000000004">
      <c r="B56" s="2682"/>
      <c r="C56" s="2682"/>
      <c r="D56" s="2682"/>
      <c r="E56" s="2682"/>
      <c r="F56" s="2682"/>
      <c r="G56" s="2682"/>
      <c r="H56" s="2682"/>
      <c r="I56" s="2682"/>
      <c r="J56" s="2682"/>
      <c r="K56" s="2682"/>
      <c r="L56" s="2682"/>
      <c r="M56" s="2682"/>
      <c r="N56" s="2682"/>
      <c r="O56" s="2682"/>
      <c r="P56" s="2682"/>
      <c r="Q56" s="2682"/>
      <c r="R56" s="2682"/>
      <c r="S56" s="2682"/>
      <c r="T56" s="2682"/>
      <c r="U56" s="2682"/>
      <c r="V56" s="2682"/>
      <c r="W56" s="2682"/>
      <c r="X56" s="2682"/>
      <c r="Y56" s="2682"/>
    </row>
    <row r="57" spans="1:40" x14ac:dyDescent="0.55000000000000004">
      <c r="B57" s="2682"/>
      <c r="C57" s="2682"/>
      <c r="D57" s="2682"/>
      <c r="E57" s="2682"/>
      <c r="F57" s="2682"/>
      <c r="G57" s="2682"/>
      <c r="H57" s="2682"/>
      <c r="I57" s="2682"/>
      <c r="J57" s="2682"/>
      <c r="K57" s="2682"/>
      <c r="L57" s="2682"/>
      <c r="M57" s="2682"/>
      <c r="N57" s="2682"/>
      <c r="O57" s="2682"/>
      <c r="P57" s="2682"/>
      <c r="Q57" s="2682"/>
      <c r="R57" s="2682"/>
      <c r="S57" s="2682"/>
      <c r="T57" s="2682"/>
      <c r="U57" s="2682"/>
      <c r="V57" s="2682"/>
      <c r="W57" s="2682"/>
      <c r="X57" s="2682"/>
      <c r="Y57" s="2682"/>
    </row>
    <row r="58" spans="1:40" x14ac:dyDescent="0.55000000000000004">
      <c r="B58" s="2682"/>
      <c r="C58" s="2682"/>
      <c r="D58" s="2682"/>
      <c r="E58" s="2682"/>
      <c r="F58" s="2682"/>
      <c r="G58" s="2682"/>
      <c r="H58" s="2682"/>
      <c r="I58" s="2682"/>
      <c r="J58" s="2682"/>
      <c r="K58" s="2682"/>
      <c r="L58" s="2682"/>
      <c r="M58" s="2682"/>
      <c r="N58" s="2682"/>
      <c r="O58" s="2682"/>
      <c r="P58" s="2682"/>
      <c r="Q58" s="2682"/>
      <c r="R58" s="2682"/>
      <c r="S58" s="2682"/>
      <c r="T58" s="2682"/>
      <c r="U58" s="2682"/>
      <c r="V58" s="2682"/>
      <c r="W58" s="2682"/>
      <c r="X58" s="2682"/>
      <c r="Y58" s="2682"/>
    </row>
    <row r="59" spans="1:40" x14ac:dyDescent="0.55000000000000004">
      <c r="B59" s="2682"/>
      <c r="C59" s="2682"/>
      <c r="D59" s="2682"/>
      <c r="E59" s="2682"/>
      <c r="F59" s="2682"/>
      <c r="G59" s="2682"/>
      <c r="H59" s="2682"/>
      <c r="I59" s="2682"/>
      <c r="J59" s="2682"/>
      <c r="K59" s="2682"/>
      <c r="L59" s="2682"/>
      <c r="M59" s="2682"/>
      <c r="N59" s="2682"/>
      <c r="O59" s="2682"/>
      <c r="P59" s="2682"/>
      <c r="Q59" s="2682"/>
      <c r="R59" s="2682"/>
      <c r="S59" s="2682"/>
      <c r="T59" s="2682"/>
      <c r="U59" s="2682"/>
      <c r="V59" s="2682"/>
      <c r="W59" s="2682"/>
      <c r="X59" s="2682"/>
      <c r="Y59" s="2682"/>
    </row>
    <row r="60" spans="1:40" x14ac:dyDescent="0.55000000000000004">
      <c r="B60" s="2682"/>
      <c r="C60" s="2682"/>
      <c r="D60" s="2682"/>
      <c r="E60" s="2682"/>
      <c r="F60" s="2682"/>
      <c r="G60" s="2682"/>
      <c r="H60" s="2682"/>
      <c r="I60" s="2682"/>
      <c r="J60" s="2682"/>
      <c r="K60" s="2682"/>
      <c r="L60" s="2682"/>
      <c r="M60" s="2682"/>
      <c r="N60" s="2682"/>
      <c r="O60" s="2682"/>
      <c r="P60" s="2682"/>
      <c r="Q60" s="2682"/>
      <c r="R60" s="2682"/>
      <c r="S60" s="2682"/>
      <c r="T60" s="2682"/>
      <c r="U60" s="2682"/>
      <c r="V60" s="2682"/>
      <c r="W60" s="2682"/>
      <c r="X60" s="2682"/>
      <c r="Y60" s="2682"/>
    </row>
    <row r="61" spans="1:40" x14ac:dyDescent="0.55000000000000004">
      <c r="B61" s="2682"/>
      <c r="C61" s="2682"/>
      <c r="D61" s="2682"/>
      <c r="E61" s="2682"/>
      <c r="F61" s="2682"/>
      <c r="G61" s="2682"/>
      <c r="H61" s="2682"/>
      <c r="I61" s="2682"/>
      <c r="J61" s="2682"/>
      <c r="K61" s="2682"/>
      <c r="L61" s="2682"/>
      <c r="M61" s="2682"/>
      <c r="N61" s="2682"/>
      <c r="O61" s="2682"/>
      <c r="P61" s="2682"/>
      <c r="Q61" s="2682"/>
      <c r="R61" s="2682"/>
      <c r="S61" s="2682"/>
      <c r="T61" s="2682"/>
      <c r="U61" s="2682"/>
      <c r="V61" s="2682"/>
      <c r="W61" s="2682"/>
      <c r="X61" s="2682"/>
      <c r="Y61" s="2682"/>
    </row>
    <row r="62" spans="1:40" x14ac:dyDescent="0.55000000000000004">
      <c r="B62" s="2682"/>
      <c r="C62" s="2682"/>
      <c r="D62" s="2682"/>
      <c r="E62" s="2682"/>
      <c r="F62" s="2682"/>
      <c r="G62" s="2682"/>
      <c r="H62" s="2682"/>
      <c r="I62" s="2682"/>
      <c r="J62" s="2682"/>
      <c r="K62" s="2682"/>
      <c r="L62" s="2682"/>
      <c r="M62" s="2682"/>
      <c r="N62" s="2682"/>
      <c r="O62" s="2682"/>
      <c r="P62" s="2682"/>
      <c r="Q62" s="2682"/>
      <c r="R62" s="2682"/>
      <c r="S62" s="2682"/>
      <c r="T62" s="2682"/>
      <c r="U62" s="2682"/>
      <c r="V62" s="2682"/>
      <c r="W62" s="2682"/>
      <c r="X62" s="2682"/>
      <c r="Y62" s="2682"/>
    </row>
    <row r="63" spans="1:40" x14ac:dyDescent="0.55000000000000004">
      <c r="B63" s="2682"/>
      <c r="C63" s="2682"/>
      <c r="D63" s="2682"/>
      <c r="E63" s="2682"/>
      <c r="F63" s="2682"/>
      <c r="G63" s="2682"/>
      <c r="H63" s="2682"/>
      <c r="I63" s="2682"/>
      <c r="J63" s="2682"/>
      <c r="K63" s="2682"/>
      <c r="L63" s="2682"/>
      <c r="M63" s="2682"/>
      <c r="N63" s="2682"/>
      <c r="O63" s="2682"/>
      <c r="P63" s="2682"/>
      <c r="Q63" s="2682"/>
      <c r="R63" s="2682"/>
      <c r="S63" s="2682"/>
      <c r="T63" s="2682"/>
      <c r="U63" s="2682"/>
      <c r="V63" s="2682"/>
      <c r="W63" s="2682"/>
      <c r="X63" s="2682"/>
      <c r="Y63" s="2682"/>
    </row>
    <row r="64" spans="1:40" x14ac:dyDescent="0.55000000000000004">
      <c r="B64" s="2682"/>
      <c r="C64" s="2682"/>
      <c r="D64" s="2682"/>
      <c r="E64" s="2682"/>
      <c r="F64" s="2682"/>
      <c r="G64" s="2682"/>
      <c r="H64" s="2682"/>
      <c r="I64" s="2682"/>
      <c r="J64" s="2682"/>
      <c r="K64" s="2682"/>
      <c r="L64" s="2682"/>
      <c r="M64" s="2682"/>
      <c r="N64" s="2682"/>
      <c r="O64" s="2682"/>
      <c r="P64" s="2682"/>
      <c r="Q64" s="2682"/>
      <c r="R64" s="2682"/>
      <c r="S64" s="2682"/>
      <c r="T64" s="2682"/>
      <c r="U64" s="2682"/>
      <c r="V64" s="2682"/>
      <c r="W64" s="2682"/>
      <c r="X64" s="2682"/>
      <c r="Y64" s="2682"/>
    </row>
    <row r="66" spans="2:25" x14ac:dyDescent="0.55000000000000004">
      <c r="B66" s="2682"/>
      <c r="C66" s="2682"/>
      <c r="D66" s="2682"/>
      <c r="E66" s="2682"/>
      <c r="F66" s="2682"/>
      <c r="G66" s="2682"/>
      <c r="H66" s="2682"/>
      <c r="I66" s="2682"/>
      <c r="J66" s="2682"/>
      <c r="K66" s="2682"/>
      <c r="L66" s="2682"/>
      <c r="M66" s="2682"/>
      <c r="N66" s="2682"/>
      <c r="O66" s="2682"/>
      <c r="P66" s="2682"/>
      <c r="Q66" s="2682"/>
      <c r="R66" s="2682"/>
      <c r="S66" s="2682"/>
      <c r="T66" s="2682"/>
      <c r="U66" s="2682"/>
      <c r="V66" s="2682"/>
      <c r="W66" s="2682"/>
      <c r="X66" s="2682"/>
      <c r="Y66" s="2682"/>
    </row>
    <row r="67" spans="2:25" x14ac:dyDescent="0.55000000000000004">
      <c r="B67" s="2682"/>
      <c r="C67" s="2682"/>
      <c r="D67" s="2682"/>
      <c r="E67" s="2682"/>
      <c r="F67" s="2682"/>
      <c r="G67" s="2682"/>
      <c r="H67" s="2682"/>
      <c r="I67" s="2682"/>
      <c r="J67" s="2682"/>
      <c r="K67" s="2682"/>
      <c r="L67" s="2682"/>
      <c r="M67" s="2682"/>
      <c r="N67" s="2682"/>
      <c r="O67" s="2682"/>
      <c r="P67" s="2682"/>
      <c r="Q67" s="2682"/>
      <c r="R67" s="2682"/>
      <c r="S67" s="2682"/>
      <c r="T67" s="2682"/>
      <c r="U67" s="2682"/>
      <c r="V67" s="2682"/>
      <c r="W67" s="2682"/>
      <c r="X67" s="2682"/>
      <c r="Y67" s="2682"/>
    </row>
    <row r="68" spans="2:25" x14ac:dyDescent="0.55000000000000004">
      <c r="B68" s="2682"/>
      <c r="C68" s="2682"/>
      <c r="D68" s="2682"/>
      <c r="E68" s="2682"/>
      <c r="F68" s="2682"/>
      <c r="G68" s="2682"/>
      <c r="H68" s="2682"/>
      <c r="I68" s="2682"/>
      <c r="J68" s="2682"/>
      <c r="K68" s="2682"/>
      <c r="L68" s="2682"/>
      <c r="M68" s="2682"/>
      <c r="N68" s="2682"/>
      <c r="O68" s="2682"/>
      <c r="P68" s="2682"/>
      <c r="Q68" s="2682"/>
      <c r="R68" s="2682"/>
      <c r="S68" s="2682"/>
      <c r="T68" s="2682"/>
      <c r="U68" s="2682"/>
      <c r="V68" s="2682"/>
      <c r="W68" s="2682"/>
      <c r="X68" s="2682"/>
      <c r="Y68" s="2682"/>
    </row>
    <row r="69" spans="2:25" x14ac:dyDescent="0.55000000000000004">
      <c r="B69" s="2682"/>
      <c r="C69" s="2682"/>
      <c r="D69" s="2682"/>
      <c r="E69" s="2682"/>
      <c r="F69" s="2682"/>
      <c r="G69" s="2682"/>
      <c r="H69" s="2682"/>
      <c r="I69" s="2682"/>
      <c r="J69" s="2682"/>
      <c r="K69" s="2682"/>
      <c r="L69" s="2682"/>
      <c r="M69" s="2682"/>
      <c r="N69" s="2682"/>
      <c r="O69" s="2682"/>
      <c r="P69" s="2682"/>
      <c r="Q69" s="2682"/>
      <c r="R69" s="2682"/>
      <c r="S69" s="2682"/>
      <c r="T69" s="2682"/>
      <c r="U69" s="2682"/>
      <c r="V69" s="2682"/>
      <c r="W69" s="2682"/>
      <c r="X69" s="2682"/>
      <c r="Y69" s="2682"/>
    </row>
    <row r="70" spans="2:25" x14ac:dyDescent="0.55000000000000004">
      <c r="B70" s="2682"/>
      <c r="C70" s="2682"/>
      <c r="D70" s="2682"/>
      <c r="E70" s="2682"/>
      <c r="F70" s="2682"/>
      <c r="G70" s="2682"/>
      <c r="H70" s="2682"/>
      <c r="I70" s="2682"/>
      <c r="J70" s="2682"/>
      <c r="K70" s="2682"/>
      <c r="L70" s="2682"/>
      <c r="M70" s="2682"/>
      <c r="N70" s="2682"/>
      <c r="O70" s="2682"/>
      <c r="P70" s="2682"/>
      <c r="Q70" s="2682"/>
      <c r="R70" s="2682"/>
      <c r="S70" s="2682"/>
      <c r="T70" s="2682"/>
      <c r="U70" s="2682"/>
      <c r="V70" s="2682"/>
      <c r="W70" s="2682"/>
      <c r="X70" s="2682"/>
      <c r="Y70" s="2682"/>
    </row>
    <row r="71" spans="2:25" x14ac:dyDescent="0.55000000000000004">
      <c r="B71" s="2682"/>
      <c r="C71" s="2682"/>
      <c r="D71" s="2682"/>
      <c r="E71" s="2682"/>
      <c r="F71" s="2682"/>
      <c r="G71" s="2682"/>
      <c r="H71" s="2682"/>
      <c r="I71" s="2682"/>
      <c r="J71" s="2682"/>
      <c r="K71" s="2682"/>
      <c r="L71" s="2682"/>
      <c r="M71" s="2682"/>
      <c r="N71" s="2682"/>
      <c r="O71" s="2682"/>
      <c r="P71" s="2682"/>
      <c r="Q71" s="2682"/>
      <c r="R71" s="2682"/>
      <c r="S71" s="2682"/>
      <c r="T71" s="2682"/>
      <c r="U71" s="2682"/>
      <c r="V71" s="2682"/>
      <c r="W71" s="2682"/>
      <c r="X71" s="2682"/>
      <c r="Y71" s="2682"/>
    </row>
    <row r="72" spans="2:25" x14ac:dyDescent="0.55000000000000004">
      <c r="B72" s="2682"/>
      <c r="C72" s="2682"/>
      <c r="D72" s="2682"/>
      <c r="E72" s="2682"/>
      <c r="F72" s="2682"/>
      <c r="G72" s="2682"/>
      <c r="H72" s="2682"/>
      <c r="I72" s="2682"/>
      <c r="J72" s="2682"/>
      <c r="K72" s="2682"/>
      <c r="L72" s="2682"/>
      <c r="M72" s="2682"/>
      <c r="N72" s="2682"/>
      <c r="O72" s="2682"/>
      <c r="P72" s="2682"/>
      <c r="Q72" s="2682"/>
      <c r="R72" s="2682"/>
      <c r="S72" s="2682"/>
      <c r="T72" s="2682"/>
      <c r="U72" s="2682"/>
      <c r="V72" s="2682"/>
      <c r="W72" s="2682"/>
      <c r="X72" s="2682"/>
      <c r="Y72" s="2682"/>
    </row>
    <row r="73" spans="2:25" x14ac:dyDescent="0.55000000000000004">
      <c r="B73" s="2682"/>
      <c r="C73" s="2682"/>
      <c r="D73" s="2682"/>
      <c r="E73" s="2682"/>
      <c r="F73" s="2682"/>
      <c r="G73" s="2682"/>
      <c r="H73" s="2682"/>
      <c r="I73" s="2682"/>
      <c r="J73" s="2682"/>
      <c r="K73" s="2682"/>
      <c r="L73" s="2682"/>
      <c r="M73" s="2682"/>
      <c r="N73" s="2682"/>
      <c r="O73" s="2682"/>
      <c r="P73" s="2682"/>
      <c r="Q73" s="2682"/>
      <c r="R73" s="2682"/>
      <c r="S73" s="2682"/>
      <c r="T73" s="2682"/>
      <c r="U73" s="2682"/>
      <c r="V73" s="2682"/>
      <c r="W73" s="2682"/>
      <c r="X73" s="2682"/>
      <c r="Y73" s="2682"/>
    </row>
    <row r="74" spans="2:25" x14ac:dyDescent="0.55000000000000004">
      <c r="B74" s="2682"/>
      <c r="C74" s="2682"/>
      <c r="D74" s="2682"/>
      <c r="E74" s="2682"/>
      <c r="F74" s="2682"/>
      <c r="G74" s="2682"/>
      <c r="H74" s="2682"/>
      <c r="I74" s="2682"/>
      <c r="J74" s="2682"/>
      <c r="K74" s="2682"/>
      <c r="L74" s="2682"/>
      <c r="M74" s="2682"/>
      <c r="N74" s="2682"/>
      <c r="O74" s="2682"/>
      <c r="P74" s="2682"/>
      <c r="Q74" s="2682"/>
      <c r="R74" s="2682"/>
      <c r="S74" s="2682"/>
      <c r="T74" s="2682"/>
      <c r="U74" s="2682"/>
      <c r="V74" s="2682"/>
      <c r="W74" s="2682"/>
      <c r="X74" s="2682"/>
      <c r="Y74" s="2682"/>
    </row>
    <row r="75" spans="2:25" x14ac:dyDescent="0.55000000000000004">
      <c r="B75" s="2682"/>
      <c r="C75" s="2682"/>
      <c r="D75" s="2682"/>
      <c r="E75" s="2682"/>
      <c r="F75" s="2682"/>
      <c r="G75" s="2682"/>
      <c r="H75" s="2682"/>
      <c r="I75" s="2682"/>
      <c r="J75" s="2682"/>
      <c r="K75" s="2682"/>
      <c r="L75" s="2682"/>
      <c r="M75" s="2682"/>
      <c r="N75" s="2682"/>
      <c r="O75" s="2682"/>
      <c r="P75" s="2682"/>
      <c r="Q75" s="2682"/>
      <c r="R75" s="2682"/>
      <c r="S75" s="2682"/>
      <c r="T75" s="2682"/>
      <c r="U75" s="2682"/>
      <c r="V75" s="2682"/>
      <c r="W75" s="2682"/>
      <c r="X75" s="2682"/>
      <c r="Y75" s="2682"/>
    </row>
    <row r="76" spans="2:25" x14ac:dyDescent="0.55000000000000004">
      <c r="B76" s="2682"/>
      <c r="C76" s="2682"/>
      <c r="D76" s="2682"/>
      <c r="E76" s="2682"/>
      <c r="F76" s="2682"/>
      <c r="G76" s="2682"/>
      <c r="H76" s="2682"/>
      <c r="I76" s="2682"/>
      <c r="J76" s="2682"/>
      <c r="K76" s="2682"/>
      <c r="L76" s="2682"/>
      <c r="M76" s="2682"/>
      <c r="N76" s="2682"/>
      <c r="O76" s="2682"/>
      <c r="P76" s="2682"/>
      <c r="Q76" s="2682"/>
      <c r="R76" s="2682"/>
      <c r="S76" s="2682"/>
      <c r="T76" s="2682"/>
      <c r="U76" s="2682"/>
      <c r="V76" s="2682"/>
      <c r="W76" s="2682"/>
      <c r="X76" s="2682"/>
      <c r="Y76" s="2682"/>
    </row>
    <row r="77" spans="2:25" x14ac:dyDescent="0.55000000000000004">
      <c r="B77" s="2682"/>
      <c r="C77" s="2682"/>
      <c r="D77" s="2682"/>
      <c r="E77" s="2682"/>
      <c r="F77" s="2682"/>
      <c r="G77" s="2682"/>
      <c r="H77" s="2682"/>
      <c r="I77" s="2682"/>
      <c r="J77" s="2682"/>
      <c r="K77" s="2682"/>
      <c r="L77" s="2682"/>
      <c r="M77" s="2682"/>
      <c r="N77" s="2682"/>
      <c r="O77" s="2682"/>
      <c r="P77" s="2682"/>
      <c r="Q77" s="2682"/>
      <c r="R77" s="2682"/>
      <c r="S77" s="2682"/>
      <c r="T77" s="2682"/>
      <c r="U77" s="2682"/>
      <c r="V77" s="2682"/>
      <c r="W77" s="2682"/>
      <c r="X77" s="2682"/>
      <c r="Y77" s="2682"/>
    </row>
    <row r="78" spans="2:25" x14ac:dyDescent="0.55000000000000004">
      <c r="B78" s="2682"/>
      <c r="C78" s="2682"/>
      <c r="D78" s="2682"/>
      <c r="E78" s="2682"/>
      <c r="F78" s="2682"/>
      <c r="G78" s="2682"/>
      <c r="H78" s="2682"/>
      <c r="I78" s="2682"/>
      <c r="J78" s="2682"/>
      <c r="K78" s="2682"/>
      <c r="L78" s="2682"/>
      <c r="M78" s="2682"/>
      <c r="N78" s="2682"/>
      <c r="O78" s="2682"/>
      <c r="P78" s="2682"/>
      <c r="Q78" s="2682"/>
      <c r="R78" s="2682"/>
      <c r="S78" s="2682"/>
      <c r="T78" s="2682"/>
      <c r="U78" s="2682"/>
      <c r="V78" s="2682"/>
      <c r="W78" s="2682"/>
      <c r="X78" s="2682"/>
      <c r="Y78" s="2682"/>
    </row>
    <row r="79" spans="2:25" x14ac:dyDescent="0.55000000000000004">
      <c r="B79" s="2682"/>
      <c r="C79" s="2682"/>
      <c r="D79" s="2682"/>
      <c r="E79" s="2682"/>
      <c r="F79" s="2682"/>
      <c r="G79" s="2682"/>
      <c r="H79" s="2682"/>
      <c r="I79" s="2682"/>
      <c r="J79" s="2682"/>
      <c r="K79" s="2682"/>
      <c r="L79" s="2682"/>
      <c r="M79" s="2682"/>
      <c r="N79" s="2682"/>
      <c r="O79" s="2682"/>
      <c r="P79" s="2682"/>
      <c r="Q79" s="2682"/>
      <c r="R79" s="2682"/>
      <c r="S79" s="2682"/>
      <c r="T79" s="2682"/>
      <c r="U79" s="2682"/>
      <c r="V79" s="2682"/>
      <c r="W79" s="2682"/>
      <c r="X79" s="2682"/>
      <c r="Y79" s="2682"/>
    </row>
    <row r="80" spans="2:25" x14ac:dyDescent="0.55000000000000004">
      <c r="B80" s="2682"/>
      <c r="C80" s="2682"/>
      <c r="D80" s="2682"/>
      <c r="E80" s="2682"/>
      <c r="F80" s="2682"/>
      <c r="G80" s="2682"/>
      <c r="H80" s="2682"/>
      <c r="I80" s="2682"/>
      <c r="J80" s="2682"/>
      <c r="K80" s="2682"/>
      <c r="L80" s="2682"/>
      <c r="M80" s="2682"/>
      <c r="N80" s="2682"/>
      <c r="O80" s="2682"/>
      <c r="P80" s="2682"/>
      <c r="Q80" s="2682"/>
      <c r="R80" s="2682"/>
      <c r="S80" s="2682"/>
      <c r="T80" s="2682"/>
      <c r="U80" s="2682"/>
      <c r="V80" s="2682"/>
      <c r="W80" s="2682"/>
      <c r="X80" s="2682"/>
      <c r="Y80" s="2682"/>
    </row>
    <row r="81" spans="2:25" x14ac:dyDescent="0.55000000000000004">
      <c r="B81" s="2682"/>
      <c r="C81" s="2682"/>
      <c r="D81" s="2682"/>
      <c r="E81" s="2682"/>
      <c r="F81" s="2682"/>
      <c r="G81" s="2682"/>
      <c r="H81" s="2682"/>
      <c r="I81" s="2682"/>
      <c r="J81" s="2682"/>
      <c r="K81" s="2682"/>
      <c r="L81" s="2682"/>
      <c r="M81" s="2682"/>
      <c r="N81" s="2682"/>
      <c r="O81" s="2682"/>
      <c r="P81" s="2682"/>
      <c r="Q81" s="2682"/>
      <c r="R81" s="2682"/>
      <c r="S81" s="2682"/>
      <c r="T81" s="2682"/>
      <c r="U81" s="2682"/>
      <c r="V81" s="2682"/>
      <c r="W81" s="2682"/>
      <c r="X81" s="2682"/>
      <c r="Y81" s="2682"/>
    </row>
    <row r="82" spans="2:25" x14ac:dyDescent="0.55000000000000004">
      <c r="B82" s="2682"/>
      <c r="C82" s="2682"/>
      <c r="D82" s="2682"/>
      <c r="E82" s="2682"/>
      <c r="F82" s="2682"/>
      <c r="G82" s="2682"/>
      <c r="H82" s="2682"/>
      <c r="I82" s="2682"/>
      <c r="J82" s="2682"/>
      <c r="K82" s="2682"/>
      <c r="L82" s="2682"/>
      <c r="M82" s="2682"/>
      <c r="N82" s="2682"/>
      <c r="O82" s="2682"/>
      <c r="P82" s="2682"/>
      <c r="Q82" s="2682"/>
      <c r="R82" s="2682"/>
      <c r="S82" s="2682"/>
      <c r="T82" s="2682"/>
      <c r="U82" s="2682"/>
      <c r="V82" s="2682"/>
      <c r="W82" s="2682"/>
      <c r="X82" s="2682"/>
      <c r="Y82" s="2682"/>
    </row>
    <row r="83" spans="2:25" x14ac:dyDescent="0.55000000000000004">
      <c r="B83" s="2682"/>
      <c r="C83" s="2682"/>
      <c r="D83" s="2682"/>
      <c r="E83" s="2682"/>
      <c r="F83" s="2682"/>
      <c r="G83" s="2682"/>
      <c r="H83" s="2682"/>
      <c r="I83" s="2682"/>
      <c r="J83" s="2682"/>
      <c r="K83" s="2682"/>
      <c r="L83" s="2682"/>
      <c r="M83" s="2682"/>
      <c r="N83" s="2682"/>
      <c r="O83" s="2682"/>
      <c r="P83" s="2682"/>
      <c r="Q83" s="2682"/>
      <c r="R83" s="2682"/>
      <c r="S83" s="2682"/>
      <c r="T83" s="2682"/>
      <c r="U83" s="2682"/>
      <c r="V83" s="2682"/>
      <c r="W83" s="2682"/>
      <c r="X83" s="2682"/>
      <c r="Y83" s="2682"/>
    </row>
    <row r="84" spans="2:25" x14ac:dyDescent="0.55000000000000004">
      <c r="B84" s="2682"/>
      <c r="C84" s="2682"/>
      <c r="D84" s="2682"/>
      <c r="E84" s="2682"/>
      <c r="F84" s="2682"/>
      <c r="G84" s="2682"/>
      <c r="H84" s="2682"/>
      <c r="I84" s="2682"/>
      <c r="J84" s="2682"/>
      <c r="K84" s="2682"/>
      <c r="L84" s="2682"/>
      <c r="M84" s="2682"/>
      <c r="N84" s="2682"/>
      <c r="O84" s="2682"/>
      <c r="P84" s="2682"/>
      <c r="Q84" s="2682"/>
      <c r="R84" s="2682"/>
      <c r="S84" s="2682"/>
      <c r="T84" s="2682"/>
      <c r="U84" s="2682"/>
      <c r="V84" s="2682"/>
      <c r="W84" s="2682"/>
      <c r="X84" s="2682"/>
      <c r="Y84" s="2682"/>
    </row>
    <row r="85" spans="2:25" x14ac:dyDescent="0.55000000000000004">
      <c r="B85" s="2682"/>
      <c r="C85" s="2682"/>
      <c r="D85" s="2682"/>
      <c r="E85" s="2682"/>
      <c r="F85" s="2682"/>
      <c r="G85" s="2682"/>
      <c r="H85" s="2682"/>
      <c r="I85" s="2682"/>
      <c r="J85" s="2682"/>
      <c r="K85" s="2682"/>
      <c r="L85" s="2682"/>
      <c r="M85" s="2682"/>
      <c r="N85" s="2682"/>
      <c r="O85" s="2682"/>
      <c r="P85" s="2682"/>
      <c r="Q85" s="2682"/>
      <c r="R85" s="2682"/>
      <c r="S85" s="2682"/>
      <c r="T85" s="2682"/>
      <c r="U85" s="2682"/>
      <c r="V85" s="2682"/>
      <c r="W85" s="2682"/>
      <c r="X85" s="2682"/>
      <c r="Y85" s="2682"/>
    </row>
    <row r="86" spans="2:25" x14ac:dyDescent="0.55000000000000004">
      <c r="B86" s="2682"/>
      <c r="C86" s="2682"/>
      <c r="D86" s="2682"/>
      <c r="E86" s="2682"/>
      <c r="F86" s="2682"/>
      <c r="G86" s="2682"/>
      <c r="H86" s="2682"/>
      <c r="I86" s="2682"/>
      <c r="J86" s="2682"/>
      <c r="K86" s="2682"/>
      <c r="L86" s="2682"/>
      <c r="M86" s="2682"/>
      <c r="N86" s="2682"/>
      <c r="O86" s="2682"/>
      <c r="P86" s="2682"/>
      <c r="Q86" s="2682"/>
      <c r="R86" s="2682"/>
      <c r="S86" s="2682"/>
      <c r="T86" s="2682"/>
      <c r="U86" s="2682"/>
      <c r="V86" s="2682"/>
      <c r="W86" s="2682"/>
      <c r="X86" s="2682"/>
      <c r="Y86" s="2682"/>
    </row>
    <row r="87" spans="2:25" x14ac:dyDescent="0.55000000000000004">
      <c r="B87" s="2682"/>
      <c r="C87" s="2682"/>
      <c r="D87" s="2682"/>
      <c r="E87" s="2682"/>
      <c r="F87" s="2682"/>
      <c r="G87" s="2682"/>
      <c r="H87" s="2682"/>
      <c r="I87" s="2682"/>
      <c r="J87" s="2682"/>
      <c r="K87" s="2682"/>
      <c r="L87" s="2682"/>
      <c r="M87" s="2682"/>
      <c r="N87" s="2682"/>
      <c r="O87" s="2682"/>
      <c r="P87" s="2682"/>
      <c r="Q87" s="2682"/>
      <c r="R87" s="2682"/>
      <c r="S87" s="2682"/>
      <c r="T87" s="2682"/>
      <c r="U87" s="2682"/>
      <c r="V87" s="2682"/>
      <c r="W87" s="2682"/>
      <c r="X87" s="2682"/>
      <c r="Y87" s="2682"/>
    </row>
    <row r="88" spans="2:25" x14ac:dyDescent="0.55000000000000004">
      <c r="B88" s="2682"/>
      <c r="C88" s="2682"/>
      <c r="D88" s="2682"/>
      <c r="E88" s="2682"/>
      <c r="F88" s="2682"/>
      <c r="G88" s="2682"/>
      <c r="H88" s="2682"/>
      <c r="I88" s="2682"/>
      <c r="J88" s="2682"/>
      <c r="K88" s="2682"/>
      <c r="L88" s="2682"/>
      <c r="M88" s="2682"/>
      <c r="N88" s="2682"/>
      <c r="O88" s="2682"/>
      <c r="P88" s="2682"/>
      <c r="Q88" s="2682"/>
      <c r="R88" s="2682"/>
      <c r="S88" s="2682"/>
      <c r="T88" s="2682"/>
      <c r="U88" s="2682"/>
      <c r="V88" s="2682"/>
      <c r="W88" s="2682"/>
      <c r="X88" s="2682"/>
      <c r="Y88" s="2682"/>
    </row>
    <row r="89" spans="2:25" x14ac:dyDescent="0.55000000000000004">
      <c r="B89" s="2682"/>
      <c r="C89" s="2682"/>
      <c r="D89" s="2682"/>
      <c r="E89" s="2682"/>
      <c r="F89" s="2682"/>
      <c r="G89" s="2682"/>
      <c r="H89" s="2682"/>
      <c r="I89" s="2682"/>
      <c r="J89" s="2682"/>
      <c r="K89" s="2682"/>
      <c r="L89" s="2682"/>
      <c r="M89" s="2682"/>
      <c r="N89" s="2682"/>
      <c r="O89" s="2682"/>
      <c r="P89" s="2682"/>
      <c r="Q89" s="2682"/>
      <c r="R89" s="2682"/>
      <c r="S89" s="2682"/>
      <c r="T89" s="2682"/>
      <c r="U89" s="2682"/>
      <c r="V89" s="2682"/>
      <c r="W89" s="2682"/>
      <c r="X89" s="2682"/>
      <c r="Y89" s="2682"/>
    </row>
    <row r="90" spans="2:25" x14ac:dyDescent="0.55000000000000004">
      <c r="B90" s="2682"/>
      <c r="C90" s="2682"/>
      <c r="D90" s="2682"/>
      <c r="E90" s="2682"/>
      <c r="F90" s="2682"/>
      <c r="G90" s="2682"/>
      <c r="H90" s="2682"/>
      <c r="I90" s="2682"/>
      <c r="J90" s="2682"/>
      <c r="K90" s="2682"/>
      <c r="L90" s="2682"/>
      <c r="M90" s="2682"/>
      <c r="N90" s="2682"/>
      <c r="O90" s="2682"/>
      <c r="P90" s="2682"/>
      <c r="Q90" s="2682"/>
      <c r="R90" s="2682"/>
      <c r="S90" s="2682"/>
      <c r="T90" s="2682"/>
      <c r="U90" s="2682"/>
      <c r="V90" s="2682"/>
      <c r="W90" s="2682"/>
      <c r="X90" s="2682"/>
      <c r="Y90" s="2682"/>
    </row>
    <row r="91" spans="2:25" x14ac:dyDescent="0.55000000000000004">
      <c r="B91" s="2682"/>
      <c r="C91" s="2682"/>
      <c r="D91" s="2682"/>
      <c r="E91" s="2682"/>
      <c r="F91" s="2682"/>
      <c r="G91" s="2682"/>
      <c r="H91" s="2682"/>
      <c r="I91" s="2682"/>
      <c r="J91" s="2682"/>
      <c r="K91" s="2682"/>
      <c r="L91" s="2682"/>
      <c r="M91" s="2682"/>
      <c r="N91" s="2682"/>
      <c r="O91" s="2682"/>
      <c r="P91" s="2682"/>
      <c r="Q91" s="2682"/>
      <c r="R91" s="2682"/>
      <c r="S91" s="2682"/>
      <c r="T91" s="2682"/>
      <c r="U91" s="2682"/>
      <c r="V91" s="2682"/>
      <c r="W91" s="2682"/>
      <c r="X91" s="2682"/>
      <c r="Y91" s="2682"/>
    </row>
    <row r="92" spans="2:25" x14ac:dyDescent="0.55000000000000004">
      <c r="B92" s="2682"/>
      <c r="C92" s="2682"/>
      <c r="D92" s="2682"/>
      <c r="E92" s="2682"/>
      <c r="F92" s="2682"/>
      <c r="G92" s="2682"/>
      <c r="H92" s="2682"/>
      <c r="I92" s="2682"/>
      <c r="J92" s="2682"/>
      <c r="K92" s="2682"/>
      <c r="L92" s="2682"/>
      <c r="M92" s="2682"/>
      <c r="N92" s="2682"/>
      <c r="O92" s="2682"/>
      <c r="P92" s="2682"/>
      <c r="Q92" s="2682"/>
      <c r="R92" s="2682"/>
      <c r="S92" s="2682"/>
      <c r="T92" s="2682"/>
      <c r="U92" s="2682"/>
      <c r="V92" s="2682"/>
      <c r="W92" s="2682"/>
      <c r="X92" s="2682"/>
      <c r="Y92" s="2682"/>
    </row>
    <row r="93" spans="2:25" x14ac:dyDescent="0.55000000000000004">
      <c r="B93" s="2682"/>
      <c r="C93" s="2682"/>
      <c r="D93" s="2682"/>
      <c r="E93" s="2682"/>
      <c r="F93" s="2682"/>
      <c r="G93" s="2682"/>
      <c r="H93" s="2682"/>
      <c r="I93" s="2682"/>
      <c r="J93" s="2682"/>
      <c r="K93" s="2682"/>
      <c r="L93" s="2682"/>
      <c r="M93" s="2682"/>
      <c r="N93" s="2682"/>
      <c r="O93" s="2682"/>
      <c r="P93" s="2682"/>
      <c r="Q93" s="2682"/>
      <c r="R93" s="2682"/>
      <c r="S93" s="2682"/>
      <c r="T93" s="2682"/>
      <c r="U93" s="2682"/>
      <c r="V93" s="2682"/>
      <c r="W93" s="2682"/>
      <c r="X93" s="2682"/>
      <c r="Y93" s="2682"/>
    </row>
    <row r="94" spans="2:25" x14ac:dyDescent="0.55000000000000004">
      <c r="B94" s="2682"/>
      <c r="C94" s="2682"/>
      <c r="D94" s="2682"/>
      <c r="E94" s="2682"/>
      <c r="F94" s="2682"/>
      <c r="G94" s="2682"/>
      <c r="H94" s="2682"/>
      <c r="I94" s="2682"/>
      <c r="J94" s="2682"/>
      <c r="K94" s="2682"/>
      <c r="L94" s="2682"/>
      <c r="M94" s="2682"/>
      <c r="N94" s="2682"/>
      <c r="O94" s="2682"/>
      <c r="P94" s="2682"/>
      <c r="Q94" s="2682"/>
      <c r="R94" s="2682"/>
      <c r="S94" s="2682"/>
      <c r="T94" s="2682"/>
      <c r="U94" s="2682"/>
      <c r="V94" s="2682"/>
      <c r="W94" s="2682"/>
      <c r="X94" s="2682"/>
      <c r="Y94" s="2682"/>
    </row>
    <row r="95" spans="2:25" x14ac:dyDescent="0.55000000000000004">
      <c r="B95" s="2682"/>
      <c r="C95" s="2682"/>
      <c r="D95" s="2682"/>
      <c r="E95" s="2682"/>
      <c r="F95" s="2682"/>
      <c r="G95" s="2682"/>
      <c r="H95" s="2682"/>
      <c r="I95" s="2682"/>
      <c r="J95" s="2682"/>
      <c r="K95" s="2682"/>
      <c r="L95" s="2682"/>
      <c r="M95" s="2682"/>
      <c r="N95" s="2682"/>
      <c r="O95" s="2682"/>
      <c r="P95" s="2682"/>
      <c r="Q95" s="2682"/>
      <c r="R95" s="2682"/>
      <c r="S95" s="2682"/>
      <c r="T95" s="2682"/>
      <c r="U95" s="2682"/>
      <c r="V95" s="2682"/>
      <c r="W95" s="2682"/>
      <c r="X95" s="2682"/>
      <c r="Y95" s="2682"/>
    </row>
    <row r="96" spans="2:25" x14ac:dyDescent="0.55000000000000004">
      <c r="B96" s="2682"/>
      <c r="C96" s="2682"/>
      <c r="D96" s="2682"/>
      <c r="E96" s="2682"/>
      <c r="F96" s="2682"/>
      <c r="G96" s="2682"/>
      <c r="H96" s="2682"/>
      <c r="I96" s="2682"/>
      <c r="J96" s="2682"/>
      <c r="K96" s="2682"/>
      <c r="L96" s="2682"/>
      <c r="M96" s="2682"/>
      <c r="N96" s="2682"/>
      <c r="O96" s="2682"/>
      <c r="P96" s="2682"/>
      <c r="Q96" s="2682"/>
      <c r="R96" s="2682"/>
      <c r="S96" s="2682"/>
      <c r="T96" s="2682"/>
      <c r="U96" s="2682"/>
      <c r="V96" s="2682"/>
      <c r="W96" s="2682"/>
      <c r="X96" s="2682"/>
      <c r="Y96" s="2682"/>
    </row>
    <row r="97" spans="2:25" x14ac:dyDescent="0.55000000000000004">
      <c r="B97" s="2682"/>
      <c r="C97" s="2682"/>
      <c r="D97" s="2682"/>
      <c r="E97" s="2682"/>
      <c r="F97" s="2682"/>
      <c r="G97" s="2682"/>
      <c r="H97" s="2682"/>
      <c r="I97" s="2682"/>
      <c r="J97" s="2682"/>
      <c r="K97" s="2682"/>
      <c r="L97" s="2682"/>
      <c r="M97" s="2682"/>
      <c r="N97" s="2682"/>
      <c r="O97" s="2682"/>
      <c r="P97" s="2682"/>
      <c r="Q97" s="2682"/>
      <c r="R97" s="2682"/>
      <c r="S97" s="2682"/>
      <c r="T97" s="2682"/>
      <c r="U97" s="2682"/>
      <c r="V97" s="2682"/>
      <c r="W97" s="2682"/>
      <c r="X97" s="2682"/>
      <c r="Y97" s="2682"/>
    </row>
    <row r="98" spans="2:25" x14ac:dyDescent="0.55000000000000004">
      <c r="B98" s="2682"/>
      <c r="C98" s="2682"/>
      <c r="D98" s="2682"/>
      <c r="E98" s="2682"/>
      <c r="F98" s="2682"/>
      <c r="G98" s="2682"/>
      <c r="H98" s="2682"/>
      <c r="I98" s="2682"/>
      <c r="J98" s="2682"/>
      <c r="K98" s="2682"/>
      <c r="L98" s="2682"/>
      <c r="M98" s="2682"/>
      <c r="N98" s="2682"/>
      <c r="O98" s="2682"/>
      <c r="P98" s="2682"/>
      <c r="Q98" s="2682"/>
      <c r="R98" s="2682"/>
      <c r="S98" s="2682"/>
      <c r="T98" s="2682"/>
      <c r="U98" s="2682"/>
      <c r="V98" s="2682"/>
      <c r="W98" s="2682"/>
      <c r="X98" s="2682"/>
      <c r="Y98" s="2682"/>
    </row>
    <row r="99" spans="2:25" x14ac:dyDescent="0.55000000000000004">
      <c r="B99" s="2682"/>
      <c r="C99" s="2682"/>
      <c r="D99" s="2682"/>
      <c r="E99" s="2682"/>
      <c r="F99" s="2682"/>
      <c r="G99" s="2682"/>
      <c r="H99" s="2682"/>
      <c r="I99" s="2682"/>
      <c r="J99" s="2682"/>
      <c r="K99" s="2682"/>
      <c r="L99" s="2682"/>
      <c r="M99" s="2682"/>
      <c r="N99" s="2682"/>
      <c r="O99" s="2682"/>
      <c r="P99" s="2682"/>
      <c r="Q99" s="2682"/>
      <c r="R99" s="2682"/>
      <c r="S99" s="2682"/>
      <c r="T99" s="2682"/>
      <c r="U99" s="2682"/>
      <c r="V99" s="2682"/>
      <c r="W99" s="2682"/>
      <c r="X99" s="2682"/>
      <c r="Y99" s="2682"/>
    </row>
    <row r="100" spans="2:25" x14ac:dyDescent="0.55000000000000004">
      <c r="B100" s="2682"/>
      <c r="C100" s="2682"/>
      <c r="D100" s="2682"/>
      <c r="E100" s="2682"/>
      <c r="F100" s="2682"/>
      <c r="G100" s="2682"/>
      <c r="H100" s="2682"/>
      <c r="I100" s="2682"/>
      <c r="J100" s="2682"/>
      <c r="K100" s="2682"/>
      <c r="L100" s="2682"/>
      <c r="M100" s="2682"/>
      <c r="N100" s="2682"/>
      <c r="O100" s="2682"/>
      <c r="P100" s="2682"/>
      <c r="Q100" s="2682"/>
      <c r="R100" s="2682"/>
      <c r="S100" s="2682"/>
      <c r="T100" s="2682"/>
      <c r="U100" s="2682"/>
      <c r="V100" s="2682"/>
      <c r="W100" s="2682"/>
      <c r="X100" s="2682"/>
      <c r="Y100" s="2682"/>
    </row>
    <row r="101" spans="2:25" x14ac:dyDescent="0.55000000000000004"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2682"/>
      <c r="S101" s="2682"/>
      <c r="T101" s="2682"/>
      <c r="U101" s="2682"/>
      <c r="V101" s="2682"/>
      <c r="W101" s="2682"/>
      <c r="X101" s="2682"/>
      <c r="Y101" s="2682"/>
    </row>
    <row r="102" spans="2:25" x14ac:dyDescent="0.55000000000000004"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2682"/>
      <c r="S102" s="2682"/>
      <c r="T102" s="2682"/>
      <c r="U102" s="2682"/>
      <c r="V102" s="2682"/>
      <c r="W102" s="2682"/>
      <c r="X102" s="2682"/>
      <c r="Y102" s="2682"/>
    </row>
    <row r="103" spans="2:25" x14ac:dyDescent="0.55000000000000004"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2682"/>
      <c r="S103" s="2682"/>
      <c r="T103" s="2682"/>
      <c r="U103" s="2682"/>
      <c r="V103" s="2682"/>
      <c r="W103" s="2682"/>
      <c r="X103" s="2682"/>
      <c r="Y103" s="2682"/>
    </row>
    <row r="104" spans="2:25" x14ac:dyDescent="0.55000000000000004">
      <c r="B104" s="2682"/>
      <c r="C104" s="2682"/>
      <c r="D104" s="2682"/>
      <c r="E104" s="2682"/>
      <c r="F104" s="2682"/>
      <c r="G104" s="2682"/>
      <c r="H104" s="2682"/>
      <c r="I104" s="2682"/>
      <c r="J104" s="2682"/>
      <c r="K104" s="2682"/>
      <c r="L104" s="2682"/>
      <c r="M104" s="2682"/>
      <c r="N104" s="2682"/>
      <c r="O104" s="2682"/>
      <c r="P104" s="2682"/>
      <c r="Q104" s="2682"/>
      <c r="R104" s="2682"/>
      <c r="S104" s="2682"/>
      <c r="T104" s="2682"/>
      <c r="U104" s="2682"/>
      <c r="V104" s="2682"/>
      <c r="W104" s="2682"/>
      <c r="X104" s="2682"/>
      <c r="Y104" s="2682"/>
    </row>
    <row r="105" spans="2:25" x14ac:dyDescent="0.55000000000000004">
      <c r="B105" s="2682"/>
      <c r="C105" s="2682"/>
      <c r="D105" s="2682"/>
      <c r="E105" s="2682"/>
      <c r="F105" s="2682"/>
      <c r="G105" s="2682"/>
      <c r="H105" s="2682"/>
      <c r="I105" s="2682"/>
      <c r="J105" s="2682"/>
      <c r="K105" s="2682"/>
      <c r="L105" s="2682"/>
      <c r="M105" s="2682"/>
      <c r="N105" s="2682"/>
      <c r="O105" s="2682"/>
      <c r="P105" s="2682"/>
      <c r="Q105" s="2682"/>
      <c r="R105" s="2682"/>
      <c r="S105" s="2682"/>
      <c r="T105" s="2682"/>
      <c r="U105" s="2682"/>
      <c r="V105" s="2682"/>
      <c r="W105" s="2682"/>
      <c r="X105" s="2682"/>
      <c r="Y105" s="2682"/>
    </row>
    <row r="106" spans="2:25" x14ac:dyDescent="0.55000000000000004">
      <c r="B106" s="2682"/>
      <c r="C106" s="2682"/>
      <c r="D106" s="2682"/>
      <c r="E106" s="2682"/>
      <c r="F106" s="2682"/>
      <c r="G106" s="2682"/>
      <c r="H106" s="2682"/>
      <c r="I106" s="2682"/>
      <c r="J106" s="2682"/>
      <c r="K106" s="2682"/>
      <c r="L106" s="2682"/>
      <c r="M106" s="2682"/>
      <c r="N106" s="2682"/>
      <c r="O106" s="2682"/>
      <c r="P106" s="2682"/>
      <c r="Q106" s="2682"/>
      <c r="R106" s="2682"/>
      <c r="S106" s="2682"/>
      <c r="T106" s="2682"/>
      <c r="U106" s="2682"/>
      <c r="V106" s="2682"/>
      <c r="W106" s="2682"/>
      <c r="X106" s="2682"/>
      <c r="Y106" s="2682"/>
    </row>
    <row r="107" spans="2:25" x14ac:dyDescent="0.55000000000000004">
      <c r="B107" s="2682"/>
      <c r="C107" s="2682"/>
      <c r="D107" s="2682"/>
      <c r="E107" s="2682"/>
      <c r="F107" s="2682"/>
      <c r="G107" s="2682"/>
      <c r="H107" s="2682"/>
      <c r="I107" s="2682"/>
      <c r="J107" s="2682"/>
      <c r="K107" s="2682"/>
      <c r="L107" s="2682"/>
      <c r="M107" s="2682"/>
      <c r="N107" s="2682"/>
      <c r="O107" s="2682"/>
      <c r="P107" s="2682"/>
      <c r="Q107" s="2682"/>
      <c r="R107" s="2682"/>
      <c r="S107" s="2682"/>
      <c r="T107" s="2682"/>
      <c r="U107" s="2682"/>
      <c r="V107" s="2682"/>
      <c r="W107" s="2682"/>
      <c r="X107" s="2682"/>
      <c r="Y107" s="2682"/>
    </row>
    <row r="108" spans="2:25" x14ac:dyDescent="0.55000000000000004">
      <c r="B108" s="2682"/>
      <c r="C108" s="2682"/>
      <c r="D108" s="2682"/>
      <c r="E108" s="2682"/>
      <c r="F108" s="2682"/>
      <c r="G108" s="2682"/>
      <c r="H108" s="2682"/>
      <c r="I108" s="2682"/>
      <c r="J108" s="2682"/>
      <c r="K108" s="2682"/>
      <c r="L108" s="2682"/>
      <c r="M108" s="2682"/>
      <c r="N108" s="2682"/>
      <c r="O108" s="2682"/>
      <c r="P108" s="2682"/>
      <c r="Q108" s="2682"/>
      <c r="R108" s="2682"/>
      <c r="S108" s="2682"/>
      <c r="T108" s="2682"/>
      <c r="U108" s="2682"/>
      <c r="V108" s="2682"/>
      <c r="W108" s="2682"/>
      <c r="X108" s="2682"/>
      <c r="Y108" s="2682"/>
    </row>
    <row r="109" spans="2:25" x14ac:dyDescent="0.55000000000000004">
      <c r="B109" s="2682"/>
      <c r="C109" s="2682"/>
      <c r="D109" s="2682"/>
      <c r="E109" s="2682"/>
      <c r="F109" s="2682"/>
      <c r="G109" s="2682"/>
      <c r="H109" s="2682"/>
      <c r="I109" s="2682"/>
      <c r="J109" s="2682"/>
      <c r="K109" s="2682"/>
      <c r="L109" s="2682"/>
      <c r="M109" s="2682"/>
      <c r="N109" s="2682"/>
      <c r="O109" s="2682"/>
      <c r="P109" s="2682"/>
      <c r="Q109" s="2682"/>
      <c r="R109" s="2682"/>
      <c r="S109" s="2682"/>
      <c r="T109" s="2682"/>
      <c r="U109" s="2682"/>
      <c r="V109" s="2682"/>
      <c r="W109" s="2682"/>
      <c r="X109" s="2682"/>
      <c r="Y109" s="2682"/>
    </row>
    <row r="110" spans="2:25" x14ac:dyDescent="0.55000000000000004">
      <c r="B110" s="2682"/>
      <c r="C110" s="2682"/>
      <c r="D110" s="2682"/>
      <c r="E110" s="2682"/>
      <c r="F110" s="2682"/>
      <c r="G110" s="2682"/>
      <c r="H110" s="2682"/>
      <c r="I110" s="2682"/>
      <c r="J110" s="2682"/>
      <c r="K110" s="2682"/>
      <c r="L110" s="2682"/>
      <c r="M110" s="2682"/>
      <c r="N110" s="2682"/>
      <c r="O110" s="2682"/>
      <c r="P110" s="2682"/>
      <c r="Q110" s="2682"/>
      <c r="R110" s="2682"/>
      <c r="S110" s="2682"/>
      <c r="T110" s="2682"/>
      <c r="U110" s="2682"/>
      <c r="V110" s="2682"/>
      <c r="W110" s="2682"/>
      <c r="X110" s="2682"/>
      <c r="Y110" s="2682"/>
    </row>
    <row r="111" spans="2:25" x14ac:dyDescent="0.55000000000000004">
      <c r="B111" s="2682"/>
      <c r="C111" s="2682"/>
      <c r="D111" s="2682"/>
      <c r="E111" s="2682"/>
      <c r="F111" s="2682"/>
      <c r="G111" s="2682"/>
      <c r="H111" s="2682"/>
      <c r="I111" s="2682"/>
      <c r="J111" s="2682"/>
      <c r="K111" s="2682"/>
      <c r="L111" s="2682"/>
      <c r="M111" s="2682"/>
      <c r="N111" s="2682"/>
      <c r="O111" s="2682"/>
      <c r="P111" s="2682"/>
      <c r="Q111" s="2682"/>
      <c r="R111" s="2682"/>
      <c r="S111" s="2682"/>
      <c r="T111" s="2682"/>
      <c r="U111" s="2682"/>
      <c r="V111" s="2682"/>
      <c r="W111" s="2682"/>
      <c r="X111" s="2682"/>
      <c r="Y111" s="2682"/>
    </row>
    <row r="112" spans="2:25" x14ac:dyDescent="0.55000000000000004">
      <c r="B112" s="2682"/>
      <c r="C112" s="2682"/>
      <c r="D112" s="2682"/>
      <c r="E112" s="2682"/>
      <c r="F112" s="2682"/>
      <c r="G112" s="2682"/>
      <c r="H112" s="2682"/>
      <c r="I112" s="2682"/>
      <c r="J112" s="2682"/>
      <c r="K112" s="2682"/>
      <c r="L112" s="2682"/>
      <c r="M112" s="2682"/>
      <c r="N112" s="2682"/>
      <c r="O112" s="2682"/>
      <c r="P112" s="2682"/>
      <c r="Q112" s="2682"/>
      <c r="R112" s="2682"/>
      <c r="S112" s="2682"/>
      <c r="T112" s="2682"/>
      <c r="U112" s="2682"/>
      <c r="V112" s="2682"/>
      <c r="W112" s="2682"/>
      <c r="X112" s="2682"/>
      <c r="Y112" s="2682"/>
    </row>
    <row r="113" spans="2:25" x14ac:dyDescent="0.55000000000000004">
      <c r="B113" s="2682"/>
      <c r="C113" s="2682"/>
      <c r="D113" s="2682"/>
      <c r="E113" s="2682"/>
      <c r="F113" s="2682"/>
      <c r="G113" s="2682"/>
      <c r="H113" s="2682"/>
      <c r="I113" s="2682"/>
      <c r="J113" s="2682"/>
      <c r="K113" s="2682"/>
      <c r="L113" s="2682"/>
      <c r="M113" s="2682"/>
      <c r="N113" s="2682"/>
      <c r="O113" s="2682"/>
      <c r="P113" s="2682"/>
      <c r="Q113" s="2682"/>
      <c r="R113" s="2682"/>
      <c r="S113" s="2682"/>
      <c r="T113" s="2682"/>
      <c r="U113" s="2682"/>
      <c r="V113" s="2682"/>
      <c r="W113" s="2682"/>
      <c r="X113" s="2682"/>
      <c r="Y113" s="2682"/>
    </row>
    <row r="114" spans="2:25" x14ac:dyDescent="0.55000000000000004">
      <c r="B114" s="2682"/>
      <c r="C114" s="2682"/>
      <c r="D114" s="2682"/>
      <c r="E114" s="2682"/>
      <c r="F114" s="2682"/>
      <c r="G114" s="2682"/>
      <c r="H114" s="2682"/>
      <c r="I114" s="2682"/>
      <c r="J114" s="2682"/>
      <c r="K114" s="2682"/>
      <c r="L114" s="2682"/>
      <c r="M114" s="2682"/>
      <c r="N114" s="2682"/>
      <c r="O114" s="2682"/>
      <c r="P114" s="2682"/>
      <c r="Q114" s="2682"/>
      <c r="R114" s="2682"/>
      <c r="S114" s="2682"/>
      <c r="T114" s="2682"/>
      <c r="U114" s="2682"/>
      <c r="V114" s="2682"/>
      <c r="W114" s="2682"/>
      <c r="X114" s="2682"/>
      <c r="Y114" s="2682"/>
    </row>
    <row r="115" spans="2:25" x14ac:dyDescent="0.55000000000000004">
      <c r="B115" s="2682"/>
      <c r="C115" s="2682"/>
      <c r="D115" s="2682"/>
      <c r="E115" s="2682"/>
      <c r="F115" s="2682"/>
      <c r="G115" s="2682"/>
      <c r="H115" s="2682"/>
      <c r="I115" s="2682"/>
      <c r="J115" s="2682"/>
      <c r="K115" s="2682"/>
      <c r="L115" s="2682"/>
      <c r="M115" s="2682"/>
      <c r="N115" s="2682"/>
      <c r="O115" s="2682"/>
      <c r="P115" s="2682"/>
      <c r="Q115" s="2682"/>
      <c r="R115" s="2682"/>
      <c r="S115" s="2682"/>
      <c r="T115" s="2682"/>
      <c r="U115" s="2682"/>
      <c r="V115" s="2682"/>
      <c r="W115" s="2682"/>
      <c r="X115" s="2682"/>
      <c r="Y115" s="2682"/>
    </row>
    <row r="116" spans="2:25" x14ac:dyDescent="0.55000000000000004">
      <c r="B116" s="2682"/>
      <c r="C116" s="2682"/>
      <c r="D116" s="2682"/>
      <c r="E116" s="2682"/>
      <c r="F116" s="2682"/>
      <c r="G116" s="2682"/>
      <c r="H116" s="2682"/>
      <c r="I116" s="2682"/>
      <c r="J116" s="2682"/>
      <c r="K116" s="2682"/>
      <c r="L116" s="2682"/>
      <c r="M116" s="2682"/>
      <c r="N116" s="2682"/>
      <c r="O116" s="2682"/>
      <c r="P116" s="2682"/>
      <c r="Q116" s="2682"/>
      <c r="R116" s="2682"/>
      <c r="S116" s="2682"/>
      <c r="T116" s="2682"/>
      <c r="U116" s="2682"/>
      <c r="V116" s="2682"/>
      <c r="W116" s="2682"/>
      <c r="X116" s="2682"/>
      <c r="Y116" s="2682"/>
    </row>
    <row r="117" spans="2:25" x14ac:dyDescent="0.55000000000000004">
      <c r="B117" s="2682"/>
      <c r="C117" s="2682"/>
      <c r="D117" s="2682"/>
      <c r="E117" s="2682"/>
      <c r="F117" s="2682"/>
      <c r="G117" s="2682"/>
      <c r="H117" s="2682"/>
      <c r="I117" s="2682"/>
      <c r="J117" s="2682"/>
      <c r="K117" s="2682"/>
      <c r="L117" s="2682"/>
      <c r="M117" s="2682"/>
      <c r="N117" s="2682"/>
      <c r="O117" s="2682"/>
      <c r="P117" s="2682"/>
      <c r="Q117" s="2682"/>
      <c r="R117" s="2682"/>
      <c r="S117" s="2682"/>
      <c r="T117" s="2682"/>
      <c r="U117" s="2682"/>
      <c r="V117" s="2682"/>
      <c r="W117" s="2682"/>
      <c r="X117" s="2682"/>
      <c r="Y117" s="2682"/>
    </row>
    <row r="118" spans="2:25" x14ac:dyDescent="0.55000000000000004">
      <c r="B118" s="2682"/>
      <c r="C118" s="2682"/>
      <c r="D118" s="2682"/>
      <c r="E118" s="2682"/>
      <c r="F118" s="2682"/>
      <c r="G118" s="2682"/>
      <c r="H118" s="2682"/>
      <c r="I118" s="2682"/>
      <c r="J118" s="2682"/>
      <c r="K118" s="2682"/>
      <c r="L118" s="2682"/>
      <c r="M118" s="2682"/>
      <c r="N118" s="2682"/>
      <c r="O118" s="2682"/>
      <c r="P118" s="2682"/>
      <c r="Q118" s="2682"/>
      <c r="R118" s="2682"/>
      <c r="S118" s="2682"/>
      <c r="T118" s="2682"/>
      <c r="U118" s="2682"/>
      <c r="V118" s="2682"/>
      <c r="W118" s="2682"/>
      <c r="X118" s="2682"/>
      <c r="Y118" s="2682"/>
    </row>
    <row r="119" spans="2:25" x14ac:dyDescent="0.55000000000000004">
      <c r="B119" s="2682"/>
      <c r="C119" s="2682"/>
      <c r="D119" s="2682"/>
      <c r="E119" s="2682"/>
      <c r="F119" s="2682"/>
      <c r="G119" s="2682"/>
      <c r="H119" s="2682"/>
      <c r="I119" s="2682"/>
      <c r="J119" s="2682"/>
      <c r="K119" s="2682"/>
      <c r="L119" s="2682"/>
      <c r="M119" s="2682"/>
      <c r="N119" s="2682"/>
      <c r="O119" s="2682"/>
      <c r="P119" s="2682"/>
      <c r="Q119" s="2682"/>
      <c r="R119" s="2682"/>
      <c r="S119" s="2682"/>
      <c r="T119" s="2682"/>
      <c r="U119" s="2682"/>
      <c r="V119" s="2682"/>
      <c r="W119" s="2682"/>
      <c r="X119" s="2682"/>
      <c r="Y119" s="2682"/>
    </row>
    <row r="120" spans="2:25" x14ac:dyDescent="0.55000000000000004">
      <c r="B120" s="2682"/>
      <c r="C120" s="2682"/>
      <c r="D120" s="2682"/>
      <c r="E120" s="2682"/>
      <c r="F120" s="2682"/>
      <c r="G120" s="2682"/>
      <c r="H120" s="2682"/>
      <c r="I120" s="2682"/>
      <c r="J120" s="2682"/>
      <c r="K120" s="2682"/>
      <c r="L120" s="2682"/>
      <c r="M120" s="2682"/>
      <c r="N120" s="2682"/>
      <c r="O120" s="2682"/>
      <c r="P120" s="2682"/>
      <c r="Q120" s="2682"/>
      <c r="R120" s="2682"/>
      <c r="S120" s="2682"/>
      <c r="T120" s="2682"/>
      <c r="U120" s="2682"/>
      <c r="V120" s="2682"/>
      <c r="W120" s="2682"/>
      <c r="X120" s="2682"/>
      <c r="Y120" s="2682"/>
    </row>
  </sheetData>
  <mergeCells count="15">
    <mergeCell ref="A22:A55"/>
    <mergeCell ref="A3:W3"/>
    <mergeCell ref="T5:W5"/>
    <mergeCell ref="A7:A19"/>
    <mergeCell ref="B45:B46"/>
    <mergeCell ref="B22:B23"/>
    <mergeCell ref="B24:B25"/>
    <mergeCell ref="B26:B27"/>
    <mergeCell ref="B28:B29"/>
    <mergeCell ref="B41:B42"/>
    <mergeCell ref="B43:B44"/>
    <mergeCell ref="A6:C6"/>
    <mergeCell ref="F5:S5"/>
    <mergeCell ref="B30:B31"/>
    <mergeCell ref="B32:B33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6" fitToHeight="0" orientation="landscape" r:id="rId1"/>
  <headerFooter scaleWithDoc="0">
    <oddFooter>&amp;R&amp;"-,기울임꼴"&amp;8&amp;P &amp; 페이지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6E11-5E70-404F-BF7B-1989B161B5B2}">
  <sheetPr codeName="Sheet25">
    <tabColor theme="9" tint="0.79998168889431442"/>
  </sheetPr>
  <dimension ref="A1:BC111"/>
  <sheetViews>
    <sheetView showGridLines="0" zoomScale="40" zoomScaleNormal="40" workbookViewId="0">
      <pane xSplit="3" topLeftCell="X1" activePane="topRight" state="frozen"/>
      <selection activeCell="V54" sqref="V54"/>
      <selection pane="topRight" activeCell="AX52" sqref="AX52"/>
    </sheetView>
  </sheetViews>
  <sheetFormatPr defaultRowHeight="17.600000000000001" outlineLevelCol="1" x14ac:dyDescent="0.55000000000000004"/>
  <cols>
    <col min="1" max="1" width="11.42578125" customWidth="1"/>
    <col min="2" max="2" width="19.85546875" bestFit="1" customWidth="1"/>
    <col min="3" max="3" width="13" bestFit="1" customWidth="1"/>
    <col min="4" max="15" width="8.640625" customWidth="1" outlineLevel="1"/>
    <col min="16" max="16" width="9.85546875" customWidth="1"/>
    <col min="18" max="18" width="5.7109375" customWidth="1"/>
    <col min="19" max="26" width="8.640625" customWidth="1" outlineLevel="1"/>
    <col min="27" max="27" width="10.140625" customWidth="1" outlineLevel="1"/>
    <col min="28" max="30" width="8.640625" customWidth="1" outlineLevel="1"/>
    <col min="42" max="42" width="10.140625" customWidth="1"/>
    <col min="49" max="49" width="12.5703125" customWidth="1"/>
    <col min="50" max="50" width="15.7109375" customWidth="1"/>
    <col min="51" max="51" width="22.7109375" customWidth="1"/>
    <col min="52" max="52" width="12.140625" customWidth="1"/>
    <col min="53" max="53" width="9.140625" customWidth="1"/>
  </cols>
  <sheetData>
    <row r="1" spans="1:53" x14ac:dyDescent="0.55000000000000004">
      <c r="A1" s="1444">
        <f>'2-(1) 수수료 기준_가입자(무선)'!A1</f>
        <v>12.000999999999999</v>
      </c>
      <c r="B1" s="2366">
        <f>'※ 재고 세부데이터'!B1</f>
        <v>11.000999999999999</v>
      </c>
      <c r="AY1" s="318" t="s">
        <v>473</v>
      </c>
    </row>
    <row r="2" spans="1:53" x14ac:dyDescent="0.55000000000000004">
      <c r="D2" s="1436">
        <v>1.0009999999999999</v>
      </c>
      <c r="E2" s="1436">
        <v>2.0009999999999999</v>
      </c>
      <c r="F2" s="1436">
        <v>3.0009999999999999</v>
      </c>
      <c r="G2" s="1436">
        <v>4.0010000000000003</v>
      </c>
      <c r="H2" s="1436">
        <v>5.0010000000000003</v>
      </c>
      <c r="I2" s="1436">
        <v>6.0010000000000003</v>
      </c>
      <c r="J2" s="1436">
        <v>7.0010000000000003</v>
      </c>
      <c r="K2" s="1436">
        <v>8.0009999999999994</v>
      </c>
      <c r="L2" s="1436">
        <v>9.0009999999999994</v>
      </c>
      <c r="M2" s="1436">
        <v>10.000999999999999</v>
      </c>
      <c r="N2" s="1436">
        <v>11.000999999999999</v>
      </c>
      <c r="O2" s="1436">
        <v>12.000999999999999</v>
      </c>
      <c r="S2" s="1436">
        <v>1.0009999999999999</v>
      </c>
      <c r="T2" s="1436">
        <v>2.0009999999999999</v>
      </c>
      <c r="U2" s="1436">
        <v>3.0009999999999999</v>
      </c>
      <c r="V2" s="1436">
        <v>4.0010000000000003</v>
      </c>
      <c r="W2" s="1436">
        <v>5.0010000000000003</v>
      </c>
      <c r="X2" s="1436">
        <v>6.0010000000000003</v>
      </c>
      <c r="Y2" s="1436">
        <v>7.0010000000000003</v>
      </c>
      <c r="Z2" s="1436">
        <v>8.0009999999999994</v>
      </c>
      <c r="AA2" s="1436">
        <v>9.0009999999999994</v>
      </c>
      <c r="AB2" s="1436">
        <v>10.000999999999999</v>
      </c>
      <c r="AC2" s="1436">
        <v>11.000999999999999</v>
      </c>
      <c r="AD2" s="1436">
        <v>12.000999999999999</v>
      </c>
      <c r="AH2" s="1436">
        <v>1.0009999999999999</v>
      </c>
      <c r="AI2" s="1436">
        <v>2.0009999999999999</v>
      </c>
      <c r="AJ2" s="1436">
        <v>3.0009999999999999</v>
      </c>
      <c r="AK2" s="1436">
        <v>4.0010000000000003</v>
      </c>
      <c r="AL2" s="1436">
        <v>5.0010000000000003</v>
      </c>
      <c r="AM2" s="1436">
        <v>6.0010000000000003</v>
      </c>
      <c r="AN2" s="1436">
        <v>7.0010000000000003</v>
      </c>
      <c r="AO2" s="1436">
        <v>8.0009999999999994</v>
      </c>
      <c r="AP2" s="1436">
        <v>9.0009999999999994</v>
      </c>
      <c r="AQ2" s="1436">
        <v>10.000999999999999</v>
      </c>
      <c r="AR2" s="1436">
        <v>11.000999999999999</v>
      </c>
      <c r="AS2" s="1436">
        <v>12.000999999999999</v>
      </c>
    </row>
    <row r="3" spans="1:53" ht="18" thickBot="1" x14ac:dyDescent="0.6">
      <c r="D3" s="890" t="s">
        <v>666</v>
      </c>
      <c r="E3" s="890" t="s">
        <v>667</v>
      </c>
      <c r="F3" s="890" t="s">
        <v>668</v>
      </c>
      <c r="G3" s="890" t="s">
        <v>669</v>
      </c>
      <c r="H3" s="890" t="s">
        <v>670</v>
      </c>
      <c r="I3" s="890" t="s">
        <v>671</v>
      </c>
      <c r="J3" s="890" t="s">
        <v>672</v>
      </c>
      <c r="K3" s="890" t="s">
        <v>673</v>
      </c>
      <c r="L3" s="890" t="s">
        <v>674</v>
      </c>
      <c r="M3" s="890" t="s">
        <v>675</v>
      </c>
      <c r="N3" s="890" t="s">
        <v>676</v>
      </c>
      <c r="O3" s="890" t="s">
        <v>677</v>
      </c>
      <c r="P3" s="890" t="s">
        <v>412</v>
      </c>
      <c r="Q3" s="890" t="s">
        <v>655</v>
      </c>
      <c r="S3" s="889" t="s">
        <v>2</v>
      </c>
      <c r="T3" s="889" t="s">
        <v>653</v>
      </c>
      <c r="U3" s="889" t="s">
        <v>525</v>
      </c>
      <c r="V3" s="889" t="s">
        <v>358</v>
      </c>
      <c r="W3" s="889" t="s">
        <v>359</v>
      </c>
      <c r="X3" s="889" t="s">
        <v>360</v>
      </c>
      <c r="Y3" s="889" t="s">
        <v>361</v>
      </c>
      <c r="Z3" s="889" t="s">
        <v>362</v>
      </c>
      <c r="AA3" s="889" t="s">
        <v>363</v>
      </c>
      <c r="AB3" s="889" t="s">
        <v>364</v>
      </c>
      <c r="AC3" s="889" t="s">
        <v>365</v>
      </c>
      <c r="AD3" s="889" t="s">
        <v>366</v>
      </c>
      <c r="AE3" s="890" t="s">
        <v>654</v>
      </c>
      <c r="AF3" s="890" t="s">
        <v>655</v>
      </c>
      <c r="AH3" s="889" t="s">
        <v>1020</v>
      </c>
      <c r="AI3" s="889" t="s">
        <v>1022</v>
      </c>
      <c r="AJ3" s="889" t="s">
        <v>1024</v>
      </c>
      <c r="AK3" s="889" t="s">
        <v>1025</v>
      </c>
      <c r="AL3" s="889" t="s">
        <v>1026</v>
      </c>
      <c r="AM3" s="889" t="s">
        <v>1027</v>
      </c>
      <c r="AN3" s="889" t="s">
        <v>1028</v>
      </c>
      <c r="AO3" s="889" t="s">
        <v>1029</v>
      </c>
      <c r="AP3" s="889" t="s">
        <v>1030</v>
      </c>
      <c r="AQ3" s="889" t="s">
        <v>1031</v>
      </c>
      <c r="AR3" s="889" t="s">
        <v>1032</v>
      </c>
      <c r="AS3" s="889" t="s">
        <v>1033</v>
      </c>
      <c r="AT3" s="890" t="s">
        <v>1053</v>
      </c>
      <c r="AU3" s="890" t="s">
        <v>655</v>
      </c>
      <c r="AW3" s="316" t="s">
        <v>464</v>
      </c>
      <c r="AX3" s="316" t="s">
        <v>465</v>
      </c>
      <c r="AY3" s="1133" t="s">
        <v>471</v>
      </c>
      <c r="AZ3" s="316" t="s">
        <v>133</v>
      </c>
    </row>
    <row r="4" spans="1:53" ht="18" thickTop="1" x14ac:dyDescent="0.55000000000000004">
      <c r="A4" s="7576" t="s">
        <v>292</v>
      </c>
      <c r="B4" s="136" t="s">
        <v>291</v>
      </c>
      <c r="C4" s="111"/>
      <c r="D4" s="932">
        <v>98.68915370632196</v>
      </c>
      <c r="E4" s="932">
        <v>97.776355596928084</v>
      </c>
      <c r="F4" s="932">
        <v>98.709973954343496</v>
      </c>
      <c r="G4" s="932">
        <v>98.676118578530662</v>
      </c>
      <c r="H4" s="932">
        <v>98.227590591226956</v>
      </c>
      <c r="I4" s="932">
        <v>98.428591489959274</v>
      </c>
      <c r="J4" s="932">
        <v>98.389112003569835</v>
      </c>
      <c r="K4" s="932">
        <v>97.647587990554371</v>
      </c>
      <c r="L4" s="932">
        <v>98.363116511794132</v>
      </c>
      <c r="M4" s="932">
        <v>98.641300286461572</v>
      </c>
      <c r="N4" s="932">
        <v>99.157969885773625</v>
      </c>
      <c r="O4" s="932">
        <v>98.08645399907536</v>
      </c>
      <c r="P4" s="932">
        <f>Q4</f>
        <v>98.399443716211621</v>
      </c>
      <c r="Q4" s="932">
        <f>AVERAGE(D4:O4)</f>
        <v>98.399443716211621</v>
      </c>
      <c r="S4" s="111">
        <v>97.9</v>
      </c>
      <c r="T4" s="111">
        <v>98.5</v>
      </c>
      <c r="U4" s="111">
        <v>96.3</v>
      </c>
      <c r="V4" s="111">
        <v>93.7</v>
      </c>
      <c r="W4" s="111">
        <v>95.5</v>
      </c>
      <c r="X4" s="111">
        <v>98.2</v>
      </c>
      <c r="Y4" s="1042">
        <v>98.3</v>
      </c>
      <c r="Z4" s="111">
        <v>98.4</v>
      </c>
      <c r="AA4" s="111">
        <v>98.2</v>
      </c>
      <c r="AB4" s="111">
        <v>98.1</v>
      </c>
      <c r="AC4" s="111">
        <v>98.4</v>
      </c>
      <c r="AD4" s="111">
        <v>98.5</v>
      </c>
      <c r="AE4" s="969">
        <f>AF4</f>
        <v>97.5</v>
      </c>
      <c r="AF4" s="969">
        <f>AVERAGE(S4:AD4)</f>
        <v>97.5</v>
      </c>
      <c r="AH4" s="111">
        <v>98.3</v>
      </c>
      <c r="AI4" s="111">
        <v>98.3</v>
      </c>
      <c r="AJ4" s="111">
        <v>98.4</v>
      </c>
      <c r="AK4" s="111">
        <v>98.6</v>
      </c>
      <c r="AL4" s="111">
        <v>98.2</v>
      </c>
      <c r="AM4" s="111">
        <v>98.4</v>
      </c>
      <c r="AN4" s="1042">
        <v>98.3</v>
      </c>
      <c r="AO4" s="111">
        <v>98.4</v>
      </c>
      <c r="AP4" s="111">
        <v>98.3</v>
      </c>
      <c r="AQ4" s="111">
        <v>98.1</v>
      </c>
      <c r="AR4" s="111">
        <v>98.6</v>
      </c>
      <c r="AS4" s="111">
        <v>98.7</v>
      </c>
      <c r="AT4" s="969">
        <f>AU4</f>
        <v>98.383333333333326</v>
      </c>
      <c r="AU4" s="969">
        <f>AVERAGE(AH4:AS4)</f>
        <v>98.383333333333326</v>
      </c>
      <c r="AW4" s="1496">
        <f>HLOOKUP($A$1,$AH$2:$AS$404,ROW()-1,0)-HLOOKUP($A$1,$S$2:$AD$404,ROW()-1,0)</f>
        <v>0.20000000000000284</v>
      </c>
      <c r="AX4" s="782">
        <f>AU4-AF4</f>
        <v>0.88333333333332575</v>
      </c>
      <c r="AY4" s="1119">
        <f t="shared" ref="AY4:AY16" si="0">AT4-AVERAGE(S4:AD4)</f>
        <v>0.88333333333332575</v>
      </c>
      <c r="AZ4" s="594">
        <f>HLOOKUP($A$1,$AH$2:$AS$404,ROW(),0)-HLOOKUP($B$1,$AH$2:$AS$404,ROW(),0)</f>
        <v>0</v>
      </c>
      <c r="BA4" s="594"/>
    </row>
    <row r="5" spans="1:53" x14ac:dyDescent="0.55000000000000004">
      <c r="A5" s="7577"/>
      <c r="B5" s="137" t="s">
        <v>617</v>
      </c>
      <c r="C5" s="17"/>
      <c r="D5" s="933">
        <v>95.459761321909426</v>
      </c>
      <c r="E5" s="933">
        <v>94.60164194421121</v>
      </c>
      <c r="F5" s="933">
        <v>95.525611501836067</v>
      </c>
      <c r="G5" s="933">
        <v>95.177967348139433</v>
      </c>
      <c r="H5" s="933">
        <v>94.847599830076462</v>
      </c>
      <c r="I5" s="933">
        <v>94.777662277662273</v>
      </c>
      <c r="J5" s="933">
        <v>94.870935716058568</v>
      </c>
      <c r="K5" s="933">
        <v>94.193355581013094</v>
      </c>
      <c r="L5" s="933">
        <v>94.905660377358487</v>
      </c>
      <c r="M5" s="933">
        <v>96.904410593917518</v>
      </c>
      <c r="N5" s="933">
        <v>97.942293126301834</v>
      </c>
      <c r="O5" s="933">
        <v>94.937257751937977</v>
      </c>
      <c r="P5" s="943">
        <f t="shared" ref="P5:P16" si="1">Q5</f>
        <v>95.345346447535178</v>
      </c>
      <c r="Q5" s="943">
        <f t="shared" ref="Q5:Q23" si="2">AVERAGE(D5:O5)</f>
        <v>95.345346447535178</v>
      </c>
      <c r="S5" s="17">
        <v>96.1</v>
      </c>
      <c r="T5" s="17">
        <v>96.9</v>
      </c>
      <c r="U5" s="17">
        <v>94.7</v>
      </c>
      <c r="V5" s="17">
        <v>93.4</v>
      </c>
      <c r="W5" s="17">
        <v>94.9</v>
      </c>
      <c r="X5" s="17">
        <v>97.7</v>
      </c>
      <c r="Y5" s="1043">
        <v>97.9</v>
      </c>
      <c r="Z5" s="458">
        <v>97.9</v>
      </c>
      <c r="AA5" s="458">
        <v>97.9</v>
      </c>
      <c r="AB5" s="458">
        <v>97.7</v>
      </c>
      <c r="AC5" s="17">
        <v>97.9</v>
      </c>
      <c r="AD5" s="17">
        <v>97.8</v>
      </c>
      <c r="AE5" s="970">
        <f t="shared" ref="AE5:AE16" si="3">AF5</f>
        <v>96.733333333333334</v>
      </c>
      <c r="AF5" s="970">
        <f t="shared" ref="AF5:AF16" si="4">AVERAGE(S5:AD5)</f>
        <v>96.733333333333334</v>
      </c>
      <c r="AH5" s="17">
        <v>97.5</v>
      </c>
      <c r="AI5" s="17">
        <v>97.7</v>
      </c>
      <c r="AJ5" s="458">
        <v>97.7</v>
      </c>
      <c r="AK5" s="17">
        <v>97.8</v>
      </c>
      <c r="AL5" s="458">
        <v>97.4</v>
      </c>
      <c r="AM5" s="458">
        <v>97.6</v>
      </c>
      <c r="AN5" s="1043">
        <v>97.703432317778635</v>
      </c>
      <c r="AO5" s="458">
        <v>97.4</v>
      </c>
      <c r="AP5" s="458">
        <v>97.7</v>
      </c>
      <c r="AQ5" s="458">
        <v>97.3</v>
      </c>
      <c r="AR5" s="17">
        <v>97.7</v>
      </c>
      <c r="AS5" s="17">
        <v>97.7</v>
      </c>
      <c r="AT5" s="970">
        <f t="shared" ref="AT5:AT16" si="5">AU5</f>
        <v>97.600286026481555</v>
      </c>
      <c r="AU5" s="970">
        <f t="shared" ref="AU5:AU16" si="6">AVERAGE(AH5:AS5)</f>
        <v>97.600286026481555</v>
      </c>
      <c r="AW5" s="1496">
        <f t="shared" ref="AW5:AW74" si="7">HLOOKUP($A$1,$AH$2:$AS$404,ROW()-1,0)-HLOOKUP($A$1,$S$2:$AD$404,ROW()-1,0)</f>
        <v>-9.9999999999994316E-2</v>
      </c>
      <c r="AX5" s="782">
        <f t="shared" ref="AX5:AX16" si="8">AU5-AF5</f>
        <v>0.86695269314822099</v>
      </c>
      <c r="AY5" s="1119">
        <f t="shared" si="0"/>
        <v>0.86695269314822099</v>
      </c>
      <c r="AZ5" s="594">
        <f t="shared" ref="AZ5:AZ68" si="9">HLOOKUP($A$1,$AH$2:$AS$404,ROW(),0)-HLOOKUP($B$1,$AH$2:$AS$404,ROW(),0)</f>
        <v>0.10000000000000853</v>
      </c>
    </row>
    <row r="6" spans="1:53" x14ac:dyDescent="0.55000000000000004">
      <c r="A6" s="7577"/>
      <c r="B6" s="137" t="s">
        <v>616</v>
      </c>
      <c r="C6" s="17"/>
      <c r="D6" s="933">
        <v>93.490949390469154</v>
      </c>
      <c r="E6" s="933">
        <v>92.477421364061044</v>
      </c>
      <c r="F6" s="933">
        <v>93.346960167714883</v>
      </c>
      <c r="G6" s="933">
        <v>92.851720337945395</v>
      </c>
      <c r="H6" s="933">
        <v>92.423634539983581</v>
      </c>
      <c r="I6" s="933">
        <v>92.227562530652278</v>
      </c>
      <c r="J6" s="933">
        <v>92.352815926753962</v>
      </c>
      <c r="K6" s="933">
        <v>91.446709585121596</v>
      </c>
      <c r="L6" s="933">
        <v>92.618147448015122</v>
      </c>
      <c r="M6" s="933">
        <v>95.614594894561591</v>
      </c>
      <c r="N6" s="933">
        <v>97.24441132637854</v>
      </c>
      <c r="O6" s="933">
        <v>93.246151936444889</v>
      </c>
      <c r="P6" s="943">
        <f t="shared" si="1"/>
        <v>93.278423287341823</v>
      </c>
      <c r="Q6" s="943">
        <f t="shared" si="2"/>
        <v>93.278423287341823</v>
      </c>
      <c r="S6" s="17">
        <v>95.1</v>
      </c>
      <c r="T6" s="17">
        <v>96.3</v>
      </c>
      <c r="U6" s="17">
        <v>94.2</v>
      </c>
      <c r="V6" s="17">
        <v>93.3</v>
      </c>
      <c r="W6" s="17">
        <v>94.8</v>
      </c>
      <c r="X6" s="17">
        <v>97.6</v>
      </c>
      <c r="Y6" s="1043">
        <v>97.8</v>
      </c>
      <c r="Z6" s="458">
        <v>97.8</v>
      </c>
      <c r="AA6" s="458">
        <v>97.8</v>
      </c>
      <c r="AB6" s="458">
        <v>97.6</v>
      </c>
      <c r="AC6" s="17">
        <v>97.8</v>
      </c>
      <c r="AD6" s="17">
        <v>97.7</v>
      </c>
      <c r="AE6" s="970">
        <f t="shared" si="3"/>
        <v>96.483333333333334</v>
      </c>
      <c r="AF6" s="970">
        <f t="shared" si="4"/>
        <v>96.483333333333334</v>
      </c>
      <c r="AH6" s="17">
        <v>97.3</v>
      </c>
      <c r="AI6" s="17">
        <v>97.4</v>
      </c>
      <c r="AJ6" s="458">
        <v>97.5</v>
      </c>
      <c r="AK6" s="17">
        <v>97.5</v>
      </c>
      <c r="AL6" s="458">
        <v>97.1</v>
      </c>
      <c r="AM6" s="458">
        <v>97.3</v>
      </c>
      <c r="AN6" s="1043">
        <v>97.277335264301229</v>
      </c>
      <c r="AO6" s="458">
        <v>97.1</v>
      </c>
      <c r="AP6" s="458">
        <v>97.4</v>
      </c>
      <c r="AQ6" s="458">
        <v>97</v>
      </c>
      <c r="AR6" s="17">
        <v>97.3</v>
      </c>
      <c r="AS6" s="17">
        <v>97.4</v>
      </c>
      <c r="AT6" s="970">
        <f t="shared" si="5"/>
        <v>97.298111272025096</v>
      </c>
      <c r="AU6" s="970">
        <f t="shared" si="6"/>
        <v>97.298111272025096</v>
      </c>
      <c r="AW6" s="1496">
        <f t="shared" si="7"/>
        <v>-0.29999999999999716</v>
      </c>
      <c r="AX6" s="782">
        <f t="shared" si="8"/>
        <v>0.81477793869176196</v>
      </c>
      <c r="AY6" s="1119">
        <f t="shared" si="0"/>
        <v>0.81477793869176196</v>
      </c>
      <c r="AZ6" s="594">
        <f t="shared" si="9"/>
        <v>0</v>
      </c>
    </row>
    <row r="7" spans="1:53" x14ac:dyDescent="0.55000000000000004">
      <c r="A7" s="7577"/>
      <c r="B7" s="43" t="s">
        <v>294</v>
      </c>
      <c r="C7" s="1"/>
      <c r="D7" s="934">
        <v>97.932011331444755</v>
      </c>
      <c r="E7" s="934">
        <v>97.078651685393254</v>
      </c>
      <c r="F7" s="934">
        <v>98.288888888888891</v>
      </c>
      <c r="G7" s="934">
        <v>98.935361216730044</v>
      </c>
      <c r="H7" s="934">
        <v>98.019943019943014</v>
      </c>
      <c r="I7" s="934">
        <v>98.336025848142171</v>
      </c>
      <c r="J7" s="934">
        <v>97.755834829443444</v>
      </c>
      <c r="K7" s="934">
        <v>96.869983948635635</v>
      </c>
      <c r="L7" s="934">
        <v>97.752808988764045</v>
      </c>
      <c r="M7" s="934">
        <v>97.906930693069313</v>
      </c>
      <c r="N7" s="934">
        <v>98.762633996937211</v>
      </c>
      <c r="O7" s="934">
        <v>97.099616858237553</v>
      </c>
      <c r="P7" s="944">
        <f t="shared" si="1"/>
        <v>97.894890942135774</v>
      </c>
      <c r="Q7" s="944">
        <f t="shared" si="2"/>
        <v>97.894890942135774</v>
      </c>
      <c r="S7" s="1">
        <v>97.9</v>
      </c>
      <c r="T7" s="1">
        <v>98.1</v>
      </c>
      <c r="U7" s="1">
        <v>90</v>
      </c>
      <c r="V7" s="1">
        <v>93.5</v>
      </c>
      <c r="W7" s="1">
        <v>95.1</v>
      </c>
      <c r="X7" s="1">
        <v>98.2</v>
      </c>
      <c r="Y7" s="1044">
        <v>97.7</v>
      </c>
      <c r="Z7">
        <v>98.2</v>
      </c>
      <c r="AA7">
        <v>97.9</v>
      </c>
      <c r="AB7" s="713">
        <v>97.5</v>
      </c>
      <c r="AC7" s="1">
        <v>98.4</v>
      </c>
      <c r="AD7" s="1">
        <v>97.7</v>
      </c>
      <c r="AE7" s="971">
        <f t="shared" si="3"/>
        <v>96.683333333333351</v>
      </c>
      <c r="AF7" s="971">
        <f t="shared" si="4"/>
        <v>96.683333333333351</v>
      </c>
      <c r="AH7" s="1">
        <v>98.3</v>
      </c>
      <c r="AI7" s="1">
        <v>98</v>
      </c>
      <c r="AJ7">
        <v>98.7</v>
      </c>
      <c r="AK7" s="1">
        <v>98.7</v>
      </c>
      <c r="AL7">
        <v>97.6</v>
      </c>
      <c r="AM7">
        <v>97.8</v>
      </c>
      <c r="AN7" s="1044">
        <v>97.6</v>
      </c>
      <c r="AO7">
        <v>97.9</v>
      </c>
      <c r="AP7">
        <v>99.1</v>
      </c>
      <c r="AQ7" s="713">
        <v>98.3</v>
      </c>
      <c r="AR7" s="1">
        <v>98.9</v>
      </c>
      <c r="AS7" s="1">
        <v>98.9</v>
      </c>
      <c r="AT7" s="971">
        <f t="shared" si="5"/>
        <v>98.316666666666663</v>
      </c>
      <c r="AU7" s="971">
        <f t="shared" si="6"/>
        <v>98.316666666666663</v>
      </c>
      <c r="AW7" s="1496">
        <f t="shared" si="7"/>
        <v>1.2000000000000028</v>
      </c>
      <c r="AX7" s="782">
        <f t="shared" si="8"/>
        <v>1.6333333333333115</v>
      </c>
      <c r="AY7" s="1119">
        <f t="shared" si="0"/>
        <v>1.6333333333333115</v>
      </c>
      <c r="AZ7" s="594">
        <f t="shared" si="9"/>
        <v>-0.10000000000000853</v>
      </c>
    </row>
    <row r="8" spans="1:53" x14ac:dyDescent="0.55000000000000004">
      <c r="A8" s="7577"/>
      <c r="B8" s="43" t="s">
        <v>295</v>
      </c>
      <c r="C8" s="1"/>
      <c r="D8" s="934">
        <v>98.914549653579684</v>
      </c>
      <c r="E8" s="934">
        <v>96.642958748221901</v>
      </c>
      <c r="F8" s="934">
        <v>97.76</v>
      </c>
      <c r="G8" s="934">
        <v>98.050458715596335</v>
      </c>
      <c r="H8" s="934">
        <v>97.541729893778452</v>
      </c>
      <c r="I8" s="934">
        <v>98.427876823338735</v>
      </c>
      <c r="J8" s="934">
        <v>97.583333333333329</v>
      </c>
      <c r="K8" s="934">
        <v>97.206851119894594</v>
      </c>
      <c r="L8" s="934">
        <v>97.896440129449843</v>
      </c>
      <c r="M8" s="934">
        <v>98.072968490878935</v>
      </c>
      <c r="N8" s="934">
        <v>98.131672597864764</v>
      </c>
      <c r="O8" s="934">
        <v>97.20754716981132</v>
      </c>
      <c r="P8" s="944">
        <f t="shared" si="1"/>
        <v>97.786365556312319</v>
      </c>
      <c r="Q8" s="944">
        <f t="shared" si="2"/>
        <v>97.786365556312319</v>
      </c>
      <c r="S8" s="1">
        <v>97.6</v>
      </c>
      <c r="T8" s="1">
        <v>97.8</v>
      </c>
      <c r="U8" s="1">
        <v>91.8</v>
      </c>
      <c r="V8" s="1">
        <v>93.3</v>
      </c>
      <c r="W8" s="1">
        <v>96.6</v>
      </c>
      <c r="X8" s="1">
        <v>98.5</v>
      </c>
      <c r="Y8" s="1044">
        <v>98.5</v>
      </c>
      <c r="Z8">
        <v>98.4</v>
      </c>
      <c r="AA8">
        <v>97.9</v>
      </c>
      <c r="AB8" s="713">
        <v>98.5</v>
      </c>
      <c r="AC8" s="1">
        <v>98.8</v>
      </c>
      <c r="AD8" s="1">
        <v>98</v>
      </c>
      <c r="AE8" s="971">
        <f t="shared" si="3"/>
        <v>97.141666666666666</v>
      </c>
      <c r="AF8" s="971">
        <f t="shared" si="4"/>
        <v>97.141666666666666</v>
      </c>
      <c r="AH8" s="1">
        <v>98</v>
      </c>
      <c r="AI8" s="1">
        <v>98.1</v>
      </c>
      <c r="AJ8">
        <v>98.3</v>
      </c>
      <c r="AK8" s="1">
        <v>98.7</v>
      </c>
      <c r="AL8">
        <v>98.2</v>
      </c>
      <c r="AM8">
        <v>98.3</v>
      </c>
      <c r="AN8" s="1044">
        <v>98.4</v>
      </c>
      <c r="AO8">
        <v>98</v>
      </c>
      <c r="AP8">
        <v>98.3</v>
      </c>
      <c r="AQ8" s="713">
        <v>97.8</v>
      </c>
      <c r="AR8" s="1">
        <v>98.4</v>
      </c>
      <c r="AS8" s="1">
        <v>98.3</v>
      </c>
      <c r="AT8" s="971">
        <f t="shared" si="5"/>
        <v>98.233333333333306</v>
      </c>
      <c r="AU8" s="971">
        <f t="shared" si="6"/>
        <v>98.233333333333306</v>
      </c>
      <c r="AW8" s="1496">
        <f t="shared" si="7"/>
        <v>0.29999999999999716</v>
      </c>
      <c r="AX8" s="782">
        <f t="shared" si="8"/>
        <v>1.0916666666666401</v>
      </c>
      <c r="AY8" s="1119">
        <f t="shared" si="0"/>
        <v>1.0916666666666401</v>
      </c>
      <c r="AZ8" s="594">
        <f t="shared" si="9"/>
        <v>0.29999999999999716</v>
      </c>
    </row>
    <row r="9" spans="1:53" x14ac:dyDescent="0.55000000000000004">
      <c r="A9" s="7577"/>
      <c r="B9" s="43" t="s">
        <v>296</v>
      </c>
      <c r="C9" s="1"/>
      <c r="D9" s="934">
        <v>98.876080691642656</v>
      </c>
      <c r="E9" s="934">
        <v>99.034369885433719</v>
      </c>
      <c r="F9" s="934">
        <v>98.919491525423723</v>
      </c>
      <c r="G9" s="934">
        <v>98.297872340425528</v>
      </c>
      <c r="H9" s="934">
        <v>98.158319870759286</v>
      </c>
      <c r="I9" s="934">
        <v>98.760162601626021</v>
      </c>
      <c r="J9" s="934">
        <v>98.615384615384613</v>
      </c>
      <c r="K9" s="934">
        <v>98.415545590433481</v>
      </c>
      <c r="L9" s="934">
        <v>98.903654485049827</v>
      </c>
      <c r="M9" s="934">
        <v>96.861460957178835</v>
      </c>
      <c r="N9" s="934">
        <v>99.396092362344589</v>
      </c>
      <c r="O9" s="934">
        <v>98.139344262295083</v>
      </c>
      <c r="P9" s="944">
        <f t="shared" si="1"/>
        <v>98.53148159899979</v>
      </c>
      <c r="Q9" s="944">
        <f t="shared" si="2"/>
        <v>98.53148159899979</v>
      </c>
      <c r="S9" s="1">
        <v>97.8</v>
      </c>
      <c r="T9" s="1">
        <v>98.8</v>
      </c>
      <c r="U9" s="1">
        <v>97.2</v>
      </c>
      <c r="V9" s="1">
        <v>91.7</v>
      </c>
      <c r="W9" s="1">
        <v>93.9</v>
      </c>
      <c r="X9" s="1">
        <v>97</v>
      </c>
      <c r="Y9" s="1044">
        <v>98.3</v>
      </c>
      <c r="Z9">
        <v>98.9</v>
      </c>
      <c r="AA9">
        <v>97.6</v>
      </c>
      <c r="AB9" s="713">
        <v>97.5</v>
      </c>
      <c r="AC9" s="1">
        <v>98.6</v>
      </c>
      <c r="AD9" s="1">
        <v>98.9</v>
      </c>
      <c r="AE9" s="971">
        <f t="shared" si="3"/>
        <v>97.183333333333337</v>
      </c>
      <c r="AF9" s="971">
        <f t="shared" si="4"/>
        <v>97.183333333333337</v>
      </c>
      <c r="AH9" s="1">
        <v>98.6</v>
      </c>
      <c r="AI9" s="1">
        <v>97.1</v>
      </c>
      <c r="AJ9">
        <v>98.2</v>
      </c>
      <c r="AK9" s="1">
        <v>97.7</v>
      </c>
      <c r="AL9">
        <v>98</v>
      </c>
      <c r="AM9">
        <v>97.8</v>
      </c>
      <c r="AN9" s="1044">
        <v>98.2</v>
      </c>
      <c r="AO9">
        <v>98.6</v>
      </c>
      <c r="AP9">
        <v>96.4</v>
      </c>
      <c r="AQ9" s="713">
        <v>97.6</v>
      </c>
      <c r="AR9" s="1">
        <v>98.5</v>
      </c>
      <c r="AS9" s="1">
        <v>98.8</v>
      </c>
      <c r="AT9" s="971">
        <f t="shared" si="5"/>
        <v>97.958333333333329</v>
      </c>
      <c r="AU9" s="971">
        <f t="shared" si="6"/>
        <v>97.958333333333329</v>
      </c>
      <c r="AW9" s="1496">
        <f t="shared" si="7"/>
        <v>-0.10000000000000853</v>
      </c>
      <c r="AX9" s="782">
        <f t="shared" si="8"/>
        <v>0.77499999999999147</v>
      </c>
      <c r="AY9" s="1119">
        <f t="shared" si="0"/>
        <v>0.77499999999999147</v>
      </c>
      <c r="AZ9" s="594">
        <f t="shared" si="9"/>
        <v>0.5</v>
      </c>
    </row>
    <row r="10" spans="1:53" x14ac:dyDescent="0.55000000000000004">
      <c r="A10" s="7577"/>
      <c r="B10" s="43" t="s">
        <v>297</v>
      </c>
      <c r="C10" s="8"/>
      <c r="D10" s="935">
        <v>98.793103448275858</v>
      </c>
      <c r="E10" s="935">
        <v>98.857493857493864</v>
      </c>
      <c r="F10" s="935">
        <v>99.157212317666122</v>
      </c>
      <c r="G10" s="935">
        <v>98.637873754152821</v>
      </c>
      <c r="H10" s="935">
        <v>98.585485854858547</v>
      </c>
      <c r="I10" s="935">
        <v>98.995633187772924</v>
      </c>
      <c r="J10" s="935">
        <v>99.194187582562748</v>
      </c>
      <c r="K10" s="935">
        <v>98.638373121131735</v>
      </c>
      <c r="L10" s="935">
        <v>99.009009009009006</v>
      </c>
      <c r="M10" s="935">
        <v>99.034207525655646</v>
      </c>
      <c r="N10" s="935">
        <v>99.318885448916404</v>
      </c>
      <c r="O10" s="935">
        <v>98.457516339869287</v>
      </c>
      <c r="P10" s="945">
        <f t="shared" si="1"/>
        <v>98.88991512061375</v>
      </c>
      <c r="Q10" s="945">
        <f t="shared" si="2"/>
        <v>98.88991512061375</v>
      </c>
      <c r="S10" s="8">
        <v>97.6</v>
      </c>
      <c r="T10" s="8">
        <v>98.5</v>
      </c>
      <c r="U10" s="8">
        <v>97.4</v>
      </c>
      <c r="V10" s="8">
        <v>92.1</v>
      </c>
      <c r="W10" s="8">
        <v>93.7</v>
      </c>
      <c r="X10" s="8">
        <v>97.2</v>
      </c>
      <c r="Y10" s="1045">
        <v>99</v>
      </c>
      <c r="Z10">
        <v>98.6</v>
      </c>
      <c r="AA10">
        <v>98.5</v>
      </c>
      <c r="AB10" s="713">
        <v>98.3</v>
      </c>
      <c r="AC10" s="8">
        <v>98.3</v>
      </c>
      <c r="AD10" s="8">
        <v>98.8</v>
      </c>
      <c r="AE10" s="972">
        <f t="shared" si="3"/>
        <v>97.333333333333329</v>
      </c>
      <c r="AF10" s="972">
        <f t="shared" si="4"/>
        <v>97.333333333333329</v>
      </c>
      <c r="AH10" s="8">
        <v>98.4</v>
      </c>
      <c r="AI10" s="8">
        <v>98.1</v>
      </c>
      <c r="AJ10">
        <v>98.7</v>
      </c>
      <c r="AK10" s="8">
        <v>98.4</v>
      </c>
      <c r="AL10">
        <v>98.7</v>
      </c>
      <c r="AM10">
        <v>97.9</v>
      </c>
      <c r="AN10" s="1045">
        <v>98.9</v>
      </c>
      <c r="AO10">
        <v>98.4</v>
      </c>
      <c r="AP10">
        <v>98.1</v>
      </c>
      <c r="AQ10" s="713">
        <v>98.4</v>
      </c>
      <c r="AR10" s="8">
        <v>97.8</v>
      </c>
      <c r="AS10" s="8">
        <v>98.3</v>
      </c>
      <c r="AT10" s="972">
        <f t="shared" si="5"/>
        <v>98.341666666666654</v>
      </c>
      <c r="AU10" s="972">
        <f t="shared" si="6"/>
        <v>98.341666666666654</v>
      </c>
      <c r="AW10" s="1496">
        <f t="shared" si="7"/>
        <v>-0.5</v>
      </c>
      <c r="AX10" s="782">
        <f t="shared" si="8"/>
        <v>1.0083333333333258</v>
      </c>
      <c r="AY10" s="1119">
        <f t="shared" si="0"/>
        <v>1.0083333333333258</v>
      </c>
      <c r="AZ10" s="594">
        <f t="shared" si="9"/>
        <v>-0.5</v>
      </c>
    </row>
    <row r="11" spans="1:53" x14ac:dyDescent="0.55000000000000004">
      <c r="A11" s="7577"/>
      <c r="B11" s="43" t="s">
        <v>298</v>
      </c>
      <c r="C11" s="8"/>
      <c r="D11" s="935">
        <v>99.468599033816432</v>
      </c>
      <c r="E11" s="935">
        <v>99.258181818181825</v>
      </c>
      <c r="F11" s="935">
        <v>99.50629235237173</v>
      </c>
      <c r="G11" s="935">
        <v>99.537037037037038</v>
      </c>
      <c r="H11" s="935">
        <v>99.576271186440678</v>
      </c>
      <c r="I11" s="935">
        <v>99.444891391794044</v>
      </c>
      <c r="J11" s="935">
        <v>99.401778496362169</v>
      </c>
      <c r="K11" s="935">
        <v>99.450171821305844</v>
      </c>
      <c r="L11" s="935">
        <v>99.572107765451662</v>
      </c>
      <c r="M11" s="935">
        <v>99.455319148936169</v>
      </c>
      <c r="N11" s="935">
        <v>99.694319880418533</v>
      </c>
      <c r="O11" s="935">
        <v>99.289009497964727</v>
      </c>
      <c r="P11" s="945">
        <f t="shared" si="1"/>
        <v>99.47116495250674</v>
      </c>
      <c r="Q11" s="945">
        <f t="shared" si="2"/>
        <v>99.47116495250674</v>
      </c>
      <c r="S11" s="8">
        <v>99.3</v>
      </c>
      <c r="T11" s="8">
        <v>99.2</v>
      </c>
      <c r="U11" s="8">
        <v>98.3</v>
      </c>
      <c r="V11" s="8">
        <v>93.8</v>
      </c>
      <c r="W11" s="8">
        <v>97.3</v>
      </c>
      <c r="X11" s="8">
        <v>99.5</v>
      </c>
      <c r="Y11" s="1045">
        <v>99.1</v>
      </c>
      <c r="Z11">
        <v>99.1</v>
      </c>
      <c r="AA11" s="713">
        <v>99</v>
      </c>
      <c r="AB11" s="713">
        <v>98.7</v>
      </c>
      <c r="AC11" s="8">
        <v>98.9</v>
      </c>
      <c r="AD11" s="8">
        <v>98.7</v>
      </c>
      <c r="AE11" s="972">
        <f t="shared" si="3"/>
        <v>98.40833333333336</v>
      </c>
      <c r="AF11" s="972">
        <f t="shared" si="4"/>
        <v>98.40833333333336</v>
      </c>
      <c r="AH11" s="8">
        <v>98.9</v>
      </c>
      <c r="AI11" s="8">
        <v>99.4</v>
      </c>
      <c r="AJ11">
        <v>98.7</v>
      </c>
      <c r="AK11" s="8">
        <v>99.2</v>
      </c>
      <c r="AL11">
        <v>98.1</v>
      </c>
      <c r="AM11">
        <v>98.8</v>
      </c>
      <c r="AN11" s="1045">
        <v>98.8</v>
      </c>
      <c r="AO11">
        <v>99.3</v>
      </c>
      <c r="AP11" s="713">
        <v>98.9</v>
      </c>
      <c r="AQ11" s="713">
        <v>99</v>
      </c>
      <c r="AR11" s="8">
        <v>99.4</v>
      </c>
      <c r="AS11" s="8">
        <v>98.9</v>
      </c>
      <c r="AT11" s="972">
        <f t="shared" si="5"/>
        <v>98.949999999999989</v>
      </c>
      <c r="AU11" s="972">
        <f t="shared" si="6"/>
        <v>98.949999999999989</v>
      </c>
      <c r="AW11" s="1496">
        <f t="shared" si="7"/>
        <v>0.20000000000000284</v>
      </c>
      <c r="AX11" s="782">
        <f t="shared" si="8"/>
        <v>0.54166666666662877</v>
      </c>
      <c r="AY11" s="1119">
        <f t="shared" si="0"/>
        <v>0.54166666666662877</v>
      </c>
      <c r="AZ11" s="594">
        <f t="shared" si="9"/>
        <v>0.79999999999999716</v>
      </c>
    </row>
    <row r="12" spans="1:53" x14ac:dyDescent="0.55000000000000004">
      <c r="A12" s="7577"/>
      <c r="B12" s="43" t="s">
        <v>299</v>
      </c>
      <c r="C12" s="8"/>
      <c r="D12" s="935">
        <v>98.508287292817684</v>
      </c>
      <c r="E12" s="935">
        <v>97.517146776406037</v>
      </c>
      <c r="F12" s="935">
        <v>98.606811145510832</v>
      </c>
      <c r="G12" s="935">
        <v>98.764705882352942</v>
      </c>
      <c r="H12" s="935">
        <v>98.297872340425528</v>
      </c>
      <c r="I12" s="935">
        <v>98.414814814814818</v>
      </c>
      <c r="J12" s="935">
        <v>97.917448405253282</v>
      </c>
      <c r="K12" s="935">
        <v>97.006060606060601</v>
      </c>
      <c r="L12" s="935">
        <v>98.70069605568446</v>
      </c>
      <c r="M12" s="935">
        <v>98.941031941031937</v>
      </c>
      <c r="N12" s="935">
        <v>99.071005917159766</v>
      </c>
      <c r="O12" s="935">
        <v>97.882352941176464</v>
      </c>
      <c r="P12" s="945">
        <f t="shared" si="1"/>
        <v>98.302352843224526</v>
      </c>
      <c r="Q12" s="945">
        <f t="shared" si="2"/>
        <v>98.302352843224526</v>
      </c>
      <c r="S12" s="8">
        <v>97.9</v>
      </c>
      <c r="T12" s="8">
        <v>98.4</v>
      </c>
      <c r="U12" s="8">
        <v>96.6</v>
      </c>
      <c r="V12" s="8">
        <v>93.4</v>
      </c>
      <c r="W12" s="8">
        <v>94.1</v>
      </c>
      <c r="X12" s="1558">
        <v>98</v>
      </c>
      <c r="Y12" s="1045">
        <v>97.4</v>
      </c>
      <c r="Z12" s="713">
        <v>98</v>
      </c>
      <c r="AA12">
        <v>97.7</v>
      </c>
      <c r="AB12" s="713">
        <v>98.6</v>
      </c>
      <c r="AC12" s="8">
        <v>98.2</v>
      </c>
      <c r="AD12" s="8">
        <v>98.4</v>
      </c>
      <c r="AE12" s="972">
        <f t="shared" si="3"/>
        <v>97.225000000000009</v>
      </c>
      <c r="AF12" s="972">
        <f t="shared" si="4"/>
        <v>97.225000000000009</v>
      </c>
      <c r="AH12" s="8">
        <v>97.6</v>
      </c>
      <c r="AI12" s="8">
        <v>98.3</v>
      </c>
      <c r="AJ12">
        <v>98.1</v>
      </c>
      <c r="AK12" s="8">
        <v>98.7</v>
      </c>
      <c r="AL12">
        <v>98.4</v>
      </c>
      <c r="AM12" s="713">
        <v>98.2</v>
      </c>
      <c r="AN12" s="1045">
        <v>98.5</v>
      </c>
      <c r="AO12" s="713">
        <v>98.1</v>
      </c>
      <c r="AP12">
        <v>97.7</v>
      </c>
      <c r="AQ12" s="713">
        <v>97.5</v>
      </c>
      <c r="AR12" s="8">
        <v>98</v>
      </c>
      <c r="AS12" s="8">
        <v>98.8</v>
      </c>
      <c r="AT12" s="972">
        <f t="shared" si="5"/>
        <v>98.158333333333346</v>
      </c>
      <c r="AU12" s="972">
        <f t="shared" si="6"/>
        <v>98.158333333333346</v>
      </c>
      <c r="AW12" s="1496">
        <f t="shared" si="7"/>
        <v>0.39999999999999147</v>
      </c>
      <c r="AX12" s="782">
        <f t="shared" si="8"/>
        <v>0.93333333333333712</v>
      </c>
      <c r="AY12" s="1119">
        <f t="shared" si="0"/>
        <v>0.93333333333333712</v>
      </c>
      <c r="AZ12" s="594">
        <f t="shared" si="9"/>
        <v>0.40000000000000568</v>
      </c>
    </row>
    <row r="13" spans="1:53" x14ac:dyDescent="0.55000000000000004">
      <c r="A13" s="7577"/>
      <c r="B13" s="43" t="s">
        <v>300</v>
      </c>
      <c r="C13" s="8"/>
      <c r="D13" s="935">
        <v>98.8</v>
      </c>
      <c r="E13" s="935">
        <v>96.499517839922859</v>
      </c>
      <c r="F13" s="935">
        <v>98.799149840595106</v>
      </c>
      <c r="G13" s="935">
        <v>98.739054290718045</v>
      </c>
      <c r="H13" s="935">
        <v>97.729789590254711</v>
      </c>
      <c r="I13" s="935">
        <v>97.975308641975303</v>
      </c>
      <c r="J13" s="935">
        <v>97.875968992248062</v>
      </c>
      <c r="K13" s="935">
        <v>95.056320400500624</v>
      </c>
      <c r="L13" s="935">
        <v>97.376237623762378</v>
      </c>
      <c r="M13" s="935">
        <v>98.135294117647064</v>
      </c>
      <c r="N13" s="935">
        <v>99.414959928762244</v>
      </c>
      <c r="O13" s="935">
        <v>98.035242290748897</v>
      </c>
      <c r="P13" s="945">
        <f t="shared" si="1"/>
        <v>97.869736963094581</v>
      </c>
      <c r="Q13" s="945">
        <f t="shared" si="2"/>
        <v>97.869736963094581</v>
      </c>
      <c r="S13" s="8">
        <v>96.5</v>
      </c>
      <c r="T13" s="8">
        <v>97.9</v>
      </c>
      <c r="U13" s="8">
        <v>92.9</v>
      </c>
      <c r="V13" s="8">
        <v>95.1</v>
      </c>
      <c r="W13" s="8">
        <v>96.5</v>
      </c>
      <c r="X13" s="8">
        <v>98.3</v>
      </c>
      <c r="Y13" s="1045">
        <v>98.4</v>
      </c>
      <c r="Z13">
        <v>97.9</v>
      </c>
      <c r="AA13">
        <v>98.4</v>
      </c>
      <c r="AB13" s="713">
        <v>98</v>
      </c>
      <c r="AC13" s="8">
        <v>97.6</v>
      </c>
      <c r="AD13" s="8">
        <v>98.7</v>
      </c>
      <c r="AE13" s="972">
        <f t="shared" si="3"/>
        <v>97.183333333333323</v>
      </c>
      <c r="AF13" s="972">
        <f t="shared" si="4"/>
        <v>97.183333333333323</v>
      </c>
      <c r="AH13" s="8">
        <v>98.5</v>
      </c>
      <c r="AI13" s="8">
        <v>98.3</v>
      </c>
      <c r="AJ13">
        <v>98.1</v>
      </c>
      <c r="AK13" s="8">
        <v>98.4</v>
      </c>
      <c r="AL13">
        <v>98.3</v>
      </c>
      <c r="AM13">
        <v>98.9</v>
      </c>
      <c r="AN13" s="1045">
        <v>98.2</v>
      </c>
      <c r="AO13">
        <v>97.8</v>
      </c>
      <c r="AP13">
        <v>97.8</v>
      </c>
      <c r="AQ13" s="713">
        <v>97.6</v>
      </c>
      <c r="AR13" s="8">
        <v>98.5</v>
      </c>
      <c r="AS13" s="8">
        <v>98.9</v>
      </c>
      <c r="AT13" s="972">
        <f t="shared" si="5"/>
        <v>98.27500000000002</v>
      </c>
      <c r="AU13" s="972">
        <f t="shared" si="6"/>
        <v>98.27500000000002</v>
      </c>
      <c r="AW13" s="1496">
        <f t="shared" si="7"/>
        <v>0.20000000000000284</v>
      </c>
      <c r="AX13" s="782">
        <f t="shared" si="8"/>
        <v>1.091666666666697</v>
      </c>
      <c r="AY13" s="1119">
        <f t="shared" si="0"/>
        <v>1.091666666666697</v>
      </c>
      <c r="AZ13" s="594">
        <f t="shared" si="9"/>
        <v>0.70000000000000284</v>
      </c>
    </row>
    <row r="14" spans="1:53" x14ac:dyDescent="0.55000000000000004">
      <c r="A14" s="7577"/>
      <c r="B14" s="43" t="s">
        <v>301</v>
      </c>
      <c r="C14" s="8"/>
      <c r="D14" s="935">
        <v>98.519924098671723</v>
      </c>
      <c r="E14" s="935">
        <v>97.319485657764588</v>
      </c>
      <c r="F14" s="935">
        <v>98.428372739916554</v>
      </c>
      <c r="G14" s="935">
        <v>98.545150501672239</v>
      </c>
      <c r="H14" s="935">
        <v>97.247058823529414</v>
      </c>
      <c r="I14" s="935">
        <v>97.776315789473685</v>
      </c>
      <c r="J14" s="935">
        <v>97.745098039215691</v>
      </c>
      <c r="K14" s="935">
        <v>96.960580912863065</v>
      </c>
      <c r="L14" s="935">
        <v>97.544642857142861</v>
      </c>
      <c r="M14" s="935">
        <v>98.978444236176202</v>
      </c>
      <c r="N14" s="935">
        <v>99.321794871794879</v>
      </c>
      <c r="O14" s="935">
        <v>97.803703703703704</v>
      </c>
      <c r="P14" s="945">
        <f t="shared" si="1"/>
        <v>98.01588101932704</v>
      </c>
      <c r="Q14" s="945">
        <f t="shared" si="2"/>
        <v>98.01588101932704</v>
      </c>
      <c r="S14" s="8">
        <v>98.2</v>
      </c>
      <c r="T14" s="8">
        <v>98.4</v>
      </c>
      <c r="U14" s="8">
        <v>98</v>
      </c>
      <c r="V14" s="8">
        <v>93.4</v>
      </c>
      <c r="W14" s="8">
        <v>94.6</v>
      </c>
      <c r="X14" s="8">
        <v>98.1</v>
      </c>
      <c r="Y14" s="1045">
        <v>98</v>
      </c>
      <c r="Z14">
        <v>98.5</v>
      </c>
      <c r="AA14">
        <v>98.5</v>
      </c>
      <c r="AB14" s="713">
        <v>98</v>
      </c>
      <c r="AC14" s="8">
        <v>98.1</v>
      </c>
      <c r="AD14" s="8">
        <v>98.8</v>
      </c>
      <c r="AE14" s="972">
        <f t="shared" si="3"/>
        <v>97.55</v>
      </c>
      <c r="AF14" s="972">
        <f t="shared" si="4"/>
        <v>97.55</v>
      </c>
      <c r="AH14" s="8">
        <v>98.1</v>
      </c>
      <c r="AI14" s="8">
        <v>98</v>
      </c>
      <c r="AJ14">
        <v>98.4</v>
      </c>
      <c r="AK14" s="8">
        <v>98.8</v>
      </c>
      <c r="AL14">
        <v>97.6</v>
      </c>
      <c r="AM14">
        <v>98.3</v>
      </c>
      <c r="AN14" s="1045">
        <v>98.1</v>
      </c>
      <c r="AO14">
        <v>98.1</v>
      </c>
      <c r="AP14">
        <v>98.1</v>
      </c>
      <c r="AQ14" s="713">
        <v>97.9</v>
      </c>
      <c r="AR14" s="8">
        <v>98</v>
      </c>
      <c r="AS14" s="8">
        <v>98.7</v>
      </c>
      <c r="AT14" s="972">
        <f t="shared" si="5"/>
        <v>98.175000000000011</v>
      </c>
      <c r="AU14" s="972">
        <f t="shared" si="6"/>
        <v>98.175000000000011</v>
      </c>
      <c r="AW14" s="1496">
        <f t="shared" si="7"/>
        <v>-9.9999999999994316E-2</v>
      </c>
      <c r="AX14" s="782">
        <f t="shared" si="8"/>
        <v>0.62500000000001421</v>
      </c>
      <c r="AY14" s="1119">
        <f t="shared" si="0"/>
        <v>0.62500000000001421</v>
      </c>
      <c r="AZ14" s="594">
        <f t="shared" si="9"/>
        <v>0.10000000000000853</v>
      </c>
    </row>
    <row r="15" spans="1:53" x14ac:dyDescent="0.55000000000000004">
      <c r="A15" s="7577"/>
      <c r="B15" s="43" t="s">
        <v>302</v>
      </c>
      <c r="C15" s="8"/>
      <c r="D15" s="935">
        <v>98.187919463087255</v>
      </c>
      <c r="E15" s="935">
        <v>97.790563866513239</v>
      </c>
      <c r="F15" s="935">
        <v>98.590163934426229</v>
      </c>
      <c r="G15" s="935">
        <v>98.370883882149045</v>
      </c>
      <c r="H15" s="935">
        <v>98.759036144578317</v>
      </c>
      <c r="I15" s="935">
        <v>98.489116517285538</v>
      </c>
      <c r="J15" s="935">
        <v>98.326474622770917</v>
      </c>
      <c r="K15" s="935">
        <v>97.371349095966622</v>
      </c>
      <c r="L15" s="935">
        <v>98.21052631578948</v>
      </c>
      <c r="M15" s="935">
        <v>98.579234972677597</v>
      </c>
      <c r="N15" s="935">
        <v>99.234355828220856</v>
      </c>
      <c r="O15" s="935">
        <v>98.607218683651809</v>
      </c>
      <c r="P15" s="945">
        <f t="shared" si="1"/>
        <v>98.376403610593059</v>
      </c>
      <c r="Q15" s="945">
        <f t="shared" si="2"/>
        <v>98.376403610593059</v>
      </c>
      <c r="S15" s="8">
        <v>98.4</v>
      </c>
      <c r="T15" s="8">
        <v>98.6</v>
      </c>
      <c r="U15" s="8">
        <v>94.1</v>
      </c>
      <c r="V15" s="8">
        <v>94.3</v>
      </c>
      <c r="W15" s="8">
        <v>95.5</v>
      </c>
      <c r="X15" s="8">
        <v>98.1</v>
      </c>
      <c r="Y15" s="1045">
        <v>98.5</v>
      </c>
      <c r="Z15">
        <v>98.2</v>
      </c>
      <c r="AA15">
        <v>98.3</v>
      </c>
      <c r="AB15" s="713">
        <v>97.2</v>
      </c>
      <c r="AC15" s="8">
        <v>98.5</v>
      </c>
      <c r="AD15" s="8">
        <v>98.7</v>
      </c>
      <c r="AE15" s="972">
        <f t="shared" si="3"/>
        <v>97.366666666666674</v>
      </c>
      <c r="AF15" s="972">
        <f t="shared" si="4"/>
        <v>97.366666666666674</v>
      </c>
      <c r="AH15" s="8">
        <v>98.3</v>
      </c>
      <c r="AI15" s="8">
        <v>98.4</v>
      </c>
      <c r="AJ15">
        <v>98.8</v>
      </c>
      <c r="AK15" s="8">
        <v>99.2</v>
      </c>
      <c r="AL15">
        <v>98.8</v>
      </c>
      <c r="AM15">
        <v>98.9</v>
      </c>
      <c r="AN15" s="1045">
        <v>98.5</v>
      </c>
      <c r="AO15">
        <v>98.6</v>
      </c>
      <c r="AP15">
        <v>98.6</v>
      </c>
      <c r="AQ15" s="713">
        <v>98.8</v>
      </c>
      <c r="AR15" s="8">
        <v>98.8</v>
      </c>
      <c r="AS15" s="8">
        <v>98.9</v>
      </c>
      <c r="AT15" s="972">
        <f t="shared" si="5"/>
        <v>98.716666666666683</v>
      </c>
      <c r="AU15" s="972">
        <f t="shared" si="6"/>
        <v>98.716666666666683</v>
      </c>
      <c r="AW15" s="1496">
        <f t="shared" si="7"/>
        <v>0.20000000000000284</v>
      </c>
      <c r="AX15" s="782">
        <f t="shared" si="8"/>
        <v>1.3500000000000085</v>
      </c>
      <c r="AY15" s="1119">
        <f t="shared" si="0"/>
        <v>1.3500000000000085</v>
      </c>
      <c r="AZ15" s="594">
        <f t="shared" si="9"/>
        <v>-0.39999999999999147</v>
      </c>
    </row>
    <row r="16" spans="1:53" ht="18" thickBot="1" x14ac:dyDescent="0.6">
      <c r="A16" s="7578"/>
      <c r="B16" s="135" t="s">
        <v>303</v>
      </c>
      <c r="C16" s="134"/>
      <c r="D16" s="936">
        <v>97.93413173652695</v>
      </c>
      <c r="E16" s="936">
        <v>97.177615571776158</v>
      </c>
      <c r="F16" s="936">
        <v>98.200371057513919</v>
      </c>
      <c r="G16" s="936">
        <v>97.95148247978436</v>
      </c>
      <c r="H16" s="936">
        <v>97.483443708609272</v>
      </c>
      <c r="I16" s="936">
        <v>96.292906178489702</v>
      </c>
      <c r="J16" s="936">
        <v>97.993197278911566</v>
      </c>
      <c r="K16" s="936">
        <v>97.671232876712324</v>
      </c>
      <c r="L16" s="936">
        <v>97.964824120603012</v>
      </c>
      <c r="M16" s="936">
        <v>98.451986754966882</v>
      </c>
      <c r="N16" s="936">
        <v>98.171532846715323</v>
      </c>
      <c r="O16" s="936">
        <v>96.356707317073173</v>
      </c>
      <c r="P16" s="946">
        <f t="shared" si="1"/>
        <v>97.637452660640236</v>
      </c>
      <c r="Q16" s="946">
        <f t="shared" si="2"/>
        <v>97.637452660640236</v>
      </c>
      <c r="S16" s="134">
        <v>96.6</v>
      </c>
      <c r="T16" s="134">
        <v>98.6</v>
      </c>
      <c r="U16" s="134">
        <v>95.4</v>
      </c>
      <c r="V16" s="134">
        <v>93.4</v>
      </c>
      <c r="W16" s="134">
        <v>94.8</v>
      </c>
      <c r="X16" s="134">
        <v>98.1</v>
      </c>
      <c r="Y16" s="1046">
        <v>97.9</v>
      </c>
      <c r="Z16" s="7">
        <v>97.4</v>
      </c>
      <c r="AA16" s="7">
        <v>97.6</v>
      </c>
      <c r="AB16" s="1150">
        <v>98.1</v>
      </c>
      <c r="AC16" s="134">
        <v>98.4</v>
      </c>
      <c r="AD16" s="1559">
        <v>99</v>
      </c>
      <c r="AE16" s="973">
        <f t="shared" si="3"/>
        <v>97.108333333333334</v>
      </c>
      <c r="AF16" s="973">
        <f t="shared" si="4"/>
        <v>97.108333333333334</v>
      </c>
      <c r="AH16" s="134">
        <v>98.1</v>
      </c>
      <c r="AI16" s="134">
        <v>98.4</v>
      </c>
      <c r="AJ16" s="7">
        <v>98.1</v>
      </c>
      <c r="AK16" s="134">
        <v>97.8</v>
      </c>
      <c r="AL16" s="7">
        <v>97.7</v>
      </c>
      <c r="AM16" s="7">
        <v>98.2</v>
      </c>
      <c r="AN16" s="1046">
        <v>98.2</v>
      </c>
      <c r="AO16" s="7">
        <v>98.7</v>
      </c>
      <c r="AP16" s="7">
        <v>98.3</v>
      </c>
      <c r="AQ16" s="1150">
        <v>97.7</v>
      </c>
      <c r="AR16" s="134">
        <v>99.1</v>
      </c>
      <c r="AS16" s="1559">
        <v>98.7</v>
      </c>
      <c r="AT16" s="973">
        <f t="shared" si="5"/>
        <v>98.250000000000014</v>
      </c>
      <c r="AU16" s="973">
        <f t="shared" si="6"/>
        <v>98.250000000000014</v>
      </c>
      <c r="AW16" s="1496">
        <f t="shared" si="7"/>
        <v>-0.29999999999999716</v>
      </c>
      <c r="AX16" s="782">
        <f t="shared" si="8"/>
        <v>1.1416666666666799</v>
      </c>
      <c r="AY16" s="1119">
        <f t="shared" si="0"/>
        <v>1.1416666666666799</v>
      </c>
      <c r="AZ16" s="594">
        <f t="shared" si="9"/>
        <v>0</v>
      </c>
    </row>
    <row r="17" spans="1:55" ht="18" thickBot="1" x14ac:dyDescent="0.6">
      <c r="AR17" s="2389"/>
      <c r="AX17" s="1029"/>
      <c r="AY17" s="1029"/>
      <c r="AZ17" s="594"/>
      <c r="BA17" s="1029"/>
      <c r="BB17" s="1029"/>
      <c r="BC17" s="1029"/>
    </row>
    <row r="18" spans="1:55" ht="18" hidden="1" thickBot="1" x14ac:dyDescent="0.6">
      <c r="A18" s="7579" t="s">
        <v>330</v>
      </c>
      <c r="B18" s="79" t="s">
        <v>263</v>
      </c>
      <c r="C18" s="73"/>
      <c r="D18" s="73">
        <v>4044</v>
      </c>
      <c r="E18" s="73">
        <v>6293</v>
      </c>
      <c r="F18" s="73">
        <v>4082</v>
      </c>
      <c r="G18" s="73">
        <v>3828</v>
      </c>
      <c r="H18" s="73">
        <v>5373</v>
      </c>
      <c r="I18" s="73">
        <v>4861</v>
      </c>
      <c r="J18" s="73">
        <v>4364</v>
      </c>
      <c r="K18" s="73">
        <v>7455</v>
      </c>
      <c r="L18" s="73">
        <v>2693</v>
      </c>
      <c r="M18" s="73">
        <v>16731</v>
      </c>
      <c r="N18" s="73">
        <v>4833</v>
      </c>
      <c r="O18" s="73">
        <v>3634</v>
      </c>
      <c r="P18" s="947">
        <f t="shared" ref="P18:P23" si="10">SUM(D18:O18)</f>
        <v>68191</v>
      </c>
      <c r="Q18" s="948">
        <f t="shared" si="2"/>
        <v>5682.583333333333</v>
      </c>
      <c r="S18" s="947">
        <v>9400</v>
      </c>
      <c r="T18" s="947">
        <v>7026</v>
      </c>
      <c r="U18" s="947">
        <v>5089</v>
      </c>
      <c r="V18" s="947">
        <v>7031</v>
      </c>
      <c r="W18" s="947">
        <v>6737</v>
      </c>
      <c r="X18" s="947">
        <v>4348</v>
      </c>
      <c r="Y18" s="73">
        <v>9529</v>
      </c>
      <c r="Z18" s="1072">
        <f>SUM(Z19:Z21)</f>
        <v>6899</v>
      </c>
      <c r="AA18" s="1072">
        <f>SUM(AA19:AA21)</f>
        <v>20154</v>
      </c>
      <c r="AB18" s="1072">
        <f>SUM(AB19:AB21)</f>
        <v>15127</v>
      </c>
      <c r="AC18" s="73"/>
      <c r="AD18" s="73"/>
      <c r="AE18" s="948">
        <f t="shared" ref="AE18:AE39" si="11">SUM(S18:AD18)</f>
        <v>91340</v>
      </c>
      <c r="AF18" s="948">
        <f t="shared" ref="AF18:AF39" si="12">AVERAGE(S18:AD18)</f>
        <v>9134</v>
      </c>
      <c r="AH18" s="947"/>
      <c r="AI18" s="947"/>
      <c r="AJ18" s="947"/>
      <c r="AK18" s="947"/>
      <c r="AL18" s="947"/>
      <c r="AM18" s="947"/>
      <c r="AN18" s="73"/>
      <c r="AO18" s="1072"/>
      <c r="AP18" s="1072"/>
      <c r="AQ18" s="1072"/>
      <c r="AR18" s="73"/>
      <c r="AS18" s="73"/>
      <c r="AT18" s="948">
        <f t="shared" ref="AT18:AT26" si="13">SUM(AH18:AS18)</f>
        <v>0</v>
      </c>
      <c r="AU18" s="948" t="e">
        <f t="shared" ref="AU18:AU26" si="14">AVERAGE(AH18:AS18)</f>
        <v>#DIV/0!</v>
      </c>
      <c r="AW18" s="1118">
        <f t="shared" si="7"/>
        <v>0</v>
      </c>
      <c r="AX18" s="782">
        <f t="shared" ref="AX18:AX39" si="15">AF18-Q18</f>
        <v>3451.416666666667</v>
      </c>
      <c r="AY18" s="1119">
        <f t="shared" ref="AY18:AY40" si="16">AT18-AVERAGE(S18:AD18)</f>
        <v>-9134</v>
      </c>
      <c r="AZ18" s="594">
        <f t="shared" si="9"/>
        <v>0</v>
      </c>
    </row>
    <row r="19" spans="1:55" ht="18" hidden="1" thickBot="1" x14ac:dyDescent="0.6">
      <c r="A19" s="7580"/>
      <c r="B19" s="82"/>
      <c r="C19" s="1" t="s">
        <v>330</v>
      </c>
      <c r="D19" s="1">
        <v>2256</v>
      </c>
      <c r="E19" s="1">
        <v>2712</v>
      </c>
      <c r="F19" s="1">
        <v>1734</v>
      </c>
      <c r="G19" s="1">
        <v>2194</v>
      </c>
      <c r="H19" s="1">
        <v>3300</v>
      </c>
      <c r="I19" s="1">
        <v>2558</v>
      </c>
      <c r="J19" s="1">
        <v>2134</v>
      </c>
      <c r="K19" s="1">
        <v>4555</v>
      </c>
      <c r="L19" s="1">
        <v>1830</v>
      </c>
      <c r="M19" s="1">
        <v>14944</v>
      </c>
      <c r="N19" s="1">
        <v>4000</v>
      </c>
      <c r="O19" s="1">
        <v>2520</v>
      </c>
      <c r="P19" s="1">
        <f t="shared" si="10"/>
        <v>44737</v>
      </c>
      <c r="Q19" s="920">
        <f t="shared" si="2"/>
        <v>3728.0833333333335</v>
      </c>
      <c r="S19" s="907">
        <v>7410</v>
      </c>
      <c r="T19" s="907">
        <v>5611</v>
      </c>
      <c r="U19" s="907">
        <v>3529</v>
      </c>
      <c r="V19" s="907">
        <v>5237</v>
      </c>
      <c r="W19" s="907">
        <v>5041</v>
      </c>
      <c r="X19" s="907">
        <v>3190</v>
      </c>
      <c r="Y19" s="1">
        <v>8450</v>
      </c>
      <c r="Z19" s="448">
        <v>5618</v>
      </c>
      <c r="AA19" s="448">
        <v>19347</v>
      </c>
      <c r="AB19" s="448">
        <v>14326</v>
      </c>
      <c r="AC19" s="1"/>
      <c r="AD19" s="1"/>
      <c r="AE19" s="920">
        <f t="shared" si="11"/>
        <v>77759</v>
      </c>
      <c r="AF19" s="920">
        <f t="shared" si="12"/>
        <v>7775.9</v>
      </c>
      <c r="AH19" s="907"/>
      <c r="AI19" s="907"/>
      <c r="AJ19" s="907"/>
      <c r="AK19" s="907"/>
      <c r="AL19" s="907"/>
      <c r="AM19" s="907"/>
      <c r="AN19" s="1"/>
      <c r="AO19" s="448"/>
      <c r="AP19" s="448"/>
      <c r="AQ19" s="448"/>
      <c r="AR19" s="1"/>
      <c r="AS19" s="1"/>
      <c r="AT19" s="920">
        <f t="shared" si="13"/>
        <v>0</v>
      </c>
      <c r="AU19" s="920" t="e">
        <f t="shared" si="14"/>
        <v>#DIV/0!</v>
      </c>
      <c r="AW19" s="1118">
        <f t="shared" si="7"/>
        <v>0</v>
      </c>
      <c r="AX19" s="782">
        <f t="shared" si="15"/>
        <v>4047.8166666666662</v>
      </c>
      <c r="AY19" s="1119">
        <f t="shared" si="16"/>
        <v>-7775.9</v>
      </c>
      <c r="AZ19" s="594">
        <f t="shared" si="9"/>
        <v>0</v>
      </c>
    </row>
    <row r="20" spans="1:55" ht="18" hidden="1" thickBot="1" x14ac:dyDescent="0.6">
      <c r="A20" s="7580"/>
      <c r="B20" s="82"/>
      <c r="C20" s="1" t="s">
        <v>353</v>
      </c>
      <c r="D20" s="1">
        <v>695</v>
      </c>
      <c r="E20" s="1">
        <v>1803</v>
      </c>
      <c r="F20" s="1">
        <v>1118</v>
      </c>
      <c r="G20" s="1">
        <v>880</v>
      </c>
      <c r="H20" s="1">
        <v>761</v>
      </c>
      <c r="I20" s="1">
        <v>765</v>
      </c>
      <c r="J20" s="1">
        <v>676</v>
      </c>
      <c r="K20" s="1">
        <v>742</v>
      </c>
      <c r="L20" s="1">
        <v>376</v>
      </c>
      <c r="M20" s="1">
        <v>787</v>
      </c>
      <c r="N20" s="1">
        <v>296</v>
      </c>
      <c r="O20" s="1">
        <v>427</v>
      </c>
      <c r="P20" s="1">
        <f t="shared" si="10"/>
        <v>9326</v>
      </c>
      <c r="Q20" s="920">
        <f t="shared" si="2"/>
        <v>777.16666666666663</v>
      </c>
      <c r="S20" s="907">
        <v>605</v>
      </c>
      <c r="T20" s="907">
        <v>407</v>
      </c>
      <c r="U20" s="907">
        <v>380</v>
      </c>
      <c r="V20" s="907">
        <v>411</v>
      </c>
      <c r="W20" s="907">
        <v>220</v>
      </c>
      <c r="X20" s="907">
        <v>310</v>
      </c>
      <c r="Y20" s="1">
        <v>7</v>
      </c>
      <c r="Z20" s="448">
        <v>0</v>
      </c>
      <c r="AA20" s="448">
        <v>0</v>
      </c>
      <c r="AB20" s="1148">
        <v>0</v>
      </c>
      <c r="AC20" s="1"/>
      <c r="AD20" s="1"/>
      <c r="AE20" s="920">
        <f t="shared" si="11"/>
        <v>2340</v>
      </c>
      <c r="AF20" s="920">
        <f t="shared" si="12"/>
        <v>234</v>
      </c>
      <c r="AH20" s="907"/>
      <c r="AI20" s="907"/>
      <c r="AJ20" s="907"/>
      <c r="AK20" s="907"/>
      <c r="AL20" s="907"/>
      <c r="AM20" s="907"/>
      <c r="AN20" s="1"/>
      <c r="AO20" s="448"/>
      <c r="AP20" s="448"/>
      <c r="AQ20" s="1148"/>
      <c r="AR20" s="1"/>
      <c r="AS20" s="1"/>
      <c r="AT20" s="920">
        <f t="shared" si="13"/>
        <v>0</v>
      </c>
      <c r="AU20" s="920" t="e">
        <f t="shared" si="14"/>
        <v>#DIV/0!</v>
      </c>
      <c r="AW20" s="1118">
        <f t="shared" si="7"/>
        <v>0</v>
      </c>
      <c r="AX20" s="782">
        <f t="shared" si="15"/>
        <v>-543.16666666666663</v>
      </c>
      <c r="AY20" s="1119">
        <f t="shared" si="16"/>
        <v>-234</v>
      </c>
      <c r="AZ20" s="594">
        <f t="shared" si="9"/>
        <v>0</v>
      </c>
    </row>
    <row r="21" spans="1:55" ht="18" hidden="1" thickBot="1" x14ac:dyDescent="0.6">
      <c r="A21" s="7580"/>
      <c r="B21" s="82"/>
      <c r="C21" s="8" t="s">
        <v>354</v>
      </c>
      <c r="D21" s="8">
        <v>1093</v>
      </c>
      <c r="E21" s="8">
        <v>1778</v>
      </c>
      <c r="F21" s="8">
        <v>1230</v>
      </c>
      <c r="G21" s="8">
        <v>754</v>
      </c>
      <c r="H21" s="8">
        <v>1312</v>
      </c>
      <c r="I21" s="8">
        <v>1538</v>
      </c>
      <c r="J21" s="8">
        <v>1554</v>
      </c>
      <c r="K21" s="8">
        <v>2158</v>
      </c>
      <c r="L21" s="8">
        <v>487</v>
      </c>
      <c r="M21" s="8">
        <v>1000</v>
      </c>
      <c r="N21" s="8">
        <v>537</v>
      </c>
      <c r="O21" s="8">
        <v>687</v>
      </c>
      <c r="P21" s="8">
        <f t="shared" si="10"/>
        <v>14128</v>
      </c>
      <c r="Q21" s="921">
        <f t="shared" si="2"/>
        <v>1177.3333333333333</v>
      </c>
      <c r="S21" s="908">
        <v>1385</v>
      </c>
      <c r="T21" s="908">
        <v>1008</v>
      </c>
      <c r="U21" s="908">
        <v>1180</v>
      </c>
      <c r="V21" s="908">
        <v>1383</v>
      </c>
      <c r="W21" s="908">
        <v>1476</v>
      </c>
      <c r="X21" s="908">
        <v>848</v>
      </c>
      <c r="Y21" s="8">
        <v>1072</v>
      </c>
      <c r="Z21" s="288">
        <v>1281</v>
      </c>
      <c r="AA21" s="288">
        <v>807</v>
      </c>
      <c r="AB21" s="288">
        <v>801</v>
      </c>
      <c r="AC21" s="8"/>
      <c r="AD21" s="8"/>
      <c r="AE21" s="921">
        <f t="shared" si="11"/>
        <v>11241</v>
      </c>
      <c r="AF21" s="921">
        <f t="shared" si="12"/>
        <v>1124.0999999999999</v>
      </c>
      <c r="AH21" s="908"/>
      <c r="AI21" s="908"/>
      <c r="AJ21" s="908"/>
      <c r="AK21" s="908"/>
      <c r="AL21" s="908"/>
      <c r="AM21" s="908"/>
      <c r="AN21" s="8"/>
      <c r="AO21" s="288"/>
      <c r="AP21" s="288"/>
      <c r="AQ21" s="288"/>
      <c r="AR21" s="8"/>
      <c r="AS21" s="8"/>
      <c r="AT21" s="921">
        <f t="shared" si="13"/>
        <v>0</v>
      </c>
      <c r="AU21" s="921" t="e">
        <f t="shared" si="14"/>
        <v>#DIV/0!</v>
      </c>
      <c r="AW21" s="1118">
        <f t="shared" si="7"/>
        <v>0</v>
      </c>
      <c r="AX21" s="782">
        <f>AF21-Q21</f>
        <v>-53.233333333333348</v>
      </c>
      <c r="AY21" s="1119">
        <f t="shared" si="16"/>
        <v>-1124.0999999999999</v>
      </c>
      <c r="AZ21" s="594">
        <f t="shared" si="9"/>
        <v>0</v>
      </c>
    </row>
    <row r="22" spans="1:55" ht="18" hidden="1" thickBot="1" x14ac:dyDescent="0.6">
      <c r="A22" s="7580"/>
      <c r="B22" s="80" t="s">
        <v>442</v>
      </c>
      <c r="C22" s="14"/>
      <c r="D22" s="14">
        <v>26</v>
      </c>
      <c r="E22" s="14">
        <v>32</v>
      </c>
      <c r="F22" s="14">
        <v>18</v>
      </c>
      <c r="G22" s="14">
        <v>8</v>
      </c>
      <c r="H22" s="14">
        <v>27</v>
      </c>
      <c r="I22" s="14">
        <v>33</v>
      </c>
      <c r="J22" s="14">
        <v>19</v>
      </c>
      <c r="K22" s="14">
        <v>30</v>
      </c>
      <c r="L22" s="14">
        <v>34</v>
      </c>
      <c r="M22" s="14">
        <v>60</v>
      </c>
      <c r="N22" s="14">
        <v>27</v>
      </c>
      <c r="O22" s="14">
        <v>27</v>
      </c>
      <c r="P22" s="14">
        <f t="shared" si="10"/>
        <v>341</v>
      </c>
      <c r="Q22" s="949">
        <f t="shared" si="2"/>
        <v>28.416666666666668</v>
      </c>
      <c r="S22" s="963">
        <v>86</v>
      </c>
      <c r="T22" s="963">
        <v>52</v>
      </c>
      <c r="U22" s="963">
        <v>145</v>
      </c>
      <c r="V22" s="963">
        <v>161</v>
      </c>
      <c r="W22" s="963">
        <v>261</v>
      </c>
      <c r="X22" s="963">
        <v>196</v>
      </c>
      <c r="Y22" s="14">
        <v>103</v>
      </c>
      <c r="Z22" s="290">
        <v>108</v>
      </c>
      <c r="AA22" s="290">
        <v>63</v>
      </c>
      <c r="AB22" s="450">
        <v>52</v>
      </c>
      <c r="AC22" s="14"/>
      <c r="AD22" s="14"/>
      <c r="AE22" s="949">
        <f t="shared" si="11"/>
        <v>1227</v>
      </c>
      <c r="AF22" s="949">
        <f t="shared" si="12"/>
        <v>122.7</v>
      </c>
      <c r="AH22" s="963"/>
      <c r="AI22" s="963"/>
      <c r="AJ22" s="963"/>
      <c r="AK22" s="963"/>
      <c r="AL22" s="963"/>
      <c r="AM22" s="963"/>
      <c r="AN22" s="14"/>
      <c r="AO22" s="290"/>
      <c r="AP22" s="290"/>
      <c r="AQ22" s="450"/>
      <c r="AR22" s="14"/>
      <c r="AS22" s="14"/>
      <c r="AT22" s="949">
        <f t="shared" si="13"/>
        <v>0</v>
      </c>
      <c r="AU22" s="949" t="e">
        <f t="shared" si="14"/>
        <v>#DIV/0!</v>
      </c>
      <c r="AW22" s="1118">
        <f t="shared" si="7"/>
        <v>0</v>
      </c>
      <c r="AX22" s="782">
        <f t="shared" si="15"/>
        <v>94.283333333333331</v>
      </c>
      <c r="AY22" s="1119">
        <f t="shared" si="16"/>
        <v>-122.7</v>
      </c>
      <c r="AZ22" s="594">
        <f t="shared" si="9"/>
        <v>0</v>
      </c>
    </row>
    <row r="23" spans="1:55" ht="18" hidden="1" thickBot="1" x14ac:dyDescent="0.6">
      <c r="A23" s="7580"/>
      <c r="B23" s="165" t="s">
        <v>355</v>
      </c>
      <c r="C23" s="166"/>
      <c r="D23" s="166">
        <v>81</v>
      </c>
      <c r="E23" s="166">
        <v>228</v>
      </c>
      <c r="F23" s="166">
        <v>86</v>
      </c>
      <c r="G23" s="166">
        <v>67</v>
      </c>
      <c r="H23" s="166">
        <v>44</v>
      </c>
      <c r="I23" s="166">
        <v>37</v>
      </c>
      <c r="J23" s="166">
        <v>31</v>
      </c>
      <c r="K23" s="166">
        <v>179</v>
      </c>
      <c r="L23" s="166">
        <v>37</v>
      </c>
      <c r="M23" s="166">
        <v>5</v>
      </c>
      <c r="N23" s="166">
        <v>1</v>
      </c>
      <c r="O23" s="166">
        <v>1</v>
      </c>
      <c r="P23" s="166">
        <f t="shared" si="10"/>
        <v>797</v>
      </c>
      <c r="Q23" s="950">
        <f t="shared" si="2"/>
        <v>66.416666666666671</v>
      </c>
      <c r="S23" s="964">
        <v>71</v>
      </c>
      <c r="T23" s="964">
        <v>116</v>
      </c>
      <c r="U23" s="964">
        <v>190</v>
      </c>
      <c r="V23" s="964">
        <v>96</v>
      </c>
      <c r="W23" s="964">
        <v>100</v>
      </c>
      <c r="X23" s="964">
        <v>100</v>
      </c>
      <c r="Y23" s="166">
        <v>44</v>
      </c>
      <c r="Z23" s="1073">
        <v>113</v>
      </c>
      <c r="AA23" s="1073">
        <v>13</v>
      </c>
      <c r="AB23" s="166">
        <v>4</v>
      </c>
      <c r="AC23" s="166"/>
      <c r="AD23" s="166"/>
      <c r="AE23" s="950">
        <f t="shared" si="11"/>
        <v>847</v>
      </c>
      <c r="AF23" s="950">
        <f t="shared" si="12"/>
        <v>84.7</v>
      </c>
      <c r="AH23" s="964"/>
      <c r="AI23" s="964"/>
      <c r="AJ23" s="964"/>
      <c r="AK23" s="964"/>
      <c r="AL23" s="964"/>
      <c r="AM23" s="964"/>
      <c r="AN23" s="166"/>
      <c r="AO23" s="1073"/>
      <c r="AP23" s="1073"/>
      <c r="AQ23" s="166"/>
      <c r="AR23" s="166"/>
      <c r="AS23" s="166"/>
      <c r="AT23" s="950">
        <f t="shared" si="13"/>
        <v>0</v>
      </c>
      <c r="AU23" s="950" t="e">
        <f t="shared" si="14"/>
        <v>#DIV/0!</v>
      </c>
      <c r="AW23" s="1118">
        <f t="shared" si="7"/>
        <v>0</v>
      </c>
      <c r="AX23" s="782">
        <f t="shared" si="15"/>
        <v>18.283333333333331</v>
      </c>
      <c r="AY23" s="1119">
        <f t="shared" si="16"/>
        <v>-84.7</v>
      </c>
      <c r="AZ23" s="594">
        <f t="shared" si="9"/>
        <v>0</v>
      </c>
    </row>
    <row r="24" spans="1:55" ht="18" hidden="1" thickBot="1" x14ac:dyDescent="0.6">
      <c r="A24" s="7580"/>
      <c r="B24" s="122" t="s">
        <v>356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S24" s="909">
        <v>3939</v>
      </c>
      <c r="T24" s="909">
        <v>4644</v>
      </c>
      <c r="U24" s="909">
        <v>3292</v>
      </c>
      <c r="V24" s="909">
        <v>2954</v>
      </c>
      <c r="W24" s="909">
        <v>2871</v>
      </c>
      <c r="X24" s="909">
        <v>2630</v>
      </c>
      <c r="Y24" s="17">
        <v>4884</v>
      </c>
      <c r="Z24" s="430">
        <f>SUM(Z25:Z26)</f>
        <v>2924</v>
      </c>
      <c r="AA24" s="430">
        <f>SUM(AA25:AA26)</f>
        <v>4049</v>
      </c>
      <c r="AB24" s="430">
        <f>SUM(AB25:AB26)</f>
        <v>3967</v>
      </c>
      <c r="AC24" s="17"/>
      <c r="AD24" s="17"/>
      <c r="AE24" s="974">
        <f t="shared" si="11"/>
        <v>36154</v>
      </c>
      <c r="AF24" s="974">
        <f t="shared" si="12"/>
        <v>3615.4</v>
      </c>
      <c r="AH24" s="909"/>
      <c r="AI24" s="909"/>
      <c r="AJ24" s="909"/>
      <c r="AK24" s="909"/>
      <c r="AL24" s="909"/>
      <c r="AM24" s="909"/>
      <c r="AN24" s="17"/>
      <c r="AO24" s="430"/>
      <c r="AP24" s="430"/>
      <c r="AQ24" s="430"/>
      <c r="AR24" s="17"/>
      <c r="AS24" s="17"/>
      <c r="AT24" s="974">
        <f t="shared" si="13"/>
        <v>0</v>
      </c>
      <c r="AU24" s="974" t="e">
        <f t="shared" si="14"/>
        <v>#DIV/0!</v>
      </c>
      <c r="AW24" s="1118">
        <f t="shared" si="7"/>
        <v>0</v>
      </c>
      <c r="AX24" s="782">
        <f t="shared" si="15"/>
        <v>3615.4</v>
      </c>
      <c r="AY24" s="1119">
        <f t="shared" si="16"/>
        <v>-3615.4</v>
      </c>
      <c r="AZ24" s="594">
        <f t="shared" si="9"/>
        <v>0</v>
      </c>
    </row>
    <row r="25" spans="1:55" ht="18" hidden="1" thickBot="1" x14ac:dyDescent="0.6">
      <c r="A25" s="7580"/>
      <c r="B25" s="82"/>
      <c r="C25" s="8" t="s">
        <v>263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S25" s="908">
        <v>3375</v>
      </c>
      <c r="T25" s="908">
        <v>3079</v>
      </c>
      <c r="U25" s="908">
        <v>1393</v>
      </c>
      <c r="V25" s="908">
        <v>1209</v>
      </c>
      <c r="W25" s="908">
        <v>915</v>
      </c>
      <c r="X25" s="908">
        <v>825</v>
      </c>
      <c r="Y25" s="8">
        <v>2743</v>
      </c>
      <c r="Z25" s="288">
        <v>1072</v>
      </c>
      <c r="AA25" s="288">
        <v>2649</v>
      </c>
      <c r="AB25" s="288">
        <v>1918</v>
      </c>
      <c r="AC25" s="8"/>
      <c r="AD25" s="8"/>
      <c r="AE25" s="921">
        <f t="shared" si="11"/>
        <v>19178</v>
      </c>
      <c r="AF25" s="921">
        <f t="shared" si="12"/>
        <v>1917.8</v>
      </c>
      <c r="AH25" s="908"/>
      <c r="AI25" s="908"/>
      <c r="AJ25" s="908"/>
      <c r="AK25" s="908"/>
      <c r="AL25" s="908"/>
      <c r="AM25" s="908"/>
      <c r="AN25" s="8"/>
      <c r="AO25" s="288"/>
      <c r="AP25" s="288"/>
      <c r="AQ25" s="288"/>
      <c r="AR25" s="8"/>
      <c r="AS25" s="8"/>
      <c r="AT25" s="921">
        <f t="shared" si="13"/>
        <v>0</v>
      </c>
      <c r="AU25" s="921" t="e">
        <f t="shared" si="14"/>
        <v>#DIV/0!</v>
      </c>
      <c r="AW25" s="1118">
        <f t="shared" si="7"/>
        <v>0</v>
      </c>
      <c r="AX25" s="782">
        <f t="shared" si="15"/>
        <v>1917.8</v>
      </c>
      <c r="AY25" s="1119">
        <f t="shared" si="16"/>
        <v>-1917.8</v>
      </c>
      <c r="AZ25" s="594">
        <f t="shared" si="9"/>
        <v>0</v>
      </c>
    </row>
    <row r="26" spans="1:55" ht="18" hidden="1" thickBot="1" x14ac:dyDescent="0.6">
      <c r="A26" s="7581"/>
      <c r="B26" s="125"/>
      <c r="C26" s="22" t="s">
        <v>357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S26" s="965">
        <v>564</v>
      </c>
      <c r="T26" s="965">
        <v>1565</v>
      </c>
      <c r="U26" s="965">
        <v>1899</v>
      </c>
      <c r="V26" s="965">
        <v>1745</v>
      </c>
      <c r="W26" s="965">
        <v>1956</v>
      </c>
      <c r="X26" s="965">
        <v>1805</v>
      </c>
      <c r="Y26" s="22">
        <v>2141</v>
      </c>
      <c r="Z26" s="323">
        <v>1852</v>
      </c>
      <c r="AA26" s="323">
        <v>1400</v>
      </c>
      <c r="AB26" s="323">
        <v>2049</v>
      </c>
      <c r="AC26" s="22"/>
      <c r="AD26" s="22"/>
      <c r="AE26" s="975">
        <f t="shared" si="11"/>
        <v>16976</v>
      </c>
      <c r="AF26" s="975">
        <f t="shared" si="12"/>
        <v>1697.6</v>
      </c>
      <c r="AH26" s="965"/>
      <c r="AI26" s="965"/>
      <c r="AJ26" s="965"/>
      <c r="AK26" s="965"/>
      <c r="AL26" s="965"/>
      <c r="AM26" s="965"/>
      <c r="AN26" s="22"/>
      <c r="AO26" s="323"/>
      <c r="AP26" s="323"/>
      <c r="AQ26" s="323"/>
      <c r="AR26" s="22"/>
      <c r="AS26" s="22"/>
      <c r="AT26" s="975">
        <f t="shared" si="13"/>
        <v>0</v>
      </c>
      <c r="AU26" s="975" t="e">
        <f t="shared" si="14"/>
        <v>#DIV/0!</v>
      </c>
      <c r="AW26" s="1118">
        <f t="shared" si="7"/>
        <v>0</v>
      </c>
      <c r="AX26" s="782">
        <f t="shared" si="15"/>
        <v>1697.6</v>
      </c>
      <c r="AY26" s="1119">
        <f t="shared" si="16"/>
        <v>-1697.6</v>
      </c>
      <c r="AZ26" s="594">
        <f t="shared" si="9"/>
        <v>0</v>
      </c>
    </row>
    <row r="27" spans="1:55" ht="18" hidden="1" thickBot="1" x14ac:dyDescent="0.6">
      <c r="AW27" s="1118">
        <f t="shared" si="7"/>
        <v>0</v>
      </c>
      <c r="AX27" s="1029"/>
      <c r="AY27" s="1119" t="e">
        <f t="shared" si="16"/>
        <v>#DIV/0!</v>
      </c>
      <c r="AZ27" s="594">
        <f t="shared" si="9"/>
        <v>0</v>
      </c>
    </row>
    <row r="28" spans="1:55" ht="18" hidden="1" thickBot="1" x14ac:dyDescent="0.6">
      <c r="A28" s="7467" t="s">
        <v>288</v>
      </c>
      <c r="B28" s="167" t="s">
        <v>281</v>
      </c>
      <c r="C28" s="138"/>
      <c r="D28" s="937">
        <v>58890</v>
      </c>
      <c r="E28" s="937">
        <v>60833</v>
      </c>
      <c r="F28" s="937">
        <v>80715</v>
      </c>
      <c r="G28" s="937">
        <v>71492</v>
      </c>
      <c r="H28" s="937">
        <v>72494</v>
      </c>
      <c r="I28" s="937">
        <v>74033</v>
      </c>
      <c r="J28" s="937">
        <v>57433</v>
      </c>
      <c r="K28" s="937">
        <v>75686</v>
      </c>
      <c r="L28" s="937">
        <v>75723</v>
      </c>
      <c r="M28" s="937">
        <v>60038</v>
      </c>
      <c r="N28" s="937">
        <v>69426</v>
      </c>
      <c r="O28" s="937">
        <v>63431</v>
      </c>
      <c r="P28" s="951">
        <f t="shared" ref="P28:P44" si="17">SUM(D28:O28)</f>
        <v>820194</v>
      </c>
      <c r="Q28" s="951">
        <f t="shared" ref="Q28:Q44" si="18">AVERAGE(D28:O28)</f>
        <v>68349.5</v>
      </c>
      <c r="S28" s="690">
        <v>65946</v>
      </c>
      <c r="T28" s="690">
        <v>86100</v>
      </c>
      <c r="U28" s="690">
        <v>67184</v>
      </c>
      <c r="V28" s="690">
        <v>64001</v>
      </c>
      <c r="W28" s="690">
        <v>67176</v>
      </c>
      <c r="X28" s="690">
        <v>71505</v>
      </c>
      <c r="Y28" s="1015">
        <v>69084</v>
      </c>
      <c r="Z28" s="1015">
        <v>69084</v>
      </c>
      <c r="AA28" s="1015">
        <v>81579</v>
      </c>
      <c r="AB28" s="1149">
        <f>AA34</f>
        <v>69549</v>
      </c>
      <c r="AC28" s="138"/>
      <c r="AD28" s="138"/>
      <c r="AE28" s="951">
        <f>AF28</f>
        <v>71120.800000000003</v>
      </c>
      <c r="AF28" s="951">
        <f t="shared" si="12"/>
        <v>71120.800000000003</v>
      </c>
      <c r="AH28" s="690"/>
      <c r="AI28" s="690"/>
      <c r="AJ28" s="690"/>
      <c r="AK28" s="690"/>
      <c r="AL28" s="690"/>
      <c r="AM28" s="690"/>
      <c r="AN28" s="1015"/>
      <c r="AO28" s="1015"/>
      <c r="AP28" s="1015"/>
      <c r="AQ28" s="1149"/>
      <c r="AR28" s="138"/>
      <c r="AS28" s="138"/>
      <c r="AT28" s="951" t="e">
        <f>AU28</f>
        <v>#DIV/0!</v>
      </c>
      <c r="AU28" s="951" t="e">
        <f t="shared" ref="AU28:AU39" si="19">AVERAGE(AH28:AS28)</f>
        <v>#DIV/0!</v>
      </c>
      <c r="AW28" s="1118">
        <f t="shared" si="7"/>
        <v>0</v>
      </c>
      <c r="AX28" s="782">
        <f t="shared" si="15"/>
        <v>2771.3000000000029</v>
      </c>
      <c r="AY28" s="1119" t="e">
        <f t="shared" si="16"/>
        <v>#DIV/0!</v>
      </c>
      <c r="AZ28" s="594">
        <f t="shared" si="9"/>
        <v>0</v>
      </c>
    </row>
    <row r="29" spans="1:55" ht="18" hidden="1" thickBot="1" x14ac:dyDescent="0.6">
      <c r="A29" s="7468"/>
      <c r="B29" s="48" t="s">
        <v>282</v>
      </c>
      <c r="C29" s="20"/>
      <c r="D29" s="917">
        <v>49419</v>
      </c>
      <c r="E29" s="917">
        <v>80096</v>
      </c>
      <c r="F29" s="917">
        <v>36611</v>
      </c>
      <c r="G29" s="917">
        <v>42953</v>
      </c>
      <c r="H29" s="917">
        <v>45498</v>
      </c>
      <c r="I29" s="917">
        <v>30133</v>
      </c>
      <c r="J29" s="917">
        <v>60591</v>
      </c>
      <c r="K29" s="917">
        <v>75198</v>
      </c>
      <c r="L29" s="917">
        <v>24226</v>
      </c>
      <c r="M29" s="917">
        <v>72057</v>
      </c>
      <c r="N29" s="917">
        <v>38862</v>
      </c>
      <c r="O29" s="917">
        <v>33036</v>
      </c>
      <c r="P29" s="952">
        <f t="shared" si="17"/>
        <v>588680</v>
      </c>
      <c r="Q29" s="917">
        <f t="shared" si="18"/>
        <v>49056.666666666664</v>
      </c>
      <c r="S29" s="286">
        <v>84990</v>
      </c>
      <c r="T29" s="286">
        <v>31041</v>
      </c>
      <c r="U29" s="286">
        <v>37075</v>
      </c>
      <c r="V29" s="286">
        <v>39918</v>
      </c>
      <c r="W29" s="286">
        <v>41906</v>
      </c>
      <c r="X29" s="286">
        <v>46423</v>
      </c>
      <c r="Y29" s="286">
        <f>Y30+Y31+Y32</f>
        <v>69198</v>
      </c>
      <c r="Z29" s="286">
        <f>Z30+Z31+Z32</f>
        <v>69198</v>
      </c>
      <c r="AA29" s="286">
        <f>AA30+AA31+AA32</f>
        <v>93489</v>
      </c>
      <c r="AB29" s="286">
        <f>AB30+AB31+AB32</f>
        <v>60925</v>
      </c>
      <c r="AC29" s="20"/>
      <c r="AD29" s="20"/>
      <c r="AE29" s="952">
        <f t="shared" ref="AE29:AE36" si="20">AF29</f>
        <v>57416.3</v>
      </c>
      <c r="AF29" s="952">
        <f t="shared" si="12"/>
        <v>57416.3</v>
      </c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0"/>
      <c r="AS29" s="20"/>
      <c r="AT29" s="952" t="e">
        <f t="shared" ref="AT29:AT36" si="21">AU29</f>
        <v>#DIV/0!</v>
      </c>
      <c r="AU29" s="952" t="e">
        <f t="shared" si="19"/>
        <v>#DIV/0!</v>
      </c>
      <c r="AW29" s="1118">
        <f t="shared" si="7"/>
        <v>0</v>
      </c>
      <c r="AX29" s="782">
        <f t="shared" si="15"/>
        <v>8359.6333333333387</v>
      </c>
      <c r="AY29" s="1119" t="e">
        <f t="shared" si="16"/>
        <v>#DIV/0!</v>
      </c>
      <c r="AZ29" s="594">
        <f t="shared" si="9"/>
        <v>0</v>
      </c>
    </row>
    <row r="30" spans="1:55" ht="18" hidden="1" thickBot="1" x14ac:dyDescent="0.6">
      <c r="A30" s="7468"/>
      <c r="B30" s="20"/>
      <c r="C30" s="12" t="s">
        <v>283</v>
      </c>
      <c r="D30" s="938">
        <v>40126</v>
      </c>
      <c r="E30" s="938">
        <v>60861</v>
      </c>
      <c r="F30" s="938">
        <v>28960</v>
      </c>
      <c r="G30" s="938">
        <v>33616</v>
      </c>
      <c r="H30" s="938">
        <v>32474</v>
      </c>
      <c r="I30" s="938">
        <v>19647</v>
      </c>
      <c r="J30" s="938">
        <v>52508</v>
      </c>
      <c r="K30" s="938">
        <v>54405</v>
      </c>
      <c r="L30" s="938">
        <v>17596</v>
      </c>
      <c r="M30" s="938">
        <v>61623</v>
      </c>
      <c r="N30" s="938">
        <v>23394</v>
      </c>
      <c r="O30" s="938">
        <v>25050</v>
      </c>
      <c r="P30" s="953">
        <f t="shared" si="17"/>
        <v>450260</v>
      </c>
      <c r="Q30" s="938">
        <f t="shared" si="18"/>
        <v>37521.666666666664</v>
      </c>
      <c r="S30" s="315">
        <v>66849</v>
      </c>
      <c r="T30" s="315">
        <v>14670</v>
      </c>
      <c r="U30" s="315">
        <v>22558</v>
      </c>
      <c r="V30" s="315">
        <v>26183</v>
      </c>
      <c r="W30" s="315">
        <v>25236</v>
      </c>
      <c r="X30" s="315">
        <v>37339</v>
      </c>
      <c r="Y30" s="315">
        <v>51756</v>
      </c>
      <c r="Z30" s="315">
        <v>51756</v>
      </c>
      <c r="AA30" s="315">
        <v>75030</v>
      </c>
      <c r="AB30" s="315">
        <v>38858</v>
      </c>
      <c r="AC30" s="12"/>
      <c r="AD30" s="12"/>
      <c r="AE30" s="953">
        <f t="shared" si="20"/>
        <v>41023.5</v>
      </c>
      <c r="AF30" s="953">
        <f t="shared" si="12"/>
        <v>41023.5</v>
      </c>
      <c r="AH30" s="315"/>
      <c r="AI30" s="315"/>
      <c r="AJ30" s="315"/>
      <c r="AK30" s="315"/>
      <c r="AL30" s="315"/>
      <c r="AM30" s="315"/>
      <c r="AN30" s="315"/>
      <c r="AO30" s="315"/>
      <c r="AP30" s="315"/>
      <c r="AQ30" s="315"/>
      <c r="AR30" s="12"/>
      <c r="AS30" s="12"/>
      <c r="AT30" s="953" t="e">
        <f t="shared" si="21"/>
        <v>#DIV/0!</v>
      </c>
      <c r="AU30" s="953" t="e">
        <f t="shared" si="19"/>
        <v>#DIV/0!</v>
      </c>
      <c r="AW30" s="1118">
        <f t="shared" si="7"/>
        <v>0</v>
      </c>
      <c r="AX30" s="782">
        <f t="shared" si="15"/>
        <v>3501.8333333333358</v>
      </c>
      <c r="AY30" s="1119" t="e">
        <f t="shared" si="16"/>
        <v>#DIV/0!</v>
      </c>
      <c r="AZ30" s="594">
        <f t="shared" si="9"/>
        <v>0</v>
      </c>
    </row>
    <row r="31" spans="1:55" ht="18" hidden="1" thickBot="1" x14ac:dyDescent="0.6">
      <c r="A31" s="7468"/>
      <c r="B31" s="20"/>
      <c r="C31" s="12" t="s">
        <v>284</v>
      </c>
      <c r="D31" s="938">
        <v>2753</v>
      </c>
      <c r="E31" s="938">
        <v>15075</v>
      </c>
      <c r="F31" s="938">
        <v>7491</v>
      </c>
      <c r="G31" s="938">
        <v>7757</v>
      </c>
      <c r="H31" s="938">
        <v>10154</v>
      </c>
      <c r="I31" s="938">
        <v>9846</v>
      </c>
      <c r="J31" s="938">
        <v>6513</v>
      </c>
      <c r="K31" s="938">
        <v>20443</v>
      </c>
      <c r="L31" s="938">
        <v>6633</v>
      </c>
      <c r="M31" s="938">
        <v>1424</v>
      </c>
      <c r="N31" s="938">
        <v>6388</v>
      </c>
      <c r="O31" s="938">
        <v>7256</v>
      </c>
      <c r="P31" s="953">
        <f t="shared" si="17"/>
        <v>101733</v>
      </c>
      <c r="Q31" s="938">
        <f t="shared" si="18"/>
        <v>8477.75</v>
      </c>
      <c r="S31" s="315">
        <v>15081</v>
      </c>
      <c r="T31" s="315">
        <v>15851</v>
      </c>
      <c r="U31" s="315">
        <v>12547</v>
      </c>
      <c r="V31" s="315">
        <v>12015</v>
      </c>
      <c r="W31" s="315">
        <v>15120</v>
      </c>
      <c r="X31" s="315">
        <v>8884</v>
      </c>
      <c r="Y31" s="315">
        <f>8281+4751</f>
        <v>13032</v>
      </c>
      <c r="Z31" s="315">
        <f>8281+4751</f>
        <v>13032</v>
      </c>
      <c r="AA31" s="315">
        <f>3019+4369</f>
        <v>7388</v>
      </c>
      <c r="AB31" s="315">
        <v>5997</v>
      </c>
      <c r="AC31" s="12"/>
      <c r="AD31" s="12"/>
      <c r="AE31" s="953">
        <f t="shared" si="20"/>
        <v>11894.7</v>
      </c>
      <c r="AF31" s="953">
        <f t="shared" si="12"/>
        <v>11894.7</v>
      </c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12"/>
      <c r="AS31" s="12"/>
      <c r="AT31" s="953" t="e">
        <f t="shared" si="21"/>
        <v>#DIV/0!</v>
      </c>
      <c r="AU31" s="953" t="e">
        <f t="shared" si="19"/>
        <v>#DIV/0!</v>
      </c>
      <c r="AW31" s="1118">
        <f t="shared" si="7"/>
        <v>0</v>
      </c>
      <c r="AX31" s="782">
        <f t="shared" si="15"/>
        <v>3416.9500000000007</v>
      </c>
      <c r="AY31" s="1119" t="e">
        <f t="shared" si="16"/>
        <v>#DIV/0!</v>
      </c>
      <c r="AZ31" s="594">
        <f t="shared" si="9"/>
        <v>0</v>
      </c>
    </row>
    <row r="32" spans="1:55" ht="18" hidden="1" thickBot="1" x14ac:dyDescent="0.6">
      <c r="A32" s="7468"/>
      <c r="B32" s="20"/>
      <c r="C32" s="12" t="s">
        <v>285</v>
      </c>
      <c r="D32" s="938">
        <v>6540</v>
      </c>
      <c r="E32" s="938">
        <v>4160</v>
      </c>
      <c r="F32" s="938">
        <v>160</v>
      </c>
      <c r="G32" s="938">
        <v>1580</v>
      </c>
      <c r="H32" s="938">
        <v>2870</v>
      </c>
      <c r="I32" s="938">
        <v>640</v>
      </c>
      <c r="J32" s="938">
        <v>1570</v>
      </c>
      <c r="K32" s="938">
        <v>350</v>
      </c>
      <c r="L32" s="938">
        <v>-3</v>
      </c>
      <c r="M32" s="938">
        <v>9010</v>
      </c>
      <c r="N32" s="938">
        <v>9080</v>
      </c>
      <c r="O32" s="938">
        <v>730</v>
      </c>
      <c r="P32" s="953">
        <f t="shared" si="17"/>
        <v>36687</v>
      </c>
      <c r="Q32" s="938">
        <f t="shared" si="18"/>
        <v>3057.25</v>
      </c>
      <c r="S32" s="315">
        <v>3060</v>
      </c>
      <c r="T32" s="315">
        <v>520</v>
      </c>
      <c r="U32" s="315">
        <v>1970</v>
      </c>
      <c r="V32" s="315">
        <v>1720</v>
      </c>
      <c r="W32" s="315">
        <v>1550</v>
      </c>
      <c r="X32" s="315">
        <v>200</v>
      </c>
      <c r="Y32" s="315">
        <v>4410</v>
      </c>
      <c r="Z32" s="315">
        <v>4410</v>
      </c>
      <c r="AA32" s="315">
        <v>11071</v>
      </c>
      <c r="AB32" s="315">
        <v>16070</v>
      </c>
      <c r="AC32" s="12"/>
      <c r="AD32" s="12"/>
      <c r="AE32" s="953">
        <f t="shared" si="20"/>
        <v>4498.1000000000004</v>
      </c>
      <c r="AF32" s="953">
        <f t="shared" si="12"/>
        <v>4498.1000000000004</v>
      </c>
      <c r="AH32" s="315"/>
      <c r="AI32" s="315"/>
      <c r="AJ32" s="315"/>
      <c r="AK32" s="315"/>
      <c r="AL32" s="315"/>
      <c r="AM32" s="315"/>
      <c r="AN32" s="315"/>
      <c r="AO32" s="315"/>
      <c r="AP32" s="315"/>
      <c r="AQ32" s="315"/>
      <c r="AR32" s="12"/>
      <c r="AS32" s="12"/>
      <c r="AT32" s="953" t="e">
        <f t="shared" si="21"/>
        <v>#DIV/0!</v>
      </c>
      <c r="AU32" s="953" t="e">
        <f t="shared" si="19"/>
        <v>#DIV/0!</v>
      </c>
      <c r="AW32" s="1118">
        <f t="shared" si="7"/>
        <v>0</v>
      </c>
      <c r="AX32" s="782">
        <f t="shared" si="15"/>
        <v>1440.8500000000004</v>
      </c>
      <c r="AY32" s="1119" t="e">
        <f t="shared" si="16"/>
        <v>#DIV/0!</v>
      </c>
      <c r="AZ32" s="594">
        <f t="shared" si="9"/>
        <v>0</v>
      </c>
    </row>
    <row r="33" spans="1:52" ht="18" hidden="1" thickBot="1" x14ac:dyDescent="0.6">
      <c r="A33" s="7468"/>
      <c r="B33" s="47" t="s">
        <v>620</v>
      </c>
      <c r="C33" s="1"/>
      <c r="D33" s="907">
        <v>47476</v>
      </c>
      <c r="E33" s="907">
        <v>60214</v>
      </c>
      <c r="F33" s="907">
        <v>45834</v>
      </c>
      <c r="G33" s="907">
        <v>41951</v>
      </c>
      <c r="H33" s="907">
        <v>43959</v>
      </c>
      <c r="I33" s="907">
        <v>46733</v>
      </c>
      <c r="J33" s="907">
        <v>42338</v>
      </c>
      <c r="K33" s="907">
        <v>75161</v>
      </c>
      <c r="L33" s="907">
        <v>39911</v>
      </c>
      <c r="M33" s="907">
        <v>62669</v>
      </c>
      <c r="N33" s="907">
        <v>44857</v>
      </c>
      <c r="O33" s="907">
        <v>30521</v>
      </c>
      <c r="P33" s="920">
        <f t="shared" si="17"/>
        <v>581624</v>
      </c>
      <c r="Q33" s="907">
        <f t="shared" si="18"/>
        <v>48468.666666666664</v>
      </c>
      <c r="S33" s="288">
        <v>64836</v>
      </c>
      <c r="T33" s="288">
        <v>49957</v>
      </c>
      <c r="U33" s="288">
        <v>40258</v>
      </c>
      <c r="V33" s="288">
        <v>36743</v>
      </c>
      <c r="W33" s="288">
        <v>37577</v>
      </c>
      <c r="X33" s="288">
        <v>48844</v>
      </c>
      <c r="Y33" s="448">
        <f>Y28+Y29-Y34</f>
        <v>56703</v>
      </c>
      <c r="Z33" s="448">
        <f>Z28+Z29-Z34</f>
        <v>56703</v>
      </c>
      <c r="AA33" s="448">
        <f>AA28+AA29-AA34</f>
        <v>105519</v>
      </c>
      <c r="AB33" s="448">
        <f>AB28+AB29-AB34</f>
        <v>42343</v>
      </c>
      <c r="AC33" s="1"/>
      <c r="AD33" s="1"/>
      <c r="AE33" s="920">
        <f t="shared" si="20"/>
        <v>53948.3</v>
      </c>
      <c r="AF33" s="920">
        <f t="shared" si="12"/>
        <v>53948.3</v>
      </c>
      <c r="AH33" s="288"/>
      <c r="AI33" s="288"/>
      <c r="AJ33" s="288"/>
      <c r="AK33" s="288"/>
      <c r="AL33" s="288"/>
      <c r="AM33" s="288"/>
      <c r="AN33" s="448"/>
      <c r="AO33" s="448"/>
      <c r="AP33" s="448"/>
      <c r="AQ33" s="448"/>
      <c r="AR33" s="1"/>
      <c r="AS33" s="1"/>
      <c r="AT33" s="920" t="e">
        <f t="shared" si="21"/>
        <v>#DIV/0!</v>
      </c>
      <c r="AU33" s="920" t="e">
        <f t="shared" si="19"/>
        <v>#DIV/0!</v>
      </c>
      <c r="AW33" s="1118">
        <f t="shared" si="7"/>
        <v>0</v>
      </c>
      <c r="AX33" s="782">
        <f t="shared" si="15"/>
        <v>5479.6333333333387</v>
      </c>
      <c r="AY33" s="1119" t="e">
        <f t="shared" si="16"/>
        <v>#DIV/0!</v>
      </c>
      <c r="AZ33" s="594">
        <f t="shared" si="9"/>
        <v>0</v>
      </c>
    </row>
    <row r="34" spans="1:52" ht="18" hidden="1" thickBot="1" x14ac:dyDescent="0.6">
      <c r="A34" s="7468"/>
      <c r="B34" s="168" t="s">
        <v>286</v>
      </c>
      <c r="C34" s="96"/>
      <c r="D34" s="939">
        <v>60833</v>
      </c>
      <c r="E34" s="939">
        <v>80715</v>
      </c>
      <c r="F34" s="939">
        <v>71492</v>
      </c>
      <c r="G34" s="939">
        <v>72494</v>
      </c>
      <c r="H34" s="939">
        <v>74033</v>
      </c>
      <c r="I34" s="939">
        <v>57433</v>
      </c>
      <c r="J34" s="939">
        <v>75686</v>
      </c>
      <c r="K34" s="939">
        <v>75723</v>
      </c>
      <c r="L34" s="939">
        <v>60038</v>
      </c>
      <c r="M34" s="939">
        <v>69426</v>
      </c>
      <c r="N34" s="939">
        <v>63431</v>
      </c>
      <c r="O34" s="939"/>
      <c r="P34" s="954">
        <f t="shared" si="17"/>
        <v>761304</v>
      </c>
      <c r="Q34" s="939">
        <f t="shared" si="18"/>
        <v>69209.454545454544</v>
      </c>
      <c r="S34" s="689">
        <v>86100</v>
      </c>
      <c r="T34" s="689">
        <v>67184</v>
      </c>
      <c r="U34" s="689">
        <v>64001</v>
      </c>
      <c r="V34" s="689">
        <v>67176</v>
      </c>
      <c r="W34" s="689">
        <v>71505</v>
      </c>
      <c r="X34" s="689">
        <v>69084</v>
      </c>
      <c r="Y34" s="689">
        <v>81579</v>
      </c>
      <c r="Z34" s="689">
        <v>81579</v>
      </c>
      <c r="AA34" s="689">
        <v>69549</v>
      </c>
      <c r="AB34" s="689">
        <v>88131</v>
      </c>
      <c r="AC34" s="96"/>
      <c r="AD34" s="96"/>
      <c r="AE34" s="954">
        <f t="shared" si="20"/>
        <v>74588.800000000003</v>
      </c>
      <c r="AF34" s="954">
        <f t="shared" si="12"/>
        <v>74588.800000000003</v>
      </c>
      <c r="AH34" s="689"/>
      <c r="AI34" s="689"/>
      <c r="AJ34" s="689"/>
      <c r="AK34" s="689"/>
      <c r="AL34" s="689"/>
      <c r="AM34" s="689"/>
      <c r="AN34" s="689"/>
      <c r="AO34" s="689"/>
      <c r="AP34" s="689"/>
      <c r="AQ34" s="689"/>
      <c r="AR34" s="96"/>
      <c r="AS34" s="96"/>
      <c r="AT34" s="954" t="e">
        <f t="shared" si="21"/>
        <v>#DIV/0!</v>
      </c>
      <c r="AU34" s="954" t="e">
        <f t="shared" si="19"/>
        <v>#DIV/0!</v>
      </c>
      <c r="AW34" s="1118">
        <f t="shared" si="7"/>
        <v>0</v>
      </c>
      <c r="AX34" s="782">
        <f t="shared" si="15"/>
        <v>5379.3454545454588</v>
      </c>
      <c r="AY34" s="1119" t="e">
        <f t="shared" si="16"/>
        <v>#DIV/0!</v>
      </c>
      <c r="AZ34" s="594">
        <f t="shared" si="9"/>
        <v>0</v>
      </c>
    </row>
    <row r="35" spans="1:52" ht="18" hidden="1" thickBot="1" x14ac:dyDescent="0.6">
      <c r="A35" s="7468"/>
      <c r="B35" s="96"/>
      <c r="C35" s="140" t="s">
        <v>293</v>
      </c>
      <c r="D35" s="940">
        <v>818.45056848000002</v>
      </c>
      <c r="E35" s="940">
        <v>1015.3829696499999</v>
      </c>
      <c r="F35" s="940">
        <v>764.9</v>
      </c>
      <c r="G35" s="940">
        <v>720</v>
      </c>
      <c r="H35" s="940">
        <v>722.4</v>
      </c>
      <c r="I35" s="940">
        <v>566.29999999999995</v>
      </c>
      <c r="J35" s="940">
        <v>761.7</v>
      </c>
      <c r="K35" s="940">
        <v>754.1</v>
      </c>
      <c r="L35" s="940">
        <v>585.1</v>
      </c>
      <c r="M35" s="940">
        <v>840.7</v>
      </c>
      <c r="N35" s="940">
        <v>756.2</v>
      </c>
      <c r="O35" s="940">
        <v>719.4</v>
      </c>
      <c r="P35" s="955">
        <f t="shared" si="17"/>
        <v>9024.6335381299996</v>
      </c>
      <c r="Q35" s="940">
        <f t="shared" si="18"/>
        <v>752.05279484416667</v>
      </c>
      <c r="S35" s="968">
        <v>955.5</v>
      </c>
      <c r="T35" s="828">
        <v>732</v>
      </c>
      <c r="U35" s="828">
        <v>654</v>
      </c>
      <c r="V35" s="828">
        <v>654.1</v>
      </c>
      <c r="W35" s="968">
        <v>682.5</v>
      </c>
      <c r="X35" s="968">
        <v>613</v>
      </c>
      <c r="Y35" s="828">
        <v>819</v>
      </c>
      <c r="Z35" s="828">
        <v>819</v>
      </c>
      <c r="AA35" s="828">
        <v>636</v>
      </c>
      <c r="AB35" s="828">
        <v>1053</v>
      </c>
      <c r="AC35" s="140"/>
      <c r="AD35" s="140"/>
      <c r="AE35" s="968">
        <f t="shared" si="20"/>
        <v>761.81000000000006</v>
      </c>
      <c r="AF35" s="968">
        <f t="shared" si="12"/>
        <v>761.81000000000006</v>
      </c>
      <c r="AH35" s="968"/>
      <c r="AI35" s="828"/>
      <c r="AJ35" s="828"/>
      <c r="AK35" s="828"/>
      <c r="AL35" s="968"/>
      <c r="AM35" s="968"/>
      <c r="AN35" s="828"/>
      <c r="AO35" s="828"/>
      <c r="AP35" s="828"/>
      <c r="AQ35" s="828"/>
      <c r="AR35" s="140"/>
      <c r="AS35" s="140"/>
      <c r="AT35" s="968" t="e">
        <f t="shared" si="21"/>
        <v>#DIV/0!</v>
      </c>
      <c r="AU35" s="968" t="e">
        <f t="shared" si="19"/>
        <v>#DIV/0!</v>
      </c>
      <c r="AW35" s="1118">
        <f t="shared" si="7"/>
        <v>0</v>
      </c>
      <c r="AX35" s="782">
        <f t="shared" si="15"/>
        <v>9.7572051558333897</v>
      </c>
      <c r="AY35" s="1119" t="e">
        <f t="shared" si="16"/>
        <v>#DIV/0!</v>
      </c>
      <c r="AZ35" s="594">
        <f t="shared" si="9"/>
        <v>0</v>
      </c>
    </row>
    <row r="36" spans="1:52" ht="18" hidden="1" thickBot="1" x14ac:dyDescent="0.6">
      <c r="A36" s="7582"/>
      <c r="B36" s="139"/>
      <c r="C36" s="141" t="s">
        <v>287</v>
      </c>
      <c r="D36" s="941">
        <v>42.86253608200559</v>
      </c>
      <c r="E36" s="941">
        <v>35.300126517032943</v>
      </c>
      <c r="F36" s="941">
        <v>45.788438494277095</v>
      </c>
      <c r="G36" s="941">
        <v>49.41200527105012</v>
      </c>
      <c r="H36" s="941">
        <v>48.139929521332384</v>
      </c>
      <c r="I36" s="941">
        <v>37.833820074218835</v>
      </c>
      <c r="J36" s="941">
        <v>53.780136154216429</v>
      </c>
      <c r="K36" s="941">
        <v>31.343138302133685</v>
      </c>
      <c r="L36" s="941">
        <v>47.956227701155548</v>
      </c>
      <c r="M36" s="941">
        <v>30.192416144101678</v>
      </c>
      <c r="N36" s="941">
        <v>43.2</v>
      </c>
      <c r="O36" s="941">
        <v>60.9</v>
      </c>
      <c r="P36" s="956">
        <f t="shared" si="17"/>
        <v>526.70877426152435</v>
      </c>
      <c r="Q36" s="941">
        <f t="shared" si="18"/>
        <v>43.89239785512703</v>
      </c>
      <c r="S36" s="691">
        <v>39.6</v>
      </c>
      <c r="T36" s="691">
        <v>44.2</v>
      </c>
      <c r="U36" s="691">
        <v>55.4</v>
      </c>
      <c r="V36" s="691">
        <v>52.1</v>
      </c>
      <c r="W36" s="141">
        <v>59.5</v>
      </c>
      <c r="X36" s="141">
        <v>58.2</v>
      </c>
      <c r="Y36" s="1016">
        <v>42</v>
      </c>
      <c r="Z36" s="1016">
        <v>42</v>
      </c>
      <c r="AA36" s="1016">
        <v>12.6</v>
      </c>
      <c r="AB36" s="1016">
        <v>69.400000000000006</v>
      </c>
      <c r="AC36" s="141"/>
      <c r="AD36" s="141"/>
      <c r="AE36" s="976">
        <f t="shared" si="20"/>
        <v>47.5</v>
      </c>
      <c r="AF36" s="976">
        <f t="shared" si="12"/>
        <v>47.5</v>
      </c>
      <c r="AH36" s="691"/>
      <c r="AI36" s="691"/>
      <c r="AJ36" s="691"/>
      <c r="AK36" s="691"/>
      <c r="AL36" s="141"/>
      <c r="AM36" s="141"/>
      <c r="AN36" s="1016"/>
      <c r="AO36" s="1016"/>
      <c r="AP36" s="1016"/>
      <c r="AQ36" s="1016"/>
      <c r="AR36" s="141"/>
      <c r="AS36" s="141"/>
      <c r="AT36" s="976" t="e">
        <f t="shared" si="21"/>
        <v>#DIV/0!</v>
      </c>
      <c r="AU36" s="976" t="e">
        <f t="shared" si="19"/>
        <v>#DIV/0!</v>
      </c>
      <c r="AW36" s="1118">
        <f t="shared" si="7"/>
        <v>0</v>
      </c>
      <c r="AX36" s="782">
        <f t="shared" si="15"/>
        <v>3.6076021448729705</v>
      </c>
      <c r="AY36" s="1119" t="e">
        <f t="shared" si="16"/>
        <v>#DIV/0!</v>
      </c>
      <c r="AZ36" s="594">
        <f t="shared" si="9"/>
        <v>0</v>
      </c>
    </row>
    <row r="37" spans="1:52" ht="18" hidden="1" thickBot="1" x14ac:dyDescent="0.6">
      <c r="A37" s="7583" t="s">
        <v>289</v>
      </c>
      <c r="B37" s="47" t="s">
        <v>290</v>
      </c>
      <c r="C37" s="1"/>
      <c r="D37" s="907">
        <v>6.56933202</v>
      </c>
      <c r="E37" s="907">
        <v>6.7807421999999899</v>
      </c>
      <c r="F37" s="907">
        <v>2.0568258799999999</v>
      </c>
      <c r="G37" s="907">
        <v>2.4629884899999999</v>
      </c>
      <c r="H37" s="907">
        <v>3.4574422499999997</v>
      </c>
      <c r="I37" s="907">
        <v>1.8708617799999985</v>
      </c>
      <c r="J37" s="907">
        <v>3.6522360499999973</v>
      </c>
      <c r="K37" s="907">
        <v>5.7572299899999999</v>
      </c>
      <c r="L37" s="907">
        <v>1.2986999999999997</v>
      </c>
      <c r="M37" s="907">
        <v>7.6272242700000001</v>
      </c>
      <c r="N37" s="907">
        <v>7.8071589599999998</v>
      </c>
      <c r="O37" s="907">
        <v>1.99546599</v>
      </c>
      <c r="P37" s="920">
        <f t="shared" si="17"/>
        <v>51.336207879999982</v>
      </c>
      <c r="Q37" s="907">
        <f t="shared" si="18"/>
        <v>4.2780173233333318</v>
      </c>
      <c r="S37" s="961">
        <v>8.1312701099999991</v>
      </c>
      <c r="T37" s="692">
        <v>2.6240245479999995</v>
      </c>
      <c r="U37" s="692">
        <v>2.7850913099999999</v>
      </c>
      <c r="V37" s="692">
        <v>3.2351797900000001</v>
      </c>
      <c r="W37" s="961">
        <v>3.3</v>
      </c>
      <c r="X37" s="961">
        <v>1.3699999999999999</v>
      </c>
      <c r="Y37" s="692">
        <f>Y38+Y39</f>
        <v>5.0399999999999991</v>
      </c>
      <c r="Z37" s="692">
        <f>Z38+Z39</f>
        <v>5.0399999999999991</v>
      </c>
      <c r="AA37" s="692">
        <f>AA38+AA39</f>
        <v>8.6300000000000008</v>
      </c>
      <c r="AB37" s="692">
        <f>AB38+AB39</f>
        <v>13.93</v>
      </c>
      <c r="AC37" s="1"/>
      <c r="AD37" s="1"/>
      <c r="AE37" s="961">
        <f t="shared" si="11"/>
        <v>54.085565758000001</v>
      </c>
      <c r="AF37" s="961">
        <f t="shared" si="12"/>
        <v>5.4085565758000005</v>
      </c>
      <c r="AH37" s="961"/>
      <c r="AI37" s="692"/>
      <c r="AJ37" s="692"/>
      <c r="AK37" s="692"/>
      <c r="AL37" s="961"/>
      <c r="AM37" s="961"/>
      <c r="AN37" s="692"/>
      <c r="AO37" s="692"/>
      <c r="AP37" s="692"/>
      <c r="AQ37" s="692"/>
      <c r="AR37" s="1"/>
      <c r="AS37" s="1"/>
      <c r="AT37" s="961">
        <f>SUM(AH37:AS37)</f>
        <v>0</v>
      </c>
      <c r="AU37" s="961" t="e">
        <f t="shared" si="19"/>
        <v>#DIV/0!</v>
      </c>
      <c r="AW37" s="1118">
        <f t="shared" si="7"/>
        <v>0</v>
      </c>
      <c r="AX37" s="782">
        <f t="shared" si="15"/>
        <v>1.1305392524666686</v>
      </c>
      <c r="AY37" s="1119">
        <f t="shared" si="16"/>
        <v>-5.4085565758000005</v>
      </c>
      <c r="AZ37" s="594">
        <f t="shared" si="9"/>
        <v>0</v>
      </c>
    </row>
    <row r="38" spans="1:52" ht="18" hidden="1" thickBot="1" x14ac:dyDescent="0.6">
      <c r="A38" s="7468"/>
      <c r="B38" s="1"/>
      <c r="C38" s="12" t="s">
        <v>274</v>
      </c>
      <c r="D38" s="938">
        <v>1.1629799999999999</v>
      </c>
      <c r="E38" s="938">
        <v>4.7969999999999997</v>
      </c>
      <c r="F38" s="938">
        <v>1.9702799999999998</v>
      </c>
      <c r="G38" s="938">
        <v>1.2284999999999999</v>
      </c>
      <c r="H38" s="938">
        <v>1.53738</v>
      </c>
      <c r="I38" s="938">
        <v>1.5467399999999998</v>
      </c>
      <c r="J38" s="938">
        <v>2.9624399999999995</v>
      </c>
      <c r="K38" s="938">
        <v>5.5902599999999998</v>
      </c>
      <c r="L38" s="938">
        <v>1.2986999999999997</v>
      </c>
      <c r="M38" s="938">
        <v>0.36971999999999999</v>
      </c>
      <c r="N38" s="938">
        <v>1.6871399999999996</v>
      </c>
      <c r="O38" s="938">
        <v>1.3899599999999999</v>
      </c>
      <c r="P38" s="953">
        <f t="shared" si="17"/>
        <v>25.541099999999997</v>
      </c>
      <c r="Q38" s="938">
        <f t="shared" si="18"/>
        <v>2.1284249999999996</v>
      </c>
      <c r="S38" s="962">
        <v>5.6253599999999997</v>
      </c>
      <c r="T38" s="693">
        <v>2.30958</v>
      </c>
      <c r="U38" s="693">
        <v>1.6309799999999999</v>
      </c>
      <c r="V38" s="693">
        <v>1.7386199999999998</v>
      </c>
      <c r="W38" s="962">
        <v>2.2999999999999998</v>
      </c>
      <c r="X38" s="962">
        <v>1.2</v>
      </c>
      <c r="Y38" s="693">
        <v>4.5599999999999996</v>
      </c>
      <c r="Z38" s="693">
        <v>4.5599999999999996</v>
      </c>
      <c r="AA38" s="693">
        <v>1.1000000000000001</v>
      </c>
      <c r="AB38" s="693">
        <v>1.23</v>
      </c>
      <c r="AC38" s="12"/>
      <c r="AD38" s="12"/>
      <c r="AE38" s="962">
        <f t="shared" si="11"/>
        <v>26.254539999999995</v>
      </c>
      <c r="AF38" s="962">
        <f t="shared" si="12"/>
        <v>2.6254539999999995</v>
      </c>
      <c r="AH38" s="962"/>
      <c r="AI38" s="693"/>
      <c r="AJ38" s="693"/>
      <c r="AK38" s="693"/>
      <c r="AL38" s="962"/>
      <c r="AM38" s="962"/>
      <c r="AN38" s="693"/>
      <c r="AO38" s="693"/>
      <c r="AP38" s="693"/>
      <c r="AQ38" s="693"/>
      <c r="AR38" s="12"/>
      <c r="AS38" s="12"/>
      <c r="AT38" s="962">
        <f>SUM(AH38:AS38)</f>
        <v>0</v>
      </c>
      <c r="AU38" s="962" t="e">
        <f t="shared" si="19"/>
        <v>#DIV/0!</v>
      </c>
      <c r="AW38" s="1118">
        <f t="shared" si="7"/>
        <v>0</v>
      </c>
      <c r="AX38" s="782">
        <f t="shared" si="15"/>
        <v>0.49702899999999994</v>
      </c>
      <c r="AY38" s="1119">
        <f t="shared" si="16"/>
        <v>-2.6254539999999995</v>
      </c>
      <c r="AZ38" s="594">
        <f t="shared" si="9"/>
        <v>0</v>
      </c>
    </row>
    <row r="39" spans="1:52" ht="18" hidden="1" thickBot="1" x14ac:dyDescent="0.6">
      <c r="A39" s="7473"/>
      <c r="B39" s="117"/>
      <c r="C39" s="142" t="s">
        <v>275</v>
      </c>
      <c r="D39" s="942">
        <v>5.4063520199999999</v>
      </c>
      <c r="E39" s="942">
        <v>1.9837421999999905</v>
      </c>
      <c r="F39" s="942">
        <v>8.6545880000000006E-2</v>
      </c>
      <c r="G39" s="942">
        <v>1.2344884899999999</v>
      </c>
      <c r="H39" s="942">
        <v>1.92006225</v>
      </c>
      <c r="I39" s="942">
        <v>0.3241217799999988</v>
      </c>
      <c r="J39" s="942">
        <v>0.68979604999999766</v>
      </c>
      <c r="K39" s="942">
        <v>0.16696999000000001</v>
      </c>
      <c r="L39" s="942">
        <v>0</v>
      </c>
      <c r="M39" s="942">
        <v>7.2575042700000001</v>
      </c>
      <c r="N39" s="942">
        <v>6.1200189600000003</v>
      </c>
      <c r="O39" s="942">
        <v>0.60550599000000005</v>
      </c>
      <c r="P39" s="957">
        <f t="shared" si="17"/>
        <v>25.795107879999989</v>
      </c>
      <c r="Q39" s="942">
        <f t="shared" si="18"/>
        <v>2.1495923233333323</v>
      </c>
      <c r="S39" s="694">
        <v>2.5059101099999999</v>
      </c>
      <c r="T39" s="694">
        <v>0.31444454799999955</v>
      </c>
      <c r="U39" s="694">
        <v>1.15411131</v>
      </c>
      <c r="V39" s="694">
        <v>1.4965597900000001</v>
      </c>
      <c r="W39" s="694">
        <v>1</v>
      </c>
      <c r="X39" s="694">
        <v>0.17</v>
      </c>
      <c r="Y39" s="694">
        <v>0.48</v>
      </c>
      <c r="Z39" s="694">
        <v>0.48</v>
      </c>
      <c r="AA39" s="694">
        <v>7.53</v>
      </c>
      <c r="AB39" s="694">
        <v>12.7</v>
      </c>
      <c r="AC39" s="142"/>
      <c r="AD39" s="142"/>
      <c r="AE39" s="694">
        <f t="shared" si="11"/>
        <v>27.831025757999999</v>
      </c>
      <c r="AF39" s="694">
        <f t="shared" si="12"/>
        <v>2.7831025758000001</v>
      </c>
      <c r="AH39" s="694"/>
      <c r="AI39" s="694"/>
      <c r="AJ39" s="694"/>
      <c r="AK39" s="694"/>
      <c r="AL39" s="694"/>
      <c r="AM39" s="694"/>
      <c r="AN39" s="694"/>
      <c r="AO39" s="694"/>
      <c r="AP39" s="694"/>
      <c r="AQ39" s="694"/>
      <c r="AR39" s="142"/>
      <c r="AS39" s="142"/>
      <c r="AT39" s="694">
        <f>SUM(AH39:AS39)</f>
        <v>0</v>
      </c>
      <c r="AU39" s="694" t="e">
        <f t="shared" si="19"/>
        <v>#DIV/0!</v>
      </c>
      <c r="AW39" s="1118">
        <f t="shared" si="7"/>
        <v>0</v>
      </c>
      <c r="AX39" s="782">
        <f t="shared" si="15"/>
        <v>0.63351025246666781</v>
      </c>
      <c r="AY39" s="1119">
        <f t="shared" si="16"/>
        <v>-2.7831025758000001</v>
      </c>
      <c r="AZ39" s="594">
        <f t="shared" si="9"/>
        <v>0</v>
      </c>
    </row>
    <row r="40" spans="1:52" ht="18" hidden="1" thickBot="1" x14ac:dyDescent="0.6">
      <c r="S40" s="1"/>
      <c r="AB40" t="s">
        <v>772</v>
      </c>
      <c r="AH40" s="1"/>
      <c r="AW40" s="1118">
        <f t="shared" si="7"/>
        <v>0</v>
      </c>
      <c r="AX40" s="1029"/>
      <c r="AY40" s="1119" t="e">
        <f t="shared" si="16"/>
        <v>#DIV/0!</v>
      </c>
      <c r="AZ40" s="594">
        <f t="shared" si="9"/>
        <v>-7</v>
      </c>
    </row>
    <row r="41" spans="1:52" ht="17.8" customHeight="1" x14ac:dyDescent="0.55000000000000004">
      <c r="A41" s="7591" t="s">
        <v>329</v>
      </c>
      <c r="B41" s="7584" t="s">
        <v>325</v>
      </c>
      <c r="C41" s="111" t="s">
        <v>958</v>
      </c>
      <c r="D41" s="111"/>
      <c r="E41" s="111"/>
      <c r="F41" s="111">
        <v>5</v>
      </c>
      <c r="G41" s="111">
        <v>2</v>
      </c>
      <c r="H41" s="111">
        <v>10</v>
      </c>
      <c r="I41" s="111">
        <v>15</v>
      </c>
      <c r="J41" s="111">
        <v>17</v>
      </c>
      <c r="K41" s="111">
        <v>19</v>
      </c>
      <c r="L41" s="111">
        <v>10</v>
      </c>
      <c r="M41" s="111">
        <v>6</v>
      </c>
      <c r="N41" s="111">
        <v>16</v>
      </c>
      <c r="O41" s="111">
        <v>11</v>
      </c>
      <c r="P41" s="958">
        <f t="shared" si="17"/>
        <v>111</v>
      </c>
      <c r="Q41" s="931">
        <f t="shared" si="18"/>
        <v>11.1</v>
      </c>
      <c r="R41" s="1"/>
      <c r="S41" s="111">
        <v>12</v>
      </c>
      <c r="T41" s="111">
        <v>19</v>
      </c>
      <c r="U41" s="111">
        <v>34</v>
      </c>
      <c r="V41" s="111">
        <v>53</v>
      </c>
      <c r="W41" s="111">
        <v>59</v>
      </c>
      <c r="X41" s="967">
        <v>62</v>
      </c>
      <c r="Y41" s="967">
        <v>59</v>
      </c>
      <c r="Z41" s="967">
        <v>61</v>
      </c>
      <c r="AA41" s="967">
        <v>36</v>
      </c>
      <c r="AB41" s="967">
        <v>73</v>
      </c>
      <c r="AC41" s="111">
        <v>51</v>
      </c>
      <c r="AD41" s="111">
        <v>35</v>
      </c>
      <c r="AE41" s="958">
        <f>SUM(S41:AD41)</f>
        <v>554</v>
      </c>
      <c r="AF41" s="958">
        <f>AVERAGE(S41:AD41)</f>
        <v>46.166666666666664</v>
      </c>
      <c r="AH41" s="111">
        <v>25</v>
      </c>
      <c r="AI41" s="111">
        <v>49</v>
      </c>
      <c r="AJ41" s="111">
        <v>75</v>
      </c>
      <c r="AK41" s="111">
        <v>114</v>
      </c>
      <c r="AL41" s="111">
        <v>112</v>
      </c>
      <c r="AM41" s="967">
        <v>103</v>
      </c>
      <c r="AN41" s="967">
        <v>96</v>
      </c>
      <c r="AO41" s="967">
        <v>93</v>
      </c>
      <c r="AP41" s="967">
        <v>124</v>
      </c>
      <c r="AQ41" s="967">
        <v>63</v>
      </c>
      <c r="AR41" s="111">
        <v>64</v>
      </c>
      <c r="AS41" s="111">
        <v>57</v>
      </c>
      <c r="AT41" s="958">
        <f>SUM(AH41:AS41)</f>
        <v>975</v>
      </c>
      <c r="AU41" s="958">
        <f>AVERAGE(AH41:AS41)</f>
        <v>81.25</v>
      </c>
      <c r="AW41" s="1497">
        <f t="shared" si="7"/>
        <v>22</v>
      </c>
      <c r="AX41" s="782">
        <f t="shared" ref="AX41:AX71" si="22">AU41-AF41</f>
        <v>35.083333333333336</v>
      </c>
      <c r="AY41" s="1119">
        <f t="shared" ref="AY41:AY74" si="23">AT41-SUM(S41:AD41)</f>
        <v>421</v>
      </c>
      <c r="AZ41" s="594">
        <f t="shared" si="9"/>
        <v>-111</v>
      </c>
    </row>
    <row r="42" spans="1:52" ht="17.8" customHeight="1" x14ac:dyDescent="0.55000000000000004">
      <c r="A42" s="7592"/>
      <c r="B42" s="7585"/>
      <c r="C42" s="17" t="s">
        <v>326</v>
      </c>
      <c r="D42" s="17"/>
      <c r="E42" s="17"/>
      <c r="F42" s="17">
        <v>86</v>
      </c>
      <c r="G42" s="17">
        <v>25</v>
      </c>
      <c r="H42" s="17">
        <v>126</v>
      </c>
      <c r="I42" s="17">
        <v>267</v>
      </c>
      <c r="J42" s="17">
        <v>337</v>
      </c>
      <c r="K42" s="17">
        <v>325</v>
      </c>
      <c r="L42" s="17">
        <v>173</v>
      </c>
      <c r="M42" s="17">
        <v>111</v>
      </c>
      <c r="N42" s="17">
        <v>287</v>
      </c>
      <c r="O42" s="17">
        <v>151</v>
      </c>
      <c r="P42" s="909">
        <f t="shared" si="17"/>
        <v>1888</v>
      </c>
      <c r="Q42" s="909">
        <f t="shared" si="18"/>
        <v>188.8</v>
      </c>
      <c r="R42" s="1"/>
      <c r="S42" s="17">
        <v>115</v>
      </c>
      <c r="T42" s="17">
        <v>314</v>
      </c>
      <c r="U42" s="17">
        <v>492</v>
      </c>
      <c r="V42" s="17">
        <v>802</v>
      </c>
      <c r="W42" s="17">
        <v>724</v>
      </c>
      <c r="X42" s="17">
        <v>934</v>
      </c>
      <c r="Y42" s="17">
        <v>785</v>
      </c>
      <c r="Z42" s="17">
        <v>870</v>
      </c>
      <c r="AA42" s="17">
        <v>573</v>
      </c>
      <c r="AB42" s="17">
        <v>1083</v>
      </c>
      <c r="AC42" s="17">
        <v>745</v>
      </c>
      <c r="AD42" s="17">
        <v>455</v>
      </c>
      <c r="AE42" s="974">
        <f>SUM(S42:AD42)</f>
        <v>7892</v>
      </c>
      <c r="AF42" s="974">
        <f t="shared" ref="AF42:AF52" si="24">AVERAGE(S42:AD42)</f>
        <v>657.66666666666663</v>
      </c>
      <c r="AG42" s="1632">
        <f>AU42/AF42</f>
        <v>1.8015712113532691</v>
      </c>
      <c r="AH42" s="458">
        <v>364</v>
      </c>
      <c r="AI42" s="458">
        <v>761</v>
      </c>
      <c r="AJ42" s="458">
        <v>1122</v>
      </c>
      <c r="AK42" s="458">
        <v>1576</v>
      </c>
      <c r="AL42" s="458">
        <v>1575</v>
      </c>
      <c r="AM42" s="458">
        <v>1536</v>
      </c>
      <c r="AN42" s="17">
        <v>1390</v>
      </c>
      <c r="AO42" s="17">
        <v>1297</v>
      </c>
      <c r="AP42" s="17">
        <v>1898</v>
      </c>
      <c r="AQ42" s="458">
        <v>930</v>
      </c>
      <c r="AR42" s="17">
        <v>940</v>
      </c>
      <c r="AS42" s="2425">
        <v>829</v>
      </c>
      <c r="AT42" s="974">
        <f>SUM(AH42:AS42)</f>
        <v>14218</v>
      </c>
      <c r="AU42" s="974">
        <f>AVERAGE(AH42:AS42)</f>
        <v>1184.8333333333333</v>
      </c>
      <c r="AV42" s="751"/>
      <c r="AW42" s="1497">
        <f>HLOOKUP($A$1,$AH$2:$AS$404,ROW()-1,0)-HLOOKUP($A$1,$S$2:$AD$404,ROW()-1,0)</f>
        <v>374</v>
      </c>
      <c r="AX42" s="782">
        <f t="shared" si="22"/>
        <v>527.16666666666663</v>
      </c>
      <c r="AY42" s="1119">
        <f t="shared" si="23"/>
        <v>6326</v>
      </c>
      <c r="AZ42" s="594">
        <f t="shared" si="9"/>
        <v>-7</v>
      </c>
    </row>
    <row r="43" spans="1:52" ht="17.8" customHeight="1" x14ac:dyDescent="0.55000000000000004">
      <c r="A43" s="7592"/>
      <c r="B43" s="7586" t="s">
        <v>1019</v>
      </c>
      <c r="C43" s="144" t="s">
        <v>958</v>
      </c>
      <c r="D43" s="144"/>
      <c r="E43" s="144"/>
      <c r="F43" s="144">
        <v>5</v>
      </c>
      <c r="G43" s="144">
        <v>2</v>
      </c>
      <c r="H43" s="144">
        <v>10</v>
      </c>
      <c r="I43" s="144">
        <v>15</v>
      </c>
      <c r="J43" s="144">
        <v>17</v>
      </c>
      <c r="K43" s="144">
        <v>19</v>
      </c>
      <c r="L43" s="144">
        <v>10</v>
      </c>
      <c r="M43" s="144">
        <v>6</v>
      </c>
      <c r="N43" s="144">
        <v>16</v>
      </c>
      <c r="O43" s="144">
        <v>11</v>
      </c>
      <c r="P43" s="959">
        <f t="shared" si="17"/>
        <v>111</v>
      </c>
      <c r="Q43" s="959">
        <f t="shared" si="18"/>
        <v>11.1</v>
      </c>
      <c r="R43" s="1"/>
      <c r="S43" s="1">
        <v>10</v>
      </c>
      <c r="T43" s="1">
        <v>15</v>
      </c>
      <c r="U43" s="1">
        <v>20</v>
      </c>
      <c r="V43" s="1">
        <v>39</v>
      </c>
      <c r="W43" s="1">
        <v>47</v>
      </c>
      <c r="X43" s="1">
        <v>57</v>
      </c>
      <c r="Y43" s="1134">
        <v>51</v>
      </c>
      <c r="Z43" s="1134">
        <v>57</v>
      </c>
      <c r="AA43" s="1134">
        <v>33</v>
      </c>
      <c r="AB43" s="1134">
        <v>71</v>
      </c>
      <c r="AC43" s="1134">
        <v>49</v>
      </c>
      <c r="AD43" s="1134">
        <v>35</v>
      </c>
      <c r="AE43" s="977">
        <f t="shared" ref="AE43:AE52" si="25">SUM(S43:AD43)</f>
        <v>484</v>
      </c>
      <c r="AF43" s="977">
        <f t="shared" si="24"/>
        <v>40.333333333333336</v>
      </c>
      <c r="AH43">
        <v>21</v>
      </c>
      <c r="AI43">
        <v>41</v>
      </c>
      <c r="AJ43">
        <v>49</v>
      </c>
      <c r="AK43">
        <v>84</v>
      </c>
      <c r="AL43">
        <v>74</v>
      </c>
      <c r="AM43">
        <v>56</v>
      </c>
      <c r="AN43" s="144">
        <v>50</v>
      </c>
      <c r="AO43" s="144">
        <v>49</v>
      </c>
      <c r="AP43" s="144">
        <v>77</v>
      </c>
      <c r="AQ43" s="1134">
        <v>51</v>
      </c>
      <c r="AR43" s="144">
        <v>41</v>
      </c>
      <c r="AS43" s="144">
        <v>34</v>
      </c>
      <c r="AT43" s="977">
        <f t="shared" ref="AT43:AT74" si="26">SUM(AH43:AS43)</f>
        <v>627</v>
      </c>
      <c r="AU43" s="977">
        <f t="shared" ref="AU43:AU74" si="27">AVERAGE(AH43:AS43)</f>
        <v>52.25</v>
      </c>
      <c r="AW43" s="1497">
        <f t="shared" si="7"/>
        <v>-1</v>
      </c>
      <c r="AX43" s="782">
        <f t="shared" si="22"/>
        <v>11.916666666666664</v>
      </c>
      <c r="AY43" s="1119">
        <f t="shared" si="23"/>
        <v>143</v>
      </c>
      <c r="AZ43" s="594">
        <f t="shared" si="9"/>
        <v>-48</v>
      </c>
    </row>
    <row r="44" spans="1:52" ht="17.8" customHeight="1" x14ac:dyDescent="0.55000000000000004">
      <c r="A44" s="7592"/>
      <c r="B44" s="7587"/>
      <c r="C44" s="8" t="s">
        <v>326</v>
      </c>
      <c r="D44" s="8"/>
      <c r="E44" s="8"/>
      <c r="F44" s="8">
        <v>86</v>
      </c>
      <c r="G44" s="8">
        <v>25</v>
      </c>
      <c r="H44" s="8">
        <v>126</v>
      </c>
      <c r="I44" s="8">
        <v>267</v>
      </c>
      <c r="J44" s="8">
        <v>337</v>
      </c>
      <c r="K44" s="8">
        <v>325</v>
      </c>
      <c r="L44" s="8">
        <v>173</v>
      </c>
      <c r="M44" s="8">
        <v>111</v>
      </c>
      <c r="N44" s="8">
        <v>287</v>
      </c>
      <c r="O44" s="8">
        <v>151</v>
      </c>
      <c r="P44" s="908">
        <f t="shared" si="17"/>
        <v>1888</v>
      </c>
      <c r="Q44" s="908">
        <f t="shared" si="18"/>
        <v>188.8</v>
      </c>
      <c r="R44" s="1"/>
      <c r="S44" s="1">
        <v>115</v>
      </c>
      <c r="T44" s="1">
        <v>225</v>
      </c>
      <c r="U44" s="1">
        <v>335</v>
      </c>
      <c r="V44" s="1">
        <v>603</v>
      </c>
      <c r="W44" s="1">
        <v>613</v>
      </c>
      <c r="X44" s="1">
        <v>876</v>
      </c>
      <c r="Y44" s="1">
        <v>662</v>
      </c>
      <c r="Z44" s="1">
        <v>815</v>
      </c>
      <c r="AA44" s="1">
        <v>534</v>
      </c>
      <c r="AB44" s="1">
        <v>1051</v>
      </c>
      <c r="AC44" s="1">
        <v>718</v>
      </c>
      <c r="AD44" s="1">
        <v>455</v>
      </c>
      <c r="AE44" s="921">
        <f t="shared" si="25"/>
        <v>7002</v>
      </c>
      <c r="AF44" s="921">
        <f t="shared" si="24"/>
        <v>583.5</v>
      </c>
      <c r="AH44">
        <v>313</v>
      </c>
      <c r="AI44">
        <v>669</v>
      </c>
      <c r="AJ44">
        <v>803</v>
      </c>
      <c r="AK44">
        <v>1178</v>
      </c>
      <c r="AL44">
        <v>1081</v>
      </c>
      <c r="AM44">
        <v>883</v>
      </c>
      <c r="AN44" s="8">
        <v>768</v>
      </c>
      <c r="AO44" s="8">
        <v>661</v>
      </c>
      <c r="AP44" s="8">
        <v>1263</v>
      </c>
      <c r="AQ44">
        <v>748</v>
      </c>
      <c r="AR44" s="8">
        <v>591</v>
      </c>
      <c r="AS44" s="8">
        <v>543</v>
      </c>
      <c r="AT44" s="921">
        <f t="shared" si="26"/>
        <v>9501</v>
      </c>
      <c r="AU44" s="921">
        <f t="shared" si="27"/>
        <v>791.75</v>
      </c>
      <c r="AW44" s="1497">
        <f t="shared" si="7"/>
        <v>88</v>
      </c>
      <c r="AX44" s="782">
        <f t="shared" si="22"/>
        <v>208.25</v>
      </c>
      <c r="AY44" s="1119">
        <f t="shared" si="23"/>
        <v>2499</v>
      </c>
      <c r="AZ44" s="594">
        <f t="shared" si="9"/>
        <v>0</v>
      </c>
    </row>
    <row r="45" spans="1:52" ht="17.8" customHeight="1" x14ac:dyDescent="0.55000000000000004">
      <c r="A45" s="7592"/>
      <c r="B45" s="7572" t="s">
        <v>327</v>
      </c>
      <c r="C45" s="589" t="s">
        <v>958</v>
      </c>
      <c r="D45" s="589"/>
      <c r="E45" s="589"/>
      <c r="F45" s="589">
        <v>0</v>
      </c>
      <c r="G45" s="589">
        <v>0</v>
      </c>
      <c r="H45" s="589">
        <v>0</v>
      </c>
      <c r="I45" s="589">
        <v>0</v>
      </c>
      <c r="J45" s="589">
        <v>0</v>
      </c>
      <c r="K45" s="589">
        <v>0</v>
      </c>
      <c r="L45" s="589">
        <v>0</v>
      </c>
      <c r="M45" s="589">
        <v>0</v>
      </c>
      <c r="N45" s="589">
        <v>0</v>
      </c>
      <c r="O45" s="589">
        <v>0</v>
      </c>
      <c r="P45" s="589">
        <v>0</v>
      </c>
      <c r="Q45" s="589">
        <v>0</v>
      </c>
      <c r="R45" s="1"/>
      <c r="S45" s="777">
        <v>2</v>
      </c>
      <c r="T45" s="777">
        <v>4</v>
      </c>
      <c r="U45" s="777">
        <v>12</v>
      </c>
      <c r="V45" s="777">
        <v>11</v>
      </c>
      <c r="W45" s="777">
        <v>12</v>
      </c>
      <c r="X45" s="777">
        <v>5</v>
      </c>
      <c r="Y45" s="777">
        <v>8</v>
      </c>
      <c r="Z45" s="777">
        <v>4</v>
      </c>
      <c r="AA45" s="777">
        <v>3</v>
      </c>
      <c r="AB45" s="777">
        <v>2</v>
      </c>
      <c r="AC45" s="777">
        <v>2</v>
      </c>
      <c r="AD45" s="777">
        <v>0</v>
      </c>
      <c r="AE45" s="978">
        <f t="shared" si="25"/>
        <v>65</v>
      </c>
      <c r="AF45" s="978">
        <f t="shared" si="24"/>
        <v>5.416666666666667</v>
      </c>
      <c r="AH45" s="777">
        <v>4</v>
      </c>
      <c r="AI45" s="777">
        <v>8</v>
      </c>
      <c r="AJ45" s="777">
        <v>26</v>
      </c>
      <c r="AK45" s="777">
        <v>30</v>
      </c>
      <c r="AL45" s="777">
        <v>38</v>
      </c>
      <c r="AM45" s="777">
        <v>47</v>
      </c>
      <c r="AN45" s="589">
        <v>46</v>
      </c>
      <c r="AO45" s="589">
        <v>44</v>
      </c>
      <c r="AP45" s="589">
        <v>47</v>
      </c>
      <c r="AQ45" s="777">
        <v>12</v>
      </c>
      <c r="AR45" s="589">
        <v>23</v>
      </c>
      <c r="AS45" s="589">
        <v>23</v>
      </c>
      <c r="AT45" s="978">
        <f t="shared" si="26"/>
        <v>348</v>
      </c>
      <c r="AU45" s="978">
        <f t="shared" si="27"/>
        <v>29</v>
      </c>
      <c r="AW45" s="1497">
        <f t="shared" si="7"/>
        <v>23</v>
      </c>
      <c r="AX45" s="782">
        <f t="shared" si="22"/>
        <v>23.583333333333332</v>
      </c>
      <c r="AY45" s="1119">
        <f t="shared" si="23"/>
        <v>283</v>
      </c>
      <c r="AZ45" s="594">
        <f t="shared" si="9"/>
        <v>-63</v>
      </c>
    </row>
    <row r="46" spans="1:52" ht="17.8" customHeight="1" x14ac:dyDescent="0.55000000000000004">
      <c r="A46" s="7592"/>
      <c r="B46" s="7573"/>
      <c r="C46" s="590" t="s">
        <v>326</v>
      </c>
      <c r="D46" s="590"/>
      <c r="E46" s="590"/>
      <c r="F46" s="589">
        <v>0</v>
      </c>
      <c r="G46" s="589">
        <v>0</v>
      </c>
      <c r="H46" s="589">
        <v>0</v>
      </c>
      <c r="I46" s="589">
        <v>0</v>
      </c>
      <c r="J46" s="589">
        <v>0</v>
      </c>
      <c r="K46" s="589">
        <v>0</v>
      </c>
      <c r="L46" s="589">
        <v>0</v>
      </c>
      <c r="M46" s="589">
        <v>0</v>
      </c>
      <c r="N46" s="589">
        <v>0</v>
      </c>
      <c r="O46" s="589">
        <v>0</v>
      </c>
      <c r="P46" s="589">
        <v>0</v>
      </c>
      <c r="Q46" s="589">
        <v>0</v>
      </c>
      <c r="R46" s="1"/>
      <c r="S46" s="778">
        <v>0</v>
      </c>
      <c r="T46" s="778">
        <v>89</v>
      </c>
      <c r="U46" s="778">
        <v>119</v>
      </c>
      <c r="V46" s="778">
        <v>126</v>
      </c>
      <c r="W46" s="778">
        <v>105</v>
      </c>
      <c r="X46" s="778">
        <v>58</v>
      </c>
      <c r="Y46" s="778">
        <v>123</v>
      </c>
      <c r="Z46" s="778">
        <v>55</v>
      </c>
      <c r="AA46" s="778">
        <v>39</v>
      </c>
      <c r="AB46" s="778">
        <v>32</v>
      </c>
      <c r="AC46" s="778">
        <v>27</v>
      </c>
      <c r="AD46" s="778">
        <v>0</v>
      </c>
      <c r="AE46" s="979">
        <f t="shared" si="25"/>
        <v>773</v>
      </c>
      <c r="AF46" s="979">
        <f t="shared" si="24"/>
        <v>64.416666666666671</v>
      </c>
      <c r="AH46" s="778">
        <v>51</v>
      </c>
      <c r="AI46" s="778">
        <v>92</v>
      </c>
      <c r="AJ46" s="778">
        <v>319</v>
      </c>
      <c r="AK46" s="778">
        <v>398</v>
      </c>
      <c r="AL46" s="778">
        <v>494</v>
      </c>
      <c r="AM46" s="778">
        <v>653</v>
      </c>
      <c r="AN46" s="590">
        <v>622</v>
      </c>
      <c r="AO46" s="590">
        <v>636</v>
      </c>
      <c r="AP46" s="590">
        <v>635</v>
      </c>
      <c r="AQ46" s="778">
        <v>182</v>
      </c>
      <c r="AR46" s="590">
        <v>349</v>
      </c>
      <c r="AS46" s="590">
        <v>286</v>
      </c>
      <c r="AT46" s="979">
        <f t="shared" si="26"/>
        <v>4717</v>
      </c>
      <c r="AU46" s="979">
        <f t="shared" si="27"/>
        <v>393.08333333333331</v>
      </c>
      <c r="AW46" s="1497">
        <f t="shared" si="7"/>
        <v>286</v>
      </c>
      <c r="AX46" s="782">
        <f t="shared" si="22"/>
        <v>328.66666666666663</v>
      </c>
      <c r="AY46" s="1119">
        <f t="shared" si="23"/>
        <v>3944</v>
      </c>
      <c r="AZ46" s="594">
        <f t="shared" si="9"/>
        <v>0</v>
      </c>
    </row>
    <row r="47" spans="1:52" ht="17.8" customHeight="1" x14ac:dyDescent="0.55000000000000004">
      <c r="A47" s="7592"/>
      <c r="B47" s="7574" t="s">
        <v>67</v>
      </c>
      <c r="C47" s="8" t="s">
        <v>958</v>
      </c>
      <c r="D47" s="8"/>
      <c r="E47" s="8"/>
      <c r="F47" s="589">
        <v>0</v>
      </c>
      <c r="G47" s="589">
        <v>0</v>
      </c>
      <c r="H47" s="589">
        <v>0</v>
      </c>
      <c r="I47" s="589">
        <v>0</v>
      </c>
      <c r="J47" s="589">
        <v>0</v>
      </c>
      <c r="K47" s="589">
        <v>0</v>
      </c>
      <c r="L47" s="589">
        <v>0</v>
      </c>
      <c r="M47" s="589">
        <v>0</v>
      </c>
      <c r="N47" s="589">
        <v>0</v>
      </c>
      <c r="O47" s="589">
        <v>0</v>
      </c>
      <c r="P47" s="589">
        <v>0</v>
      </c>
      <c r="Q47" s="589">
        <v>0</v>
      </c>
      <c r="R47" s="1"/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921">
        <f t="shared" si="25"/>
        <v>0</v>
      </c>
      <c r="AF47" s="921">
        <f t="shared" si="24"/>
        <v>0</v>
      </c>
      <c r="AG47" s="1"/>
      <c r="AH47">
        <v>0</v>
      </c>
      <c r="AI47">
        <v>0</v>
      </c>
      <c r="AJ47">
        <v>0</v>
      </c>
      <c r="AK47" s="1">
        <v>0</v>
      </c>
      <c r="AL47">
        <v>0</v>
      </c>
      <c r="AM47">
        <v>0</v>
      </c>
      <c r="AN47" s="8">
        <v>0</v>
      </c>
      <c r="AO47" s="8">
        <v>0</v>
      </c>
      <c r="AP47" s="8">
        <v>0</v>
      </c>
      <c r="AQ47">
        <v>0</v>
      </c>
      <c r="AR47" s="8">
        <v>0</v>
      </c>
      <c r="AS47" s="8">
        <v>0</v>
      </c>
      <c r="AT47" s="921">
        <f t="shared" si="26"/>
        <v>0</v>
      </c>
      <c r="AU47" s="921">
        <f t="shared" si="27"/>
        <v>0</v>
      </c>
      <c r="AW47" s="1497">
        <f t="shared" si="7"/>
        <v>0</v>
      </c>
      <c r="AX47" s="782">
        <f t="shared" si="22"/>
        <v>0</v>
      </c>
      <c r="AY47" s="1119">
        <f t="shared" si="23"/>
        <v>0</v>
      </c>
      <c r="AZ47" s="594">
        <f t="shared" si="9"/>
        <v>0</v>
      </c>
    </row>
    <row r="48" spans="1:52" ht="17.8" customHeight="1" x14ac:dyDescent="0.55000000000000004">
      <c r="A48" s="7592"/>
      <c r="B48" s="7588"/>
      <c r="C48" s="2145" t="s">
        <v>326</v>
      </c>
      <c r="D48" s="2145"/>
      <c r="E48" s="2145"/>
      <c r="F48" s="2146">
        <v>0</v>
      </c>
      <c r="G48" s="2146">
        <v>0</v>
      </c>
      <c r="H48" s="2146">
        <v>0</v>
      </c>
      <c r="I48" s="2146">
        <v>0</v>
      </c>
      <c r="J48" s="2146">
        <v>0</v>
      </c>
      <c r="K48" s="2146">
        <v>0</v>
      </c>
      <c r="L48" s="2146">
        <v>0</v>
      </c>
      <c r="M48" s="2146">
        <v>0</v>
      </c>
      <c r="N48" s="2146">
        <v>0</v>
      </c>
      <c r="O48" s="2146">
        <v>0</v>
      </c>
      <c r="P48" s="2146">
        <v>0</v>
      </c>
      <c r="Q48" s="2146">
        <v>0</v>
      </c>
      <c r="R48" s="2147"/>
      <c r="S48" s="2147">
        <v>0</v>
      </c>
      <c r="T48" s="2147">
        <v>0</v>
      </c>
      <c r="U48" s="2147">
        <v>0</v>
      </c>
      <c r="V48" s="2147">
        <v>0</v>
      </c>
      <c r="W48" s="2147">
        <v>0</v>
      </c>
      <c r="X48" s="2147">
        <v>0</v>
      </c>
      <c r="Y48" s="2147">
        <v>0</v>
      </c>
      <c r="Z48" s="2147">
        <v>0</v>
      </c>
      <c r="AA48" s="2147">
        <v>0</v>
      </c>
      <c r="AB48" s="2147">
        <v>0</v>
      </c>
      <c r="AC48" s="2147">
        <v>0</v>
      </c>
      <c r="AD48" s="2147">
        <v>0</v>
      </c>
      <c r="AE48" s="2148">
        <f t="shared" si="25"/>
        <v>0</v>
      </c>
      <c r="AF48" s="2148">
        <f t="shared" si="24"/>
        <v>0</v>
      </c>
      <c r="AG48" s="2147"/>
      <c r="AH48" s="2147">
        <v>0</v>
      </c>
      <c r="AI48" s="2147">
        <v>0</v>
      </c>
      <c r="AJ48" s="2147">
        <v>0</v>
      </c>
      <c r="AK48" s="2147">
        <v>0</v>
      </c>
      <c r="AL48" s="2147">
        <v>0</v>
      </c>
      <c r="AM48" s="2147">
        <v>0</v>
      </c>
      <c r="AN48" s="2145">
        <v>0</v>
      </c>
      <c r="AO48" s="2145">
        <v>0</v>
      </c>
      <c r="AP48" s="2145">
        <v>0</v>
      </c>
      <c r="AQ48" s="2147">
        <v>0</v>
      </c>
      <c r="AR48" s="2145">
        <v>0</v>
      </c>
      <c r="AS48" s="2145">
        <v>0</v>
      </c>
      <c r="AT48" s="2148">
        <f t="shared" si="26"/>
        <v>0</v>
      </c>
      <c r="AU48" s="2148">
        <f t="shared" si="27"/>
        <v>0</v>
      </c>
      <c r="AW48" s="1497">
        <f t="shared" si="7"/>
        <v>0</v>
      </c>
      <c r="AX48" s="782">
        <f t="shared" si="22"/>
        <v>0</v>
      </c>
      <c r="AY48" s="1119">
        <f t="shared" si="23"/>
        <v>0</v>
      </c>
      <c r="AZ48" s="594">
        <f t="shared" si="9"/>
        <v>0</v>
      </c>
    </row>
    <row r="49" spans="1:52" ht="17.8" customHeight="1" x14ac:dyDescent="0.55000000000000004">
      <c r="A49" s="7592"/>
      <c r="B49" s="7589" t="s">
        <v>816</v>
      </c>
      <c r="C49" s="2149" t="s">
        <v>1110</v>
      </c>
      <c r="D49" s="2149"/>
      <c r="E49" s="2149"/>
      <c r="F49" s="2149">
        <v>0</v>
      </c>
      <c r="G49" s="2149">
        <v>0</v>
      </c>
      <c r="H49" s="2149">
        <v>0</v>
      </c>
      <c r="I49" s="2149">
        <v>0</v>
      </c>
      <c r="J49" s="2149">
        <v>0</v>
      </c>
      <c r="K49" s="2149">
        <v>0</v>
      </c>
      <c r="L49" s="2149">
        <v>0</v>
      </c>
      <c r="M49" s="2149">
        <v>0</v>
      </c>
      <c r="N49" s="2149">
        <v>0</v>
      </c>
      <c r="O49" s="2149">
        <v>0</v>
      </c>
      <c r="P49" s="2146">
        <v>0</v>
      </c>
      <c r="Q49" s="2146">
        <v>0</v>
      </c>
      <c r="R49" s="2150"/>
      <c r="S49" s="2150">
        <v>0</v>
      </c>
      <c r="T49" s="2150">
        <v>0</v>
      </c>
      <c r="U49" s="2150">
        <v>2</v>
      </c>
      <c r="V49" s="2150">
        <v>3</v>
      </c>
      <c r="W49" s="2150">
        <v>0</v>
      </c>
      <c r="X49" s="2150">
        <v>0</v>
      </c>
      <c r="Y49" s="2150">
        <v>0</v>
      </c>
      <c r="Z49" s="2150">
        <v>0</v>
      </c>
      <c r="AA49" s="2150">
        <v>0</v>
      </c>
      <c r="AB49" s="2150">
        <v>0</v>
      </c>
      <c r="AC49" s="2150">
        <v>0</v>
      </c>
      <c r="AD49" s="2150">
        <v>0</v>
      </c>
      <c r="AE49" s="2151">
        <f t="shared" si="25"/>
        <v>5</v>
      </c>
      <c r="AF49" s="2151">
        <f t="shared" si="24"/>
        <v>0.41666666666666669</v>
      </c>
      <c r="AG49" s="2150"/>
      <c r="AH49" s="2150">
        <v>0</v>
      </c>
      <c r="AI49" s="2150">
        <v>0</v>
      </c>
      <c r="AJ49" s="2150">
        <v>0</v>
      </c>
      <c r="AK49" s="2150">
        <v>0</v>
      </c>
      <c r="AL49" s="2150">
        <v>0</v>
      </c>
      <c r="AM49" s="2150">
        <v>0</v>
      </c>
      <c r="AN49" s="2149">
        <v>0</v>
      </c>
      <c r="AO49" s="2149">
        <v>0</v>
      </c>
      <c r="AP49" s="2149">
        <v>0</v>
      </c>
      <c r="AQ49" s="2150">
        <v>0</v>
      </c>
      <c r="AR49" s="2149">
        <v>0</v>
      </c>
      <c r="AS49" s="2149">
        <v>0</v>
      </c>
      <c r="AT49" s="2151">
        <f t="shared" ref="AT49:AT52" si="28">SUM(AH49:AS49)</f>
        <v>0</v>
      </c>
      <c r="AU49" s="2151">
        <f t="shared" ref="AU49:AU52" si="29">AVERAGE(AH49:AS49)</f>
        <v>0</v>
      </c>
      <c r="AW49" s="1497">
        <f t="shared" si="7"/>
        <v>0</v>
      </c>
      <c r="AX49" s="782">
        <f t="shared" ref="AX49:AX52" si="30">AU49-AF49</f>
        <v>-0.41666666666666669</v>
      </c>
      <c r="AY49" s="1119">
        <f t="shared" si="23"/>
        <v>-5</v>
      </c>
      <c r="AZ49" s="594">
        <f t="shared" si="9"/>
        <v>0</v>
      </c>
    </row>
    <row r="50" spans="1:52" ht="17.8" customHeight="1" x14ac:dyDescent="0.55000000000000004">
      <c r="A50" s="7592"/>
      <c r="B50" s="7590"/>
      <c r="C50" s="2145" t="s">
        <v>326</v>
      </c>
      <c r="D50" s="2145"/>
      <c r="E50" s="2145"/>
      <c r="F50" s="2146">
        <v>0</v>
      </c>
      <c r="G50" s="2146">
        <v>0</v>
      </c>
      <c r="H50" s="2146">
        <v>0</v>
      </c>
      <c r="I50" s="2146">
        <v>0</v>
      </c>
      <c r="J50" s="2146">
        <v>0</v>
      </c>
      <c r="K50" s="2146">
        <v>0</v>
      </c>
      <c r="L50" s="2146">
        <v>0</v>
      </c>
      <c r="M50" s="2146">
        <v>0</v>
      </c>
      <c r="N50" s="2146">
        <v>0</v>
      </c>
      <c r="O50" s="2146">
        <v>0</v>
      </c>
      <c r="P50" s="2146">
        <v>0</v>
      </c>
      <c r="Q50" s="2146">
        <v>0</v>
      </c>
      <c r="R50" s="2147"/>
      <c r="S50" s="2147">
        <v>0</v>
      </c>
      <c r="T50" s="2147">
        <v>0</v>
      </c>
      <c r="U50" s="2147">
        <v>38</v>
      </c>
      <c r="V50" s="2147">
        <v>73</v>
      </c>
      <c r="W50" s="2147">
        <v>6</v>
      </c>
      <c r="X50" s="2147">
        <v>0</v>
      </c>
      <c r="Y50" s="2147">
        <v>0</v>
      </c>
      <c r="Z50" s="2147">
        <v>0</v>
      </c>
      <c r="AA50" s="2147">
        <v>0</v>
      </c>
      <c r="AB50" s="2147">
        <v>0</v>
      </c>
      <c r="AC50" s="2147">
        <v>0</v>
      </c>
      <c r="AD50" s="2147">
        <v>0</v>
      </c>
      <c r="AE50" s="2148">
        <f t="shared" si="25"/>
        <v>117</v>
      </c>
      <c r="AF50" s="2148">
        <f t="shared" si="24"/>
        <v>9.75</v>
      </c>
      <c r="AG50" s="2147"/>
      <c r="AH50" s="2147">
        <v>0</v>
      </c>
      <c r="AI50" s="2147">
        <v>0</v>
      </c>
      <c r="AJ50" s="2147">
        <v>0</v>
      </c>
      <c r="AK50" s="2147">
        <v>0</v>
      </c>
      <c r="AL50" s="2147">
        <v>0</v>
      </c>
      <c r="AM50" s="2147">
        <v>0</v>
      </c>
      <c r="AN50" s="2145">
        <v>0</v>
      </c>
      <c r="AO50" s="2145">
        <v>0</v>
      </c>
      <c r="AP50" s="2145">
        <v>0</v>
      </c>
      <c r="AQ50" s="2147">
        <v>0</v>
      </c>
      <c r="AR50" s="2145">
        <v>0</v>
      </c>
      <c r="AS50" s="2145">
        <v>0</v>
      </c>
      <c r="AT50" s="2148">
        <f t="shared" si="28"/>
        <v>0</v>
      </c>
      <c r="AU50" s="2148">
        <f t="shared" si="29"/>
        <v>0</v>
      </c>
      <c r="AW50" s="1497">
        <f t="shared" si="7"/>
        <v>0</v>
      </c>
      <c r="AX50" s="782">
        <f t="shared" si="30"/>
        <v>-9.75</v>
      </c>
      <c r="AY50" s="1119">
        <f t="shared" si="23"/>
        <v>-117</v>
      </c>
      <c r="AZ50" s="594">
        <f t="shared" si="9"/>
        <v>0</v>
      </c>
    </row>
    <row r="51" spans="1:52" ht="17.8" customHeight="1" x14ac:dyDescent="0.55000000000000004">
      <c r="A51" s="7592"/>
      <c r="B51" s="7574" t="s">
        <v>815</v>
      </c>
      <c r="C51" s="8" t="s">
        <v>958</v>
      </c>
      <c r="D51" s="8"/>
      <c r="E51" s="8"/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2146">
        <v>0</v>
      </c>
      <c r="Q51" s="2146">
        <v>0</v>
      </c>
      <c r="R51" s="1"/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921">
        <f t="shared" si="25"/>
        <v>0</v>
      </c>
      <c r="AF51" s="921">
        <f t="shared" si="24"/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8">
        <v>0</v>
      </c>
      <c r="AO51" s="8">
        <v>0</v>
      </c>
      <c r="AP51" s="8">
        <v>0</v>
      </c>
      <c r="AQ51">
        <v>0</v>
      </c>
      <c r="AR51" s="8">
        <v>0</v>
      </c>
      <c r="AS51" s="8">
        <v>0</v>
      </c>
      <c r="AT51" s="921">
        <f t="shared" si="28"/>
        <v>0</v>
      </c>
      <c r="AU51" s="921">
        <f t="shared" si="29"/>
        <v>0</v>
      </c>
      <c r="AW51" s="1497">
        <f t="shared" si="7"/>
        <v>0</v>
      </c>
      <c r="AX51" s="782">
        <f t="shared" si="30"/>
        <v>0</v>
      </c>
      <c r="AY51" s="1119">
        <f t="shared" si="23"/>
        <v>0</v>
      </c>
      <c r="AZ51" s="594">
        <f t="shared" si="9"/>
        <v>0</v>
      </c>
    </row>
    <row r="52" spans="1:52" ht="17.8" customHeight="1" x14ac:dyDescent="0.55000000000000004">
      <c r="A52" s="7592"/>
      <c r="B52" s="7575"/>
      <c r="C52" s="145" t="s">
        <v>326</v>
      </c>
      <c r="D52" s="145"/>
      <c r="E52" s="145"/>
      <c r="F52" s="589">
        <v>0</v>
      </c>
      <c r="G52" s="589">
        <v>0</v>
      </c>
      <c r="H52" s="589">
        <v>0</v>
      </c>
      <c r="I52" s="589">
        <v>0</v>
      </c>
      <c r="J52" s="589">
        <v>0</v>
      </c>
      <c r="K52" s="589">
        <v>0</v>
      </c>
      <c r="L52" s="589">
        <v>0</v>
      </c>
      <c r="M52" s="589">
        <v>0</v>
      </c>
      <c r="N52" s="589">
        <v>0</v>
      </c>
      <c r="O52" s="589">
        <v>0</v>
      </c>
      <c r="P52" s="2146">
        <v>0</v>
      </c>
      <c r="Q52" s="2146">
        <v>0</v>
      </c>
      <c r="R52" s="1"/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780">
        <v>0</v>
      </c>
      <c r="Z52" s="780">
        <v>0</v>
      </c>
      <c r="AA52" s="780">
        <v>0</v>
      </c>
      <c r="AB52" s="780">
        <v>0</v>
      </c>
      <c r="AC52" s="780">
        <v>0</v>
      </c>
      <c r="AD52" s="780">
        <v>0</v>
      </c>
      <c r="AE52" s="980">
        <f t="shared" si="25"/>
        <v>0</v>
      </c>
      <c r="AF52" s="980">
        <f t="shared" si="24"/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145">
        <v>0</v>
      </c>
      <c r="AO52" s="145">
        <v>0</v>
      </c>
      <c r="AP52" s="145">
        <v>0</v>
      </c>
      <c r="AQ52" s="780">
        <v>0</v>
      </c>
      <c r="AR52" s="145">
        <v>0</v>
      </c>
      <c r="AS52" s="145">
        <v>0</v>
      </c>
      <c r="AT52" s="980">
        <f t="shared" si="28"/>
        <v>0</v>
      </c>
      <c r="AU52" s="980">
        <f t="shared" si="29"/>
        <v>0</v>
      </c>
      <c r="AW52" s="1497">
        <f t="shared" si="7"/>
        <v>0</v>
      </c>
      <c r="AX52" s="782">
        <f t="shared" si="30"/>
        <v>0</v>
      </c>
      <c r="AY52" s="1119">
        <f t="shared" si="23"/>
        <v>0</v>
      </c>
      <c r="AZ52" s="594">
        <f t="shared" si="9"/>
        <v>-2</v>
      </c>
    </row>
    <row r="53" spans="1:52" ht="17.8" customHeight="1" x14ac:dyDescent="0.55000000000000004">
      <c r="A53" s="7592"/>
      <c r="B53" s="169" t="s">
        <v>167</v>
      </c>
      <c r="C53" s="54"/>
      <c r="D53" s="54">
        <v>1</v>
      </c>
      <c r="E53" s="54">
        <v>0</v>
      </c>
      <c r="F53" s="54">
        <v>0</v>
      </c>
      <c r="G53" s="54">
        <v>2</v>
      </c>
      <c r="H53" s="54">
        <v>4</v>
      </c>
      <c r="I53" s="54">
        <v>0</v>
      </c>
      <c r="J53" s="54">
        <v>1</v>
      </c>
      <c r="K53" s="54">
        <v>0</v>
      </c>
      <c r="L53" s="54">
        <v>3</v>
      </c>
      <c r="M53" s="54">
        <v>1</v>
      </c>
      <c r="N53" s="54">
        <v>3</v>
      </c>
      <c r="O53" s="54">
        <v>0</v>
      </c>
      <c r="P53" s="960">
        <f>SUM(D53:O53)</f>
        <v>15</v>
      </c>
      <c r="Q53" s="960">
        <f>AVERAGE(D53:O53)</f>
        <v>1.25</v>
      </c>
      <c r="R53" s="1"/>
      <c r="S53" s="54">
        <v>0</v>
      </c>
      <c r="T53" s="54">
        <v>0</v>
      </c>
      <c r="U53" s="54">
        <v>1</v>
      </c>
      <c r="V53" s="54">
        <v>6</v>
      </c>
      <c r="W53" s="54">
        <v>2</v>
      </c>
      <c r="X53" s="54">
        <v>12</v>
      </c>
      <c r="Y53" s="54">
        <v>8</v>
      </c>
      <c r="Z53" s="54">
        <v>17</v>
      </c>
      <c r="AA53" s="54">
        <v>21</v>
      </c>
      <c r="AB53" s="54">
        <v>0</v>
      </c>
      <c r="AC53" s="54">
        <v>2</v>
      </c>
      <c r="AD53" s="54">
        <v>0</v>
      </c>
      <c r="AE53" s="981">
        <f t="shared" ref="AE53:AE74" si="31">SUM(S53:AD53)</f>
        <v>69</v>
      </c>
      <c r="AF53" s="981">
        <f t="shared" ref="AF53:AF74" si="32">AVERAGE(S53:AD53)</f>
        <v>5.75</v>
      </c>
      <c r="AH53" s="54">
        <v>1</v>
      </c>
      <c r="AI53" s="54">
        <v>2</v>
      </c>
      <c r="AJ53" s="54">
        <v>8</v>
      </c>
      <c r="AK53" s="54">
        <v>3</v>
      </c>
      <c r="AL53" s="54">
        <v>15</v>
      </c>
      <c r="AM53" s="54">
        <v>0</v>
      </c>
      <c r="AN53" s="54">
        <v>1</v>
      </c>
      <c r="AO53" s="54">
        <v>3</v>
      </c>
      <c r="AP53" s="54">
        <v>3</v>
      </c>
      <c r="AQ53" s="54">
        <v>0</v>
      </c>
      <c r="AR53" s="54">
        <v>2</v>
      </c>
      <c r="AS53" s="54">
        <v>0</v>
      </c>
      <c r="AT53" s="981">
        <f t="shared" si="26"/>
        <v>38</v>
      </c>
      <c r="AU53" s="981">
        <f t="shared" si="27"/>
        <v>3.1666666666666665</v>
      </c>
      <c r="AW53" s="1497">
        <f t="shared" si="7"/>
        <v>0</v>
      </c>
      <c r="AX53" s="782">
        <f t="shared" si="22"/>
        <v>-2.5833333333333335</v>
      </c>
      <c r="AY53" s="1119">
        <f t="shared" si="23"/>
        <v>-31</v>
      </c>
      <c r="AZ53" s="594">
        <f t="shared" si="9"/>
        <v>-2</v>
      </c>
    </row>
    <row r="54" spans="1:52" ht="17.8" customHeight="1" x14ac:dyDescent="0.55000000000000004">
      <c r="A54" s="7592"/>
      <c r="B54" s="143" t="s">
        <v>1019</v>
      </c>
      <c r="C54" s="8"/>
      <c r="D54" s="8">
        <v>1</v>
      </c>
      <c r="E54" s="8">
        <v>0</v>
      </c>
      <c r="F54" s="8">
        <v>0</v>
      </c>
      <c r="G54" s="8">
        <v>2</v>
      </c>
      <c r="H54" s="8">
        <v>4</v>
      </c>
      <c r="I54" s="8">
        <v>0</v>
      </c>
      <c r="J54" s="8">
        <v>1</v>
      </c>
      <c r="K54" s="8">
        <v>0</v>
      </c>
      <c r="L54" s="8">
        <v>3</v>
      </c>
      <c r="M54" s="8">
        <v>1</v>
      </c>
      <c r="N54" s="8">
        <v>3</v>
      </c>
      <c r="O54" s="8">
        <v>0</v>
      </c>
      <c r="P54" s="8">
        <f>SUM(D54:O54)</f>
        <v>15</v>
      </c>
      <c r="Q54" s="908">
        <f>AVERAGE(D54:O54)</f>
        <v>1.25</v>
      </c>
      <c r="R54" s="1"/>
      <c r="S54" s="1">
        <v>0</v>
      </c>
      <c r="T54" s="1">
        <v>0</v>
      </c>
      <c r="U54" s="1">
        <v>1</v>
      </c>
      <c r="V54" s="1">
        <v>6</v>
      </c>
      <c r="W54" s="1">
        <v>2</v>
      </c>
      <c r="X54" s="1">
        <v>12</v>
      </c>
      <c r="Y54" s="8">
        <v>8</v>
      </c>
      <c r="Z54" s="8">
        <v>13</v>
      </c>
      <c r="AA54" s="8">
        <v>21</v>
      </c>
      <c r="AB54" s="1">
        <v>0</v>
      </c>
      <c r="AC54" s="8">
        <v>1</v>
      </c>
      <c r="AD54" s="8">
        <v>0</v>
      </c>
      <c r="AE54" s="921">
        <f t="shared" si="31"/>
        <v>64</v>
      </c>
      <c r="AF54" s="921">
        <f t="shared" si="32"/>
        <v>5.333333333333333</v>
      </c>
      <c r="AH54" s="1">
        <v>1</v>
      </c>
      <c r="AI54">
        <v>2</v>
      </c>
      <c r="AJ54">
        <v>8</v>
      </c>
      <c r="AK54">
        <v>3</v>
      </c>
      <c r="AL54">
        <v>15</v>
      </c>
      <c r="AM54">
        <v>0</v>
      </c>
      <c r="AN54" s="8">
        <v>1</v>
      </c>
      <c r="AO54" s="8">
        <v>3</v>
      </c>
      <c r="AP54" s="8">
        <v>3</v>
      </c>
      <c r="AQ54">
        <v>0</v>
      </c>
      <c r="AR54" s="8">
        <v>2</v>
      </c>
      <c r="AS54" s="8">
        <v>0</v>
      </c>
      <c r="AT54" s="921">
        <f t="shared" si="26"/>
        <v>38</v>
      </c>
      <c r="AU54" s="921">
        <f t="shared" si="27"/>
        <v>3.1666666666666665</v>
      </c>
      <c r="AW54" s="1497">
        <f t="shared" si="7"/>
        <v>0</v>
      </c>
      <c r="AX54" s="782">
        <f t="shared" si="22"/>
        <v>-2.1666666666666665</v>
      </c>
      <c r="AY54" s="1119">
        <f t="shared" si="23"/>
        <v>-26</v>
      </c>
      <c r="AZ54" s="594">
        <f t="shared" si="9"/>
        <v>0</v>
      </c>
    </row>
    <row r="55" spans="1:52" ht="17.8" customHeight="1" x14ac:dyDescent="0.55000000000000004">
      <c r="A55" s="7592"/>
      <c r="B55" s="591" t="s">
        <v>22</v>
      </c>
      <c r="C55" s="592"/>
      <c r="D55" s="592"/>
      <c r="E55" s="592"/>
      <c r="F55" s="589">
        <v>0</v>
      </c>
      <c r="G55" s="589">
        <v>0</v>
      </c>
      <c r="H55" s="589">
        <v>0</v>
      </c>
      <c r="I55" s="589">
        <v>0</v>
      </c>
      <c r="J55" s="589">
        <v>0</v>
      </c>
      <c r="K55" s="589">
        <v>0</v>
      </c>
      <c r="L55" s="589">
        <v>0</v>
      </c>
      <c r="M55" s="589">
        <v>0</v>
      </c>
      <c r="N55" s="589">
        <v>0</v>
      </c>
      <c r="O55" s="589">
        <v>0</v>
      </c>
      <c r="P55" s="589">
        <v>0</v>
      </c>
      <c r="Q55" s="589">
        <v>0</v>
      </c>
      <c r="R55" s="1"/>
      <c r="S55" s="779">
        <v>0</v>
      </c>
      <c r="T55" s="779">
        <v>0</v>
      </c>
      <c r="U55" s="779">
        <v>0</v>
      </c>
      <c r="V55" s="779">
        <v>0</v>
      </c>
      <c r="W55" s="779">
        <v>0</v>
      </c>
      <c r="X55" s="779">
        <v>0</v>
      </c>
      <c r="Y55" s="592">
        <v>0</v>
      </c>
      <c r="Z55" s="592">
        <v>0</v>
      </c>
      <c r="AA55" s="592">
        <v>0</v>
      </c>
      <c r="AB55" s="779">
        <v>0</v>
      </c>
      <c r="AC55" s="592">
        <v>0</v>
      </c>
      <c r="AD55" s="592">
        <v>0</v>
      </c>
      <c r="AE55" s="982">
        <f t="shared" si="31"/>
        <v>0</v>
      </c>
      <c r="AF55" s="982">
        <f t="shared" si="32"/>
        <v>0</v>
      </c>
      <c r="AH55" s="779">
        <v>0</v>
      </c>
      <c r="AI55" s="779">
        <v>0</v>
      </c>
      <c r="AJ55" s="779">
        <v>0</v>
      </c>
      <c r="AK55" s="779">
        <v>0</v>
      </c>
      <c r="AL55" s="779">
        <v>0</v>
      </c>
      <c r="AM55" s="779">
        <v>0</v>
      </c>
      <c r="AN55" s="592">
        <v>0</v>
      </c>
      <c r="AO55" s="592">
        <v>0</v>
      </c>
      <c r="AP55" s="592">
        <v>0</v>
      </c>
      <c r="AQ55" s="779">
        <v>0</v>
      </c>
      <c r="AR55" s="592">
        <v>0</v>
      </c>
      <c r="AS55" s="592">
        <v>0</v>
      </c>
      <c r="AT55" s="982">
        <f t="shared" si="26"/>
        <v>0</v>
      </c>
      <c r="AU55" s="982">
        <f t="shared" si="27"/>
        <v>0</v>
      </c>
      <c r="AW55" s="1497">
        <f t="shared" si="7"/>
        <v>0</v>
      </c>
      <c r="AX55" s="782">
        <f t="shared" si="22"/>
        <v>0</v>
      </c>
      <c r="AY55" s="1119">
        <f t="shared" si="23"/>
        <v>0</v>
      </c>
      <c r="AZ55" s="594">
        <f t="shared" si="9"/>
        <v>0</v>
      </c>
    </row>
    <row r="56" spans="1:52" ht="17.8" customHeight="1" x14ac:dyDescent="0.55000000000000004">
      <c r="A56" s="7592"/>
      <c r="B56" s="143" t="s">
        <v>67</v>
      </c>
      <c r="C56" s="8"/>
      <c r="D56" s="8"/>
      <c r="E56" s="8"/>
      <c r="F56" s="589">
        <v>0</v>
      </c>
      <c r="G56" s="589">
        <v>0</v>
      </c>
      <c r="H56" s="589">
        <v>0</v>
      </c>
      <c r="I56" s="589">
        <v>0</v>
      </c>
      <c r="J56" s="589">
        <v>0</v>
      </c>
      <c r="K56" s="589">
        <v>0</v>
      </c>
      <c r="L56" s="589">
        <v>0</v>
      </c>
      <c r="M56" s="589">
        <v>0</v>
      </c>
      <c r="N56" s="589">
        <v>0</v>
      </c>
      <c r="O56" s="589">
        <v>0</v>
      </c>
      <c r="P56" s="589">
        <v>0</v>
      </c>
      <c r="Q56" s="589">
        <v>0</v>
      </c>
      <c r="R56" s="1"/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8">
        <v>0</v>
      </c>
      <c r="Z56" s="8">
        <v>4</v>
      </c>
      <c r="AA56" s="8">
        <v>0</v>
      </c>
      <c r="AB56" s="1">
        <v>0</v>
      </c>
      <c r="AC56" s="8">
        <v>1</v>
      </c>
      <c r="AD56" s="8">
        <v>0</v>
      </c>
      <c r="AE56" s="921">
        <f t="shared" si="31"/>
        <v>5</v>
      </c>
      <c r="AF56" s="921">
        <f t="shared" si="32"/>
        <v>0.41666666666666669</v>
      </c>
      <c r="AH56" s="1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8">
        <v>0</v>
      </c>
      <c r="AO56" s="8">
        <v>0</v>
      </c>
      <c r="AP56" s="8">
        <v>0</v>
      </c>
      <c r="AQ56">
        <v>0</v>
      </c>
      <c r="AR56" s="8">
        <v>0</v>
      </c>
      <c r="AS56" s="8">
        <v>0</v>
      </c>
      <c r="AT56" s="921">
        <f t="shared" si="26"/>
        <v>0</v>
      </c>
      <c r="AU56" s="921">
        <f t="shared" si="27"/>
        <v>0</v>
      </c>
      <c r="AW56" s="1497">
        <f t="shared" si="7"/>
        <v>0</v>
      </c>
      <c r="AX56" s="782">
        <f t="shared" si="22"/>
        <v>-0.41666666666666669</v>
      </c>
      <c r="AY56" s="1119">
        <f t="shared" si="23"/>
        <v>-5</v>
      </c>
      <c r="AZ56" s="594">
        <f t="shared" si="9"/>
        <v>-438</v>
      </c>
    </row>
    <row r="57" spans="1:52" ht="17.8" customHeight="1" x14ac:dyDescent="0.55000000000000004">
      <c r="A57" s="7592"/>
      <c r="B57" s="169" t="s">
        <v>572</v>
      </c>
      <c r="C57" s="54"/>
      <c r="D57" s="54">
        <v>175</v>
      </c>
      <c r="E57" s="54">
        <v>233</v>
      </c>
      <c r="F57" s="54">
        <v>342</v>
      </c>
      <c r="G57" s="54">
        <v>263</v>
      </c>
      <c r="H57" s="54">
        <v>363</v>
      </c>
      <c r="I57" s="54">
        <v>312</v>
      </c>
      <c r="J57" s="54">
        <v>355</v>
      </c>
      <c r="K57" s="54">
        <v>343</v>
      </c>
      <c r="L57" s="54">
        <v>271</v>
      </c>
      <c r="M57" s="54">
        <v>293</v>
      </c>
      <c r="N57" s="54">
        <v>372</v>
      </c>
      <c r="O57" s="54">
        <v>312</v>
      </c>
      <c r="P57" s="960">
        <f>SUM(D57:O57)</f>
        <v>3634</v>
      </c>
      <c r="Q57" s="960">
        <f>AVERAGE(D57:O57)</f>
        <v>302.83333333333331</v>
      </c>
      <c r="R57" s="1"/>
      <c r="S57" s="54">
        <v>276</v>
      </c>
      <c r="T57" s="54">
        <v>269</v>
      </c>
      <c r="U57" s="54">
        <v>318</v>
      </c>
      <c r="V57" s="54">
        <v>355</v>
      </c>
      <c r="W57" s="54">
        <v>312</v>
      </c>
      <c r="X57" s="54">
        <v>233</v>
      </c>
      <c r="Y57" s="54">
        <v>256</v>
      </c>
      <c r="Z57" s="54">
        <v>244</v>
      </c>
      <c r="AA57" s="54">
        <v>226</v>
      </c>
      <c r="AB57" s="54">
        <v>217</v>
      </c>
      <c r="AC57" s="54">
        <v>210</v>
      </c>
      <c r="AD57" s="54">
        <v>287</v>
      </c>
      <c r="AE57" s="981">
        <f t="shared" si="31"/>
        <v>3203</v>
      </c>
      <c r="AF57" s="981">
        <f t="shared" si="32"/>
        <v>266.91666666666669</v>
      </c>
      <c r="AH57" s="54">
        <v>184</v>
      </c>
      <c r="AI57" s="54">
        <v>547</v>
      </c>
      <c r="AJ57" s="54">
        <v>1273</v>
      </c>
      <c r="AK57" s="54">
        <v>1370</v>
      </c>
      <c r="AL57" s="54">
        <v>1299</v>
      </c>
      <c r="AM57" s="54">
        <v>1366</v>
      </c>
      <c r="AN57" s="54">
        <v>2040</v>
      </c>
      <c r="AO57" s="54">
        <v>1586</v>
      </c>
      <c r="AP57" s="54">
        <v>2459</v>
      </c>
      <c r="AQ57" s="54">
        <v>2050</v>
      </c>
      <c r="AR57" s="54">
        <v>1839</v>
      </c>
      <c r="AS57" s="54">
        <v>1401</v>
      </c>
      <c r="AT57" s="981">
        <f t="shared" si="26"/>
        <v>17414</v>
      </c>
      <c r="AU57" s="981">
        <f t="shared" si="27"/>
        <v>1451.1666666666667</v>
      </c>
      <c r="AW57" s="1497">
        <f t="shared" si="7"/>
        <v>1114</v>
      </c>
      <c r="AX57" s="782">
        <f t="shared" si="22"/>
        <v>1184.25</v>
      </c>
      <c r="AY57" s="1119">
        <f t="shared" si="23"/>
        <v>14211</v>
      </c>
      <c r="AZ57" s="594">
        <f t="shared" si="9"/>
        <v>-28</v>
      </c>
    </row>
    <row r="58" spans="1:52" ht="17.8" customHeight="1" x14ac:dyDescent="0.55000000000000004">
      <c r="A58" s="7592"/>
      <c r="B58" s="587" t="s">
        <v>570</v>
      </c>
      <c r="C58" s="17"/>
      <c r="D58" s="17">
        <v>175</v>
      </c>
      <c r="E58" s="17">
        <v>233</v>
      </c>
      <c r="F58" s="17">
        <v>342</v>
      </c>
      <c r="G58" s="17">
        <v>263</v>
      </c>
      <c r="H58" s="17">
        <v>363</v>
      </c>
      <c r="I58" s="17">
        <v>312</v>
      </c>
      <c r="J58" s="17">
        <v>355</v>
      </c>
      <c r="K58" s="17">
        <v>343</v>
      </c>
      <c r="L58" s="17">
        <v>271</v>
      </c>
      <c r="M58" s="17">
        <v>293</v>
      </c>
      <c r="N58" s="17">
        <v>372</v>
      </c>
      <c r="O58" s="17">
        <v>312</v>
      </c>
      <c r="P58" s="909">
        <f>SUM(D58:O58)</f>
        <v>3634</v>
      </c>
      <c r="Q58" s="909">
        <f>AVERAGE(D58:O58)</f>
        <v>302.83333333333331</v>
      </c>
      <c r="R58" s="1"/>
      <c r="S58" s="17">
        <v>276</v>
      </c>
      <c r="T58" s="17">
        <v>269</v>
      </c>
      <c r="U58" s="17">
        <v>318</v>
      </c>
      <c r="V58" s="17">
        <v>344</v>
      </c>
      <c r="W58" s="17">
        <v>288</v>
      </c>
      <c r="X58" s="17">
        <v>233</v>
      </c>
      <c r="Y58" s="17">
        <v>235</v>
      </c>
      <c r="Z58" s="17">
        <v>235</v>
      </c>
      <c r="AA58" s="17">
        <v>226</v>
      </c>
      <c r="AB58" s="17">
        <v>214</v>
      </c>
      <c r="AC58" s="17">
        <v>189</v>
      </c>
      <c r="AD58" s="17">
        <v>274</v>
      </c>
      <c r="AE58" s="974">
        <f t="shared" si="31"/>
        <v>3101</v>
      </c>
      <c r="AF58" s="974">
        <f t="shared" si="32"/>
        <v>258.41666666666669</v>
      </c>
      <c r="AH58" s="17">
        <v>141</v>
      </c>
      <c r="AI58" s="458">
        <v>150</v>
      </c>
      <c r="AJ58" s="458">
        <v>235</v>
      </c>
      <c r="AK58" s="458">
        <v>168</v>
      </c>
      <c r="AL58" s="458">
        <v>241</v>
      </c>
      <c r="AM58" s="458">
        <v>168</v>
      </c>
      <c r="AN58" s="17">
        <v>149</v>
      </c>
      <c r="AO58" s="17">
        <v>123</v>
      </c>
      <c r="AP58" s="17">
        <v>111</v>
      </c>
      <c r="AQ58" s="458">
        <v>114</v>
      </c>
      <c r="AR58" s="17">
        <v>118</v>
      </c>
      <c r="AS58" s="17">
        <v>90</v>
      </c>
      <c r="AT58" s="974">
        <f t="shared" si="26"/>
        <v>1808</v>
      </c>
      <c r="AU58" s="974">
        <f t="shared" si="27"/>
        <v>150.66666666666666</v>
      </c>
      <c r="AW58" s="1497">
        <f t="shared" si="7"/>
        <v>-184</v>
      </c>
      <c r="AX58" s="782">
        <f t="shared" si="22"/>
        <v>-107.75000000000003</v>
      </c>
      <c r="AY58" s="1119">
        <f t="shared" si="23"/>
        <v>-1293</v>
      </c>
      <c r="AZ58" s="594">
        <f t="shared" si="9"/>
        <v>-492</v>
      </c>
    </row>
    <row r="59" spans="1:52" ht="17.8" customHeight="1" x14ac:dyDescent="0.55000000000000004">
      <c r="A59" s="7592"/>
      <c r="B59" s="587" t="s">
        <v>571</v>
      </c>
      <c r="C59" s="17"/>
      <c r="D59" s="17"/>
      <c r="E59" s="17"/>
      <c r="F59" s="589">
        <v>0</v>
      </c>
      <c r="G59" s="589">
        <v>0</v>
      </c>
      <c r="H59" s="589">
        <v>0</v>
      </c>
      <c r="I59" s="589">
        <v>0</v>
      </c>
      <c r="J59" s="589">
        <v>0</v>
      </c>
      <c r="K59" s="589">
        <v>0</v>
      </c>
      <c r="L59" s="589">
        <v>0</v>
      </c>
      <c r="M59" s="589">
        <v>0</v>
      </c>
      <c r="N59" s="589">
        <v>0</v>
      </c>
      <c r="O59" s="589">
        <v>0</v>
      </c>
      <c r="P59" s="589">
        <v>0</v>
      </c>
      <c r="Q59" s="589">
        <v>0</v>
      </c>
      <c r="R59" s="1"/>
      <c r="S59" s="17">
        <v>0</v>
      </c>
      <c r="T59" s="17">
        <v>0</v>
      </c>
      <c r="U59" s="17">
        <v>0</v>
      </c>
      <c r="V59" s="17">
        <v>11</v>
      </c>
      <c r="W59" s="17">
        <v>24</v>
      </c>
      <c r="X59" s="17">
        <v>0</v>
      </c>
      <c r="Y59" s="17">
        <v>21</v>
      </c>
      <c r="Z59" s="17">
        <v>9</v>
      </c>
      <c r="AA59" s="17">
        <v>0</v>
      </c>
      <c r="AB59" s="17">
        <v>3</v>
      </c>
      <c r="AC59" s="17">
        <v>21</v>
      </c>
      <c r="AD59" s="17">
        <v>13</v>
      </c>
      <c r="AE59" s="974">
        <f t="shared" si="31"/>
        <v>102</v>
      </c>
      <c r="AF59" s="974">
        <f t="shared" si="32"/>
        <v>8.5</v>
      </c>
      <c r="AH59" s="17">
        <v>43</v>
      </c>
      <c r="AI59" s="458">
        <v>397</v>
      </c>
      <c r="AJ59" s="458">
        <v>1038</v>
      </c>
      <c r="AK59" s="458">
        <v>1202</v>
      </c>
      <c r="AL59" s="458">
        <v>1058</v>
      </c>
      <c r="AM59" s="458">
        <v>1198</v>
      </c>
      <c r="AN59" s="17">
        <v>1891</v>
      </c>
      <c r="AO59" s="17">
        <v>1463</v>
      </c>
      <c r="AP59" s="17">
        <v>2348</v>
      </c>
      <c r="AQ59" s="458">
        <v>1936</v>
      </c>
      <c r="AR59" s="17">
        <v>1803</v>
      </c>
      <c r="AS59" s="17">
        <v>1311</v>
      </c>
      <c r="AT59" s="974">
        <f t="shared" si="26"/>
        <v>15688</v>
      </c>
      <c r="AU59" s="974">
        <f t="shared" si="27"/>
        <v>1307.3333333333333</v>
      </c>
      <c r="AW59" s="1497">
        <f t="shared" si="7"/>
        <v>1298</v>
      </c>
      <c r="AX59" s="782">
        <f t="shared" si="22"/>
        <v>1298.8333333333333</v>
      </c>
      <c r="AY59" s="1119">
        <f t="shared" si="23"/>
        <v>15586</v>
      </c>
      <c r="AZ59" s="594">
        <f t="shared" si="9"/>
        <v>-27</v>
      </c>
    </row>
    <row r="60" spans="1:52" ht="17.8" customHeight="1" x14ac:dyDescent="0.55000000000000004">
      <c r="A60" s="7592"/>
      <c r="B60" s="7586" t="s">
        <v>1019</v>
      </c>
      <c r="C60" s="144" t="s">
        <v>574</v>
      </c>
      <c r="D60" s="144">
        <v>175</v>
      </c>
      <c r="E60" s="144">
        <v>233</v>
      </c>
      <c r="F60" s="144">
        <v>342</v>
      </c>
      <c r="G60" s="144">
        <v>263</v>
      </c>
      <c r="H60" s="144">
        <v>363</v>
      </c>
      <c r="I60" s="144">
        <v>312</v>
      </c>
      <c r="J60" s="144">
        <v>355</v>
      </c>
      <c r="K60" s="144">
        <v>343</v>
      </c>
      <c r="L60" s="144">
        <v>271</v>
      </c>
      <c r="M60" s="144">
        <v>293</v>
      </c>
      <c r="N60" s="144">
        <v>372</v>
      </c>
      <c r="O60" s="144">
        <v>312</v>
      </c>
      <c r="P60" s="959">
        <f>SUM(D60:O60)</f>
        <v>3634</v>
      </c>
      <c r="Q60" s="959">
        <f>AVERAGE(D60:O60)</f>
        <v>302.83333333333331</v>
      </c>
      <c r="R60" s="1"/>
      <c r="S60" s="1">
        <v>276</v>
      </c>
      <c r="T60" s="1">
        <v>269</v>
      </c>
      <c r="U60" s="1">
        <v>316</v>
      </c>
      <c r="V60" s="1">
        <v>344</v>
      </c>
      <c r="W60" s="1">
        <v>288</v>
      </c>
      <c r="X60" s="1">
        <v>233</v>
      </c>
      <c r="Y60" s="144">
        <v>235</v>
      </c>
      <c r="Z60" s="144">
        <v>235</v>
      </c>
      <c r="AA60" s="144">
        <v>226</v>
      </c>
      <c r="AB60" s="1134">
        <v>214</v>
      </c>
      <c r="AC60" s="144">
        <v>189</v>
      </c>
      <c r="AD60" s="144">
        <v>274</v>
      </c>
      <c r="AE60" s="977">
        <f t="shared" si="31"/>
        <v>3099</v>
      </c>
      <c r="AF60" s="977">
        <f t="shared" si="32"/>
        <v>258.25</v>
      </c>
      <c r="AH60" s="1">
        <v>141</v>
      </c>
      <c r="AI60">
        <v>132</v>
      </c>
      <c r="AJ60">
        <v>212</v>
      </c>
      <c r="AK60">
        <v>128</v>
      </c>
      <c r="AL60">
        <v>177</v>
      </c>
      <c r="AM60">
        <v>98</v>
      </c>
      <c r="AN60" s="144">
        <v>82</v>
      </c>
      <c r="AO60" s="144">
        <v>65</v>
      </c>
      <c r="AP60" s="144">
        <v>78</v>
      </c>
      <c r="AQ60" s="1134">
        <v>63</v>
      </c>
      <c r="AR60" s="144">
        <v>89</v>
      </c>
      <c r="AS60" s="144">
        <v>62</v>
      </c>
      <c r="AT60" s="977">
        <f t="shared" si="26"/>
        <v>1327</v>
      </c>
      <c r="AU60" s="977">
        <f t="shared" si="27"/>
        <v>110.58333333333333</v>
      </c>
      <c r="AW60" s="1497">
        <f t="shared" si="7"/>
        <v>-212</v>
      </c>
      <c r="AX60" s="782">
        <f t="shared" si="22"/>
        <v>-147.66666666666669</v>
      </c>
      <c r="AY60" s="1119">
        <f t="shared" si="23"/>
        <v>-1772</v>
      </c>
      <c r="AZ60" s="594">
        <f t="shared" si="9"/>
        <v>-492</v>
      </c>
    </row>
    <row r="61" spans="1:52" ht="17.8" customHeight="1" x14ac:dyDescent="0.55000000000000004">
      <c r="A61" s="7592"/>
      <c r="B61" s="7587"/>
      <c r="C61" s="8" t="s">
        <v>576</v>
      </c>
      <c r="D61" s="8"/>
      <c r="E61" s="8"/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1"/>
      <c r="S61" s="1">
        <v>0</v>
      </c>
      <c r="T61" s="1">
        <v>0</v>
      </c>
      <c r="U61" s="1">
        <v>0</v>
      </c>
      <c r="V61" s="1">
        <v>11</v>
      </c>
      <c r="W61" s="1">
        <v>24</v>
      </c>
      <c r="X61" s="1">
        <v>0</v>
      </c>
      <c r="Y61" s="8">
        <v>21</v>
      </c>
      <c r="Z61" s="8">
        <v>9</v>
      </c>
      <c r="AA61" s="8">
        <v>0</v>
      </c>
      <c r="AB61" s="1">
        <v>3</v>
      </c>
      <c r="AC61" s="8">
        <v>21</v>
      </c>
      <c r="AD61" s="8">
        <v>13</v>
      </c>
      <c r="AE61" s="921">
        <f t="shared" si="31"/>
        <v>102</v>
      </c>
      <c r="AF61" s="921">
        <f t="shared" si="32"/>
        <v>8.5</v>
      </c>
      <c r="AH61" s="1">
        <v>43</v>
      </c>
      <c r="AI61">
        <v>393</v>
      </c>
      <c r="AJ61">
        <v>1038</v>
      </c>
      <c r="AK61">
        <v>1202</v>
      </c>
      <c r="AL61">
        <v>1046</v>
      </c>
      <c r="AM61">
        <v>1168</v>
      </c>
      <c r="AN61" s="8">
        <v>1891</v>
      </c>
      <c r="AO61" s="8">
        <v>1462</v>
      </c>
      <c r="AP61" s="8">
        <v>2348</v>
      </c>
      <c r="AQ61">
        <v>1927</v>
      </c>
      <c r="AR61" s="8">
        <v>1803</v>
      </c>
      <c r="AS61" s="8">
        <v>1311</v>
      </c>
      <c r="AT61" s="921">
        <f t="shared" si="26"/>
        <v>15632</v>
      </c>
      <c r="AU61" s="921">
        <f t="shared" si="27"/>
        <v>1302.6666666666667</v>
      </c>
      <c r="AW61" s="1497">
        <f t="shared" si="7"/>
        <v>1298</v>
      </c>
      <c r="AX61" s="782">
        <f t="shared" si="22"/>
        <v>1294.1666666666667</v>
      </c>
      <c r="AY61" s="1119">
        <f t="shared" si="23"/>
        <v>15530</v>
      </c>
      <c r="AZ61" s="594">
        <f t="shared" si="9"/>
        <v>-1</v>
      </c>
    </row>
    <row r="62" spans="1:52" ht="17.8" customHeight="1" x14ac:dyDescent="0.55000000000000004">
      <c r="A62" s="7592"/>
      <c r="B62" s="7572" t="s">
        <v>327</v>
      </c>
      <c r="C62" s="589" t="s">
        <v>573</v>
      </c>
      <c r="D62" s="589"/>
      <c r="E62" s="589"/>
      <c r="F62" s="589">
        <v>0</v>
      </c>
      <c r="G62" s="589">
        <v>0</v>
      </c>
      <c r="H62" s="589">
        <v>0</v>
      </c>
      <c r="I62" s="589">
        <v>0</v>
      </c>
      <c r="J62" s="589">
        <v>0</v>
      </c>
      <c r="K62" s="589">
        <v>0</v>
      </c>
      <c r="L62" s="589">
        <v>0</v>
      </c>
      <c r="M62" s="589">
        <v>0</v>
      </c>
      <c r="N62" s="589">
        <v>0</v>
      </c>
      <c r="O62" s="589">
        <v>0</v>
      </c>
      <c r="P62" s="589">
        <v>0</v>
      </c>
      <c r="Q62" s="589">
        <v>0</v>
      </c>
      <c r="R62" s="1"/>
      <c r="S62" s="777">
        <v>0</v>
      </c>
      <c r="T62" s="777">
        <v>0</v>
      </c>
      <c r="U62" s="777">
        <v>0</v>
      </c>
      <c r="V62" s="777">
        <v>0</v>
      </c>
      <c r="W62" s="777">
        <v>0</v>
      </c>
      <c r="X62" s="777">
        <v>0</v>
      </c>
      <c r="Y62" s="589">
        <v>0</v>
      </c>
      <c r="Z62" s="589">
        <v>0</v>
      </c>
      <c r="AA62" s="589">
        <v>0</v>
      </c>
      <c r="AB62" s="777">
        <v>0</v>
      </c>
      <c r="AC62" s="589">
        <v>0</v>
      </c>
      <c r="AD62" s="589">
        <v>0</v>
      </c>
      <c r="AE62" s="978">
        <f t="shared" si="31"/>
        <v>0</v>
      </c>
      <c r="AF62" s="978">
        <f t="shared" si="32"/>
        <v>0</v>
      </c>
      <c r="AH62" s="777">
        <v>0</v>
      </c>
      <c r="AI62" s="777">
        <v>18</v>
      </c>
      <c r="AJ62" s="777">
        <v>23</v>
      </c>
      <c r="AK62" s="777">
        <v>40</v>
      </c>
      <c r="AL62" s="777">
        <v>64</v>
      </c>
      <c r="AM62" s="777">
        <v>70</v>
      </c>
      <c r="AN62" s="589">
        <v>67</v>
      </c>
      <c r="AO62" s="589">
        <v>58</v>
      </c>
      <c r="AP62" s="589">
        <v>33</v>
      </c>
      <c r="AQ62" s="777">
        <v>51</v>
      </c>
      <c r="AR62" s="589">
        <v>29</v>
      </c>
      <c r="AS62" s="589">
        <v>28</v>
      </c>
      <c r="AT62" s="978">
        <f t="shared" si="26"/>
        <v>481</v>
      </c>
      <c r="AU62" s="978">
        <f t="shared" si="27"/>
        <v>40.083333333333336</v>
      </c>
      <c r="AW62" s="1497">
        <f t="shared" si="7"/>
        <v>28</v>
      </c>
      <c r="AX62" s="782">
        <f t="shared" si="22"/>
        <v>40.083333333333336</v>
      </c>
      <c r="AY62" s="1119">
        <f t="shared" si="23"/>
        <v>481</v>
      </c>
      <c r="AZ62" s="594">
        <f t="shared" si="9"/>
        <v>0</v>
      </c>
    </row>
    <row r="63" spans="1:52" ht="17.8" customHeight="1" x14ac:dyDescent="0.55000000000000004">
      <c r="A63" s="7592"/>
      <c r="B63" s="7573"/>
      <c r="C63" s="590" t="s">
        <v>575</v>
      </c>
      <c r="D63" s="590"/>
      <c r="E63" s="590"/>
      <c r="F63" s="590">
        <v>0</v>
      </c>
      <c r="G63" s="590">
        <v>0</v>
      </c>
      <c r="H63" s="590">
        <v>0</v>
      </c>
      <c r="I63" s="590">
        <v>0</v>
      </c>
      <c r="J63" s="590">
        <v>0</v>
      </c>
      <c r="K63" s="590">
        <v>0</v>
      </c>
      <c r="L63" s="590">
        <v>0</v>
      </c>
      <c r="M63" s="590">
        <v>0</v>
      </c>
      <c r="N63" s="590">
        <v>0</v>
      </c>
      <c r="O63" s="590">
        <v>0</v>
      </c>
      <c r="P63" s="590">
        <v>0</v>
      </c>
      <c r="Q63" s="590">
        <v>0</v>
      </c>
      <c r="R63" s="1"/>
      <c r="S63" s="778">
        <v>0</v>
      </c>
      <c r="T63" s="778">
        <v>0</v>
      </c>
      <c r="U63" s="778">
        <v>0</v>
      </c>
      <c r="V63" s="778">
        <v>0</v>
      </c>
      <c r="W63" s="778">
        <v>0</v>
      </c>
      <c r="X63" s="778">
        <v>0</v>
      </c>
      <c r="Y63" s="590">
        <v>0</v>
      </c>
      <c r="Z63" s="590">
        <v>0</v>
      </c>
      <c r="AA63" s="590">
        <v>0</v>
      </c>
      <c r="AB63" s="778">
        <v>0</v>
      </c>
      <c r="AC63" s="590">
        <v>0</v>
      </c>
      <c r="AD63" s="590">
        <v>0</v>
      </c>
      <c r="AE63" s="979">
        <f t="shared" si="31"/>
        <v>0</v>
      </c>
      <c r="AF63" s="979">
        <f t="shared" si="32"/>
        <v>0</v>
      </c>
      <c r="AH63" s="778">
        <v>0</v>
      </c>
      <c r="AI63" s="778">
        <v>4</v>
      </c>
      <c r="AJ63" s="778">
        <v>0</v>
      </c>
      <c r="AK63" s="778">
        <v>0</v>
      </c>
      <c r="AL63" s="778">
        <v>12</v>
      </c>
      <c r="AM63" s="778">
        <v>30</v>
      </c>
      <c r="AN63" s="590">
        <v>0</v>
      </c>
      <c r="AO63" s="590">
        <v>1</v>
      </c>
      <c r="AP63" s="590">
        <v>0</v>
      </c>
      <c r="AQ63" s="778">
        <v>9</v>
      </c>
      <c r="AR63" s="590">
        <v>0</v>
      </c>
      <c r="AS63" s="590">
        <v>0</v>
      </c>
      <c r="AT63" s="979">
        <f t="shared" si="26"/>
        <v>56</v>
      </c>
      <c r="AU63" s="979">
        <f t="shared" si="27"/>
        <v>4.666666666666667</v>
      </c>
      <c r="AW63" s="1497">
        <f t="shared" si="7"/>
        <v>0</v>
      </c>
      <c r="AX63" s="782">
        <f t="shared" si="22"/>
        <v>4.666666666666667</v>
      </c>
      <c r="AY63" s="1119">
        <f t="shared" si="23"/>
        <v>56</v>
      </c>
      <c r="AZ63" s="594">
        <f t="shared" si="9"/>
        <v>0</v>
      </c>
    </row>
    <row r="64" spans="1:52" ht="17.8" customHeight="1" x14ac:dyDescent="0.55000000000000004">
      <c r="A64" s="7592"/>
      <c r="B64" s="7574" t="s">
        <v>67</v>
      </c>
      <c r="C64" s="8" t="s">
        <v>573</v>
      </c>
      <c r="D64" s="8"/>
      <c r="E64" s="8"/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1"/>
      <c r="S64" s="1">
        <v>0</v>
      </c>
      <c r="T64" s="1">
        <v>0</v>
      </c>
      <c r="U64" s="1">
        <v>2</v>
      </c>
      <c r="V64" s="1">
        <v>0</v>
      </c>
      <c r="W64" s="1">
        <v>0</v>
      </c>
      <c r="X64" s="1">
        <v>0</v>
      </c>
      <c r="Y64" s="8">
        <v>0</v>
      </c>
      <c r="Z64" s="8">
        <v>0</v>
      </c>
      <c r="AA64" s="8">
        <v>0</v>
      </c>
      <c r="AB64" s="1">
        <v>0</v>
      </c>
      <c r="AC64" s="8">
        <v>0</v>
      </c>
      <c r="AD64" s="8">
        <v>0</v>
      </c>
      <c r="AE64" s="921">
        <f t="shared" si="31"/>
        <v>2</v>
      </c>
      <c r="AF64" s="921">
        <f t="shared" si="32"/>
        <v>0.16666666666666666</v>
      </c>
      <c r="AH64" s="1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8">
        <v>0</v>
      </c>
      <c r="AO64" s="8">
        <v>0</v>
      </c>
      <c r="AP64" s="8">
        <v>0</v>
      </c>
      <c r="AQ64">
        <v>0</v>
      </c>
      <c r="AR64" s="8">
        <v>0</v>
      </c>
      <c r="AS64" s="8">
        <v>0</v>
      </c>
      <c r="AT64" s="921">
        <f t="shared" si="26"/>
        <v>0</v>
      </c>
      <c r="AU64" s="921">
        <f t="shared" si="27"/>
        <v>0</v>
      </c>
      <c r="AW64" s="1497">
        <f t="shared" si="7"/>
        <v>0</v>
      </c>
      <c r="AX64" s="782">
        <f t="shared" si="22"/>
        <v>-0.16666666666666666</v>
      </c>
      <c r="AY64" s="1119">
        <f t="shared" si="23"/>
        <v>-2</v>
      </c>
      <c r="AZ64" s="594">
        <f t="shared" si="9"/>
        <v>0</v>
      </c>
    </row>
    <row r="65" spans="1:52" ht="17.8" customHeight="1" x14ac:dyDescent="0.55000000000000004">
      <c r="A65" s="7592"/>
      <c r="B65" s="7575"/>
      <c r="C65" s="145" t="s">
        <v>575</v>
      </c>
      <c r="D65" s="145"/>
      <c r="E65" s="145"/>
      <c r="F65" s="145">
        <v>0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>
        <v>0</v>
      </c>
      <c r="M65" s="145">
        <v>0</v>
      </c>
      <c r="N65" s="145">
        <v>0</v>
      </c>
      <c r="O65" s="145">
        <v>0</v>
      </c>
      <c r="P65" s="145">
        <v>0</v>
      </c>
      <c r="Q65" s="145">
        <v>0</v>
      </c>
      <c r="R65" s="1"/>
      <c r="S65" s="780">
        <v>0</v>
      </c>
      <c r="T65" s="780">
        <v>0</v>
      </c>
      <c r="U65" s="780">
        <v>0</v>
      </c>
      <c r="V65" s="780">
        <v>0</v>
      </c>
      <c r="W65" s="780">
        <v>0</v>
      </c>
      <c r="X65" s="780">
        <v>0</v>
      </c>
      <c r="Y65" s="145">
        <v>0</v>
      </c>
      <c r="Z65" s="145">
        <v>0</v>
      </c>
      <c r="AA65" s="145">
        <v>0</v>
      </c>
      <c r="AB65" s="780">
        <v>0</v>
      </c>
      <c r="AC65" s="145">
        <v>0</v>
      </c>
      <c r="AD65" s="145">
        <v>0</v>
      </c>
      <c r="AE65" s="980">
        <f t="shared" si="31"/>
        <v>0</v>
      </c>
      <c r="AF65" s="980">
        <f t="shared" si="32"/>
        <v>0</v>
      </c>
      <c r="AH65" s="780">
        <v>0</v>
      </c>
      <c r="AI65" s="780">
        <v>0</v>
      </c>
      <c r="AJ65" s="780">
        <v>0</v>
      </c>
      <c r="AK65" s="780">
        <v>0</v>
      </c>
      <c r="AL65" s="780">
        <v>0</v>
      </c>
      <c r="AM65" s="780">
        <v>0</v>
      </c>
      <c r="AN65" s="145">
        <v>0</v>
      </c>
      <c r="AO65" s="145">
        <v>0</v>
      </c>
      <c r="AP65" s="145">
        <v>0</v>
      </c>
      <c r="AQ65" s="780">
        <v>0</v>
      </c>
      <c r="AR65" s="145">
        <v>0</v>
      </c>
      <c r="AS65" s="145">
        <v>0</v>
      </c>
      <c r="AT65" s="980">
        <f t="shared" si="26"/>
        <v>0</v>
      </c>
      <c r="AU65" s="980">
        <f t="shared" si="27"/>
        <v>0</v>
      </c>
      <c r="AW65" s="1497">
        <f t="shared" si="7"/>
        <v>0</v>
      </c>
      <c r="AX65" s="782">
        <f t="shared" si="22"/>
        <v>0</v>
      </c>
      <c r="AY65" s="1119">
        <f t="shared" si="23"/>
        <v>0</v>
      </c>
      <c r="AZ65" s="594">
        <f t="shared" si="9"/>
        <v>0</v>
      </c>
    </row>
    <row r="66" spans="1:52" ht="17.8" customHeight="1" x14ac:dyDescent="0.55000000000000004">
      <c r="A66" s="7592"/>
      <c r="B66" s="169" t="s">
        <v>577</v>
      </c>
      <c r="C66" s="54"/>
      <c r="D66" s="54"/>
      <c r="E66" s="54"/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4">
        <v>0</v>
      </c>
      <c r="R66" s="1"/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0</v>
      </c>
      <c r="Z66" s="54">
        <v>0</v>
      </c>
      <c r="AA66" s="54">
        <v>0</v>
      </c>
      <c r="AB66" s="54">
        <v>0</v>
      </c>
      <c r="AC66" s="54">
        <v>0</v>
      </c>
      <c r="AD66" s="54">
        <v>0</v>
      </c>
      <c r="AE66" s="981">
        <f t="shared" si="31"/>
        <v>0</v>
      </c>
      <c r="AF66" s="981">
        <f t="shared" si="32"/>
        <v>0</v>
      </c>
      <c r="AH66" s="54">
        <v>0</v>
      </c>
      <c r="AI66" s="54">
        <v>0</v>
      </c>
      <c r="AJ66" s="54">
        <v>0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981">
        <f t="shared" si="26"/>
        <v>0</v>
      </c>
      <c r="AU66" s="981">
        <f t="shared" si="27"/>
        <v>0</v>
      </c>
      <c r="AW66" s="1497">
        <f t="shared" si="7"/>
        <v>0</v>
      </c>
      <c r="AX66" s="782">
        <f t="shared" si="22"/>
        <v>0</v>
      </c>
      <c r="AY66" s="1119">
        <f t="shared" si="23"/>
        <v>0</v>
      </c>
      <c r="AZ66" s="594">
        <f t="shared" si="9"/>
        <v>0</v>
      </c>
    </row>
    <row r="67" spans="1:52" ht="17.8" customHeight="1" x14ac:dyDescent="0.55000000000000004">
      <c r="A67" s="7592"/>
      <c r="B67" s="593" t="s">
        <v>1019</v>
      </c>
      <c r="C67" s="590"/>
      <c r="D67" s="590"/>
      <c r="E67" s="590"/>
      <c r="F67" s="590">
        <v>0</v>
      </c>
      <c r="G67" s="590">
        <v>0</v>
      </c>
      <c r="H67" s="590">
        <v>0</v>
      </c>
      <c r="I67" s="590">
        <v>0</v>
      </c>
      <c r="J67" s="590">
        <v>0</v>
      </c>
      <c r="K67" s="590">
        <v>0</v>
      </c>
      <c r="L67" s="590">
        <v>0</v>
      </c>
      <c r="M67" s="590">
        <v>0</v>
      </c>
      <c r="N67" s="590">
        <v>0</v>
      </c>
      <c r="O67" s="590">
        <v>0</v>
      </c>
      <c r="P67" s="590">
        <v>0</v>
      </c>
      <c r="Q67" s="590">
        <v>0</v>
      </c>
      <c r="R67" s="1"/>
      <c r="S67" s="778">
        <v>0</v>
      </c>
      <c r="T67" s="778">
        <v>0</v>
      </c>
      <c r="U67" s="778">
        <v>0</v>
      </c>
      <c r="V67" s="778">
        <v>0</v>
      </c>
      <c r="W67" s="778">
        <v>0</v>
      </c>
      <c r="X67" s="778">
        <v>0</v>
      </c>
      <c r="Y67" s="590">
        <v>0</v>
      </c>
      <c r="Z67" s="590">
        <v>0</v>
      </c>
      <c r="AA67" s="590">
        <v>0</v>
      </c>
      <c r="AB67" s="778">
        <v>0</v>
      </c>
      <c r="AC67" s="590">
        <v>0</v>
      </c>
      <c r="AD67" s="590">
        <v>0</v>
      </c>
      <c r="AE67" s="979">
        <f t="shared" si="31"/>
        <v>0</v>
      </c>
      <c r="AF67" s="979">
        <f t="shared" si="32"/>
        <v>0</v>
      </c>
      <c r="AH67" s="778">
        <v>0</v>
      </c>
      <c r="AI67" s="778">
        <v>0</v>
      </c>
      <c r="AJ67" s="778">
        <v>0</v>
      </c>
      <c r="AK67" s="778">
        <v>0</v>
      </c>
      <c r="AL67" s="778">
        <v>0</v>
      </c>
      <c r="AM67" s="778">
        <v>0</v>
      </c>
      <c r="AN67" s="590">
        <v>0</v>
      </c>
      <c r="AO67" s="590">
        <v>0</v>
      </c>
      <c r="AP67" s="590">
        <v>0</v>
      </c>
      <c r="AQ67" s="778">
        <v>0</v>
      </c>
      <c r="AR67" s="590">
        <v>0</v>
      </c>
      <c r="AS67" s="590">
        <v>0</v>
      </c>
      <c r="AT67" s="979">
        <f t="shared" si="26"/>
        <v>0</v>
      </c>
      <c r="AU67" s="979">
        <f t="shared" si="27"/>
        <v>0</v>
      </c>
      <c r="AW67" s="1497">
        <f t="shared" si="7"/>
        <v>0</v>
      </c>
      <c r="AX67" s="782">
        <f t="shared" si="22"/>
        <v>0</v>
      </c>
      <c r="AY67" s="1119">
        <f t="shared" si="23"/>
        <v>0</v>
      </c>
      <c r="AZ67" s="594">
        <f t="shared" si="9"/>
        <v>0</v>
      </c>
    </row>
    <row r="68" spans="1:52" ht="17.8" customHeight="1" x14ac:dyDescent="0.55000000000000004">
      <c r="A68" s="7592"/>
      <c r="B68" s="143" t="s">
        <v>327</v>
      </c>
      <c r="C68" s="8"/>
      <c r="D68" s="8"/>
      <c r="E68" s="8"/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1"/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8">
        <v>0</v>
      </c>
      <c r="Z68" s="8">
        <v>0</v>
      </c>
      <c r="AA68" s="8">
        <v>0</v>
      </c>
      <c r="AB68" s="1">
        <v>0</v>
      </c>
      <c r="AC68" s="8">
        <v>0</v>
      </c>
      <c r="AD68" s="8">
        <v>0</v>
      </c>
      <c r="AE68" s="921">
        <f t="shared" si="31"/>
        <v>0</v>
      </c>
      <c r="AF68" s="921">
        <f t="shared" si="32"/>
        <v>0</v>
      </c>
      <c r="AH68" s="1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8">
        <v>0</v>
      </c>
      <c r="AO68" s="8">
        <v>0</v>
      </c>
      <c r="AP68" s="8">
        <v>0</v>
      </c>
      <c r="AQ68">
        <v>0</v>
      </c>
      <c r="AR68" s="8">
        <v>0</v>
      </c>
      <c r="AS68" s="8">
        <v>0</v>
      </c>
      <c r="AT68" s="921">
        <f t="shared" si="26"/>
        <v>0</v>
      </c>
      <c r="AU68" s="921">
        <f t="shared" si="27"/>
        <v>0</v>
      </c>
      <c r="AW68" s="1497">
        <f t="shared" si="7"/>
        <v>0</v>
      </c>
      <c r="AX68" s="782">
        <f t="shared" si="22"/>
        <v>0</v>
      </c>
      <c r="AY68" s="1119">
        <f t="shared" si="23"/>
        <v>0</v>
      </c>
      <c r="AZ68" s="594">
        <f t="shared" si="9"/>
        <v>-6</v>
      </c>
    </row>
    <row r="69" spans="1:52" ht="17.8" customHeight="1" x14ac:dyDescent="0.55000000000000004">
      <c r="A69" s="7592"/>
      <c r="B69" s="169" t="s">
        <v>578</v>
      </c>
      <c r="C69" s="54"/>
      <c r="D69" s="54"/>
      <c r="E69" s="54"/>
      <c r="F69" s="54"/>
      <c r="G69" s="54"/>
      <c r="H69" s="54"/>
      <c r="I69" s="54"/>
      <c r="J69" s="54"/>
      <c r="K69" s="54">
        <v>11</v>
      </c>
      <c r="L69" s="54">
        <v>30</v>
      </c>
      <c r="M69" s="54">
        <v>35</v>
      </c>
      <c r="N69" s="54">
        <v>21</v>
      </c>
      <c r="O69" s="54">
        <v>49</v>
      </c>
      <c r="P69" s="960">
        <f>SUM(D69:O69)</f>
        <v>146</v>
      </c>
      <c r="Q69" s="960">
        <f>AVERAGE(D69:O69)</f>
        <v>29.2</v>
      </c>
      <c r="R69" s="1"/>
      <c r="S69" s="54">
        <v>32</v>
      </c>
      <c r="T69" s="54">
        <v>11</v>
      </c>
      <c r="U69" s="54">
        <v>21</v>
      </c>
      <c r="V69" s="54">
        <v>12</v>
      </c>
      <c r="W69" s="54">
        <v>14</v>
      </c>
      <c r="X69" s="54">
        <v>13</v>
      </c>
      <c r="Y69" s="54">
        <v>13</v>
      </c>
      <c r="Z69" s="54">
        <v>4</v>
      </c>
      <c r="AA69" s="54">
        <v>4</v>
      </c>
      <c r="AB69" s="54">
        <v>8</v>
      </c>
      <c r="AC69" s="54">
        <v>12</v>
      </c>
      <c r="AD69" s="54">
        <v>10</v>
      </c>
      <c r="AE69" s="981">
        <f t="shared" si="31"/>
        <v>154</v>
      </c>
      <c r="AF69" s="981">
        <f t="shared" si="32"/>
        <v>12.833333333333334</v>
      </c>
      <c r="AH69" s="54">
        <v>3</v>
      </c>
      <c r="AI69" s="54">
        <v>19</v>
      </c>
      <c r="AJ69" s="54">
        <v>14</v>
      </c>
      <c r="AK69" s="54">
        <v>14</v>
      </c>
      <c r="AL69" s="54">
        <v>11</v>
      </c>
      <c r="AM69" s="54">
        <v>14</v>
      </c>
      <c r="AN69" s="54">
        <v>11</v>
      </c>
      <c r="AO69" s="54">
        <v>10</v>
      </c>
      <c r="AP69" s="54">
        <v>7</v>
      </c>
      <c r="AQ69" s="54">
        <v>5</v>
      </c>
      <c r="AR69" s="54">
        <v>12</v>
      </c>
      <c r="AS69" s="54">
        <v>6</v>
      </c>
      <c r="AT69" s="981">
        <f t="shared" si="26"/>
        <v>126</v>
      </c>
      <c r="AU69" s="981">
        <f t="shared" si="27"/>
        <v>10.5</v>
      </c>
      <c r="AW69" s="1497">
        <f t="shared" si="7"/>
        <v>-4</v>
      </c>
      <c r="AX69" s="782">
        <f t="shared" si="22"/>
        <v>-2.3333333333333339</v>
      </c>
      <c r="AY69" s="1119">
        <f t="shared" si="23"/>
        <v>-28</v>
      </c>
      <c r="AZ69" s="594">
        <f t="shared" ref="AZ69:AZ74" si="33">HLOOKUP($A$1,$AH$2:$AS$404,ROW(),0)-HLOOKUP($B$1,$AH$2:$AS$404,ROW(),0)</f>
        <v>-5</v>
      </c>
    </row>
    <row r="70" spans="1:52" ht="17.8" customHeight="1" x14ac:dyDescent="0.55000000000000004">
      <c r="A70" s="7592"/>
      <c r="B70" s="593" t="s">
        <v>1019</v>
      </c>
      <c r="C70" s="590"/>
      <c r="D70" s="590"/>
      <c r="E70" s="590"/>
      <c r="F70" s="590"/>
      <c r="G70" s="590"/>
      <c r="H70" s="590"/>
      <c r="I70" s="590"/>
      <c r="J70" s="590"/>
      <c r="K70" s="590">
        <v>11</v>
      </c>
      <c r="L70" s="590">
        <v>30</v>
      </c>
      <c r="M70" s="590">
        <v>35</v>
      </c>
      <c r="N70" s="590">
        <v>21</v>
      </c>
      <c r="O70" s="590">
        <v>49</v>
      </c>
      <c r="P70" s="590">
        <f>SUM(D70:O70)</f>
        <v>146</v>
      </c>
      <c r="Q70" s="590">
        <f>AVERAGE(D70:O70)</f>
        <v>29.2</v>
      </c>
      <c r="R70" s="1"/>
      <c r="S70" s="778">
        <v>32</v>
      </c>
      <c r="T70" s="778">
        <v>11</v>
      </c>
      <c r="U70" s="778">
        <v>21</v>
      </c>
      <c r="V70" s="778">
        <v>12</v>
      </c>
      <c r="W70" s="1">
        <v>14</v>
      </c>
      <c r="X70" s="778">
        <v>13</v>
      </c>
      <c r="Y70" s="590">
        <v>13</v>
      </c>
      <c r="Z70" s="590">
        <v>4</v>
      </c>
      <c r="AA70" s="590">
        <v>4</v>
      </c>
      <c r="AB70" s="778">
        <v>8</v>
      </c>
      <c r="AC70" s="590">
        <v>10</v>
      </c>
      <c r="AD70" s="590">
        <v>9</v>
      </c>
      <c r="AE70" s="979">
        <f t="shared" si="31"/>
        <v>151</v>
      </c>
      <c r="AF70" s="979">
        <f t="shared" si="32"/>
        <v>12.583333333333334</v>
      </c>
      <c r="AH70" s="778">
        <v>3</v>
      </c>
      <c r="AI70" s="778">
        <v>19</v>
      </c>
      <c r="AJ70" s="778">
        <v>14</v>
      </c>
      <c r="AK70" s="778">
        <v>14</v>
      </c>
      <c r="AL70">
        <v>11</v>
      </c>
      <c r="AM70" s="778">
        <v>12</v>
      </c>
      <c r="AN70" s="590">
        <v>10</v>
      </c>
      <c r="AO70" s="590">
        <v>7</v>
      </c>
      <c r="AP70" s="590">
        <v>7</v>
      </c>
      <c r="AQ70" s="778">
        <v>5</v>
      </c>
      <c r="AR70" s="590">
        <v>11</v>
      </c>
      <c r="AS70" s="590">
        <v>6</v>
      </c>
      <c r="AT70" s="979">
        <f t="shared" si="26"/>
        <v>119</v>
      </c>
      <c r="AU70" s="979">
        <f t="shared" si="27"/>
        <v>9.9166666666666661</v>
      </c>
      <c r="AW70" s="1497">
        <f t="shared" si="7"/>
        <v>-3</v>
      </c>
      <c r="AX70" s="782">
        <f t="shared" si="22"/>
        <v>-2.6666666666666679</v>
      </c>
      <c r="AY70" s="1119">
        <f t="shared" si="23"/>
        <v>-32</v>
      </c>
      <c r="AZ70" s="594">
        <f t="shared" si="33"/>
        <v>-1</v>
      </c>
    </row>
    <row r="71" spans="1:52" ht="18" customHeight="1" thickBot="1" x14ac:dyDescent="0.6">
      <c r="A71" s="7592"/>
      <c r="B71" s="588" t="s">
        <v>327</v>
      </c>
      <c r="C71" s="134"/>
      <c r="D71" s="134"/>
      <c r="E71" s="134"/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4">
        <v>0</v>
      </c>
      <c r="M71" s="134">
        <v>0</v>
      </c>
      <c r="N71" s="134">
        <v>0</v>
      </c>
      <c r="O71" s="134">
        <v>0</v>
      </c>
      <c r="P71" s="134">
        <v>0</v>
      </c>
      <c r="Q71" s="134">
        <v>0</v>
      </c>
      <c r="R71" s="1"/>
      <c r="S71" s="7">
        <v>0</v>
      </c>
      <c r="T71" s="7">
        <v>0</v>
      </c>
      <c r="U71" s="7">
        <v>0</v>
      </c>
      <c r="V71" s="7">
        <v>0</v>
      </c>
      <c r="W71" s="966">
        <v>0</v>
      </c>
      <c r="X71" s="7">
        <v>0</v>
      </c>
      <c r="Y71" s="134">
        <v>0</v>
      </c>
      <c r="Z71" s="134">
        <v>0</v>
      </c>
      <c r="AA71" s="134">
        <v>0</v>
      </c>
      <c r="AB71" s="7">
        <v>0</v>
      </c>
      <c r="AC71" s="134">
        <v>2</v>
      </c>
      <c r="AD71" s="134">
        <v>1</v>
      </c>
      <c r="AE71" s="983">
        <f t="shared" si="31"/>
        <v>3</v>
      </c>
      <c r="AF71" s="983">
        <f t="shared" si="32"/>
        <v>0.25</v>
      </c>
      <c r="AH71" s="7">
        <v>0</v>
      </c>
      <c r="AI71" s="7">
        <v>0</v>
      </c>
      <c r="AJ71" s="7">
        <v>0</v>
      </c>
      <c r="AK71" s="7">
        <v>0</v>
      </c>
      <c r="AL71" s="966">
        <v>0</v>
      </c>
      <c r="AM71" s="7">
        <v>2</v>
      </c>
      <c r="AN71" s="134">
        <v>1</v>
      </c>
      <c r="AO71" s="134">
        <v>3</v>
      </c>
      <c r="AP71" s="134">
        <v>0</v>
      </c>
      <c r="AQ71" s="7">
        <v>0</v>
      </c>
      <c r="AR71" s="134">
        <v>1</v>
      </c>
      <c r="AS71" s="134">
        <v>0</v>
      </c>
      <c r="AT71" s="983">
        <f t="shared" si="26"/>
        <v>7</v>
      </c>
      <c r="AU71" s="983">
        <f t="shared" si="27"/>
        <v>0.58333333333333337</v>
      </c>
      <c r="AW71" s="1497">
        <f t="shared" si="7"/>
        <v>-1</v>
      </c>
      <c r="AX71" s="782">
        <f t="shared" si="22"/>
        <v>0.33333333333333337</v>
      </c>
      <c r="AY71" s="1119">
        <f t="shared" si="23"/>
        <v>4</v>
      </c>
      <c r="AZ71" s="594">
        <f t="shared" si="33"/>
        <v>0</v>
      </c>
    </row>
    <row r="72" spans="1:52" x14ac:dyDescent="0.55000000000000004">
      <c r="A72" s="7592"/>
      <c r="B72" s="2208" t="s">
        <v>1132</v>
      </c>
      <c r="C72" s="457"/>
      <c r="D72" s="457">
        <v>2</v>
      </c>
      <c r="E72" s="457">
        <v>2</v>
      </c>
      <c r="F72" s="457">
        <v>6</v>
      </c>
      <c r="G72" s="457">
        <v>4</v>
      </c>
      <c r="H72" s="457">
        <v>3</v>
      </c>
      <c r="I72" s="457">
        <v>6</v>
      </c>
      <c r="J72" s="457">
        <v>7</v>
      </c>
      <c r="K72" s="457">
        <v>0</v>
      </c>
      <c r="L72" s="457">
        <v>5</v>
      </c>
      <c r="M72" s="457">
        <v>1</v>
      </c>
      <c r="N72" s="457">
        <v>5</v>
      </c>
      <c r="O72" s="457">
        <v>5</v>
      </c>
      <c r="P72" s="981">
        <f t="shared" ref="P72:P74" si="34">SUM(D72:O72)</f>
        <v>46</v>
      </c>
      <c r="Q72" s="981">
        <f t="shared" ref="Q72:Q74" si="35">AVERAGE(D72:O72)</f>
        <v>3.8333333333333335</v>
      </c>
      <c r="S72" s="457">
        <v>0</v>
      </c>
      <c r="T72" s="457">
        <v>2</v>
      </c>
      <c r="U72" s="457">
        <v>0</v>
      </c>
      <c r="V72" s="457">
        <v>1</v>
      </c>
      <c r="W72" s="457">
        <v>1</v>
      </c>
      <c r="X72" s="457">
        <v>1</v>
      </c>
      <c r="Y72" s="457">
        <v>2</v>
      </c>
      <c r="Z72" s="457">
        <v>2</v>
      </c>
      <c r="AA72" s="457">
        <v>0</v>
      </c>
      <c r="AB72" s="457">
        <v>0</v>
      </c>
      <c r="AC72" s="457">
        <v>0</v>
      </c>
      <c r="AD72" s="457">
        <v>0</v>
      </c>
      <c r="AE72" s="981">
        <f t="shared" si="31"/>
        <v>9</v>
      </c>
      <c r="AF72" s="981">
        <f t="shared" si="32"/>
        <v>0.75</v>
      </c>
      <c r="AH72" s="457">
        <v>2</v>
      </c>
      <c r="AI72" s="457">
        <v>0</v>
      </c>
      <c r="AJ72" s="457">
        <v>2</v>
      </c>
      <c r="AK72" s="457">
        <v>2</v>
      </c>
      <c r="AL72" s="457">
        <v>1</v>
      </c>
      <c r="AM72" s="457">
        <v>0</v>
      </c>
      <c r="AN72" s="457">
        <v>1</v>
      </c>
      <c r="AO72" s="457">
        <v>4</v>
      </c>
      <c r="AP72" s="457">
        <v>5</v>
      </c>
      <c r="AQ72" s="457">
        <v>0</v>
      </c>
      <c r="AR72" s="457">
        <v>0</v>
      </c>
      <c r="AS72" s="457">
        <v>0</v>
      </c>
      <c r="AT72" s="457">
        <f t="shared" si="26"/>
        <v>17</v>
      </c>
      <c r="AU72" s="2390">
        <f t="shared" si="27"/>
        <v>1.4166666666666667</v>
      </c>
      <c r="AW72" s="1497">
        <f t="shared" si="7"/>
        <v>0</v>
      </c>
      <c r="AX72" s="782">
        <f t="shared" ref="AX72:AX74" si="36">AU72-AF72</f>
        <v>0.66666666666666674</v>
      </c>
      <c r="AY72" s="1119">
        <f t="shared" si="23"/>
        <v>8</v>
      </c>
      <c r="AZ72" s="594">
        <f t="shared" si="33"/>
        <v>0</v>
      </c>
    </row>
    <row r="73" spans="1:52" x14ac:dyDescent="0.55000000000000004">
      <c r="A73" s="7592"/>
      <c r="B73" s="143" t="s">
        <v>1019</v>
      </c>
      <c r="D73" s="778">
        <v>2</v>
      </c>
      <c r="E73" s="778">
        <v>2</v>
      </c>
      <c r="F73" s="778">
        <v>6</v>
      </c>
      <c r="G73" s="778">
        <v>4</v>
      </c>
      <c r="H73" s="778">
        <v>3</v>
      </c>
      <c r="I73" s="778">
        <v>6</v>
      </c>
      <c r="J73" s="778">
        <v>7</v>
      </c>
      <c r="K73" s="778">
        <v>0</v>
      </c>
      <c r="L73" s="778">
        <v>5</v>
      </c>
      <c r="M73" s="778">
        <v>1</v>
      </c>
      <c r="N73" s="778">
        <v>5</v>
      </c>
      <c r="O73" s="778">
        <v>5</v>
      </c>
      <c r="P73" s="2221">
        <f t="shared" si="34"/>
        <v>46</v>
      </c>
      <c r="Q73" s="2221">
        <f t="shared" si="35"/>
        <v>3.8333333333333335</v>
      </c>
      <c r="S73" s="778">
        <v>0</v>
      </c>
      <c r="T73" s="778">
        <v>2</v>
      </c>
      <c r="U73" s="778">
        <v>0</v>
      </c>
      <c r="V73" s="778">
        <v>1</v>
      </c>
      <c r="W73" s="778">
        <v>1</v>
      </c>
      <c r="X73" s="778">
        <v>1</v>
      </c>
      <c r="Y73" s="778">
        <v>2</v>
      </c>
      <c r="Z73" s="778">
        <v>2</v>
      </c>
      <c r="AA73" s="778">
        <v>0</v>
      </c>
      <c r="AB73" s="778">
        <v>0</v>
      </c>
      <c r="AC73" s="778">
        <v>0</v>
      </c>
      <c r="AD73" s="778">
        <v>0</v>
      </c>
      <c r="AE73" s="2221">
        <f t="shared" si="31"/>
        <v>9</v>
      </c>
      <c r="AF73" s="2221">
        <f t="shared" si="32"/>
        <v>0.75</v>
      </c>
      <c r="AH73">
        <v>2</v>
      </c>
      <c r="AI73">
        <v>0</v>
      </c>
      <c r="AJ73">
        <v>2</v>
      </c>
      <c r="AK73">
        <v>2</v>
      </c>
      <c r="AL73">
        <v>1</v>
      </c>
      <c r="AM73">
        <v>0</v>
      </c>
      <c r="AN73">
        <v>1</v>
      </c>
      <c r="AO73">
        <v>4</v>
      </c>
      <c r="AP73">
        <v>5</v>
      </c>
      <c r="AQ73">
        <v>0</v>
      </c>
      <c r="AR73">
        <v>0</v>
      </c>
      <c r="AS73">
        <v>0</v>
      </c>
      <c r="AT73" s="1284">
        <f t="shared" si="26"/>
        <v>17</v>
      </c>
      <c r="AU73" s="1284">
        <f t="shared" si="27"/>
        <v>1.4166666666666667</v>
      </c>
      <c r="AW73" s="1497">
        <f t="shared" ref="AW73" si="37">HLOOKUP($A$1,$AH$2:$AS$404,ROW()-1,0)-HLOOKUP($A$1,$S$2:$AD$404,ROW()-1,0)</f>
        <v>0</v>
      </c>
      <c r="AX73" s="782">
        <f t="shared" si="36"/>
        <v>0.66666666666666674</v>
      </c>
      <c r="AY73" s="1119">
        <f t="shared" si="23"/>
        <v>8</v>
      </c>
      <c r="AZ73" s="594">
        <f t="shared" si="33"/>
        <v>0</v>
      </c>
    </row>
    <row r="74" spans="1:52" ht="18" thickBot="1" x14ac:dyDescent="0.6">
      <c r="A74" s="7593"/>
      <c r="B74" s="2222" t="s">
        <v>327</v>
      </c>
      <c r="C74" s="710"/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2223">
        <f t="shared" si="34"/>
        <v>0</v>
      </c>
      <c r="Q74" s="2223">
        <f t="shared" si="35"/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2223">
        <f t="shared" si="31"/>
        <v>0</v>
      </c>
      <c r="AF74" s="2223">
        <f t="shared" si="32"/>
        <v>0</v>
      </c>
      <c r="AH74" s="710">
        <v>0</v>
      </c>
      <c r="AI74" s="710">
        <v>0</v>
      </c>
      <c r="AJ74" s="710">
        <v>0</v>
      </c>
      <c r="AK74" s="710">
        <v>0</v>
      </c>
      <c r="AL74" s="710">
        <v>0</v>
      </c>
      <c r="AM74" s="710">
        <v>0</v>
      </c>
      <c r="AN74" s="710">
        <v>0</v>
      </c>
      <c r="AO74" s="710">
        <v>0</v>
      </c>
      <c r="AP74" s="710">
        <v>0</v>
      </c>
      <c r="AQ74" s="710">
        <v>0</v>
      </c>
      <c r="AR74" s="710">
        <v>0</v>
      </c>
      <c r="AS74" s="710">
        <v>0</v>
      </c>
      <c r="AT74" s="710">
        <f t="shared" si="26"/>
        <v>0</v>
      </c>
      <c r="AU74" s="710">
        <f t="shared" si="27"/>
        <v>0</v>
      </c>
      <c r="AW74" s="1497">
        <f t="shared" si="7"/>
        <v>0</v>
      </c>
      <c r="AX74" s="782">
        <f t="shared" si="36"/>
        <v>0</v>
      </c>
      <c r="AY74" s="1119">
        <f t="shared" si="23"/>
        <v>0</v>
      </c>
      <c r="AZ74" s="594">
        <f t="shared" si="33"/>
        <v>0</v>
      </c>
    </row>
    <row r="75" spans="1:52" x14ac:dyDescent="0.55000000000000004">
      <c r="R75" s="1"/>
      <c r="AZ75" s="594"/>
    </row>
    <row r="76" spans="1:52" x14ac:dyDescent="0.55000000000000004">
      <c r="R76" s="1"/>
      <c r="AZ76" s="594"/>
    </row>
    <row r="77" spans="1:52" x14ac:dyDescent="0.55000000000000004">
      <c r="R77" s="1"/>
      <c r="AZ77" s="594"/>
    </row>
    <row r="78" spans="1:52" x14ac:dyDescent="0.55000000000000004">
      <c r="R78" s="1"/>
      <c r="AZ78" s="594"/>
    </row>
    <row r="79" spans="1:52" x14ac:dyDescent="0.55000000000000004">
      <c r="R79" s="1"/>
      <c r="AZ79" s="594"/>
    </row>
    <row r="80" spans="1:52" x14ac:dyDescent="0.55000000000000004">
      <c r="R80" s="1"/>
    </row>
    <row r="81" spans="18:52" x14ac:dyDescent="0.55000000000000004">
      <c r="R81" s="1"/>
      <c r="AZ81" s="594"/>
    </row>
    <row r="82" spans="18:52" x14ac:dyDescent="0.55000000000000004">
      <c r="R82" s="1"/>
      <c r="AZ82" s="594"/>
    </row>
    <row r="83" spans="18:52" x14ac:dyDescent="0.55000000000000004">
      <c r="R83" s="1"/>
      <c r="AZ83" s="594"/>
    </row>
    <row r="84" spans="18:52" x14ac:dyDescent="0.55000000000000004">
      <c r="R84" s="1"/>
      <c r="AZ84" s="594"/>
    </row>
    <row r="85" spans="18:52" x14ac:dyDescent="0.55000000000000004">
      <c r="AZ85" s="594"/>
    </row>
    <row r="86" spans="18:52" x14ac:dyDescent="0.55000000000000004">
      <c r="AZ86" s="594"/>
    </row>
    <row r="87" spans="18:52" x14ac:dyDescent="0.55000000000000004">
      <c r="AZ87" s="594"/>
    </row>
    <row r="88" spans="18:52" x14ac:dyDescent="0.55000000000000004">
      <c r="AZ88" s="594"/>
    </row>
    <row r="89" spans="18:52" x14ac:dyDescent="0.55000000000000004">
      <c r="AZ89" s="594"/>
    </row>
    <row r="90" spans="18:52" x14ac:dyDescent="0.55000000000000004">
      <c r="AZ90" s="594"/>
    </row>
    <row r="92" spans="18:52" x14ac:dyDescent="0.55000000000000004">
      <c r="AZ92" s="594"/>
    </row>
    <row r="93" spans="18:52" x14ac:dyDescent="0.55000000000000004">
      <c r="AZ93" s="594"/>
    </row>
    <row r="94" spans="18:52" x14ac:dyDescent="0.55000000000000004">
      <c r="AZ94" s="594"/>
    </row>
    <row r="95" spans="18:52" x14ac:dyDescent="0.55000000000000004">
      <c r="AZ95" s="594"/>
    </row>
    <row r="96" spans="18:52" x14ac:dyDescent="0.55000000000000004">
      <c r="AZ96" s="594"/>
    </row>
    <row r="97" spans="52:52" x14ac:dyDescent="0.55000000000000004">
      <c r="AZ97" s="594"/>
    </row>
    <row r="98" spans="52:52" x14ac:dyDescent="0.55000000000000004">
      <c r="AZ98" s="594"/>
    </row>
    <row r="99" spans="52:52" x14ac:dyDescent="0.55000000000000004">
      <c r="AZ99" s="594"/>
    </row>
    <row r="100" spans="52:52" x14ac:dyDescent="0.55000000000000004">
      <c r="AZ100" s="594"/>
    </row>
    <row r="101" spans="52:52" x14ac:dyDescent="0.55000000000000004">
      <c r="AZ101" s="594"/>
    </row>
    <row r="102" spans="52:52" x14ac:dyDescent="0.55000000000000004">
      <c r="AZ102" s="594"/>
    </row>
    <row r="103" spans="52:52" x14ac:dyDescent="0.55000000000000004">
      <c r="AZ103" s="594"/>
    </row>
    <row r="104" spans="52:52" x14ac:dyDescent="0.55000000000000004">
      <c r="AZ104" s="594"/>
    </row>
    <row r="105" spans="52:52" x14ac:dyDescent="0.55000000000000004">
      <c r="AZ105" s="594"/>
    </row>
    <row r="106" spans="52:52" x14ac:dyDescent="0.55000000000000004">
      <c r="AZ106" s="594"/>
    </row>
    <row r="107" spans="52:52" x14ac:dyDescent="0.55000000000000004">
      <c r="AZ107" s="594"/>
    </row>
    <row r="108" spans="52:52" x14ac:dyDescent="0.55000000000000004">
      <c r="AZ108" s="594"/>
    </row>
    <row r="109" spans="52:52" x14ac:dyDescent="0.55000000000000004">
      <c r="AZ109" s="594"/>
    </row>
    <row r="110" spans="52:52" x14ac:dyDescent="0.55000000000000004">
      <c r="AZ110" s="594"/>
    </row>
    <row r="111" spans="52:52" x14ac:dyDescent="0.55000000000000004">
      <c r="AZ111" s="594"/>
    </row>
  </sheetData>
  <mergeCells count="14">
    <mergeCell ref="B62:B63"/>
    <mergeCell ref="B64:B65"/>
    <mergeCell ref="A4:A16"/>
    <mergeCell ref="A18:A26"/>
    <mergeCell ref="A28:A36"/>
    <mergeCell ref="A37:A39"/>
    <mergeCell ref="B41:B42"/>
    <mergeCell ref="B43:B44"/>
    <mergeCell ref="B45:B46"/>
    <mergeCell ref="B47:B48"/>
    <mergeCell ref="B60:B61"/>
    <mergeCell ref="B49:B50"/>
    <mergeCell ref="B51:B52"/>
    <mergeCell ref="A41:A7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26</vt:i4>
      </vt:variant>
    </vt:vector>
  </HeadingPairs>
  <TitlesOfParts>
    <vt:vector size="53" baseType="lpstr">
      <vt:lpstr>0. 목차</vt:lpstr>
      <vt:lpstr>1.재무</vt:lpstr>
      <vt:lpstr>※ 재무_세부시트</vt:lpstr>
      <vt:lpstr>※ 수수료 기준_가입자</vt:lpstr>
      <vt:lpstr>2.무선가입자</vt:lpstr>
      <vt:lpstr>2-(1) 수수료 기준_가입자(무선)</vt:lpstr>
      <vt:lpstr>3.유선가입자</vt:lpstr>
      <vt:lpstr>3-(1) 수수료 기준_가입자 (유선)</vt:lpstr>
      <vt:lpstr>※ 영기팀 작성_가입자</vt:lpstr>
      <vt:lpstr>※ 디지털 세부데이터</vt:lpstr>
      <vt:lpstr>4. 디지털</vt:lpstr>
      <vt:lpstr>5. 소상공인</vt:lpstr>
      <vt:lpstr>6. B2B</vt:lpstr>
      <vt:lpstr>※ 소상공인 세부데이터</vt:lpstr>
      <vt:lpstr>※ 유통플랫폼 세부데이터</vt:lpstr>
      <vt:lpstr>※ B2B 세부데이터</vt:lpstr>
      <vt:lpstr>7.유통플랫폼사업</vt:lpstr>
      <vt:lpstr>8.인프라</vt:lpstr>
      <vt:lpstr>9.인력</vt:lpstr>
      <vt:lpstr>※ 인력 세부데이터</vt:lpstr>
      <vt:lpstr>10.영업품질</vt:lpstr>
      <vt:lpstr>※ 재고 세부데이터</vt:lpstr>
      <vt:lpstr>※ 영업품질 세부데이터</vt:lpstr>
      <vt:lpstr>※ 팀별 작성_인프라_인력</vt:lpstr>
      <vt:lpstr>11. 재고</vt:lpstr>
      <vt:lpstr>12.기타지표</vt:lpstr>
      <vt:lpstr>※ 기타지표 세부데이터</vt:lpstr>
      <vt:lpstr>'※ B2B 세부데이터'!Print_Area</vt:lpstr>
      <vt:lpstr>'※ 재무_세부시트'!Print_Area</vt:lpstr>
      <vt:lpstr>'0. 목차'!Print_Area</vt:lpstr>
      <vt:lpstr>'1.재무'!Print_Area</vt:lpstr>
      <vt:lpstr>'10.영업품질'!Print_Area</vt:lpstr>
      <vt:lpstr>'11. 재고'!Print_Area</vt:lpstr>
      <vt:lpstr>'12.기타지표'!Print_Area</vt:lpstr>
      <vt:lpstr>'2-(1) 수수료 기준_가입자(무선)'!Print_Area</vt:lpstr>
      <vt:lpstr>'2.무선가입자'!Print_Area</vt:lpstr>
      <vt:lpstr>'3-(1) 수수료 기준_가입자 (유선)'!Print_Area</vt:lpstr>
      <vt:lpstr>'3.유선가입자'!Print_Area</vt:lpstr>
      <vt:lpstr>'4. 디지털'!Print_Area</vt:lpstr>
      <vt:lpstr>'5. 소상공인'!Print_Area</vt:lpstr>
      <vt:lpstr>'6. B2B'!Print_Area</vt:lpstr>
      <vt:lpstr>'7.유통플랫폼사업'!Print_Area</vt:lpstr>
      <vt:lpstr>'8.인프라'!Print_Area</vt:lpstr>
      <vt:lpstr>'9.인력'!Print_Area</vt:lpstr>
      <vt:lpstr>'1.재무'!Print_Titles</vt:lpstr>
      <vt:lpstr>'10.영업품질'!Print_Titles</vt:lpstr>
      <vt:lpstr>'2-(1) 수수료 기준_가입자(무선)'!Print_Titles</vt:lpstr>
      <vt:lpstr>'2.무선가입자'!Print_Titles</vt:lpstr>
      <vt:lpstr>'3-(1) 수수료 기준_가입자 (유선)'!Print_Titles</vt:lpstr>
      <vt:lpstr>'3.유선가입자'!Print_Titles</vt:lpstr>
      <vt:lpstr>'5. 소상공인'!Print_Titles</vt:lpstr>
      <vt:lpstr>'8.인프라'!Print_Titles</vt:lpstr>
      <vt:lpstr>'9.인력'!Print_Titles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최소휘(경영기획팀)</cp:lastModifiedBy>
  <cp:lastPrinted>2026-01-21T01:36:58Z</cp:lastPrinted>
  <dcterms:created xsi:type="dcterms:W3CDTF">2024-02-14T05:23:42Z</dcterms:created>
  <dcterms:modified xsi:type="dcterms:W3CDTF">2026-01-23T05:57:16Z</dcterms:modified>
</cp:coreProperties>
</file>